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2.xml" ContentType="application/vnd.openxmlformats-officedocument.themeOverrid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3.xml" ContentType="application/vnd.openxmlformats-officedocument.themeOverride+xml"/>
  <Override PartName="/xl/drawings/drawing3.xml" ContentType="application/vnd.openxmlformats-officedocument.drawing+xml"/>
  <Override PartName="/xl/charts/chartEx7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8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9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0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5.xml" ContentType="application/vnd.openxmlformats-officedocument.themeOverride+xml"/>
  <Override PartName="/xl/charts/chartEx11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12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6.xml" ContentType="application/vnd.openxmlformats-officedocument.themeOverride+xml"/>
  <Override PartName="/xl/drawings/drawing4.xml" ContentType="application/vnd.openxmlformats-officedocument.drawing+xml"/>
  <Override PartName="/xl/charts/chartEx13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14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15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16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8.xml" ContentType="application/vnd.openxmlformats-officedocument.themeOverride+xml"/>
  <Override PartName="/xl/charts/chartEx17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Ex18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9.xml" ContentType="application/vnd.openxmlformats-officedocument.themeOverride+xml"/>
  <Override PartName="/xl/drawings/drawing5.xml" ContentType="application/vnd.openxmlformats-officedocument.drawing+xml"/>
  <Override PartName="/xl/charts/chartEx19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Ex20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Ex21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charts/chartEx22.xml" ContentType="application/vnd.ms-office.chartex+xml"/>
  <Override PartName="/xl/charts/style31.xml" ContentType="application/vnd.ms-office.chartstyle+xml"/>
  <Override PartName="/xl/charts/colors31.xml" ContentType="application/vnd.ms-office.chartcolorstyle+xml"/>
  <Override PartName="/xl/charts/chart1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10.xml" ContentType="application/vnd.openxmlformats-officedocument.themeOverride+xml"/>
  <Override PartName="/xl/charts/chart1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11.xml" ContentType="application/vnd.openxmlformats-officedocument.themeOverride+xml"/>
  <Override PartName="/xl/charts/chartEx23.xml" ContentType="application/vnd.ms-office.chartex+xml"/>
  <Override PartName="/xl/charts/style34.xml" ContentType="application/vnd.ms-office.chartstyle+xml"/>
  <Override PartName="/xl/charts/colors34.xml" ContentType="application/vnd.ms-office.chartcolorstyle+xml"/>
  <Override PartName="/xl/charts/chartEx24.xml" ContentType="application/vnd.ms-office.chartex+xml"/>
  <Override PartName="/xl/charts/style35.xml" ContentType="application/vnd.ms-office.chartstyle+xml"/>
  <Override PartName="/xl/charts/colors35.xml" ContentType="application/vnd.ms-office.chartcolorstyle+xml"/>
  <Override PartName="/xl/charts/chart12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12.xml" ContentType="application/vnd.openxmlformats-officedocument.themeOverride+xml"/>
  <Override PartName="/xl/drawings/drawing6.xml" ContentType="application/vnd.openxmlformats-officedocument.drawing+xml"/>
  <Override PartName="/xl/charts/chartEx25.xml" ContentType="application/vnd.ms-office.chartex+xml"/>
  <Override PartName="/xl/charts/style37.xml" ContentType="application/vnd.ms-office.chartstyle+xml"/>
  <Override PartName="/xl/charts/colors37.xml" ContentType="application/vnd.ms-office.chartcolorstyle+xml"/>
  <Override PartName="/xl/charts/chartEx26.xml" ContentType="application/vnd.ms-office.chartex+xml"/>
  <Override PartName="/xl/charts/style38.xml" ContentType="application/vnd.ms-office.chartstyle+xml"/>
  <Override PartName="/xl/charts/colors38.xml" ContentType="application/vnd.ms-office.chartcolorstyle+xml"/>
  <Override PartName="/xl/charts/chartEx27.xml" ContentType="application/vnd.ms-office.chartex+xml"/>
  <Override PartName="/xl/charts/style39.xml" ContentType="application/vnd.ms-office.chartstyle+xml"/>
  <Override PartName="/xl/charts/colors39.xml" ContentType="application/vnd.ms-office.chartcolorstyle+xml"/>
  <Override PartName="/xl/charts/chartEx28.xml" ContentType="application/vnd.ms-office.chartex+xml"/>
  <Override PartName="/xl/charts/style40.xml" ContentType="application/vnd.ms-office.chartstyle+xml"/>
  <Override PartName="/xl/charts/colors40.xml" ContentType="application/vnd.ms-office.chartcolorstyle+xml"/>
  <Override PartName="/xl/charts/chart13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13.xml" ContentType="application/vnd.openxmlformats-officedocument.themeOverride+xml"/>
  <Override PartName="/xl/charts/chart14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14.xml" ContentType="application/vnd.openxmlformats-officedocument.themeOverride+xml"/>
  <Override PartName="/xl/charts/chartEx29.xml" ContentType="application/vnd.ms-office.chartex+xml"/>
  <Override PartName="/xl/charts/style43.xml" ContentType="application/vnd.ms-office.chartstyle+xml"/>
  <Override PartName="/xl/charts/colors43.xml" ContentType="application/vnd.ms-office.chartcolorstyle+xml"/>
  <Override PartName="/xl/charts/chartEx30.xml" ContentType="application/vnd.ms-office.chartex+xml"/>
  <Override PartName="/xl/charts/style44.xml" ContentType="application/vnd.ms-office.chartstyle+xml"/>
  <Override PartName="/xl/charts/colors44.xml" ContentType="application/vnd.ms-office.chartcolorstyle+xml"/>
  <Override PartName="/xl/charts/chart1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15.xml" ContentType="application/vnd.openxmlformats-officedocument.themeOverride+xml"/>
  <Override PartName="/xl/drawings/drawing7.xml" ContentType="application/vnd.openxmlformats-officedocument.drawing+xml"/>
  <Override PartName="/xl/charts/chartEx31.xml" ContentType="application/vnd.ms-office.chartex+xml"/>
  <Override PartName="/xl/charts/style46.xml" ContentType="application/vnd.ms-office.chartstyle+xml"/>
  <Override PartName="/xl/charts/colors46.xml" ContentType="application/vnd.ms-office.chartcolorstyle+xml"/>
  <Override PartName="/xl/charts/chartEx32.xml" ContentType="application/vnd.ms-office.chartex+xml"/>
  <Override PartName="/xl/charts/style47.xml" ContentType="application/vnd.ms-office.chartstyle+xml"/>
  <Override PartName="/xl/charts/colors47.xml" ContentType="application/vnd.ms-office.chartcolorstyle+xml"/>
  <Override PartName="/xl/charts/chartEx33.xml" ContentType="application/vnd.ms-office.chartex+xml"/>
  <Override PartName="/xl/charts/style48.xml" ContentType="application/vnd.ms-office.chartstyle+xml"/>
  <Override PartName="/xl/charts/colors48.xml" ContentType="application/vnd.ms-office.chartcolorstyle+xml"/>
  <Override PartName="/xl/charts/chartEx34.xml" ContentType="application/vnd.ms-office.chartex+xml"/>
  <Override PartName="/xl/charts/style49.xml" ContentType="application/vnd.ms-office.chartstyle+xml"/>
  <Override PartName="/xl/charts/colors49.xml" ContentType="application/vnd.ms-office.chartcolorstyle+xml"/>
  <Override PartName="/xl/charts/chart16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16.xml" ContentType="application/vnd.openxmlformats-officedocument.themeOverride+xml"/>
  <Override PartName="/xl/charts/chart17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17.xml" ContentType="application/vnd.openxmlformats-officedocument.themeOverride+xml"/>
  <Override PartName="/xl/charts/chartEx35.xml" ContentType="application/vnd.ms-office.chartex+xml"/>
  <Override PartName="/xl/charts/style52.xml" ContentType="application/vnd.ms-office.chartstyle+xml"/>
  <Override PartName="/xl/charts/colors52.xml" ContentType="application/vnd.ms-office.chartcolorstyle+xml"/>
  <Override PartName="/xl/charts/chartEx36.xml" ContentType="application/vnd.ms-office.chartex+xml"/>
  <Override PartName="/xl/charts/style53.xml" ContentType="application/vnd.ms-office.chartstyle+xml"/>
  <Override PartName="/xl/charts/colors53.xml" ContentType="application/vnd.ms-office.chartcolorstyle+xml"/>
  <Override PartName="/xl/charts/chart18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18.xml" ContentType="application/vnd.openxmlformats-officedocument.themeOverride+xml"/>
  <Override PartName="/xl/drawings/drawing8.xml" ContentType="application/vnd.openxmlformats-officedocument.drawing+xml"/>
  <Override PartName="/xl/charts/chartEx37.xml" ContentType="application/vnd.ms-office.chartex+xml"/>
  <Override PartName="/xl/charts/style55.xml" ContentType="application/vnd.ms-office.chartstyle+xml"/>
  <Override PartName="/xl/charts/colors55.xml" ContentType="application/vnd.ms-office.chartcolorstyle+xml"/>
  <Override PartName="/xl/charts/chartEx38.xml" ContentType="application/vnd.ms-office.chartex+xml"/>
  <Override PartName="/xl/charts/style56.xml" ContentType="application/vnd.ms-office.chartstyle+xml"/>
  <Override PartName="/xl/charts/colors56.xml" ContentType="application/vnd.ms-office.chartcolorstyle+xml"/>
  <Override PartName="/xl/charts/chartEx39.xml" ContentType="application/vnd.ms-office.chartex+xml"/>
  <Override PartName="/xl/charts/style57.xml" ContentType="application/vnd.ms-office.chartstyle+xml"/>
  <Override PartName="/xl/charts/colors57.xml" ContentType="application/vnd.ms-office.chartcolorstyle+xml"/>
  <Override PartName="/xl/charts/chartEx40.xml" ContentType="application/vnd.ms-office.chartex+xml"/>
  <Override PartName="/xl/charts/style58.xml" ContentType="application/vnd.ms-office.chartstyle+xml"/>
  <Override PartName="/xl/charts/colors58.xml" ContentType="application/vnd.ms-office.chartcolorstyle+xml"/>
  <Override PartName="/xl/charts/chart1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19.xml" ContentType="application/vnd.openxmlformats-officedocument.themeOverride+xml"/>
  <Override PartName="/xl/charts/chart2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20.xml" ContentType="application/vnd.openxmlformats-officedocument.themeOverride+xml"/>
  <Override PartName="/xl/charts/chartEx41.xml" ContentType="application/vnd.ms-office.chartex+xml"/>
  <Override PartName="/xl/charts/style61.xml" ContentType="application/vnd.ms-office.chartstyle+xml"/>
  <Override PartName="/xl/charts/colors61.xml" ContentType="application/vnd.ms-office.chartcolorstyle+xml"/>
  <Override PartName="/xl/charts/chartEx42.xml" ContentType="application/vnd.ms-office.chartex+xml"/>
  <Override PartName="/xl/charts/style62.xml" ContentType="application/vnd.ms-office.chartstyle+xml"/>
  <Override PartName="/xl/charts/colors62.xml" ContentType="application/vnd.ms-office.chartcolorstyle+xml"/>
  <Override PartName="/xl/charts/chart21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theme/themeOverride21.xml" ContentType="application/vnd.openxmlformats-officedocument.themeOverride+xml"/>
  <Override PartName="/xl/drawings/drawing9.xml" ContentType="application/vnd.openxmlformats-officedocument.drawing+xml"/>
  <Override PartName="/xl/charts/chartEx43.xml" ContentType="application/vnd.ms-office.chartex+xml"/>
  <Override PartName="/xl/charts/style64.xml" ContentType="application/vnd.ms-office.chartstyle+xml"/>
  <Override PartName="/xl/charts/colors64.xml" ContentType="application/vnd.ms-office.chartcolorstyle+xml"/>
  <Override PartName="/xl/charts/chartEx44.xml" ContentType="application/vnd.ms-office.chartex+xml"/>
  <Override PartName="/xl/charts/style65.xml" ContentType="application/vnd.ms-office.chartstyle+xml"/>
  <Override PartName="/xl/charts/colors65.xml" ContentType="application/vnd.ms-office.chartcolorstyle+xml"/>
  <Override PartName="/xl/charts/chartEx45.xml" ContentType="application/vnd.ms-office.chartex+xml"/>
  <Override PartName="/xl/charts/style66.xml" ContentType="application/vnd.ms-office.chartstyle+xml"/>
  <Override PartName="/xl/charts/colors66.xml" ContentType="application/vnd.ms-office.chartcolorstyle+xml"/>
  <Override PartName="/xl/charts/chartEx46.xml" ContentType="application/vnd.ms-office.chartex+xml"/>
  <Override PartName="/xl/charts/style67.xml" ContentType="application/vnd.ms-office.chartstyle+xml"/>
  <Override PartName="/xl/charts/colors67.xml" ContentType="application/vnd.ms-office.chartcolorstyle+xml"/>
  <Override PartName="/xl/charts/chart22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theme/themeOverride22.xml" ContentType="application/vnd.openxmlformats-officedocument.themeOverride+xml"/>
  <Override PartName="/xl/charts/chart23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theme/themeOverride23.xml" ContentType="application/vnd.openxmlformats-officedocument.themeOverride+xml"/>
  <Override PartName="/xl/charts/chartEx47.xml" ContentType="application/vnd.ms-office.chartex+xml"/>
  <Override PartName="/xl/charts/style70.xml" ContentType="application/vnd.ms-office.chartstyle+xml"/>
  <Override PartName="/xl/charts/colors70.xml" ContentType="application/vnd.ms-office.chartcolorstyle+xml"/>
  <Override PartName="/xl/charts/chartEx48.xml" ContentType="application/vnd.ms-office.chartex+xml"/>
  <Override PartName="/xl/charts/style71.xml" ContentType="application/vnd.ms-office.chartstyle+xml"/>
  <Override PartName="/xl/charts/colors71.xml" ContentType="application/vnd.ms-office.chartcolorstyle+xml"/>
  <Override PartName="/xl/charts/chart24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theme/themeOverride24.xml" ContentType="application/vnd.openxmlformats-officedocument.themeOverride+xml"/>
  <Override PartName="/xl/drawings/drawing10.xml" ContentType="application/vnd.openxmlformats-officedocument.drawing+xml"/>
  <Override PartName="/xl/charts/chartEx49.xml" ContentType="application/vnd.ms-office.chartex+xml"/>
  <Override PartName="/xl/charts/style73.xml" ContentType="application/vnd.ms-office.chartstyle+xml"/>
  <Override PartName="/xl/charts/colors73.xml" ContentType="application/vnd.ms-office.chartcolorstyle+xml"/>
  <Override PartName="/xl/charts/chartEx50.xml" ContentType="application/vnd.ms-office.chartex+xml"/>
  <Override PartName="/xl/charts/style74.xml" ContentType="application/vnd.ms-office.chartstyle+xml"/>
  <Override PartName="/xl/charts/colors74.xml" ContentType="application/vnd.ms-office.chartcolorstyle+xml"/>
  <Override PartName="/xl/charts/chartEx51.xml" ContentType="application/vnd.ms-office.chartex+xml"/>
  <Override PartName="/xl/charts/style75.xml" ContentType="application/vnd.ms-office.chartstyle+xml"/>
  <Override PartName="/xl/charts/colors75.xml" ContentType="application/vnd.ms-office.chartcolorstyle+xml"/>
  <Override PartName="/xl/charts/chartEx52.xml" ContentType="application/vnd.ms-office.chartex+xml"/>
  <Override PartName="/xl/charts/style76.xml" ContentType="application/vnd.ms-office.chartstyle+xml"/>
  <Override PartName="/xl/charts/colors76.xml" ContentType="application/vnd.ms-office.chartcolorstyle+xml"/>
  <Override PartName="/xl/charts/chart25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theme/themeOverride25.xml" ContentType="application/vnd.openxmlformats-officedocument.themeOverride+xml"/>
  <Override PartName="/xl/charts/chart26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theme/themeOverride26.xml" ContentType="application/vnd.openxmlformats-officedocument.themeOverride+xml"/>
  <Override PartName="/xl/charts/chartEx53.xml" ContentType="application/vnd.ms-office.chartex+xml"/>
  <Override PartName="/xl/charts/style79.xml" ContentType="application/vnd.ms-office.chartstyle+xml"/>
  <Override PartName="/xl/charts/colors79.xml" ContentType="application/vnd.ms-office.chartcolorstyle+xml"/>
  <Override PartName="/xl/charts/chartEx54.xml" ContentType="application/vnd.ms-office.chartex+xml"/>
  <Override PartName="/xl/charts/style80.xml" ContentType="application/vnd.ms-office.chartstyle+xml"/>
  <Override PartName="/xl/charts/colors80.xml" ContentType="application/vnd.ms-office.chartcolorstyle+xml"/>
  <Override PartName="/xl/charts/chart27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theme/themeOverride27.xml" ContentType="application/vnd.openxmlformats-officedocument.themeOverride+xml"/>
  <Override PartName="/xl/drawings/drawing11.xml" ContentType="application/vnd.openxmlformats-officedocument.drawing+xml"/>
  <Override PartName="/xl/charts/chartEx55.xml" ContentType="application/vnd.ms-office.chartex+xml"/>
  <Override PartName="/xl/charts/style82.xml" ContentType="application/vnd.ms-office.chartstyle+xml"/>
  <Override PartName="/xl/charts/colors82.xml" ContentType="application/vnd.ms-office.chartcolorstyle+xml"/>
  <Override PartName="/xl/charts/chartEx56.xml" ContentType="application/vnd.ms-office.chartex+xml"/>
  <Override PartName="/xl/charts/style83.xml" ContentType="application/vnd.ms-office.chartstyle+xml"/>
  <Override PartName="/xl/charts/colors83.xml" ContentType="application/vnd.ms-office.chartcolorstyle+xml"/>
  <Override PartName="/xl/charts/chartEx57.xml" ContentType="application/vnd.ms-office.chartex+xml"/>
  <Override PartName="/xl/charts/style84.xml" ContentType="application/vnd.ms-office.chartstyle+xml"/>
  <Override PartName="/xl/charts/colors84.xml" ContentType="application/vnd.ms-office.chartcolorstyle+xml"/>
  <Override PartName="/xl/charts/chartEx58.xml" ContentType="application/vnd.ms-office.chartex+xml"/>
  <Override PartName="/xl/charts/style85.xml" ContentType="application/vnd.ms-office.chartstyle+xml"/>
  <Override PartName="/xl/charts/colors85.xml" ContentType="application/vnd.ms-office.chartcolorstyle+xml"/>
  <Override PartName="/xl/charts/chart28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theme/themeOverride28.xml" ContentType="application/vnd.openxmlformats-officedocument.themeOverride+xml"/>
  <Override PartName="/xl/charts/chart29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theme/themeOverride29.xml" ContentType="application/vnd.openxmlformats-officedocument.themeOverride+xml"/>
  <Override PartName="/xl/charts/chartEx59.xml" ContentType="application/vnd.ms-office.chartex+xml"/>
  <Override PartName="/xl/charts/style88.xml" ContentType="application/vnd.ms-office.chartstyle+xml"/>
  <Override PartName="/xl/charts/colors88.xml" ContentType="application/vnd.ms-office.chartcolorstyle+xml"/>
  <Override PartName="/xl/charts/chartEx60.xml" ContentType="application/vnd.ms-office.chartex+xml"/>
  <Override PartName="/xl/charts/style89.xml" ContentType="application/vnd.ms-office.chartstyle+xml"/>
  <Override PartName="/xl/charts/colors89.xml" ContentType="application/vnd.ms-office.chartcolorstyle+xml"/>
  <Override PartName="/xl/charts/chart3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theme/themeOverride30.xml" ContentType="application/vnd.openxmlformats-officedocument.themeOverride+xml"/>
  <Override PartName="/xl/drawings/drawing12.xml" ContentType="application/vnd.openxmlformats-officedocument.drawing+xml"/>
  <Override PartName="/xl/charts/chartEx61.xml" ContentType="application/vnd.ms-office.chartex+xml"/>
  <Override PartName="/xl/charts/style91.xml" ContentType="application/vnd.ms-office.chartstyle+xml"/>
  <Override PartName="/xl/charts/colors91.xml" ContentType="application/vnd.ms-office.chartcolorstyle+xml"/>
  <Override PartName="/xl/charts/chartEx62.xml" ContentType="application/vnd.ms-office.chartex+xml"/>
  <Override PartName="/xl/charts/style92.xml" ContentType="application/vnd.ms-office.chartstyle+xml"/>
  <Override PartName="/xl/charts/colors92.xml" ContentType="application/vnd.ms-office.chartcolorstyle+xml"/>
  <Override PartName="/xl/charts/chartEx63.xml" ContentType="application/vnd.ms-office.chartex+xml"/>
  <Override PartName="/xl/charts/style93.xml" ContentType="application/vnd.ms-office.chartstyle+xml"/>
  <Override PartName="/xl/charts/colors93.xml" ContentType="application/vnd.ms-office.chartcolorstyle+xml"/>
  <Override PartName="/xl/charts/chartEx64.xml" ContentType="application/vnd.ms-office.chartex+xml"/>
  <Override PartName="/xl/charts/style94.xml" ContentType="application/vnd.ms-office.chartstyle+xml"/>
  <Override PartName="/xl/charts/colors94.xml" ContentType="application/vnd.ms-office.chartcolorstyle+xml"/>
  <Override PartName="/xl/charts/chart31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theme/themeOverride31.xml" ContentType="application/vnd.openxmlformats-officedocument.themeOverride+xml"/>
  <Override PartName="/xl/charts/chart32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theme/themeOverride32.xml" ContentType="application/vnd.openxmlformats-officedocument.themeOverride+xml"/>
  <Override PartName="/xl/charts/chartEx65.xml" ContentType="application/vnd.ms-office.chartex+xml"/>
  <Override PartName="/xl/charts/style97.xml" ContentType="application/vnd.ms-office.chartstyle+xml"/>
  <Override PartName="/xl/charts/colors97.xml" ContentType="application/vnd.ms-office.chartcolorstyle+xml"/>
  <Override PartName="/xl/charts/chartEx66.xml" ContentType="application/vnd.ms-office.chartex+xml"/>
  <Override PartName="/xl/charts/style98.xml" ContentType="application/vnd.ms-office.chartstyle+xml"/>
  <Override PartName="/xl/charts/colors98.xml" ContentType="application/vnd.ms-office.chartcolorstyle+xml"/>
  <Override PartName="/xl/charts/chart33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theme/themeOverride33.xml" ContentType="application/vnd.openxmlformats-officedocument.themeOverride+xml"/>
  <Override PartName="/xl/drawings/drawing13.xml" ContentType="application/vnd.openxmlformats-officedocument.drawing+xml"/>
  <Override PartName="/xl/charts/chart34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35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36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37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38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39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40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41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Ex67.xml" ContentType="application/vnd.ms-office.chartex+xml"/>
  <Override PartName="/xl/charts/style108.xml" ContentType="application/vnd.ms-office.chartstyle+xml"/>
  <Override PartName="/xl/charts/colors108.xml" ContentType="application/vnd.ms-office.chartcolorstyle+xml"/>
  <Override PartName="/xl/charts/chartEx68.xml" ContentType="application/vnd.ms-office.chartex+xml"/>
  <Override PartName="/xl/charts/style109.xml" ContentType="application/vnd.ms-office.chartstyle+xml"/>
  <Override PartName="/xl/charts/colors109.xml" ContentType="application/vnd.ms-office.chartcolorstyle+xml"/>
  <Override PartName="/xl/charts/chartEx69.xml" ContentType="application/vnd.ms-office.chartex+xml"/>
  <Override PartName="/xl/charts/style110.xml" ContentType="application/vnd.ms-office.chartstyle+xml"/>
  <Override PartName="/xl/charts/colors110.xml" ContentType="application/vnd.ms-office.chartcolorstyle+xml"/>
  <Override PartName="/xl/charts/chartEx70.xml" ContentType="application/vnd.ms-office.chartex+xml"/>
  <Override PartName="/xl/charts/style111.xml" ContentType="application/vnd.ms-office.chartstyle+xml"/>
  <Override PartName="/xl/charts/colors111.xml" ContentType="application/vnd.ms-office.chartcolorstyle+xml"/>
  <Override PartName="/xl/charts/chartEx71.xml" ContentType="application/vnd.ms-office.chartex+xml"/>
  <Override PartName="/xl/charts/style112.xml" ContentType="application/vnd.ms-office.chartstyle+xml"/>
  <Override PartName="/xl/charts/colors112.xml" ContentType="application/vnd.ms-office.chartcolorstyle+xml"/>
  <Override PartName="/xl/charts/chart42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4.xml" ContentType="application/vnd.openxmlformats-officedocument.drawing+xml"/>
  <Override PartName="/xl/charts/chartEx72.xml" ContentType="application/vnd.ms-office.chartex+xml"/>
  <Override PartName="/xl/charts/style114.xml" ContentType="application/vnd.ms-office.chartstyle+xml"/>
  <Override PartName="/xl/charts/colors114.xml" ContentType="application/vnd.ms-office.chartcolorstyle+xml"/>
  <Override PartName="/xl/charts/chartEx73.xml" ContentType="application/vnd.ms-office.chartex+xml"/>
  <Override PartName="/xl/charts/style115.xml" ContentType="application/vnd.ms-office.chartstyle+xml"/>
  <Override PartName="/xl/charts/colors115.xml" ContentType="application/vnd.ms-office.chartcolorstyle+xml"/>
  <Override PartName="/xl/charts/chartEx74.xml" ContentType="application/vnd.ms-office.chartex+xml"/>
  <Override PartName="/xl/charts/style116.xml" ContentType="application/vnd.ms-office.chartstyle+xml"/>
  <Override PartName="/xl/charts/colors116.xml" ContentType="application/vnd.ms-office.chartcolorstyle+xml"/>
  <Override PartName="/xl/charts/chartEx75.xml" ContentType="application/vnd.ms-office.chartex+xml"/>
  <Override PartName="/xl/charts/style117.xml" ContentType="application/vnd.ms-office.chartstyle+xml"/>
  <Override PartName="/xl/charts/colors117.xml" ContentType="application/vnd.ms-office.chartcolorstyle+xml"/>
  <Override PartName="/xl/charts/chart43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44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Ex76.xml" ContentType="application/vnd.ms-office.chartex+xml"/>
  <Override PartName="/xl/charts/style120.xml" ContentType="application/vnd.ms-office.chartstyle+xml"/>
  <Override PartName="/xl/charts/colors120.xml" ContentType="application/vnd.ms-office.chartcolorstyle+xml"/>
  <Override PartName="/xl/charts/chartEx77.xml" ContentType="application/vnd.ms-office.chartex+xml"/>
  <Override PartName="/xl/charts/style121.xml" ContentType="application/vnd.ms-office.chartstyle+xml"/>
  <Override PartName="/xl/charts/colors121.xml" ContentType="application/vnd.ms-office.chartcolorstyle+xml"/>
  <Override PartName="/xl/charts/chart45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46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47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48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49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50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51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52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53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54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55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56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57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58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59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60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15.xml" ContentType="application/vnd.openxmlformats-officedocument.drawing+xml"/>
  <Override PartName="/xl/charts/chart61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62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63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drawings/drawing16.xml" ContentType="application/vnd.openxmlformats-officedocument.drawing+xml"/>
  <Override PartName="/xl/charts/chart64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65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66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67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68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69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70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71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72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73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74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drawings/drawing17.xml" ContentType="application/vnd.openxmlformats-officedocument.drawing+xml"/>
  <Override PartName="/xl/charts/chart75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theme/themeOverride34.xml" ContentType="application/vnd.openxmlformats-officedocument.themeOverride+xml"/>
  <Override PartName="/xl/drawings/drawing18.xml" ContentType="application/vnd.openxmlformats-officedocument.drawing+xml"/>
  <Override PartName="/xl/charts/chart76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theme/themeOverride35.xml" ContentType="application/vnd.openxmlformats-officedocument.themeOverride+xml"/>
  <Override PartName="/xl/drawings/drawing19.xml" ContentType="application/vnd.openxmlformats-officedocument.drawing+xml"/>
  <Override PartName="/xl/charts/chart77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theme/themeOverride36.xml" ContentType="application/vnd.openxmlformats-officedocument.themeOverride+xml"/>
  <Override PartName="/xl/drawings/drawing20.xml" ContentType="application/vnd.openxmlformats-officedocument.drawing+xml"/>
  <Override PartName="/xl/charts/chart78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theme/themeOverride37.xml" ContentType="application/vnd.openxmlformats-officedocument.themeOverride+xml"/>
  <Override PartName="/xl/drawings/drawing21.xml" ContentType="application/vnd.openxmlformats-officedocument.drawing+xml"/>
  <Override PartName="/xl/charts/chart79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theme/themeOverride38.xml" ContentType="application/vnd.openxmlformats-officedocument.themeOverride+xml"/>
  <Override PartName="/xl/drawings/drawing22.xml" ContentType="application/vnd.openxmlformats-officedocument.drawing+xml"/>
  <Override PartName="/xl/charts/chart80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theme/themeOverride39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ene\Dropbox\POLIMI\Semestre 4\Thesis\"/>
    </mc:Choice>
  </mc:AlternateContent>
  <xr:revisionPtr revIDLastSave="0" documentId="13_ncr:1_{D26265E3-3595-4614-B199-93D0AE770038}" xr6:coauthVersionLast="47" xr6:coauthVersionMax="47" xr10:uidLastSave="{00000000-0000-0000-0000-000000000000}"/>
  <bookViews>
    <workbookView xWindow="-108" yWindow="-108" windowWidth="23256" windowHeight="12456" tabRatio="596" firstSheet="10" activeTab="15" xr2:uid="{572EABBF-3D77-4AEE-9061-4BCC4D405464}"/>
  </bookViews>
  <sheets>
    <sheet name="Sample_size" sheetId="6" r:id="rId1"/>
    <sheet name="77_Seeds" sheetId="9" r:id="rId2"/>
    <sheet name="88_Seeds" sheetId="17" r:id="rId3"/>
    <sheet name="88T_Seeds" sheetId="12" r:id="rId4"/>
    <sheet name="91T_Seeds" sheetId="18" r:id="rId5"/>
    <sheet name="01T_Seeds" sheetId="14" r:id="rId6"/>
    <sheet name="07E_Seeds" sheetId="20" r:id="rId7"/>
    <sheet name="11E_Seeds" sheetId="21" r:id="rId8"/>
    <sheet name="15O_Seeds" sheetId="23" r:id="rId9"/>
    <sheet name="19O_Seeds" sheetId="24" r:id="rId10"/>
    <sheet name="19M_Seeds" sheetId="25" r:id="rId11"/>
    <sheet name="24M_Seeds" sheetId="26" r:id="rId12"/>
    <sheet name="GUE_all" sheetId="27" r:id="rId13"/>
    <sheet name="GUE_Stats" sheetId="42" r:id="rId14"/>
    <sheet name="GUE_PA_HC" sheetId="34" r:id="rId15"/>
    <sheet name="GUE_PA_Change" sheetId="41" r:id="rId16"/>
    <sheet name="Cumulative" sheetId="35" r:id="rId17"/>
    <sheet name="Spectral" sheetId="30" r:id="rId18"/>
    <sheet name="PA-UA Plot" sheetId="28" r:id="rId19"/>
    <sheet name="PA-UA Plot C" sheetId="36" r:id="rId20"/>
    <sheet name="PA-CV Plot" sheetId="31" r:id="rId21"/>
    <sheet name="PA-CV Plot C" sheetId="37" r:id="rId22"/>
    <sheet name="CV-UA Plot C" sheetId="38" r:id="rId23"/>
    <sheet name="CV-UA Plot" sheetId="32" r:id="rId24"/>
  </sheets>
  <definedNames>
    <definedName name="_xlchart.v1.0" hidden="1">'77_Seeds'!$AE$16:$AE$105</definedName>
    <definedName name="_xlchart.v1.1" hidden="1">'77_Seeds'!$AE$16:$AE$115</definedName>
    <definedName name="_xlchart.v1.10" hidden="1">'77_Seeds'!$AE$16:$AE$75</definedName>
    <definedName name="_xlchart.v1.100" hidden="1">'88_Seeds'!$AE$16:$AE$65</definedName>
    <definedName name="_xlchart.v1.101" hidden="1">'88_Seeds'!$AE$16:$AE$75</definedName>
    <definedName name="_xlchart.v1.102" hidden="1">'88_Seeds'!$AE$16:$AE$85</definedName>
    <definedName name="_xlchart.v1.103" hidden="1">'88_Seeds'!$AE$16:$AE$95</definedName>
    <definedName name="_xlchart.v1.104" hidden="1">'88_Seeds'!$AH$10</definedName>
    <definedName name="_xlchart.v1.105" hidden="1">'88_Seeds'!$AH$11</definedName>
    <definedName name="_xlchart.v1.106" hidden="1">'88_Seeds'!$AH$12</definedName>
    <definedName name="_xlchart.v1.107" hidden="1">'88_Seeds'!$AH$13</definedName>
    <definedName name="_xlchart.v1.108" hidden="1">'88_Seeds'!$AH$14</definedName>
    <definedName name="_xlchart.v1.109" hidden="1">'88_Seeds'!$AH$2</definedName>
    <definedName name="_xlchart.v1.11" hidden="1">'77_Seeds'!$AE$16:$AE$85</definedName>
    <definedName name="_xlchart.v1.110" hidden="1">'88_Seeds'!$AH$3</definedName>
    <definedName name="_xlchart.v1.111" hidden="1">'88_Seeds'!$AH$4</definedName>
    <definedName name="_xlchart.v1.112" hidden="1">'88_Seeds'!$AH$5</definedName>
    <definedName name="_xlchart.v1.113" hidden="1">'88_Seeds'!$AH$6</definedName>
    <definedName name="_xlchart.v1.114" hidden="1">'88_Seeds'!$AH$7</definedName>
    <definedName name="_xlchart.v1.115" hidden="1">'88_Seeds'!$AH$8</definedName>
    <definedName name="_xlchart.v1.116" hidden="1">'88_Seeds'!$AH$9</definedName>
    <definedName name="_xlchart.v1.117" hidden="1">'88_Seeds'!$U$394</definedName>
    <definedName name="_xlchart.v1.118" hidden="1">'88_Seeds'!$AD$16:$AD$215</definedName>
    <definedName name="_xlchart.v1.119" hidden="1">'88_Seeds'!$AG$14</definedName>
    <definedName name="_xlchart.v1.12" hidden="1">'77_Seeds'!$AE$16:$AE$95</definedName>
    <definedName name="_xlchart.v1.120" hidden="1">'88_Seeds'!$AD$16:$AD$65</definedName>
    <definedName name="_xlchart.v1.121" hidden="1">'88_Seeds'!$AG$7</definedName>
    <definedName name="_xlchart.v1.122" hidden="1">'88_Seeds'!$AE$16:$AE$215</definedName>
    <definedName name="_xlchart.v1.123" hidden="1">'88_Seeds'!$AE$16:$AE$35</definedName>
    <definedName name="_xlchart.v1.124" hidden="1">'88_Seeds'!$AH$14</definedName>
    <definedName name="_xlchart.v1.125" hidden="1">'88_Seeds'!$AH$4</definedName>
    <definedName name="_xlchart.v1.126" hidden="1">'88_Seeds'!$AE$16:$AE$35</definedName>
    <definedName name="_xlchart.v1.127" hidden="1">'88_Seeds'!$AH$4</definedName>
    <definedName name="_xlchart.v1.128" hidden="1">'88T_Seeds'!$AD$16:$AD$35</definedName>
    <definedName name="_xlchart.v1.129" hidden="1">'88T_Seeds'!$AG$4</definedName>
    <definedName name="_xlchart.v1.13" hidden="1">'77_Seeds'!$AH$10</definedName>
    <definedName name="_xlchart.v1.130" hidden="1">'88T_Seeds'!$AD$16:$AD$115</definedName>
    <definedName name="_xlchart.v1.131" hidden="1">'88T_Seeds'!$AG$12</definedName>
    <definedName name="_xlchart.v1.132" hidden="1">'88T_Seeds'!$AE$16:$AE$35</definedName>
    <definedName name="_xlchart.v1.133" hidden="1">'88T_Seeds'!$AH$4</definedName>
    <definedName name="_xlchart.v1.134" hidden="1">'88T_Seeds'!$AE$16:$AE$105</definedName>
    <definedName name="_xlchart.v1.135" hidden="1">'88T_Seeds'!$AE$16:$AE$115</definedName>
    <definedName name="_xlchart.v1.136" hidden="1">'88T_Seeds'!$AE$16:$AE$20</definedName>
    <definedName name="_xlchart.v1.137" hidden="1">'88T_Seeds'!$AE$16:$AE$25</definedName>
    <definedName name="_xlchart.v1.138" hidden="1">'88T_Seeds'!$AE$16:$AE$35</definedName>
    <definedName name="_xlchart.v1.139" hidden="1">'88T_Seeds'!$AE$16:$AE$45</definedName>
    <definedName name="_xlchart.v1.14" hidden="1">'77_Seeds'!$AH$11</definedName>
    <definedName name="_xlchart.v1.140" hidden="1">'88T_Seeds'!$AE$16:$AE$55</definedName>
    <definedName name="_xlchart.v1.141" hidden="1">'88T_Seeds'!$AE$16:$AE$65</definedName>
    <definedName name="_xlchart.v1.142" hidden="1">'88T_Seeds'!$AE$16:$AE$75</definedName>
    <definedName name="_xlchart.v1.143" hidden="1">'88T_Seeds'!$AE$16:$AE$85</definedName>
    <definedName name="_xlchart.v1.144" hidden="1">'88T_Seeds'!$AE$16:$AE$95</definedName>
    <definedName name="_xlchart.v1.145" hidden="1">'88T_Seeds'!$AH$10</definedName>
    <definedName name="_xlchart.v1.146" hidden="1">'88T_Seeds'!$AH$11</definedName>
    <definedName name="_xlchart.v1.147" hidden="1">'88T_Seeds'!$AH$12</definedName>
    <definedName name="_xlchart.v1.148" hidden="1">'88T_Seeds'!$AH$2</definedName>
    <definedName name="_xlchart.v1.149" hidden="1">'88T_Seeds'!$AH$3</definedName>
    <definedName name="_xlchart.v1.15" hidden="1">'77_Seeds'!$AH$12</definedName>
    <definedName name="_xlchart.v1.150" hidden="1">'88T_Seeds'!$AH$4</definedName>
    <definedName name="_xlchart.v1.151" hidden="1">'88T_Seeds'!$AH$5</definedName>
    <definedName name="_xlchart.v1.152" hidden="1">'88T_Seeds'!$AH$6</definedName>
    <definedName name="_xlchart.v1.153" hidden="1">'88T_Seeds'!$AH$7</definedName>
    <definedName name="_xlchart.v1.154" hidden="1">'88T_Seeds'!$AH$8</definedName>
    <definedName name="_xlchart.v1.155" hidden="1">'88T_Seeds'!$AH$9</definedName>
    <definedName name="_xlchart.v1.156" hidden="1">'88T_Seeds'!$U$394</definedName>
    <definedName name="_xlchart.v1.157" hidden="1">'88T_Seeds'!$AD$16:$AD$105</definedName>
    <definedName name="_xlchart.v1.158" hidden="1">'88T_Seeds'!$AD$16:$AD$115</definedName>
    <definedName name="_xlchart.v1.159" hidden="1">'88T_Seeds'!$AD$16:$AD$20</definedName>
    <definedName name="_xlchart.v1.16" hidden="1">'77_Seeds'!$AH$13</definedName>
    <definedName name="_xlchart.v1.160" hidden="1">'88T_Seeds'!$AD$16:$AD$25</definedName>
    <definedName name="_xlchart.v1.161" hidden="1">'88T_Seeds'!$AD$16:$AD$35</definedName>
    <definedName name="_xlchart.v1.162" hidden="1">'88T_Seeds'!$AD$16:$AD$45</definedName>
    <definedName name="_xlchart.v1.163" hidden="1">'88T_Seeds'!$AD$16:$AD$55</definedName>
    <definedName name="_xlchart.v1.164" hidden="1">'88T_Seeds'!$AD$16:$AD$65</definedName>
    <definedName name="_xlchart.v1.165" hidden="1">'88T_Seeds'!$AD$16:$AD$76</definedName>
    <definedName name="_xlchart.v1.166" hidden="1">'88T_Seeds'!$AD$16:$AD$85</definedName>
    <definedName name="_xlchart.v1.167" hidden="1">'88T_Seeds'!$AD$16:$AD$95</definedName>
    <definedName name="_xlchart.v1.168" hidden="1">'88T_Seeds'!$AG$10</definedName>
    <definedName name="_xlchart.v1.169" hidden="1">'88T_Seeds'!$AG$11</definedName>
    <definedName name="_xlchart.v1.17" hidden="1">'77_Seeds'!$AH$14</definedName>
    <definedName name="_xlchart.v1.170" hidden="1">'88T_Seeds'!$AG$12</definedName>
    <definedName name="_xlchart.v1.171" hidden="1">'88T_Seeds'!$AG$2</definedName>
    <definedName name="_xlchart.v1.172" hidden="1">'88T_Seeds'!$AG$3</definedName>
    <definedName name="_xlchart.v1.173" hidden="1">'88T_Seeds'!$AG$4</definedName>
    <definedName name="_xlchart.v1.174" hidden="1">'88T_Seeds'!$AG$5</definedName>
    <definedName name="_xlchart.v1.175" hidden="1">'88T_Seeds'!$AG$6</definedName>
    <definedName name="_xlchart.v1.176" hidden="1">'88T_Seeds'!$AG$7</definedName>
    <definedName name="_xlchart.v1.177" hidden="1">'88T_Seeds'!$AG$8</definedName>
    <definedName name="_xlchart.v1.178" hidden="1">'88T_Seeds'!$AG$9</definedName>
    <definedName name="_xlchart.v1.179" hidden="1">'88T_Seeds'!$U$394</definedName>
    <definedName name="_xlchart.v1.18" hidden="1">'77_Seeds'!$AH$2</definedName>
    <definedName name="_xlchart.v1.180" hidden="1">'88T_Seeds'!$AE$16:$AE$115</definedName>
    <definedName name="_xlchart.v1.181" hidden="1">'88T_Seeds'!$AH$12</definedName>
    <definedName name="_xlchart.v1.182" hidden="1">'91T_Seeds'!$AD$16:$AD$105</definedName>
    <definedName name="_xlchart.v1.183" hidden="1">'91T_Seeds'!$AD$16:$AD$115</definedName>
    <definedName name="_xlchart.v1.184" hidden="1">'91T_Seeds'!$AD$16:$AD$20</definedName>
    <definedName name="_xlchart.v1.185" hidden="1">'91T_Seeds'!$AD$16:$AD$25</definedName>
    <definedName name="_xlchart.v1.186" hidden="1">'91T_Seeds'!$AD$16:$AD$35</definedName>
    <definedName name="_xlchart.v1.187" hidden="1">'91T_Seeds'!$AD$16:$AD$45</definedName>
    <definedName name="_xlchart.v1.188" hidden="1">'91T_Seeds'!$AD$16:$AD$55</definedName>
    <definedName name="_xlchart.v1.189" hidden="1">'91T_Seeds'!$AD$16:$AD$65</definedName>
    <definedName name="_xlchart.v1.19" hidden="1">'77_Seeds'!$AH$3</definedName>
    <definedName name="_xlchart.v1.190" hidden="1">'91T_Seeds'!$AD$16:$AD$76</definedName>
    <definedName name="_xlchart.v1.191" hidden="1">'91T_Seeds'!$AD$16:$AD$85</definedName>
    <definedName name="_xlchart.v1.192" hidden="1">'91T_Seeds'!$AD$16:$AD$95</definedName>
    <definedName name="_xlchart.v1.193" hidden="1">'91T_Seeds'!$AG$10</definedName>
    <definedName name="_xlchart.v1.194" hidden="1">'91T_Seeds'!$AG$11</definedName>
    <definedName name="_xlchart.v1.195" hidden="1">'91T_Seeds'!$AG$12</definedName>
    <definedName name="_xlchart.v1.196" hidden="1">'91T_Seeds'!$AG$2</definedName>
    <definedName name="_xlchart.v1.197" hidden="1">'91T_Seeds'!$AG$3</definedName>
    <definedName name="_xlchart.v1.198" hidden="1">'91T_Seeds'!$AG$4</definedName>
    <definedName name="_xlchart.v1.199" hidden="1">'91T_Seeds'!$AG$5</definedName>
    <definedName name="_xlchart.v1.2" hidden="1">'77_Seeds'!$AE$16:$AE$165</definedName>
    <definedName name="_xlchart.v1.20" hidden="1">'77_Seeds'!$AH$4</definedName>
    <definedName name="_xlchart.v1.200" hidden="1">'91T_Seeds'!$AG$6</definedName>
    <definedName name="_xlchart.v1.201" hidden="1">'91T_Seeds'!$AG$7</definedName>
    <definedName name="_xlchart.v1.202" hidden="1">'91T_Seeds'!$AG$8</definedName>
    <definedName name="_xlchart.v1.203" hidden="1">'91T_Seeds'!$AG$9</definedName>
    <definedName name="_xlchart.v1.204" hidden="1">'91T_Seeds'!$U$394</definedName>
    <definedName name="_xlchart.v1.205" hidden="1">'91T_Seeds'!$AE$16:$AE$105</definedName>
    <definedName name="_xlchart.v1.206" hidden="1">'91T_Seeds'!$AE$16:$AE$115</definedName>
    <definedName name="_xlchart.v1.207" hidden="1">'91T_Seeds'!$AE$16:$AE$20</definedName>
    <definedName name="_xlchart.v1.208" hidden="1">'91T_Seeds'!$AE$16:$AE$25</definedName>
    <definedName name="_xlchart.v1.209" hidden="1">'91T_Seeds'!$AE$16:$AE$35</definedName>
    <definedName name="_xlchart.v1.21" hidden="1">'77_Seeds'!$AH$5</definedName>
    <definedName name="_xlchart.v1.210" hidden="1">'91T_Seeds'!$AE$16:$AE$45</definedName>
    <definedName name="_xlchart.v1.211" hidden="1">'91T_Seeds'!$AE$16:$AE$55</definedName>
    <definedName name="_xlchart.v1.212" hidden="1">'91T_Seeds'!$AE$16:$AE$65</definedName>
    <definedName name="_xlchart.v1.213" hidden="1">'91T_Seeds'!$AE$16:$AE$75</definedName>
    <definedName name="_xlchart.v1.214" hidden="1">'91T_Seeds'!$AE$16:$AE$85</definedName>
    <definedName name="_xlchart.v1.215" hidden="1">'91T_Seeds'!$AE$16:$AE$95</definedName>
    <definedName name="_xlchart.v1.216" hidden="1">'91T_Seeds'!$AH$10</definedName>
    <definedName name="_xlchart.v1.217" hidden="1">'91T_Seeds'!$AH$11</definedName>
    <definedName name="_xlchart.v1.218" hidden="1">'91T_Seeds'!$AH$12</definedName>
    <definedName name="_xlchart.v1.219" hidden="1">'91T_Seeds'!$AH$2</definedName>
    <definedName name="_xlchart.v1.22" hidden="1">'77_Seeds'!$AH$6</definedName>
    <definedName name="_xlchart.v1.220" hidden="1">'91T_Seeds'!$AH$3</definedName>
    <definedName name="_xlchart.v1.221" hidden="1">'91T_Seeds'!$AH$4</definedName>
    <definedName name="_xlchart.v1.222" hidden="1">'91T_Seeds'!$AH$5</definedName>
    <definedName name="_xlchart.v1.223" hidden="1">'91T_Seeds'!$AH$6</definedName>
    <definedName name="_xlchart.v1.224" hidden="1">'91T_Seeds'!$AH$7</definedName>
    <definedName name="_xlchart.v1.225" hidden="1">'91T_Seeds'!$AH$8</definedName>
    <definedName name="_xlchart.v1.226" hidden="1">'91T_Seeds'!$AH$9</definedName>
    <definedName name="_xlchart.v1.227" hidden="1">'91T_Seeds'!$U$394</definedName>
    <definedName name="_xlchart.v1.228" hidden="1">'91T_Seeds'!$AD$16:$AD$115</definedName>
    <definedName name="_xlchart.v1.229" hidden="1">'91T_Seeds'!$AG$12</definedName>
    <definedName name="_xlchart.v1.23" hidden="1">'77_Seeds'!$AH$7</definedName>
    <definedName name="_xlchart.v1.230" hidden="1">'91T_Seeds'!$AE$16:$AE$115</definedName>
    <definedName name="_xlchart.v1.231" hidden="1">'91T_Seeds'!$AH$12</definedName>
    <definedName name="_xlchart.v1.232" hidden="1">'91T_Seeds'!$AD$16:$AD$35</definedName>
    <definedName name="_xlchart.v1.233" hidden="1">'91T_Seeds'!$AG$4</definedName>
    <definedName name="_xlchart.v1.234" hidden="1">'91T_Seeds'!$AE$16:$AE$35</definedName>
    <definedName name="_xlchart.v1.235" hidden="1">'91T_Seeds'!$AH$4</definedName>
    <definedName name="_xlchart.v1.236" hidden="1">'01T_Seeds'!$AD$16:$AD$115</definedName>
    <definedName name="_xlchart.v1.237" hidden="1">'01T_Seeds'!$AG$12</definedName>
    <definedName name="_xlchart.v1.238" hidden="1">'01T_Seeds'!$AE$16:$AE$115</definedName>
    <definedName name="_xlchart.v1.239" hidden="1">'01T_Seeds'!$AH$12</definedName>
    <definedName name="_xlchart.v1.24" hidden="1">'77_Seeds'!$AH$8</definedName>
    <definedName name="_xlchart.v1.240" hidden="1">'01T_Seeds'!$AE$16:$AE$35</definedName>
    <definedName name="_xlchart.v1.241" hidden="1">'01T_Seeds'!$AH$4</definedName>
    <definedName name="_xlchart.v1.242" hidden="1">'01T_Seeds'!$AD$16:$AD$105</definedName>
    <definedName name="_xlchart.v1.243" hidden="1">'01T_Seeds'!$AD$16:$AD$115</definedName>
    <definedName name="_xlchart.v1.244" hidden="1">'01T_Seeds'!$AD$16:$AD$20</definedName>
    <definedName name="_xlchart.v1.245" hidden="1">'01T_Seeds'!$AD$16:$AD$25</definedName>
    <definedName name="_xlchart.v1.246" hidden="1">'01T_Seeds'!$AD$16:$AD$35</definedName>
    <definedName name="_xlchart.v1.247" hidden="1">'01T_Seeds'!$AD$16:$AD$45</definedName>
    <definedName name="_xlchart.v1.248" hidden="1">'01T_Seeds'!$AD$16:$AD$55</definedName>
    <definedName name="_xlchart.v1.249" hidden="1">'01T_Seeds'!$AD$16:$AD$65</definedName>
    <definedName name="_xlchart.v1.25" hidden="1">'77_Seeds'!$AH$9</definedName>
    <definedName name="_xlchart.v1.250" hidden="1">'01T_Seeds'!$AD$16:$AD$76</definedName>
    <definedName name="_xlchart.v1.251" hidden="1">'01T_Seeds'!$AD$16:$AD$85</definedName>
    <definedName name="_xlchart.v1.252" hidden="1">'01T_Seeds'!$AD$16:$AD$95</definedName>
    <definedName name="_xlchart.v1.253" hidden="1">'01T_Seeds'!$AG$10</definedName>
    <definedName name="_xlchart.v1.254" hidden="1">'01T_Seeds'!$AG$11</definedName>
    <definedName name="_xlchart.v1.255" hidden="1">'01T_Seeds'!$AG$12</definedName>
    <definedName name="_xlchart.v1.256" hidden="1">'01T_Seeds'!$AG$2</definedName>
    <definedName name="_xlchart.v1.257" hidden="1">'01T_Seeds'!$AG$3</definedName>
    <definedName name="_xlchart.v1.258" hidden="1">'01T_Seeds'!$AG$4</definedName>
    <definedName name="_xlchart.v1.259" hidden="1">'01T_Seeds'!$AG$5</definedName>
    <definedName name="_xlchart.v1.26" hidden="1">'77_Seeds'!$U$394</definedName>
    <definedName name="_xlchart.v1.260" hidden="1">'01T_Seeds'!$AG$6</definedName>
    <definedName name="_xlchart.v1.261" hidden="1">'01T_Seeds'!$AG$7</definedName>
    <definedName name="_xlchart.v1.262" hidden="1">'01T_Seeds'!$AG$8</definedName>
    <definedName name="_xlchart.v1.263" hidden="1">'01T_Seeds'!$AG$9</definedName>
    <definedName name="_xlchart.v1.264" hidden="1">'01T_Seeds'!$U$394</definedName>
    <definedName name="_xlchart.v1.265" hidden="1">'01T_Seeds'!$AE$16:$AE$105</definedName>
    <definedName name="_xlchart.v1.266" hidden="1">'01T_Seeds'!$AE$16:$AE$115</definedName>
    <definedName name="_xlchart.v1.267" hidden="1">'01T_Seeds'!$AE$16:$AE$20</definedName>
    <definedName name="_xlchart.v1.268" hidden="1">'01T_Seeds'!$AE$16:$AE$25</definedName>
    <definedName name="_xlchart.v1.269" hidden="1">'01T_Seeds'!$AE$16:$AE$35</definedName>
    <definedName name="_xlchart.v1.27" hidden="1">'77_Seeds'!$AD$16:$AD$215</definedName>
    <definedName name="_xlchart.v1.270" hidden="1">'01T_Seeds'!$AE$16:$AE$45</definedName>
    <definedName name="_xlchart.v1.271" hidden="1">'01T_Seeds'!$AE$16:$AE$55</definedName>
    <definedName name="_xlchart.v1.272" hidden="1">'01T_Seeds'!$AE$16:$AE$65</definedName>
    <definedName name="_xlchart.v1.273" hidden="1">'01T_Seeds'!$AE$16:$AE$75</definedName>
    <definedName name="_xlchart.v1.274" hidden="1">'01T_Seeds'!$AE$16:$AE$85</definedName>
    <definedName name="_xlchart.v1.275" hidden="1">'01T_Seeds'!$AE$16:$AE$95</definedName>
    <definedName name="_xlchart.v1.276" hidden="1">'01T_Seeds'!$AH$10</definedName>
    <definedName name="_xlchart.v1.277" hidden="1">'01T_Seeds'!$AH$11</definedName>
    <definedName name="_xlchart.v1.278" hidden="1">'01T_Seeds'!$AH$12</definedName>
    <definedName name="_xlchart.v1.279" hidden="1">'01T_Seeds'!$AH$2</definedName>
    <definedName name="_xlchart.v1.28" hidden="1">'77_Seeds'!$AG$14</definedName>
    <definedName name="_xlchart.v1.280" hidden="1">'01T_Seeds'!$AH$3</definedName>
    <definedName name="_xlchart.v1.281" hidden="1">'01T_Seeds'!$AH$4</definedName>
    <definedName name="_xlchart.v1.282" hidden="1">'01T_Seeds'!$AH$5</definedName>
    <definedName name="_xlchart.v1.283" hidden="1">'01T_Seeds'!$AH$6</definedName>
    <definedName name="_xlchart.v1.284" hidden="1">'01T_Seeds'!$AH$7</definedName>
    <definedName name="_xlchart.v1.285" hidden="1">'01T_Seeds'!$AH$8</definedName>
    <definedName name="_xlchart.v1.286" hidden="1">'01T_Seeds'!$AH$9</definedName>
    <definedName name="_xlchart.v1.287" hidden="1">'01T_Seeds'!$U$394</definedName>
    <definedName name="_xlchart.v1.288" hidden="1">'01T_Seeds'!$AD$16:$AD$35</definedName>
    <definedName name="_xlchart.v1.289" hidden="1">'01T_Seeds'!$AG$4</definedName>
    <definedName name="_xlchart.v1.29" hidden="1">'77_Seeds'!$AD$16:$AD$105</definedName>
    <definedName name="_xlchart.v1.290" hidden="1">'07E_Seeds'!$AD$16:$AD$35</definedName>
    <definedName name="_xlchart.v1.291" hidden="1">'07E_Seeds'!$AG$4</definedName>
    <definedName name="_xlchart.v1.292" hidden="1">'07E_Seeds'!$AE$16:$AE$115</definedName>
    <definedName name="_xlchart.v1.293" hidden="1">'07E_Seeds'!$AH$12</definedName>
    <definedName name="_xlchart.v1.294" hidden="1">'07E_Seeds'!$AE$16:$AE$35</definedName>
    <definedName name="_xlchart.v1.295" hidden="1">'07E_Seeds'!$AH$4</definedName>
    <definedName name="_xlchart.v1.296" hidden="1">'07E_Seeds'!$AD$16:$AD$115</definedName>
    <definedName name="_xlchart.v1.297" hidden="1">'07E_Seeds'!$AG$12</definedName>
    <definedName name="_xlchart.v1.298" hidden="1">'07E_Seeds'!$AD$16:$AD$105</definedName>
    <definedName name="_xlchart.v1.299" hidden="1">'07E_Seeds'!$AD$16:$AD$115</definedName>
    <definedName name="_xlchart.v1.3" hidden="1">'77_Seeds'!$AE$16:$AE$20</definedName>
    <definedName name="_xlchart.v1.30" hidden="1">'77_Seeds'!$AD$16:$AD$115</definedName>
    <definedName name="_xlchart.v1.300" hidden="1">'07E_Seeds'!$AD$16:$AD$20</definedName>
    <definedName name="_xlchart.v1.301" hidden="1">'07E_Seeds'!$AD$16:$AD$25</definedName>
    <definedName name="_xlchart.v1.302" hidden="1">'07E_Seeds'!$AD$16:$AD$35</definedName>
    <definedName name="_xlchart.v1.303" hidden="1">'07E_Seeds'!$AD$16:$AD$45</definedName>
    <definedName name="_xlchart.v1.304" hidden="1">'07E_Seeds'!$AD$16:$AD$55</definedName>
    <definedName name="_xlchart.v1.305" hidden="1">'07E_Seeds'!$AD$16:$AD$65</definedName>
    <definedName name="_xlchart.v1.306" hidden="1">'07E_Seeds'!$AD$16:$AD$76</definedName>
    <definedName name="_xlchart.v1.307" hidden="1">'07E_Seeds'!$AD$16:$AD$85</definedName>
    <definedName name="_xlchart.v1.308" hidden="1">'07E_Seeds'!$AD$16:$AD$95</definedName>
    <definedName name="_xlchart.v1.309" hidden="1">'07E_Seeds'!$AG$10</definedName>
    <definedName name="_xlchart.v1.31" hidden="1">'77_Seeds'!$AD$16:$AD$165</definedName>
    <definedName name="_xlchart.v1.310" hidden="1">'07E_Seeds'!$AG$11</definedName>
    <definedName name="_xlchart.v1.311" hidden="1">'07E_Seeds'!$AG$12</definedName>
    <definedName name="_xlchart.v1.312" hidden="1">'07E_Seeds'!$AG$2</definedName>
    <definedName name="_xlchart.v1.313" hidden="1">'07E_Seeds'!$AG$3</definedName>
    <definedName name="_xlchart.v1.314" hidden="1">'07E_Seeds'!$AG$4</definedName>
    <definedName name="_xlchart.v1.315" hidden="1">'07E_Seeds'!$AG$5</definedName>
    <definedName name="_xlchart.v1.316" hidden="1">'07E_Seeds'!$AG$6</definedName>
    <definedName name="_xlchart.v1.317" hidden="1">'07E_Seeds'!$AG$7</definedName>
    <definedName name="_xlchart.v1.318" hidden="1">'07E_Seeds'!$AG$8</definedName>
    <definedName name="_xlchart.v1.319" hidden="1">'07E_Seeds'!$AG$9</definedName>
    <definedName name="_xlchart.v1.32" hidden="1">'77_Seeds'!$AD$16:$AD$20</definedName>
    <definedName name="_xlchart.v1.320" hidden="1">'07E_Seeds'!$U$394</definedName>
    <definedName name="_xlchart.v1.321" hidden="1">'07E_Seeds'!$AE$16:$AE$105</definedName>
    <definedName name="_xlchart.v1.322" hidden="1">'07E_Seeds'!$AE$16:$AE$115</definedName>
    <definedName name="_xlchart.v1.323" hidden="1">'07E_Seeds'!$AE$16:$AE$20</definedName>
    <definedName name="_xlchart.v1.324" hidden="1">'07E_Seeds'!$AE$16:$AE$25</definedName>
    <definedName name="_xlchart.v1.325" hidden="1">'07E_Seeds'!$AE$16:$AE$35</definedName>
    <definedName name="_xlchart.v1.326" hidden="1">'07E_Seeds'!$AE$16:$AE$45</definedName>
    <definedName name="_xlchart.v1.327" hidden="1">'07E_Seeds'!$AE$16:$AE$55</definedName>
    <definedName name="_xlchart.v1.328" hidden="1">'07E_Seeds'!$AE$16:$AE$65</definedName>
    <definedName name="_xlchart.v1.329" hidden="1">'07E_Seeds'!$AE$16:$AE$75</definedName>
    <definedName name="_xlchart.v1.33" hidden="1">'77_Seeds'!$AD$16:$AD$215</definedName>
    <definedName name="_xlchart.v1.330" hidden="1">'07E_Seeds'!$AE$16:$AE$85</definedName>
    <definedName name="_xlchart.v1.331" hidden="1">'07E_Seeds'!$AE$16:$AE$95</definedName>
    <definedName name="_xlchart.v1.332" hidden="1">'07E_Seeds'!$AH$10</definedName>
    <definedName name="_xlchart.v1.333" hidden="1">'07E_Seeds'!$AH$11</definedName>
    <definedName name="_xlchart.v1.334" hidden="1">'07E_Seeds'!$AH$12</definedName>
    <definedName name="_xlchart.v1.335" hidden="1">'07E_Seeds'!$AH$2</definedName>
    <definedName name="_xlchart.v1.336" hidden="1">'07E_Seeds'!$AH$3</definedName>
    <definedName name="_xlchart.v1.337" hidden="1">'07E_Seeds'!$AH$4</definedName>
    <definedName name="_xlchart.v1.338" hidden="1">'07E_Seeds'!$AH$5</definedName>
    <definedName name="_xlchart.v1.339" hidden="1">'07E_Seeds'!$AH$6</definedName>
    <definedName name="_xlchart.v1.34" hidden="1">'77_Seeds'!$AD$16:$AD$25</definedName>
    <definedName name="_xlchart.v1.340" hidden="1">'07E_Seeds'!$AH$7</definedName>
    <definedName name="_xlchart.v1.341" hidden="1">'07E_Seeds'!$AH$8</definedName>
    <definedName name="_xlchart.v1.342" hidden="1">'07E_Seeds'!$AH$9</definedName>
    <definedName name="_xlchart.v1.343" hidden="1">'07E_Seeds'!$U$394</definedName>
    <definedName name="_xlchart.v1.344" hidden="1">'11E_Seeds'!$AD$16:$AD$105</definedName>
    <definedName name="_xlchart.v1.345" hidden="1">'11E_Seeds'!$AD$16:$AD$115</definedName>
    <definedName name="_xlchart.v1.346" hidden="1">'11E_Seeds'!$AD$16:$AD$20</definedName>
    <definedName name="_xlchart.v1.347" hidden="1">'11E_Seeds'!$AD$16:$AD$25</definedName>
    <definedName name="_xlchart.v1.348" hidden="1">'11E_Seeds'!$AD$16:$AD$35</definedName>
    <definedName name="_xlchart.v1.349" hidden="1">'11E_Seeds'!$AD$16:$AD$45</definedName>
    <definedName name="_xlchart.v1.35" hidden="1">'77_Seeds'!$AD$16:$AD$35</definedName>
    <definedName name="_xlchart.v1.350" hidden="1">'11E_Seeds'!$AD$16:$AD$55</definedName>
    <definedName name="_xlchart.v1.351" hidden="1">'11E_Seeds'!$AD$16:$AD$65</definedName>
    <definedName name="_xlchart.v1.352" hidden="1">'11E_Seeds'!$AD$16:$AD$76</definedName>
    <definedName name="_xlchart.v1.353" hidden="1">'11E_Seeds'!$AD$16:$AD$85</definedName>
    <definedName name="_xlchart.v1.354" hidden="1">'11E_Seeds'!$AD$16:$AD$95</definedName>
    <definedName name="_xlchart.v1.355" hidden="1">'11E_Seeds'!$AG$10</definedName>
    <definedName name="_xlchart.v1.356" hidden="1">'11E_Seeds'!$AG$11</definedName>
    <definedName name="_xlchart.v1.357" hidden="1">'11E_Seeds'!$AG$12</definedName>
    <definedName name="_xlchart.v1.358" hidden="1">'11E_Seeds'!$AG$2</definedName>
    <definedName name="_xlchart.v1.359" hidden="1">'11E_Seeds'!$AG$3</definedName>
    <definedName name="_xlchart.v1.36" hidden="1">'77_Seeds'!$AD$16:$AD$45</definedName>
    <definedName name="_xlchart.v1.360" hidden="1">'11E_Seeds'!$AG$4</definedName>
    <definedName name="_xlchart.v1.361" hidden="1">'11E_Seeds'!$AG$5</definedName>
    <definedName name="_xlchart.v1.362" hidden="1">'11E_Seeds'!$AG$6</definedName>
    <definedName name="_xlchart.v1.363" hidden="1">'11E_Seeds'!$AG$7</definedName>
    <definedName name="_xlchart.v1.364" hidden="1">'11E_Seeds'!$AG$8</definedName>
    <definedName name="_xlchart.v1.365" hidden="1">'11E_Seeds'!$AG$9</definedName>
    <definedName name="_xlchart.v1.366" hidden="1">'11E_Seeds'!$U$394</definedName>
    <definedName name="_xlchart.v1.367" hidden="1">'11E_Seeds'!$AE$16:$AE$105</definedName>
    <definedName name="_xlchart.v1.368" hidden="1">'11E_Seeds'!$AE$16:$AE$115</definedName>
    <definedName name="_xlchart.v1.369" hidden="1">'11E_Seeds'!$AE$16:$AE$20</definedName>
    <definedName name="_xlchart.v1.37" hidden="1">'77_Seeds'!$AD$16:$AD$55</definedName>
    <definedName name="_xlchart.v1.370" hidden="1">'11E_Seeds'!$AE$16:$AE$25</definedName>
    <definedName name="_xlchart.v1.371" hidden="1">'11E_Seeds'!$AE$16:$AE$35</definedName>
    <definedName name="_xlchart.v1.372" hidden="1">'11E_Seeds'!$AE$16:$AE$45</definedName>
    <definedName name="_xlchart.v1.373" hidden="1">'11E_Seeds'!$AE$16:$AE$55</definedName>
    <definedName name="_xlchart.v1.374" hidden="1">'11E_Seeds'!$AE$16:$AE$65</definedName>
    <definedName name="_xlchart.v1.375" hidden="1">'11E_Seeds'!$AE$16:$AE$75</definedName>
    <definedName name="_xlchart.v1.376" hidden="1">'11E_Seeds'!$AE$16:$AE$85</definedName>
    <definedName name="_xlchart.v1.377" hidden="1">'11E_Seeds'!$AE$16:$AE$95</definedName>
    <definedName name="_xlchart.v1.378" hidden="1">'11E_Seeds'!$AH$10</definedName>
    <definedName name="_xlchart.v1.379" hidden="1">'11E_Seeds'!$AH$11</definedName>
    <definedName name="_xlchart.v1.38" hidden="1">'77_Seeds'!$AD$16:$AD$65</definedName>
    <definedName name="_xlchart.v1.380" hidden="1">'11E_Seeds'!$AH$12</definedName>
    <definedName name="_xlchart.v1.381" hidden="1">'11E_Seeds'!$AH$2</definedName>
    <definedName name="_xlchart.v1.382" hidden="1">'11E_Seeds'!$AH$3</definedName>
    <definedName name="_xlchart.v1.383" hidden="1">'11E_Seeds'!$AH$4</definedName>
    <definedName name="_xlchart.v1.384" hidden="1">'11E_Seeds'!$AH$5</definedName>
    <definedName name="_xlchart.v1.385" hidden="1">'11E_Seeds'!$AH$6</definedName>
    <definedName name="_xlchart.v1.386" hidden="1">'11E_Seeds'!$AH$7</definedName>
    <definedName name="_xlchart.v1.387" hidden="1">'11E_Seeds'!$AH$8</definedName>
    <definedName name="_xlchart.v1.388" hidden="1">'11E_Seeds'!$AH$9</definedName>
    <definedName name="_xlchart.v1.389" hidden="1">'11E_Seeds'!$U$394</definedName>
    <definedName name="_xlchart.v1.39" hidden="1">'77_Seeds'!$AD$16:$AD$76</definedName>
    <definedName name="_xlchart.v1.390" hidden="1">'11E_Seeds'!$AD$16:$AD$115</definedName>
    <definedName name="_xlchart.v1.391" hidden="1">'11E_Seeds'!$AG$12</definedName>
    <definedName name="_xlchart.v1.392" hidden="1">'11E_Seeds'!$AE$16:$AE$115</definedName>
    <definedName name="_xlchart.v1.393" hidden="1">'11E_Seeds'!$AH$12</definedName>
    <definedName name="_xlchart.v1.394" hidden="1">'11E_Seeds'!$AE$16:$AE$35</definedName>
    <definedName name="_xlchart.v1.395" hidden="1">'11E_Seeds'!$AH$4</definedName>
    <definedName name="_xlchart.v1.396" hidden="1">'11E_Seeds'!$AD$16:$AD$35</definedName>
    <definedName name="_xlchart.v1.397" hidden="1">'11E_Seeds'!$AG$4</definedName>
    <definedName name="_xlchart.v1.398" hidden="1">'15O_Seeds'!$AD$16:$AD$115</definedName>
    <definedName name="_xlchart.v1.399" hidden="1">'15O_Seeds'!$AG$12</definedName>
    <definedName name="_xlchart.v1.4" hidden="1">'77_Seeds'!$AE$16:$AE$215</definedName>
    <definedName name="_xlchart.v1.40" hidden="1">'77_Seeds'!$AD$16:$AD$85</definedName>
    <definedName name="_xlchart.v1.400" hidden="1">'15O_Seeds'!$AE$16:$AE$115</definedName>
    <definedName name="_xlchart.v1.401" hidden="1">'15O_Seeds'!$AH$12</definedName>
    <definedName name="_xlchart.v1.402" hidden="1">'15O_Seeds'!$AD$16:$AD$105</definedName>
    <definedName name="_xlchart.v1.403" hidden="1">'15O_Seeds'!$AD$16:$AD$115</definedName>
    <definedName name="_xlchart.v1.404" hidden="1">'15O_Seeds'!$AD$16:$AD$20</definedName>
    <definedName name="_xlchart.v1.405" hidden="1">'15O_Seeds'!$AD$16:$AD$25</definedName>
    <definedName name="_xlchart.v1.406" hidden="1">'15O_Seeds'!$AD$16:$AD$35</definedName>
    <definedName name="_xlchart.v1.407" hidden="1">'15O_Seeds'!$AD$16:$AD$45</definedName>
    <definedName name="_xlchart.v1.408" hidden="1">'15O_Seeds'!$AD$16:$AD$55</definedName>
    <definedName name="_xlchart.v1.409" hidden="1">'15O_Seeds'!$AD$16:$AD$65</definedName>
    <definedName name="_xlchart.v1.41" hidden="1">'77_Seeds'!$AD$16:$AD$95</definedName>
    <definedName name="_xlchart.v1.410" hidden="1">'15O_Seeds'!$AD$16:$AD$76</definedName>
    <definedName name="_xlchart.v1.411" hidden="1">'15O_Seeds'!$AD$16:$AD$85</definedName>
    <definedName name="_xlchart.v1.412" hidden="1">'15O_Seeds'!$AD$16:$AD$95</definedName>
    <definedName name="_xlchart.v1.413" hidden="1">'15O_Seeds'!$AG$10</definedName>
    <definedName name="_xlchart.v1.414" hidden="1">'15O_Seeds'!$AG$11</definedName>
    <definedName name="_xlchart.v1.415" hidden="1">'15O_Seeds'!$AG$12</definedName>
    <definedName name="_xlchart.v1.416" hidden="1">'15O_Seeds'!$AG$2</definedName>
    <definedName name="_xlchart.v1.417" hidden="1">'15O_Seeds'!$AG$3</definedName>
    <definedName name="_xlchart.v1.418" hidden="1">'15O_Seeds'!$AG$4</definedName>
    <definedName name="_xlchart.v1.419" hidden="1">'15O_Seeds'!$AG$5</definedName>
    <definedName name="_xlchart.v1.42" hidden="1">'77_Seeds'!$AG$10</definedName>
    <definedName name="_xlchart.v1.420" hidden="1">'15O_Seeds'!$AG$6</definedName>
    <definedName name="_xlchart.v1.421" hidden="1">'15O_Seeds'!$AG$7</definedName>
    <definedName name="_xlchart.v1.422" hidden="1">'15O_Seeds'!$AG$8</definedName>
    <definedName name="_xlchart.v1.423" hidden="1">'15O_Seeds'!$AG$9</definedName>
    <definedName name="_xlchart.v1.424" hidden="1">'15O_Seeds'!$U$394</definedName>
    <definedName name="_xlchart.v1.425" hidden="1">'15O_Seeds'!$AE$16:$AE$105</definedName>
    <definedName name="_xlchart.v1.426" hidden="1">'15O_Seeds'!$AE$16:$AE$115</definedName>
    <definedName name="_xlchart.v1.427" hidden="1">'15O_Seeds'!$AE$16:$AE$20</definedName>
    <definedName name="_xlchart.v1.428" hidden="1">'15O_Seeds'!$AE$16:$AE$25</definedName>
    <definedName name="_xlchart.v1.429" hidden="1">'15O_Seeds'!$AE$16:$AE$35</definedName>
    <definedName name="_xlchart.v1.43" hidden="1">'77_Seeds'!$AG$11</definedName>
    <definedName name="_xlchart.v1.430" hidden="1">'15O_Seeds'!$AE$16:$AE$45</definedName>
    <definedName name="_xlchart.v1.431" hidden="1">'15O_Seeds'!$AE$16:$AE$55</definedName>
    <definedName name="_xlchart.v1.432" hidden="1">'15O_Seeds'!$AE$16:$AE$65</definedName>
    <definedName name="_xlchart.v1.433" hidden="1">'15O_Seeds'!$AE$16:$AE$75</definedName>
    <definedName name="_xlchart.v1.434" hidden="1">'15O_Seeds'!$AE$16:$AE$85</definedName>
    <definedName name="_xlchart.v1.435" hidden="1">'15O_Seeds'!$AE$16:$AE$95</definedName>
    <definedName name="_xlchart.v1.436" hidden="1">'15O_Seeds'!$AH$10</definedName>
    <definedName name="_xlchart.v1.437" hidden="1">'15O_Seeds'!$AH$11</definedName>
    <definedName name="_xlchart.v1.438" hidden="1">'15O_Seeds'!$AH$12</definedName>
    <definedName name="_xlchart.v1.439" hidden="1">'15O_Seeds'!$AH$2</definedName>
    <definedName name="_xlchart.v1.44" hidden="1">'77_Seeds'!$AG$12</definedName>
    <definedName name="_xlchart.v1.440" hidden="1">'15O_Seeds'!$AH$3</definedName>
    <definedName name="_xlchart.v1.441" hidden="1">'15O_Seeds'!$AH$4</definedName>
    <definedName name="_xlchart.v1.442" hidden="1">'15O_Seeds'!$AH$5</definedName>
    <definedName name="_xlchart.v1.443" hidden="1">'15O_Seeds'!$AH$6</definedName>
    <definedName name="_xlchart.v1.444" hidden="1">'15O_Seeds'!$AH$7</definedName>
    <definedName name="_xlchart.v1.445" hidden="1">'15O_Seeds'!$AH$8</definedName>
    <definedName name="_xlchart.v1.446" hidden="1">'15O_Seeds'!$AH$9</definedName>
    <definedName name="_xlchart.v1.447" hidden="1">'15O_Seeds'!$U$394</definedName>
    <definedName name="_xlchart.v1.448" hidden="1">'15O_Seeds'!$AE$16:$AE$35</definedName>
    <definedName name="_xlchart.v1.449" hidden="1">'15O_Seeds'!$AH$4</definedName>
    <definedName name="_xlchart.v1.45" hidden="1">'77_Seeds'!$AG$13</definedName>
    <definedName name="_xlchart.v1.450" hidden="1">'15O_Seeds'!$AD$16:$AD$35</definedName>
    <definedName name="_xlchart.v1.451" hidden="1">'15O_Seeds'!$AG$4</definedName>
    <definedName name="_xlchart.v1.452" hidden="1">'19O_Seeds'!$AE$16:$AE$105</definedName>
    <definedName name="_xlchart.v1.453" hidden="1">'19O_Seeds'!$AE$16:$AE$115</definedName>
    <definedName name="_xlchart.v1.454" hidden="1">'19O_Seeds'!$AE$16:$AE$20</definedName>
    <definedName name="_xlchart.v1.455" hidden="1">'19O_Seeds'!$AE$16:$AE$25</definedName>
    <definedName name="_xlchart.v1.456" hidden="1">'19O_Seeds'!$AE$16:$AE$35</definedName>
    <definedName name="_xlchart.v1.457" hidden="1">'19O_Seeds'!$AE$16:$AE$45</definedName>
    <definedName name="_xlchart.v1.458" hidden="1">'19O_Seeds'!$AE$16:$AE$55</definedName>
    <definedName name="_xlchart.v1.459" hidden="1">'19O_Seeds'!$AE$16:$AE$65</definedName>
    <definedName name="_xlchart.v1.46" hidden="1">'77_Seeds'!$AG$14</definedName>
    <definedName name="_xlchart.v1.460" hidden="1">'19O_Seeds'!$AE$16:$AE$75</definedName>
    <definedName name="_xlchart.v1.461" hidden="1">'19O_Seeds'!$AE$16:$AE$85</definedName>
    <definedName name="_xlchart.v1.462" hidden="1">'19O_Seeds'!$AE$16:$AE$95</definedName>
    <definedName name="_xlchart.v1.463" hidden="1">'19O_Seeds'!$AH$10</definedName>
    <definedName name="_xlchart.v1.464" hidden="1">'19O_Seeds'!$AH$11</definedName>
    <definedName name="_xlchart.v1.465" hidden="1">'19O_Seeds'!$AH$12</definedName>
    <definedName name="_xlchart.v1.466" hidden="1">'19O_Seeds'!$AH$2</definedName>
    <definedName name="_xlchart.v1.467" hidden="1">'19O_Seeds'!$AH$3</definedName>
    <definedName name="_xlchart.v1.468" hidden="1">'19O_Seeds'!$AH$4</definedName>
    <definedName name="_xlchart.v1.469" hidden="1">'19O_Seeds'!$AH$5</definedName>
    <definedName name="_xlchart.v1.47" hidden="1">'77_Seeds'!$AG$2</definedName>
    <definedName name="_xlchart.v1.470" hidden="1">'19O_Seeds'!$AH$6</definedName>
    <definedName name="_xlchart.v1.471" hidden="1">'19O_Seeds'!$AH$7</definedName>
    <definedName name="_xlchart.v1.472" hidden="1">'19O_Seeds'!$AH$8</definedName>
    <definedName name="_xlchart.v1.473" hidden="1">'19O_Seeds'!$AH$9</definedName>
    <definedName name="_xlchart.v1.474" hidden="1">'19O_Seeds'!$U$394</definedName>
    <definedName name="_xlchart.v1.475" hidden="1">'19O_Seeds'!$AD$16:$AD$115</definedName>
    <definedName name="_xlchart.v1.476" hidden="1">'19O_Seeds'!$AG$12</definedName>
    <definedName name="_xlchart.v1.477" hidden="1">'19O_Seeds'!$AE$16:$AE$115</definedName>
    <definedName name="_xlchart.v1.478" hidden="1">'19O_Seeds'!$AH$12</definedName>
    <definedName name="_xlchart.v1.479" hidden="1">'19O_Seeds'!$AD$16:$AD$105</definedName>
    <definedName name="_xlchart.v1.48" hidden="1">'77_Seeds'!$AG$3</definedName>
    <definedName name="_xlchart.v1.480" hidden="1">'19O_Seeds'!$AD$16:$AD$115</definedName>
    <definedName name="_xlchart.v1.481" hidden="1">'19O_Seeds'!$AD$16:$AD$20</definedName>
    <definedName name="_xlchart.v1.482" hidden="1">'19O_Seeds'!$AD$16:$AD$25</definedName>
    <definedName name="_xlchart.v1.483" hidden="1">'19O_Seeds'!$AD$16:$AD$35</definedName>
    <definedName name="_xlchart.v1.484" hidden="1">'19O_Seeds'!$AD$16:$AD$45</definedName>
    <definedName name="_xlchart.v1.485" hidden="1">'19O_Seeds'!$AD$16:$AD$55</definedName>
    <definedName name="_xlchart.v1.486" hidden="1">'19O_Seeds'!$AD$16:$AD$65</definedName>
    <definedName name="_xlchart.v1.487" hidden="1">'19O_Seeds'!$AD$16:$AD$76</definedName>
    <definedName name="_xlchart.v1.488" hidden="1">'19O_Seeds'!$AD$16:$AD$85</definedName>
    <definedName name="_xlchart.v1.489" hidden="1">'19O_Seeds'!$AD$16:$AD$95</definedName>
    <definedName name="_xlchart.v1.49" hidden="1">'77_Seeds'!$AG$4</definedName>
    <definedName name="_xlchart.v1.490" hidden="1">'19O_Seeds'!$AG$10</definedName>
    <definedName name="_xlchart.v1.491" hidden="1">'19O_Seeds'!$AG$11</definedName>
    <definedName name="_xlchart.v1.492" hidden="1">'19O_Seeds'!$AG$12</definedName>
    <definedName name="_xlchart.v1.493" hidden="1">'19O_Seeds'!$AG$2</definedName>
    <definedName name="_xlchart.v1.494" hidden="1">'19O_Seeds'!$AG$3</definedName>
    <definedName name="_xlchart.v1.495" hidden="1">'19O_Seeds'!$AG$4</definedName>
    <definedName name="_xlchart.v1.496" hidden="1">'19O_Seeds'!$AG$5</definedName>
    <definedName name="_xlchart.v1.497" hidden="1">'19O_Seeds'!$AG$6</definedName>
    <definedName name="_xlchart.v1.498" hidden="1">'19O_Seeds'!$AG$7</definedName>
    <definedName name="_xlchart.v1.499" hidden="1">'19O_Seeds'!$AG$8</definedName>
    <definedName name="_xlchart.v1.5" hidden="1">'77_Seeds'!$AE$16:$AE$25</definedName>
    <definedName name="_xlchart.v1.50" hidden="1">'77_Seeds'!$AG$5</definedName>
    <definedName name="_xlchart.v1.500" hidden="1">'19O_Seeds'!$AG$9</definedName>
    <definedName name="_xlchart.v1.501" hidden="1">'19O_Seeds'!$U$394</definedName>
    <definedName name="_xlchart.v1.502" hidden="1">'19O_Seeds'!$AD$16:$AD$35</definedName>
    <definedName name="_xlchart.v1.503" hidden="1">'19O_Seeds'!$AG$4</definedName>
    <definedName name="_xlchart.v1.504" hidden="1">'19O_Seeds'!$AE$16:$AE$35</definedName>
    <definedName name="_xlchart.v1.505" hidden="1">'19O_Seeds'!$AH$4</definedName>
    <definedName name="_xlchart.v1.506" hidden="1">'19M_Seeds'!$AD$16:$AD$115</definedName>
    <definedName name="_xlchart.v1.507" hidden="1">'19M_Seeds'!$AG$12</definedName>
    <definedName name="_xlchart.v1.508" hidden="1">'19M_Seeds'!$AE$16:$AE$115</definedName>
    <definedName name="_xlchart.v1.509" hidden="1">'19M_Seeds'!$AH$12</definedName>
    <definedName name="_xlchart.v1.51" hidden="1">'77_Seeds'!$AG$6</definedName>
    <definedName name="_xlchart.v1.510" hidden="1">'19M_Seeds'!$AE$16:$AE$35</definedName>
    <definedName name="_xlchart.v1.511" hidden="1">'19M_Seeds'!$AH$4</definedName>
    <definedName name="_xlchart.v1.512" hidden="1">'19M_Seeds'!$AD$16:$AD$35</definedName>
    <definedName name="_xlchart.v1.513" hidden="1">'19M_Seeds'!$AG$4</definedName>
    <definedName name="_xlchart.v1.514" hidden="1">'19M_Seeds'!$AD$16:$AD$105</definedName>
    <definedName name="_xlchart.v1.515" hidden="1">'19M_Seeds'!$AD$16:$AD$115</definedName>
    <definedName name="_xlchart.v1.516" hidden="1">'19M_Seeds'!$AD$16:$AD$20</definedName>
    <definedName name="_xlchart.v1.517" hidden="1">'19M_Seeds'!$AD$16:$AD$25</definedName>
    <definedName name="_xlchart.v1.518" hidden="1">'19M_Seeds'!$AD$16:$AD$35</definedName>
    <definedName name="_xlchart.v1.519" hidden="1">'19M_Seeds'!$AD$16:$AD$45</definedName>
    <definedName name="_xlchart.v1.52" hidden="1">'77_Seeds'!$AG$7</definedName>
    <definedName name="_xlchart.v1.520" hidden="1">'19M_Seeds'!$AD$16:$AD$55</definedName>
    <definedName name="_xlchart.v1.521" hidden="1">'19M_Seeds'!$AD$16:$AD$65</definedName>
    <definedName name="_xlchart.v1.522" hidden="1">'19M_Seeds'!$AD$16:$AD$76</definedName>
    <definedName name="_xlchart.v1.523" hidden="1">'19M_Seeds'!$AD$16:$AD$85</definedName>
    <definedName name="_xlchart.v1.524" hidden="1">'19M_Seeds'!$AD$16:$AD$95</definedName>
    <definedName name="_xlchart.v1.525" hidden="1">'19M_Seeds'!$AG$10</definedName>
    <definedName name="_xlchart.v1.526" hidden="1">'19M_Seeds'!$AG$11</definedName>
    <definedName name="_xlchart.v1.527" hidden="1">'19M_Seeds'!$AG$12</definedName>
    <definedName name="_xlchart.v1.528" hidden="1">'19M_Seeds'!$AG$2</definedName>
    <definedName name="_xlchart.v1.529" hidden="1">'19M_Seeds'!$AG$3</definedName>
    <definedName name="_xlchart.v1.53" hidden="1">'77_Seeds'!$AG$8</definedName>
    <definedName name="_xlchart.v1.530" hidden="1">'19M_Seeds'!$AG$4</definedName>
    <definedName name="_xlchart.v1.531" hidden="1">'19M_Seeds'!$AG$5</definedName>
    <definedName name="_xlchart.v1.532" hidden="1">'19M_Seeds'!$AG$6</definedName>
    <definedName name="_xlchart.v1.533" hidden="1">'19M_Seeds'!$AG$7</definedName>
    <definedName name="_xlchart.v1.534" hidden="1">'19M_Seeds'!$AG$8</definedName>
    <definedName name="_xlchart.v1.535" hidden="1">'19M_Seeds'!$AG$9</definedName>
    <definedName name="_xlchart.v1.536" hidden="1">'19M_Seeds'!$U$394</definedName>
    <definedName name="_xlchart.v1.537" hidden="1">'19M_Seeds'!$AE$16:$AE$105</definedName>
    <definedName name="_xlchart.v1.538" hidden="1">'19M_Seeds'!$AE$16:$AE$115</definedName>
    <definedName name="_xlchart.v1.539" hidden="1">'19M_Seeds'!$AE$16:$AE$20</definedName>
    <definedName name="_xlchart.v1.54" hidden="1">'77_Seeds'!$AG$9</definedName>
    <definedName name="_xlchart.v1.540" hidden="1">'19M_Seeds'!$AE$16:$AE$25</definedName>
    <definedName name="_xlchart.v1.541" hidden="1">'19M_Seeds'!$AE$16:$AE$35</definedName>
    <definedName name="_xlchart.v1.542" hidden="1">'19M_Seeds'!$AE$16:$AE$45</definedName>
    <definedName name="_xlchart.v1.543" hidden="1">'19M_Seeds'!$AE$16:$AE$55</definedName>
    <definedName name="_xlchart.v1.544" hidden="1">'19M_Seeds'!$AE$16:$AE$65</definedName>
    <definedName name="_xlchart.v1.545" hidden="1">'19M_Seeds'!$AE$16:$AE$75</definedName>
    <definedName name="_xlchart.v1.546" hidden="1">'19M_Seeds'!$AE$16:$AE$85</definedName>
    <definedName name="_xlchart.v1.547" hidden="1">'19M_Seeds'!$AE$16:$AE$95</definedName>
    <definedName name="_xlchart.v1.548" hidden="1">'19M_Seeds'!$AH$10</definedName>
    <definedName name="_xlchart.v1.549" hidden="1">'19M_Seeds'!$AH$11</definedName>
    <definedName name="_xlchart.v1.55" hidden="1">'77_Seeds'!$U$394</definedName>
    <definedName name="_xlchart.v1.550" hidden="1">'19M_Seeds'!$AH$12</definedName>
    <definedName name="_xlchart.v1.551" hidden="1">'19M_Seeds'!$AH$2</definedName>
    <definedName name="_xlchart.v1.552" hidden="1">'19M_Seeds'!$AH$3</definedName>
    <definedName name="_xlchart.v1.553" hidden="1">'19M_Seeds'!$AH$4</definedName>
    <definedName name="_xlchart.v1.554" hidden="1">'19M_Seeds'!$AH$5</definedName>
    <definedName name="_xlchart.v1.555" hidden="1">'19M_Seeds'!$AH$6</definedName>
    <definedName name="_xlchart.v1.556" hidden="1">'19M_Seeds'!$AH$7</definedName>
    <definedName name="_xlchart.v1.557" hidden="1">'19M_Seeds'!$AH$8</definedName>
    <definedName name="_xlchart.v1.558" hidden="1">'19M_Seeds'!$AH$9</definedName>
    <definedName name="_xlchart.v1.559" hidden="1">'19M_Seeds'!$U$394</definedName>
    <definedName name="_xlchart.v1.56" hidden="1">'77_Seeds'!$AE$16:$AE$215</definedName>
    <definedName name="_xlchart.v1.560" hidden="1">'24M_Seeds'!$AD$16:$AD$115</definedName>
    <definedName name="_xlchart.v1.561" hidden="1">'24M_Seeds'!$AG$12</definedName>
    <definedName name="_xlchart.v1.562" hidden="1">'24M_Seeds'!$AE$16:$AE$115</definedName>
    <definedName name="_xlchart.v1.563" hidden="1">'24M_Seeds'!$AH$12</definedName>
    <definedName name="_xlchart.v1.564" hidden="1">'24M_Seeds'!$AD$16:$AD$105</definedName>
    <definedName name="_xlchart.v1.565" hidden="1">'24M_Seeds'!$AD$16:$AD$115</definedName>
    <definedName name="_xlchart.v1.566" hidden="1">'24M_Seeds'!$AD$16:$AD$20</definedName>
    <definedName name="_xlchart.v1.567" hidden="1">'24M_Seeds'!$AD$16:$AD$25</definedName>
    <definedName name="_xlchart.v1.568" hidden="1">'24M_Seeds'!$AD$16:$AD$35</definedName>
    <definedName name="_xlchart.v1.569" hidden="1">'24M_Seeds'!$AD$16:$AD$45</definedName>
    <definedName name="_xlchart.v1.57" hidden="1">'77_Seeds'!$AE$16:$AE$35</definedName>
    <definedName name="_xlchart.v1.570" hidden="1">'24M_Seeds'!$AD$16:$AD$55</definedName>
    <definedName name="_xlchart.v1.571" hidden="1">'24M_Seeds'!$AD$16:$AD$65</definedName>
    <definedName name="_xlchart.v1.572" hidden="1">'24M_Seeds'!$AD$16:$AD$76</definedName>
    <definedName name="_xlchart.v1.573" hidden="1">'24M_Seeds'!$AD$16:$AD$85</definedName>
    <definedName name="_xlchart.v1.574" hidden="1">'24M_Seeds'!$AD$16:$AD$95</definedName>
    <definedName name="_xlchart.v1.575" hidden="1">'24M_Seeds'!$AG$10</definedName>
    <definedName name="_xlchart.v1.576" hidden="1">'24M_Seeds'!$AG$11</definedName>
    <definedName name="_xlchart.v1.577" hidden="1">'24M_Seeds'!$AG$12</definedName>
    <definedName name="_xlchart.v1.578" hidden="1">'24M_Seeds'!$AG$2</definedName>
    <definedName name="_xlchart.v1.579" hidden="1">'24M_Seeds'!$AG$3</definedName>
    <definedName name="_xlchart.v1.58" hidden="1">'77_Seeds'!$AH$14</definedName>
    <definedName name="_xlchart.v1.580" hidden="1">'24M_Seeds'!$AG$4</definedName>
    <definedName name="_xlchart.v1.581" hidden="1">'24M_Seeds'!$AG$5</definedName>
    <definedName name="_xlchart.v1.582" hidden="1">'24M_Seeds'!$AG$6</definedName>
    <definedName name="_xlchart.v1.583" hidden="1">'24M_Seeds'!$AG$7</definedName>
    <definedName name="_xlchart.v1.584" hidden="1">'24M_Seeds'!$AG$8</definedName>
    <definedName name="_xlchart.v1.585" hidden="1">'24M_Seeds'!$AG$9</definedName>
    <definedName name="_xlchart.v1.586" hidden="1">'24M_Seeds'!$U$394</definedName>
    <definedName name="_xlchart.v1.587" hidden="1">'24M_Seeds'!$AE$16:$AE$105</definedName>
    <definedName name="_xlchart.v1.588" hidden="1">'24M_Seeds'!$AE$16:$AE$115</definedName>
    <definedName name="_xlchart.v1.589" hidden="1">'24M_Seeds'!$AE$16:$AE$20</definedName>
    <definedName name="_xlchart.v1.59" hidden="1">'77_Seeds'!$AH$4</definedName>
    <definedName name="_xlchart.v1.590" hidden="1">'24M_Seeds'!$AE$16:$AE$25</definedName>
    <definedName name="_xlchart.v1.591" hidden="1">'24M_Seeds'!$AE$16:$AE$35</definedName>
    <definedName name="_xlchart.v1.592" hidden="1">'24M_Seeds'!$AE$16:$AE$45</definedName>
    <definedName name="_xlchart.v1.593" hidden="1">'24M_Seeds'!$AE$16:$AE$55</definedName>
    <definedName name="_xlchart.v1.594" hidden="1">'24M_Seeds'!$AE$16:$AE$65</definedName>
    <definedName name="_xlchart.v1.595" hidden="1">'24M_Seeds'!$AE$16:$AE$75</definedName>
    <definedName name="_xlchart.v1.596" hidden="1">'24M_Seeds'!$AE$16:$AE$85</definedName>
    <definedName name="_xlchart.v1.597" hidden="1">'24M_Seeds'!$AE$16:$AE$95</definedName>
    <definedName name="_xlchart.v1.598" hidden="1">'24M_Seeds'!$AH$10</definedName>
    <definedName name="_xlchart.v1.599" hidden="1">'24M_Seeds'!$AH$11</definedName>
    <definedName name="_xlchart.v1.6" hidden="1">'77_Seeds'!$AE$16:$AE$35</definedName>
    <definedName name="_xlchart.v1.60" hidden="1">'77_Seeds'!$AD$16:$AD$65</definedName>
    <definedName name="_xlchart.v1.600" hidden="1">'24M_Seeds'!$AH$12</definedName>
    <definedName name="_xlchart.v1.601" hidden="1">'24M_Seeds'!$AH$2</definedName>
    <definedName name="_xlchart.v1.602" hidden="1">'24M_Seeds'!$AH$3</definedName>
    <definedName name="_xlchart.v1.603" hidden="1">'24M_Seeds'!$AH$4</definedName>
    <definedName name="_xlchart.v1.604" hidden="1">'24M_Seeds'!$AH$5</definedName>
    <definedName name="_xlchart.v1.605" hidden="1">'24M_Seeds'!$AH$6</definedName>
    <definedName name="_xlchart.v1.606" hidden="1">'24M_Seeds'!$AH$7</definedName>
    <definedName name="_xlchart.v1.607" hidden="1">'24M_Seeds'!$AH$8</definedName>
    <definedName name="_xlchart.v1.608" hidden="1">'24M_Seeds'!$AH$9</definedName>
    <definedName name="_xlchart.v1.609" hidden="1">'24M_Seeds'!$U$394</definedName>
    <definedName name="_xlchart.v1.61" hidden="1">'77_Seeds'!$AG$7</definedName>
    <definedName name="_xlchart.v1.610" hidden="1">'24M_Seeds'!$AE$16:$AE$35</definedName>
    <definedName name="_xlchart.v1.611" hidden="1">'24M_Seeds'!$AH$4</definedName>
    <definedName name="_xlchart.v1.612" hidden="1">'24M_Seeds'!$AD$16:$AD$35</definedName>
    <definedName name="_xlchart.v1.613" hidden="1">'24M_Seeds'!$AG$4</definedName>
    <definedName name="_xlchart.v1.614" hidden="1">'77_Seeds'!$U$394</definedName>
    <definedName name="_xlchart.v1.615" hidden="1">GUE_all!$B$560</definedName>
    <definedName name="_xlchart.v1.616" hidden="1">GUE_all!$B$570</definedName>
    <definedName name="_xlchart.v1.617" hidden="1">GUE_all!$B$581</definedName>
    <definedName name="_xlchart.v1.618" hidden="1">GUE_all!$B$592</definedName>
    <definedName name="_xlchart.v1.619" hidden="1">GUE_all!$B$603</definedName>
    <definedName name="_xlchart.v1.62" hidden="1">'77_Seeds'!$AE$16:$AE$35</definedName>
    <definedName name="_xlchart.v1.620" hidden="1">GUE_all!$F$558:$F$568</definedName>
    <definedName name="_xlchart.v1.621" hidden="1">GUE_all!$F$569:$F$579</definedName>
    <definedName name="_xlchart.v1.622" hidden="1">GUE_all!$F$580:$F$590</definedName>
    <definedName name="_xlchart.v1.623" hidden="1">GUE_all!$F$591:$F$601</definedName>
    <definedName name="_xlchart.v1.624" hidden="1">GUE_all!$F$602:$F$612</definedName>
    <definedName name="_xlchart.v1.625" hidden="1">'77_Seeds'!$U$394</definedName>
    <definedName name="_xlchart.v1.626" hidden="1">GUE_all!$B$560</definedName>
    <definedName name="_xlchart.v1.627" hidden="1">GUE_all!$B$570</definedName>
    <definedName name="_xlchart.v1.628" hidden="1">GUE_all!$B$581</definedName>
    <definedName name="_xlchart.v1.629" hidden="1">GUE_all!$B$592</definedName>
    <definedName name="_xlchart.v1.63" hidden="1">'77_Seeds'!$AH$4</definedName>
    <definedName name="_xlchart.v1.630" hidden="1">GUE_all!$B$603</definedName>
    <definedName name="_xlchart.v1.631" hidden="1">GUE_all!$E$558:$E$568</definedName>
    <definedName name="_xlchart.v1.632" hidden="1">GUE_all!$E$569:$E$579</definedName>
    <definedName name="_xlchart.v1.633" hidden="1">GUE_all!$E$580:$E$590</definedName>
    <definedName name="_xlchart.v1.634" hidden="1">GUE_all!$E$591:$E$601</definedName>
    <definedName name="_xlchart.v1.635" hidden="1">GUE_all!$E$602:$E$612</definedName>
    <definedName name="_xlchart.v1.636" hidden="1">'77_Seeds'!$U$394</definedName>
    <definedName name="_xlchart.v1.637" hidden="1">GUE_all!$B$560</definedName>
    <definedName name="_xlchart.v1.638" hidden="1">GUE_all!$B$570</definedName>
    <definedName name="_xlchart.v1.639" hidden="1">GUE_all!$B$581</definedName>
    <definedName name="_xlchart.v1.64" hidden="1">'88_Seeds'!$AD$16:$AD$105</definedName>
    <definedName name="_xlchart.v1.640" hidden="1">GUE_all!$B$592</definedName>
    <definedName name="_xlchart.v1.641" hidden="1">GUE_all!$B$603</definedName>
    <definedName name="_xlchart.v1.642" hidden="1">GUE_all!$G$558:$G$568</definedName>
    <definedName name="_xlchart.v1.643" hidden="1">GUE_all!$G$569:$G$579</definedName>
    <definedName name="_xlchart.v1.644" hidden="1">GUE_all!$G$580:$G$590</definedName>
    <definedName name="_xlchart.v1.645" hidden="1">GUE_all!$G$591:$G$601</definedName>
    <definedName name="_xlchart.v1.646" hidden="1">GUE_all!$G$602:$G$612</definedName>
    <definedName name="_xlchart.v1.647" hidden="1">'77_Seeds'!$U$394</definedName>
    <definedName name="_xlchart.v1.648" hidden="1">GUE_all!$B$560</definedName>
    <definedName name="_xlchart.v1.649" hidden="1">GUE_all!$B$570</definedName>
    <definedName name="_xlchart.v1.65" hidden="1">'88_Seeds'!$AD$16:$AD$115</definedName>
    <definedName name="_xlchart.v1.650" hidden="1">GUE_all!$B$581</definedName>
    <definedName name="_xlchart.v1.651" hidden="1">GUE_all!$B$592</definedName>
    <definedName name="_xlchart.v1.652" hidden="1">GUE_all!$B$603</definedName>
    <definedName name="_xlchart.v1.653" hidden="1">GUE_all!$D$558:$D$568</definedName>
    <definedName name="_xlchart.v1.654" hidden="1">GUE_all!$D$569:$D$579</definedName>
    <definedName name="_xlchart.v1.655" hidden="1">GUE_all!$D$580:$D$590</definedName>
    <definedName name="_xlchart.v1.656" hidden="1">GUE_all!$D$591:$D$601</definedName>
    <definedName name="_xlchart.v1.657" hidden="1">GUE_all!$D$602:$D$612</definedName>
    <definedName name="_xlchart.v1.658" hidden="1">'77_Seeds'!$U$394</definedName>
    <definedName name="_xlchart.v1.659" hidden="1">GUE_all!$B$560</definedName>
    <definedName name="_xlchart.v1.66" hidden="1">'88_Seeds'!$AD$16:$AD$165</definedName>
    <definedName name="_xlchart.v1.660" hidden="1">GUE_all!$B$570</definedName>
    <definedName name="_xlchart.v1.661" hidden="1">GUE_all!$B$581</definedName>
    <definedName name="_xlchart.v1.662" hidden="1">GUE_all!$B$592</definedName>
    <definedName name="_xlchart.v1.663" hidden="1">GUE_all!$B$603</definedName>
    <definedName name="_xlchart.v1.664" hidden="1">GUE_all!$H$558:$H$568</definedName>
    <definedName name="_xlchart.v1.665" hidden="1">GUE_all!$H$569:$H$579</definedName>
    <definedName name="_xlchart.v1.666" hidden="1">GUE_all!$H$580:$H$590</definedName>
    <definedName name="_xlchart.v1.667" hidden="1">GUE_all!$H$591:$H$601</definedName>
    <definedName name="_xlchart.v1.668" hidden="1">GUE_all!$H$602:$H$612</definedName>
    <definedName name="_xlchart.v1.669" hidden="1">GUE_PA_HC!$AD$279</definedName>
    <definedName name="_xlchart.v1.67" hidden="1">'88_Seeds'!$AD$16:$AD$20</definedName>
    <definedName name="_xlchart.v1.670" hidden="1">GUE_PA_HC!$AD$280:$AD$290</definedName>
    <definedName name="_xlchart.v1.671" hidden="1">GUE_PA_HC!$AE$279</definedName>
    <definedName name="_xlchart.v1.672" hidden="1">GUE_PA_HC!$AE$280:$AE$290</definedName>
    <definedName name="_xlchart.v1.673" hidden="1">GUE_PA_HC!$AF$279</definedName>
    <definedName name="_xlchart.v1.674" hidden="1">GUE_PA_HC!$AF$280:$AF$290</definedName>
    <definedName name="_xlchart.v1.675" hidden="1">GUE_PA_HC!$AG$279</definedName>
    <definedName name="_xlchart.v1.676" hidden="1">GUE_PA_HC!$AG$280:$AG$290</definedName>
    <definedName name="_xlchart.v1.677" hidden="1">GUE_PA_HC!$AH$279</definedName>
    <definedName name="_xlchart.v1.678" hidden="1">GUE_PA_HC!$AH$280:$AH$290</definedName>
    <definedName name="_xlchart.v1.679" hidden="1">GUE_PA_HC!$D$292</definedName>
    <definedName name="_xlchart.v1.68" hidden="1">'88_Seeds'!$AD$16:$AD$215</definedName>
    <definedName name="_xlchart.v1.680" hidden="1">GUE_PA_HC!$D$293:$D$303</definedName>
    <definedName name="_xlchart.v1.681" hidden="1">GUE_PA_HC!$E$292</definedName>
    <definedName name="_xlchart.v1.682" hidden="1">GUE_PA_HC!$E$293:$E$303</definedName>
    <definedName name="_xlchart.v1.683" hidden="1">GUE_PA_HC!$F$292</definedName>
    <definedName name="_xlchart.v1.684" hidden="1">GUE_PA_HC!$F$293:$F$303</definedName>
    <definedName name="_xlchart.v1.685" hidden="1">GUE_PA_HC!$G$292</definedName>
    <definedName name="_xlchart.v1.686" hidden="1">GUE_PA_HC!$G$293:$G$303</definedName>
    <definedName name="_xlchart.v1.687" hidden="1">GUE_PA_HC!$H$292</definedName>
    <definedName name="_xlchart.v1.688" hidden="1">GUE_PA_HC!$H$293:$H$303</definedName>
    <definedName name="_xlchart.v1.689" hidden="1">GUE_PA_HC!$Q$279</definedName>
    <definedName name="_xlchart.v1.69" hidden="1">'88_Seeds'!$AD$16:$AD$25</definedName>
    <definedName name="_xlchart.v1.690" hidden="1">GUE_PA_HC!$Q$280:$Q$290</definedName>
    <definedName name="_xlchart.v1.691" hidden="1">GUE_PA_HC!$R$279</definedName>
    <definedName name="_xlchart.v1.692" hidden="1">GUE_PA_HC!$R$280:$R$290</definedName>
    <definedName name="_xlchart.v1.693" hidden="1">GUE_PA_HC!$S$279</definedName>
    <definedName name="_xlchart.v1.694" hidden="1">GUE_PA_HC!$S$280:$S$290</definedName>
    <definedName name="_xlchart.v1.695" hidden="1">GUE_PA_HC!$T$279</definedName>
    <definedName name="_xlchart.v1.696" hidden="1">GUE_PA_HC!$T$280:$T$290</definedName>
    <definedName name="_xlchart.v1.697" hidden="1">GUE_PA_HC!$U$279</definedName>
    <definedName name="_xlchart.v1.698" hidden="1">GUE_PA_HC!$U$280:$U$290</definedName>
    <definedName name="_xlchart.v1.699" hidden="1">GUE_PA_HC!$D$279</definedName>
    <definedName name="_xlchart.v1.7" hidden="1">'77_Seeds'!$AE$16:$AE$45</definedName>
    <definedName name="_xlchart.v1.70" hidden="1">'88_Seeds'!$AD$16:$AD$35</definedName>
    <definedName name="_xlchart.v1.700" hidden="1">GUE_PA_HC!$D$280:$D$290</definedName>
    <definedName name="_xlchart.v1.701" hidden="1">GUE_PA_HC!$E$279</definedName>
    <definedName name="_xlchart.v1.702" hidden="1">GUE_PA_HC!$E$280:$E$290</definedName>
    <definedName name="_xlchart.v1.703" hidden="1">GUE_PA_HC!$F$279</definedName>
    <definedName name="_xlchart.v1.704" hidden="1">GUE_PA_HC!$F$280:$F$290</definedName>
    <definedName name="_xlchart.v1.705" hidden="1">GUE_PA_HC!$G$279</definedName>
    <definedName name="_xlchart.v1.706" hidden="1">GUE_PA_HC!$G$280:$G$290</definedName>
    <definedName name="_xlchart.v1.707" hidden="1">GUE_PA_HC!$H$279</definedName>
    <definedName name="_xlchart.v1.708" hidden="1">GUE_PA_HC!$H$280:$H$290</definedName>
    <definedName name="_xlchart.v1.709" hidden="1">GUE_PA_HC!$AD$292</definedName>
    <definedName name="_xlchart.v1.71" hidden="1">'88_Seeds'!$AD$16:$AD$45</definedName>
    <definedName name="_xlchart.v1.710" hidden="1">GUE_PA_HC!$AD$293:$AD$303</definedName>
    <definedName name="_xlchart.v1.711" hidden="1">GUE_PA_HC!$AE$292</definedName>
    <definedName name="_xlchart.v1.712" hidden="1">GUE_PA_HC!$AE$293:$AE$303</definedName>
    <definedName name="_xlchart.v1.713" hidden="1">GUE_PA_HC!$AF$292</definedName>
    <definedName name="_xlchart.v1.714" hidden="1">GUE_PA_HC!$AF$293:$AF$303</definedName>
    <definedName name="_xlchart.v1.715" hidden="1">GUE_PA_HC!$AG$292</definedName>
    <definedName name="_xlchart.v1.716" hidden="1">GUE_PA_HC!$AG$293:$AG$303</definedName>
    <definedName name="_xlchart.v1.717" hidden="1">GUE_PA_HC!$AH$292</definedName>
    <definedName name="_xlchart.v1.718" hidden="1">GUE_PA_HC!$AH$293:$AH$303</definedName>
    <definedName name="_xlchart.v1.719" hidden="1">GUE_PA_HC!$Q$292</definedName>
    <definedName name="_xlchart.v1.72" hidden="1">'88_Seeds'!$AD$16:$AD$55</definedName>
    <definedName name="_xlchart.v1.720" hidden="1">GUE_PA_HC!$Q$293:$Q$303</definedName>
    <definedName name="_xlchart.v1.721" hidden="1">GUE_PA_HC!$R$292</definedName>
    <definedName name="_xlchart.v1.722" hidden="1">GUE_PA_HC!$R$293:$R$303</definedName>
    <definedName name="_xlchart.v1.723" hidden="1">GUE_PA_HC!$S$292</definedName>
    <definedName name="_xlchart.v1.724" hidden="1">GUE_PA_HC!$S$293:$S$303</definedName>
    <definedName name="_xlchart.v1.725" hidden="1">GUE_PA_HC!$T$292</definedName>
    <definedName name="_xlchart.v1.726" hidden="1">GUE_PA_HC!$T$293:$T$303</definedName>
    <definedName name="_xlchart.v1.727" hidden="1">GUE_PA_HC!$U$292</definedName>
    <definedName name="_xlchart.v1.728" hidden="1">GUE_PA_HC!$U$293:$U$303</definedName>
    <definedName name="_xlchart.v1.73" hidden="1">'88_Seeds'!$AD$16:$AD$65</definedName>
    <definedName name="_xlchart.v1.74" hidden="1">'88_Seeds'!$AD$16:$AD$76</definedName>
    <definedName name="_xlchart.v1.75" hidden="1">'88_Seeds'!$AD$16:$AD$85</definedName>
    <definedName name="_xlchart.v1.76" hidden="1">'88_Seeds'!$AD$16:$AD$95</definedName>
    <definedName name="_xlchart.v1.77" hidden="1">'88_Seeds'!$AG$10</definedName>
    <definedName name="_xlchart.v1.78" hidden="1">'88_Seeds'!$AG$11</definedName>
    <definedName name="_xlchart.v1.79" hidden="1">'88_Seeds'!$AG$12</definedName>
    <definedName name="_xlchart.v1.8" hidden="1">'77_Seeds'!$AE$16:$AE$55</definedName>
    <definedName name="_xlchart.v1.80" hidden="1">'88_Seeds'!$AG$13</definedName>
    <definedName name="_xlchart.v1.81" hidden="1">'88_Seeds'!$AG$14</definedName>
    <definedName name="_xlchart.v1.82" hidden="1">'88_Seeds'!$AG$2</definedName>
    <definedName name="_xlchart.v1.83" hidden="1">'88_Seeds'!$AG$3</definedName>
    <definedName name="_xlchart.v1.84" hidden="1">'88_Seeds'!$AG$4</definedName>
    <definedName name="_xlchart.v1.85" hidden="1">'88_Seeds'!$AG$5</definedName>
    <definedName name="_xlchart.v1.86" hidden="1">'88_Seeds'!$AG$6</definedName>
    <definedName name="_xlchart.v1.87" hidden="1">'88_Seeds'!$AG$7</definedName>
    <definedName name="_xlchart.v1.88" hidden="1">'88_Seeds'!$AG$8</definedName>
    <definedName name="_xlchart.v1.89" hidden="1">'88_Seeds'!$AG$9</definedName>
    <definedName name="_xlchart.v1.9" hidden="1">'77_Seeds'!$AE$16:$AE$65</definedName>
    <definedName name="_xlchart.v1.90" hidden="1">'88_Seeds'!$U$394</definedName>
    <definedName name="_xlchart.v1.91" hidden="1">'88_Seeds'!$AE$16:$AE$105</definedName>
    <definedName name="_xlchart.v1.92" hidden="1">'88_Seeds'!$AE$16:$AE$115</definedName>
    <definedName name="_xlchart.v1.93" hidden="1">'88_Seeds'!$AE$16:$AE$165</definedName>
    <definedName name="_xlchart.v1.94" hidden="1">'88_Seeds'!$AE$16:$AE$20</definedName>
    <definedName name="_xlchart.v1.95" hidden="1">'88_Seeds'!$AE$16:$AE$215</definedName>
    <definedName name="_xlchart.v1.96" hidden="1">'88_Seeds'!$AE$16:$AE$25</definedName>
    <definedName name="_xlchart.v1.97" hidden="1">'88_Seeds'!$AE$16:$AE$35</definedName>
    <definedName name="_xlchart.v1.98" hidden="1">'88_Seeds'!$AE$16:$AE$45</definedName>
    <definedName name="_xlchart.v1.99" hidden="1">'88_Seeds'!$AE$16:$AE$55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9" i="41" l="1"/>
  <c r="E97" i="41"/>
  <c r="F307" i="34"/>
  <c r="F313" i="34"/>
  <c r="E306" i="34"/>
  <c r="L93" i="41" l="1"/>
  <c r="I93" i="41"/>
  <c r="E93" i="41"/>
  <c r="C3" i="9" l="1"/>
  <c r="D8" i="9"/>
  <c r="F9" i="9"/>
  <c r="R14" i="30"/>
  <c r="F10" i="6" l="1"/>
  <c r="AP100" i="26"/>
  <c r="AO100" i="26"/>
  <c r="AN100" i="26"/>
  <c r="AM100" i="26"/>
  <c r="AL100" i="26"/>
  <c r="AP100" i="25"/>
  <c r="AO100" i="25"/>
  <c r="AN100" i="25"/>
  <c r="AM100" i="25"/>
  <c r="AL100" i="25"/>
  <c r="AP100" i="24"/>
  <c r="AO100" i="24"/>
  <c r="AN100" i="24"/>
  <c r="AM100" i="24"/>
  <c r="AL100" i="24"/>
  <c r="AP100" i="23"/>
  <c r="AO100" i="23"/>
  <c r="AN100" i="23"/>
  <c r="AM100" i="23"/>
  <c r="AL100" i="23"/>
  <c r="AP100" i="21"/>
  <c r="AO100" i="21"/>
  <c r="AN100" i="21"/>
  <c r="AM100" i="21"/>
  <c r="AL100" i="21"/>
  <c r="AP100" i="20"/>
  <c r="AO100" i="20"/>
  <c r="AN100" i="20"/>
  <c r="AM100" i="20"/>
  <c r="AL100" i="20"/>
  <c r="AP100" i="14"/>
  <c r="AO100" i="14"/>
  <c r="AN100" i="14"/>
  <c r="AM100" i="14"/>
  <c r="AL100" i="14"/>
  <c r="AP100" i="18"/>
  <c r="AO100" i="18"/>
  <c r="AN100" i="18"/>
  <c r="AM100" i="18"/>
  <c r="AL100" i="18"/>
  <c r="AP100" i="12"/>
  <c r="AO100" i="12"/>
  <c r="AN100" i="12"/>
  <c r="AM100" i="12"/>
  <c r="AL100" i="12"/>
  <c r="AP100" i="17"/>
  <c r="AO100" i="17"/>
  <c r="AN100" i="17"/>
  <c r="AM100" i="17"/>
  <c r="AL100" i="17"/>
  <c r="AP100" i="9"/>
  <c r="AO100" i="9"/>
  <c r="AN100" i="9"/>
  <c r="AM100" i="9"/>
  <c r="AL100" i="9"/>
  <c r="AL105" i="9"/>
  <c r="AS96" i="9" l="1"/>
  <c r="AS95" i="9"/>
  <c r="AS94" i="9"/>
  <c r="AS100" i="9"/>
  <c r="AL94" i="9"/>
  <c r="L126" i="41" l="1"/>
  <c r="I126" i="41"/>
  <c r="E126" i="41"/>
  <c r="L123" i="41"/>
  <c r="I123" i="41"/>
  <c r="E123" i="41"/>
  <c r="L117" i="41"/>
  <c r="I117" i="41"/>
  <c r="E117" i="41"/>
  <c r="L111" i="41"/>
  <c r="I111" i="41"/>
  <c r="E111" i="41"/>
  <c r="L108" i="41"/>
  <c r="I108" i="41"/>
  <c r="E108" i="41"/>
  <c r="L114" i="41"/>
  <c r="I114" i="41"/>
  <c r="E114" i="41"/>
  <c r="L120" i="41"/>
  <c r="I120" i="41"/>
  <c r="P120" i="41" s="1"/>
  <c r="L119" i="41" s="1"/>
  <c r="E120" i="41"/>
  <c r="P126" i="41" l="1"/>
  <c r="L125" i="41" s="1"/>
  <c r="P123" i="41"/>
  <c r="E122" i="41" s="1"/>
  <c r="P117" i="41"/>
  <c r="L116" i="41" s="1"/>
  <c r="P111" i="41"/>
  <c r="E110" i="41" s="1"/>
  <c r="P108" i="41"/>
  <c r="E107" i="41" s="1"/>
  <c r="I107" i="41"/>
  <c r="L107" i="41"/>
  <c r="E119" i="41"/>
  <c r="I119" i="41"/>
  <c r="P114" i="41"/>
  <c r="I125" i="41" l="1"/>
  <c r="E125" i="41"/>
  <c r="L122" i="41"/>
  <c r="I122" i="41"/>
  <c r="E116" i="41"/>
  <c r="I116" i="41"/>
  <c r="L110" i="41"/>
  <c r="I110" i="41"/>
  <c r="I113" i="41"/>
  <c r="E113" i="41"/>
  <c r="L113" i="41"/>
  <c r="AM101" i="9" l="1"/>
  <c r="AM99" i="9"/>
  <c r="AM109" i="9" s="1"/>
  <c r="AM117" i="9" s="1"/>
  <c r="AN99" i="9"/>
  <c r="AN109" i="9"/>
  <c r="L440" i="34" l="1"/>
  <c r="D316" i="34"/>
  <c r="H316" i="34"/>
  <c r="S100" i="41" l="1"/>
  <c r="S98" i="41"/>
  <c r="S97" i="41"/>
  <c r="K100" i="41"/>
  <c r="K98" i="41"/>
  <c r="K97" i="41"/>
  <c r="C100" i="41"/>
  <c r="C98" i="41"/>
  <c r="C97" i="41"/>
  <c r="P93" i="41"/>
  <c r="X52" i="41"/>
  <c r="P52" i="41"/>
  <c r="H52" i="41"/>
  <c r="X8" i="41"/>
  <c r="P8" i="41"/>
  <c r="H8" i="41"/>
  <c r="I92" i="41" l="1"/>
  <c r="L92" i="41"/>
  <c r="E92" i="41"/>
  <c r="AE220" i="42"/>
  <c r="AE221" i="42"/>
  <c r="AF221" i="42"/>
  <c r="AE222" i="42"/>
  <c r="AF222" i="42"/>
  <c r="AG222" i="42"/>
  <c r="AE223" i="42"/>
  <c r="AF223" i="42"/>
  <c r="AG223" i="42"/>
  <c r="AH223" i="42"/>
  <c r="AE224" i="42"/>
  <c r="AF224" i="42"/>
  <c r="AG224" i="42"/>
  <c r="AH224" i="42"/>
  <c r="AI224" i="42"/>
  <c r="AE225" i="42"/>
  <c r="AF225" i="42"/>
  <c r="AG225" i="42"/>
  <c r="AH225" i="42"/>
  <c r="AI225" i="42"/>
  <c r="AJ225" i="42"/>
  <c r="AE226" i="42"/>
  <c r="AF226" i="42"/>
  <c r="AG226" i="42"/>
  <c r="AH226" i="42"/>
  <c r="AI226" i="42"/>
  <c r="AJ226" i="42"/>
  <c r="AK226" i="42"/>
  <c r="AE227" i="42"/>
  <c r="AF227" i="42"/>
  <c r="AG227" i="42"/>
  <c r="AH227" i="42"/>
  <c r="AI227" i="42"/>
  <c r="AJ227" i="42"/>
  <c r="AK227" i="42"/>
  <c r="AL227" i="42"/>
  <c r="AE228" i="42"/>
  <c r="AF228" i="42"/>
  <c r="AG228" i="42"/>
  <c r="AH228" i="42"/>
  <c r="AI228" i="42"/>
  <c r="AJ228" i="42"/>
  <c r="AK228" i="42"/>
  <c r="AL228" i="42"/>
  <c r="AM228" i="42"/>
  <c r="AM180" i="42"/>
  <c r="AL180" i="42"/>
  <c r="AK180" i="42"/>
  <c r="AJ180" i="42"/>
  <c r="AI180" i="42"/>
  <c r="AH180" i="42"/>
  <c r="AG180" i="42"/>
  <c r="AF180" i="42"/>
  <c r="AE180" i="42"/>
  <c r="AL179" i="42"/>
  <c r="AK179" i="42"/>
  <c r="AJ179" i="42"/>
  <c r="AI179" i="42"/>
  <c r="AH179" i="42"/>
  <c r="AG179" i="42"/>
  <c r="AF179" i="42"/>
  <c r="AE179" i="42"/>
  <c r="AK178" i="42"/>
  <c r="AJ178" i="42"/>
  <c r="AI178" i="42"/>
  <c r="AH178" i="42"/>
  <c r="AG178" i="42"/>
  <c r="AF178" i="42"/>
  <c r="AE178" i="42"/>
  <c r="AJ177" i="42"/>
  <c r="AI177" i="42"/>
  <c r="AH177" i="42"/>
  <c r="AG177" i="42"/>
  <c r="AF177" i="42"/>
  <c r="AE177" i="42"/>
  <c r="AI176" i="42"/>
  <c r="AH176" i="42"/>
  <c r="AG176" i="42"/>
  <c r="AF176" i="42"/>
  <c r="AE176" i="42"/>
  <c r="AH175" i="42"/>
  <c r="AG175" i="42"/>
  <c r="AF175" i="42"/>
  <c r="AE175" i="42"/>
  <c r="AG174" i="42"/>
  <c r="AF174" i="42"/>
  <c r="AE174" i="42"/>
  <c r="AF173" i="42"/>
  <c r="AE173" i="42"/>
  <c r="AE172" i="42"/>
  <c r="AM244" i="42"/>
  <c r="AL244" i="42"/>
  <c r="AK244" i="42"/>
  <c r="AJ244" i="42"/>
  <c r="AI244" i="42"/>
  <c r="AH244" i="42"/>
  <c r="AG244" i="42"/>
  <c r="AF244" i="42"/>
  <c r="AE244" i="42"/>
  <c r="AL243" i="42"/>
  <c r="AK243" i="42"/>
  <c r="AJ243" i="42"/>
  <c r="AI243" i="42"/>
  <c r="AH243" i="42"/>
  <c r="AG243" i="42"/>
  <c r="AF243" i="42"/>
  <c r="AE243" i="42"/>
  <c r="AK242" i="42"/>
  <c r="AJ242" i="42"/>
  <c r="AI242" i="42"/>
  <c r="AH242" i="42"/>
  <c r="AG242" i="42"/>
  <c r="AF242" i="42"/>
  <c r="AE242" i="42"/>
  <c r="AJ241" i="42"/>
  <c r="AI241" i="42"/>
  <c r="AH241" i="42"/>
  <c r="AG241" i="42"/>
  <c r="AF241" i="42"/>
  <c r="AE241" i="42"/>
  <c r="AI240" i="42"/>
  <c r="AH240" i="42"/>
  <c r="AG240" i="42"/>
  <c r="AF240" i="42"/>
  <c r="AE240" i="42"/>
  <c r="AH239" i="42"/>
  <c r="AG239" i="42"/>
  <c r="AF239" i="42"/>
  <c r="AE239" i="42"/>
  <c r="AG238" i="42"/>
  <c r="AF238" i="42"/>
  <c r="AE238" i="42"/>
  <c r="AF237" i="42"/>
  <c r="AE237" i="42"/>
  <c r="AE236" i="42"/>
  <c r="AM212" i="42" l="1"/>
  <c r="AL212" i="42"/>
  <c r="AK212" i="42"/>
  <c r="AJ212" i="42"/>
  <c r="AI212" i="42"/>
  <c r="AH212" i="42"/>
  <c r="AG212" i="42"/>
  <c r="AF212" i="42"/>
  <c r="AE212" i="42"/>
  <c r="AL211" i="42"/>
  <c r="AK211" i="42"/>
  <c r="AJ211" i="42"/>
  <c r="AI211" i="42"/>
  <c r="AH211" i="42"/>
  <c r="AG211" i="42"/>
  <c r="AF211" i="42"/>
  <c r="AE211" i="42"/>
  <c r="AK210" i="42"/>
  <c r="AJ210" i="42"/>
  <c r="AI210" i="42"/>
  <c r="AH210" i="42"/>
  <c r="AG210" i="42"/>
  <c r="AF210" i="42"/>
  <c r="AE210" i="42"/>
  <c r="AJ209" i="42"/>
  <c r="AI209" i="42"/>
  <c r="AH209" i="42"/>
  <c r="AG209" i="42"/>
  <c r="AF209" i="42"/>
  <c r="AE209" i="42"/>
  <c r="AI208" i="42"/>
  <c r="AH208" i="42"/>
  <c r="AG208" i="42"/>
  <c r="AF208" i="42"/>
  <c r="AE208" i="42"/>
  <c r="AH207" i="42"/>
  <c r="AG207" i="42"/>
  <c r="AF207" i="42"/>
  <c r="AE207" i="42"/>
  <c r="AG206" i="42"/>
  <c r="AF206" i="42"/>
  <c r="AE206" i="42"/>
  <c r="AF205" i="42"/>
  <c r="AE205" i="42"/>
  <c r="AE204" i="42"/>
  <c r="AM196" i="42"/>
  <c r="AL196" i="42"/>
  <c r="AK196" i="42"/>
  <c r="AJ196" i="42"/>
  <c r="AI196" i="42"/>
  <c r="AH196" i="42"/>
  <c r="AG196" i="42"/>
  <c r="AF196" i="42"/>
  <c r="AE196" i="42"/>
  <c r="AL195" i="42"/>
  <c r="AK195" i="42"/>
  <c r="AJ195" i="42"/>
  <c r="AI195" i="42"/>
  <c r="AH195" i="42"/>
  <c r="AG195" i="42"/>
  <c r="AF195" i="42"/>
  <c r="AE195" i="42"/>
  <c r="AK194" i="42"/>
  <c r="AJ194" i="42"/>
  <c r="AI194" i="42"/>
  <c r="AH194" i="42"/>
  <c r="AG194" i="42"/>
  <c r="AF194" i="42"/>
  <c r="AE194" i="42"/>
  <c r="AJ193" i="42"/>
  <c r="AI193" i="42"/>
  <c r="AH193" i="42"/>
  <c r="AG193" i="42"/>
  <c r="AF193" i="42"/>
  <c r="AE193" i="42"/>
  <c r="AI192" i="42"/>
  <c r="AH192" i="42"/>
  <c r="AG192" i="42"/>
  <c r="AF192" i="42"/>
  <c r="AE192" i="42"/>
  <c r="AH191" i="42"/>
  <c r="AG191" i="42"/>
  <c r="AF191" i="42"/>
  <c r="AE191" i="42"/>
  <c r="AG190" i="42"/>
  <c r="AF190" i="42"/>
  <c r="AE190" i="42"/>
  <c r="AF189" i="42"/>
  <c r="AE189" i="42"/>
  <c r="AE188" i="42"/>
  <c r="AM147" i="42"/>
  <c r="AL147" i="42"/>
  <c r="AK147" i="42"/>
  <c r="AJ147" i="42"/>
  <c r="AI147" i="42"/>
  <c r="AH147" i="42"/>
  <c r="AG147" i="42"/>
  <c r="AF147" i="42"/>
  <c r="AE147" i="42"/>
  <c r="AL146" i="42"/>
  <c r="AK146" i="42"/>
  <c r="AJ146" i="42"/>
  <c r="AI146" i="42"/>
  <c r="AH146" i="42"/>
  <c r="AG146" i="42"/>
  <c r="AF146" i="42"/>
  <c r="AE146" i="42"/>
  <c r="AK145" i="42"/>
  <c r="AJ145" i="42"/>
  <c r="AI145" i="42"/>
  <c r="AH145" i="42"/>
  <c r="AG145" i="42"/>
  <c r="AF145" i="42"/>
  <c r="AE145" i="42"/>
  <c r="AJ144" i="42"/>
  <c r="AI144" i="42"/>
  <c r="AH144" i="42"/>
  <c r="AG144" i="42"/>
  <c r="AF144" i="42"/>
  <c r="AE144" i="42"/>
  <c r="AI143" i="42"/>
  <c r="AH143" i="42"/>
  <c r="AG143" i="42"/>
  <c r="AF143" i="42"/>
  <c r="AE143" i="42"/>
  <c r="AH142" i="42"/>
  <c r="AG142" i="42"/>
  <c r="AF142" i="42"/>
  <c r="AE142" i="42"/>
  <c r="AG141" i="42"/>
  <c r="AF141" i="42"/>
  <c r="AE141" i="42"/>
  <c r="AF140" i="42"/>
  <c r="AE140" i="42"/>
  <c r="AE139" i="42"/>
  <c r="AM114" i="42"/>
  <c r="AL114" i="42"/>
  <c r="AK114" i="42"/>
  <c r="AJ114" i="42"/>
  <c r="AI114" i="42"/>
  <c r="AH114" i="42"/>
  <c r="AG114" i="42"/>
  <c r="AF114" i="42"/>
  <c r="AE114" i="42"/>
  <c r="AL113" i="42"/>
  <c r="AK113" i="42"/>
  <c r="AJ113" i="42"/>
  <c r="AI113" i="42"/>
  <c r="AH113" i="42"/>
  <c r="AG113" i="42"/>
  <c r="AF113" i="42"/>
  <c r="AE113" i="42"/>
  <c r="AK112" i="42"/>
  <c r="AJ112" i="42"/>
  <c r="AI112" i="42"/>
  <c r="AH112" i="42"/>
  <c r="AG112" i="42"/>
  <c r="AF112" i="42"/>
  <c r="AE112" i="42"/>
  <c r="AJ111" i="42"/>
  <c r="AI111" i="42"/>
  <c r="AH111" i="42"/>
  <c r="AG111" i="42"/>
  <c r="AF111" i="42"/>
  <c r="AE111" i="42"/>
  <c r="AI110" i="42"/>
  <c r="AH110" i="42"/>
  <c r="AG110" i="42"/>
  <c r="AF110" i="42"/>
  <c r="AE110" i="42"/>
  <c r="AH109" i="42"/>
  <c r="AG109" i="42"/>
  <c r="AF109" i="42"/>
  <c r="AE109" i="42"/>
  <c r="AG108" i="42"/>
  <c r="AF108" i="42"/>
  <c r="AE108" i="42"/>
  <c r="AF107" i="42"/>
  <c r="AE107" i="42"/>
  <c r="AE106" i="42"/>
  <c r="AM81" i="42"/>
  <c r="AL81" i="42"/>
  <c r="AK81" i="42"/>
  <c r="AJ81" i="42"/>
  <c r="AI81" i="42"/>
  <c r="AH81" i="42"/>
  <c r="AG81" i="42"/>
  <c r="AF81" i="42"/>
  <c r="AE81" i="42"/>
  <c r="AL80" i="42"/>
  <c r="AK80" i="42"/>
  <c r="AJ80" i="42"/>
  <c r="AI80" i="42"/>
  <c r="AH80" i="42"/>
  <c r="AG80" i="42"/>
  <c r="AF80" i="42"/>
  <c r="AE80" i="42"/>
  <c r="AK79" i="42"/>
  <c r="AJ79" i="42"/>
  <c r="AI79" i="42"/>
  <c r="AH79" i="42"/>
  <c r="AG79" i="42"/>
  <c r="AF79" i="42"/>
  <c r="AE79" i="42"/>
  <c r="AJ78" i="42"/>
  <c r="AI78" i="42"/>
  <c r="AH78" i="42"/>
  <c r="AG78" i="42"/>
  <c r="AF78" i="42"/>
  <c r="AE78" i="42"/>
  <c r="AI77" i="42"/>
  <c r="AH77" i="42"/>
  <c r="AG77" i="42"/>
  <c r="AF77" i="42"/>
  <c r="AE77" i="42"/>
  <c r="AH76" i="42"/>
  <c r="AG76" i="42"/>
  <c r="AF76" i="42"/>
  <c r="AE76" i="42"/>
  <c r="AG75" i="42"/>
  <c r="AF75" i="42"/>
  <c r="AE75" i="42"/>
  <c r="AF74" i="42"/>
  <c r="AE74" i="42"/>
  <c r="AE73" i="42"/>
  <c r="AM48" i="42"/>
  <c r="AL48" i="42"/>
  <c r="AK48" i="42"/>
  <c r="AJ48" i="42"/>
  <c r="AI48" i="42"/>
  <c r="AH48" i="42"/>
  <c r="AG48" i="42"/>
  <c r="AF48" i="42"/>
  <c r="AE48" i="42"/>
  <c r="AL47" i="42"/>
  <c r="AK47" i="42"/>
  <c r="AJ47" i="42"/>
  <c r="AI47" i="42"/>
  <c r="AH47" i="42"/>
  <c r="AG47" i="42"/>
  <c r="AF47" i="42"/>
  <c r="AE47" i="42"/>
  <c r="AK46" i="42"/>
  <c r="AJ46" i="42"/>
  <c r="AI46" i="42"/>
  <c r="AH46" i="42"/>
  <c r="AG46" i="42"/>
  <c r="AF46" i="42"/>
  <c r="AE46" i="42"/>
  <c r="AJ45" i="42"/>
  <c r="AI45" i="42"/>
  <c r="AH45" i="42"/>
  <c r="AG45" i="42"/>
  <c r="AF45" i="42"/>
  <c r="AE45" i="42"/>
  <c r="AI44" i="42"/>
  <c r="AH44" i="42"/>
  <c r="AG44" i="42"/>
  <c r="AF44" i="42"/>
  <c r="AE44" i="42"/>
  <c r="AH43" i="42"/>
  <c r="AG43" i="42"/>
  <c r="AF43" i="42"/>
  <c r="AE43" i="42"/>
  <c r="AG42" i="42"/>
  <c r="AF42" i="42"/>
  <c r="AE42" i="42"/>
  <c r="AF41" i="42"/>
  <c r="AE41" i="42"/>
  <c r="AE40" i="42"/>
  <c r="AE7" i="42"/>
  <c r="AE8" i="42"/>
  <c r="AF8" i="42"/>
  <c r="AE9" i="42"/>
  <c r="AF9" i="42"/>
  <c r="AG9" i="42"/>
  <c r="AE10" i="42"/>
  <c r="AF10" i="42"/>
  <c r="AG10" i="42"/>
  <c r="AH10" i="42"/>
  <c r="AE11" i="42"/>
  <c r="AF11" i="42"/>
  <c r="AG11" i="42"/>
  <c r="AH11" i="42"/>
  <c r="AI11" i="42"/>
  <c r="AE12" i="42"/>
  <c r="AF12" i="42"/>
  <c r="AG12" i="42"/>
  <c r="AH12" i="42"/>
  <c r="AI12" i="42"/>
  <c r="AJ12" i="42"/>
  <c r="AE13" i="42"/>
  <c r="AF13" i="42"/>
  <c r="AG13" i="42"/>
  <c r="AH13" i="42"/>
  <c r="AI13" i="42"/>
  <c r="AJ13" i="42"/>
  <c r="AK13" i="42"/>
  <c r="AE14" i="42"/>
  <c r="AF14" i="42"/>
  <c r="AG14" i="42"/>
  <c r="AH14" i="42"/>
  <c r="AI14" i="42"/>
  <c r="AJ14" i="42"/>
  <c r="AK14" i="42"/>
  <c r="AL14" i="42"/>
  <c r="AE15" i="42"/>
  <c r="AF15" i="42"/>
  <c r="AG15" i="42"/>
  <c r="AH15" i="42"/>
  <c r="AI15" i="42"/>
  <c r="AJ15" i="42"/>
  <c r="AK15" i="42"/>
  <c r="AL15" i="42"/>
  <c r="AM15" i="42"/>
  <c r="AC31" i="42"/>
  <c r="AC30" i="42"/>
  <c r="AB30" i="42"/>
  <c r="AC29" i="42"/>
  <c r="AB29" i="42"/>
  <c r="AA29" i="42"/>
  <c r="AC28" i="42"/>
  <c r="AB28" i="42"/>
  <c r="AA28" i="42"/>
  <c r="Z28" i="42"/>
  <c r="AC27" i="42"/>
  <c r="AB27" i="42"/>
  <c r="AA27" i="42"/>
  <c r="Z27" i="42"/>
  <c r="Y27" i="42"/>
  <c r="AC26" i="42"/>
  <c r="AB26" i="42"/>
  <c r="AA26" i="42"/>
  <c r="Z26" i="42"/>
  <c r="Y26" i="42"/>
  <c r="X26" i="42"/>
  <c r="AC25" i="42"/>
  <c r="AB25" i="42"/>
  <c r="AA25" i="42"/>
  <c r="Z25" i="42"/>
  <c r="Y25" i="42"/>
  <c r="X25" i="42"/>
  <c r="W25" i="42"/>
  <c r="AC24" i="42"/>
  <c r="AB24" i="42"/>
  <c r="AA24" i="42"/>
  <c r="Z24" i="42"/>
  <c r="Y24" i="42"/>
  <c r="X24" i="42"/>
  <c r="W24" i="42"/>
  <c r="V24" i="42"/>
  <c r="AC23" i="42"/>
  <c r="AB23" i="42"/>
  <c r="AA23" i="42"/>
  <c r="Z23" i="42"/>
  <c r="Y23" i="42"/>
  <c r="X23" i="42"/>
  <c r="W23" i="42"/>
  <c r="V23" i="42"/>
  <c r="U23" i="42"/>
  <c r="AC22" i="42"/>
  <c r="AB22" i="42"/>
  <c r="AA22" i="42"/>
  <c r="Z22" i="42"/>
  <c r="Y22" i="42"/>
  <c r="X22" i="42"/>
  <c r="W22" i="42"/>
  <c r="V22" i="42"/>
  <c r="U22" i="42"/>
  <c r="T22" i="42"/>
  <c r="AC64" i="42"/>
  <c r="AC63" i="42"/>
  <c r="AB63" i="42"/>
  <c r="AC62" i="42"/>
  <c r="AB62" i="42"/>
  <c r="AA62" i="42"/>
  <c r="AC61" i="42"/>
  <c r="AB61" i="42"/>
  <c r="AA61" i="42"/>
  <c r="Z61" i="42"/>
  <c r="AC60" i="42"/>
  <c r="AB60" i="42"/>
  <c r="AA60" i="42"/>
  <c r="Z60" i="42"/>
  <c r="Y60" i="42"/>
  <c r="AC59" i="42"/>
  <c r="AB59" i="42"/>
  <c r="AA59" i="42"/>
  <c r="Z59" i="42"/>
  <c r="Y59" i="42"/>
  <c r="X59" i="42"/>
  <c r="AC58" i="42"/>
  <c r="AB58" i="42"/>
  <c r="AA58" i="42"/>
  <c r="Z58" i="42"/>
  <c r="Y58" i="42"/>
  <c r="X58" i="42"/>
  <c r="W58" i="42"/>
  <c r="AC57" i="42"/>
  <c r="AB57" i="42"/>
  <c r="AA57" i="42"/>
  <c r="Z57" i="42"/>
  <c r="Y57" i="42"/>
  <c r="X57" i="42"/>
  <c r="W57" i="42"/>
  <c r="V57" i="42"/>
  <c r="AC56" i="42"/>
  <c r="AB56" i="42"/>
  <c r="AA56" i="42"/>
  <c r="Z56" i="42"/>
  <c r="Y56" i="42"/>
  <c r="X56" i="42"/>
  <c r="W56" i="42"/>
  <c r="V56" i="42"/>
  <c r="U56" i="42"/>
  <c r="AC55" i="42"/>
  <c r="AB55" i="42"/>
  <c r="AA55" i="42"/>
  <c r="Z55" i="42"/>
  <c r="Y55" i="42"/>
  <c r="X55" i="42"/>
  <c r="W55" i="42"/>
  <c r="V55" i="42"/>
  <c r="U55" i="42"/>
  <c r="T55" i="42"/>
  <c r="AC163" i="42"/>
  <c r="AC162" i="42"/>
  <c r="AB162" i="42"/>
  <c r="AC161" i="42"/>
  <c r="AB161" i="42"/>
  <c r="AA161" i="42"/>
  <c r="AC160" i="42"/>
  <c r="AB160" i="42"/>
  <c r="AA160" i="42"/>
  <c r="Z160" i="42"/>
  <c r="AC159" i="42"/>
  <c r="AB159" i="42"/>
  <c r="AA159" i="42"/>
  <c r="Z159" i="42"/>
  <c r="Y159" i="42"/>
  <c r="AC158" i="42"/>
  <c r="AB158" i="42"/>
  <c r="AA158" i="42"/>
  <c r="Z158" i="42"/>
  <c r="Y158" i="42"/>
  <c r="X158" i="42"/>
  <c r="AC157" i="42"/>
  <c r="AB157" i="42"/>
  <c r="AA157" i="42"/>
  <c r="Z157" i="42"/>
  <c r="Y157" i="42"/>
  <c r="X157" i="42"/>
  <c r="W157" i="42"/>
  <c r="AC156" i="42"/>
  <c r="AB156" i="42"/>
  <c r="AA156" i="42"/>
  <c r="Z156" i="42"/>
  <c r="Y156" i="42"/>
  <c r="X156" i="42"/>
  <c r="W156" i="42"/>
  <c r="V156" i="42"/>
  <c r="AC155" i="42"/>
  <c r="AB155" i="42"/>
  <c r="AA155" i="42"/>
  <c r="Z155" i="42"/>
  <c r="Y155" i="42"/>
  <c r="X155" i="42"/>
  <c r="W155" i="42"/>
  <c r="V155" i="42"/>
  <c r="U155" i="42"/>
  <c r="AC154" i="42"/>
  <c r="AB154" i="42"/>
  <c r="AA154" i="42"/>
  <c r="Z154" i="42"/>
  <c r="Y154" i="42"/>
  <c r="X154" i="42"/>
  <c r="W154" i="42"/>
  <c r="V154" i="42"/>
  <c r="U154" i="42"/>
  <c r="T154" i="42"/>
  <c r="AC147" i="42"/>
  <c r="AN147" i="42" s="1"/>
  <c r="AC146" i="42"/>
  <c r="AN146" i="42" s="1"/>
  <c r="AB146" i="42"/>
  <c r="AM146" i="42" s="1"/>
  <c r="AC145" i="42"/>
  <c r="AN145" i="42" s="1"/>
  <c r="AB145" i="42"/>
  <c r="AM145" i="42" s="1"/>
  <c r="AA145" i="42"/>
  <c r="AL145" i="42" s="1"/>
  <c r="AC144" i="42"/>
  <c r="AN144" i="42" s="1"/>
  <c r="AB144" i="42"/>
  <c r="AM144" i="42" s="1"/>
  <c r="AA144" i="42"/>
  <c r="AL144" i="42" s="1"/>
  <c r="Z144" i="42"/>
  <c r="AK144" i="42" s="1"/>
  <c r="AC143" i="42"/>
  <c r="AN143" i="42" s="1"/>
  <c r="AB143" i="42"/>
  <c r="AM143" i="42" s="1"/>
  <c r="AA143" i="42"/>
  <c r="AL143" i="42" s="1"/>
  <c r="Z143" i="42"/>
  <c r="AK143" i="42" s="1"/>
  <c r="Y143" i="42"/>
  <c r="AJ143" i="42" s="1"/>
  <c r="AC142" i="42"/>
  <c r="AN142" i="42" s="1"/>
  <c r="AB142" i="42"/>
  <c r="AM142" i="42" s="1"/>
  <c r="AA142" i="42"/>
  <c r="AL142" i="42" s="1"/>
  <c r="Z142" i="42"/>
  <c r="AK142" i="42" s="1"/>
  <c r="Y142" i="42"/>
  <c r="AJ142" i="42" s="1"/>
  <c r="X142" i="42"/>
  <c r="AI142" i="42" s="1"/>
  <c r="AC141" i="42"/>
  <c r="AN141" i="42" s="1"/>
  <c r="AB141" i="42"/>
  <c r="AM141" i="42" s="1"/>
  <c r="AA141" i="42"/>
  <c r="AL141" i="42" s="1"/>
  <c r="Z141" i="42"/>
  <c r="AK141" i="42" s="1"/>
  <c r="Y141" i="42"/>
  <c r="AJ141" i="42" s="1"/>
  <c r="X141" i="42"/>
  <c r="AI141" i="42" s="1"/>
  <c r="W141" i="42"/>
  <c r="AH141" i="42" s="1"/>
  <c r="AC140" i="42"/>
  <c r="AN140" i="42" s="1"/>
  <c r="AB140" i="42"/>
  <c r="AM140" i="42" s="1"/>
  <c r="AA140" i="42"/>
  <c r="AL140" i="42" s="1"/>
  <c r="Z140" i="42"/>
  <c r="AK140" i="42" s="1"/>
  <c r="Y140" i="42"/>
  <c r="AJ140" i="42" s="1"/>
  <c r="X140" i="42"/>
  <c r="AI140" i="42" s="1"/>
  <c r="W140" i="42"/>
  <c r="AH140" i="42" s="1"/>
  <c r="V140" i="42"/>
  <c r="AG140" i="42" s="1"/>
  <c r="AC139" i="42"/>
  <c r="AN139" i="42" s="1"/>
  <c r="AB139" i="42"/>
  <c r="AM139" i="42" s="1"/>
  <c r="AA139" i="42"/>
  <c r="AL139" i="42" s="1"/>
  <c r="Z139" i="42"/>
  <c r="AK139" i="42" s="1"/>
  <c r="Y139" i="42"/>
  <c r="AJ139" i="42" s="1"/>
  <c r="X139" i="42"/>
  <c r="AI139" i="42" s="1"/>
  <c r="W139" i="42"/>
  <c r="AH139" i="42" s="1"/>
  <c r="V139" i="42"/>
  <c r="AG139" i="42" s="1"/>
  <c r="U139" i="42"/>
  <c r="AF139" i="42" s="1"/>
  <c r="AC138" i="42"/>
  <c r="AN138" i="42" s="1"/>
  <c r="AB138" i="42"/>
  <c r="AM138" i="42" s="1"/>
  <c r="AA138" i="42"/>
  <c r="AL138" i="42" s="1"/>
  <c r="Z138" i="42"/>
  <c r="AK138" i="42" s="1"/>
  <c r="Y138" i="42"/>
  <c r="AJ138" i="42" s="1"/>
  <c r="X138" i="42"/>
  <c r="AI138" i="42" s="1"/>
  <c r="W138" i="42"/>
  <c r="AH138" i="42" s="1"/>
  <c r="V138" i="42"/>
  <c r="AG138" i="42" s="1"/>
  <c r="U138" i="42"/>
  <c r="AF138" i="42" s="1"/>
  <c r="T138" i="42"/>
  <c r="AE138" i="42" s="1"/>
  <c r="AC130" i="42"/>
  <c r="AC129" i="42"/>
  <c r="AB129" i="42"/>
  <c r="AC128" i="42"/>
  <c r="AB128" i="42"/>
  <c r="AA128" i="42"/>
  <c r="AC127" i="42"/>
  <c r="AB127" i="42"/>
  <c r="AA127" i="42"/>
  <c r="Z127" i="42"/>
  <c r="AC126" i="42"/>
  <c r="AB126" i="42"/>
  <c r="AA126" i="42"/>
  <c r="Z126" i="42"/>
  <c r="Y126" i="42"/>
  <c r="AC125" i="42"/>
  <c r="AB125" i="42"/>
  <c r="AA125" i="42"/>
  <c r="Z125" i="42"/>
  <c r="Y125" i="42"/>
  <c r="X125" i="42"/>
  <c r="AC124" i="42"/>
  <c r="AB124" i="42"/>
  <c r="AA124" i="42"/>
  <c r="Z124" i="42"/>
  <c r="Y124" i="42"/>
  <c r="X124" i="42"/>
  <c r="W124" i="42"/>
  <c r="AC123" i="42"/>
  <c r="AB123" i="42"/>
  <c r="AA123" i="42"/>
  <c r="Z123" i="42"/>
  <c r="Y123" i="42"/>
  <c r="X123" i="42"/>
  <c r="W123" i="42"/>
  <c r="V123" i="42"/>
  <c r="AC122" i="42"/>
  <c r="AB122" i="42"/>
  <c r="AA122" i="42"/>
  <c r="Z122" i="42"/>
  <c r="Y122" i="42"/>
  <c r="X122" i="42"/>
  <c r="W122" i="42"/>
  <c r="V122" i="42"/>
  <c r="U122" i="42"/>
  <c r="AC121" i="42"/>
  <c r="AB121" i="42"/>
  <c r="AA121" i="42"/>
  <c r="Z121" i="42"/>
  <c r="Y121" i="42"/>
  <c r="X121" i="42"/>
  <c r="W121" i="42"/>
  <c r="V121" i="42"/>
  <c r="U121" i="42"/>
  <c r="T121" i="42"/>
  <c r="AC114" i="42"/>
  <c r="AN114" i="42" s="1"/>
  <c r="AC113" i="42"/>
  <c r="AN113" i="42" s="1"/>
  <c r="AB113" i="42"/>
  <c r="AM113" i="42" s="1"/>
  <c r="AC112" i="42"/>
  <c r="AN112" i="42" s="1"/>
  <c r="AB112" i="42"/>
  <c r="AM112" i="42" s="1"/>
  <c r="AA112" i="42"/>
  <c r="AL112" i="42" s="1"/>
  <c r="AC111" i="42"/>
  <c r="AN111" i="42" s="1"/>
  <c r="AB111" i="42"/>
  <c r="AM111" i="42" s="1"/>
  <c r="AA111" i="42"/>
  <c r="AL111" i="42" s="1"/>
  <c r="Z111" i="42"/>
  <c r="AK111" i="42" s="1"/>
  <c r="AC110" i="42"/>
  <c r="AN110" i="42" s="1"/>
  <c r="AB110" i="42"/>
  <c r="AM110" i="42" s="1"/>
  <c r="AA110" i="42"/>
  <c r="AL110" i="42" s="1"/>
  <c r="Z110" i="42"/>
  <c r="AK110" i="42" s="1"/>
  <c r="Y110" i="42"/>
  <c r="AJ110" i="42" s="1"/>
  <c r="AC109" i="42"/>
  <c r="AN109" i="42" s="1"/>
  <c r="AB109" i="42"/>
  <c r="AM109" i="42" s="1"/>
  <c r="AA109" i="42"/>
  <c r="AL109" i="42" s="1"/>
  <c r="Z109" i="42"/>
  <c r="AK109" i="42" s="1"/>
  <c r="Y109" i="42"/>
  <c r="AJ109" i="42" s="1"/>
  <c r="X109" i="42"/>
  <c r="AI109" i="42" s="1"/>
  <c r="AC108" i="42"/>
  <c r="AN108" i="42" s="1"/>
  <c r="AB108" i="42"/>
  <c r="AM108" i="42" s="1"/>
  <c r="AA108" i="42"/>
  <c r="AL108" i="42" s="1"/>
  <c r="Z108" i="42"/>
  <c r="AK108" i="42" s="1"/>
  <c r="Y108" i="42"/>
  <c r="AJ108" i="42" s="1"/>
  <c r="X108" i="42"/>
  <c r="AI108" i="42" s="1"/>
  <c r="W108" i="42"/>
  <c r="AH108" i="42" s="1"/>
  <c r="AC107" i="42"/>
  <c r="AN107" i="42" s="1"/>
  <c r="AB107" i="42"/>
  <c r="AM107" i="42" s="1"/>
  <c r="AA107" i="42"/>
  <c r="AL107" i="42" s="1"/>
  <c r="Z107" i="42"/>
  <c r="AK107" i="42" s="1"/>
  <c r="Y107" i="42"/>
  <c r="AJ107" i="42" s="1"/>
  <c r="X107" i="42"/>
  <c r="AI107" i="42" s="1"/>
  <c r="W107" i="42"/>
  <c r="AH107" i="42" s="1"/>
  <c r="V107" i="42"/>
  <c r="AG107" i="42" s="1"/>
  <c r="AC106" i="42"/>
  <c r="AN106" i="42" s="1"/>
  <c r="AB106" i="42"/>
  <c r="AM106" i="42" s="1"/>
  <c r="AA106" i="42"/>
  <c r="AL106" i="42" s="1"/>
  <c r="Z106" i="42"/>
  <c r="AK106" i="42" s="1"/>
  <c r="Y106" i="42"/>
  <c r="AJ106" i="42" s="1"/>
  <c r="X106" i="42"/>
  <c r="AI106" i="42" s="1"/>
  <c r="W106" i="42"/>
  <c r="AH106" i="42" s="1"/>
  <c r="V106" i="42"/>
  <c r="AG106" i="42" s="1"/>
  <c r="U106" i="42"/>
  <c r="AF106" i="42" s="1"/>
  <c r="AC105" i="42"/>
  <c r="AN105" i="42" s="1"/>
  <c r="AB105" i="42"/>
  <c r="AM105" i="42" s="1"/>
  <c r="AA105" i="42"/>
  <c r="AL105" i="42" s="1"/>
  <c r="Z105" i="42"/>
  <c r="AK105" i="42" s="1"/>
  <c r="Y105" i="42"/>
  <c r="AJ105" i="42" s="1"/>
  <c r="X105" i="42"/>
  <c r="AI105" i="42" s="1"/>
  <c r="W105" i="42"/>
  <c r="AH105" i="42" s="1"/>
  <c r="V105" i="42"/>
  <c r="AG105" i="42" s="1"/>
  <c r="U105" i="42"/>
  <c r="AF105" i="42" s="1"/>
  <c r="T105" i="42"/>
  <c r="AE105" i="42" s="1"/>
  <c r="AC97" i="42"/>
  <c r="AC96" i="42"/>
  <c r="AB96" i="42"/>
  <c r="AC95" i="42"/>
  <c r="AB95" i="42"/>
  <c r="AA95" i="42"/>
  <c r="AC94" i="42"/>
  <c r="AB94" i="42"/>
  <c r="AA94" i="42"/>
  <c r="Z94" i="42"/>
  <c r="AC93" i="42"/>
  <c r="AB93" i="42"/>
  <c r="AA93" i="42"/>
  <c r="Z93" i="42"/>
  <c r="Y93" i="42"/>
  <c r="AC92" i="42"/>
  <c r="AB92" i="42"/>
  <c r="AA92" i="42"/>
  <c r="Z92" i="42"/>
  <c r="Y92" i="42"/>
  <c r="X92" i="42"/>
  <c r="AC91" i="42"/>
  <c r="AB91" i="42"/>
  <c r="AA91" i="42"/>
  <c r="Z91" i="42"/>
  <c r="Y91" i="42"/>
  <c r="X91" i="42"/>
  <c r="W91" i="42"/>
  <c r="AC90" i="42"/>
  <c r="AB90" i="42"/>
  <c r="AA90" i="42"/>
  <c r="Z90" i="42"/>
  <c r="Y90" i="42"/>
  <c r="X90" i="42"/>
  <c r="W90" i="42"/>
  <c r="V90" i="42"/>
  <c r="AC89" i="42"/>
  <c r="AB89" i="42"/>
  <c r="AA89" i="42"/>
  <c r="Z89" i="42"/>
  <c r="Y89" i="42"/>
  <c r="X89" i="42"/>
  <c r="W89" i="42"/>
  <c r="V89" i="42"/>
  <c r="U89" i="42"/>
  <c r="AC88" i="42"/>
  <c r="AB88" i="42"/>
  <c r="AA88" i="42"/>
  <c r="Z88" i="42"/>
  <c r="Y88" i="42"/>
  <c r="X88" i="42"/>
  <c r="W88" i="42"/>
  <c r="V88" i="42"/>
  <c r="U88" i="42"/>
  <c r="T88" i="42"/>
  <c r="AC81" i="42"/>
  <c r="AN81" i="42" s="1"/>
  <c r="AN228" i="42" s="1"/>
  <c r="AC228" i="42" s="1"/>
  <c r="AC80" i="42"/>
  <c r="AN80" i="42" s="1"/>
  <c r="AN227" i="42" s="1"/>
  <c r="AC227" i="42" s="1"/>
  <c r="AB80" i="42"/>
  <c r="AM80" i="42" s="1"/>
  <c r="AC79" i="42"/>
  <c r="AN79" i="42" s="1"/>
  <c r="AN226" i="42" s="1"/>
  <c r="AC226" i="42" s="1"/>
  <c r="AB79" i="42"/>
  <c r="AM79" i="42" s="1"/>
  <c r="AA79" i="42"/>
  <c r="AL79" i="42" s="1"/>
  <c r="AL226" i="42" s="1"/>
  <c r="AA226" i="42" s="1"/>
  <c r="AC78" i="42"/>
  <c r="AN78" i="42" s="1"/>
  <c r="AN225" i="42" s="1"/>
  <c r="AC225" i="42" s="1"/>
  <c r="AB78" i="42"/>
  <c r="AM78" i="42" s="1"/>
  <c r="AA78" i="42"/>
  <c r="AL78" i="42" s="1"/>
  <c r="Z78" i="42"/>
  <c r="AK78" i="42" s="1"/>
  <c r="AC77" i="42"/>
  <c r="AN77" i="42" s="1"/>
  <c r="AB77" i="42"/>
  <c r="AM77" i="42" s="1"/>
  <c r="AM224" i="42" s="1"/>
  <c r="AB224" i="42" s="1"/>
  <c r="AA77" i="42"/>
  <c r="AL77" i="42" s="1"/>
  <c r="Z77" i="42"/>
  <c r="AK77" i="42" s="1"/>
  <c r="AK224" i="42" s="1"/>
  <c r="Z224" i="42" s="1"/>
  <c r="Y77" i="42"/>
  <c r="AJ77" i="42" s="1"/>
  <c r="AC76" i="42"/>
  <c r="AN76" i="42" s="1"/>
  <c r="AN223" i="42" s="1"/>
  <c r="AC223" i="42" s="1"/>
  <c r="AB76" i="42"/>
  <c r="AM76" i="42" s="1"/>
  <c r="AA76" i="42"/>
  <c r="AL76" i="42" s="1"/>
  <c r="Z76" i="42"/>
  <c r="AK76" i="42" s="1"/>
  <c r="Y76" i="42"/>
  <c r="AJ76" i="42" s="1"/>
  <c r="X76" i="42"/>
  <c r="AI76" i="42" s="1"/>
  <c r="AC75" i="42"/>
  <c r="AN75" i="42" s="1"/>
  <c r="AB75" i="42"/>
  <c r="AM75" i="42" s="1"/>
  <c r="AA75" i="42"/>
  <c r="AL75" i="42" s="1"/>
  <c r="AL222" i="42" s="1"/>
  <c r="AA222" i="42" s="1"/>
  <c r="Z75" i="42"/>
  <c r="AK75" i="42" s="1"/>
  <c r="AK222" i="42" s="1"/>
  <c r="Z222" i="42" s="1"/>
  <c r="Y75" i="42"/>
  <c r="AJ75" i="42" s="1"/>
  <c r="AJ222" i="42" s="1"/>
  <c r="Y222" i="42" s="1"/>
  <c r="X75" i="42"/>
  <c r="AI75" i="42" s="1"/>
  <c r="W75" i="42"/>
  <c r="AH75" i="42" s="1"/>
  <c r="AH222" i="42" s="1"/>
  <c r="W222" i="42" s="1"/>
  <c r="AC74" i="42"/>
  <c r="AN74" i="42" s="1"/>
  <c r="AB74" i="42"/>
  <c r="AM74" i="42" s="1"/>
  <c r="AM221" i="42" s="1"/>
  <c r="AB221" i="42" s="1"/>
  <c r="AA74" i="42"/>
  <c r="AL74" i="42" s="1"/>
  <c r="Z74" i="42"/>
  <c r="AK74" i="42" s="1"/>
  <c r="Y74" i="42"/>
  <c r="AJ74" i="42" s="1"/>
  <c r="X74" i="42"/>
  <c r="AI74" i="42" s="1"/>
  <c r="W74" i="42"/>
  <c r="AH74" i="42" s="1"/>
  <c r="V74" i="42"/>
  <c r="AG74" i="42" s="1"/>
  <c r="AG221" i="42" s="1"/>
  <c r="V221" i="42" s="1"/>
  <c r="AC73" i="42"/>
  <c r="AN73" i="42" s="1"/>
  <c r="AN220" i="42" s="1"/>
  <c r="AC220" i="42" s="1"/>
  <c r="AB73" i="42"/>
  <c r="AM73" i="42" s="1"/>
  <c r="AM220" i="42" s="1"/>
  <c r="AB220" i="42" s="1"/>
  <c r="AA73" i="42"/>
  <c r="AL73" i="42" s="1"/>
  <c r="Z73" i="42"/>
  <c r="AK73" i="42" s="1"/>
  <c r="AK220" i="42" s="1"/>
  <c r="Z220" i="42" s="1"/>
  <c r="Y73" i="42"/>
  <c r="AJ73" i="42" s="1"/>
  <c r="X73" i="42"/>
  <c r="AI73" i="42" s="1"/>
  <c r="AI220" i="42" s="1"/>
  <c r="X220" i="42" s="1"/>
  <c r="W73" i="42"/>
  <c r="AH73" i="42" s="1"/>
  <c r="AH220" i="42" s="1"/>
  <c r="W220" i="42" s="1"/>
  <c r="V73" i="42"/>
  <c r="AG73" i="42" s="1"/>
  <c r="U73" i="42"/>
  <c r="AF73" i="42" s="1"/>
  <c r="AC72" i="42"/>
  <c r="AN72" i="42" s="1"/>
  <c r="AB72" i="42"/>
  <c r="AM72" i="42" s="1"/>
  <c r="AA72" i="42"/>
  <c r="AL72" i="42" s="1"/>
  <c r="AL219" i="42" s="1"/>
  <c r="AA219" i="42" s="1"/>
  <c r="Z72" i="42"/>
  <c r="AK72" i="42" s="1"/>
  <c r="AK219" i="42" s="1"/>
  <c r="Z219" i="42" s="1"/>
  <c r="Y72" i="42"/>
  <c r="AJ72" i="42" s="1"/>
  <c r="AJ219" i="42" s="1"/>
  <c r="Y219" i="42" s="1"/>
  <c r="X72" i="42"/>
  <c r="AI72" i="42" s="1"/>
  <c r="W72" i="42"/>
  <c r="AH72" i="42" s="1"/>
  <c r="AH219" i="42" s="1"/>
  <c r="W219" i="42" s="1"/>
  <c r="V72" i="42"/>
  <c r="AG72" i="42" s="1"/>
  <c r="U72" i="42"/>
  <c r="AF72" i="42" s="1"/>
  <c r="AF219" i="42" s="1"/>
  <c r="U219" i="42" s="1"/>
  <c r="T72" i="42"/>
  <c r="AE72" i="42" s="1"/>
  <c r="AC48" i="42"/>
  <c r="AN48" i="42" s="1"/>
  <c r="AC47" i="42"/>
  <c r="AN47" i="42" s="1"/>
  <c r="AB47" i="42"/>
  <c r="AM47" i="42" s="1"/>
  <c r="AC46" i="42"/>
  <c r="AN46" i="42" s="1"/>
  <c r="AB46" i="42"/>
  <c r="AM46" i="42" s="1"/>
  <c r="AA46" i="42"/>
  <c r="AL46" i="42" s="1"/>
  <c r="AC45" i="42"/>
  <c r="AN45" i="42" s="1"/>
  <c r="AB45" i="42"/>
  <c r="AM45" i="42" s="1"/>
  <c r="AA45" i="42"/>
  <c r="AL45" i="42" s="1"/>
  <c r="Z45" i="42"/>
  <c r="AK45" i="42" s="1"/>
  <c r="AC44" i="42"/>
  <c r="AN44" i="42" s="1"/>
  <c r="AB44" i="42"/>
  <c r="AM44" i="42" s="1"/>
  <c r="AA44" i="42"/>
  <c r="AL44" i="42" s="1"/>
  <c r="Z44" i="42"/>
  <c r="AK44" i="42" s="1"/>
  <c r="Y44" i="42"/>
  <c r="AJ44" i="42" s="1"/>
  <c r="AC43" i="42"/>
  <c r="AN43" i="42" s="1"/>
  <c r="AB43" i="42"/>
  <c r="AM43" i="42" s="1"/>
  <c r="AA43" i="42"/>
  <c r="AL43" i="42" s="1"/>
  <c r="Z43" i="42"/>
  <c r="AK43" i="42" s="1"/>
  <c r="Y43" i="42"/>
  <c r="AJ43" i="42" s="1"/>
  <c r="X43" i="42"/>
  <c r="AI43" i="42" s="1"/>
  <c r="AC42" i="42"/>
  <c r="AN42" i="42" s="1"/>
  <c r="AB42" i="42"/>
  <c r="AM42" i="42" s="1"/>
  <c r="AA42" i="42"/>
  <c r="AL42" i="42" s="1"/>
  <c r="Z42" i="42"/>
  <c r="AK42" i="42" s="1"/>
  <c r="Y42" i="42"/>
  <c r="AJ42" i="42" s="1"/>
  <c r="X42" i="42"/>
  <c r="AI42" i="42" s="1"/>
  <c r="W42" i="42"/>
  <c r="AH42" i="42" s="1"/>
  <c r="AC41" i="42"/>
  <c r="AN41" i="42" s="1"/>
  <c r="AB41" i="42"/>
  <c r="AM41" i="42" s="1"/>
  <c r="AA41" i="42"/>
  <c r="AL41" i="42" s="1"/>
  <c r="Z41" i="42"/>
  <c r="AK41" i="42" s="1"/>
  <c r="Y41" i="42"/>
  <c r="AJ41" i="42" s="1"/>
  <c r="X41" i="42"/>
  <c r="AI41" i="42" s="1"/>
  <c r="W41" i="42"/>
  <c r="AH41" i="42" s="1"/>
  <c r="V41" i="42"/>
  <c r="AG41" i="42" s="1"/>
  <c r="AC40" i="42"/>
  <c r="AN40" i="42" s="1"/>
  <c r="AB40" i="42"/>
  <c r="AM40" i="42" s="1"/>
  <c r="AA40" i="42"/>
  <c r="AL40" i="42" s="1"/>
  <c r="Z40" i="42"/>
  <c r="AK40" i="42" s="1"/>
  <c r="Y40" i="42"/>
  <c r="AJ40" i="42" s="1"/>
  <c r="X40" i="42"/>
  <c r="AI40" i="42" s="1"/>
  <c r="W40" i="42"/>
  <c r="AH40" i="42" s="1"/>
  <c r="V40" i="42"/>
  <c r="AG40" i="42" s="1"/>
  <c r="U40" i="42"/>
  <c r="AF40" i="42" s="1"/>
  <c r="AC39" i="42"/>
  <c r="AN39" i="42" s="1"/>
  <c r="AB39" i="42"/>
  <c r="AM39" i="42" s="1"/>
  <c r="AA39" i="42"/>
  <c r="AL39" i="42" s="1"/>
  <c r="Z39" i="42"/>
  <c r="AK39" i="42" s="1"/>
  <c r="Y39" i="42"/>
  <c r="AJ39" i="42" s="1"/>
  <c r="X39" i="42"/>
  <c r="AI39" i="42" s="1"/>
  <c r="W39" i="42"/>
  <c r="AH39" i="42" s="1"/>
  <c r="V39" i="42"/>
  <c r="AG39" i="42" s="1"/>
  <c r="U39" i="42"/>
  <c r="AF39" i="42" s="1"/>
  <c r="T39" i="42"/>
  <c r="AE39" i="42" s="1"/>
  <c r="E108" i="42"/>
  <c r="E42" i="42"/>
  <c r="E157" i="42"/>
  <c r="E141" i="42"/>
  <c r="E124" i="42"/>
  <c r="E91" i="42"/>
  <c r="E75" i="42"/>
  <c r="E58" i="42"/>
  <c r="T6" i="42"/>
  <c r="AE6" i="42" s="1"/>
  <c r="AC15" i="42"/>
  <c r="AN15" i="42" s="1"/>
  <c r="AC14" i="42"/>
  <c r="AN14" i="42" s="1"/>
  <c r="AB14" i="42"/>
  <c r="AM14" i="42" s="1"/>
  <c r="AC13" i="42"/>
  <c r="AN13" i="42" s="1"/>
  <c r="AB13" i="42"/>
  <c r="AM13" i="42" s="1"/>
  <c r="AM178" i="42" s="1"/>
  <c r="AB178" i="42" s="1"/>
  <c r="AA13" i="42"/>
  <c r="AL13" i="42" s="1"/>
  <c r="AC12" i="42"/>
  <c r="AN12" i="42" s="1"/>
  <c r="AB12" i="42"/>
  <c r="AM12" i="42" s="1"/>
  <c r="AA12" i="42"/>
  <c r="AL12" i="42" s="1"/>
  <c r="Z12" i="42"/>
  <c r="AK12" i="42" s="1"/>
  <c r="AC11" i="42"/>
  <c r="AN11" i="42" s="1"/>
  <c r="AB11" i="42"/>
  <c r="AM11" i="42" s="1"/>
  <c r="AA11" i="42"/>
  <c r="AL11" i="42" s="1"/>
  <c r="Z11" i="42"/>
  <c r="AK11" i="42" s="1"/>
  <c r="Y11" i="42"/>
  <c r="AJ11" i="42" s="1"/>
  <c r="AJ176" i="42" s="1"/>
  <c r="Y176" i="42" s="1"/>
  <c r="AC10" i="42"/>
  <c r="AN10" i="42" s="1"/>
  <c r="AB10" i="42"/>
  <c r="AM10" i="42" s="1"/>
  <c r="AM175" i="42" s="1"/>
  <c r="AB175" i="42" s="1"/>
  <c r="AA10" i="42"/>
  <c r="AL10" i="42" s="1"/>
  <c r="Z10" i="42"/>
  <c r="AK10" i="42" s="1"/>
  <c r="Y10" i="42"/>
  <c r="AJ10" i="42" s="1"/>
  <c r="X10" i="42"/>
  <c r="AI10" i="42" s="1"/>
  <c r="AC9" i="42"/>
  <c r="AN9" i="42" s="1"/>
  <c r="AB9" i="42"/>
  <c r="AM9" i="42" s="1"/>
  <c r="AA9" i="42"/>
  <c r="AL9" i="42" s="1"/>
  <c r="Z9" i="42"/>
  <c r="AK9" i="42" s="1"/>
  <c r="Y9" i="42"/>
  <c r="AJ9" i="42" s="1"/>
  <c r="X9" i="42"/>
  <c r="AI9" i="42" s="1"/>
  <c r="AI174" i="42" s="1"/>
  <c r="X174" i="42" s="1"/>
  <c r="W9" i="42"/>
  <c r="AH9" i="42" s="1"/>
  <c r="AC8" i="42"/>
  <c r="AN8" i="42" s="1"/>
  <c r="AN173" i="42" s="1"/>
  <c r="AC173" i="42" s="1"/>
  <c r="AB8" i="42"/>
  <c r="AM8" i="42" s="1"/>
  <c r="AA8" i="42"/>
  <c r="AL8" i="42" s="1"/>
  <c r="Z8" i="42"/>
  <c r="AK8" i="42" s="1"/>
  <c r="Y8" i="42"/>
  <c r="AJ8" i="42" s="1"/>
  <c r="X8" i="42"/>
  <c r="AI8" i="42" s="1"/>
  <c r="W8" i="42"/>
  <c r="AH8" i="42" s="1"/>
  <c r="V8" i="42"/>
  <c r="AG8" i="42" s="1"/>
  <c r="AC7" i="42"/>
  <c r="AN7" i="42" s="1"/>
  <c r="AB7" i="42"/>
  <c r="AM7" i="42" s="1"/>
  <c r="AA7" i="42"/>
  <c r="AL7" i="42" s="1"/>
  <c r="AL172" i="42" s="1"/>
  <c r="AA172" i="42" s="1"/>
  <c r="Z7" i="42"/>
  <c r="AK7" i="42" s="1"/>
  <c r="Y7" i="42"/>
  <c r="AJ7" i="42" s="1"/>
  <c r="AJ172" i="42" s="1"/>
  <c r="Y172" i="42" s="1"/>
  <c r="X7" i="42"/>
  <c r="AI7" i="42" s="1"/>
  <c r="W7" i="42"/>
  <c r="AH7" i="42" s="1"/>
  <c r="V7" i="42"/>
  <c r="AG7" i="42" s="1"/>
  <c r="U7" i="42"/>
  <c r="AF7" i="42" s="1"/>
  <c r="AC6" i="42"/>
  <c r="AN6" i="42" s="1"/>
  <c r="AB6" i="42"/>
  <c r="AM6" i="42" s="1"/>
  <c r="AA6" i="42"/>
  <c r="AL6" i="42" s="1"/>
  <c r="Z6" i="42"/>
  <c r="AK6" i="42" s="1"/>
  <c r="Y6" i="42"/>
  <c r="AJ6" i="42" s="1"/>
  <c r="X6" i="42"/>
  <c r="AI6" i="42" s="1"/>
  <c r="W6" i="42"/>
  <c r="AH6" i="42" s="1"/>
  <c r="V6" i="42"/>
  <c r="AG6" i="42" s="1"/>
  <c r="AG171" i="42" s="1"/>
  <c r="V171" i="42" s="1"/>
  <c r="U6" i="42"/>
  <c r="AF6" i="42" s="1"/>
  <c r="AI221" i="42" l="1"/>
  <c r="X221" i="42" s="1"/>
  <c r="AK225" i="42"/>
  <c r="Z225" i="42" s="1"/>
  <c r="AN219" i="42"/>
  <c r="AC219" i="42" s="1"/>
  <c r="AN222" i="42"/>
  <c r="AC222" i="42" s="1"/>
  <c r="AG172" i="42"/>
  <c r="V172" i="42" s="1"/>
  <c r="AK173" i="42"/>
  <c r="Z173" i="42" s="1"/>
  <c r="AM177" i="42"/>
  <c r="AB177" i="42" s="1"/>
  <c r="AM219" i="42"/>
  <c r="AB219" i="42" s="1"/>
  <c r="AH221" i="42"/>
  <c r="W221" i="42" s="1"/>
  <c r="AM222" i="42"/>
  <c r="AB222" i="42" s="1"/>
  <c r="AN224" i="42"/>
  <c r="AC224" i="42" s="1"/>
  <c r="AG220" i="42"/>
  <c r="V220" i="42" s="1"/>
  <c r="AK221" i="42"/>
  <c r="Z221" i="42" s="1"/>
  <c r="AJ223" i="42"/>
  <c r="Y223" i="42" s="1"/>
  <c r="AM225" i="42"/>
  <c r="AB225" i="42" s="1"/>
  <c r="AI219" i="42"/>
  <c r="X219" i="42" s="1"/>
  <c r="AL220" i="42"/>
  <c r="AA220" i="42" s="1"/>
  <c r="AI222" i="42"/>
  <c r="X222" i="42" s="1"/>
  <c r="AJ224" i="42"/>
  <c r="Y224" i="42" s="1"/>
  <c r="AM227" i="42"/>
  <c r="AB227" i="42" s="1"/>
  <c r="AM179" i="42"/>
  <c r="AB179" i="42" s="1"/>
  <c r="AL224" i="42"/>
  <c r="AA224" i="42" s="1"/>
  <c r="AF220" i="42"/>
  <c r="U220" i="42" s="1"/>
  <c r="AJ221" i="42"/>
  <c r="Y221" i="42" s="1"/>
  <c r="AI223" i="42"/>
  <c r="X223" i="42" s="1"/>
  <c r="AL225" i="42"/>
  <c r="AA225" i="42" s="1"/>
  <c r="AG235" i="42"/>
  <c r="V235" i="42" s="1"/>
  <c r="AG219" i="42"/>
  <c r="V219" i="42" s="1"/>
  <c r="AJ236" i="42"/>
  <c r="Y236" i="42" s="1"/>
  <c r="AJ220" i="42"/>
  <c r="Y220" i="42" s="1"/>
  <c r="AN237" i="42"/>
  <c r="AC237" i="42" s="1"/>
  <c r="AN221" i="42"/>
  <c r="AC221" i="42" s="1"/>
  <c r="AM239" i="42"/>
  <c r="AB239" i="42" s="1"/>
  <c r="AM223" i="42"/>
  <c r="AB223" i="42" s="1"/>
  <c r="AM242" i="42"/>
  <c r="AB242" i="42" s="1"/>
  <c r="AM226" i="42"/>
  <c r="AB226" i="42" s="1"/>
  <c r="AL237" i="42"/>
  <c r="AA237" i="42" s="1"/>
  <c r="AL221" i="42"/>
  <c r="AA221" i="42" s="1"/>
  <c r="AE235" i="42"/>
  <c r="T235" i="42" s="1"/>
  <c r="AE219" i="42"/>
  <c r="T219" i="42" s="1"/>
  <c r="AK239" i="42"/>
  <c r="Z239" i="42" s="1"/>
  <c r="AK223" i="42"/>
  <c r="Z223" i="42" s="1"/>
  <c r="AL239" i="42"/>
  <c r="AA239" i="42" s="1"/>
  <c r="AL223" i="42"/>
  <c r="AA223" i="42" s="1"/>
  <c r="AI171" i="42"/>
  <c r="X171" i="42" s="1"/>
  <c r="AJ175" i="42"/>
  <c r="Y175" i="42" s="1"/>
  <c r="AN179" i="42"/>
  <c r="AC179" i="42" s="1"/>
  <c r="AJ174" i="42"/>
  <c r="Y174" i="42" s="1"/>
  <c r="AJ171" i="42"/>
  <c r="Y171" i="42" s="1"/>
  <c r="AM172" i="42"/>
  <c r="AB172" i="42" s="1"/>
  <c r="AK176" i="42"/>
  <c r="Z176" i="42" s="1"/>
  <c r="AF172" i="42"/>
  <c r="U172" i="42" s="1"/>
  <c r="AJ173" i="42"/>
  <c r="Y173" i="42" s="1"/>
  <c r="AI175" i="42"/>
  <c r="X175" i="42" s="1"/>
  <c r="AL177" i="42"/>
  <c r="AA177" i="42" s="1"/>
  <c r="AG236" i="42"/>
  <c r="V236" i="42" s="1"/>
  <c r="AK237" i="42"/>
  <c r="Z237" i="42" s="1"/>
  <c r="AM173" i="42"/>
  <c r="AB173" i="42" s="1"/>
  <c r="AL173" i="42"/>
  <c r="AA173" i="42" s="1"/>
  <c r="AF171" i="42"/>
  <c r="U171" i="42" s="1"/>
  <c r="AL175" i="42"/>
  <c r="AA175" i="42" s="1"/>
  <c r="AH235" i="42"/>
  <c r="W235" i="42" s="1"/>
  <c r="AI172" i="42"/>
  <c r="X172" i="42" s="1"/>
  <c r="AL178" i="42"/>
  <c r="AA178" i="42" s="1"/>
  <c r="AH171" i="42"/>
  <c r="W171" i="42" s="1"/>
  <c r="AK172" i="42"/>
  <c r="Z172" i="42" s="1"/>
  <c r="AH174" i="42"/>
  <c r="W174" i="42" s="1"/>
  <c r="AN175" i="42"/>
  <c r="AC175" i="42" s="1"/>
  <c r="AN178" i="42"/>
  <c r="AC178" i="42" s="1"/>
  <c r="AH172" i="42"/>
  <c r="W172" i="42" s="1"/>
  <c r="AK235" i="42"/>
  <c r="Z235" i="42" s="1"/>
  <c r="AN236" i="42"/>
  <c r="AC236" i="42" s="1"/>
  <c r="AK238" i="42"/>
  <c r="Z238" i="42" s="1"/>
  <c r="AL240" i="42"/>
  <c r="AA240" i="42" s="1"/>
  <c r="AN244" i="42"/>
  <c r="AC244" i="42" s="1"/>
  <c r="AK175" i="42"/>
  <c r="Z175" i="42" s="1"/>
  <c r="AK171" i="42"/>
  <c r="Z171" i="42" s="1"/>
  <c r="AN172" i="42"/>
  <c r="AC172" i="42" s="1"/>
  <c r="AK174" i="42"/>
  <c r="Z174" i="42" s="1"/>
  <c r="AL176" i="42"/>
  <c r="AA176" i="42" s="1"/>
  <c r="AN180" i="42"/>
  <c r="AC180" i="42" s="1"/>
  <c r="AL235" i="42"/>
  <c r="AA235" i="42" s="1"/>
  <c r="AL238" i="42"/>
  <c r="AA238" i="42" s="1"/>
  <c r="AM240" i="42"/>
  <c r="AB240" i="42" s="1"/>
  <c r="AL171" i="42"/>
  <c r="AA171" i="42" s="1"/>
  <c r="AL174" i="42"/>
  <c r="AA174" i="42" s="1"/>
  <c r="AM238" i="42"/>
  <c r="AB238" i="42" s="1"/>
  <c r="AN177" i="42"/>
  <c r="AC177" i="42" s="1"/>
  <c r="AG173" i="42"/>
  <c r="V173" i="42" s="1"/>
  <c r="AE171" i="42"/>
  <c r="T171" i="42" s="1"/>
  <c r="AE187" i="42"/>
  <c r="T187" i="42" s="1"/>
  <c r="AM235" i="42"/>
  <c r="AB235" i="42" s="1"/>
  <c r="AN176" i="42"/>
  <c r="AC176" i="42" s="1"/>
  <c r="AM176" i="42"/>
  <c r="AB176" i="42" s="1"/>
  <c r="AM171" i="42"/>
  <c r="AB171" i="42" s="1"/>
  <c r="AH173" i="42"/>
  <c r="W173" i="42" s="1"/>
  <c r="AM174" i="42"/>
  <c r="AB174" i="42" s="1"/>
  <c r="AN235" i="42"/>
  <c r="AC235" i="42" s="1"/>
  <c r="AN171" i="42"/>
  <c r="AC171" i="42" s="1"/>
  <c r="AI173" i="42"/>
  <c r="X173" i="42" s="1"/>
  <c r="AN174" i="42"/>
  <c r="AC174" i="42" s="1"/>
  <c r="AK177" i="42"/>
  <c r="Z177" i="42" s="1"/>
  <c r="AF236" i="42"/>
  <c r="U236" i="42" s="1"/>
  <c r="AJ237" i="42"/>
  <c r="Y237" i="42" s="1"/>
  <c r="AL241" i="42"/>
  <c r="AA241" i="42" s="1"/>
  <c r="AI237" i="42"/>
  <c r="X237" i="42" s="1"/>
  <c r="AN238" i="42"/>
  <c r="AC238" i="42" s="1"/>
  <c r="AK241" i="42"/>
  <c r="Z241" i="42" s="1"/>
  <c r="AI239" i="42"/>
  <c r="X239" i="42" s="1"/>
  <c r="AG237" i="42"/>
  <c r="V237" i="42" s="1"/>
  <c r="AI191" i="42"/>
  <c r="X191" i="42" s="1"/>
  <c r="AM241" i="42"/>
  <c r="AB241" i="42" s="1"/>
  <c r="AF235" i="42"/>
  <c r="U235" i="42" s="1"/>
  <c r="AI236" i="42"/>
  <c r="X236" i="42" s="1"/>
  <c r="AM237" i="42"/>
  <c r="AB237" i="42" s="1"/>
  <c r="AL242" i="42"/>
  <c r="AA242" i="42" s="1"/>
  <c r="AH236" i="42"/>
  <c r="W236" i="42" s="1"/>
  <c r="AN241" i="42"/>
  <c r="AC241" i="42" s="1"/>
  <c r="AM205" i="42"/>
  <c r="AB205" i="42" s="1"/>
  <c r="AN208" i="42"/>
  <c r="AC208" i="42" s="1"/>
  <c r="AJ239" i="42"/>
  <c r="Y239" i="42" s="1"/>
  <c r="AG203" i="42"/>
  <c r="V203" i="42" s="1"/>
  <c r="AK236" i="42"/>
  <c r="Z236" i="42" s="1"/>
  <c r="AH238" i="42"/>
  <c r="W238" i="42" s="1"/>
  <c r="AN239" i="42"/>
  <c r="AC239" i="42" s="1"/>
  <c r="AN242" i="42"/>
  <c r="AC242" i="42" s="1"/>
  <c r="AI235" i="42"/>
  <c r="X235" i="42" s="1"/>
  <c r="AL236" i="42"/>
  <c r="AA236" i="42" s="1"/>
  <c r="AI238" i="42"/>
  <c r="X238" i="42" s="1"/>
  <c r="AJ240" i="42"/>
  <c r="Y240" i="42" s="1"/>
  <c r="AM243" i="42"/>
  <c r="AB243" i="42" s="1"/>
  <c r="AJ235" i="42"/>
  <c r="Y235" i="42" s="1"/>
  <c r="AM236" i="42"/>
  <c r="AB236" i="42" s="1"/>
  <c r="AJ238" i="42"/>
  <c r="Y238" i="42" s="1"/>
  <c r="AK240" i="42"/>
  <c r="Z240" i="42" s="1"/>
  <c r="AN243" i="42"/>
  <c r="AC243" i="42" s="1"/>
  <c r="AH237" i="42"/>
  <c r="W237" i="42" s="1"/>
  <c r="AN240" i="42"/>
  <c r="AC240" i="42" s="1"/>
  <c r="AM209" i="42"/>
  <c r="AB209" i="42" s="1"/>
  <c r="AI187" i="42"/>
  <c r="X187" i="42" s="1"/>
  <c r="AG188" i="42"/>
  <c r="V188" i="42" s="1"/>
  <c r="AK205" i="42"/>
  <c r="Z205" i="42" s="1"/>
  <c r="AN209" i="42"/>
  <c r="AC209" i="42" s="1"/>
  <c r="AH187" i="42"/>
  <c r="W187" i="42" s="1"/>
  <c r="AG205" i="42"/>
  <c r="V205" i="42" s="1"/>
  <c r="AM192" i="42"/>
  <c r="AB192" i="42" s="1"/>
  <c r="AJ206" i="42"/>
  <c r="Y206" i="42" s="1"/>
  <c r="AJ190" i="42"/>
  <c r="Y190" i="42" s="1"/>
  <c r="AK206" i="42"/>
  <c r="Z206" i="42" s="1"/>
  <c r="AK190" i="42"/>
  <c r="Z190" i="42" s="1"/>
  <c r="AI206" i="42"/>
  <c r="X206" i="42" s="1"/>
  <c r="AL188" i="42"/>
  <c r="AA188" i="42" s="1"/>
  <c r="AL204" i="42"/>
  <c r="AA204" i="42" s="1"/>
  <c r="AH189" i="42"/>
  <c r="W189" i="42" s="1"/>
  <c r="AH205" i="42"/>
  <c r="W205" i="42" s="1"/>
  <c r="AK192" i="42"/>
  <c r="Z192" i="42" s="1"/>
  <c r="AL192" i="42"/>
  <c r="AA192" i="42" s="1"/>
  <c r="AL208" i="42"/>
  <c r="AA208" i="42" s="1"/>
  <c r="AL209" i="42"/>
  <c r="AA209" i="42" s="1"/>
  <c r="AL193" i="42"/>
  <c r="AA193" i="42" s="1"/>
  <c r="AF188" i="42"/>
  <c r="U188" i="42" s="1"/>
  <c r="AF204" i="42"/>
  <c r="U204" i="42" s="1"/>
  <c r="AN193" i="42"/>
  <c r="AC193" i="42" s="1"/>
  <c r="AL191" i="42"/>
  <c r="AA191" i="42" s="1"/>
  <c r="AL207" i="42"/>
  <c r="AA207" i="42" s="1"/>
  <c r="AK191" i="42"/>
  <c r="Z191" i="42" s="1"/>
  <c r="AG189" i="42"/>
  <c r="V189" i="42" s="1"/>
  <c r="AH203" i="42"/>
  <c r="W203" i="42" s="1"/>
  <c r="AN210" i="42"/>
  <c r="AC210" i="42" s="1"/>
  <c r="AN194" i="42"/>
  <c r="AC194" i="42" s="1"/>
  <c r="AN211" i="42"/>
  <c r="AC211" i="42" s="1"/>
  <c r="AN195" i="42"/>
  <c r="AC195" i="42" s="1"/>
  <c r="AN212" i="42"/>
  <c r="AC212" i="42" s="1"/>
  <c r="AN196" i="42"/>
  <c r="AC196" i="42" s="1"/>
  <c r="AM191" i="42"/>
  <c r="AB191" i="42" s="1"/>
  <c r="AM207" i="42"/>
  <c r="AB207" i="42" s="1"/>
  <c r="AF187" i="42"/>
  <c r="U187" i="42" s="1"/>
  <c r="AF203" i="42"/>
  <c r="U203" i="42" s="1"/>
  <c r="AM189" i="42"/>
  <c r="AB189" i="42" s="1"/>
  <c r="AL210" i="42"/>
  <c r="AA210" i="42" s="1"/>
  <c r="AL194" i="42"/>
  <c r="AA194" i="42" s="1"/>
  <c r="AJ207" i="42"/>
  <c r="Y207" i="42" s="1"/>
  <c r="AN192" i="42"/>
  <c r="AC192" i="42" s="1"/>
  <c r="AH190" i="42"/>
  <c r="W190" i="42" s="1"/>
  <c r="AH206" i="42"/>
  <c r="W206" i="42" s="1"/>
  <c r="AL205" i="42"/>
  <c r="AA205" i="42" s="1"/>
  <c r="AL189" i="42"/>
  <c r="AA189" i="42" s="1"/>
  <c r="AM204" i="42"/>
  <c r="AB204" i="42" s="1"/>
  <c r="AM188" i="42"/>
  <c r="AB188" i="42" s="1"/>
  <c r="AJ189" i="42"/>
  <c r="Y189" i="42" s="1"/>
  <c r="AJ205" i="42"/>
  <c r="Y205" i="42" s="1"/>
  <c r="AG187" i="42"/>
  <c r="V187" i="42" s="1"/>
  <c r="AJ204" i="42"/>
  <c r="Y204" i="42" s="1"/>
  <c r="AJ188" i="42"/>
  <c r="Y188" i="42" s="1"/>
  <c r="AN189" i="42"/>
  <c r="AC189" i="42" s="1"/>
  <c r="AM210" i="42"/>
  <c r="AB210" i="42" s="1"/>
  <c r="AM194" i="42"/>
  <c r="AB194" i="42" s="1"/>
  <c r="AK189" i="42"/>
  <c r="Z189" i="42" s="1"/>
  <c r="AN205" i="42"/>
  <c r="AC205" i="42" s="1"/>
  <c r="AJ208" i="42"/>
  <c r="Y208" i="42" s="1"/>
  <c r="AJ192" i="42"/>
  <c r="Y192" i="42" s="1"/>
  <c r="AK208" i="42"/>
  <c r="Z208" i="42" s="1"/>
  <c r="AI205" i="42"/>
  <c r="X205" i="42" s="1"/>
  <c r="AI189" i="42"/>
  <c r="X189" i="42" s="1"/>
  <c r="AN204" i="42"/>
  <c r="AC204" i="42" s="1"/>
  <c r="AN188" i="42"/>
  <c r="AC188" i="42" s="1"/>
  <c r="AL190" i="42"/>
  <c r="AA190" i="42" s="1"/>
  <c r="AL206" i="42"/>
  <c r="AA206" i="42" s="1"/>
  <c r="AM208" i="42"/>
  <c r="AB208" i="42" s="1"/>
  <c r="AE203" i="42"/>
  <c r="T203" i="42" s="1"/>
  <c r="AI203" i="42"/>
  <c r="X203" i="42" s="1"/>
  <c r="AI188" i="42"/>
  <c r="X188" i="42" s="1"/>
  <c r="AN207" i="42"/>
  <c r="AC207" i="42" s="1"/>
  <c r="AN191" i="42"/>
  <c r="AC191" i="42" s="1"/>
  <c r="AJ187" i="42"/>
  <c r="Y187" i="42" s="1"/>
  <c r="AJ203" i="42"/>
  <c r="Y203" i="42" s="1"/>
  <c r="AK187" i="42"/>
  <c r="Z187" i="42" s="1"/>
  <c r="AK203" i="42"/>
  <c r="Z203" i="42" s="1"/>
  <c r="AM203" i="42"/>
  <c r="AB203" i="42" s="1"/>
  <c r="AM187" i="42"/>
  <c r="AB187" i="42" s="1"/>
  <c r="AM190" i="42"/>
  <c r="AB190" i="42" s="1"/>
  <c r="AM206" i="42"/>
  <c r="AB206" i="42" s="1"/>
  <c r="AH188" i="42"/>
  <c r="W188" i="42" s="1"/>
  <c r="AK204" i="42"/>
  <c r="Z204" i="42" s="1"/>
  <c r="AK188" i="42"/>
  <c r="Z188" i="42" s="1"/>
  <c r="AL187" i="42"/>
  <c r="AA187" i="42" s="1"/>
  <c r="AL203" i="42"/>
  <c r="AA203" i="42" s="1"/>
  <c r="AN187" i="42"/>
  <c r="AC187" i="42" s="1"/>
  <c r="AN203" i="42"/>
  <c r="AC203" i="42" s="1"/>
  <c r="AN190" i="42"/>
  <c r="AC190" i="42" s="1"/>
  <c r="AN206" i="42"/>
  <c r="AC206" i="42" s="1"/>
  <c r="AK193" i="42"/>
  <c r="Z193" i="42" s="1"/>
  <c r="AK209" i="42"/>
  <c r="Z209" i="42" s="1"/>
  <c r="AI190" i="42"/>
  <c r="X190" i="42" s="1"/>
  <c r="AG204" i="42"/>
  <c r="V204" i="42" s="1"/>
  <c r="AM211" i="42"/>
  <c r="AB211" i="42" s="1"/>
  <c r="AM195" i="42"/>
  <c r="AB195" i="42" s="1"/>
  <c r="AJ191" i="42"/>
  <c r="Y191" i="42" s="1"/>
  <c r="AI204" i="42"/>
  <c r="X204" i="42" s="1"/>
  <c r="AI207" i="42"/>
  <c r="X207" i="42" s="1"/>
  <c r="AM193" i="42"/>
  <c r="AB193" i="42" s="1"/>
  <c r="AH204" i="42"/>
  <c r="W204" i="42" s="1"/>
  <c r="AK207" i="42"/>
  <c r="Z207" i="42" s="1"/>
  <c r="E25" i="42"/>
  <c r="E9" i="42"/>
  <c r="W249" i="42" l="1"/>
  <c r="Z250" i="42"/>
  <c r="T249" i="42"/>
  <c r="Z249" i="42"/>
  <c r="W250" i="42"/>
  <c r="Z251" i="42"/>
  <c r="V54" i="41"/>
  <c r="U54" i="41"/>
  <c r="T54" i="41"/>
  <c r="N54" i="41"/>
  <c r="M54" i="41"/>
  <c r="L54" i="41"/>
  <c r="F54" i="41"/>
  <c r="E54" i="41"/>
  <c r="D54" i="41"/>
  <c r="V53" i="41"/>
  <c r="N53" i="41"/>
  <c r="F53" i="41"/>
  <c r="V52" i="41"/>
  <c r="N52" i="41"/>
  <c r="F52" i="41"/>
  <c r="T46" i="41"/>
  <c r="V46" i="41" s="1"/>
  <c r="T45" i="41"/>
  <c r="V45" i="41" s="1"/>
  <c r="T44" i="41"/>
  <c r="T43" i="41"/>
  <c r="T42" i="41"/>
  <c r="T40" i="41"/>
  <c r="U38" i="41" s="1"/>
  <c r="L46" i="41"/>
  <c r="L45" i="41"/>
  <c r="N45" i="41" s="1"/>
  <c r="L44" i="41"/>
  <c r="L43" i="41"/>
  <c r="N43" i="41" s="1"/>
  <c r="L42" i="41"/>
  <c r="N42" i="41" s="1"/>
  <c r="L40" i="41"/>
  <c r="M27" i="41" s="1"/>
  <c r="D46" i="41"/>
  <c r="F46" i="41" s="1"/>
  <c r="D45" i="41"/>
  <c r="F45" i="41" s="1"/>
  <c r="D44" i="41"/>
  <c r="D43" i="41"/>
  <c r="D42" i="41"/>
  <c r="D40" i="41"/>
  <c r="E35" i="41" s="1"/>
  <c r="K4" i="41"/>
  <c r="K3" i="41"/>
  <c r="K2" i="41"/>
  <c r="N2" i="34"/>
  <c r="V10" i="41"/>
  <c r="T13" i="41" s="1"/>
  <c r="U10" i="41"/>
  <c r="T10" i="41"/>
  <c r="V9" i="41"/>
  <c r="V8" i="41"/>
  <c r="N10" i="41"/>
  <c r="L13" i="41" s="1"/>
  <c r="M10" i="41"/>
  <c r="L10" i="41"/>
  <c r="N9" i="41"/>
  <c r="N8" i="41"/>
  <c r="F10" i="41"/>
  <c r="E10" i="41"/>
  <c r="D10" i="41"/>
  <c r="F9" i="41"/>
  <c r="F8" i="41"/>
  <c r="L39" i="34"/>
  <c r="N44" i="41" l="1"/>
  <c r="M99" i="41" s="1"/>
  <c r="V44" i="41"/>
  <c r="U99" i="41" s="1"/>
  <c r="V42" i="41"/>
  <c r="N46" i="41"/>
  <c r="H44" i="41"/>
  <c r="H46" i="41" s="1"/>
  <c r="E98" i="41" s="1"/>
  <c r="V43" i="41"/>
  <c r="X44" i="41"/>
  <c r="X46" i="41" s="1"/>
  <c r="U98" i="41" s="1"/>
  <c r="F43" i="41"/>
  <c r="F42" i="41"/>
  <c r="F44" i="41"/>
  <c r="E99" i="41" s="1"/>
  <c r="E31" i="41"/>
  <c r="P44" i="41"/>
  <c r="P46" i="41" s="1"/>
  <c r="M98" i="41" s="1"/>
  <c r="U18" i="41"/>
  <c r="V31" i="41"/>
  <c r="V34" i="41"/>
  <c r="V35" i="41"/>
  <c r="V36" i="41"/>
  <c r="V37" i="41"/>
  <c r="V38" i="41"/>
  <c r="V39" i="41"/>
  <c r="V28" i="41"/>
  <c r="V24" i="41"/>
  <c r="V32" i="41"/>
  <c r="V29" i="41"/>
  <c r="V30" i="41"/>
  <c r="V33" i="41"/>
  <c r="V25" i="41"/>
  <c r="V26" i="41"/>
  <c r="V27" i="41"/>
  <c r="P54" i="41"/>
  <c r="E18" i="41"/>
  <c r="F34" i="41"/>
  <c r="F35" i="41"/>
  <c r="F37" i="41"/>
  <c r="F38" i="41"/>
  <c r="F27" i="41"/>
  <c r="F28" i="41"/>
  <c r="F33" i="41"/>
  <c r="F24" i="41"/>
  <c r="F32" i="41"/>
  <c r="F36" i="41"/>
  <c r="F25" i="41"/>
  <c r="F26" i="41"/>
  <c r="F39" i="41"/>
  <c r="F29" i="41"/>
  <c r="F31" i="41"/>
  <c r="F30" i="41"/>
  <c r="U35" i="41"/>
  <c r="U31" i="41"/>
  <c r="X54" i="41"/>
  <c r="N41" i="41"/>
  <c r="P41" i="41" s="1"/>
  <c r="N27" i="41"/>
  <c r="N39" i="41"/>
  <c r="N28" i="41"/>
  <c r="N30" i="41"/>
  <c r="N32" i="41"/>
  <c r="N34" i="41"/>
  <c r="N25" i="41"/>
  <c r="N24" i="41"/>
  <c r="N31" i="41"/>
  <c r="N36" i="41"/>
  <c r="N38" i="41"/>
  <c r="N29" i="41"/>
  <c r="N33" i="41"/>
  <c r="N35" i="41"/>
  <c r="N37" i="41"/>
  <c r="N26" i="41"/>
  <c r="E30" i="41"/>
  <c r="U32" i="41"/>
  <c r="D61" i="41"/>
  <c r="H54" i="41"/>
  <c r="E57" i="41"/>
  <c r="U34" i="41"/>
  <c r="E61" i="41"/>
  <c r="T57" i="41"/>
  <c r="U57" i="41"/>
  <c r="U58" i="41"/>
  <c r="T58" i="41"/>
  <c r="L57" i="41"/>
  <c r="M57" i="41"/>
  <c r="M58" i="41"/>
  <c r="L58" i="41"/>
  <c r="D57" i="41"/>
  <c r="D58" i="41"/>
  <c r="F55" i="41"/>
  <c r="H55" i="41" s="1"/>
  <c r="E58" i="41"/>
  <c r="V41" i="41"/>
  <c r="X41" i="41" s="1"/>
  <c r="D62" i="41"/>
  <c r="E29" i="41"/>
  <c r="E28" i="41"/>
  <c r="L61" i="41"/>
  <c r="M61" i="41"/>
  <c r="E34" i="41"/>
  <c r="M26" i="41"/>
  <c r="E33" i="41"/>
  <c r="M37" i="41"/>
  <c r="U27" i="41"/>
  <c r="E62" i="41"/>
  <c r="D47" i="41"/>
  <c r="E42" i="41" s="1"/>
  <c r="E27" i="41"/>
  <c r="L18" i="41"/>
  <c r="E32" i="41"/>
  <c r="M38" i="41"/>
  <c r="U29" i="41"/>
  <c r="M24" i="41"/>
  <c r="N55" i="41"/>
  <c r="P55" i="41" s="1"/>
  <c r="U30" i="41"/>
  <c r="U24" i="41"/>
  <c r="V55" i="41"/>
  <c r="X55" i="41" s="1"/>
  <c r="L62" i="41"/>
  <c r="M62" i="41"/>
  <c r="T62" i="41"/>
  <c r="E38" i="41"/>
  <c r="E26" i="41"/>
  <c r="E37" i="41"/>
  <c r="E25" i="41"/>
  <c r="F41" i="41"/>
  <c r="H41" i="41" s="1"/>
  <c r="T61" i="41"/>
  <c r="U62" i="41"/>
  <c r="E24" i="41"/>
  <c r="E39" i="41"/>
  <c r="E36" i="41"/>
  <c r="U61" i="41"/>
  <c r="M25" i="41"/>
  <c r="U36" i="41"/>
  <c r="U25" i="41"/>
  <c r="U37" i="41"/>
  <c r="U26" i="41"/>
  <c r="U39" i="41"/>
  <c r="U28" i="41"/>
  <c r="U33" i="41"/>
  <c r="T47" i="41"/>
  <c r="U44" i="41" s="1"/>
  <c r="L47" i="41"/>
  <c r="M42" i="41" s="1"/>
  <c r="M29" i="41"/>
  <c r="M30" i="41"/>
  <c r="M31" i="41"/>
  <c r="M32" i="41"/>
  <c r="M33" i="41"/>
  <c r="M39" i="41"/>
  <c r="M28" i="41"/>
  <c r="M34" i="41"/>
  <c r="M35" i="41"/>
  <c r="M36" i="41"/>
  <c r="T17" i="41"/>
  <c r="D17" i="41"/>
  <c r="U17" i="41"/>
  <c r="H10" i="41"/>
  <c r="V11" i="41"/>
  <c r="X11" i="41" s="1"/>
  <c r="N11" i="41"/>
  <c r="P11" i="41" s="1"/>
  <c r="T18" i="41"/>
  <c r="P10" i="41"/>
  <c r="L17" i="41"/>
  <c r="M18" i="41"/>
  <c r="M17" i="41"/>
  <c r="E17" i="41"/>
  <c r="D18" i="41"/>
  <c r="U13" i="41"/>
  <c r="U14" i="41"/>
  <c r="T14" i="41"/>
  <c r="X10" i="41"/>
  <c r="M13" i="41"/>
  <c r="M14" i="41"/>
  <c r="L14" i="41"/>
  <c r="D14" i="41"/>
  <c r="D13" i="41"/>
  <c r="E13" i="41"/>
  <c r="E14" i="41"/>
  <c r="F11" i="41"/>
  <c r="H11" i="41" s="1"/>
  <c r="G98" i="41" l="1"/>
  <c r="N47" i="41"/>
  <c r="F61" i="41"/>
  <c r="V47" i="41"/>
  <c r="W98" i="41"/>
  <c r="F47" i="41"/>
  <c r="V18" i="41"/>
  <c r="O98" i="41"/>
  <c r="F18" i="41"/>
  <c r="P57" i="41"/>
  <c r="P13" i="41"/>
  <c r="V40" i="41"/>
  <c r="X61" i="41"/>
  <c r="X57" i="41"/>
  <c r="H17" i="41"/>
  <c r="G97" i="41" s="1"/>
  <c r="F40" i="41"/>
  <c r="X17" i="41"/>
  <c r="P17" i="41"/>
  <c r="H57" i="41"/>
  <c r="H61" i="41"/>
  <c r="E100" i="41" s="1"/>
  <c r="G99" i="41" s="1"/>
  <c r="H13" i="41"/>
  <c r="V61" i="41"/>
  <c r="N18" i="41"/>
  <c r="V13" i="41"/>
  <c r="X13" i="41"/>
  <c r="N40" i="41"/>
  <c r="P61" i="41"/>
  <c r="V62" i="41"/>
  <c r="V58" i="41"/>
  <c r="V57" i="41"/>
  <c r="N58" i="41"/>
  <c r="N57" i="41"/>
  <c r="F57" i="41"/>
  <c r="F58" i="41"/>
  <c r="U40" i="41"/>
  <c r="N61" i="41"/>
  <c r="N62" i="41"/>
  <c r="E44" i="41"/>
  <c r="E45" i="41"/>
  <c r="F62" i="41"/>
  <c r="H62" i="41" s="1"/>
  <c r="E46" i="41"/>
  <c r="E40" i="41"/>
  <c r="E43" i="41"/>
  <c r="U45" i="41"/>
  <c r="U42" i="41"/>
  <c r="U46" i="41"/>
  <c r="U43" i="41"/>
  <c r="X45" i="41" s="1"/>
  <c r="M45" i="41"/>
  <c r="M46" i="41"/>
  <c r="M44" i="41"/>
  <c r="M43" i="41"/>
  <c r="M40" i="41"/>
  <c r="V17" i="41"/>
  <c r="F14" i="41"/>
  <c r="F17" i="41"/>
  <c r="N17" i="41"/>
  <c r="V14" i="41"/>
  <c r="N14" i="41"/>
  <c r="N13" i="41"/>
  <c r="F13" i="41"/>
  <c r="W97" i="41" l="1"/>
  <c r="U97" i="41"/>
  <c r="O97" i="41"/>
  <c r="M97" i="41"/>
  <c r="P45" i="41"/>
  <c r="O99" i="41"/>
  <c r="P99" i="41" s="1"/>
  <c r="M100" i="41"/>
  <c r="W99" i="41"/>
  <c r="U100" i="41"/>
  <c r="H58" i="41"/>
  <c r="H18" i="41"/>
  <c r="X58" i="41"/>
  <c r="X18" i="41"/>
  <c r="P58" i="41"/>
  <c r="H45" i="41"/>
  <c r="E47" i="41"/>
  <c r="X62" i="41"/>
  <c r="X14" i="41"/>
  <c r="P18" i="41"/>
  <c r="P62" i="41"/>
  <c r="U47" i="41"/>
  <c r="M47" i="41"/>
  <c r="H14" i="41"/>
  <c r="P14" i="41"/>
  <c r="X99" i="41" l="1"/>
  <c r="D257" i="34"/>
  <c r="R265" i="34"/>
  <c r="S265" i="34"/>
  <c r="T265" i="34"/>
  <c r="U265" i="34"/>
  <c r="Q265" i="34"/>
  <c r="R263" i="34"/>
  <c r="S263" i="34"/>
  <c r="T263" i="34"/>
  <c r="U263" i="34"/>
  <c r="Q263" i="34"/>
  <c r="R257" i="34"/>
  <c r="S257" i="34"/>
  <c r="T257" i="34"/>
  <c r="U257" i="34"/>
  <c r="Q257" i="34"/>
  <c r="D265" i="34"/>
  <c r="E265" i="34"/>
  <c r="F265" i="34"/>
  <c r="G265" i="34"/>
  <c r="H265" i="34"/>
  <c r="E263" i="34"/>
  <c r="F263" i="34"/>
  <c r="G263" i="34"/>
  <c r="H263" i="34"/>
  <c r="D263" i="34"/>
  <c r="N263" i="34" s="1"/>
  <c r="E257" i="34"/>
  <c r="F257" i="34"/>
  <c r="G257" i="34"/>
  <c r="H257" i="34"/>
  <c r="D232" i="34"/>
  <c r="R240" i="34"/>
  <c r="S240" i="34"/>
  <c r="T240" i="34"/>
  <c r="U240" i="34"/>
  <c r="Q240" i="34"/>
  <c r="R238" i="34"/>
  <c r="S238" i="34"/>
  <c r="T238" i="34"/>
  <c r="U238" i="34"/>
  <c r="Q238" i="34"/>
  <c r="R232" i="34"/>
  <c r="S232" i="34"/>
  <c r="T232" i="34"/>
  <c r="U232" i="34"/>
  <c r="Q232" i="34"/>
  <c r="E240" i="34"/>
  <c r="F240" i="34"/>
  <c r="G240" i="34"/>
  <c r="H240" i="34"/>
  <c r="D240" i="34"/>
  <c r="E238" i="34"/>
  <c r="F238" i="34"/>
  <c r="G238" i="34"/>
  <c r="H238" i="34"/>
  <c r="D238" i="34"/>
  <c r="E232" i="34"/>
  <c r="F232" i="34"/>
  <c r="G232" i="34"/>
  <c r="H232" i="34"/>
  <c r="D207" i="34"/>
  <c r="R215" i="34"/>
  <c r="S215" i="34"/>
  <c r="T215" i="34"/>
  <c r="U215" i="34"/>
  <c r="Q215" i="34"/>
  <c r="R213" i="34"/>
  <c r="S213" i="34"/>
  <c r="T213" i="34"/>
  <c r="U213" i="34"/>
  <c r="Q213" i="34"/>
  <c r="R207" i="34"/>
  <c r="S207" i="34"/>
  <c r="T207" i="34"/>
  <c r="U207" i="34"/>
  <c r="Q207" i="34"/>
  <c r="E215" i="34"/>
  <c r="F215" i="34"/>
  <c r="G215" i="34"/>
  <c r="H215" i="34"/>
  <c r="D215" i="34"/>
  <c r="E213" i="34"/>
  <c r="F213" i="34"/>
  <c r="G213" i="34"/>
  <c r="H213" i="34"/>
  <c r="D213" i="34"/>
  <c r="N213" i="34" s="1"/>
  <c r="E207" i="34"/>
  <c r="F207" i="34"/>
  <c r="G207" i="34"/>
  <c r="H207" i="34"/>
  <c r="D182" i="34"/>
  <c r="R190" i="34"/>
  <c r="S190" i="34"/>
  <c r="T190" i="34"/>
  <c r="U190" i="34"/>
  <c r="Q190" i="34"/>
  <c r="R188" i="34"/>
  <c r="S188" i="34"/>
  <c r="T188" i="34"/>
  <c r="U188" i="34"/>
  <c r="Q188" i="34"/>
  <c r="R182" i="34"/>
  <c r="S182" i="34"/>
  <c r="T182" i="34"/>
  <c r="U182" i="34"/>
  <c r="Q182" i="34"/>
  <c r="E190" i="34"/>
  <c r="F190" i="34"/>
  <c r="G190" i="34"/>
  <c r="H190" i="34"/>
  <c r="D190" i="34"/>
  <c r="E188" i="34"/>
  <c r="F188" i="34"/>
  <c r="G188" i="34"/>
  <c r="H188" i="34"/>
  <c r="D188" i="34"/>
  <c r="E182" i="34"/>
  <c r="F182" i="34"/>
  <c r="G182" i="34"/>
  <c r="H182" i="34"/>
  <c r="D157" i="34"/>
  <c r="R165" i="34"/>
  <c r="S165" i="34"/>
  <c r="T165" i="34"/>
  <c r="U165" i="34"/>
  <c r="Q165" i="34"/>
  <c r="R163" i="34"/>
  <c r="S163" i="34"/>
  <c r="T163" i="34"/>
  <c r="U163" i="34"/>
  <c r="Q163" i="34"/>
  <c r="R157" i="34"/>
  <c r="S157" i="34"/>
  <c r="T157" i="34"/>
  <c r="U157" i="34"/>
  <c r="Q157" i="34"/>
  <c r="D165" i="34"/>
  <c r="E165" i="34"/>
  <c r="F165" i="34"/>
  <c r="G165" i="34"/>
  <c r="H165" i="34"/>
  <c r="E163" i="34"/>
  <c r="N163" i="34" s="1"/>
  <c r="F163" i="34"/>
  <c r="G163" i="34"/>
  <c r="H163" i="34"/>
  <c r="D163" i="34"/>
  <c r="E157" i="34"/>
  <c r="F157" i="34"/>
  <c r="G157" i="34"/>
  <c r="H157" i="34"/>
  <c r="D132" i="34"/>
  <c r="R140" i="34"/>
  <c r="S140" i="34"/>
  <c r="T140" i="34"/>
  <c r="U140" i="34"/>
  <c r="Q140" i="34"/>
  <c r="R138" i="34"/>
  <c r="S138" i="34"/>
  <c r="T138" i="34"/>
  <c r="U138" i="34"/>
  <c r="Q138" i="34"/>
  <c r="R132" i="34"/>
  <c r="S132" i="34"/>
  <c r="T132" i="34"/>
  <c r="U132" i="34"/>
  <c r="Q132" i="34"/>
  <c r="D140" i="34"/>
  <c r="E140" i="34"/>
  <c r="F140" i="34"/>
  <c r="G140" i="34"/>
  <c r="H140" i="34"/>
  <c r="E138" i="34"/>
  <c r="N138" i="34" s="1"/>
  <c r="F138" i="34"/>
  <c r="G138" i="34"/>
  <c r="H138" i="34"/>
  <c r="D138" i="34"/>
  <c r="E132" i="34"/>
  <c r="F132" i="34"/>
  <c r="G132" i="34"/>
  <c r="H132" i="34"/>
  <c r="D107" i="34"/>
  <c r="R115" i="34"/>
  <c r="S115" i="34"/>
  <c r="T115" i="34"/>
  <c r="U115" i="34"/>
  <c r="Q115" i="34"/>
  <c r="R113" i="34"/>
  <c r="S113" i="34"/>
  <c r="T113" i="34"/>
  <c r="U113" i="34"/>
  <c r="Q113" i="34"/>
  <c r="Q107" i="34"/>
  <c r="R107" i="34"/>
  <c r="S107" i="34"/>
  <c r="T107" i="34"/>
  <c r="U107" i="34"/>
  <c r="Q82" i="34"/>
  <c r="E115" i="34"/>
  <c r="F115" i="34"/>
  <c r="G115" i="34"/>
  <c r="H115" i="34"/>
  <c r="D115" i="34"/>
  <c r="H113" i="34"/>
  <c r="E113" i="34"/>
  <c r="F113" i="34"/>
  <c r="G113" i="34"/>
  <c r="D113" i="34"/>
  <c r="E107" i="34"/>
  <c r="F107" i="34"/>
  <c r="G107" i="34"/>
  <c r="H107" i="34"/>
  <c r="D82" i="34"/>
  <c r="R90" i="34"/>
  <c r="S90" i="34"/>
  <c r="T90" i="34"/>
  <c r="U90" i="34"/>
  <c r="Q90" i="34"/>
  <c r="R88" i="34"/>
  <c r="S88" i="34"/>
  <c r="T88" i="34"/>
  <c r="U88" i="34"/>
  <c r="Q88" i="34"/>
  <c r="R82" i="34"/>
  <c r="S82" i="34"/>
  <c r="T82" i="34"/>
  <c r="U82" i="34"/>
  <c r="Q57" i="34"/>
  <c r="E90" i="34"/>
  <c r="F90" i="34"/>
  <c r="G90" i="34"/>
  <c r="H90" i="34"/>
  <c r="D90" i="34"/>
  <c r="E88" i="34"/>
  <c r="F88" i="34"/>
  <c r="G88" i="34"/>
  <c r="H88" i="34"/>
  <c r="D88" i="34"/>
  <c r="E82" i="34"/>
  <c r="F82" i="34"/>
  <c r="G82" i="34"/>
  <c r="H82" i="34"/>
  <c r="D57" i="34"/>
  <c r="R65" i="34"/>
  <c r="S65" i="34"/>
  <c r="T65" i="34"/>
  <c r="U65" i="34"/>
  <c r="Q65" i="34"/>
  <c r="R63" i="34"/>
  <c r="S63" i="34"/>
  <c r="T63" i="34"/>
  <c r="U63" i="34"/>
  <c r="Q63" i="34"/>
  <c r="R57" i="34"/>
  <c r="S57" i="34"/>
  <c r="T57" i="34"/>
  <c r="U57" i="34"/>
  <c r="Q32" i="34"/>
  <c r="E65" i="34"/>
  <c r="F65" i="34"/>
  <c r="G65" i="34"/>
  <c r="H65" i="34"/>
  <c r="D65" i="34"/>
  <c r="E63" i="34"/>
  <c r="F63" i="34"/>
  <c r="N63" i="34" s="1"/>
  <c r="G63" i="34"/>
  <c r="H63" i="34"/>
  <c r="D63" i="34"/>
  <c r="E57" i="34"/>
  <c r="F57" i="34"/>
  <c r="G57" i="34"/>
  <c r="H57" i="34"/>
  <c r="D32" i="34"/>
  <c r="R40" i="34"/>
  <c r="S40" i="34"/>
  <c r="T40" i="34"/>
  <c r="U40" i="34"/>
  <c r="Q40" i="34"/>
  <c r="R38" i="34"/>
  <c r="S38" i="34"/>
  <c r="T38" i="34"/>
  <c r="U38" i="34"/>
  <c r="Q38" i="34"/>
  <c r="R32" i="34"/>
  <c r="S32" i="34"/>
  <c r="T32" i="34"/>
  <c r="U32" i="34"/>
  <c r="Q7" i="34"/>
  <c r="E40" i="34"/>
  <c r="F40" i="34"/>
  <c r="G40" i="34"/>
  <c r="H40" i="34"/>
  <c r="D40" i="34"/>
  <c r="E38" i="34"/>
  <c r="F38" i="34"/>
  <c r="G38" i="34"/>
  <c r="H38" i="34"/>
  <c r="D38" i="34"/>
  <c r="E32" i="34"/>
  <c r="F32" i="34"/>
  <c r="G32" i="34"/>
  <c r="H32" i="34"/>
  <c r="D7" i="34"/>
  <c r="N238" i="34"/>
  <c r="N13" i="34"/>
  <c r="N3" i="34"/>
  <c r="E15" i="34"/>
  <c r="F15" i="34"/>
  <c r="G15" i="34"/>
  <c r="H15" i="34"/>
  <c r="D15" i="34"/>
  <c r="E13" i="34"/>
  <c r="F13" i="34"/>
  <c r="G13" i="34"/>
  <c r="H13" i="34"/>
  <c r="D13" i="34"/>
  <c r="E7" i="34"/>
  <c r="F7" i="34"/>
  <c r="G7" i="34"/>
  <c r="H7" i="34"/>
  <c r="R15" i="34"/>
  <c r="S15" i="34"/>
  <c r="T15" i="34"/>
  <c r="U15" i="34"/>
  <c r="Q15" i="34"/>
  <c r="Q13" i="34"/>
  <c r="R13" i="34"/>
  <c r="S13" i="34"/>
  <c r="T13" i="34"/>
  <c r="U13" i="34"/>
  <c r="R7" i="34"/>
  <c r="S7" i="34"/>
  <c r="T7" i="34"/>
  <c r="U7" i="34"/>
  <c r="N188" i="34" l="1"/>
  <c r="N113" i="34"/>
  <c r="N88" i="34"/>
  <c r="N38" i="34"/>
  <c r="E528" i="27"/>
  <c r="F528" i="27"/>
  <c r="G528" i="27"/>
  <c r="H528" i="27"/>
  <c r="D528" i="27"/>
  <c r="E526" i="27"/>
  <c r="F526" i="27"/>
  <c r="G526" i="27"/>
  <c r="H526" i="27"/>
  <c r="D526" i="27"/>
  <c r="E524" i="27"/>
  <c r="F524" i="27"/>
  <c r="G524" i="27"/>
  <c r="H524" i="27"/>
  <c r="D524" i="27"/>
  <c r="K524" i="27" s="1"/>
  <c r="E519" i="27"/>
  <c r="F519" i="27"/>
  <c r="G519" i="27"/>
  <c r="H519" i="27"/>
  <c r="D519" i="27"/>
  <c r="E517" i="27"/>
  <c r="F517" i="27"/>
  <c r="G517" i="27"/>
  <c r="H517" i="27"/>
  <c r="D517" i="27"/>
  <c r="E515" i="27"/>
  <c r="F515" i="27"/>
  <c r="G515" i="27"/>
  <c r="H515" i="27"/>
  <c r="D515" i="27"/>
  <c r="E510" i="27"/>
  <c r="F510" i="27"/>
  <c r="G510" i="27"/>
  <c r="H510" i="27"/>
  <c r="D510" i="27"/>
  <c r="E508" i="27"/>
  <c r="F508" i="27"/>
  <c r="G508" i="27"/>
  <c r="H508" i="27"/>
  <c r="D508" i="27"/>
  <c r="E506" i="27"/>
  <c r="F506" i="27"/>
  <c r="G506" i="27"/>
  <c r="H506" i="27"/>
  <c r="D506" i="27"/>
  <c r="E501" i="27"/>
  <c r="F501" i="27"/>
  <c r="G501" i="27"/>
  <c r="H501" i="27"/>
  <c r="D501" i="27"/>
  <c r="E500" i="27"/>
  <c r="F500" i="27"/>
  <c r="G500" i="27"/>
  <c r="H500" i="27"/>
  <c r="D500" i="27"/>
  <c r="D502" i="27"/>
  <c r="D503" i="27"/>
  <c r="D504" i="27" s="1"/>
  <c r="D494" i="27"/>
  <c r="D488" i="27"/>
  <c r="E488" i="27"/>
  <c r="F488" i="27"/>
  <c r="G488" i="27"/>
  <c r="H488" i="27"/>
  <c r="D489" i="27"/>
  <c r="E489" i="27"/>
  <c r="F489" i="27"/>
  <c r="G489" i="27"/>
  <c r="H489" i="27"/>
  <c r="D490" i="27"/>
  <c r="E490" i="27"/>
  <c r="F490" i="27"/>
  <c r="G490" i="27"/>
  <c r="H490" i="27"/>
  <c r="D491" i="27"/>
  <c r="E491" i="27"/>
  <c r="F491" i="27"/>
  <c r="G491" i="27"/>
  <c r="H491" i="27"/>
  <c r="D492" i="27"/>
  <c r="E492" i="27"/>
  <c r="F492" i="27"/>
  <c r="G492" i="27"/>
  <c r="H492" i="27"/>
  <c r="D493" i="27"/>
  <c r="E493" i="27"/>
  <c r="F493" i="27"/>
  <c r="K493" i="27" s="1"/>
  <c r="G493" i="27"/>
  <c r="H493" i="27"/>
  <c r="E494" i="27"/>
  <c r="F494" i="27"/>
  <c r="K494" i="27" s="1"/>
  <c r="G494" i="27"/>
  <c r="H494" i="27"/>
  <c r="E486" i="27"/>
  <c r="F486" i="27"/>
  <c r="G486" i="27"/>
  <c r="H486" i="27"/>
  <c r="D486" i="27"/>
  <c r="D438" i="27"/>
  <c r="E480" i="27"/>
  <c r="F480" i="27"/>
  <c r="G480" i="27"/>
  <c r="H480" i="27"/>
  <c r="D480" i="27"/>
  <c r="E478" i="27"/>
  <c r="F478" i="27"/>
  <c r="G478" i="27"/>
  <c r="H478" i="27"/>
  <c r="D478" i="27"/>
  <c r="E476" i="27"/>
  <c r="F476" i="27"/>
  <c r="G476" i="27"/>
  <c r="H476" i="27"/>
  <c r="D476" i="27"/>
  <c r="E471" i="27"/>
  <c r="F471" i="27"/>
  <c r="G471" i="27"/>
  <c r="H471" i="27"/>
  <c r="D471" i="27"/>
  <c r="E469" i="27"/>
  <c r="F469" i="27"/>
  <c r="K469" i="27" s="1"/>
  <c r="G469" i="27"/>
  <c r="H469" i="27"/>
  <c r="D469" i="27"/>
  <c r="E467" i="27"/>
  <c r="F467" i="27"/>
  <c r="G467" i="27"/>
  <c r="H467" i="27"/>
  <c r="D467" i="27"/>
  <c r="E462" i="27"/>
  <c r="F462" i="27"/>
  <c r="G462" i="27"/>
  <c r="H462" i="27"/>
  <c r="D462" i="27"/>
  <c r="E460" i="27"/>
  <c r="F460" i="27"/>
  <c r="G460" i="27"/>
  <c r="H460" i="27"/>
  <c r="D460" i="27"/>
  <c r="E458" i="27"/>
  <c r="F458" i="27"/>
  <c r="G458" i="27"/>
  <c r="H458" i="27"/>
  <c r="D458" i="27"/>
  <c r="E453" i="27"/>
  <c r="F453" i="27"/>
  <c r="G453" i="27"/>
  <c r="H453" i="27"/>
  <c r="D453" i="27"/>
  <c r="E452" i="27"/>
  <c r="F452" i="27"/>
  <c r="G452" i="27"/>
  <c r="H452" i="27"/>
  <c r="D452" i="27"/>
  <c r="D446" i="27"/>
  <c r="D440" i="27"/>
  <c r="E440" i="27"/>
  <c r="F440" i="27"/>
  <c r="G440" i="27"/>
  <c r="H440" i="27"/>
  <c r="D441" i="27"/>
  <c r="E441" i="27"/>
  <c r="F441" i="27"/>
  <c r="G441" i="27"/>
  <c r="H441" i="27"/>
  <c r="D442" i="27"/>
  <c r="E442" i="27"/>
  <c r="F442" i="27"/>
  <c r="G442" i="27"/>
  <c r="H442" i="27"/>
  <c r="D443" i="27"/>
  <c r="E443" i="27"/>
  <c r="F443" i="27"/>
  <c r="G443" i="27"/>
  <c r="H443" i="27"/>
  <c r="D444" i="27"/>
  <c r="E444" i="27"/>
  <c r="F444" i="27"/>
  <c r="G444" i="27"/>
  <c r="H444" i="27"/>
  <c r="D445" i="27"/>
  <c r="K445" i="27" s="1"/>
  <c r="E445" i="27"/>
  <c r="F445" i="27"/>
  <c r="G445" i="27"/>
  <c r="H445" i="27"/>
  <c r="K446" i="27"/>
  <c r="E446" i="27"/>
  <c r="F446" i="27"/>
  <c r="G446" i="27"/>
  <c r="H446" i="27"/>
  <c r="E438" i="27"/>
  <c r="F438" i="27"/>
  <c r="G438" i="27"/>
  <c r="H438" i="27"/>
  <c r="D390" i="27"/>
  <c r="E432" i="27"/>
  <c r="F432" i="27"/>
  <c r="G432" i="27"/>
  <c r="H432" i="27"/>
  <c r="D432" i="27"/>
  <c r="E430" i="27"/>
  <c r="F430" i="27"/>
  <c r="G430" i="27"/>
  <c r="H430" i="27"/>
  <c r="D430" i="27"/>
  <c r="E428" i="27"/>
  <c r="F428" i="27"/>
  <c r="G428" i="27"/>
  <c r="H428" i="27"/>
  <c r="D428" i="27"/>
  <c r="E423" i="27"/>
  <c r="F423" i="27"/>
  <c r="G423" i="27"/>
  <c r="H423" i="27"/>
  <c r="D423" i="27"/>
  <c r="E421" i="27"/>
  <c r="F421" i="27"/>
  <c r="G421" i="27"/>
  <c r="H421" i="27"/>
  <c r="D421" i="27"/>
  <c r="E419" i="27"/>
  <c r="F419" i="27"/>
  <c r="G419" i="27"/>
  <c r="H419" i="27"/>
  <c r="D419" i="27"/>
  <c r="K419" i="27" s="1"/>
  <c r="E414" i="27"/>
  <c r="F414" i="27"/>
  <c r="G414" i="27"/>
  <c r="H414" i="27"/>
  <c r="D414" i="27"/>
  <c r="E412" i="27"/>
  <c r="F412" i="27"/>
  <c r="G412" i="27"/>
  <c r="H412" i="27"/>
  <c r="D412" i="27"/>
  <c r="E410" i="27"/>
  <c r="F410" i="27"/>
  <c r="G410" i="27"/>
  <c r="H410" i="27"/>
  <c r="D410" i="27"/>
  <c r="E405" i="27"/>
  <c r="F405" i="27"/>
  <c r="G405" i="27"/>
  <c r="H405" i="27"/>
  <c r="D405" i="27"/>
  <c r="E404" i="27"/>
  <c r="F404" i="27"/>
  <c r="G404" i="27"/>
  <c r="H404" i="27"/>
  <c r="D404" i="27"/>
  <c r="D398" i="27"/>
  <c r="D392" i="27"/>
  <c r="E392" i="27"/>
  <c r="F392" i="27"/>
  <c r="G392" i="27"/>
  <c r="H392" i="27"/>
  <c r="D393" i="27"/>
  <c r="E393" i="27"/>
  <c r="F393" i="27"/>
  <c r="G393" i="27"/>
  <c r="H393" i="27"/>
  <c r="D394" i="27"/>
  <c r="E394" i="27"/>
  <c r="F394" i="27"/>
  <c r="G394" i="27"/>
  <c r="H394" i="27"/>
  <c r="D395" i="27"/>
  <c r="E395" i="27"/>
  <c r="F395" i="27"/>
  <c r="G395" i="27"/>
  <c r="H395" i="27"/>
  <c r="D396" i="27"/>
  <c r="E396" i="27"/>
  <c r="F396" i="27"/>
  <c r="G396" i="27"/>
  <c r="H396" i="27"/>
  <c r="D397" i="27"/>
  <c r="E397" i="27"/>
  <c r="F397" i="27"/>
  <c r="G397" i="27"/>
  <c r="H397" i="27"/>
  <c r="K397" i="27" s="1"/>
  <c r="K398" i="27"/>
  <c r="E398" i="27"/>
  <c r="F398" i="27"/>
  <c r="G398" i="27"/>
  <c r="H398" i="27"/>
  <c r="E390" i="27"/>
  <c r="F390" i="27"/>
  <c r="G390" i="27"/>
  <c r="H390" i="27"/>
  <c r="D342" i="27"/>
  <c r="E384" i="27"/>
  <c r="F384" i="27"/>
  <c r="G384" i="27"/>
  <c r="H384" i="27"/>
  <c r="D384" i="27"/>
  <c r="E382" i="27"/>
  <c r="F382" i="27"/>
  <c r="G382" i="27"/>
  <c r="H382" i="27"/>
  <c r="D382" i="27"/>
  <c r="E380" i="27"/>
  <c r="F380" i="27"/>
  <c r="K380" i="27" s="1"/>
  <c r="G380" i="27"/>
  <c r="H380" i="27"/>
  <c r="D380" i="27"/>
  <c r="E375" i="27"/>
  <c r="F375" i="27"/>
  <c r="G375" i="27"/>
  <c r="H375" i="27"/>
  <c r="D375" i="27"/>
  <c r="E373" i="27"/>
  <c r="F373" i="27"/>
  <c r="G373" i="27"/>
  <c r="H373" i="27"/>
  <c r="D373" i="27"/>
  <c r="E371" i="27"/>
  <c r="F371" i="27"/>
  <c r="G371" i="27"/>
  <c r="H371" i="27"/>
  <c r="D371" i="27"/>
  <c r="E366" i="27"/>
  <c r="F366" i="27"/>
  <c r="G366" i="27"/>
  <c r="H366" i="27"/>
  <c r="D366" i="27"/>
  <c r="E364" i="27"/>
  <c r="F364" i="27"/>
  <c r="G364" i="27"/>
  <c r="H364" i="27"/>
  <c r="D364" i="27"/>
  <c r="E362" i="27"/>
  <c r="F362" i="27"/>
  <c r="G362" i="27"/>
  <c r="H362" i="27"/>
  <c r="D362" i="27"/>
  <c r="K362" i="27"/>
  <c r="E357" i="27"/>
  <c r="F357" i="27"/>
  <c r="G357" i="27"/>
  <c r="H357" i="27"/>
  <c r="D357" i="27"/>
  <c r="E356" i="27"/>
  <c r="F356" i="27"/>
  <c r="G356" i="27"/>
  <c r="H356" i="27"/>
  <c r="D356" i="27"/>
  <c r="D350" i="27"/>
  <c r="D344" i="27"/>
  <c r="E344" i="27"/>
  <c r="F344" i="27"/>
  <c r="G344" i="27"/>
  <c r="H344" i="27"/>
  <c r="D345" i="27"/>
  <c r="E345" i="27"/>
  <c r="F345" i="27"/>
  <c r="G345" i="27"/>
  <c r="H345" i="27"/>
  <c r="D346" i="27"/>
  <c r="E346" i="27"/>
  <c r="F346" i="27"/>
  <c r="G346" i="27"/>
  <c r="H346" i="27"/>
  <c r="D347" i="27"/>
  <c r="E347" i="27"/>
  <c r="F347" i="27"/>
  <c r="G347" i="27"/>
  <c r="H347" i="27"/>
  <c r="D348" i="27"/>
  <c r="E348" i="27"/>
  <c r="F348" i="27"/>
  <c r="G348" i="27"/>
  <c r="H348" i="27"/>
  <c r="D349" i="27"/>
  <c r="E349" i="27"/>
  <c r="F349" i="27"/>
  <c r="G349" i="27"/>
  <c r="H349" i="27"/>
  <c r="K350" i="27"/>
  <c r="E350" i="27"/>
  <c r="F350" i="27"/>
  <c r="G350" i="27"/>
  <c r="H350" i="27"/>
  <c r="K349" i="27"/>
  <c r="E342" i="27"/>
  <c r="F342" i="27"/>
  <c r="G342" i="27"/>
  <c r="H342" i="27"/>
  <c r="D294" i="27"/>
  <c r="E336" i="27"/>
  <c r="F336" i="27"/>
  <c r="G336" i="27"/>
  <c r="H336" i="27"/>
  <c r="D336" i="27"/>
  <c r="E334" i="27"/>
  <c r="F334" i="27"/>
  <c r="G334" i="27"/>
  <c r="H334" i="27"/>
  <c r="D334" i="27"/>
  <c r="E332" i="27"/>
  <c r="F332" i="27"/>
  <c r="G332" i="27"/>
  <c r="H332" i="27"/>
  <c r="D332" i="27"/>
  <c r="E327" i="27"/>
  <c r="F327" i="27"/>
  <c r="G327" i="27"/>
  <c r="H327" i="27"/>
  <c r="D327" i="27"/>
  <c r="E325" i="27"/>
  <c r="F325" i="27"/>
  <c r="G325" i="27"/>
  <c r="H325" i="27"/>
  <c r="D325" i="27"/>
  <c r="E323" i="27"/>
  <c r="F323" i="27"/>
  <c r="G323" i="27"/>
  <c r="H323" i="27"/>
  <c r="D323" i="27"/>
  <c r="E318" i="27"/>
  <c r="F318" i="27"/>
  <c r="G318" i="27"/>
  <c r="H318" i="27"/>
  <c r="D318" i="27"/>
  <c r="E316" i="27"/>
  <c r="K316" i="27" s="1"/>
  <c r="F316" i="27"/>
  <c r="G316" i="27"/>
  <c r="H316" i="27"/>
  <c r="D316" i="27"/>
  <c r="E314" i="27"/>
  <c r="F314" i="27"/>
  <c r="G314" i="27"/>
  <c r="H314" i="27"/>
  <c r="D314" i="27"/>
  <c r="E309" i="27"/>
  <c r="F309" i="27"/>
  <c r="G309" i="27"/>
  <c r="H309" i="27"/>
  <c r="D309" i="27"/>
  <c r="E308" i="27"/>
  <c r="F308" i="27"/>
  <c r="G308" i="27"/>
  <c r="H308" i="27"/>
  <c r="D308" i="27"/>
  <c r="D302" i="27"/>
  <c r="D296" i="27"/>
  <c r="E296" i="27"/>
  <c r="F296" i="27"/>
  <c r="G296" i="27"/>
  <c r="H296" i="27"/>
  <c r="D297" i="27"/>
  <c r="E297" i="27"/>
  <c r="F297" i="27"/>
  <c r="G297" i="27"/>
  <c r="H297" i="27"/>
  <c r="D298" i="27"/>
  <c r="E298" i="27"/>
  <c r="F298" i="27"/>
  <c r="G298" i="27"/>
  <c r="H298" i="27"/>
  <c r="D299" i="27"/>
  <c r="E299" i="27"/>
  <c r="F299" i="27"/>
  <c r="G299" i="27"/>
  <c r="H299" i="27"/>
  <c r="D300" i="27"/>
  <c r="E300" i="27"/>
  <c r="F300" i="27"/>
  <c r="G300" i="27"/>
  <c r="H300" i="27"/>
  <c r="D301" i="27"/>
  <c r="E301" i="27"/>
  <c r="F301" i="27"/>
  <c r="K301" i="27" s="1"/>
  <c r="G301" i="27"/>
  <c r="H301" i="27"/>
  <c r="K302" i="27"/>
  <c r="E302" i="27"/>
  <c r="F302" i="27"/>
  <c r="G302" i="27"/>
  <c r="H302" i="27"/>
  <c r="E294" i="27"/>
  <c r="F294" i="27"/>
  <c r="G294" i="27"/>
  <c r="H294" i="27"/>
  <c r="D246" i="27"/>
  <c r="E288" i="27"/>
  <c r="F288" i="27"/>
  <c r="G288" i="27"/>
  <c r="H288" i="27"/>
  <c r="D288" i="27"/>
  <c r="E286" i="27"/>
  <c r="F286" i="27"/>
  <c r="G286" i="27"/>
  <c r="H286" i="27"/>
  <c r="D286" i="27"/>
  <c r="E284" i="27"/>
  <c r="F284" i="27"/>
  <c r="G284" i="27"/>
  <c r="H284" i="27"/>
  <c r="D284" i="27"/>
  <c r="E279" i="27"/>
  <c r="F279" i="27"/>
  <c r="G279" i="27"/>
  <c r="H279" i="27"/>
  <c r="D279" i="27"/>
  <c r="E277" i="27"/>
  <c r="F277" i="27"/>
  <c r="G277" i="27"/>
  <c r="H277" i="27"/>
  <c r="D277" i="27"/>
  <c r="K277" i="27" s="1"/>
  <c r="E275" i="27"/>
  <c r="F275" i="27"/>
  <c r="G275" i="27"/>
  <c r="H275" i="27"/>
  <c r="D275" i="27"/>
  <c r="E270" i="27"/>
  <c r="F270" i="27"/>
  <c r="G270" i="27"/>
  <c r="H270" i="27"/>
  <c r="D270" i="27"/>
  <c r="E268" i="27"/>
  <c r="F268" i="27"/>
  <c r="G268" i="27"/>
  <c r="H268" i="27"/>
  <c r="D268" i="27"/>
  <c r="E266" i="27"/>
  <c r="F266" i="27"/>
  <c r="G266" i="27"/>
  <c r="H266" i="27"/>
  <c r="D266" i="27"/>
  <c r="E261" i="27"/>
  <c r="F261" i="27"/>
  <c r="G261" i="27"/>
  <c r="H261" i="27"/>
  <c r="D261" i="27"/>
  <c r="E260" i="27"/>
  <c r="F260" i="27"/>
  <c r="G260" i="27"/>
  <c r="H260" i="27"/>
  <c r="D260" i="27"/>
  <c r="D254" i="27"/>
  <c r="D248" i="27"/>
  <c r="E248" i="27"/>
  <c r="F248" i="27"/>
  <c r="G248" i="27"/>
  <c r="H248" i="27"/>
  <c r="D249" i="27"/>
  <c r="E249" i="27"/>
  <c r="F249" i="27"/>
  <c r="G249" i="27"/>
  <c r="H249" i="27"/>
  <c r="D250" i="27"/>
  <c r="E250" i="27"/>
  <c r="F250" i="27"/>
  <c r="G250" i="27"/>
  <c r="H250" i="27"/>
  <c r="D251" i="27"/>
  <c r="E251" i="27"/>
  <c r="F251" i="27"/>
  <c r="G251" i="27"/>
  <c r="H251" i="27"/>
  <c r="D252" i="27"/>
  <c r="E252" i="27"/>
  <c r="F252" i="27"/>
  <c r="G252" i="27"/>
  <c r="H252" i="27"/>
  <c r="D253" i="27"/>
  <c r="K253" i="27" s="1"/>
  <c r="E253" i="27"/>
  <c r="F253" i="27"/>
  <c r="G253" i="27"/>
  <c r="H253" i="27"/>
  <c r="E254" i="27"/>
  <c r="F254" i="27"/>
  <c r="K254" i="27" s="1"/>
  <c r="G254" i="27"/>
  <c r="H254" i="27"/>
  <c r="E246" i="27"/>
  <c r="F246" i="27"/>
  <c r="G246" i="27"/>
  <c r="H246" i="27"/>
  <c r="D198" i="27"/>
  <c r="E240" i="27"/>
  <c r="F240" i="27"/>
  <c r="G240" i="27"/>
  <c r="H240" i="27"/>
  <c r="D240" i="27"/>
  <c r="E238" i="27"/>
  <c r="F238" i="27"/>
  <c r="G238" i="27"/>
  <c r="H238" i="27"/>
  <c r="D238" i="27"/>
  <c r="K238" i="27" s="1"/>
  <c r="E236" i="27"/>
  <c r="F236" i="27"/>
  <c r="G236" i="27"/>
  <c r="H236" i="27"/>
  <c r="D236" i="27"/>
  <c r="E231" i="27"/>
  <c r="F231" i="27"/>
  <c r="G231" i="27"/>
  <c r="H231" i="27"/>
  <c r="D231" i="27"/>
  <c r="E229" i="27"/>
  <c r="F229" i="27"/>
  <c r="G229" i="27"/>
  <c r="H229" i="27"/>
  <c r="D229" i="27"/>
  <c r="E227" i="27"/>
  <c r="F227" i="27"/>
  <c r="G227" i="27"/>
  <c r="H227" i="27"/>
  <c r="D227" i="27"/>
  <c r="E222" i="27"/>
  <c r="F222" i="27"/>
  <c r="G222" i="27"/>
  <c r="H222" i="27"/>
  <c r="D222" i="27"/>
  <c r="E220" i="27"/>
  <c r="F220" i="27"/>
  <c r="G220" i="27"/>
  <c r="H220" i="27"/>
  <c r="D220" i="27"/>
  <c r="E218" i="27"/>
  <c r="F218" i="27"/>
  <c r="G218" i="27"/>
  <c r="H218" i="27"/>
  <c r="D218" i="27"/>
  <c r="E212" i="27"/>
  <c r="F212" i="27"/>
  <c r="G212" i="27"/>
  <c r="H212" i="27"/>
  <c r="E213" i="27"/>
  <c r="F213" i="27"/>
  <c r="G213" i="27"/>
  <c r="H213" i="27"/>
  <c r="D213" i="27"/>
  <c r="D212" i="27"/>
  <c r="D206" i="27"/>
  <c r="D200" i="27"/>
  <c r="E200" i="27"/>
  <c r="F200" i="27"/>
  <c r="G200" i="27"/>
  <c r="H200" i="27"/>
  <c r="D201" i="27"/>
  <c r="E201" i="27"/>
  <c r="F201" i="27"/>
  <c r="G201" i="27"/>
  <c r="H201" i="27"/>
  <c r="D202" i="27"/>
  <c r="E202" i="27"/>
  <c r="F202" i="27"/>
  <c r="G202" i="27"/>
  <c r="H202" i="27"/>
  <c r="D203" i="27"/>
  <c r="E203" i="27"/>
  <c r="F203" i="27"/>
  <c r="G203" i="27"/>
  <c r="H203" i="27"/>
  <c r="D204" i="27"/>
  <c r="E204" i="27"/>
  <c r="F204" i="27"/>
  <c r="G204" i="27"/>
  <c r="H204" i="27"/>
  <c r="D205" i="27"/>
  <c r="E205" i="27"/>
  <c r="F205" i="27"/>
  <c r="G205" i="27"/>
  <c r="H205" i="27"/>
  <c r="K206" i="27"/>
  <c r="E206" i="27"/>
  <c r="F206" i="27"/>
  <c r="G206" i="27"/>
  <c r="H206" i="27"/>
  <c r="K205" i="27"/>
  <c r="E198" i="27"/>
  <c r="F198" i="27"/>
  <c r="G198" i="27"/>
  <c r="H198" i="27"/>
  <c r="D150" i="27"/>
  <c r="E192" i="27"/>
  <c r="F192" i="27"/>
  <c r="G192" i="27"/>
  <c r="H192" i="27"/>
  <c r="D192" i="27"/>
  <c r="E190" i="27"/>
  <c r="K190" i="27" s="1"/>
  <c r="F190" i="27"/>
  <c r="G190" i="27"/>
  <c r="H190" i="27"/>
  <c r="D190" i="27"/>
  <c r="E188" i="27"/>
  <c r="F188" i="27"/>
  <c r="G188" i="27"/>
  <c r="H188" i="27"/>
  <c r="D188" i="27"/>
  <c r="E183" i="27"/>
  <c r="F183" i="27"/>
  <c r="G183" i="27"/>
  <c r="H183" i="27"/>
  <c r="D183" i="27"/>
  <c r="E181" i="27"/>
  <c r="K181" i="27" s="1"/>
  <c r="F181" i="27"/>
  <c r="G181" i="27"/>
  <c r="H181" i="27"/>
  <c r="D181" i="27"/>
  <c r="E179" i="27"/>
  <c r="F179" i="27"/>
  <c r="G179" i="27"/>
  <c r="H179" i="27"/>
  <c r="D179" i="27"/>
  <c r="E174" i="27"/>
  <c r="F174" i="27"/>
  <c r="G174" i="27"/>
  <c r="H174" i="27"/>
  <c r="D174" i="27"/>
  <c r="E172" i="27"/>
  <c r="F172" i="27"/>
  <c r="G172" i="27"/>
  <c r="H172" i="27"/>
  <c r="D172" i="27"/>
  <c r="D170" i="27"/>
  <c r="E170" i="27"/>
  <c r="F170" i="27"/>
  <c r="G170" i="27"/>
  <c r="H170" i="27"/>
  <c r="E165" i="27"/>
  <c r="F165" i="27"/>
  <c r="G165" i="27"/>
  <c r="H165" i="27"/>
  <c r="D165" i="27"/>
  <c r="E164" i="27"/>
  <c r="K164" i="27" s="1"/>
  <c r="F164" i="27"/>
  <c r="G164" i="27"/>
  <c r="H164" i="27"/>
  <c r="D164" i="27"/>
  <c r="D158" i="27"/>
  <c r="K158" i="27" s="1"/>
  <c r="D152" i="27"/>
  <c r="E152" i="27"/>
  <c r="F152" i="27"/>
  <c r="G152" i="27"/>
  <c r="H152" i="27"/>
  <c r="D153" i="27"/>
  <c r="E153" i="27"/>
  <c r="F153" i="27"/>
  <c r="G153" i="27"/>
  <c r="H153" i="27"/>
  <c r="D154" i="27"/>
  <c r="E154" i="27"/>
  <c r="F154" i="27"/>
  <c r="G154" i="27"/>
  <c r="H154" i="27"/>
  <c r="D155" i="27"/>
  <c r="E155" i="27"/>
  <c r="F155" i="27"/>
  <c r="G155" i="27"/>
  <c r="H155" i="27"/>
  <c r="D156" i="27"/>
  <c r="E156" i="27"/>
  <c r="F156" i="27"/>
  <c r="G156" i="27"/>
  <c r="H156" i="27"/>
  <c r="D157" i="27"/>
  <c r="E157" i="27"/>
  <c r="F157" i="27"/>
  <c r="G157" i="27"/>
  <c r="H157" i="27"/>
  <c r="K157" i="27" s="1"/>
  <c r="E158" i="27"/>
  <c r="F158" i="27"/>
  <c r="G158" i="27"/>
  <c r="H158" i="27"/>
  <c r="E150" i="27"/>
  <c r="F150" i="27"/>
  <c r="G150" i="27"/>
  <c r="H150" i="27"/>
  <c r="D102" i="27"/>
  <c r="E144" i="27"/>
  <c r="F144" i="27"/>
  <c r="G144" i="27"/>
  <c r="H144" i="27"/>
  <c r="D144" i="27"/>
  <c r="E142" i="27"/>
  <c r="F142" i="27"/>
  <c r="G142" i="27"/>
  <c r="H142" i="27"/>
  <c r="D142" i="27"/>
  <c r="E140" i="27"/>
  <c r="F140" i="27"/>
  <c r="G140" i="27"/>
  <c r="H140" i="27"/>
  <c r="D140" i="27"/>
  <c r="D137" i="27"/>
  <c r="E135" i="27"/>
  <c r="F135" i="27"/>
  <c r="G135" i="27"/>
  <c r="H135" i="27"/>
  <c r="D135" i="27"/>
  <c r="E133" i="27"/>
  <c r="F133" i="27"/>
  <c r="G133" i="27"/>
  <c r="H133" i="27"/>
  <c r="D133" i="27"/>
  <c r="E131" i="27"/>
  <c r="F131" i="27"/>
  <c r="G131" i="27"/>
  <c r="H131" i="27"/>
  <c r="D131" i="27"/>
  <c r="E126" i="27"/>
  <c r="F126" i="27"/>
  <c r="G126" i="27"/>
  <c r="H126" i="27"/>
  <c r="D126" i="27"/>
  <c r="E124" i="27"/>
  <c r="F124" i="27"/>
  <c r="G124" i="27"/>
  <c r="H124" i="27"/>
  <c r="D124" i="27"/>
  <c r="E122" i="27"/>
  <c r="F122" i="27"/>
  <c r="G122" i="27"/>
  <c r="H122" i="27"/>
  <c r="D122" i="27"/>
  <c r="K122" i="27" s="1"/>
  <c r="E117" i="27"/>
  <c r="F117" i="27"/>
  <c r="G117" i="27"/>
  <c r="H117" i="27"/>
  <c r="D117" i="27"/>
  <c r="E116" i="27"/>
  <c r="F116" i="27"/>
  <c r="G116" i="27"/>
  <c r="H116" i="27"/>
  <c r="D116" i="27"/>
  <c r="D110" i="27"/>
  <c r="D104" i="27"/>
  <c r="E104" i="27"/>
  <c r="F104" i="27"/>
  <c r="G104" i="27"/>
  <c r="H104" i="27"/>
  <c r="D105" i="27"/>
  <c r="E105" i="27"/>
  <c r="F105" i="27"/>
  <c r="G105" i="27"/>
  <c r="H105" i="27"/>
  <c r="D106" i="27"/>
  <c r="E106" i="27"/>
  <c r="F106" i="27"/>
  <c r="G106" i="27"/>
  <c r="H106" i="27"/>
  <c r="D107" i="27"/>
  <c r="E107" i="27"/>
  <c r="F107" i="27"/>
  <c r="G107" i="27"/>
  <c r="H107" i="27"/>
  <c r="D108" i="27"/>
  <c r="E108" i="27"/>
  <c r="F108" i="27"/>
  <c r="G108" i="27"/>
  <c r="H108" i="27"/>
  <c r="D109" i="27"/>
  <c r="E109" i="27"/>
  <c r="F109" i="27"/>
  <c r="G109" i="27"/>
  <c r="H109" i="27"/>
  <c r="E110" i="27"/>
  <c r="F110" i="27"/>
  <c r="K110" i="27" s="1"/>
  <c r="G110" i="27"/>
  <c r="H110" i="27"/>
  <c r="E102" i="27"/>
  <c r="F102" i="27"/>
  <c r="G102" i="27"/>
  <c r="H102" i="27"/>
  <c r="D54" i="27"/>
  <c r="K487" i="27"/>
  <c r="K486" i="27"/>
  <c r="K439" i="27"/>
  <c r="K438" i="27"/>
  <c r="K391" i="27"/>
  <c r="K390" i="27"/>
  <c r="K342" i="27"/>
  <c r="K343" i="27"/>
  <c r="K294" i="27"/>
  <c r="K295" i="27"/>
  <c r="K247" i="27"/>
  <c r="K246" i="27"/>
  <c r="K199" i="27"/>
  <c r="K198" i="27"/>
  <c r="K150" i="27"/>
  <c r="K151" i="27"/>
  <c r="K102" i="27"/>
  <c r="K103" i="27"/>
  <c r="K54" i="27"/>
  <c r="E96" i="27"/>
  <c r="F96" i="27"/>
  <c r="G96" i="27"/>
  <c r="H96" i="27"/>
  <c r="D96" i="27"/>
  <c r="E94" i="27"/>
  <c r="F94" i="27"/>
  <c r="G94" i="27"/>
  <c r="H94" i="27"/>
  <c r="D94" i="27"/>
  <c r="E92" i="27"/>
  <c r="F92" i="27"/>
  <c r="G92" i="27"/>
  <c r="H92" i="27"/>
  <c r="D92" i="27"/>
  <c r="K92" i="27" s="1"/>
  <c r="E87" i="27"/>
  <c r="F87" i="27"/>
  <c r="G87" i="27"/>
  <c r="H87" i="27"/>
  <c r="D87" i="27"/>
  <c r="E85" i="27"/>
  <c r="K85" i="27" s="1"/>
  <c r="F85" i="27"/>
  <c r="G85" i="27"/>
  <c r="H85" i="27"/>
  <c r="D85" i="27"/>
  <c r="E83" i="27"/>
  <c r="K83" i="27" s="1"/>
  <c r="F83" i="27"/>
  <c r="G83" i="27"/>
  <c r="H83" i="27"/>
  <c r="D83" i="27"/>
  <c r="E78" i="27"/>
  <c r="F78" i="27"/>
  <c r="G78" i="27"/>
  <c r="H78" i="27"/>
  <c r="D78" i="27"/>
  <c r="E76" i="27"/>
  <c r="F76" i="27"/>
  <c r="G76" i="27"/>
  <c r="H76" i="27"/>
  <c r="D76" i="27"/>
  <c r="D74" i="27"/>
  <c r="E74" i="27"/>
  <c r="F74" i="27"/>
  <c r="G74" i="27"/>
  <c r="H74" i="27"/>
  <c r="E69" i="27"/>
  <c r="F69" i="27"/>
  <c r="G69" i="27"/>
  <c r="H69" i="27"/>
  <c r="D69" i="27"/>
  <c r="E68" i="27"/>
  <c r="F68" i="27"/>
  <c r="G68" i="27"/>
  <c r="H68" i="27"/>
  <c r="D68" i="27"/>
  <c r="K68" i="27" s="1"/>
  <c r="D62" i="27"/>
  <c r="K62" i="27" s="1"/>
  <c r="D20" i="27"/>
  <c r="K20" i="27" s="1"/>
  <c r="D56" i="27"/>
  <c r="E56" i="27"/>
  <c r="F56" i="27"/>
  <c r="G56" i="27"/>
  <c r="H56" i="27"/>
  <c r="D57" i="27"/>
  <c r="E57" i="27"/>
  <c r="F57" i="27"/>
  <c r="G57" i="27"/>
  <c r="H57" i="27"/>
  <c r="D58" i="27"/>
  <c r="E58" i="27"/>
  <c r="F58" i="27"/>
  <c r="G58" i="27"/>
  <c r="H58" i="27"/>
  <c r="D59" i="27"/>
  <c r="E59" i="27"/>
  <c r="F59" i="27"/>
  <c r="G59" i="27"/>
  <c r="H59" i="27"/>
  <c r="D60" i="27"/>
  <c r="E60" i="27"/>
  <c r="F60" i="27"/>
  <c r="G60" i="27"/>
  <c r="H60" i="27"/>
  <c r="D61" i="27"/>
  <c r="E61" i="27"/>
  <c r="F61" i="27"/>
  <c r="G61" i="27"/>
  <c r="H61" i="27"/>
  <c r="E62" i="27"/>
  <c r="F62" i="27"/>
  <c r="G62" i="27"/>
  <c r="H62" i="27"/>
  <c r="K61" i="27"/>
  <c r="E54" i="27"/>
  <c r="F54" i="27"/>
  <c r="G54" i="27"/>
  <c r="H54" i="27"/>
  <c r="K55" i="27"/>
  <c r="D6" i="27"/>
  <c r="E48" i="27"/>
  <c r="F48" i="27"/>
  <c r="G48" i="27"/>
  <c r="H48" i="27"/>
  <c r="D48" i="27"/>
  <c r="E46" i="27"/>
  <c r="F46" i="27"/>
  <c r="G46" i="27"/>
  <c r="H46" i="27"/>
  <c r="D46" i="27"/>
  <c r="E44" i="27"/>
  <c r="F44" i="27"/>
  <c r="G44" i="27"/>
  <c r="H44" i="27"/>
  <c r="D44" i="27"/>
  <c r="E39" i="27"/>
  <c r="F39" i="27"/>
  <c r="G39" i="27"/>
  <c r="H39" i="27"/>
  <c r="D39" i="27"/>
  <c r="E37" i="27"/>
  <c r="F37" i="27"/>
  <c r="G37" i="27"/>
  <c r="H37" i="27"/>
  <c r="D37" i="27"/>
  <c r="E35" i="27"/>
  <c r="F35" i="27"/>
  <c r="G35" i="27"/>
  <c r="H35" i="27"/>
  <c r="D35" i="27"/>
  <c r="K35" i="27" s="1"/>
  <c r="E30" i="27"/>
  <c r="F30" i="27"/>
  <c r="G30" i="27"/>
  <c r="H30" i="27"/>
  <c r="D30" i="27"/>
  <c r="D28" i="27"/>
  <c r="K526" i="27"/>
  <c r="K517" i="27"/>
  <c r="K515" i="27"/>
  <c r="K508" i="27"/>
  <c r="K506" i="27"/>
  <c r="K500" i="27"/>
  <c r="K478" i="27"/>
  <c r="K476" i="27"/>
  <c r="K467" i="27"/>
  <c r="K460" i="27"/>
  <c r="K458" i="27"/>
  <c r="K452" i="27"/>
  <c r="K430" i="27"/>
  <c r="K428" i="27"/>
  <c r="K421" i="27"/>
  <c r="K412" i="27"/>
  <c r="K410" i="27"/>
  <c r="K404" i="27"/>
  <c r="K382" i="27"/>
  <c r="K373" i="27"/>
  <c r="K371" i="27"/>
  <c r="K364" i="27"/>
  <c r="K334" i="27"/>
  <c r="K332" i="27"/>
  <c r="K323" i="27"/>
  <c r="K314" i="27"/>
  <c r="K308" i="27"/>
  <c r="K286" i="27"/>
  <c r="K284" i="27"/>
  <c r="K275" i="27"/>
  <c r="K266" i="27"/>
  <c r="K260" i="27"/>
  <c r="K236" i="27"/>
  <c r="K229" i="27"/>
  <c r="K227" i="27"/>
  <c r="K220" i="27"/>
  <c r="K218" i="27"/>
  <c r="K212" i="27"/>
  <c r="K188" i="27"/>
  <c r="K179" i="27"/>
  <c r="K172" i="27"/>
  <c r="K170" i="27"/>
  <c r="K140" i="27"/>
  <c r="K133" i="27"/>
  <c r="K131" i="27"/>
  <c r="K116" i="27"/>
  <c r="K109" i="27"/>
  <c r="K13" i="27"/>
  <c r="K28" i="27"/>
  <c r="K26" i="27"/>
  <c r="E28" i="27"/>
  <c r="F28" i="27"/>
  <c r="G28" i="27"/>
  <c r="H28" i="27"/>
  <c r="E26" i="27"/>
  <c r="F26" i="27"/>
  <c r="G26" i="27"/>
  <c r="H26" i="27"/>
  <c r="D26" i="27"/>
  <c r="D21" i="27"/>
  <c r="E21" i="27"/>
  <c r="F21" i="27"/>
  <c r="G21" i="27"/>
  <c r="H21" i="27"/>
  <c r="E20" i="27"/>
  <c r="F20" i="27"/>
  <c r="G20" i="27"/>
  <c r="H20" i="27"/>
  <c r="D14" i="27"/>
  <c r="I13" i="27"/>
  <c r="K6" i="27"/>
  <c r="E6" i="27"/>
  <c r="F6" i="27"/>
  <c r="G6" i="27"/>
  <c r="H6" i="27"/>
  <c r="D8" i="27"/>
  <c r="G8" i="27"/>
  <c r="H8" i="27"/>
  <c r="D9" i="27"/>
  <c r="G9" i="27"/>
  <c r="H9" i="27"/>
  <c r="D10" i="27"/>
  <c r="E10" i="27"/>
  <c r="F10" i="27"/>
  <c r="G10" i="27"/>
  <c r="H10" i="27"/>
  <c r="G11" i="27"/>
  <c r="H11" i="27"/>
  <c r="D12" i="27"/>
  <c r="E12" i="27"/>
  <c r="F12" i="27"/>
  <c r="G12" i="27"/>
  <c r="H12" i="27"/>
  <c r="D13" i="27"/>
  <c r="E13" i="27"/>
  <c r="F13" i="27"/>
  <c r="G13" i="27"/>
  <c r="H13" i="27"/>
  <c r="E14" i="27"/>
  <c r="G14" i="27"/>
  <c r="H14" i="27"/>
  <c r="K2" i="27"/>
  <c r="K356" i="27" l="1"/>
  <c r="K325" i="27"/>
  <c r="K268" i="27"/>
  <c r="K142" i="27"/>
  <c r="K124" i="27"/>
  <c r="K94" i="27"/>
  <c r="K76" i="27"/>
  <c r="K74" i="27"/>
  <c r="K46" i="27"/>
  <c r="K44" i="27"/>
  <c r="K37" i="27"/>
  <c r="D15" i="27"/>
  <c r="AS110" i="9"/>
  <c r="K7" i="27" s="1"/>
  <c r="AS109" i="9"/>
  <c r="AS110" i="17"/>
  <c r="AS109" i="17"/>
  <c r="AS110" i="12"/>
  <c r="AS109" i="12"/>
  <c r="AS110" i="18"/>
  <c r="AS109" i="18"/>
  <c r="AS110" i="14"/>
  <c r="AS109" i="14"/>
  <c r="AS110" i="20"/>
  <c r="AS109" i="20"/>
  <c r="AS110" i="21"/>
  <c r="AS109" i="21"/>
  <c r="AS110" i="23"/>
  <c r="AS109" i="23"/>
  <c r="AS110" i="24"/>
  <c r="AS109" i="24"/>
  <c r="AS110" i="25"/>
  <c r="AS109" i="25"/>
  <c r="AS110" i="26"/>
  <c r="AS109" i="26"/>
  <c r="AH273" i="34"/>
  <c r="AG273" i="34"/>
  <c r="AF273" i="34"/>
  <c r="AE273" i="34"/>
  <c r="AD273" i="34"/>
  <c r="AH248" i="34"/>
  <c r="AG248" i="34"/>
  <c r="AF248" i="34"/>
  <c r="AE248" i="34"/>
  <c r="AD248" i="34"/>
  <c r="AH223" i="34"/>
  <c r="AG223" i="34"/>
  <c r="AF223" i="34"/>
  <c r="AE223" i="34"/>
  <c r="AD223" i="34"/>
  <c r="AH198" i="34"/>
  <c r="AG198" i="34"/>
  <c r="AF198" i="34"/>
  <c r="AE198" i="34"/>
  <c r="AD198" i="34"/>
  <c r="AH173" i="34"/>
  <c r="AG173" i="34"/>
  <c r="AF173" i="34"/>
  <c r="AE173" i="34"/>
  <c r="AD173" i="34"/>
  <c r="AH148" i="34"/>
  <c r="AG148" i="34"/>
  <c r="AF148" i="34"/>
  <c r="AE148" i="34"/>
  <c r="AD148" i="34"/>
  <c r="AH123" i="34"/>
  <c r="AG123" i="34"/>
  <c r="AF123" i="34"/>
  <c r="AE123" i="34"/>
  <c r="AD123" i="34"/>
  <c r="AH98" i="34"/>
  <c r="AG98" i="34"/>
  <c r="AF98" i="34"/>
  <c r="AE98" i="34"/>
  <c r="AD98" i="34"/>
  <c r="AH73" i="34"/>
  <c r="AG73" i="34"/>
  <c r="AF73" i="34"/>
  <c r="AE73" i="34"/>
  <c r="AD73" i="34"/>
  <c r="AH48" i="34"/>
  <c r="AG48" i="34"/>
  <c r="AF48" i="34"/>
  <c r="AE48" i="34"/>
  <c r="AD48" i="34"/>
  <c r="AH23" i="34"/>
  <c r="AG23" i="34"/>
  <c r="AF23" i="34"/>
  <c r="AE23" i="34"/>
  <c r="AD23" i="34"/>
  <c r="D10" i="34"/>
  <c r="AH267" i="34"/>
  <c r="AG267" i="34"/>
  <c r="AF267" i="34"/>
  <c r="AE267" i="34"/>
  <c r="AD267" i="34"/>
  <c r="U267" i="34"/>
  <c r="T267" i="34"/>
  <c r="S267" i="34"/>
  <c r="R267" i="34"/>
  <c r="Q267" i="34"/>
  <c r="H267" i="34"/>
  <c r="G267" i="34"/>
  <c r="F267" i="34"/>
  <c r="E267" i="34"/>
  <c r="D267" i="34"/>
  <c r="AH242" i="34"/>
  <c r="AG242" i="34"/>
  <c r="AF242" i="34"/>
  <c r="AE242" i="34"/>
  <c r="AD242" i="34"/>
  <c r="U242" i="34"/>
  <c r="T242" i="34"/>
  <c r="S242" i="34"/>
  <c r="R242" i="34"/>
  <c r="Q242" i="34"/>
  <c r="H242" i="34"/>
  <c r="G242" i="34"/>
  <c r="F242" i="34"/>
  <c r="E242" i="34"/>
  <c r="D242" i="34"/>
  <c r="AH217" i="34"/>
  <c r="AG217" i="34"/>
  <c r="AF217" i="34"/>
  <c r="AE217" i="34"/>
  <c r="AD217" i="34"/>
  <c r="U217" i="34"/>
  <c r="T217" i="34"/>
  <c r="S217" i="34"/>
  <c r="R217" i="34"/>
  <c r="Q217" i="34"/>
  <c r="H217" i="34"/>
  <c r="G217" i="34"/>
  <c r="F217" i="34"/>
  <c r="E217" i="34"/>
  <c r="D217" i="34"/>
  <c r="AH192" i="34"/>
  <c r="AG192" i="34"/>
  <c r="AF192" i="34"/>
  <c r="AE192" i="34"/>
  <c r="AD192" i="34"/>
  <c r="U192" i="34"/>
  <c r="T192" i="34"/>
  <c r="S192" i="34"/>
  <c r="R192" i="34"/>
  <c r="Q192" i="34"/>
  <c r="H192" i="34"/>
  <c r="G192" i="34"/>
  <c r="F192" i="34"/>
  <c r="E192" i="34"/>
  <c r="D192" i="34"/>
  <c r="AH167" i="34"/>
  <c r="AG167" i="34"/>
  <c r="AF167" i="34"/>
  <c r="AE167" i="34"/>
  <c r="AD167" i="34"/>
  <c r="U167" i="34"/>
  <c r="T167" i="34"/>
  <c r="S167" i="34"/>
  <c r="R167" i="34"/>
  <c r="Q167" i="34"/>
  <c r="H167" i="34"/>
  <c r="G167" i="34"/>
  <c r="F167" i="34"/>
  <c r="E167" i="34"/>
  <c r="D167" i="34"/>
  <c r="AH142" i="34"/>
  <c r="AG142" i="34"/>
  <c r="AF142" i="34"/>
  <c r="AE142" i="34"/>
  <c r="AD142" i="34"/>
  <c r="U142" i="34"/>
  <c r="T142" i="34"/>
  <c r="S142" i="34"/>
  <c r="R142" i="34"/>
  <c r="Q142" i="34"/>
  <c r="H142" i="34"/>
  <c r="G142" i="34"/>
  <c r="F142" i="34"/>
  <c r="E142" i="34"/>
  <c r="D142" i="34"/>
  <c r="AH117" i="34"/>
  <c r="AG117" i="34"/>
  <c r="AF117" i="34"/>
  <c r="AE117" i="34"/>
  <c r="AD117" i="34"/>
  <c r="U117" i="34"/>
  <c r="T117" i="34"/>
  <c r="S117" i="34"/>
  <c r="R117" i="34"/>
  <c r="Q117" i="34"/>
  <c r="H117" i="34"/>
  <c r="G117" i="34"/>
  <c r="F117" i="34"/>
  <c r="E117" i="34"/>
  <c r="D117" i="34"/>
  <c r="AH92" i="34"/>
  <c r="AG92" i="34"/>
  <c r="AF92" i="34"/>
  <c r="AE92" i="34"/>
  <c r="AD92" i="34"/>
  <c r="U92" i="34"/>
  <c r="T92" i="34"/>
  <c r="S92" i="34"/>
  <c r="R92" i="34"/>
  <c r="Q92" i="34"/>
  <c r="H92" i="34"/>
  <c r="G92" i="34"/>
  <c r="F92" i="34"/>
  <c r="E92" i="34"/>
  <c r="D92" i="34"/>
  <c r="AH67" i="34"/>
  <c r="AG67" i="34"/>
  <c r="AF67" i="34"/>
  <c r="AE67" i="34"/>
  <c r="AD67" i="34"/>
  <c r="U67" i="34"/>
  <c r="T67" i="34"/>
  <c r="S67" i="34"/>
  <c r="R67" i="34"/>
  <c r="Q67" i="34"/>
  <c r="H67" i="34"/>
  <c r="G67" i="34"/>
  <c r="F67" i="34"/>
  <c r="E67" i="34"/>
  <c r="D67" i="34"/>
  <c r="AH42" i="34"/>
  <c r="AG42" i="34"/>
  <c r="AF42" i="34"/>
  <c r="AE42" i="34"/>
  <c r="AD42" i="34"/>
  <c r="U42" i="34"/>
  <c r="T42" i="34"/>
  <c r="S42" i="34"/>
  <c r="R42" i="34"/>
  <c r="Q42" i="34"/>
  <c r="H42" i="34"/>
  <c r="G42" i="34"/>
  <c r="F42" i="34"/>
  <c r="E42" i="34"/>
  <c r="D42" i="34"/>
  <c r="AH17" i="34"/>
  <c r="AG17" i="34"/>
  <c r="AF17" i="34"/>
  <c r="AE17" i="34"/>
  <c r="AD17" i="34"/>
  <c r="U17" i="34"/>
  <c r="T17" i="34"/>
  <c r="S17" i="34"/>
  <c r="R17" i="34"/>
  <c r="Q17" i="34"/>
  <c r="H17" i="34"/>
  <c r="G17" i="34"/>
  <c r="F17" i="34"/>
  <c r="E17" i="34"/>
  <c r="D17" i="34"/>
  <c r="AL7" i="34"/>
  <c r="AE453" i="34" s="1"/>
  <c r="AM366" i="34"/>
  <c r="AL366" i="34"/>
  <c r="AK366" i="34"/>
  <c r="AJ366" i="34"/>
  <c r="AI366" i="34"/>
  <c r="AH366" i="34"/>
  <c r="AG366" i="34"/>
  <c r="AF366" i="34"/>
  <c r="AE366" i="34"/>
  <c r="AD366" i="34"/>
  <c r="AM365" i="34"/>
  <c r="AL365" i="34"/>
  <c r="AK365" i="34"/>
  <c r="AJ365" i="34"/>
  <c r="AI365" i="34"/>
  <c r="AH365" i="34"/>
  <c r="AG365" i="34"/>
  <c r="AF365" i="34"/>
  <c r="AE365" i="34"/>
  <c r="AD365" i="34"/>
  <c r="AM364" i="34"/>
  <c r="AL364" i="34"/>
  <c r="AK364" i="34"/>
  <c r="AJ364" i="34"/>
  <c r="AI364" i="34"/>
  <c r="AH364" i="34"/>
  <c r="AG364" i="34"/>
  <c r="AF364" i="34"/>
  <c r="AE364" i="34"/>
  <c r="AD364" i="34"/>
  <c r="AM363" i="34"/>
  <c r="AL363" i="34"/>
  <c r="AK363" i="34"/>
  <c r="AJ363" i="34"/>
  <c r="AI363" i="34"/>
  <c r="AH363" i="34"/>
  <c r="AG363" i="34"/>
  <c r="AF363" i="34"/>
  <c r="AE363" i="34"/>
  <c r="AD363" i="34"/>
  <c r="AM362" i="34"/>
  <c r="AL362" i="34"/>
  <c r="AK362" i="34"/>
  <c r="AJ362" i="34"/>
  <c r="AI362" i="34"/>
  <c r="AH362" i="34"/>
  <c r="AG362" i="34"/>
  <c r="AF362" i="34"/>
  <c r="AE362" i="34"/>
  <c r="AD362" i="34"/>
  <c r="AM361" i="34"/>
  <c r="AL361" i="34"/>
  <c r="AK361" i="34"/>
  <c r="AJ361" i="34"/>
  <c r="AI361" i="34"/>
  <c r="AH361" i="34"/>
  <c r="AG361" i="34"/>
  <c r="AF361" i="34"/>
  <c r="AE361" i="34"/>
  <c r="AD361" i="34"/>
  <c r="AM360" i="34"/>
  <c r="AL360" i="34"/>
  <c r="AK360" i="34"/>
  <c r="AJ360" i="34"/>
  <c r="AI360" i="34"/>
  <c r="AH360" i="34"/>
  <c r="AG360" i="34"/>
  <c r="AF360" i="34"/>
  <c r="AE360" i="34"/>
  <c r="AD360" i="34"/>
  <c r="AM359" i="34"/>
  <c r="AL359" i="34"/>
  <c r="AK359" i="34"/>
  <c r="AJ359" i="34"/>
  <c r="AI359" i="34"/>
  <c r="AH359" i="34"/>
  <c r="AG359" i="34"/>
  <c r="AF359" i="34"/>
  <c r="AE359" i="34"/>
  <c r="AD359" i="34"/>
  <c r="AM358" i="34"/>
  <c r="AL358" i="34"/>
  <c r="AK358" i="34"/>
  <c r="AJ358" i="34"/>
  <c r="AI358" i="34"/>
  <c r="AH358" i="34"/>
  <c r="AG358" i="34"/>
  <c r="AF358" i="34"/>
  <c r="AE358" i="34"/>
  <c r="AD358" i="34"/>
  <c r="AM357" i="34"/>
  <c r="AL357" i="34"/>
  <c r="AK357" i="34"/>
  <c r="AJ357" i="34"/>
  <c r="AI357" i="34"/>
  <c r="AH357" i="34"/>
  <c r="AG357" i="34"/>
  <c r="AF357" i="34"/>
  <c r="AE357" i="34"/>
  <c r="AD357" i="34"/>
  <c r="AM356" i="34"/>
  <c r="AL356" i="34"/>
  <c r="AK356" i="34"/>
  <c r="AJ356" i="34"/>
  <c r="AI356" i="34"/>
  <c r="AH356" i="34"/>
  <c r="AG356" i="34"/>
  <c r="AF356" i="34"/>
  <c r="AE356" i="34"/>
  <c r="AD356" i="34"/>
  <c r="Z366" i="34"/>
  <c r="Y366" i="34"/>
  <c r="X366" i="34"/>
  <c r="W366" i="34"/>
  <c r="V366" i="34"/>
  <c r="U366" i="34"/>
  <c r="T366" i="34"/>
  <c r="S366" i="34"/>
  <c r="R366" i="34"/>
  <c r="Q366" i="34"/>
  <c r="Z365" i="34"/>
  <c r="Y365" i="34"/>
  <c r="X365" i="34"/>
  <c r="W365" i="34"/>
  <c r="V365" i="34"/>
  <c r="U365" i="34"/>
  <c r="T365" i="34"/>
  <c r="S365" i="34"/>
  <c r="R365" i="34"/>
  <c r="Q365" i="34"/>
  <c r="Z364" i="34"/>
  <c r="Y364" i="34"/>
  <c r="X364" i="34"/>
  <c r="W364" i="34"/>
  <c r="V364" i="34"/>
  <c r="U364" i="34"/>
  <c r="T364" i="34"/>
  <c r="S364" i="34"/>
  <c r="R364" i="34"/>
  <c r="Q364" i="34"/>
  <c r="Z363" i="34"/>
  <c r="Y363" i="34"/>
  <c r="X363" i="34"/>
  <c r="W363" i="34"/>
  <c r="V363" i="34"/>
  <c r="U363" i="34"/>
  <c r="T363" i="34"/>
  <c r="S363" i="34"/>
  <c r="R363" i="34"/>
  <c r="Q363" i="34"/>
  <c r="Z362" i="34"/>
  <c r="Y362" i="34"/>
  <c r="X362" i="34"/>
  <c r="W362" i="34"/>
  <c r="V362" i="34"/>
  <c r="U362" i="34"/>
  <c r="T362" i="34"/>
  <c r="S362" i="34"/>
  <c r="R362" i="34"/>
  <c r="Q362" i="34"/>
  <c r="Z361" i="34"/>
  <c r="Y361" i="34"/>
  <c r="X361" i="34"/>
  <c r="W361" i="34"/>
  <c r="V361" i="34"/>
  <c r="U361" i="34"/>
  <c r="T361" i="34"/>
  <c r="S361" i="34"/>
  <c r="R361" i="34"/>
  <c r="Q361" i="34"/>
  <c r="Z360" i="34"/>
  <c r="Y360" i="34"/>
  <c r="X360" i="34"/>
  <c r="W360" i="34"/>
  <c r="V360" i="34"/>
  <c r="U360" i="34"/>
  <c r="T360" i="34"/>
  <c r="S360" i="34"/>
  <c r="R360" i="34"/>
  <c r="Q360" i="34"/>
  <c r="Z359" i="34"/>
  <c r="Y359" i="34"/>
  <c r="X359" i="34"/>
  <c r="W359" i="34"/>
  <c r="V359" i="34"/>
  <c r="U359" i="34"/>
  <c r="T359" i="34"/>
  <c r="S359" i="34"/>
  <c r="R359" i="34"/>
  <c r="Q359" i="34"/>
  <c r="Z358" i="34"/>
  <c r="Y358" i="34"/>
  <c r="X358" i="34"/>
  <c r="W358" i="34"/>
  <c r="V358" i="34"/>
  <c r="U358" i="34"/>
  <c r="T358" i="34"/>
  <c r="S358" i="34"/>
  <c r="R358" i="34"/>
  <c r="Q358" i="34"/>
  <c r="Z357" i="34"/>
  <c r="Y357" i="34"/>
  <c r="X357" i="34"/>
  <c r="W357" i="34"/>
  <c r="V357" i="34"/>
  <c r="U357" i="34"/>
  <c r="T357" i="34"/>
  <c r="S357" i="34"/>
  <c r="R357" i="34"/>
  <c r="Q357" i="34"/>
  <c r="Z356" i="34"/>
  <c r="Y356" i="34"/>
  <c r="X356" i="34"/>
  <c r="W356" i="34"/>
  <c r="V356" i="34"/>
  <c r="U356" i="34"/>
  <c r="T356" i="34"/>
  <c r="S356" i="34"/>
  <c r="R356" i="34"/>
  <c r="Q356" i="34"/>
  <c r="R173" i="35"/>
  <c r="R172" i="35"/>
  <c r="R171" i="35"/>
  <c r="R170" i="35"/>
  <c r="R169" i="35"/>
  <c r="R149" i="35"/>
  <c r="R148" i="35"/>
  <c r="R147" i="35"/>
  <c r="R146" i="35"/>
  <c r="R145" i="35"/>
  <c r="R129" i="30"/>
  <c r="R128" i="30"/>
  <c r="Q132" i="35"/>
  <c r="V132" i="35" s="1"/>
  <c r="R132" i="35"/>
  <c r="R136" i="35" s="1"/>
  <c r="S132" i="35"/>
  <c r="S136" i="35" s="1"/>
  <c r="T132" i="35"/>
  <c r="U132" i="35"/>
  <c r="Q133" i="35"/>
  <c r="R133" i="35"/>
  <c r="S133" i="35"/>
  <c r="T133" i="35"/>
  <c r="U133" i="35"/>
  <c r="Q134" i="35"/>
  <c r="V134" i="35" s="1"/>
  <c r="R134" i="35"/>
  <c r="S134" i="35"/>
  <c r="T134" i="35"/>
  <c r="U134" i="35"/>
  <c r="Q135" i="35"/>
  <c r="V135" i="35" s="1"/>
  <c r="R135" i="35"/>
  <c r="S135" i="35"/>
  <c r="T135" i="35"/>
  <c r="U135" i="35"/>
  <c r="V133" i="35"/>
  <c r="R131" i="35"/>
  <c r="S131" i="35"/>
  <c r="T131" i="35"/>
  <c r="U131" i="35"/>
  <c r="Q131" i="35"/>
  <c r="D5" i="35"/>
  <c r="Q156" i="35"/>
  <c r="R156" i="35"/>
  <c r="R160" i="35" s="1"/>
  <c r="S156" i="35"/>
  <c r="T156" i="35"/>
  <c r="U156" i="35"/>
  <c r="Q157" i="35"/>
  <c r="R157" i="35"/>
  <c r="S157" i="35"/>
  <c r="T157" i="35"/>
  <c r="U157" i="35"/>
  <c r="Q158" i="35"/>
  <c r="V158" i="35" s="1"/>
  <c r="R158" i="35"/>
  <c r="S158" i="35"/>
  <c r="T158" i="35"/>
  <c r="U158" i="35"/>
  <c r="Q159" i="35"/>
  <c r="V159" i="35" s="1"/>
  <c r="R159" i="35"/>
  <c r="S159" i="35"/>
  <c r="T159" i="35"/>
  <c r="U159" i="35"/>
  <c r="V157" i="35"/>
  <c r="R155" i="35"/>
  <c r="S155" i="35"/>
  <c r="T155" i="35"/>
  <c r="U155" i="35"/>
  <c r="V155" i="35"/>
  <c r="Q155" i="35"/>
  <c r="S128" i="30"/>
  <c r="T128" i="30"/>
  <c r="U128" i="30"/>
  <c r="V128" i="30"/>
  <c r="S127" i="30"/>
  <c r="T127" i="30"/>
  <c r="U127" i="30"/>
  <c r="V127" i="30"/>
  <c r="R127" i="30"/>
  <c r="R121" i="35" s="1"/>
  <c r="R125" i="35"/>
  <c r="R124" i="35"/>
  <c r="R123" i="35"/>
  <c r="R122" i="35"/>
  <c r="Q108" i="35"/>
  <c r="R108" i="35"/>
  <c r="S108" i="35"/>
  <c r="T108" i="35"/>
  <c r="U108" i="35"/>
  <c r="Q109" i="35"/>
  <c r="R109" i="35"/>
  <c r="S109" i="35"/>
  <c r="T109" i="35"/>
  <c r="U109" i="35"/>
  <c r="V109" i="35" s="1"/>
  <c r="W109" i="35" s="1"/>
  <c r="Q110" i="35"/>
  <c r="V110" i="35" s="1"/>
  <c r="W110" i="35" s="1"/>
  <c r="R110" i="35"/>
  <c r="S110" i="35"/>
  <c r="T110" i="35"/>
  <c r="U110" i="35"/>
  <c r="Q111" i="35"/>
  <c r="V111" i="35" s="1"/>
  <c r="R111" i="35"/>
  <c r="S111" i="35"/>
  <c r="T111" i="35"/>
  <c r="U111" i="35"/>
  <c r="R112" i="35"/>
  <c r="T112" i="35"/>
  <c r="T113" i="35" s="1"/>
  <c r="R107" i="35"/>
  <c r="S107" i="35"/>
  <c r="T107" i="35"/>
  <c r="U107" i="35"/>
  <c r="Q107" i="35"/>
  <c r="V108" i="35"/>
  <c r="R101" i="35"/>
  <c r="R100" i="35"/>
  <c r="R99" i="35"/>
  <c r="R98" i="35"/>
  <c r="R97" i="35"/>
  <c r="Q83" i="35"/>
  <c r="Q84" i="35"/>
  <c r="R84" i="35"/>
  <c r="S84" i="35"/>
  <c r="T84" i="35"/>
  <c r="U84" i="35"/>
  <c r="Q85" i="35"/>
  <c r="R85" i="35"/>
  <c r="S85" i="35"/>
  <c r="T85" i="35"/>
  <c r="U85" i="35"/>
  <c r="Q86" i="35"/>
  <c r="R86" i="35"/>
  <c r="S86" i="35"/>
  <c r="T86" i="35"/>
  <c r="U86" i="35"/>
  <c r="Q87" i="35"/>
  <c r="V87" i="35" s="1"/>
  <c r="R87" i="35"/>
  <c r="S87" i="35"/>
  <c r="T87" i="35"/>
  <c r="U87" i="35"/>
  <c r="R88" i="35"/>
  <c r="V85" i="35"/>
  <c r="V86" i="35"/>
  <c r="T88" i="35"/>
  <c r="T89" i="35" s="1"/>
  <c r="R83" i="35"/>
  <c r="S83" i="35"/>
  <c r="T83" i="35"/>
  <c r="U83" i="35"/>
  <c r="R77" i="35"/>
  <c r="R76" i="35"/>
  <c r="R75" i="35"/>
  <c r="R74" i="35"/>
  <c r="R73" i="35"/>
  <c r="R49" i="35"/>
  <c r="Q60" i="35"/>
  <c r="R60" i="35"/>
  <c r="S60" i="35"/>
  <c r="T60" i="35"/>
  <c r="U60" i="35"/>
  <c r="Q61" i="35"/>
  <c r="R61" i="35"/>
  <c r="S61" i="35"/>
  <c r="T61" i="35"/>
  <c r="U61" i="35"/>
  <c r="U64" i="35" s="1"/>
  <c r="U65" i="35" s="1"/>
  <c r="Q62" i="35"/>
  <c r="V62" i="35" s="1"/>
  <c r="R62" i="35"/>
  <c r="S62" i="35"/>
  <c r="T62" i="35"/>
  <c r="T64" i="35" s="1"/>
  <c r="T65" i="35" s="1"/>
  <c r="U62" i="35"/>
  <c r="Q63" i="35"/>
  <c r="R63" i="35"/>
  <c r="S63" i="35"/>
  <c r="T63" i="35"/>
  <c r="U63" i="35"/>
  <c r="S64" i="35"/>
  <c r="V63" i="35"/>
  <c r="R59" i="35"/>
  <c r="S59" i="35"/>
  <c r="T59" i="35"/>
  <c r="U59" i="35"/>
  <c r="Q59" i="35"/>
  <c r="V61" i="35"/>
  <c r="R53" i="35"/>
  <c r="R52" i="35"/>
  <c r="R51" i="35"/>
  <c r="R50" i="35"/>
  <c r="S129" i="30"/>
  <c r="T129" i="30"/>
  <c r="U129" i="30"/>
  <c r="V129" i="30"/>
  <c r="S126" i="30"/>
  <c r="T126" i="30"/>
  <c r="U126" i="30"/>
  <c r="V126" i="30"/>
  <c r="R126" i="30"/>
  <c r="R119" i="30"/>
  <c r="R125" i="30"/>
  <c r="S125" i="30"/>
  <c r="T125" i="30"/>
  <c r="U125" i="30"/>
  <c r="V125" i="30"/>
  <c r="R6" i="30"/>
  <c r="Q36" i="35"/>
  <c r="R36" i="35"/>
  <c r="R40" i="35" s="1"/>
  <c r="R41" i="35" s="1"/>
  <c r="S36" i="35"/>
  <c r="T36" i="35"/>
  <c r="U36" i="35"/>
  <c r="Q37" i="35"/>
  <c r="R37" i="35"/>
  <c r="S37" i="35"/>
  <c r="T37" i="35"/>
  <c r="U37" i="35"/>
  <c r="Q38" i="35"/>
  <c r="V38" i="35" s="1"/>
  <c r="R38" i="35"/>
  <c r="S38" i="35"/>
  <c r="S40" i="35" s="1"/>
  <c r="S41" i="35" s="1"/>
  <c r="T38" i="35"/>
  <c r="U38" i="35"/>
  <c r="Q39" i="35"/>
  <c r="R39" i="35"/>
  <c r="S39" i="35"/>
  <c r="T39" i="35"/>
  <c r="U39" i="35"/>
  <c r="V39" i="35"/>
  <c r="R35" i="35"/>
  <c r="S35" i="35"/>
  <c r="T35" i="35"/>
  <c r="U35" i="35"/>
  <c r="Q35" i="35"/>
  <c r="D102" i="35"/>
  <c r="E102" i="35"/>
  <c r="F102" i="35"/>
  <c r="G102" i="35"/>
  <c r="H102" i="35"/>
  <c r="D103" i="35"/>
  <c r="I103" i="35" s="1"/>
  <c r="E103" i="35"/>
  <c r="F103" i="35"/>
  <c r="G103" i="35"/>
  <c r="H103" i="35"/>
  <c r="D104" i="35"/>
  <c r="E104" i="35"/>
  <c r="F104" i="35"/>
  <c r="G104" i="35"/>
  <c r="H104" i="35"/>
  <c r="D105" i="35"/>
  <c r="E105" i="35"/>
  <c r="F105" i="35"/>
  <c r="G105" i="35"/>
  <c r="H105" i="35"/>
  <c r="E101" i="35"/>
  <c r="F101" i="35"/>
  <c r="G101" i="35"/>
  <c r="H101" i="35"/>
  <c r="D101" i="35"/>
  <c r="D78" i="35"/>
  <c r="I78" i="35" s="1"/>
  <c r="E78" i="35"/>
  <c r="F78" i="35"/>
  <c r="G78" i="35"/>
  <c r="H78" i="35"/>
  <c r="D79" i="35"/>
  <c r="E79" i="35"/>
  <c r="F79" i="35"/>
  <c r="G79" i="35"/>
  <c r="H79" i="35"/>
  <c r="H82" i="35" s="1"/>
  <c r="H83" i="35" s="1"/>
  <c r="D80" i="35"/>
  <c r="E80" i="35"/>
  <c r="F80" i="35"/>
  <c r="G80" i="35"/>
  <c r="H80" i="35"/>
  <c r="D81" i="35"/>
  <c r="I81" i="35" s="1"/>
  <c r="E81" i="35"/>
  <c r="F81" i="35"/>
  <c r="G81" i="35"/>
  <c r="H81" i="35"/>
  <c r="E82" i="35"/>
  <c r="E77" i="35"/>
  <c r="F77" i="35"/>
  <c r="F82" i="35" s="1"/>
  <c r="G77" i="35"/>
  <c r="G82" i="35" s="1"/>
  <c r="G83" i="35" s="1"/>
  <c r="H77" i="35"/>
  <c r="D77" i="35"/>
  <c r="D54" i="35"/>
  <c r="E54" i="35"/>
  <c r="I54" i="35" s="1"/>
  <c r="F54" i="35"/>
  <c r="G54" i="35"/>
  <c r="H54" i="35"/>
  <c r="D55" i="35"/>
  <c r="E55" i="35"/>
  <c r="F55" i="35"/>
  <c r="G55" i="35"/>
  <c r="H55" i="35"/>
  <c r="D56" i="35"/>
  <c r="E56" i="35"/>
  <c r="F56" i="35"/>
  <c r="G56" i="35"/>
  <c r="H56" i="35"/>
  <c r="D57" i="35"/>
  <c r="E57" i="35"/>
  <c r="F57" i="35"/>
  <c r="G57" i="35"/>
  <c r="H57" i="35"/>
  <c r="I57" i="35" s="1"/>
  <c r="E53" i="35"/>
  <c r="F53" i="35"/>
  <c r="G53" i="35"/>
  <c r="H53" i="35"/>
  <c r="D53" i="35"/>
  <c r="C39" i="35"/>
  <c r="D30" i="35"/>
  <c r="E30" i="35"/>
  <c r="F30" i="35"/>
  <c r="G30" i="35"/>
  <c r="G34" i="35" s="1"/>
  <c r="G35" i="35" s="1"/>
  <c r="H30" i="35"/>
  <c r="D31" i="35"/>
  <c r="E31" i="35"/>
  <c r="F31" i="35"/>
  <c r="G31" i="35"/>
  <c r="H31" i="35"/>
  <c r="D32" i="35"/>
  <c r="I32" i="35" s="1"/>
  <c r="E32" i="35"/>
  <c r="F32" i="35"/>
  <c r="G32" i="35"/>
  <c r="H32" i="35"/>
  <c r="D33" i="35"/>
  <c r="I33" i="35" s="1"/>
  <c r="E33" i="35"/>
  <c r="F33" i="35"/>
  <c r="G33" i="35"/>
  <c r="H33" i="35"/>
  <c r="E29" i="35"/>
  <c r="F29" i="35"/>
  <c r="G29" i="35"/>
  <c r="H29" i="35"/>
  <c r="D29" i="35"/>
  <c r="AI267" i="34" l="1"/>
  <c r="I267" i="34"/>
  <c r="V242" i="34"/>
  <c r="AI217" i="34"/>
  <c r="V267" i="34"/>
  <c r="AI242" i="34"/>
  <c r="I242" i="34"/>
  <c r="V217" i="34"/>
  <c r="I217" i="34"/>
  <c r="I192" i="34"/>
  <c r="V167" i="34"/>
  <c r="V192" i="34"/>
  <c r="AI167" i="34"/>
  <c r="AI192" i="34"/>
  <c r="V142" i="34"/>
  <c r="AI142" i="34"/>
  <c r="I167" i="34"/>
  <c r="AI117" i="34"/>
  <c r="I142" i="34"/>
  <c r="V117" i="34"/>
  <c r="AI92" i="34"/>
  <c r="I92" i="34"/>
  <c r="I117" i="34"/>
  <c r="V92" i="34"/>
  <c r="AI67" i="34"/>
  <c r="V67" i="34"/>
  <c r="I67" i="34"/>
  <c r="V42" i="34"/>
  <c r="AI42" i="34"/>
  <c r="I42" i="34"/>
  <c r="AI17" i="34"/>
  <c r="V17" i="34"/>
  <c r="I17" i="34"/>
  <c r="Q136" i="35"/>
  <c r="U136" i="35"/>
  <c r="U137" i="35" s="1"/>
  <c r="P149" i="35" s="1"/>
  <c r="S137" i="35"/>
  <c r="W133" i="35"/>
  <c r="Y133" i="35"/>
  <c r="W135" i="35"/>
  <c r="Y132" i="35"/>
  <c r="R137" i="35"/>
  <c r="W134" i="35"/>
  <c r="W132" i="35"/>
  <c r="V131" i="35"/>
  <c r="W131" i="35" s="1"/>
  <c r="O141" i="35"/>
  <c r="Q137" i="35"/>
  <c r="P141" i="35"/>
  <c r="Q141" i="35"/>
  <c r="T136" i="35"/>
  <c r="T137" i="35" s="1"/>
  <c r="R141" i="35"/>
  <c r="S141" i="35"/>
  <c r="T141" i="35"/>
  <c r="S160" i="35"/>
  <c r="Y157" i="35" s="1"/>
  <c r="Q160" i="35"/>
  <c r="Y155" i="35" s="1"/>
  <c r="T160" i="35"/>
  <c r="T161" i="35" s="1"/>
  <c r="P172" i="35" s="1"/>
  <c r="V156" i="35"/>
  <c r="V160" i="35" s="1"/>
  <c r="W161" i="35" s="1"/>
  <c r="W157" i="35"/>
  <c r="W159" i="35"/>
  <c r="R161" i="35"/>
  <c r="W155" i="35"/>
  <c r="U160" i="35"/>
  <c r="U161" i="35" s="1"/>
  <c r="P165" i="35"/>
  <c r="Q165" i="35"/>
  <c r="O165" i="35"/>
  <c r="R165" i="35"/>
  <c r="S165" i="35"/>
  <c r="W158" i="35"/>
  <c r="T165" i="35"/>
  <c r="U112" i="35"/>
  <c r="S112" i="35"/>
  <c r="Y109" i="35" s="1"/>
  <c r="Q112" i="35"/>
  <c r="Q113" i="35" s="1"/>
  <c r="Y110" i="35"/>
  <c r="Y111" i="35"/>
  <c r="R113" i="35"/>
  <c r="R114" i="35" s="1"/>
  <c r="U113" i="35"/>
  <c r="P125" i="35" s="1"/>
  <c r="V107" i="35"/>
  <c r="W107" i="35" s="1"/>
  <c r="Q121" i="35" s="1"/>
  <c r="X109" i="35"/>
  <c r="Q123" i="35"/>
  <c r="Z110" i="35"/>
  <c r="P124" i="35"/>
  <c r="T114" i="35"/>
  <c r="Y108" i="35"/>
  <c r="X110" i="35"/>
  <c r="Q124" i="35"/>
  <c r="W108" i="35"/>
  <c r="O117" i="35"/>
  <c r="P117" i="35"/>
  <c r="Q117" i="35"/>
  <c r="W111" i="35"/>
  <c r="S113" i="35"/>
  <c r="R117" i="35"/>
  <c r="S117" i="35"/>
  <c r="T117" i="35"/>
  <c r="V84" i="35"/>
  <c r="Y84" i="35" s="1"/>
  <c r="R89" i="35"/>
  <c r="U88" i="35"/>
  <c r="Y87" i="35" s="1"/>
  <c r="V83" i="35"/>
  <c r="W87" i="35"/>
  <c r="Y86" i="35"/>
  <c r="W86" i="35"/>
  <c r="Z86" i="35" s="1"/>
  <c r="W85" i="35"/>
  <c r="P100" i="35"/>
  <c r="T90" i="35"/>
  <c r="Q88" i="35"/>
  <c r="Y83" i="35" s="1"/>
  <c r="W84" i="35"/>
  <c r="S88" i="35"/>
  <c r="Y85" i="35" s="1"/>
  <c r="W83" i="35"/>
  <c r="O93" i="35"/>
  <c r="P93" i="35"/>
  <c r="Q93" i="35"/>
  <c r="R93" i="35"/>
  <c r="S93" i="35"/>
  <c r="T93" i="35"/>
  <c r="S65" i="35"/>
  <c r="S66" i="35" s="1"/>
  <c r="R64" i="35"/>
  <c r="R65" i="35" s="1"/>
  <c r="Y62" i="35"/>
  <c r="V59" i="35"/>
  <c r="W59" i="35" s="1"/>
  <c r="Q73" i="35" s="1"/>
  <c r="Q64" i="35"/>
  <c r="Q65" i="35" s="1"/>
  <c r="P77" i="35"/>
  <c r="U66" i="35"/>
  <c r="Y63" i="35"/>
  <c r="W63" i="35"/>
  <c r="Y61" i="35"/>
  <c r="W61" i="35"/>
  <c r="P76" i="35"/>
  <c r="T66" i="35"/>
  <c r="X59" i="35"/>
  <c r="V60" i="35"/>
  <c r="P69" i="35"/>
  <c r="Q69" i="35"/>
  <c r="O69" i="35"/>
  <c r="R69" i="35"/>
  <c r="S69" i="35"/>
  <c r="W62" i="35"/>
  <c r="T69" i="35"/>
  <c r="T40" i="35"/>
  <c r="T41" i="35" s="1"/>
  <c r="T42" i="35" s="1"/>
  <c r="R45" i="35"/>
  <c r="U40" i="35"/>
  <c r="Y39" i="35" s="1"/>
  <c r="T45" i="35"/>
  <c r="S42" i="35"/>
  <c r="P51" i="35"/>
  <c r="P50" i="35"/>
  <c r="R42" i="35"/>
  <c r="Q45" i="35"/>
  <c r="S45" i="35"/>
  <c r="W38" i="35"/>
  <c r="V37" i="35"/>
  <c r="Y37" i="35" s="1"/>
  <c r="Q40" i="35"/>
  <c r="Q41" i="35" s="1"/>
  <c r="V36" i="35"/>
  <c r="Y36" i="35" s="1"/>
  <c r="P45" i="35"/>
  <c r="V35" i="35"/>
  <c r="O45" i="35"/>
  <c r="W39" i="35"/>
  <c r="E106" i="35"/>
  <c r="I102" i="35"/>
  <c r="I30" i="35"/>
  <c r="I55" i="35"/>
  <c r="J55" i="35" s="1"/>
  <c r="I80" i="35"/>
  <c r="J80" i="35" s="1"/>
  <c r="F63" i="35"/>
  <c r="I79" i="35"/>
  <c r="D106" i="35"/>
  <c r="I31" i="35"/>
  <c r="J31" i="35" s="1"/>
  <c r="D58" i="35"/>
  <c r="I105" i="35"/>
  <c r="J105" i="35" s="1"/>
  <c r="F106" i="35"/>
  <c r="L103" i="35" s="1"/>
  <c r="G106" i="35"/>
  <c r="G107" i="35" s="1"/>
  <c r="I104" i="35"/>
  <c r="J104" i="35" s="1"/>
  <c r="K104" i="35" s="1"/>
  <c r="E107" i="35"/>
  <c r="C116" i="35" s="1"/>
  <c r="I101" i="35"/>
  <c r="J101" i="35" s="1"/>
  <c r="J103" i="35"/>
  <c r="J102" i="35"/>
  <c r="L102" i="35"/>
  <c r="H106" i="35"/>
  <c r="L105" i="35" s="1"/>
  <c r="B111" i="35"/>
  <c r="D107" i="35"/>
  <c r="C111" i="35"/>
  <c r="D111" i="35"/>
  <c r="E111" i="35"/>
  <c r="F111" i="35"/>
  <c r="G111" i="35"/>
  <c r="E87" i="35"/>
  <c r="F83" i="35"/>
  <c r="C93" i="35" s="1"/>
  <c r="L79" i="35"/>
  <c r="L78" i="35"/>
  <c r="F87" i="35"/>
  <c r="D94" i="35"/>
  <c r="K80" i="35"/>
  <c r="J81" i="35"/>
  <c r="M81" i="35" s="1"/>
  <c r="L81" i="35"/>
  <c r="F84" i="35"/>
  <c r="C94" i="35"/>
  <c r="G84" i="35"/>
  <c r="M80" i="35"/>
  <c r="H84" i="35"/>
  <c r="C95" i="35"/>
  <c r="G87" i="35"/>
  <c r="L80" i="35"/>
  <c r="I77" i="35"/>
  <c r="J77" i="35" s="1"/>
  <c r="J78" i="35"/>
  <c r="J79" i="35"/>
  <c r="B87" i="35"/>
  <c r="C87" i="35"/>
  <c r="D82" i="35"/>
  <c r="D83" i="35" s="1"/>
  <c r="E83" i="35"/>
  <c r="D87" i="35"/>
  <c r="I56" i="35"/>
  <c r="J56" i="35" s="1"/>
  <c r="E58" i="35"/>
  <c r="L54" i="35" s="1"/>
  <c r="J54" i="35"/>
  <c r="J57" i="35"/>
  <c r="F58" i="35"/>
  <c r="I53" i="35"/>
  <c r="G58" i="35"/>
  <c r="L56" i="35" s="1"/>
  <c r="H58" i="35"/>
  <c r="L57" i="35" s="1"/>
  <c r="B63" i="35"/>
  <c r="D59" i="35"/>
  <c r="C63" i="35"/>
  <c r="D63" i="35"/>
  <c r="E63" i="35"/>
  <c r="G63" i="35"/>
  <c r="D34" i="35"/>
  <c r="D35" i="35" s="1"/>
  <c r="C43" i="35" s="1"/>
  <c r="H34" i="35"/>
  <c r="H35" i="35" s="1"/>
  <c r="C47" i="35" s="1"/>
  <c r="F34" i="35"/>
  <c r="E34" i="35"/>
  <c r="E35" i="35" s="1"/>
  <c r="I29" i="35"/>
  <c r="J33" i="35"/>
  <c r="J32" i="35"/>
  <c r="M32" i="35" s="1"/>
  <c r="L32" i="35"/>
  <c r="C46" i="35"/>
  <c r="G36" i="35"/>
  <c r="F39" i="35"/>
  <c r="J30" i="35"/>
  <c r="E39" i="35"/>
  <c r="B39" i="35"/>
  <c r="D39" i="35"/>
  <c r="G39" i="35"/>
  <c r="J356" i="34"/>
  <c r="K356" i="34"/>
  <c r="L356" i="34"/>
  <c r="M356" i="34"/>
  <c r="J357" i="34"/>
  <c r="K357" i="34"/>
  <c r="L357" i="34"/>
  <c r="M357" i="34"/>
  <c r="J358" i="34"/>
  <c r="K358" i="34"/>
  <c r="L358" i="34"/>
  <c r="M358" i="34"/>
  <c r="J359" i="34"/>
  <c r="K359" i="34"/>
  <c r="L359" i="34"/>
  <c r="M359" i="34"/>
  <c r="J360" i="34"/>
  <c r="K360" i="34"/>
  <c r="L360" i="34"/>
  <c r="M360" i="34"/>
  <c r="J361" i="34"/>
  <c r="K361" i="34"/>
  <c r="L361" i="34"/>
  <c r="M361" i="34"/>
  <c r="J362" i="34"/>
  <c r="K362" i="34"/>
  <c r="L362" i="34"/>
  <c r="M362" i="34"/>
  <c r="J363" i="34"/>
  <c r="K363" i="34"/>
  <c r="L363" i="34"/>
  <c r="M363" i="34"/>
  <c r="J364" i="34"/>
  <c r="K364" i="34"/>
  <c r="L364" i="34"/>
  <c r="M364" i="34"/>
  <c r="J365" i="34"/>
  <c r="K365" i="34"/>
  <c r="L365" i="34"/>
  <c r="M365" i="34"/>
  <c r="J366" i="34"/>
  <c r="K366" i="34"/>
  <c r="L366" i="34"/>
  <c r="M366" i="34"/>
  <c r="I366" i="34"/>
  <c r="I365" i="34"/>
  <c r="I364" i="34"/>
  <c r="I363" i="34"/>
  <c r="I362" i="34"/>
  <c r="I361" i="34"/>
  <c r="I360" i="34"/>
  <c r="I359" i="34"/>
  <c r="I358" i="34"/>
  <c r="E356" i="34"/>
  <c r="F356" i="34"/>
  <c r="G356" i="34"/>
  <c r="H356" i="34"/>
  <c r="E357" i="34"/>
  <c r="F357" i="34"/>
  <c r="G357" i="34"/>
  <c r="H357" i="34"/>
  <c r="E358" i="34"/>
  <c r="F358" i="34"/>
  <c r="G358" i="34"/>
  <c r="H358" i="34"/>
  <c r="E359" i="34"/>
  <c r="F359" i="34"/>
  <c r="G359" i="34"/>
  <c r="H359" i="34"/>
  <c r="E360" i="34"/>
  <c r="F360" i="34"/>
  <c r="G360" i="34"/>
  <c r="H360" i="34"/>
  <c r="E361" i="34"/>
  <c r="F361" i="34"/>
  <c r="G361" i="34"/>
  <c r="H361" i="34"/>
  <c r="E362" i="34"/>
  <c r="F362" i="34"/>
  <c r="G362" i="34"/>
  <c r="H362" i="34"/>
  <c r="E363" i="34"/>
  <c r="F363" i="34"/>
  <c r="G363" i="34"/>
  <c r="H363" i="34"/>
  <c r="E364" i="34"/>
  <c r="F364" i="34"/>
  <c r="G364" i="34"/>
  <c r="H364" i="34"/>
  <c r="E365" i="34"/>
  <c r="F365" i="34"/>
  <c r="G365" i="34"/>
  <c r="H365" i="34"/>
  <c r="E366" i="34"/>
  <c r="F366" i="34"/>
  <c r="G366" i="34"/>
  <c r="H366" i="34"/>
  <c r="D358" i="34"/>
  <c r="D357" i="34"/>
  <c r="D356" i="34"/>
  <c r="I357" i="34"/>
  <c r="I356" i="34"/>
  <c r="D366" i="34"/>
  <c r="D365" i="34"/>
  <c r="D364" i="34"/>
  <c r="D363" i="34"/>
  <c r="D362" i="34"/>
  <c r="D361" i="34"/>
  <c r="D360" i="34"/>
  <c r="D359" i="34"/>
  <c r="AH261" i="34"/>
  <c r="AG261" i="34"/>
  <c r="AF261" i="34"/>
  <c r="AE261" i="34"/>
  <c r="AD261" i="34"/>
  <c r="AH260" i="34"/>
  <c r="AM353" i="34" s="1"/>
  <c r="AG260" i="34"/>
  <c r="AL353" i="34" s="1"/>
  <c r="AF260" i="34"/>
  <c r="AK353" i="34" s="1"/>
  <c r="AE260" i="34"/>
  <c r="AJ353" i="34" s="1"/>
  <c r="AD260" i="34"/>
  <c r="AI353" i="34" s="1"/>
  <c r="AN259" i="34"/>
  <c r="AL259" i="34"/>
  <c r="AK259" i="34"/>
  <c r="AJ259" i="34"/>
  <c r="AJ260" i="34" s="1"/>
  <c r="AH258" i="34"/>
  <c r="AH353" i="34" s="1"/>
  <c r="AG258" i="34"/>
  <c r="AG353" i="34" s="1"/>
  <c r="AF258" i="34"/>
  <c r="AF353" i="34" s="1"/>
  <c r="AE258" i="34"/>
  <c r="AE353" i="34" s="1"/>
  <c r="AD258" i="34"/>
  <c r="AD353" i="34" s="1"/>
  <c r="AN257" i="34"/>
  <c r="AI257" i="34" s="1"/>
  <c r="AL257" i="34"/>
  <c r="AK257" i="34"/>
  <c r="AH236" i="34"/>
  <c r="AG236" i="34"/>
  <c r="AF236" i="34"/>
  <c r="AE236" i="34"/>
  <c r="AD236" i="34"/>
  <c r="AH235" i="34"/>
  <c r="AM352" i="34" s="1"/>
  <c r="AG235" i="34"/>
  <c r="AL352" i="34" s="1"/>
  <c r="AF235" i="34"/>
  <c r="AK352" i="34" s="1"/>
  <c r="AE235" i="34"/>
  <c r="AJ352" i="34" s="1"/>
  <c r="AD235" i="34"/>
  <c r="AI352" i="34" s="1"/>
  <c r="AN234" i="34"/>
  <c r="AL234" i="34"/>
  <c r="AK234" i="34"/>
  <c r="AJ234" i="34"/>
  <c r="AJ235" i="34" s="1"/>
  <c r="AH233" i="34"/>
  <c r="AH352" i="34" s="1"/>
  <c r="AG233" i="34"/>
  <c r="AG352" i="34" s="1"/>
  <c r="AF233" i="34"/>
  <c r="AF352" i="34" s="1"/>
  <c r="AE233" i="34"/>
  <c r="AE352" i="34" s="1"/>
  <c r="AD233" i="34"/>
  <c r="AD352" i="34" s="1"/>
  <c r="AN232" i="34"/>
  <c r="AI232" i="34" s="1"/>
  <c r="AH462" i="34" s="1"/>
  <c r="AL232" i="34"/>
  <c r="AK232" i="34"/>
  <c r="AD462" i="34" s="1"/>
  <c r="AH211" i="34"/>
  <c r="AG211" i="34"/>
  <c r="AF211" i="34"/>
  <c r="AE211" i="34"/>
  <c r="AD211" i="34"/>
  <c r="AH210" i="34"/>
  <c r="AM351" i="34" s="1"/>
  <c r="AG210" i="34"/>
  <c r="AL351" i="34" s="1"/>
  <c r="AF210" i="34"/>
  <c r="AK351" i="34" s="1"/>
  <c r="AE210" i="34"/>
  <c r="AJ351" i="34" s="1"/>
  <c r="AD210" i="34"/>
  <c r="AI351" i="34" s="1"/>
  <c r="AN209" i="34"/>
  <c r="AL209" i="34"/>
  <c r="AK209" i="34"/>
  <c r="AJ209" i="34"/>
  <c r="AJ210" i="34" s="1"/>
  <c r="AH208" i="34"/>
  <c r="AH351" i="34" s="1"/>
  <c r="AG208" i="34"/>
  <c r="AG351" i="34" s="1"/>
  <c r="AF208" i="34"/>
  <c r="AF351" i="34" s="1"/>
  <c r="AE208" i="34"/>
  <c r="AE351" i="34" s="1"/>
  <c r="AD208" i="34"/>
  <c r="AD351" i="34" s="1"/>
  <c r="AN207" i="34"/>
  <c r="AI207" i="34" s="1"/>
  <c r="AL207" i="34"/>
  <c r="AK207" i="34"/>
  <c r="AD461" i="34" s="1"/>
  <c r="AH186" i="34"/>
  <c r="AG186" i="34"/>
  <c r="AF186" i="34"/>
  <c r="AE186" i="34"/>
  <c r="AD186" i="34"/>
  <c r="AH185" i="34"/>
  <c r="AM350" i="34" s="1"/>
  <c r="AG185" i="34"/>
  <c r="AL350" i="34" s="1"/>
  <c r="AF185" i="34"/>
  <c r="AK350" i="34" s="1"/>
  <c r="AE185" i="34"/>
  <c r="AJ350" i="34" s="1"/>
  <c r="AD185" i="34"/>
  <c r="AI350" i="34" s="1"/>
  <c r="AN184" i="34"/>
  <c r="AL184" i="34"/>
  <c r="AK184" i="34"/>
  <c r="AJ184" i="34"/>
  <c r="AJ185" i="34" s="1"/>
  <c r="AH183" i="34"/>
  <c r="AH350" i="34" s="1"/>
  <c r="AG183" i="34"/>
  <c r="AG350" i="34" s="1"/>
  <c r="AF183" i="34"/>
  <c r="AF350" i="34" s="1"/>
  <c r="AE183" i="34"/>
  <c r="AE350" i="34" s="1"/>
  <c r="AD183" i="34"/>
  <c r="AD350" i="34" s="1"/>
  <c r="AN182" i="34"/>
  <c r="AI182" i="34" s="1"/>
  <c r="AL182" i="34"/>
  <c r="AK182" i="34"/>
  <c r="AD460" i="34" s="1"/>
  <c r="AH161" i="34"/>
  <c r="AG161" i="34"/>
  <c r="AF161" i="34"/>
  <c r="AE161" i="34"/>
  <c r="AD161" i="34"/>
  <c r="AH160" i="34"/>
  <c r="AM349" i="34" s="1"/>
  <c r="AG160" i="34"/>
  <c r="AL349" i="34" s="1"/>
  <c r="AF160" i="34"/>
  <c r="AK349" i="34" s="1"/>
  <c r="AE160" i="34"/>
  <c r="AJ349" i="34" s="1"/>
  <c r="AD160" i="34"/>
  <c r="AI349" i="34" s="1"/>
  <c r="AN159" i="34"/>
  <c r="AL159" i="34"/>
  <c r="AK159" i="34"/>
  <c r="AJ159" i="34"/>
  <c r="AJ160" i="34" s="1"/>
  <c r="AH158" i="34"/>
  <c r="AH349" i="34" s="1"/>
  <c r="AG158" i="34"/>
  <c r="AG349" i="34" s="1"/>
  <c r="AF158" i="34"/>
  <c r="AF349" i="34" s="1"/>
  <c r="AE158" i="34"/>
  <c r="AE349" i="34" s="1"/>
  <c r="AD158" i="34"/>
  <c r="AD349" i="34" s="1"/>
  <c r="AN157" i="34"/>
  <c r="AI157" i="34" s="1"/>
  <c r="AL157" i="34"/>
  <c r="AK157" i="34"/>
  <c r="AD459" i="34" s="1"/>
  <c r="AH136" i="34"/>
  <c r="AG136" i="34"/>
  <c r="AF136" i="34"/>
  <c r="AE136" i="34"/>
  <c r="AD136" i="34"/>
  <c r="AH135" i="34"/>
  <c r="AM348" i="34" s="1"/>
  <c r="AG135" i="34"/>
  <c r="AL348" i="34" s="1"/>
  <c r="AF135" i="34"/>
  <c r="AK348" i="34" s="1"/>
  <c r="AE135" i="34"/>
  <c r="AJ348" i="34" s="1"/>
  <c r="AD135" i="34"/>
  <c r="AI348" i="34" s="1"/>
  <c r="AN134" i="34"/>
  <c r="AL134" i="34"/>
  <c r="AK134" i="34"/>
  <c r="AJ134" i="34"/>
  <c r="AJ135" i="34" s="1"/>
  <c r="AH133" i="34"/>
  <c r="AH348" i="34" s="1"/>
  <c r="AG133" i="34"/>
  <c r="AG348" i="34" s="1"/>
  <c r="AF133" i="34"/>
  <c r="AF348" i="34" s="1"/>
  <c r="AE133" i="34"/>
  <c r="AE348" i="34" s="1"/>
  <c r="AD133" i="34"/>
  <c r="AD348" i="34" s="1"/>
  <c r="AN132" i="34"/>
  <c r="AI132" i="34" s="1"/>
  <c r="AL132" i="34"/>
  <c r="AK132" i="34"/>
  <c r="AD458" i="34" s="1"/>
  <c r="AH111" i="34"/>
  <c r="AG111" i="34"/>
  <c r="AF111" i="34"/>
  <c r="AE111" i="34"/>
  <c r="AD111" i="34"/>
  <c r="AH110" i="34"/>
  <c r="AM347" i="34" s="1"/>
  <c r="AG110" i="34"/>
  <c r="AL347" i="34" s="1"/>
  <c r="AF110" i="34"/>
  <c r="AK347" i="34" s="1"/>
  <c r="AE110" i="34"/>
  <c r="AJ347" i="34" s="1"/>
  <c r="AD110" i="34"/>
  <c r="AI347" i="34" s="1"/>
  <c r="AN109" i="34"/>
  <c r="AL109" i="34"/>
  <c r="AK109" i="34"/>
  <c r="AJ109" i="34"/>
  <c r="AJ110" i="34" s="1"/>
  <c r="AH108" i="34"/>
  <c r="AH347" i="34" s="1"/>
  <c r="AG108" i="34"/>
  <c r="AG347" i="34" s="1"/>
  <c r="AF108" i="34"/>
  <c r="AF347" i="34" s="1"/>
  <c r="AE108" i="34"/>
  <c r="AE347" i="34" s="1"/>
  <c r="AD108" i="34"/>
  <c r="AD347" i="34" s="1"/>
  <c r="AN107" i="34"/>
  <c r="AL107" i="34"/>
  <c r="AK107" i="34"/>
  <c r="AD457" i="34" s="1"/>
  <c r="AH86" i="34"/>
  <c r="AG86" i="34"/>
  <c r="AF86" i="34"/>
  <c r="AE86" i="34"/>
  <c r="AD86" i="34"/>
  <c r="AH85" i="34"/>
  <c r="AM346" i="34" s="1"/>
  <c r="AG85" i="34"/>
  <c r="AL346" i="34" s="1"/>
  <c r="AF85" i="34"/>
  <c r="AK346" i="34" s="1"/>
  <c r="AE85" i="34"/>
  <c r="AJ346" i="34" s="1"/>
  <c r="AD85" i="34"/>
  <c r="AI346" i="34" s="1"/>
  <c r="AN84" i="34"/>
  <c r="AL84" i="34"/>
  <c r="AK84" i="34"/>
  <c r="AJ84" i="34"/>
  <c r="AJ85" i="34" s="1"/>
  <c r="AH83" i="34"/>
  <c r="AH346" i="34" s="1"/>
  <c r="AG83" i="34"/>
  <c r="AG346" i="34" s="1"/>
  <c r="AF83" i="34"/>
  <c r="AF346" i="34" s="1"/>
  <c r="AE83" i="34"/>
  <c r="AE346" i="34" s="1"/>
  <c r="AD83" i="34"/>
  <c r="AD346" i="34" s="1"/>
  <c r="AN82" i="34"/>
  <c r="AI82" i="34" s="1"/>
  <c r="AH456" i="34" s="1"/>
  <c r="AL82" i="34"/>
  <c r="AK82" i="34"/>
  <c r="AD456" i="34" s="1"/>
  <c r="AH61" i="34"/>
  <c r="AG61" i="34"/>
  <c r="AF61" i="34"/>
  <c r="AE61" i="34"/>
  <c r="AD61" i="34"/>
  <c r="AH60" i="34"/>
  <c r="AM345" i="34" s="1"/>
  <c r="AG60" i="34"/>
  <c r="AL345" i="34" s="1"/>
  <c r="AF60" i="34"/>
  <c r="AK345" i="34" s="1"/>
  <c r="AE60" i="34"/>
  <c r="AJ345" i="34" s="1"/>
  <c r="AD60" i="34"/>
  <c r="AI345" i="34" s="1"/>
  <c r="AN59" i="34"/>
  <c r="AL59" i="34"/>
  <c r="AK59" i="34"/>
  <c r="AJ59" i="34"/>
  <c r="AJ60" i="34" s="1"/>
  <c r="AH58" i="34"/>
  <c r="AH345" i="34" s="1"/>
  <c r="AG58" i="34"/>
  <c r="AG345" i="34" s="1"/>
  <c r="AF58" i="34"/>
  <c r="AF345" i="34" s="1"/>
  <c r="AE58" i="34"/>
  <c r="AE345" i="34" s="1"/>
  <c r="AD58" i="34"/>
  <c r="AD345" i="34" s="1"/>
  <c r="AN57" i="34"/>
  <c r="AI57" i="34" s="1"/>
  <c r="AH455" i="34" s="1"/>
  <c r="AL57" i="34"/>
  <c r="AK57" i="34"/>
  <c r="AE10" i="34"/>
  <c r="AJ343" i="34" s="1"/>
  <c r="AF10" i="34"/>
  <c r="AK343" i="34" s="1"/>
  <c r="AG10" i="34"/>
  <c r="AL343" i="34" s="1"/>
  <c r="AH10" i="34"/>
  <c r="AM343" i="34" s="1"/>
  <c r="AD10" i="34"/>
  <c r="AI343" i="34" s="1"/>
  <c r="AE35" i="34"/>
  <c r="AJ344" i="34" s="1"/>
  <c r="AF35" i="34"/>
  <c r="AK344" i="34" s="1"/>
  <c r="AG35" i="34"/>
  <c r="AL344" i="34" s="1"/>
  <c r="AH35" i="34"/>
  <c r="AM344" i="34" s="1"/>
  <c r="AD35" i="34"/>
  <c r="AI344" i="34" s="1"/>
  <c r="AE33" i="34"/>
  <c r="AE344" i="34" s="1"/>
  <c r="AF33" i="34"/>
  <c r="AF344" i="34" s="1"/>
  <c r="AG33" i="34"/>
  <c r="AG344" i="34" s="1"/>
  <c r="AH33" i="34"/>
  <c r="AH344" i="34" s="1"/>
  <c r="AD33" i="34"/>
  <c r="AD344" i="34" s="1"/>
  <c r="AE8" i="34"/>
  <c r="AE343" i="34" s="1"/>
  <c r="AF8" i="34"/>
  <c r="AF343" i="34" s="1"/>
  <c r="AG8" i="34"/>
  <c r="AG343" i="34" s="1"/>
  <c r="AH8" i="34"/>
  <c r="AH343" i="34" s="1"/>
  <c r="AD8" i="34"/>
  <c r="AD343" i="34" s="1"/>
  <c r="AH36" i="34"/>
  <c r="AG36" i="34"/>
  <c r="AF36" i="34"/>
  <c r="AE36" i="34"/>
  <c r="AD36" i="34"/>
  <c r="AN34" i="34"/>
  <c r="AL34" i="34"/>
  <c r="AK34" i="34"/>
  <c r="AJ34" i="34"/>
  <c r="AJ35" i="34" s="1"/>
  <c r="AN32" i="34"/>
  <c r="AL32" i="34"/>
  <c r="AK32" i="34"/>
  <c r="AD454" i="34" s="1"/>
  <c r="AN7" i="34"/>
  <c r="AI7" i="34" s="1"/>
  <c r="AA263" i="34"/>
  <c r="V263" i="34" s="1"/>
  <c r="V264" i="34" s="1"/>
  <c r="AA257" i="34"/>
  <c r="V257" i="34" s="1"/>
  <c r="AA238" i="34"/>
  <c r="V238" i="34" s="1"/>
  <c r="V239" i="34" s="1"/>
  <c r="AA232" i="34"/>
  <c r="V232" i="34" s="1"/>
  <c r="AA213" i="34"/>
  <c r="V213" i="34" s="1"/>
  <c r="V214" i="34" s="1"/>
  <c r="AA207" i="34"/>
  <c r="V207" i="34" s="1"/>
  <c r="AA188" i="34"/>
  <c r="V188" i="34" s="1"/>
  <c r="V189" i="34" s="1"/>
  <c r="AA182" i="34"/>
  <c r="V182" i="34" s="1"/>
  <c r="AA163" i="34"/>
  <c r="V163" i="34" s="1"/>
  <c r="V164" i="34" s="1"/>
  <c r="AA157" i="34"/>
  <c r="V157" i="34" s="1"/>
  <c r="AA138" i="34"/>
  <c r="V138" i="34" s="1"/>
  <c r="V139" i="34" s="1"/>
  <c r="AA132" i="34"/>
  <c r="V132" i="34" s="1"/>
  <c r="AA113" i="34"/>
  <c r="V113" i="34" s="1"/>
  <c r="V114" i="34" s="1"/>
  <c r="AA107" i="34"/>
  <c r="V107" i="34" s="1"/>
  <c r="AA88" i="34"/>
  <c r="V88" i="34" s="1"/>
  <c r="V89" i="34" s="1"/>
  <c r="AA82" i="34"/>
  <c r="V82" i="34" s="1"/>
  <c r="AA63" i="34"/>
  <c r="V63" i="34" s="1"/>
  <c r="V64" i="34" s="1"/>
  <c r="AA57" i="34"/>
  <c r="V57" i="34" s="1"/>
  <c r="AA38" i="34"/>
  <c r="V38" i="34" s="1"/>
  <c r="V39" i="34" s="1"/>
  <c r="AA13" i="34"/>
  <c r="V13" i="34" s="1"/>
  <c r="V14" i="34" s="1"/>
  <c r="AA32" i="34"/>
  <c r="V32" i="34" s="1"/>
  <c r="AA7" i="34"/>
  <c r="V7" i="34" s="1"/>
  <c r="AH11" i="34"/>
  <c r="AH19" i="34" s="1"/>
  <c r="AG11" i="34"/>
  <c r="AG20" i="34" s="1"/>
  <c r="AF11" i="34"/>
  <c r="AF22" i="34" s="1"/>
  <c r="AE11" i="34"/>
  <c r="AE20" i="34" s="1"/>
  <c r="AD11" i="34"/>
  <c r="AD22" i="34" s="1"/>
  <c r="AN9" i="34"/>
  <c r="AL9" i="34"/>
  <c r="AK9" i="34"/>
  <c r="AJ9" i="34"/>
  <c r="AJ10" i="34" s="1"/>
  <c r="AL8" i="34"/>
  <c r="AE440" i="34" s="1"/>
  <c r="AK7" i="34"/>
  <c r="Y9" i="34"/>
  <c r="X9" i="34"/>
  <c r="Y7" i="34"/>
  <c r="X7" i="34"/>
  <c r="Y34" i="34"/>
  <c r="X34" i="34"/>
  <c r="Y32" i="34"/>
  <c r="X32" i="34"/>
  <c r="Y59" i="34"/>
  <c r="X59" i="34"/>
  <c r="Y57" i="34"/>
  <c r="X57" i="34"/>
  <c r="Q455" i="34" s="1"/>
  <c r="Y84" i="34"/>
  <c r="X84" i="34"/>
  <c r="Y82" i="34"/>
  <c r="X82" i="34"/>
  <c r="Y109" i="34"/>
  <c r="X109" i="34"/>
  <c r="Y107" i="34"/>
  <c r="X107" i="34"/>
  <c r="Q457" i="34" s="1"/>
  <c r="Y134" i="34"/>
  <c r="X134" i="34"/>
  <c r="Y132" i="34"/>
  <c r="X132" i="34"/>
  <c r="Q458" i="34" s="1"/>
  <c r="Y159" i="34"/>
  <c r="X159" i="34"/>
  <c r="Y157" i="34"/>
  <c r="X157" i="34"/>
  <c r="Y184" i="34"/>
  <c r="X184" i="34"/>
  <c r="Y182" i="34"/>
  <c r="X182" i="34"/>
  <c r="Y209" i="34"/>
  <c r="X209" i="34"/>
  <c r="Y207" i="34"/>
  <c r="X207" i="34"/>
  <c r="Q461" i="34" s="1"/>
  <c r="Y234" i="34"/>
  <c r="X234" i="34"/>
  <c r="Y232" i="34"/>
  <c r="X232" i="34"/>
  <c r="Q462" i="34" s="1"/>
  <c r="AA259" i="34"/>
  <c r="AA234" i="34"/>
  <c r="AA209" i="34"/>
  <c r="AA184" i="34"/>
  <c r="AA159" i="34"/>
  <c r="AA134" i="34"/>
  <c r="AA109" i="34"/>
  <c r="AA84" i="34"/>
  <c r="AA59" i="34"/>
  <c r="AA34" i="34"/>
  <c r="AA9" i="34"/>
  <c r="Y259" i="34"/>
  <c r="Y257" i="34"/>
  <c r="L9" i="34"/>
  <c r="K9" i="34"/>
  <c r="L7" i="34"/>
  <c r="K7" i="34"/>
  <c r="L34" i="34"/>
  <c r="L35" i="34" s="1"/>
  <c r="D306" i="34" s="1"/>
  <c r="K34" i="34"/>
  <c r="F454" i="34" s="1"/>
  <c r="L32" i="34"/>
  <c r="L33" i="34" s="1"/>
  <c r="E441" i="34" s="1"/>
  <c r="K32" i="34"/>
  <c r="K33" i="34" s="1"/>
  <c r="D441" i="34" s="1"/>
  <c r="L59" i="34"/>
  <c r="L60" i="34" s="1"/>
  <c r="D307" i="34" s="1"/>
  <c r="K59" i="34"/>
  <c r="K60" i="34" s="1"/>
  <c r="F442" i="34" s="1"/>
  <c r="L57" i="34"/>
  <c r="L58" i="34" s="1"/>
  <c r="E442" i="34" s="1"/>
  <c r="K57" i="34"/>
  <c r="K58" i="34" s="1"/>
  <c r="D442" i="34" s="1"/>
  <c r="L84" i="34"/>
  <c r="L85" i="34" s="1"/>
  <c r="D308" i="34" s="1"/>
  <c r="K84" i="34"/>
  <c r="K85" i="34" s="1"/>
  <c r="F443" i="34" s="1"/>
  <c r="L82" i="34"/>
  <c r="L83" i="34" s="1"/>
  <c r="E443" i="34" s="1"/>
  <c r="K82" i="34"/>
  <c r="K83" i="34" s="1"/>
  <c r="D443" i="34" s="1"/>
  <c r="L109" i="34"/>
  <c r="L110" i="34" s="1"/>
  <c r="D309" i="34" s="1"/>
  <c r="K109" i="34"/>
  <c r="K110" i="34" s="1"/>
  <c r="F444" i="34" s="1"/>
  <c r="L107" i="34"/>
  <c r="L108" i="34" s="1"/>
  <c r="E444" i="34" s="1"/>
  <c r="K107" i="34"/>
  <c r="K108" i="34" s="1"/>
  <c r="D444" i="34" s="1"/>
  <c r="L134" i="34"/>
  <c r="L135" i="34" s="1"/>
  <c r="G445" i="34" s="1"/>
  <c r="K134" i="34"/>
  <c r="K135" i="34" s="1"/>
  <c r="F445" i="34" s="1"/>
  <c r="L132" i="34"/>
  <c r="L133" i="34" s="1"/>
  <c r="E445" i="34" s="1"/>
  <c r="K132" i="34"/>
  <c r="K133" i="34" s="1"/>
  <c r="D445" i="34" s="1"/>
  <c r="L159" i="34"/>
  <c r="L160" i="34" s="1"/>
  <c r="D310" i="34" s="1"/>
  <c r="K159" i="34"/>
  <c r="K160" i="34" s="1"/>
  <c r="F446" i="34" s="1"/>
  <c r="L157" i="34"/>
  <c r="L158" i="34" s="1"/>
  <c r="E446" i="34" s="1"/>
  <c r="K157" i="34"/>
  <c r="K158" i="34" s="1"/>
  <c r="D446" i="34" s="1"/>
  <c r="L184" i="34"/>
  <c r="L185" i="34" s="1"/>
  <c r="D311" i="34" s="1"/>
  <c r="K184" i="34"/>
  <c r="K185" i="34" s="1"/>
  <c r="F447" i="34" s="1"/>
  <c r="L182" i="34"/>
  <c r="L183" i="34" s="1"/>
  <c r="E447" i="34" s="1"/>
  <c r="K182" i="34"/>
  <c r="K183" i="34" s="1"/>
  <c r="D447" i="34" s="1"/>
  <c r="L209" i="34"/>
  <c r="L210" i="34" s="1"/>
  <c r="D312" i="34" s="1"/>
  <c r="K209" i="34"/>
  <c r="K210" i="34" s="1"/>
  <c r="F448" i="34" s="1"/>
  <c r="L207" i="34"/>
  <c r="L208" i="34" s="1"/>
  <c r="E448" i="34" s="1"/>
  <c r="K207" i="34"/>
  <c r="K208" i="34" s="1"/>
  <c r="D448" i="34" s="1"/>
  <c r="L234" i="34"/>
  <c r="L235" i="34" s="1"/>
  <c r="D313" i="34" s="1"/>
  <c r="K234" i="34"/>
  <c r="K235" i="34" s="1"/>
  <c r="F449" i="34" s="1"/>
  <c r="L232" i="34"/>
  <c r="L233" i="34" s="1"/>
  <c r="E449" i="34" s="1"/>
  <c r="K232" i="34"/>
  <c r="D462" i="34" s="1"/>
  <c r="L259" i="34"/>
  <c r="L260" i="34" s="1"/>
  <c r="D314" i="34" s="1"/>
  <c r="E314" i="34" s="1"/>
  <c r="H312" i="34" s="1"/>
  <c r="L257" i="34"/>
  <c r="L258" i="34" s="1"/>
  <c r="E450" i="34" s="1"/>
  <c r="N9" i="34"/>
  <c r="N7" i="34"/>
  <c r="I7" i="34" s="1"/>
  <c r="I8" i="34" s="1"/>
  <c r="H440" i="34" s="1"/>
  <c r="N34" i="34"/>
  <c r="N32" i="34"/>
  <c r="I32" i="34" s="1"/>
  <c r="I33" i="34" s="1"/>
  <c r="H441" i="34" s="1"/>
  <c r="N59" i="34"/>
  <c r="N57" i="34"/>
  <c r="I57" i="34" s="1"/>
  <c r="I58" i="34" s="1"/>
  <c r="H442" i="34" s="1"/>
  <c r="N84" i="34"/>
  <c r="N82" i="34"/>
  <c r="I82" i="34" s="1"/>
  <c r="I83" i="34" s="1"/>
  <c r="H443" i="34" s="1"/>
  <c r="N109" i="34"/>
  <c r="N107" i="34"/>
  <c r="I107" i="34" s="1"/>
  <c r="I108" i="34" s="1"/>
  <c r="H444" i="34" s="1"/>
  <c r="N134" i="34"/>
  <c r="N132" i="34"/>
  <c r="I132" i="34" s="1"/>
  <c r="I133" i="34" s="1"/>
  <c r="H445" i="34" s="1"/>
  <c r="N159" i="34"/>
  <c r="N157" i="34"/>
  <c r="I157" i="34" s="1"/>
  <c r="I158" i="34" s="1"/>
  <c r="H446" i="34" s="1"/>
  <c r="N234" i="34"/>
  <c r="N232" i="34"/>
  <c r="I232" i="34" s="1"/>
  <c r="I233" i="34" s="1"/>
  <c r="H449" i="34" s="1"/>
  <c r="N209" i="34"/>
  <c r="N207" i="34"/>
  <c r="I207" i="34" s="1"/>
  <c r="I208" i="34" s="1"/>
  <c r="H448" i="34" s="1"/>
  <c r="N184" i="34"/>
  <c r="N182" i="34"/>
  <c r="J228" i="34"/>
  <c r="J227" i="34"/>
  <c r="D6" i="35"/>
  <c r="E6" i="35"/>
  <c r="F6" i="35"/>
  <c r="G6" i="35"/>
  <c r="H6" i="35"/>
  <c r="D7" i="35"/>
  <c r="E7" i="35"/>
  <c r="F7" i="35"/>
  <c r="G7" i="35"/>
  <c r="H7" i="35"/>
  <c r="D8" i="35"/>
  <c r="E8" i="35"/>
  <c r="F8" i="35"/>
  <c r="G8" i="35"/>
  <c r="H8" i="35"/>
  <c r="D9" i="35"/>
  <c r="E9" i="35"/>
  <c r="I9" i="35" s="1"/>
  <c r="F9" i="35"/>
  <c r="G9" i="35"/>
  <c r="H9" i="35"/>
  <c r="E5" i="35"/>
  <c r="D15" i="35" s="1"/>
  <c r="F5" i="35"/>
  <c r="G5" i="35"/>
  <c r="H5" i="35"/>
  <c r="AW83" i="26"/>
  <c r="U11" i="34"/>
  <c r="U21" i="34" s="1"/>
  <c r="T11" i="34"/>
  <c r="T21" i="34" s="1"/>
  <c r="S11" i="34"/>
  <c r="S21" i="34" s="1"/>
  <c r="R11" i="34"/>
  <c r="R20" i="34" s="1"/>
  <c r="Q11" i="34"/>
  <c r="Q20" i="34" s="1"/>
  <c r="H11" i="34"/>
  <c r="G11" i="34"/>
  <c r="F11" i="34"/>
  <c r="E11" i="34"/>
  <c r="D11" i="34"/>
  <c r="U36" i="34"/>
  <c r="T36" i="34"/>
  <c r="S36" i="34"/>
  <c r="R36" i="34"/>
  <c r="Q36" i="34"/>
  <c r="H36" i="34"/>
  <c r="G36" i="34"/>
  <c r="F36" i="34"/>
  <c r="E36" i="34"/>
  <c r="D36" i="34"/>
  <c r="U61" i="34"/>
  <c r="T61" i="34"/>
  <c r="S61" i="34"/>
  <c r="R61" i="34"/>
  <c r="Q61" i="34"/>
  <c r="H61" i="34"/>
  <c r="G61" i="34"/>
  <c r="F61" i="34"/>
  <c r="E61" i="34"/>
  <c r="D61" i="34"/>
  <c r="U86" i="34"/>
  <c r="T86" i="34"/>
  <c r="S86" i="34"/>
  <c r="R86" i="34"/>
  <c r="Q86" i="34"/>
  <c r="H86" i="34"/>
  <c r="G86" i="34"/>
  <c r="F86" i="34"/>
  <c r="E86" i="34"/>
  <c r="D86" i="34"/>
  <c r="U111" i="34"/>
  <c r="T111" i="34"/>
  <c r="S111" i="34"/>
  <c r="R111" i="34"/>
  <c r="Q111" i="34"/>
  <c r="H111" i="34"/>
  <c r="G111" i="34"/>
  <c r="F111" i="34"/>
  <c r="E111" i="34"/>
  <c r="D111" i="34"/>
  <c r="U136" i="34"/>
  <c r="T136" i="34"/>
  <c r="S136" i="34"/>
  <c r="R136" i="34"/>
  <c r="Q136" i="34"/>
  <c r="H136" i="34"/>
  <c r="G136" i="34"/>
  <c r="F136" i="34"/>
  <c r="E136" i="34"/>
  <c r="D136" i="34"/>
  <c r="U161" i="34"/>
  <c r="T161" i="34"/>
  <c r="S161" i="34"/>
  <c r="R161" i="34"/>
  <c r="Q161" i="34"/>
  <c r="H161" i="34"/>
  <c r="G161" i="34"/>
  <c r="F161" i="34"/>
  <c r="E161" i="34"/>
  <c r="D161" i="34"/>
  <c r="U186" i="34"/>
  <c r="T186" i="34"/>
  <c r="S186" i="34"/>
  <c r="R186" i="34"/>
  <c r="Q186" i="34"/>
  <c r="H186" i="34"/>
  <c r="G186" i="34"/>
  <c r="F186" i="34"/>
  <c r="E186" i="34"/>
  <c r="D186" i="34"/>
  <c r="U211" i="34"/>
  <c r="T211" i="34"/>
  <c r="S211" i="34"/>
  <c r="R211" i="34"/>
  <c r="Q211" i="34"/>
  <c r="H211" i="34"/>
  <c r="G211" i="34"/>
  <c r="F211" i="34"/>
  <c r="E211" i="34"/>
  <c r="D211" i="34"/>
  <c r="U236" i="34"/>
  <c r="T236" i="34"/>
  <c r="S236" i="34"/>
  <c r="R236" i="34"/>
  <c r="Q236" i="34"/>
  <c r="H236" i="34"/>
  <c r="G236" i="34"/>
  <c r="F236" i="34"/>
  <c r="E236" i="34"/>
  <c r="D236" i="34"/>
  <c r="U261" i="34"/>
  <c r="T261" i="34"/>
  <c r="S261" i="34"/>
  <c r="R261" i="34"/>
  <c r="Q261" i="34"/>
  <c r="E261" i="34"/>
  <c r="F261" i="34"/>
  <c r="G261" i="34"/>
  <c r="H261" i="34"/>
  <c r="D261" i="34"/>
  <c r="X257" i="34"/>
  <c r="K257" i="34"/>
  <c r="K258" i="34" s="1"/>
  <c r="D450" i="34" s="1"/>
  <c r="U260" i="34"/>
  <c r="Z353" i="34" s="1"/>
  <c r="T260" i="34"/>
  <c r="Y353" i="34" s="1"/>
  <c r="S260" i="34"/>
  <c r="X353" i="34" s="1"/>
  <c r="R260" i="34"/>
  <c r="W353" i="34" s="1"/>
  <c r="Q260" i="34"/>
  <c r="V353" i="34" s="1"/>
  <c r="H260" i="34"/>
  <c r="M353" i="34" s="1"/>
  <c r="G260" i="34"/>
  <c r="L353" i="34" s="1"/>
  <c r="F260" i="34"/>
  <c r="K353" i="34" s="1"/>
  <c r="E260" i="34"/>
  <c r="J353" i="34" s="1"/>
  <c r="D260" i="34"/>
  <c r="I353" i="34" s="1"/>
  <c r="X259" i="34"/>
  <c r="W259" i="34"/>
  <c r="W260" i="34" s="1"/>
  <c r="K259" i="34"/>
  <c r="K260" i="34" s="1"/>
  <c r="F450" i="34" s="1"/>
  <c r="J259" i="34"/>
  <c r="J260" i="34" s="1"/>
  <c r="U235" i="34"/>
  <c r="Z352" i="34" s="1"/>
  <c r="T235" i="34"/>
  <c r="Y352" i="34" s="1"/>
  <c r="S235" i="34"/>
  <c r="X352" i="34" s="1"/>
  <c r="R235" i="34"/>
  <c r="W352" i="34" s="1"/>
  <c r="Q235" i="34"/>
  <c r="V352" i="34" s="1"/>
  <c r="H235" i="34"/>
  <c r="M352" i="34" s="1"/>
  <c r="G235" i="34"/>
  <c r="L352" i="34" s="1"/>
  <c r="F235" i="34"/>
  <c r="K352" i="34" s="1"/>
  <c r="E235" i="34"/>
  <c r="J352" i="34" s="1"/>
  <c r="D235" i="34"/>
  <c r="I352" i="34" s="1"/>
  <c r="W234" i="34"/>
  <c r="W235" i="34" s="1"/>
  <c r="J234" i="34"/>
  <c r="J235" i="34" s="1"/>
  <c r="U210" i="34"/>
  <c r="Z351" i="34" s="1"/>
  <c r="T210" i="34"/>
  <c r="Y351" i="34" s="1"/>
  <c r="S210" i="34"/>
  <c r="X351" i="34" s="1"/>
  <c r="R210" i="34"/>
  <c r="W351" i="34" s="1"/>
  <c r="Q210" i="34"/>
  <c r="V351" i="34" s="1"/>
  <c r="H210" i="34"/>
  <c r="M351" i="34" s="1"/>
  <c r="G210" i="34"/>
  <c r="L351" i="34" s="1"/>
  <c r="F210" i="34"/>
  <c r="K351" i="34" s="1"/>
  <c r="E210" i="34"/>
  <c r="J351" i="34" s="1"/>
  <c r="D210" i="34"/>
  <c r="I351" i="34" s="1"/>
  <c r="W209" i="34"/>
  <c r="W210" i="34" s="1"/>
  <c r="J209" i="34"/>
  <c r="J210" i="34" s="1"/>
  <c r="U185" i="34"/>
  <c r="Z350" i="34" s="1"/>
  <c r="T185" i="34"/>
  <c r="Y350" i="34" s="1"/>
  <c r="S185" i="34"/>
  <c r="X350" i="34" s="1"/>
  <c r="R185" i="34"/>
  <c r="W350" i="34" s="1"/>
  <c r="Q185" i="34"/>
  <c r="V350" i="34" s="1"/>
  <c r="H185" i="34"/>
  <c r="M350" i="34" s="1"/>
  <c r="G185" i="34"/>
  <c r="L350" i="34" s="1"/>
  <c r="F185" i="34"/>
  <c r="K350" i="34" s="1"/>
  <c r="E185" i="34"/>
  <c r="J350" i="34" s="1"/>
  <c r="D185" i="34"/>
  <c r="I350" i="34" s="1"/>
  <c r="W184" i="34"/>
  <c r="W185" i="34" s="1"/>
  <c r="J184" i="34"/>
  <c r="J185" i="34" s="1"/>
  <c r="U160" i="34"/>
  <c r="Z349" i="34" s="1"/>
  <c r="T160" i="34"/>
  <c r="Y349" i="34" s="1"/>
  <c r="S160" i="34"/>
  <c r="X349" i="34" s="1"/>
  <c r="R160" i="34"/>
  <c r="W349" i="34" s="1"/>
  <c r="Q160" i="34"/>
  <c r="V349" i="34" s="1"/>
  <c r="H160" i="34"/>
  <c r="M349" i="34" s="1"/>
  <c r="G160" i="34"/>
  <c r="L349" i="34" s="1"/>
  <c r="F160" i="34"/>
  <c r="K349" i="34" s="1"/>
  <c r="E160" i="34"/>
  <c r="J349" i="34" s="1"/>
  <c r="D160" i="34"/>
  <c r="I349" i="34" s="1"/>
  <c r="W159" i="34"/>
  <c r="W160" i="34" s="1"/>
  <c r="J159" i="34"/>
  <c r="J160" i="34" s="1"/>
  <c r="U135" i="34"/>
  <c r="Z348" i="34" s="1"/>
  <c r="T135" i="34"/>
  <c r="Y348" i="34" s="1"/>
  <c r="S135" i="34"/>
  <c r="X348" i="34" s="1"/>
  <c r="R135" i="34"/>
  <c r="W348" i="34" s="1"/>
  <c r="Q135" i="34"/>
  <c r="V348" i="34" s="1"/>
  <c r="H135" i="34"/>
  <c r="M348" i="34" s="1"/>
  <c r="G135" i="34"/>
  <c r="L348" i="34" s="1"/>
  <c r="F135" i="34"/>
  <c r="K348" i="34" s="1"/>
  <c r="E135" i="34"/>
  <c r="J348" i="34" s="1"/>
  <c r="D135" i="34"/>
  <c r="I348" i="34" s="1"/>
  <c r="W134" i="34"/>
  <c r="W135" i="34" s="1"/>
  <c r="J134" i="34"/>
  <c r="J135" i="34" s="1"/>
  <c r="U110" i="34"/>
  <c r="Z347" i="34" s="1"/>
  <c r="T110" i="34"/>
  <c r="Y347" i="34" s="1"/>
  <c r="S110" i="34"/>
  <c r="X347" i="34" s="1"/>
  <c r="R110" i="34"/>
  <c r="W347" i="34" s="1"/>
  <c r="Q110" i="34"/>
  <c r="V347" i="34" s="1"/>
  <c r="H110" i="34"/>
  <c r="M347" i="34" s="1"/>
  <c r="G110" i="34"/>
  <c r="L347" i="34" s="1"/>
  <c r="F110" i="34"/>
  <c r="K347" i="34" s="1"/>
  <c r="E110" i="34"/>
  <c r="J347" i="34" s="1"/>
  <c r="D110" i="34"/>
  <c r="I347" i="34" s="1"/>
  <c r="W109" i="34"/>
  <c r="W110" i="34" s="1"/>
  <c r="J109" i="34"/>
  <c r="J110" i="34" s="1"/>
  <c r="U85" i="34"/>
  <c r="Z346" i="34" s="1"/>
  <c r="T85" i="34"/>
  <c r="Y346" i="34" s="1"/>
  <c r="S85" i="34"/>
  <c r="X346" i="34" s="1"/>
  <c r="R85" i="34"/>
  <c r="W346" i="34" s="1"/>
  <c r="Q85" i="34"/>
  <c r="V346" i="34" s="1"/>
  <c r="H85" i="34"/>
  <c r="M346" i="34" s="1"/>
  <c r="G85" i="34"/>
  <c r="L346" i="34" s="1"/>
  <c r="F85" i="34"/>
  <c r="K346" i="34" s="1"/>
  <c r="E85" i="34"/>
  <c r="J346" i="34" s="1"/>
  <c r="D85" i="34"/>
  <c r="I346" i="34" s="1"/>
  <c r="W84" i="34"/>
  <c r="W85" i="34" s="1"/>
  <c r="J84" i="34"/>
  <c r="J85" i="34" s="1"/>
  <c r="U60" i="34"/>
  <c r="Z345" i="34" s="1"/>
  <c r="T60" i="34"/>
  <c r="Y345" i="34" s="1"/>
  <c r="S60" i="34"/>
  <c r="X345" i="34" s="1"/>
  <c r="R60" i="34"/>
  <c r="W345" i="34" s="1"/>
  <c r="Q60" i="34"/>
  <c r="V345" i="34" s="1"/>
  <c r="H60" i="34"/>
  <c r="M345" i="34" s="1"/>
  <c r="G60" i="34"/>
  <c r="L345" i="34" s="1"/>
  <c r="F60" i="34"/>
  <c r="K345" i="34" s="1"/>
  <c r="E60" i="34"/>
  <c r="J345" i="34" s="1"/>
  <c r="D60" i="34"/>
  <c r="I345" i="34" s="1"/>
  <c r="W59" i="34"/>
  <c r="W60" i="34" s="1"/>
  <c r="J59" i="34"/>
  <c r="J60" i="34" s="1"/>
  <c r="U35" i="34"/>
  <c r="Z344" i="34" s="1"/>
  <c r="T35" i="34"/>
  <c r="Y344" i="34" s="1"/>
  <c r="S35" i="34"/>
  <c r="X344" i="34" s="1"/>
  <c r="R35" i="34"/>
  <c r="W344" i="34" s="1"/>
  <c r="Q35" i="34"/>
  <c r="V344" i="34" s="1"/>
  <c r="H35" i="34"/>
  <c r="M344" i="34" s="1"/>
  <c r="G35" i="34"/>
  <c r="L344" i="34" s="1"/>
  <c r="F35" i="34"/>
  <c r="K344" i="34" s="1"/>
  <c r="E35" i="34"/>
  <c r="J344" i="34" s="1"/>
  <c r="D35" i="34"/>
  <c r="I344" i="34" s="1"/>
  <c r="W34" i="34"/>
  <c r="W35" i="34" s="1"/>
  <c r="J34" i="34"/>
  <c r="J35" i="34" s="1"/>
  <c r="R10" i="34"/>
  <c r="W343" i="34" s="1"/>
  <c r="S10" i="34"/>
  <c r="X343" i="34" s="1"/>
  <c r="T10" i="34"/>
  <c r="Y343" i="34" s="1"/>
  <c r="U10" i="34"/>
  <c r="Z343" i="34" s="1"/>
  <c r="Q10" i="34"/>
  <c r="V343" i="34" s="1"/>
  <c r="W9" i="34"/>
  <c r="W10" i="34" s="1"/>
  <c r="I343" i="34"/>
  <c r="E10" i="34"/>
  <c r="J343" i="34" s="1"/>
  <c r="F10" i="34"/>
  <c r="K343" i="34" s="1"/>
  <c r="G10" i="34"/>
  <c r="L343" i="34" s="1"/>
  <c r="H10" i="34"/>
  <c r="M343" i="34" s="1"/>
  <c r="J9" i="34"/>
  <c r="J10" i="34" s="1"/>
  <c r="U266" i="34"/>
  <c r="T266" i="34"/>
  <c r="S266" i="34"/>
  <c r="R266" i="34"/>
  <c r="Q266" i="34"/>
  <c r="U264" i="34"/>
  <c r="T264" i="34"/>
  <c r="S264" i="34"/>
  <c r="R264" i="34"/>
  <c r="Q264" i="34"/>
  <c r="U258" i="34"/>
  <c r="T258" i="34"/>
  <c r="T353" i="34" s="1"/>
  <c r="S258" i="34"/>
  <c r="S353" i="34" s="1"/>
  <c r="R258" i="34"/>
  <c r="R353" i="34" s="1"/>
  <c r="Q258" i="34"/>
  <c r="Q353" i="34" s="1"/>
  <c r="H266" i="34"/>
  <c r="G266" i="34"/>
  <c r="F266" i="34"/>
  <c r="E266" i="34"/>
  <c r="D266" i="34"/>
  <c r="H264" i="34"/>
  <c r="G264" i="34"/>
  <c r="F264" i="34"/>
  <c r="E264" i="34"/>
  <c r="D264" i="34"/>
  <c r="I263" i="34"/>
  <c r="I264" i="34" s="1"/>
  <c r="H258" i="34"/>
  <c r="H353" i="34" s="1"/>
  <c r="G258" i="34"/>
  <c r="G353" i="34" s="1"/>
  <c r="F258" i="34"/>
  <c r="F353" i="34" s="1"/>
  <c r="E258" i="34"/>
  <c r="E353" i="34" s="1"/>
  <c r="D258" i="34"/>
  <c r="D353" i="34" s="1"/>
  <c r="I257" i="34"/>
  <c r="I258" i="34" s="1"/>
  <c r="H450" i="34" s="1"/>
  <c r="U241" i="34"/>
  <c r="T241" i="34"/>
  <c r="S241" i="34"/>
  <c r="R241" i="34"/>
  <c r="Q241" i="34"/>
  <c r="U239" i="34"/>
  <c r="T239" i="34"/>
  <c r="S239" i="34"/>
  <c r="R239" i="34"/>
  <c r="Q239" i="34"/>
  <c r="U233" i="34"/>
  <c r="U352" i="34" s="1"/>
  <c r="T233" i="34"/>
  <c r="T352" i="34" s="1"/>
  <c r="S233" i="34"/>
  <c r="S352" i="34" s="1"/>
  <c r="R233" i="34"/>
  <c r="R352" i="34" s="1"/>
  <c r="Q233" i="34"/>
  <c r="Q352" i="34" s="1"/>
  <c r="H241" i="34"/>
  <c r="G241" i="34"/>
  <c r="F241" i="34"/>
  <c r="E241" i="34"/>
  <c r="D241" i="34"/>
  <c r="H239" i="34"/>
  <c r="G239" i="34"/>
  <c r="F239" i="34"/>
  <c r="E239" i="34"/>
  <c r="D239" i="34"/>
  <c r="I238" i="34"/>
  <c r="I239" i="34" s="1"/>
  <c r="H233" i="34"/>
  <c r="H352" i="34" s="1"/>
  <c r="G233" i="34"/>
  <c r="G352" i="34" s="1"/>
  <c r="F233" i="34"/>
  <c r="F352" i="34" s="1"/>
  <c r="E233" i="34"/>
  <c r="E352" i="34" s="1"/>
  <c r="D233" i="34"/>
  <c r="D352" i="34" s="1"/>
  <c r="U216" i="34"/>
  <c r="T216" i="34"/>
  <c r="S216" i="34"/>
  <c r="R216" i="34"/>
  <c r="Q216" i="34"/>
  <c r="U214" i="34"/>
  <c r="T214" i="34"/>
  <c r="S214" i="34"/>
  <c r="R214" i="34"/>
  <c r="Q214" i="34"/>
  <c r="U208" i="34"/>
  <c r="U351" i="34" s="1"/>
  <c r="T208" i="34"/>
  <c r="T351" i="34" s="1"/>
  <c r="S208" i="34"/>
  <c r="S351" i="34" s="1"/>
  <c r="R208" i="34"/>
  <c r="R351" i="34" s="1"/>
  <c r="Q208" i="34"/>
  <c r="Q351" i="34" s="1"/>
  <c r="H216" i="34"/>
  <c r="G216" i="34"/>
  <c r="F216" i="34"/>
  <c r="E216" i="34"/>
  <c r="D216" i="34"/>
  <c r="H214" i="34"/>
  <c r="G214" i="34"/>
  <c r="F214" i="34"/>
  <c r="E214" i="34"/>
  <c r="D214" i="34"/>
  <c r="I213" i="34"/>
  <c r="I214" i="34" s="1"/>
  <c r="H208" i="34"/>
  <c r="H351" i="34" s="1"/>
  <c r="G208" i="34"/>
  <c r="G351" i="34" s="1"/>
  <c r="F208" i="34"/>
  <c r="F351" i="34" s="1"/>
  <c r="E208" i="34"/>
  <c r="E351" i="34" s="1"/>
  <c r="D208" i="34"/>
  <c r="D351" i="34" s="1"/>
  <c r="U191" i="34"/>
  <c r="T191" i="34"/>
  <c r="S191" i="34"/>
  <c r="R191" i="34"/>
  <c r="Q191" i="34"/>
  <c r="U189" i="34"/>
  <c r="T189" i="34"/>
  <c r="S189" i="34"/>
  <c r="R189" i="34"/>
  <c r="Q189" i="34"/>
  <c r="U183" i="34"/>
  <c r="U350" i="34" s="1"/>
  <c r="T183" i="34"/>
  <c r="T350" i="34" s="1"/>
  <c r="S183" i="34"/>
  <c r="S350" i="34" s="1"/>
  <c r="R183" i="34"/>
  <c r="R350" i="34" s="1"/>
  <c r="Q183" i="34"/>
  <c r="Q350" i="34" s="1"/>
  <c r="H191" i="34"/>
  <c r="G191" i="34"/>
  <c r="F191" i="34"/>
  <c r="E191" i="34"/>
  <c r="D191" i="34"/>
  <c r="H189" i="34"/>
  <c r="G189" i="34"/>
  <c r="F189" i="34"/>
  <c r="E189" i="34"/>
  <c r="D189" i="34"/>
  <c r="I188" i="34"/>
  <c r="I189" i="34" s="1"/>
  <c r="H183" i="34"/>
  <c r="H350" i="34" s="1"/>
  <c r="G183" i="34"/>
  <c r="G350" i="34" s="1"/>
  <c r="F183" i="34"/>
  <c r="F350" i="34" s="1"/>
  <c r="E183" i="34"/>
  <c r="E350" i="34" s="1"/>
  <c r="D183" i="34"/>
  <c r="D350" i="34" s="1"/>
  <c r="U166" i="34"/>
  <c r="T166" i="34"/>
  <c r="S166" i="34"/>
  <c r="R166" i="34"/>
  <c r="Q166" i="34"/>
  <c r="U164" i="34"/>
  <c r="T164" i="34"/>
  <c r="S164" i="34"/>
  <c r="R164" i="34"/>
  <c r="Q164" i="34"/>
  <c r="U158" i="34"/>
  <c r="U349" i="34" s="1"/>
  <c r="T158" i="34"/>
  <c r="T349" i="34" s="1"/>
  <c r="S158" i="34"/>
  <c r="S349" i="34" s="1"/>
  <c r="R158" i="34"/>
  <c r="R349" i="34" s="1"/>
  <c r="Q158" i="34"/>
  <c r="Q349" i="34" s="1"/>
  <c r="H166" i="34"/>
  <c r="G166" i="34"/>
  <c r="F166" i="34"/>
  <c r="E166" i="34"/>
  <c r="D166" i="34"/>
  <c r="H164" i="34"/>
  <c r="G164" i="34"/>
  <c r="F164" i="34"/>
  <c r="E164" i="34"/>
  <c r="D164" i="34"/>
  <c r="I163" i="34"/>
  <c r="I164" i="34" s="1"/>
  <c r="H158" i="34"/>
  <c r="H349" i="34" s="1"/>
  <c r="G158" i="34"/>
  <c r="G349" i="34" s="1"/>
  <c r="F158" i="34"/>
  <c r="F349" i="34" s="1"/>
  <c r="E158" i="34"/>
  <c r="E349" i="34" s="1"/>
  <c r="D158" i="34"/>
  <c r="D349" i="34" s="1"/>
  <c r="U141" i="34"/>
  <c r="T141" i="34"/>
  <c r="S141" i="34"/>
  <c r="R141" i="34"/>
  <c r="Q141" i="34"/>
  <c r="U139" i="34"/>
  <c r="T139" i="34"/>
  <c r="S139" i="34"/>
  <c r="R139" i="34"/>
  <c r="Q139" i="34"/>
  <c r="U133" i="34"/>
  <c r="U348" i="34" s="1"/>
  <c r="T133" i="34"/>
  <c r="T348" i="34" s="1"/>
  <c r="S133" i="34"/>
  <c r="S348" i="34" s="1"/>
  <c r="R133" i="34"/>
  <c r="R348" i="34" s="1"/>
  <c r="Q133" i="34"/>
  <c r="Q348" i="34" s="1"/>
  <c r="H141" i="34"/>
  <c r="G141" i="34"/>
  <c r="F141" i="34"/>
  <c r="E141" i="34"/>
  <c r="D141" i="34"/>
  <c r="H139" i="34"/>
  <c r="G139" i="34"/>
  <c r="F139" i="34"/>
  <c r="E139" i="34"/>
  <c r="D139" i="34"/>
  <c r="I138" i="34"/>
  <c r="I139" i="34" s="1"/>
  <c r="H133" i="34"/>
  <c r="H348" i="34" s="1"/>
  <c r="G133" i="34"/>
  <c r="G348" i="34" s="1"/>
  <c r="F133" i="34"/>
  <c r="F348" i="34" s="1"/>
  <c r="E133" i="34"/>
  <c r="E348" i="34" s="1"/>
  <c r="D133" i="34"/>
  <c r="D348" i="34" s="1"/>
  <c r="U116" i="34"/>
  <c r="T116" i="34"/>
  <c r="S116" i="34"/>
  <c r="R116" i="34"/>
  <c r="Q116" i="34"/>
  <c r="U114" i="34"/>
  <c r="T114" i="34"/>
  <c r="S114" i="34"/>
  <c r="R114" i="34"/>
  <c r="Q114" i="34"/>
  <c r="U108" i="34"/>
  <c r="U347" i="34" s="1"/>
  <c r="T108" i="34"/>
  <c r="T347" i="34" s="1"/>
  <c r="S108" i="34"/>
  <c r="S347" i="34" s="1"/>
  <c r="R108" i="34"/>
  <c r="R347" i="34" s="1"/>
  <c r="Q108" i="34"/>
  <c r="Q347" i="34" s="1"/>
  <c r="H116" i="34"/>
  <c r="G116" i="34"/>
  <c r="F116" i="34"/>
  <c r="E116" i="34"/>
  <c r="D116" i="34"/>
  <c r="H114" i="34"/>
  <c r="G114" i="34"/>
  <c r="F114" i="34"/>
  <c r="E114" i="34"/>
  <c r="D114" i="34"/>
  <c r="I113" i="34"/>
  <c r="I114" i="34" s="1"/>
  <c r="H108" i="34"/>
  <c r="H347" i="34" s="1"/>
  <c r="G108" i="34"/>
  <c r="G347" i="34" s="1"/>
  <c r="F108" i="34"/>
  <c r="F347" i="34" s="1"/>
  <c r="E108" i="34"/>
  <c r="E347" i="34" s="1"/>
  <c r="D108" i="34"/>
  <c r="D347" i="34" s="1"/>
  <c r="U91" i="34"/>
  <c r="T91" i="34"/>
  <c r="S91" i="34"/>
  <c r="R91" i="34"/>
  <c r="Q91" i="34"/>
  <c r="U89" i="34"/>
  <c r="T89" i="34"/>
  <c r="S89" i="34"/>
  <c r="R89" i="34"/>
  <c r="Q89" i="34"/>
  <c r="U83" i="34"/>
  <c r="U346" i="34" s="1"/>
  <c r="T83" i="34"/>
  <c r="T346" i="34" s="1"/>
  <c r="S83" i="34"/>
  <c r="S346" i="34" s="1"/>
  <c r="R83" i="34"/>
  <c r="R346" i="34" s="1"/>
  <c r="Q83" i="34"/>
  <c r="Q346" i="34" s="1"/>
  <c r="H91" i="34"/>
  <c r="G91" i="34"/>
  <c r="F91" i="34"/>
  <c r="E91" i="34"/>
  <c r="D91" i="34"/>
  <c r="H89" i="34"/>
  <c r="G89" i="34"/>
  <c r="F89" i="34"/>
  <c r="E89" i="34"/>
  <c r="D89" i="34"/>
  <c r="I88" i="34"/>
  <c r="I89" i="34" s="1"/>
  <c r="H83" i="34"/>
  <c r="H346" i="34" s="1"/>
  <c r="G83" i="34"/>
  <c r="G346" i="34" s="1"/>
  <c r="F83" i="34"/>
  <c r="F346" i="34" s="1"/>
  <c r="E83" i="34"/>
  <c r="E346" i="34" s="1"/>
  <c r="D83" i="34"/>
  <c r="D346" i="34" s="1"/>
  <c r="U66" i="34"/>
  <c r="T66" i="34"/>
  <c r="S66" i="34"/>
  <c r="R66" i="34"/>
  <c r="Q66" i="34"/>
  <c r="U64" i="34"/>
  <c r="T64" i="34"/>
  <c r="S64" i="34"/>
  <c r="R64" i="34"/>
  <c r="Q64" i="34"/>
  <c r="U58" i="34"/>
  <c r="U345" i="34" s="1"/>
  <c r="T58" i="34"/>
  <c r="T345" i="34" s="1"/>
  <c r="S58" i="34"/>
  <c r="S345" i="34" s="1"/>
  <c r="R58" i="34"/>
  <c r="R345" i="34" s="1"/>
  <c r="Q58" i="34"/>
  <c r="Q345" i="34" s="1"/>
  <c r="H66" i="34"/>
  <c r="G66" i="34"/>
  <c r="F66" i="34"/>
  <c r="E66" i="34"/>
  <c r="D66" i="34"/>
  <c r="H64" i="34"/>
  <c r="G64" i="34"/>
  <c r="F64" i="34"/>
  <c r="E64" i="34"/>
  <c r="D64" i="34"/>
  <c r="I63" i="34"/>
  <c r="I64" i="34" s="1"/>
  <c r="H58" i="34"/>
  <c r="H345" i="34" s="1"/>
  <c r="G58" i="34"/>
  <c r="G345" i="34" s="1"/>
  <c r="F58" i="34"/>
  <c r="F345" i="34" s="1"/>
  <c r="E58" i="34"/>
  <c r="E345" i="34" s="1"/>
  <c r="D58" i="34"/>
  <c r="D345" i="34" s="1"/>
  <c r="U41" i="34"/>
  <c r="T41" i="34"/>
  <c r="S41" i="34"/>
  <c r="R41" i="34"/>
  <c r="Q41" i="34"/>
  <c r="U39" i="34"/>
  <c r="T39" i="34"/>
  <c r="S39" i="34"/>
  <c r="R39" i="34"/>
  <c r="Q39" i="34"/>
  <c r="U33" i="34"/>
  <c r="U344" i="34" s="1"/>
  <c r="T33" i="34"/>
  <c r="T344" i="34" s="1"/>
  <c r="S33" i="34"/>
  <c r="S344" i="34" s="1"/>
  <c r="R33" i="34"/>
  <c r="R344" i="34" s="1"/>
  <c r="Q33" i="34"/>
  <c r="Q344" i="34" s="1"/>
  <c r="H41" i="34"/>
  <c r="G41" i="34"/>
  <c r="F41" i="34"/>
  <c r="E41" i="34"/>
  <c r="D41" i="34"/>
  <c r="H39" i="34"/>
  <c r="G39" i="34"/>
  <c r="F39" i="34"/>
  <c r="E39" i="34"/>
  <c r="D39" i="34"/>
  <c r="I38" i="34"/>
  <c r="I39" i="34" s="1"/>
  <c r="H33" i="34"/>
  <c r="H344" i="34" s="1"/>
  <c r="G33" i="34"/>
  <c r="G344" i="34" s="1"/>
  <c r="F33" i="34"/>
  <c r="F344" i="34" s="1"/>
  <c r="E33" i="34"/>
  <c r="E344" i="34" s="1"/>
  <c r="D33" i="34"/>
  <c r="D344" i="34" s="1"/>
  <c r="U16" i="34"/>
  <c r="T16" i="34"/>
  <c r="S16" i="34"/>
  <c r="R16" i="34"/>
  <c r="Q16" i="34"/>
  <c r="U14" i="34"/>
  <c r="T14" i="34"/>
  <c r="S14" i="34"/>
  <c r="R14" i="34"/>
  <c r="Q14" i="34"/>
  <c r="U8" i="34"/>
  <c r="U343" i="34" s="1"/>
  <c r="T8" i="34"/>
  <c r="T343" i="34" s="1"/>
  <c r="S8" i="34"/>
  <c r="S343" i="34" s="1"/>
  <c r="R8" i="34"/>
  <c r="R343" i="34" s="1"/>
  <c r="Q8" i="34"/>
  <c r="Q343" i="34" s="1"/>
  <c r="H16" i="34"/>
  <c r="G16" i="34"/>
  <c r="F16" i="34"/>
  <c r="E16" i="34"/>
  <c r="D16" i="34"/>
  <c r="H14" i="34"/>
  <c r="G14" i="34"/>
  <c r="F14" i="34"/>
  <c r="E14" i="34"/>
  <c r="D14" i="34"/>
  <c r="I13" i="34"/>
  <c r="I14" i="34" s="1"/>
  <c r="H8" i="34"/>
  <c r="H343" i="34" s="1"/>
  <c r="G8" i="34"/>
  <c r="G343" i="34" s="1"/>
  <c r="F8" i="34"/>
  <c r="F343" i="34" s="1"/>
  <c r="E8" i="34"/>
  <c r="E343" i="34" s="1"/>
  <c r="D8" i="34"/>
  <c r="AL130" i="26"/>
  <c r="D67" i="30"/>
  <c r="D66" i="30"/>
  <c r="D65" i="30"/>
  <c r="D64" i="30"/>
  <c r="D63" i="30"/>
  <c r="D62" i="30"/>
  <c r="D57" i="30"/>
  <c r="D56" i="30"/>
  <c r="D55" i="30"/>
  <c r="D54" i="30"/>
  <c r="D53" i="30"/>
  <c r="D52" i="30"/>
  <c r="D47" i="30"/>
  <c r="D46" i="30"/>
  <c r="D45" i="30"/>
  <c r="D44" i="30"/>
  <c r="D43" i="30"/>
  <c r="D42" i="30"/>
  <c r="D37" i="30"/>
  <c r="D36" i="30"/>
  <c r="D35" i="30"/>
  <c r="D34" i="30"/>
  <c r="D33" i="30"/>
  <c r="D32" i="30"/>
  <c r="D27" i="30"/>
  <c r="D26" i="30"/>
  <c r="D25" i="30"/>
  <c r="D24" i="30"/>
  <c r="D23" i="30"/>
  <c r="D22" i="30"/>
  <c r="V115" i="30"/>
  <c r="U115" i="30"/>
  <c r="T115" i="30"/>
  <c r="S115" i="30"/>
  <c r="R115" i="30"/>
  <c r="V114" i="30"/>
  <c r="U114" i="30"/>
  <c r="T114" i="30"/>
  <c r="S114" i="30"/>
  <c r="R114" i="30"/>
  <c r="V113" i="30"/>
  <c r="U113" i="30"/>
  <c r="T113" i="30"/>
  <c r="S113" i="30"/>
  <c r="R113" i="30"/>
  <c r="V112" i="30"/>
  <c r="U112" i="30"/>
  <c r="T112" i="30"/>
  <c r="S112" i="30"/>
  <c r="R112" i="30"/>
  <c r="V111" i="30"/>
  <c r="U111" i="30"/>
  <c r="T111" i="30"/>
  <c r="S111" i="30"/>
  <c r="R111" i="30"/>
  <c r="V110" i="30"/>
  <c r="U110" i="30"/>
  <c r="T110" i="30"/>
  <c r="S110" i="30"/>
  <c r="R110" i="30"/>
  <c r="V109" i="30"/>
  <c r="U109" i="30"/>
  <c r="T109" i="30"/>
  <c r="S109" i="30"/>
  <c r="R109" i="30"/>
  <c r="V108" i="30"/>
  <c r="U108" i="30"/>
  <c r="T108" i="30"/>
  <c r="S108" i="30"/>
  <c r="R108" i="30"/>
  <c r="V107" i="30"/>
  <c r="U107" i="30"/>
  <c r="T107" i="30"/>
  <c r="S107" i="30"/>
  <c r="R107" i="30"/>
  <c r="V106" i="30"/>
  <c r="U106" i="30"/>
  <c r="T106" i="30"/>
  <c r="S106" i="30"/>
  <c r="R106" i="30"/>
  <c r="R98" i="30"/>
  <c r="S98" i="30"/>
  <c r="T98" i="30"/>
  <c r="U98" i="30"/>
  <c r="V98" i="30"/>
  <c r="R99" i="30"/>
  <c r="S99" i="30"/>
  <c r="T99" i="30"/>
  <c r="U99" i="30"/>
  <c r="V99" i="30"/>
  <c r="R100" i="30"/>
  <c r="S100" i="30"/>
  <c r="T100" i="30"/>
  <c r="U100" i="30"/>
  <c r="V100" i="30"/>
  <c r="R101" i="30"/>
  <c r="S101" i="30"/>
  <c r="T101" i="30"/>
  <c r="U101" i="30"/>
  <c r="V101" i="30"/>
  <c r="V97" i="30"/>
  <c r="U97" i="30"/>
  <c r="T97" i="30"/>
  <c r="S97" i="30"/>
  <c r="R97" i="30"/>
  <c r="V96" i="30"/>
  <c r="U96" i="30"/>
  <c r="T96" i="30"/>
  <c r="S96" i="30"/>
  <c r="R96" i="30"/>
  <c r="V95" i="30"/>
  <c r="U95" i="30"/>
  <c r="T95" i="30"/>
  <c r="S95" i="30"/>
  <c r="R95" i="30"/>
  <c r="V94" i="30"/>
  <c r="U94" i="30"/>
  <c r="T94" i="30"/>
  <c r="S94" i="30"/>
  <c r="R94" i="30"/>
  <c r="V93" i="30"/>
  <c r="U93" i="30"/>
  <c r="T93" i="30"/>
  <c r="S93" i="30"/>
  <c r="R93" i="30"/>
  <c r="V92" i="30"/>
  <c r="U92" i="30"/>
  <c r="T92" i="30"/>
  <c r="S92" i="30"/>
  <c r="R92" i="30"/>
  <c r="V87" i="30"/>
  <c r="U87" i="30"/>
  <c r="T87" i="30"/>
  <c r="S87" i="30"/>
  <c r="R87" i="30"/>
  <c r="V86" i="30"/>
  <c r="U86" i="30"/>
  <c r="T86" i="30"/>
  <c r="S86" i="30"/>
  <c r="R86" i="30"/>
  <c r="V85" i="30"/>
  <c r="U85" i="30"/>
  <c r="T85" i="30"/>
  <c r="S85" i="30"/>
  <c r="R85" i="30"/>
  <c r="V84" i="30"/>
  <c r="U84" i="30"/>
  <c r="T84" i="30"/>
  <c r="S84" i="30"/>
  <c r="R84" i="30"/>
  <c r="V83" i="30"/>
  <c r="U83" i="30"/>
  <c r="T83" i="30"/>
  <c r="S83" i="30"/>
  <c r="R83" i="30"/>
  <c r="V82" i="30"/>
  <c r="U82" i="30"/>
  <c r="T82" i="30"/>
  <c r="S82" i="30"/>
  <c r="R82" i="30"/>
  <c r="V77" i="30"/>
  <c r="U77" i="30"/>
  <c r="T77" i="30"/>
  <c r="S77" i="30"/>
  <c r="R77" i="30"/>
  <c r="V76" i="30"/>
  <c r="U76" i="30"/>
  <c r="T76" i="30"/>
  <c r="S76" i="30"/>
  <c r="R76" i="30"/>
  <c r="V75" i="30"/>
  <c r="U75" i="30"/>
  <c r="T75" i="30"/>
  <c r="S75" i="30"/>
  <c r="R75" i="30"/>
  <c r="V74" i="30"/>
  <c r="U74" i="30"/>
  <c r="T74" i="30"/>
  <c r="S74" i="30"/>
  <c r="R74" i="30"/>
  <c r="V73" i="30"/>
  <c r="U73" i="30"/>
  <c r="T73" i="30"/>
  <c r="S73" i="30"/>
  <c r="R73" i="30"/>
  <c r="V72" i="30"/>
  <c r="U72" i="30"/>
  <c r="T72" i="30"/>
  <c r="S72" i="30"/>
  <c r="R72" i="30"/>
  <c r="R66" i="30"/>
  <c r="V67" i="30"/>
  <c r="U67" i="30"/>
  <c r="T67" i="30"/>
  <c r="S67" i="30"/>
  <c r="R67" i="30"/>
  <c r="V66" i="30"/>
  <c r="U66" i="30"/>
  <c r="T66" i="30"/>
  <c r="S66" i="30"/>
  <c r="V65" i="30"/>
  <c r="U65" i="30"/>
  <c r="T65" i="30"/>
  <c r="S65" i="30"/>
  <c r="R65" i="30"/>
  <c r="V64" i="30"/>
  <c r="U64" i="30"/>
  <c r="T64" i="30"/>
  <c r="S64" i="30"/>
  <c r="R64" i="30"/>
  <c r="V63" i="30"/>
  <c r="U63" i="30"/>
  <c r="T63" i="30"/>
  <c r="S63" i="30"/>
  <c r="R63" i="30"/>
  <c r="V62" i="30"/>
  <c r="U62" i="30"/>
  <c r="T62" i="30"/>
  <c r="S62" i="30"/>
  <c r="R62" i="30"/>
  <c r="V57" i="30"/>
  <c r="U57" i="30"/>
  <c r="T57" i="30"/>
  <c r="S57" i="30"/>
  <c r="R57" i="30"/>
  <c r="V56" i="30"/>
  <c r="U56" i="30"/>
  <c r="T56" i="30"/>
  <c r="S56" i="30"/>
  <c r="R56" i="30"/>
  <c r="V55" i="30"/>
  <c r="U55" i="30"/>
  <c r="T55" i="30"/>
  <c r="S55" i="30"/>
  <c r="R55" i="30"/>
  <c r="V54" i="30"/>
  <c r="U54" i="30"/>
  <c r="T54" i="30"/>
  <c r="S54" i="30"/>
  <c r="R54" i="30"/>
  <c r="V53" i="30"/>
  <c r="U53" i="30"/>
  <c r="T53" i="30"/>
  <c r="S53" i="30"/>
  <c r="R53" i="30"/>
  <c r="V52" i="30"/>
  <c r="U52" i="30"/>
  <c r="T52" i="30"/>
  <c r="S52" i="30"/>
  <c r="R52" i="30"/>
  <c r="V47" i="30"/>
  <c r="U47" i="30"/>
  <c r="T47" i="30"/>
  <c r="S47" i="30"/>
  <c r="R47" i="30"/>
  <c r="V46" i="30"/>
  <c r="U46" i="30"/>
  <c r="T46" i="30"/>
  <c r="S46" i="30"/>
  <c r="R46" i="30"/>
  <c r="V45" i="30"/>
  <c r="U45" i="30"/>
  <c r="T45" i="30"/>
  <c r="S45" i="30"/>
  <c r="R45" i="30"/>
  <c r="V44" i="30"/>
  <c r="U44" i="30"/>
  <c r="T44" i="30"/>
  <c r="S44" i="30"/>
  <c r="R44" i="30"/>
  <c r="V43" i="30"/>
  <c r="U43" i="30"/>
  <c r="T43" i="30"/>
  <c r="S43" i="30"/>
  <c r="R43" i="30"/>
  <c r="V42" i="30"/>
  <c r="U42" i="30"/>
  <c r="T42" i="30"/>
  <c r="S42" i="30"/>
  <c r="R42" i="30"/>
  <c r="V37" i="30"/>
  <c r="U37" i="30"/>
  <c r="T37" i="30"/>
  <c r="S37" i="30"/>
  <c r="R37" i="30"/>
  <c r="V36" i="30"/>
  <c r="U36" i="30"/>
  <c r="T36" i="30"/>
  <c r="S36" i="30"/>
  <c r="R36" i="30"/>
  <c r="V35" i="30"/>
  <c r="U35" i="30"/>
  <c r="T35" i="30"/>
  <c r="S35" i="30"/>
  <c r="R35" i="30"/>
  <c r="V34" i="30"/>
  <c r="U34" i="30"/>
  <c r="T34" i="30"/>
  <c r="S34" i="30"/>
  <c r="R34" i="30"/>
  <c r="V33" i="30"/>
  <c r="U33" i="30"/>
  <c r="T33" i="30"/>
  <c r="S33" i="30"/>
  <c r="R33" i="30"/>
  <c r="V32" i="30"/>
  <c r="U32" i="30"/>
  <c r="T32" i="30"/>
  <c r="S32" i="30"/>
  <c r="R32" i="30"/>
  <c r="R26" i="30"/>
  <c r="S26" i="30"/>
  <c r="T26" i="30"/>
  <c r="U26" i="30"/>
  <c r="V26" i="30"/>
  <c r="R27" i="30"/>
  <c r="S27" i="30"/>
  <c r="T27" i="30"/>
  <c r="U27" i="30"/>
  <c r="V27" i="30"/>
  <c r="V25" i="30"/>
  <c r="U25" i="30"/>
  <c r="T25" i="30"/>
  <c r="S25" i="30"/>
  <c r="R25" i="30"/>
  <c r="V24" i="30"/>
  <c r="U24" i="30"/>
  <c r="T24" i="30"/>
  <c r="S24" i="30"/>
  <c r="R24" i="30"/>
  <c r="V23" i="30"/>
  <c r="U23" i="30"/>
  <c r="T23" i="30"/>
  <c r="S23" i="30"/>
  <c r="R23" i="30"/>
  <c r="V22" i="30"/>
  <c r="U22" i="30"/>
  <c r="T22" i="30"/>
  <c r="S22" i="30"/>
  <c r="R22" i="30"/>
  <c r="V17" i="30"/>
  <c r="U17" i="30"/>
  <c r="T17" i="30"/>
  <c r="S17" i="30"/>
  <c r="R17" i="30"/>
  <c r="V16" i="30"/>
  <c r="U16" i="30"/>
  <c r="T16" i="30"/>
  <c r="S16" i="30"/>
  <c r="R16" i="30"/>
  <c r="V15" i="30"/>
  <c r="U15" i="30"/>
  <c r="T15" i="30"/>
  <c r="S15" i="30"/>
  <c r="R15" i="30"/>
  <c r="V14" i="30"/>
  <c r="U14" i="30"/>
  <c r="T14" i="30"/>
  <c r="S14" i="30"/>
  <c r="R7" i="30"/>
  <c r="R11" i="30" s="1"/>
  <c r="S7" i="30"/>
  <c r="T7" i="30"/>
  <c r="U7" i="30"/>
  <c r="V7" i="30"/>
  <c r="R8" i="30"/>
  <c r="S8" i="30"/>
  <c r="T8" i="30"/>
  <c r="U8" i="30"/>
  <c r="V8" i="30"/>
  <c r="R9" i="30"/>
  <c r="S9" i="30"/>
  <c r="T9" i="30"/>
  <c r="U9" i="30"/>
  <c r="V9" i="30"/>
  <c r="S6" i="30"/>
  <c r="T6" i="30"/>
  <c r="U6" i="30"/>
  <c r="V6" i="30"/>
  <c r="G605" i="27"/>
  <c r="G595" i="27"/>
  <c r="D592" i="27"/>
  <c r="H22" i="27"/>
  <c r="G22" i="27"/>
  <c r="F22" i="27"/>
  <c r="E22" i="27"/>
  <c r="D22" i="27"/>
  <c r="H70" i="27"/>
  <c r="G70" i="27"/>
  <c r="F70" i="27"/>
  <c r="E70" i="27"/>
  <c r="D70" i="27"/>
  <c r="H118" i="27"/>
  <c r="G118" i="27"/>
  <c r="F118" i="27"/>
  <c r="E118" i="27"/>
  <c r="D118" i="27"/>
  <c r="H166" i="27"/>
  <c r="G166" i="27"/>
  <c r="F166" i="27"/>
  <c r="E166" i="27"/>
  <c r="D166" i="27"/>
  <c r="H214" i="27"/>
  <c r="G214" i="27"/>
  <c r="F214" i="27"/>
  <c r="E214" i="27"/>
  <c r="D214" i="27"/>
  <c r="H262" i="27"/>
  <c r="G262" i="27"/>
  <c r="F262" i="27"/>
  <c r="E262" i="27"/>
  <c r="D262" i="27"/>
  <c r="H358" i="27"/>
  <c r="G358" i="27"/>
  <c r="F358" i="27"/>
  <c r="E358" i="27"/>
  <c r="D358" i="27"/>
  <c r="H406" i="27"/>
  <c r="G406" i="27"/>
  <c r="F406" i="27"/>
  <c r="E406" i="27"/>
  <c r="D406" i="27"/>
  <c r="H454" i="27"/>
  <c r="G454" i="27"/>
  <c r="F454" i="27"/>
  <c r="E454" i="27"/>
  <c r="D454" i="27"/>
  <c r="H287" i="27"/>
  <c r="G287" i="27"/>
  <c r="F287" i="27"/>
  <c r="E287" i="27"/>
  <c r="D287" i="27"/>
  <c r="H530" i="27"/>
  <c r="H531" i="27" s="1"/>
  <c r="G530" i="27"/>
  <c r="G531" i="27" s="1"/>
  <c r="F530" i="27"/>
  <c r="F531" i="27" s="1"/>
  <c r="E530" i="27"/>
  <c r="E531" i="27" s="1"/>
  <c r="D530" i="27"/>
  <c r="D531" i="27" s="1"/>
  <c r="H529" i="27"/>
  <c r="G529" i="27"/>
  <c r="F529" i="27"/>
  <c r="E529" i="27"/>
  <c r="D529" i="27"/>
  <c r="H482" i="27"/>
  <c r="H483" i="27" s="1"/>
  <c r="G482" i="27"/>
  <c r="G483" i="27" s="1"/>
  <c r="F482" i="27"/>
  <c r="F483" i="27" s="1"/>
  <c r="E482" i="27"/>
  <c r="E483" i="27" s="1"/>
  <c r="D482" i="27"/>
  <c r="D483" i="27" s="1"/>
  <c r="H481" i="27"/>
  <c r="G481" i="27"/>
  <c r="F481" i="27"/>
  <c r="E481" i="27"/>
  <c r="D481" i="27"/>
  <c r="H434" i="27"/>
  <c r="H435" i="27" s="1"/>
  <c r="G434" i="27"/>
  <c r="G435" i="27" s="1"/>
  <c r="F434" i="27"/>
  <c r="F435" i="27" s="1"/>
  <c r="E434" i="27"/>
  <c r="E435" i="27" s="1"/>
  <c r="D434" i="27"/>
  <c r="D435" i="27" s="1"/>
  <c r="H433" i="27"/>
  <c r="G433" i="27"/>
  <c r="F433" i="27"/>
  <c r="E433" i="27"/>
  <c r="D433" i="27"/>
  <c r="H386" i="27"/>
  <c r="H387" i="27" s="1"/>
  <c r="G386" i="27"/>
  <c r="G387" i="27" s="1"/>
  <c r="F386" i="27"/>
  <c r="F387" i="27" s="1"/>
  <c r="E386" i="27"/>
  <c r="E387" i="27" s="1"/>
  <c r="D386" i="27"/>
  <c r="D387" i="27" s="1"/>
  <c r="H385" i="27"/>
  <c r="G385" i="27"/>
  <c r="F385" i="27"/>
  <c r="E385" i="27"/>
  <c r="D385" i="27"/>
  <c r="H338" i="27"/>
  <c r="H339" i="27" s="1"/>
  <c r="G338" i="27"/>
  <c r="G339" i="27" s="1"/>
  <c r="F338" i="27"/>
  <c r="F339" i="27" s="1"/>
  <c r="E338" i="27"/>
  <c r="E339" i="27" s="1"/>
  <c r="D338" i="27"/>
  <c r="D339" i="27" s="1"/>
  <c r="H337" i="27"/>
  <c r="G337" i="27"/>
  <c r="F337" i="27"/>
  <c r="E337" i="27"/>
  <c r="D337" i="27"/>
  <c r="H290" i="27"/>
  <c r="H291" i="27" s="1"/>
  <c r="G290" i="27"/>
  <c r="G291" i="27" s="1"/>
  <c r="F290" i="27"/>
  <c r="F291" i="27" s="1"/>
  <c r="E290" i="27"/>
  <c r="E291" i="27" s="1"/>
  <c r="D290" i="27"/>
  <c r="D291" i="27" s="1"/>
  <c r="H289" i="27"/>
  <c r="G289" i="27"/>
  <c r="F289" i="27"/>
  <c r="E289" i="27"/>
  <c r="D289" i="27"/>
  <c r="H242" i="27"/>
  <c r="H243" i="27" s="1"/>
  <c r="G242" i="27"/>
  <c r="G243" i="27" s="1"/>
  <c r="F242" i="27"/>
  <c r="F243" i="27" s="1"/>
  <c r="E242" i="27"/>
  <c r="E243" i="27" s="1"/>
  <c r="D242" i="27"/>
  <c r="D243" i="27" s="1"/>
  <c r="H241" i="27"/>
  <c r="G241" i="27"/>
  <c r="F241" i="27"/>
  <c r="E241" i="27"/>
  <c r="D241" i="27"/>
  <c r="H521" i="27"/>
  <c r="H522" i="27" s="1"/>
  <c r="G521" i="27"/>
  <c r="G522" i="27" s="1"/>
  <c r="F521" i="27"/>
  <c r="F522" i="27" s="1"/>
  <c r="E521" i="27"/>
  <c r="E522" i="27" s="1"/>
  <c r="D521" i="27"/>
  <c r="D522" i="27" s="1"/>
  <c r="H520" i="27"/>
  <c r="G520" i="27"/>
  <c r="F520" i="27"/>
  <c r="E520" i="27"/>
  <c r="D520" i="27"/>
  <c r="H473" i="27"/>
  <c r="H474" i="27" s="1"/>
  <c r="G473" i="27"/>
  <c r="G474" i="27" s="1"/>
  <c r="F473" i="27"/>
  <c r="F474" i="27" s="1"/>
  <c r="E473" i="27"/>
  <c r="E474" i="27" s="1"/>
  <c r="D473" i="27"/>
  <c r="D474" i="27" s="1"/>
  <c r="H472" i="27"/>
  <c r="G472" i="27"/>
  <c r="F472" i="27"/>
  <c r="E472" i="27"/>
  <c r="D472" i="27"/>
  <c r="H425" i="27"/>
  <c r="H426" i="27" s="1"/>
  <c r="G425" i="27"/>
  <c r="G426" i="27" s="1"/>
  <c r="F425" i="27"/>
  <c r="F426" i="27" s="1"/>
  <c r="E425" i="27"/>
  <c r="E426" i="27" s="1"/>
  <c r="D425" i="27"/>
  <c r="D426" i="27" s="1"/>
  <c r="H424" i="27"/>
  <c r="G424" i="27"/>
  <c r="F424" i="27"/>
  <c r="E424" i="27"/>
  <c r="D424" i="27"/>
  <c r="H377" i="27"/>
  <c r="H378" i="27" s="1"/>
  <c r="G377" i="27"/>
  <c r="G378" i="27" s="1"/>
  <c r="F377" i="27"/>
  <c r="F378" i="27" s="1"/>
  <c r="E377" i="27"/>
  <c r="E378" i="27" s="1"/>
  <c r="D377" i="27"/>
  <c r="D378" i="27" s="1"/>
  <c r="H376" i="27"/>
  <c r="G376" i="27"/>
  <c r="F376" i="27"/>
  <c r="E376" i="27"/>
  <c r="D376" i="27"/>
  <c r="H329" i="27"/>
  <c r="H330" i="27" s="1"/>
  <c r="G329" i="27"/>
  <c r="G330" i="27" s="1"/>
  <c r="F329" i="27"/>
  <c r="F330" i="27" s="1"/>
  <c r="E329" i="27"/>
  <c r="E330" i="27" s="1"/>
  <c r="D329" i="27"/>
  <c r="D330" i="27" s="1"/>
  <c r="H328" i="27"/>
  <c r="G328" i="27"/>
  <c r="F328" i="27"/>
  <c r="E328" i="27"/>
  <c r="D328" i="27"/>
  <c r="H511" i="27"/>
  <c r="G511" i="27"/>
  <c r="F511" i="27"/>
  <c r="E511" i="27"/>
  <c r="D511" i="27"/>
  <c r="H319" i="27"/>
  <c r="G319" i="27"/>
  <c r="F319" i="27"/>
  <c r="E319" i="27"/>
  <c r="D319" i="27"/>
  <c r="H281" i="27"/>
  <c r="H282" i="27" s="1"/>
  <c r="G281" i="27"/>
  <c r="G282" i="27" s="1"/>
  <c r="F281" i="27"/>
  <c r="F282" i="27" s="1"/>
  <c r="E281" i="27"/>
  <c r="E282" i="27" s="1"/>
  <c r="D281" i="27"/>
  <c r="D282" i="27" s="1"/>
  <c r="H280" i="27"/>
  <c r="G280" i="27"/>
  <c r="F280" i="27"/>
  <c r="E280" i="27"/>
  <c r="D280" i="27"/>
  <c r="H233" i="27"/>
  <c r="H234" i="27" s="1"/>
  <c r="G233" i="27"/>
  <c r="G234" i="27" s="1"/>
  <c r="F233" i="27"/>
  <c r="F234" i="27" s="1"/>
  <c r="E233" i="27"/>
  <c r="E234" i="27" s="1"/>
  <c r="D233" i="27"/>
  <c r="D234" i="27" s="1"/>
  <c r="H232" i="27"/>
  <c r="G232" i="27"/>
  <c r="F232" i="27"/>
  <c r="E232" i="27"/>
  <c r="D232" i="27"/>
  <c r="H518" i="27"/>
  <c r="G518" i="27"/>
  <c r="F518" i="27"/>
  <c r="E518" i="27"/>
  <c r="D518" i="27"/>
  <c r="H470" i="27"/>
  <c r="G470" i="27"/>
  <c r="F470" i="27"/>
  <c r="E470" i="27"/>
  <c r="D470" i="27"/>
  <c r="H422" i="27"/>
  <c r="G422" i="27"/>
  <c r="F422" i="27"/>
  <c r="E422" i="27"/>
  <c r="D422" i="27"/>
  <c r="H374" i="27"/>
  <c r="G374" i="27"/>
  <c r="F374" i="27"/>
  <c r="E374" i="27"/>
  <c r="D374" i="27"/>
  <c r="H326" i="27"/>
  <c r="G326" i="27"/>
  <c r="F326" i="27"/>
  <c r="E326" i="27"/>
  <c r="D326" i="27"/>
  <c r="H278" i="27"/>
  <c r="G278" i="27"/>
  <c r="F278" i="27"/>
  <c r="E278" i="27"/>
  <c r="D278" i="27"/>
  <c r="H230" i="27"/>
  <c r="G230" i="27"/>
  <c r="F230" i="27"/>
  <c r="E230" i="27"/>
  <c r="D230" i="27"/>
  <c r="I526" i="27"/>
  <c r="I527" i="27" s="1"/>
  <c r="I524" i="27"/>
  <c r="I525" i="27" s="1"/>
  <c r="I478" i="27"/>
  <c r="I479" i="27" s="1"/>
  <c r="I476" i="27"/>
  <c r="I477" i="27" s="1"/>
  <c r="I430" i="27"/>
  <c r="I431" i="27" s="1"/>
  <c r="I428" i="27"/>
  <c r="I429" i="27" s="1"/>
  <c r="I382" i="27"/>
  <c r="I383" i="27" s="1"/>
  <c r="I380" i="27"/>
  <c r="I381" i="27" s="1"/>
  <c r="I334" i="27"/>
  <c r="I335" i="27" s="1"/>
  <c r="I332" i="27"/>
  <c r="I333" i="27" s="1"/>
  <c r="I286" i="27"/>
  <c r="I287" i="27" s="1"/>
  <c r="I284" i="27"/>
  <c r="I285" i="27" s="1"/>
  <c r="H527" i="27"/>
  <c r="G527" i="27"/>
  <c r="F527" i="27"/>
  <c r="E527" i="27"/>
  <c r="D527" i="27"/>
  <c r="H479" i="27"/>
  <c r="G479" i="27"/>
  <c r="F479" i="27"/>
  <c r="E479" i="27"/>
  <c r="D479" i="27"/>
  <c r="H431" i="27"/>
  <c r="G431" i="27"/>
  <c r="F431" i="27"/>
  <c r="E431" i="27"/>
  <c r="D431" i="27"/>
  <c r="H383" i="27"/>
  <c r="G383" i="27"/>
  <c r="F383" i="27"/>
  <c r="E383" i="27"/>
  <c r="D383" i="27"/>
  <c r="H335" i="27"/>
  <c r="G335" i="27"/>
  <c r="F335" i="27"/>
  <c r="E335" i="27"/>
  <c r="D335" i="27"/>
  <c r="H239" i="27"/>
  <c r="G239" i="27"/>
  <c r="F239" i="27"/>
  <c r="E239" i="27"/>
  <c r="D239" i="27"/>
  <c r="I238" i="27"/>
  <c r="I239" i="27" s="1"/>
  <c r="H525" i="27"/>
  <c r="G525" i="27"/>
  <c r="F525" i="27"/>
  <c r="E525" i="27"/>
  <c r="D525" i="27"/>
  <c r="H477" i="27"/>
  <c r="G477" i="27"/>
  <c r="F477" i="27"/>
  <c r="E477" i="27"/>
  <c r="D477" i="27"/>
  <c r="H429" i="27"/>
  <c r="G429" i="27"/>
  <c r="F429" i="27"/>
  <c r="E429" i="27"/>
  <c r="D429" i="27"/>
  <c r="H381" i="27"/>
  <c r="G381" i="27"/>
  <c r="F381" i="27"/>
  <c r="E381" i="27"/>
  <c r="D381" i="27"/>
  <c r="H333" i="27"/>
  <c r="G333" i="27"/>
  <c r="F333" i="27"/>
  <c r="E333" i="27"/>
  <c r="D333" i="27"/>
  <c r="H285" i="27"/>
  <c r="G285" i="27"/>
  <c r="F285" i="27"/>
  <c r="E285" i="27"/>
  <c r="D285" i="27"/>
  <c r="H237" i="27"/>
  <c r="G237" i="27"/>
  <c r="F237" i="27"/>
  <c r="E237" i="27"/>
  <c r="D237" i="27"/>
  <c r="I236" i="27"/>
  <c r="I237" i="27" s="1"/>
  <c r="I517" i="27"/>
  <c r="I518" i="27" s="1"/>
  <c r="I469" i="27"/>
  <c r="I470" i="27" s="1"/>
  <c r="I421" i="27"/>
  <c r="I422" i="27" s="1"/>
  <c r="I373" i="27"/>
  <c r="I374" i="27" s="1"/>
  <c r="I325" i="27"/>
  <c r="I326" i="27" s="1"/>
  <c r="I277" i="27"/>
  <c r="I278" i="27" s="1"/>
  <c r="I229" i="27"/>
  <c r="I230" i="27" s="1"/>
  <c r="H502" i="27"/>
  <c r="G502" i="27"/>
  <c r="F502" i="27"/>
  <c r="E502" i="27"/>
  <c r="H463" i="27"/>
  <c r="G463" i="27"/>
  <c r="F463" i="27"/>
  <c r="E463" i="27"/>
  <c r="D463" i="27"/>
  <c r="H415" i="27"/>
  <c r="G415" i="27"/>
  <c r="F415" i="27"/>
  <c r="E415" i="27"/>
  <c r="D415" i="27"/>
  <c r="H367" i="27"/>
  <c r="G367" i="27"/>
  <c r="F367" i="27"/>
  <c r="E367" i="27"/>
  <c r="D367" i="27"/>
  <c r="H310" i="27"/>
  <c r="G310" i="27"/>
  <c r="F310" i="27"/>
  <c r="E310" i="27"/>
  <c r="D310" i="27"/>
  <c r="H271" i="27"/>
  <c r="G271" i="27"/>
  <c r="F271" i="27"/>
  <c r="E271" i="27"/>
  <c r="D271" i="27"/>
  <c r="H223" i="27"/>
  <c r="G223" i="27"/>
  <c r="F223" i="27"/>
  <c r="E223" i="27"/>
  <c r="D223" i="27"/>
  <c r="E189" i="27"/>
  <c r="F189" i="27"/>
  <c r="G189" i="27"/>
  <c r="H189" i="27"/>
  <c r="D189" i="27"/>
  <c r="I190" i="27"/>
  <c r="I191" i="27" s="1"/>
  <c r="I188" i="27"/>
  <c r="I189" i="27" s="1"/>
  <c r="H194" i="27"/>
  <c r="H195" i="27" s="1"/>
  <c r="G194" i="27"/>
  <c r="G195" i="27" s="1"/>
  <c r="F194" i="27"/>
  <c r="F195" i="27" s="1"/>
  <c r="E194" i="27"/>
  <c r="E195" i="27" s="1"/>
  <c r="D194" i="27"/>
  <c r="D195" i="27" s="1"/>
  <c r="H193" i="27"/>
  <c r="G193" i="27"/>
  <c r="F193" i="27"/>
  <c r="E193" i="27"/>
  <c r="D193" i="27"/>
  <c r="H185" i="27"/>
  <c r="H186" i="27" s="1"/>
  <c r="G185" i="27"/>
  <c r="G186" i="27" s="1"/>
  <c r="F185" i="27"/>
  <c r="F186" i="27" s="1"/>
  <c r="E185" i="27"/>
  <c r="E186" i="27" s="1"/>
  <c r="D185" i="27"/>
  <c r="D186" i="27" s="1"/>
  <c r="H184" i="27"/>
  <c r="G184" i="27"/>
  <c r="F184" i="27"/>
  <c r="E184" i="27"/>
  <c r="D184" i="27"/>
  <c r="I181" i="27"/>
  <c r="I182" i="27" s="1"/>
  <c r="E191" i="27"/>
  <c r="F191" i="27"/>
  <c r="G191" i="27"/>
  <c r="H191" i="27"/>
  <c r="E182" i="27"/>
  <c r="F182" i="27"/>
  <c r="G182" i="27"/>
  <c r="H182" i="27"/>
  <c r="D191" i="27"/>
  <c r="D182" i="27"/>
  <c r="H175" i="27"/>
  <c r="G175" i="27"/>
  <c r="F175" i="27"/>
  <c r="E175" i="27"/>
  <c r="D175" i="27"/>
  <c r="E41" i="27"/>
  <c r="F41" i="27"/>
  <c r="G41" i="27"/>
  <c r="H41" i="27"/>
  <c r="D41" i="27"/>
  <c r="H146" i="27"/>
  <c r="H147" i="27" s="1"/>
  <c r="G146" i="27"/>
  <c r="G147" i="27" s="1"/>
  <c r="F146" i="27"/>
  <c r="F147" i="27" s="1"/>
  <c r="E146" i="27"/>
  <c r="E147" i="27" s="1"/>
  <c r="D146" i="27"/>
  <c r="H145" i="27"/>
  <c r="G145" i="27"/>
  <c r="F145" i="27"/>
  <c r="E145" i="27"/>
  <c r="D145" i="27"/>
  <c r="I142" i="27"/>
  <c r="I143" i="27" s="1"/>
  <c r="E143" i="27"/>
  <c r="F143" i="27"/>
  <c r="G143" i="27"/>
  <c r="H143" i="27"/>
  <c r="E141" i="27"/>
  <c r="F141" i="27"/>
  <c r="G141" i="27"/>
  <c r="H141" i="27"/>
  <c r="D143" i="27"/>
  <c r="D141" i="27"/>
  <c r="I140" i="27"/>
  <c r="I141" i="27" s="1"/>
  <c r="H137" i="27"/>
  <c r="H138" i="27" s="1"/>
  <c r="G137" i="27"/>
  <c r="G138" i="27" s="1"/>
  <c r="F137" i="27"/>
  <c r="F138" i="27" s="1"/>
  <c r="E137" i="27"/>
  <c r="E138" i="27" s="1"/>
  <c r="D138" i="27"/>
  <c r="H136" i="27"/>
  <c r="G136" i="27"/>
  <c r="F136" i="27"/>
  <c r="E136" i="27"/>
  <c r="D136" i="27"/>
  <c r="I133" i="27"/>
  <c r="I134" i="27" s="1"/>
  <c r="E134" i="27"/>
  <c r="F134" i="27"/>
  <c r="G134" i="27"/>
  <c r="H134" i="27"/>
  <c r="D134" i="27"/>
  <c r="H127" i="27"/>
  <c r="G127" i="27"/>
  <c r="F127" i="27"/>
  <c r="E127" i="27"/>
  <c r="D127" i="27"/>
  <c r="I44" i="27"/>
  <c r="I45" i="27" s="1"/>
  <c r="E45" i="27"/>
  <c r="F45" i="27"/>
  <c r="G45" i="27"/>
  <c r="H45" i="27"/>
  <c r="D45" i="27"/>
  <c r="E89" i="27"/>
  <c r="E592" i="27" s="1"/>
  <c r="F89" i="27"/>
  <c r="F592" i="27" s="1"/>
  <c r="G89" i="27"/>
  <c r="G592" i="27" s="1"/>
  <c r="H89" i="27"/>
  <c r="H592" i="27" s="1"/>
  <c r="D89" i="27"/>
  <c r="E98" i="27"/>
  <c r="E99" i="27" s="1"/>
  <c r="F98" i="27"/>
  <c r="F99" i="27" s="1"/>
  <c r="G98" i="27"/>
  <c r="G99" i="27" s="1"/>
  <c r="H98" i="27"/>
  <c r="H99" i="27" s="1"/>
  <c r="D98" i="27"/>
  <c r="D99" i="27" s="1"/>
  <c r="H97" i="27"/>
  <c r="G97" i="27"/>
  <c r="F97" i="27"/>
  <c r="E97" i="27"/>
  <c r="D97" i="27"/>
  <c r="I94" i="27"/>
  <c r="I95" i="27" s="1"/>
  <c r="E95" i="27"/>
  <c r="F95" i="27"/>
  <c r="G95" i="27"/>
  <c r="H95" i="27"/>
  <c r="D95" i="27"/>
  <c r="E93" i="27"/>
  <c r="F93" i="27"/>
  <c r="G93" i="27"/>
  <c r="H93" i="27"/>
  <c r="D93" i="27"/>
  <c r="I92" i="27"/>
  <c r="I93" i="27" s="1"/>
  <c r="H88" i="27"/>
  <c r="G88" i="27"/>
  <c r="F88" i="27"/>
  <c r="E88" i="27"/>
  <c r="D88" i="27"/>
  <c r="I85" i="27"/>
  <c r="I86" i="27" s="1"/>
  <c r="E86" i="27"/>
  <c r="F86" i="27"/>
  <c r="G86" i="27"/>
  <c r="H86" i="27"/>
  <c r="D86" i="27"/>
  <c r="H79" i="27"/>
  <c r="G79" i="27"/>
  <c r="F79" i="27"/>
  <c r="E79" i="27"/>
  <c r="D79" i="27"/>
  <c r="E50" i="27"/>
  <c r="F50" i="27"/>
  <c r="G50" i="27"/>
  <c r="H50" i="27"/>
  <c r="H51" i="27" s="1"/>
  <c r="D50" i="27"/>
  <c r="D49" i="27"/>
  <c r="H49" i="27"/>
  <c r="G49" i="27"/>
  <c r="F49" i="27"/>
  <c r="E49" i="27"/>
  <c r="I46" i="27"/>
  <c r="I47" i="27" s="1"/>
  <c r="E47" i="27"/>
  <c r="F47" i="27"/>
  <c r="G47" i="27"/>
  <c r="H47" i="27"/>
  <c r="D47" i="27"/>
  <c r="E38" i="27"/>
  <c r="F38" i="27"/>
  <c r="G38" i="27"/>
  <c r="H38" i="27"/>
  <c r="D38" i="27"/>
  <c r="F40" i="27"/>
  <c r="I37" i="27"/>
  <c r="I38" i="27" s="1"/>
  <c r="D40" i="27"/>
  <c r="H40" i="27"/>
  <c r="G40" i="27"/>
  <c r="E40" i="27"/>
  <c r="E31" i="27"/>
  <c r="F31" i="27"/>
  <c r="G31" i="27"/>
  <c r="H31" i="27"/>
  <c r="D31" i="27"/>
  <c r="G27" i="27"/>
  <c r="H516" i="27"/>
  <c r="G516" i="27"/>
  <c r="F516" i="27"/>
  <c r="E516" i="27"/>
  <c r="D516" i="27"/>
  <c r="H468" i="27"/>
  <c r="G468" i="27"/>
  <c r="F468" i="27"/>
  <c r="E468" i="27"/>
  <c r="D468" i="27"/>
  <c r="H420" i="27"/>
  <c r="G420" i="27"/>
  <c r="F420" i="27"/>
  <c r="E420" i="27"/>
  <c r="D420" i="27"/>
  <c r="H372" i="27"/>
  <c r="G372" i="27"/>
  <c r="F372" i="27"/>
  <c r="E372" i="27"/>
  <c r="D372" i="27"/>
  <c r="H324" i="27"/>
  <c r="G324" i="27"/>
  <c r="F324" i="27"/>
  <c r="E324" i="27"/>
  <c r="D324" i="27"/>
  <c r="H276" i="27"/>
  <c r="G276" i="27"/>
  <c r="F276" i="27"/>
  <c r="E276" i="27"/>
  <c r="D276" i="27"/>
  <c r="H228" i="27"/>
  <c r="G228" i="27"/>
  <c r="F228" i="27"/>
  <c r="E228" i="27"/>
  <c r="D228" i="27"/>
  <c r="H180" i="27"/>
  <c r="G180" i="27"/>
  <c r="F180" i="27"/>
  <c r="E180" i="27"/>
  <c r="D180" i="27"/>
  <c r="H132" i="27"/>
  <c r="G132" i="27"/>
  <c r="F132" i="27"/>
  <c r="E132" i="27"/>
  <c r="D132" i="27"/>
  <c r="H84" i="27"/>
  <c r="G84" i="27"/>
  <c r="F84" i="27"/>
  <c r="E84" i="27"/>
  <c r="D84" i="27"/>
  <c r="I35" i="27"/>
  <c r="I36" i="27" s="1"/>
  <c r="E36" i="27"/>
  <c r="F36" i="27"/>
  <c r="G36" i="27"/>
  <c r="H36" i="27"/>
  <c r="D36" i="27"/>
  <c r="I227" i="27"/>
  <c r="I228" i="27" s="1"/>
  <c r="I515" i="27"/>
  <c r="I516" i="27" s="1"/>
  <c r="I467" i="27"/>
  <c r="I468" i="27" s="1"/>
  <c r="I419" i="27"/>
  <c r="I420" i="27" s="1"/>
  <c r="I371" i="27"/>
  <c r="I372" i="27" s="1"/>
  <c r="I323" i="27"/>
  <c r="I324" i="27" s="1"/>
  <c r="I275" i="27"/>
  <c r="I276" i="27" s="1"/>
  <c r="I179" i="27"/>
  <c r="I180" i="27" s="1"/>
  <c r="I131" i="27"/>
  <c r="I132" i="27" s="1"/>
  <c r="I83" i="27"/>
  <c r="I84" i="27" s="1"/>
  <c r="G601" i="27" l="1"/>
  <c r="F601" i="27"/>
  <c r="E601" i="27"/>
  <c r="E611" i="27"/>
  <c r="D555" i="27"/>
  <c r="H600" i="27"/>
  <c r="G600" i="27"/>
  <c r="F600" i="27"/>
  <c r="H599" i="27"/>
  <c r="F598" i="27"/>
  <c r="E598" i="27"/>
  <c r="E608" i="27"/>
  <c r="G608" i="27"/>
  <c r="F608" i="27"/>
  <c r="H607" i="27"/>
  <c r="D607" i="27"/>
  <c r="F555" i="27"/>
  <c r="E555" i="27"/>
  <c r="D606" i="27"/>
  <c r="F595" i="27"/>
  <c r="E595" i="27"/>
  <c r="D595" i="27"/>
  <c r="F605" i="27"/>
  <c r="H594" i="27"/>
  <c r="G594" i="27"/>
  <c r="D147" i="27"/>
  <c r="K146" i="27"/>
  <c r="D548" i="27"/>
  <c r="D593" i="27"/>
  <c r="G555" i="27"/>
  <c r="H550" i="27"/>
  <c r="G550" i="27"/>
  <c r="F550" i="27"/>
  <c r="E551" i="27"/>
  <c r="F553" i="27"/>
  <c r="H591" i="27"/>
  <c r="G553" i="27"/>
  <c r="D605" i="27"/>
  <c r="H611" i="27"/>
  <c r="H608" i="27"/>
  <c r="H605" i="27"/>
  <c r="H602" i="27"/>
  <c r="H554" i="27"/>
  <c r="D608" i="27"/>
  <c r="E605" i="27"/>
  <c r="E602" i="27"/>
  <c r="H604" i="27"/>
  <c r="H610" i="27"/>
  <c r="H552" i="27"/>
  <c r="F554" i="27"/>
  <c r="D610" i="27"/>
  <c r="G610" i="27"/>
  <c r="G607" i="27"/>
  <c r="G604" i="27"/>
  <c r="G552" i="27"/>
  <c r="E554" i="27"/>
  <c r="D611" i="27"/>
  <c r="F610" i="27"/>
  <c r="F607" i="27"/>
  <c r="F604" i="27"/>
  <c r="E553" i="27"/>
  <c r="F611" i="27"/>
  <c r="F602" i="27"/>
  <c r="G554" i="27"/>
  <c r="D609" i="27"/>
  <c r="F552" i="27"/>
  <c r="H555" i="27"/>
  <c r="D552" i="27"/>
  <c r="D612" i="27"/>
  <c r="E610" i="27"/>
  <c r="E607" i="27"/>
  <c r="E604" i="27"/>
  <c r="G602" i="27"/>
  <c r="E552" i="27"/>
  <c r="D553" i="27"/>
  <c r="H612" i="27"/>
  <c r="H609" i="27"/>
  <c r="H606" i="27"/>
  <c r="H603" i="27"/>
  <c r="D554" i="27"/>
  <c r="D602" i="27"/>
  <c r="G612" i="27"/>
  <c r="G609" i="27"/>
  <c r="G606" i="27"/>
  <c r="G603" i="27"/>
  <c r="G611" i="27"/>
  <c r="D603" i="27"/>
  <c r="F612" i="27"/>
  <c r="F609" i="27"/>
  <c r="F606" i="27"/>
  <c r="F603" i="27"/>
  <c r="H553" i="27"/>
  <c r="D604" i="27"/>
  <c r="E612" i="27"/>
  <c r="E609" i="27"/>
  <c r="E606" i="27"/>
  <c r="E603" i="27"/>
  <c r="E548" i="27"/>
  <c r="E550" i="27"/>
  <c r="D591" i="27"/>
  <c r="G598" i="27"/>
  <c r="H548" i="27"/>
  <c r="H551" i="27"/>
  <c r="G551" i="27"/>
  <c r="H597" i="27"/>
  <c r="D551" i="27"/>
  <c r="F591" i="27"/>
  <c r="D550" i="27"/>
  <c r="F551" i="27"/>
  <c r="G597" i="27"/>
  <c r="G591" i="27"/>
  <c r="F597" i="27"/>
  <c r="G549" i="27"/>
  <c r="D597" i="27"/>
  <c r="E600" i="27"/>
  <c r="E597" i="27"/>
  <c r="E594" i="27"/>
  <c r="E591" i="27"/>
  <c r="F549" i="27"/>
  <c r="D598" i="27"/>
  <c r="H596" i="27"/>
  <c r="H593" i="27"/>
  <c r="D594" i="27"/>
  <c r="H549" i="27"/>
  <c r="D596" i="27"/>
  <c r="F594" i="27"/>
  <c r="E549" i="27"/>
  <c r="D599" i="27"/>
  <c r="G599" i="27"/>
  <c r="G596" i="27"/>
  <c r="G593" i="27"/>
  <c r="F593" i="27"/>
  <c r="E593" i="27"/>
  <c r="D549" i="27"/>
  <c r="D600" i="27"/>
  <c r="F599" i="27"/>
  <c r="F596" i="27"/>
  <c r="G548" i="27"/>
  <c r="D601" i="27"/>
  <c r="E599" i="27"/>
  <c r="E596" i="27"/>
  <c r="F548" i="27"/>
  <c r="H601" i="27"/>
  <c r="H598" i="27"/>
  <c r="H595" i="27"/>
  <c r="L8" i="34"/>
  <c r="E440" i="34" s="1"/>
  <c r="K10" i="34"/>
  <c r="F440" i="34" s="1"/>
  <c r="L10" i="34"/>
  <c r="D305" i="34" s="1"/>
  <c r="D453" i="34"/>
  <c r="K8" i="34"/>
  <c r="D440" i="34" s="1"/>
  <c r="N10" i="34"/>
  <c r="D343" i="34"/>
  <c r="M8" i="34"/>
  <c r="E262" i="34"/>
  <c r="E303" i="34" s="1"/>
  <c r="E269" i="34"/>
  <c r="E272" i="34"/>
  <c r="E268" i="34"/>
  <c r="E271" i="34"/>
  <c r="E270" i="34"/>
  <c r="Q262" i="34"/>
  <c r="Q303" i="34" s="1"/>
  <c r="Q272" i="34"/>
  <c r="Q268" i="34"/>
  <c r="Q271" i="34"/>
  <c r="Q270" i="34"/>
  <c r="Q269" i="34"/>
  <c r="R262" i="34"/>
  <c r="R303" i="34" s="1"/>
  <c r="R271" i="34"/>
  <c r="R269" i="34"/>
  <c r="R270" i="34"/>
  <c r="R272" i="34"/>
  <c r="R268" i="34"/>
  <c r="S262" i="34"/>
  <c r="S290" i="34" s="1"/>
  <c r="S271" i="34"/>
  <c r="S270" i="34"/>
  <c r="S269" i="34"/>
  <c r="S272" i="34"/>
  <c r="S268" i="34"/>
  <c r="AD262" i="34"/>
  <c r="AD303" i="34" s="1"/>
  <c r="AD270" i="34"/>
  <c r="AD269" i="34"/>
  <c r="AD272" i="34"/>
  <c r="AD268" i="34"/>
  <c r="AD271" i="34"/>
  <c r="T262" i="34"/>
  <c r="T290" i="34" s="1"/>
  <c r="T271" i="34"/>
  <c r="T270" i="34"/>
  <c r="T269" i="34"/>
  <c r="T272" i="34"/>
  <c r="T268" i="34"/>
  <c r="AE262" i="34"/>
  <c r="AE303" i="34" s="1"/>
  <c r="AE270" i="34"/>
  <c r="AE269" i="34"/>
  <c r="AE272" i="34"/>
  <c r="AE268" i="34"/>
  <c r="AE271" i="34"/>
  <c r="U262" i="34"/>
  <c r="U303" i="34" s="1"/>
  <c r="U270" i="34"/>
  <c r="U268" i="34"/>
  <c r="U269" i="34"/>
  <c r="U272" i="34"/>
  <c r="U271" i="34"/>
  <c r="AF262" i="34"/>
  <c r="AF303" i="34" s="1"/>
  <c r="AF269" i="34"/>
  <c r="AF271" i="34"/>
  <c r="AF272" i="34"/>
  <c r="AF268" i="34"/>
  <c r="AF270" i="34"/>
  <c r="AG262" i="34"/>
  <c r="AG290" i="34" s="1"/>
  <c r="AG269" i="34"/>
  <c r="AG272" i="34"/>
  <c r="AG268" i="34"/>
  <c r="AG271" i="34"/>
  <c r="AG270" i="34"/>
  <c r="AH262" i="34"/>
  <c r="AH290" i="34" s="1"/>
  <c r="AH269" i="34"/>
  <c r="AH268" i="34"/>
  <c r="AH272" i="34"/>
  <c r="AH271" i="34"/>
  <c r="AH270" i="34"/>
  <c r="D262" i="34"/>
  <c r="D303" i="34" s="1"/>
  <c r="D269" i="34"/>
  <c r="D271" i="34"/>
  <c r="D272" i="34"/>
  <c r="D268" i="34"/>
  <c r="D270" i="34"/>
  <c r="H262" i="34"/>
  <c r="H303" i="34" s="1"/>
  <c r="H272" i="34"/>
  <c r="H268" i="34"/>
  <c r="H271" i="34"/>
  <c r="H270" i="34"/>
  <c r="H269" i="34"/>
  <c r="G262" i="34"/>
  <c r="G303" i="34" s="1"/>
  <c r="G270" i="34"/>
  <c r="G272" i="34"/>
  <c r="G268" i="34"/>
  <c r="G271" i="34"/>
  <c r="G269" i="34"/>
  <c r="F262" i="34"/>
  <c r="F303" i="34" s="1"/>
  <c r="F269" i="34"/>
  <c r="F272" i="34"/>
  <c r="F268" i="34"/>
  <c r="F271" i="34"/>
  <c r="F270" i="34"/>
  <c r="H237" i="34"/>
  <c r="H302" i="34" s="1"/>
  <c r="H247" i="34"/>
  <c r="H243" i="34"/>
  <c r="H244" i="34"/>
  <c r="H246" i="34"/>
  <c r="H245" i="34"/>
  <c r="Q237" i="34"/>
  <c r="Q302" i="34" s="1"/>
  <c r="Q247" i="34"/>
  <c r="Q243" i="34"/>
  <c r="Q246" i="34"/>
  <c r="Q245" i="34"/>
  <c r="Q244" i="34"/>
  <c r="R237" i="34"/>
  <c r="R302" i="34" s="1"/>
  <c r="R246" i="34"/>
  <c r="R245" i="34"/>
  <c r="R244" i="34"/>
  <c r="R247" i="34"/>
  <c r="R243" i="34"/>
  <c r="S237" i="34"/>
  <c r="S302" i="34" s="1"/>
  <c r="S246" i="34"/>
  <c r="S243" i="34"/>
  <c r="S245" i="34"/>
  <c r="S247" i="34"/>
  <c r="S244" i="34"/>
  <c r="U237" i="34"/>
  <c r="U302" i="34" s="1"/>
  <c r="U245" i="34"/>
  <c r="U244" i="34"/>
  <c r="U247" i="34"/>
  <c r="U243" i="34"/>
  <c r="U246" i="34"/>
  <c r="G237" i="34"/>
  <c r="G302" i="34" s="1"/>
  <c r="G247" i="34"/>
  <c r="G243" i="34"/>
  <c r="G246" i="34"/>
  <c r="G245" i="34"/>
  <c r="G244" i="34"/>
  <c r="AD237" i="34"/>
  <c r="AD302" i="34" s="1"/>
  <c r="AD246" i="34"/>
  <c r="AD245" i="34"/>
  <c r="AD244" i="34"/>
  <c r="AD247" i="34"/>
  <c r="AD243" i="34"/>
  <c r="T237" i="34"/>
  <c r="T302" i="34" s="1"/>
  <c r="T246" i="34"/>
  <c r="T245" i="34"/>
  <c r="T244" i="34"/>
  <c r="T243" i="34"/>
  <c r="T247" i="34"/>
  <c r="D237" i="34"/>
  <c r="D302" i="34" s="1"/>
  <c r="D244" i="34"/>
  <c r="D247" i="34"/>
  <c r="D243" i="34"/>
  <c r="D246" i="34"/>
  <c r="D245" i="34"/>
  <c r="AE237" i="34"/>
  <c r="AE302" i="34" s="1"/>
  <c r="AE245" i="34"/>
  <c r="AE244" i="34"/>
  <c r="AE247" i="34"/>
  <c r="AE243" i="34"/>
  <c r="AE246" i="34"/>
  <c r="E237" i="34"/>
  <c r="E302" i="34" s="1"/>
  <c r="E244" i="34"/>
  <c r="E247" i="34"/>
  <c r="E243" i="34"/>
  <c r="E245" i="34"/>
  <c r="E246" i="34"/>
  <c r="AL236" i="34"/>
  <c r="AL237" i="34" s="1"/>
  <c r="AF244" i="34"/>
  <c r="AF247" i="34"/>
  <c r="AF243" i="34"/>
  <c r="AF246" i="34"/>
  <c r="AF245" i="34"/>
  <c r="AH237" i="34"/>
  <c r="AH302" i="34" s="1"/>
  <c r="AH244" i="34"/>
  <c r="AH247" i="34"/>
  <c r="AH243" i="34"/>
  <c r="AH245" i="34"/>
  <c r="AH246" i="34"/>
  <c r="F237" i="34"/>
  <c r="F302" i="34" s="1"/>
  <c r="F244" i="34"/>
  <c r="F247" i="34"/>
  <c r="F243" i="34"/>
  <c r="F246" i="34"/>
  <c r="F245" i="34"/>
  <c r="AG237" i="34"/>
  <c r="AG302" i="34" s="1"/>
  <c r="AG244" i="34"/>
  <c r="AG245" i="34"/>
  <c r="AG247" i="34"/>
  <c r="AG243" i="34"/>
  <c r="AG246" i="34"/>
  <c r="H212" i="34"/>
  <c r="H301" i="34" s="1"/>
  <c r="H221" i="34"/>
  <c r="H219" i="34"/>
  <c r="H220" i="34"/>
  <c r="H222" i="34"/>
  <c r="H218" i="34"/>
  <c r="AE212" i="34"/>
  <c r="AE301" i="34" s="1"/>
  <c r="AE220" i="34"/>
  <c r="AE219" i="34"/>
  <c r="AE222" i="34"/>
  <c r="AE218" i="34"/>
  <c r="AE221" i="34"/>
  <c r="S212" i="34"/>
  <c r="S301" i="34" s="1"/>
  <c r="S221" i="34"/>
  <c r="S220" i="34"/>
  <c r="S219" i="34"/>
  <c r="S218" i="34"/>
  <c r="S222" i="34"/>
  <c r="AH212" i="34"/>
  <c r="AH288" i="34" s="1"/>
  <c r="AH219" i="34"/>
  <c r="AH222" i="34"/>
  <c r="AH218" i="34"/>
  <c r="AH221" i="34"/>
  <c r="AH220" i="34"/>
  <c r="T212" i="34"/>
  <c r="T301" i="34" s="1"/>
  <c r="T221" i="34"/>
  <c r="T220" i="34"/>
  <c r="T219" i="34"/>
  <c r="T222" i="34"/>
  <c r="T218" i="34"/>
  <c r="U212" i="34"/>
  <c r="U301" i="34" s="1"/>
  <c r="U219" i="34"/>
  <c r="U220" i="34"/>
  <c r="U222" i="34"/>
  <c r="U218" i="34"/>
  <c r="U221" i="34"/>
  <c r="Q222" i="34"/>
  <c r="Q218" i="34"/>
  <c r="Q221" i="34"/>
  <c r="Q220" i="34"/>
  <c r="Q219" i="34"/>
  <c r="AG212" i="34"/>
  <c r="AG301" i="34" s="1"/>
  <c r="AG222" i="34"/>
  <c r="AG218" i="34"/>
  <c r="AG220" i="34"/>
  <c r="AG221" i="34"/>
  <c r="AG219" i="34"/>
  <c r="D212" i="34"/>
  <c r="D301" i="34" s="1"/>
  <c r="D219" i="34"/>
  <c r="D218" i="34"/>
  <c r="D222" i="34"/>
  <c r="D221" i="34"/>
  <c r="D220" i="34"/>
  <c r="E212" i="34"/>
  <c r="E301" i="34" s="1"/>
  <c r="E219" i="34"/>
  <c r="E222" i="34"/>
  <c r="E218" i="34"/>
  <c r="E221" i="34"/>
  <c r="E220" i="34"/>
  <c r="AF212" i="34"/>
  <c r="AF301" i="34" s="1"/>
  <c r="AF219" i="34"/>
  <c r="AF222" i="34"/>
  <c r="AF221" i="34"/>
  <c r="AF218" i="34"/>
  <c r="AF220" i="34"/>
  <c r="F212" i="34"/>
  <c r="F288" i="34" s="1"/>
  <c r="F219" i="34"/>
  <c r="F222" i="34"/>
  <c r="F218" i="34"/>
  <c r="F221" i="34"/>
  <c r="F220" i="34"/>
  <c r="R212" i="34"/>
  <c r="R301" i="34" s="1"/>
  <c r="R220" i="34"/>
  <c r="R221" i="34"/>
  <c r="R219" i="34"/>
  <c r="R222" i="34"/>
  <c r="R218" i="34"/>
  <c r="G212" i="34"/>
  <c r="G288" i="34" s="1"/>
  <c r="G222" i="34"/>
  <c r="G218" i="34"/>
  <c r="G221" i="34"/>
  <c r="G220" i="34"/>
  <c r="G219" i="34"/>
  <c r="AD220" i="34"/>
  <c r="AD219" i="34"/>
  <c r="AD222" i="34"/>
  <c r="AD218" i="34"/>
  <c r="AD221" i="34"/>
  <c r="E187" i="34"/>
  <c r="E300" i="34" s="1"/>
  <c r="E194" i="34"/>
  <c r="E197" i="34"/>
  <c r="E193" i="34"/>
  <c r="E196" i="34"/>
  <c r="E195" i="34"/>
  <c r="G187" i="34"/>
  <c r="G287" i="34" s="1"/>
  <c r="G197" i="34"/>
  <c r="G193" i="34"/>
  <c r="G196" i="34"/>
  <c r="G195" i="34"/>
  <c r="G194" i="34"/>
  <c r="Q197" i="34"/>
  <c r="Q196" i="34"/>
  <c r="Q195" i="34"/>
  <c r="Q194" i="34"/>
  <c r="Q193" i="34"/>
  <c r="F187" i="34"/>
  <c r="F287" i="34" s="1"/>
  <c r="F194" i="34"/>
  <c r="F197" i="34"/>
  <c r="F193" i="34"/>
  <c r="F196" i="34"/>
  <c r="F195" i="34"/>
  <c r="R187" i="34"/>
  <c r="R300" i="34" s="1"/>
  <c r="R196" i="34"/>
  <c r="R195" i="34"/>
  <c r="R194" i="34"/>
  <c r="R197" i="34"/>
  <c r="R193" i="34"/>
  <c r="H187" i="34"/>
  <c r="H300" i="34" s="1"/>
  <c r="H197" i="34"/>
  <c r="H193" i="34"/>
  <c r="H196" i="34"/>
  <c r="H195" i="34"/>
  <c r="H194" i="34"/>
  <c r="S187" i="34"/>
  <c r="S300" i="34" s="1"/>
  <c r="S196" i="34"/>
  <c r="S195" i="34"/>
  <c r="S197" i="34"/>
  <c r="S193" i="34"/>
  <c r="S194" i="34"/>
  <c r="AD195" i="34"/>
  <c r="AD194" i="34"/>
  <c r="AD196" i="34"/>
  <c r="AD197" i="34"/>
  <c r="AD193" i="34"/>
  <c r="AE187" i="34"/>
  <c r="AE300" i="34" s="1"/>
  <c r="AE195" i="34"/>
  <c r="AE194" i="34"/>
  <c r="AE197" i="34"/>
  <c r="AE193" i="34"/>
  <c r="AE196" i="34"/>
  <c r="T187" i="34"/>
  <c r="T300" i="34" s="1"/>
  <c r="T196" i="34"/>
  <c r="T195" i="34"/>
  <c r="T194" i="34"/>
  <c r="T197" i="34"/>
  <c r="T193" i="34"/>
  <c r="U187" i="34"/>
  <c r="U300" i="34" s="1"/>
  <c r="U195" i="34"/>
  <c r="U194" i="34"/>
  <c r="U197" i="34"/>
  <c r="U193" i="34"/>
  <c r="U196" i="34"/>
  <c r="AF187" i="34"/>
  <c r="AF300" i="34" s="1"/>
  <c r="AF194" i="34"/>
  <c r="AF197" i="34"/>
  <c r="AF193" i="34"/>
  <c r="AF196" i="34"/>
  <c r="AF195" i="34"/>
  <c r="AG187" i="34"/>
  <c r="AG300" i="34" s="1"/>
  <c r="AG194" i="34"/>
  <c r="AG197" i="34"/>
  <c r="AG193" i="34"/>
  <c r="AG196" i="34"/>
  <c r="AG195" i="34"/>
  <c r="AH187" i="34"/>
  <c r="AH287" i="34" s="1"/>
  <c r="AH194" i="34"/>
  <c r="AH197" i="34"/>
  <c r="AH193" i="34"/>
  <c r="AH196" i="34"/>
  <c r="AH195" i="34"/>
  <c r="D187" i="34"/>
  <c r="D300" i="34" s="1"/>
  <c r="D194" i="34"/>
  <c r="D197" i="34"/>
  <c r="D193" i="34"/>
  <c r="D196" i="34"/>
  <c r="D195" i="34"/>
  <c r="D162" i="34"/>
  <c r="D299" i="34" s="1"/>
  <c r="D169" i="34"/>
  <c r="D172" i="34"/>
  <c r="D168" i="34"/>
  <c r="D171" i="34"/>
  <c r="D170" i="34"/>
  <c r="AE162" i="34"/>
  <c r="AE299" i="34" s="1"/>
  <c r="AE170" i="34"/>
  <c r="AE169" i="34"/>
  <c r="AE172" i="34"/>
  <c r="AE168" i="34"/>
  <c r="AE171" i="34"/>
  <c r="F162" i="34"/>
  <c r="F299" i="34" s="1"/>
  <c r="F169" i="34"/>
  <c r="F172" i="34"/>
  <c r="F168" i="34"/>
  <c r="F171" i="34"/>
  <c r="F170" i="34"/>
  <c r="AG162" i="34"/>
  <c r="AG286" i="34" s="1"/>
  <c r="AG169" i="34"/>
  <c r="AG172" i="34"/>
  <c r="AG168" i="34"/>
  <c r="AG171" i="34"/>
  <c r="AG170" i="34"/>
  <c r="G162" i="34"/>
  <c r="G299" i="34" s="1"/>
  <c r="G172" i="34"/>
  <c r="G168" i="34"/>
  <c r="G171" i="34"/>
  <c r="G170" i="34"/>
  <c r="G169" i="34"/>
  <c r="AH162" i="34"/>
  <c r="AH286" i="34" s="1"/>
  <c r="AH169" i="34"/>
  <c r="AH172" i="34"/>
  <c r="AH168" i="34"/>
  <c r="AH171" i="34"/>
  <c r="AH170" i="34"/>
  <c r="H162" i="34"/>
  <c r="H299" i="34" s="1"/>
  <c r="H172" i="34"/>
  <c r="H168" i="34"/>
  <c r="H171" i="34"/>
  <c r="H170" i="34"/>
  <c r="H169" i="34"/>
  <c r="Q162" i="34"/>
  <c r="Q299" i="34" s="1"/>
  <c r="Q172" i="34"/>
  <c r="Q168" i="34"/>
  <c r="Q171" i="34"/>
  <c r="Q170" i="34"/>
  <c r="Q169" i="34"/>
  <c r="R162" i="34"/>
  <c r="R299" i="34" s="1"/>
  <c r="R171" i="34"/>
  <c r="R170" i="34"/>
  <c r="R169" i="34"/>
  <c r="R172" i="34"/>
  <c r="R168" i="34"/>
  <c r="E162" i="34"/>
  <c r="E299" i="34" s="1"/>
  <c r="E169" i="34"/>
  <c r="E172" i="34"/>
  <c r="E168" i="34"/>
  <c r="E171" i="34"/>
  <c r="E170" i="34"/>
  <c r="AF162" i="34"/>
  <c r="AF299" i="34" s="1"/>
  <c r="AF169" i="34"/>
  <c r="AF172" i="34"/>
  <c r="AF168" i="34"/>
  <c r="AF171" i="34"/>
  <c r="AF170" i="34"/>
  <c r="S162" i="34"/>
  <c r="S299" i="34" s="1"/>
  <c r="S171" i="34"/>
  <c r="S170" i="34"/>
  <c r="S169" i="34"/>
  <c r="S168" i="34"/>
  <c r="S172" i="34"/>
  <c r="T162" i="34"/>
  <c r="T299" i="34" s="1"/>
  <c r="T171" i="34"/>
  <c r="T170" i="34"/>
  <c r="T168" i="34"/>
  <c r="T169" i="34"/>
  <c r="T172" i="34"/>
  <c r="U162" i="34"/>
  <c r="U299" i="34" s="1"/>
  <c r="U170" i="34"/>
  <c r="U169" i="34"/>
  <c r="U172" i="34"/>
  <c r="U168" i="34"/>
  <c r="U171" i="34"/>
  <c r="AD170" i="34"/>
  <c r="AD169" i="34"/>
  <c r="AD172" i="34"/>
  <c r="AD168" i="34"/>
  <c r="AD171" i="34"/>
  <c r="E137" i="34"/>
  <c r="E298" i="34" s="1"/>
  <c r="E144" i="34"/>
  <c r="E147" i="34"/>
  <c r="E143" i="34"/>
  <c r="E145" i="34"/>
  <c r="E146" i="34"/>
  <c r="G137" i="34"/>
  <c r="G298" i="34" s="1"/>
  <c r="G143" i="34"/>
  <c r="G146" i="34"/>
  <c r="G145" i="34"/>
  <c r="G144" i="34"/>
  <c r="G147" i="34"/>
  <c r="AD145" i="34"/>
  <c r="AD144" i="34"/>
  <c r="AD147" i="34"/>
  <c r="AD143" i="34"/>
  <c r="AD146" i="34"/>
  <c r="H137" i="34"/>
  <c r="H298" i="34" s="1"/>
  <c r="H147" i="34"/>
  <c r="H143" i="34"/>
  <c r="H146" i="34"/>
  <c r="H145" i="34"/>
  <c r="H144" i="34"/>
  <c r="AE137" i="34"/>
  <c r="AE298" i="34" s="1"/>
  <c r="AE145" i="34"/>
  <c r="AE144" i="34"/>
  <c r="AE146" i="34"/>
  <c r="AE147" i="34"/>
  <c r="AE143" i="34"/>
  <c r="Q147" i="34"/>
  <c r="Q143" i="34"/>
  <c r="Q146" i="34"/>
  <c r="Q145" i="34"/>
  <c r="Q144" i="34"/>
  <c r="AF137" i="34"/>
  <c r="AF298" i="34" s="1"/>
  <c r="AF147" i="34"/>
  <c r="AF143" i="34"/>
  <c r="AF146" i="34"/>
  <c r="AF145" i="34"/>
  <c r="AF144" i="34"/>
  <c r="F137" i="34"/>
  <c r="F298" i="34" s="1"/>
  <c r="F144" i="34"/>
  <c r="F147" i="34"/>
  <c r="F143" i="34"/>
  <c r="F146" i="34"/>
  <c r="F145" i="34"/>
  <c r="R137" i="34"/>
  <c r="R298" i="34" s="1"/>
  <c r="R146" i="34"/>
  <c r="R145" i="34"/>
  <c r="R144" i="34"/>
  <c r="R147" i="34"/>
  <c r="R143" i="34"/>
  <c r="AG137" i="34"/>
  <c r="AG285" i="34" s="1"/>
  <c r="AG144" i="34"/>
  <c r="AG147" i="34"/>
  <c r="AG143" i="34"/>
  <c r="AG145" i="34"/>
  <c r="AG146" i="34"/>
  <c r="S137" i="34"/>
  <c r="S285" i="34" s="1"/>
  <c r="S146" i="34"/>
  <c r="S145" i="34"/>
  <c r="S147" i="34"/>
  <c r="S144" i="34"/>
  <c r="S143" i="34"/>
  <c r="AH137" i="34"/>
  <c r="AH285" i="34" s="1"/>
  <c r="AH144" i="34"/>
  <c r="AH147" i="34"/>
  <c r="AH143" i="34"/>
  <c r="AH146" i="34"/>
  <c r="AH145" i="34"/>
  <c r="T137" i="34"/>
  <c r="T285" i="34" s="1"/>
  <c r="T146" i="34"/>
  <c r="T145" i="34"/>
  <c r="T143" i="34"/>
  <c r="T144" i="34"/>
  <c r="T147" i="34"/>
  <c r="U137" i="34"/>
  <c r="U298" i="34" s="1"/>
  <c r="U145" i="34"/>
  <c r="U144" i="34"/>
  <c r="U147" i="34"/>
  <c r="U143" i="34"/>
  <c r="U146" i="34"/>
  <c r="D137" i="34"/>
  <c r="D298" i="34" s="1"/>
  <c r="D144" i="34"/>
  <c r="D147" i="34"/>
  <c r="D143" i="34"/>
  <c r="D146" i="34"/>
  <c r="D145" i="34"/>
  <c r="AG112" i="34"/>
  <c r="AG297" i="34" s="1"/>
  <c r="AG119" i="34"/>
  <c r="AG122" i="34"/>
  <c r="AG118" i="34"/>
  <c r="AG120" i="34"/>
  <c r="AG121" i="34"/>
  <c r="AH112" i="34"/>
  <c r="AH297" i="34" s="1"/>
  <c r="AH119" i="34"/>
  <c r="AH122" i="34"/>
  <c r="AH118" i="34"/>
  <c r="AH121" i="34"/>
  <c r="AH120" i="34"/>
  <c r="D112" i="34"/>
  <c r="D297" i="34" s="1"/>
  <c r="D119" i="34"/>
  <c r="D122" i="34"/>
  <c r="D118" i="34"/>
  <c r="D121" i="34"/>
  <c r="D120" i="34"/>
  <c r="G112" i="34"/>
  <c r="G297" i="34" s="1"/>
  <c r="G118" i="34"/>
  <c r="G122" i="34"/>
  <c r="G121" i="34"/>
  <c r="G120" i="34"/>
  <c r="G119" i="34"/>
  <c r="H112" i="34"/>
  <c r="H284" i="34" s="1"/>
  <c r="H122" i="34"/>
  <c r="H118" i="34"/>
  <c r="H121" i="34"/>
  <c r="H120" i="34"/>
  <c r="H119" i="34"/>
  <c r="Q122" i="34"/>
  <c r="Q118" i="34"/>
  <c r="Q121" i="34"/>
  <c r="Q119" i="34"/>
  <c r="Q120" i="34"/>
  <c r="R112" i="34"/>
  <c r="R297" i="34" s="1"/>
  <c r="R120" i="34"/>
  <c r="R119" i="34"/>
  <c r="R122" i="34"/>
  <c r="R118" i="34"/>
  <c r="R121" i="34"/>
  <c r="F112" i="34"/>
  <c r="F297" i="34" s="1"/>
  <c r="F119" i="34"/>
  <c r="F122" i="34"/>
  <c r="F118" i="34"/>
  <c r="F121" i="34"/>
  <c r="F120" i="34"/>
  <c r="S112" i="34"/>
  <c r="S297" i="34" s="1"/>
  <c r="S121" i="34"/>
  <c r="S120" i="34"/>
  <c r="S122" i="34"/>
  <c r="S118" i="34"/>
  <c r="S119" i="34"/>
  <c r="AD119" i="34"/>
  <c r="AD122" i="34"/>
  <c r="AD118" i="34"/>
  <c r="AD121" i="34"/>
  <c r="AD120" i="34"/>
  <c r="T112" i="34"/>
  <c r="T284" i="34" s="1"/>
  <c r="T121" i="34"/>
  <c r="T120" i="34"/>
  <c r="T119" i="34"/>
  <c r="T122" i="34"/>
  <c r="T118" i="34"/>
  <c r="AE112" i="34"/>
  <c r="AE297" i="34" s="1"/>
  <c r="AE120" i="34"/>
  <c r="AE119" i="34"/>
  <c r="AE122" i="34"/>
  <c r="AE118" i="34"/>
  <c r="AE121" i="34"/>
  <c r="E112" i="34"/>
  <c r="E297" i="34" s="1"/>
  <c r="E122" i="34"/>
  <c r="E118" i="34"/>
  <c r="E121" i="34"/>
  <c r="E120" i="34"/>
  <c r="E119" i="34"/>
  <c r="U112" i="34"/>
  <c r="U297" i="34" s="1"/>
  <c r="U120" i="34"/>
  <c r="U119" i="34"/>
  <c r="U122" i="34"/>
  <c r="U118" i="34"/>
  <c r="U121" i="34"/>
  <c r="AL111" i="34"/>
  <c r="AL112" i="34" s="1"/>
  <c r="AF122" i="34"/>
  <c r="AF118" i="34"/>
  <c r="AF121" i="34"/>
  <c r="AF120" i="34"/>
  <c r="AF119" i="34"/>
  <c r="F87" i="34"/>
  <c r="F296" i="34" s="1"/>
  <c r="F94" i="34"/>
  <c r="F97" i="34"/>
  <c r="F93" i="34"/>
  <c r="F95" i="34"/>
  <c r="F96" i="34"/>
  <c r="G87" i="34"/>
  <c r="G296" i="34" s="1"/>
  <c r="G97" i="34"/>
  <c r="G93" i="34"/>
  <c r="G96" i="34"/>
  <c r="G95" i="34"/>
  <c r="G94" i="34"/>
  <c r="H87" i="34"/>
  <c r="H296" i="34" s="1"/>
  <c r="H97" i="34"/>
  <c r="H93" i="34"/>
  <c r="H94" i="34"/>
  <c r="H96" i="34"/>
  <c r="H95" i="34"/>
  <c r="Q97" i="34"/>
  <c r="Q93" i="34"/>
  <c r="Q96" i="34"/>
  <c r="Q95" i="34"/>
  <c r="Q94" i="34"/>
  <c r="S19" i="34"/>
  <c r="R87" i="34"/>
  <c r="R296" i="34" s="1"/>
  <c r="R96" i="34"/>
  <c r="R95" i="34"/>
  <c r="R94" i="34"/>
  <c r="R97" i="34"/>
  <c r="R93" i="34"/>
  <c r="Q18" i="34"/>
  <c r="E87" i="34"/>
  <c r="E296" i="34" s="1"/>
  <c r="E94" i="34"/>
  <c r="E97" i="34"/>
  <c r="E93" i="34"/>
  <c r="E95" i="34"/>
  <c r="E96" i="34"/>
  <c r="S87" i="34"/>
  <c r="S296" i="34" s="1"/>
  <c r="S96" i="34"/>
  <c r="S93" i="34"/>
  <c r="S95" i="34"/>
  <c r="S94" i="34"/>
  <c r="S97" i="34"/>
  <c r="U87" i="34"/>
  <c r="U296" i="34" s="1"/>
  <c r="U95" i="34"/>
  <c r="U94" i="34"/>
  <c r="U97" i="34"/>
  <c r="U93" i="34"/>
  <c r="U96" i="34"/>
  <c r="AH87" i="34"/>
  <c r="AH296" i="34" s="1"/>
  <c r="AH94" i="34"/>
  <c r="AH97" i="34"/>
  <c r="AH93" i="34"/>
  <c r="AH96" i="34"/>
  <c r="AH95" i="34"/>
  <c r="T87" i="34"/>
  <c r="T296" i="34" s="1"/>
  <c r="T96" i="34"/>
  <c r="T95" i="34"/>
  <c r="T97" i="34"/>
  <c r="T93" i="34"/>
  <c r="T94" i="34"/>
  <c r="AG87" i="34"/>
  <c r="AG296" i="34" s="1"/>
  <c r="AG94" i="34"/>
  <c r="AG95" i="34"/>
  <c r="AG97" i="34"/>
  <c r="AG93" i="34"/>
  <c r="AG96" i="34"/>
  <c r="AD95" i="34"/>
  <c r="AD96" i="34"/>
  <c r="AD94" i="34"/>
  <c r="AD97" i="34"/>
  <c r="AD93" i="34"/>
  <c r="AF87" i="34"/>
  <c r="AF296" i="34" s="1"/>
  <c r="AF94" i="34"/>
  <c r="AF97" i="34"/>
  <c r="AF93" i="34"/>
  <c r="AF96" i="34"/>
  <c r="AF95" i="34"/>
  <c r="D87" i="34"/>
  <c r="D296" i="34" s="1"/>
  <c r="D94" i="34"/>
  <c r="D97" i="34"/>
  <c r="D93" i="34"/>
  <c r="D96" i="34"/>
  <c r="D95" i="34"/>
  <c r="AE87" i="34"/>
  <c r="AE296" i="34" s="1"/>
  <c r="AE95" i="34"/>
  <c r="AE94" i="34"/>
  <c r="AE96" i="34"/>
  <c r="AE97" i="34"/>
  <c r="AE93" i="34"/>
  <c r="R62" i="34"/>
  <c r="R295" i="34" s="1"/>
  <c r="R71" i="34"/>
  <c r="R70" i="34"/>
  <c r="R69" i="34"/>
  <c r="R72" i="34"/>
  <c r="R68" i="34"/>
  <c r="AG62" i="34"/>
  <c r="AG295" i="34" s="1"/>
  <c r="AG72" i="34"/>
  <c r="AG68" i="34"/>
  <c r="AG71" i="34"/>
  <c r="AG69" i="34"/>
  <c r="AG70" i="34"/>
  <c r="S62" i="34"/>
  <c r="S295" i="34" s="1"/>
  <c r="S71" i="34"/>
  <c r="S70" i="34"/>
  <c r="S72" i="34"/>
  <c r="S69" i="34"/>
  <c r="S68" i="34"/>
  <c r="T62" i="34"/>
  <c r="T295" i="34" s="1"/>
  <c r="T71" i="34"/>
  <c r="T70" i="34"/>
  <c r="T68" i="34"/>
  <c r="T69" i="34"/>
  <c r="T72" i="34"/>
  <c r="U62" i="34"/>
  <c r="U295" i="34" s="1"/>
  <c r="U70" i="34"/>
  <c r="U69" i="34"/>
  <c r="U72" i="34"/>
  <c r="U68" i="34"/>
  <c r="U71" i="34"/>
  <c r="AF18" i="34"/>
  <c r="D62" i="34"/>
  <c r="D295" i="34" s="1"/>
  <c r="D69" i="34"/>
  <c r="D72" i="34"/>
  <c r="D68" i="34"/>
  <c r="D71" i="34"/>
  <c r="D70" i="34"/>
  <c r="AD21" i="34"/>
  <c r="E62" i="34"/>
  <c r="E282" i="34" s="1"/>
  <c r="E69" i="34"/>
  <c r="E70" i="34"/>
  <c r="E72" i="34"/>
  <c r="E68" i="34"/>
  <c r="E71" i="34"/>
  <c r="AG18" i="34"/>
  <c r="AH62" i="34"/>
  <c r="AH295" i="34" s="1"/>
  <c r="AH69" i="34"/>
  <c r="AH72" i="34"/>
  <c r="AH68" i="34"/>
  <c r="AH70" i="34"/>
  <c r="AH71" i="34"/>
  <c r="F62" i="34"/>
  <c r="F282" i="34" s="1"/>
  <c r="F69" i="34"/>
  <c r="F72" i="34"/>
  <c r="F68" i="34"/>
  <c r="F71" i="34"/>
  <c r="F70" i="34"/>
  <c r="G62" i="34"/>
  <c r="G295" i="34" s="1"/>
  <c r="G72" i="34"/>
  <c r="G68" i="34"/>
  <c r="G71" i="34"/>
  <c r="G70" i="34"/>
  <c r="G69" i="34"/>
  <c r="AD71" i="34"/>
  <c r="AD69" i="34"/>
  <c r="AD72" i="34"/>
  <c r="AD68" i="34"/>
  <c r="AD70" i="34"/>
  <c r="H62" i="34"/>
  <c r="H295" i="34" s="1"/>
  <c r="H71" i="34"/>
  <c r="H69" i="34"/>
  <c r="H70" i="34"/>
  <c r="H72" i="34"/>
  <c r="H68" i="34"/>
  <c r="AE62" i="34"/>
  <c r="AE282" i="34" s="1"/>
  <c r="AE70" i="34"/>
  <c r="AE69" i="34"/>
  <c r="AE72" i="34"/>
  <c r="AE68" i="34"/>
  <c r="AE71" i="34"/>
  <c r="Q72" i="34"/>
  <c r="Q71" i="34"/>
  <c r="Q70" i="34"/>
  <c r="Q69" i="34"/>
  <c r="Q68" i="34"/>
  <c r="AF62" i="34"/>
  <c r="AF295" i="34" s="1"/>
  <c r="AF69" i="34"/>
  <c r="AF72" i="34"/>
  <c r="AF68" i="34"/>
  <c r="AF71" i="34"/>
  <c r="AF70" i="34"/>
  <c r="S18" i="34"/>
  <c r="D37" i="34"/>
  <c r="D294" i="34" s="1"/>
  <c r="D44" i="34"/>
  <c r="D46" i="34"/>
  <c r="D47" i="34"/>
  <c r="D43" i="34"/>
  <c r="D45" i="34"/>
  <c r="F22" i="34"/>
  <c r="F21" i="34"/>
  <c r="F20" i="34"/>
  <c r="F19" i="34"/>
  <c r="F18" i="34"/>
  <c r="AE37" i="34"/>
  <c r="AE294" i="34" s="1"/>
  <c r="AE45" i="34"/>
  <c r="AE44" i="34"/>
  <c r="AE46" i="34"/>
  <c r="AE47" i="34"/>
  <c r="AE43" i="34"/>
  <c r="U19" i="34"/>
  <c r="U18" i="34"/>
  <c r="U37" i="34"/>
  <c r="U294" i="34" s="1"/>
  <c r="U43" i="34"/>
  <c r="U45" i="34"/>
  <c r="U44" i="34"/>
  <c r="U47" i="34"/>
  <c r="U46" i="34"/>
  <c r="AD45" i="34"/>
  <c r="AD44" i="34"/>
  <c r="AD47" i="34"/>
  <c r="AD43" i="34"/>
  <c r="AD46" i="34"/>
  <c r="E37" i="34"/>
  <c r="E294" i="34" s="1"/>
  <c r="E44" i="34"/>
  <c r="E45" i="34"/>
  <c r="E47" i="34"/>
  <c r="E43" i="34"/>
  <c r="E46" i="34"/>
  <c r="G21" i="34"/>
  <c r="G19" i="34"/>
  <c r="G22" i="34"/>
  <c r="G20" i="34"/>
  <c r="G18" i="34"/>
  <c r="AE22" i="34"/>
  <c r="AE19" i="34"/>
  <c r="AF37" i="34"/>
  <c r="AF294" i="34" s="1"/>
  <c r="AF44" i="34"/>
  <c r="AF47" i="34"/>
  <c r="AF43" i="34"/>
  <c r="AF46" i="34"/>
  <c r="AF45" i="34"/>
  <c r="T19" i="34"/>
  <c r="AE18" i="34"/>
  <c r="G37" i="34"/>
  <c r="G294" i="34" s="1"/>
  <c r="G47" i="34"/>
  <c r="G43" i="34"/>
  <c r="G46" i="34"/>
  <c r="G45" i="34"/>
  <c r="G44" i="34"/>
  <c r="Q22" i="34"/>
  <c r="Q19" i="34"/>
  <c r="AG22" i="34"/>
  <c r="AG19" i="34"/>
  <c r="AH37" i="34"/>
  <c r="AH294" i="34" s="1"/>
  <c r="AH44" i="34"/>
  <c r="AH47" i="34"/>
  <c r="AH43" i="34"/>
  <c r="AH46" i="34"/>
  <c r="AH45" i="34"/>
  <c r="T20" i="34"/>
  <c r="AG21" i="34"/>
  <c r="H37" i="34"/>
  <c r="H294" i="34" s="1"/>
  <c r="H47" i="34"/>
  <c r="H43" i="34"/>
  <c r="H46" i="34"/>
  <c r="H45" i="34"/>
  <c r="H44" i="34"/>
  <c r="R19" i="34"/>
  <c r="R22" i="34"/>
  <c r="R18" i="34"/>
  <c r="AF21" i="34"/>
  <c r="AF20" i="34"/>
  <c r="AH22" i="34"/>
  <c r="E20" i="34"/>
  <c r="E21" i="34"/>
  <c r="E22" i="34"/>
  <c r="E19" i="34"/>
  <c r="E18" i="34"/>
  <c r="H22" i="34"/>
  <c r="H21" i="34"/>
  <c r="H20" i="34"/>
  <c r="H19" i="34"/>
  <c r="H18" i="34"/>
  <c r="AG37" i="34"/>
  <c r="AG281" i="34" s="1"/>
  <c r="AG45" i="34"/>
  <c r="AG44" i="34"/>
  <c r="AG47" i="34"/>
  <c r="AG43" i="34"/>
  <c r="AG46" i="34"/>
  <c r="Q47" i="34"/>
  <c r="Q43" i="34"/>
  <c r="Q46" i="34"/>
  <c r="Q45" i="34"/>
  <c r="Q44" i="34"/>
  <c r="T22" i="34"/>
  <c r="AD19" i="34"/>
  <c r="AD18" i="34"/>
  <c r="S22" i="34"/>
  <c r="F37" i="34"/>
  <c r="F294" i="34" s="1"/>
  <c r="F44" i="34"/>
  <c r="F45" i="34"/>
  <c r="F47" i="34"/>
  <c r="F43" i="34"/>
  <c r="F46" i="34"/>
  <c r="R37" i="34"/>
  <c r="R294" i="34" s="1"/>
  <c r="R46" i="34"/>
  <c r="R45" i="34"/>
  <c r="R47" i="34"/>
  <c r="R43" i="34"/>
  <c r="R44" i="34"/>
  <c r="AH20" i="34"/>
  <c r="AH21" i="34"/>
  <c r="AF19" i="34"/>
  <c r="S37" i="34"/>
  <c r="S294" i="34" s="1"/>
  <c r="S46" i="34"/>
  <c r="S43" i="34"/>
  <c r="S47" i="34"/>
  <c r="S45" i="34"/>
  <c r="S44" i="34"/>
  <c r="Q21" i="34"/>
  <c r="U22" i="34"/>
  <c r="AE21" i="34"/>
  <c r="R21" i="34"/>
  <c r="D22" i="34"/>
  <c r="D21" i="34"/>
  <c r="D20" i="34"/>
  <c r="D19" i="34"/>
  <c r="D18" i="34"/>
  <c r="T37" i="34"/>
  <c r="T294" i="34" s="1"/>
  <c r="T46" i="34"/>
  <c r="T45" i="34"/>
  <c r="T47" i="34"/>
  <c r="T43" i="34"/>
  <c r="T44" i="34"/>
  <c r="T18" i="34"/>
  <c r="S20" i="34"/>
  <c r="AH18" i="34"/>
  <c r="AD20" i="34"/>
  <c r="U20" i="34"/>
  <c r="D454" i="34"/>
  <c r="AF12" i="34"/>
  <c r="AF293" i="34" s="1"/>
  <c r="Q12" i="34"/>
  <c r="Q293" i="34" s="1"/>
  <c r="AG12" i="34"/>
  <c r="AG280" i="34" s="1"/>
  <c r="R12" i="34"/>
  <c r="R293" i="34" s="1"/>
  <c r="AH12" i="34"/>
  <c r="AH293" i="34" s="1"/>
  <c r="S12" i="34"/>
  <c r="S293" i="34" s="1"/>
  <c r="T12" i="34"/>
  <c r="T293" i="34" s="1"/>
  <c r="U12" i="34"/>
  <c r="U293" i="34" s="1"/>
  <c r="H459" i="34"/>
  <c r="F12" i="34"/>
  <c r="F293" i="34" s="1"/>
  <c r="G12" i="34"/>
  <c r="G280" i="34" s="1"/>
  <c r="H12" i="34"/>
  <c r="H280" i="34" s="1"/>
  <c r="E12" i="34"/>
  <c r="E293" i="34" s="1"/>
  <c r="G450" i="34"/>
  <c r="D12" i="34"/>
  <c r="D293" i="34" s="1"/>
  <c r="D455" i="34"/>
  <c r="D459" i="34"/>
  <c r="E461" i="34"/>
  <c r="E460" i="34"/>
  <c r="E456" i="34"/>
  <c r="F456" i="34"/>
  <c r="F461" i="34"/>
  <c r="G454" i="34"/>
  <c r="X210" i="34"/>
  <c r="S448" i="34" s="1"/>
  <c r="S461" i="34"/>
  <c r="X135" i="34"/>
  <c r="S445" i="34" s="1"/>
  <c r="S458" i="34"/>
  <c r="X60" i="34"/>
  <c r="S442" i="34" s="1"/>
  <c r="S455" i="34"/>
  <c r="AK35" i="34"/>
  <c r="AF441" i="34" s="1"/>
  <c r="AF454" i="34"/>
  <c r="AL85" i="34"/>
  <c r="AG456" i="34"/>
  <c r="AI134" i="34"/>
  <c r="AH458" i="34"/>
  <c r="AL235" i="34"/>
  <c r="AG462" i="34"/>
  <c r="AK258" i="34"/>
  <c r="AD450" i="34" s="1"/>
  <c r="AD463" i="34"/>
  <c r="G449" i="34"/>
  <c r="F457" i="34"/>
  <c r="G458" i="34"/>
  <c r="Y208" i="34"/>
  <c r="R448" i="34" s="1"/>
  <c r="R461" i="34"/>
  <c r="G459" i="34"/>
  <c r="Y210" i="34"/>
  <c r="T461" i="34"/>
  <c r="Y135" i="34"/>
  <c r="T445" i="34" s="1"/>
  <c r="T458" i="34"/>
  <c r="Y60" i="34"/>
  <c r="T455" i="34"/>
  <c r="AK10" i="34"/>
  <c r="AF440" i="34" s="1"/>
  <c r="AF453" i="34"/>
  <c r="V58" i="34"/>
  <c r="U442" i="34" s="1"/>
  <c r="U455" i="34"/>
  <c r="V208" i="34"/>
  <c r="U448" i="34" s="1"/>
  <c r="U461" i="34"/>
  <c r="AL35" i="34"/>
  <c r="AG454" i="34"/>
  <c r="AK60" i="34"/>
  <c r="AF442" i="34" s="1"/>
  <c r="AF455" i="34"/>
  <c r="AL108" i="34"/>
  <c r="AE444" i="34" s="1"/>
  <c r="AE457" i="34"/>
  <c r="AK210" i="34"/>
  <c r="AF448" i="34" s="1"/>
  <c r="AF461" i="34"/>
  <c r="AL258" i="34"/>
  <c r="AE450" i="34" s="1"/>
  <c r="AE463" i="34"/>
  <c r="G448" i="34"/>
  <c r="D456" i="34"/>
  <c r="E459" i="34"/>
  <c r="F458" i="34"/>
  <c r="G457" i="34"/>
  <c r="H461" i="34"/>
  <c r="Y58" i="34"/>
  <c r="R442" i="34" s="1"/>
  <c r="R455" i="34"/>
  <c r="X183" i="34"/>
  <c r="Q447" i="34" s="1"/>
  <c r="Q460" i="34"/>
  <c r="X33" i="34"/>
  <c r="Q441" i="34" s="1"/>
  <c r="Q454" i="34"/>
  <c r="AL10" i="34"/>
  <c r="AG453" i="34"/>
  <c r="AL60" i="34"/>
  <c r="AG455" i="34"/>
  <c r="AL210" i="34"/>
  <c r="AG461" i="34"/>
  <c r="AI259" i="34"/>
  <c r="AH463" i="34"/>
  <c r="G447" i="34"/>
  <c r="D457" i="34"/>
  <c r="E458" i="34"/>
  <c r="F459" i="34"/>
  <c r="G456" i="34"/>
  <c r="H462" i="34"/>
  <c r="Y133" i="34"/>
  <c r="R445" i="34" s="1"/>
  <c r="R458" i="34"/>
  <c r="V183" i="34"/>
  <c r="U447" i="34" s="1"/>
  <c r="U460" i="34"/>
  <c r="AK85" i="34"/>
  <c r="AF443" i="34" s="1"/>
  <c r="AF456" i="34"/>
  <c r="AL133" i="34"/>
  <c r="AE445" i="34" s="1"/>
  <c r="AE458" i="34"/>
  <c r="AK235" i="34"/>
  <c r="AF449" i="34" s="1"/>
  <c r="AF462" i="34"/>
  <c r="Y183" i="34"/>
  <c r="R447" i="34" s="1"/>
  <c r="R460" i="34"/>
  <c r="Y108" i="34"/>
  <c r="R444" i="34" s="1"/>
  <c r="R457" i="34"/>
  <c r="Y33" i="34"/>
  <c r="R441" i="34" s="1"/>
  <c r="R454" i="34"/>
  <c r="V83" i="34"/>
  <c r="U443" i="34" s="1"/>
  <c r="U456" i="34"/>
  <c r="V233" i="34"/>
  <c r="U449" i="34" s="1"/>
  <c r="U462" i="34"/>
  <c r="AL83" i="34"/>
  <c r="AE443" i="34" s="1"/>
  <c r="AE456" i="34"/>
  <c r="AK185" i="34"/>
  <c r="AF447" i="34" s="1"/>
  <c r="AF460" i="34"/>
  <c r="AL233" i="34"/>
  <c r="AE449" i="34" s="1"/>
  <c r="AE462" i="34"/>
  <c r="G446" i="34"/>
  <c r="D458" i="34"/>
  <c r="E457" i="34"/>
  <c r="F460" i="34"/>
  <c r="G455" i="34"/>
  <c r="H463" i="34"/>
  <c r="X35" i="34"/>
  <c r="S441" i="34" s="1"/>
  <c r="S454" i="34"/>
  <c r="AL185" i="34"/>
  <c r="AG460" i="34"/>
  <c r="Y258" i="34"/>
  <c r="R450" i="34" s="1"/>
  <c r="R463" i="34"/>
  <c r="Y185" i="34"/>
  <c r="T460" i="34"/>
  <c r="Y110" i="34"/>
  <c r="T457" i="34"/>
  <c r="Y35" i="34"/>
  <c r="T454" i="34"/>
  <c r="V108" i="34"/>
  <c r="U444" i="34" s="1"/>
  <c r="U457" i="34"/>
  <c r="V258" i="34"/>
  <c r="U450" i="34" s="1"/>
  <c r="U463" i="34"/>
  <c r="AL58" i="34"/>
  <c r="AE442" i="34" s="1"/>
  <c r="AE455" i="34"/>
  <c r="AK160" i="34"/>
  <c r="AF446" i="34" s="1"/>
  <c r="AF459" i="34"/>
  <c r="AL208" i="34"/>
  <c r="AE448" i="34" s="1"/>
  <c r="AE461" i="34"/>
  <c r="G444" i="34"/>
  <c r="D460" i="34"/>
  <c r="E455" i="34"/>
  <c r="F462" i="34"/>
  <c r="G453" i="34"/>
  <c r="H453" i="34"/>
  <c r="X185" i="34"/>
  <c r="S447" i="34" s="1"/>
  <c r="S460" i="34"/>
  <c r="X110" i="34"/>
  <c r="S444" i="34" s="1"/>
  <c r="S457" i="34"/>
  <c r="AK58" i="34"/>
  <c r="AD442" i="34" s="1"/>
  <c r="AD455" i="34"/>
  <c r="Y260" i="34"/>
  <c r="T463" i="34"/>
  <c r="X158" i="34"/>
  <c r="Q446" i="34" s="1"/>
  <c r="Q459" i="34"/>
  <c r="X83" i="34"/>
  <c r="Q443" i="34" s="1"/>
  <c r="Q456" i="34"/>
  <c r="X8" i="34"/>
  <c r="Q440" i="34" s="1"/>
  <c r="Q453" i="34"/>
  <c r="AL160" i="34"/>
  <c r="AG459" i="34"/>
  <c r="AI209" i="34"/>
  <c r="AH461" i="34"/>
  <c r="G443" i="34"/>
  <c r="D461" i="34"/>
  <c r="E454" i="34"/>
  <c r="F463" i="34"/>
  <c r="H454" i="34"/>
  <c r="Y233" i="34"/>
  <c r="R449" i="34" s="1"/>
  <c r="R462" i="34"/>
  <c r="Y158" i="34"/>
  <c r="R446" i="34" s="1"/>
  <c r="R459" i="34"/>
  <c r="Y83" i="34"/>
  <c r="R443" i="34" s="1"/>
  <c r="R456" i="34"/>
  <c r="Y8" i="34"/>
  <c r="R440" i="34" s="1"/>
  <c r="R453" i="34"/>
  <c r="V133" i="34"/>
  <c r="U445" i="34" s="1"/>
  <c r="U458" i="34"/>
  <c r="AI9" i="34"/>
  <c r="AH453" i="34"/>
  <c r="AK135" i="34"/>
  <c r="AF445" i="34" s="1"/>
  <c r="AF458" i="34"/>
  <c r="AL183" i="34"/>
  <c r="AE447" i="34" s="1"/>
  <c r="AE460" i="34"/>
  <c r="G442" i="34"/>
  <c r="E453" i="34"/>
  <c r="G463" i="34"/>
  <c r="H455" i="34"/>
  <c r="X235" i="34"/>
  <c r="S449" i="34" s="1"/>
  <c r="S462" i="34"/>
  <c r="X160" i="34"/>
  <c r="S446" i="34" s="1"/>
  <c r="S459" i="34"/>
  <c r="X85" i="34"/>
  <c r="S443" i="34" s="1"/>
  <c r="S456" i="34"/>
  <c r="X10" i="34"/>
  <c r="S440" i="34" s="1"/>
  <c r="S453" i="34"/>
  <c r="AL135" i="34"/>
  <c r="AG445" i="34" s="1"/>
  <c r="AG458" i="34"/>
  <c r="AI184" i="34"/>
  <c r="AH460" i="34"/>
  <c r="G441" i="34"/>
  <c r="D463" i="34"/>
  <c r="F453" i="34"/>
  <c r="G462" i="34"/>
  <c r="H456" i="34"/>
  <c r="U353" i="34"/>
  <c r="X260" i="34"/>
  <c r="S450" i="34" s="1"/>
  <c r="S463" i="34"/>
  <c r="X258" i="34"/>
  <c r="Q450" i="34" s="1"/>
  <c r="Q463" i="34"/>
  <c r="Y235" i="34"/>
  <c r="T462" i="34"/>
  <c r="Y160" i="34"/>
  <c r="T459" i="34"/>
  <c r="Y85" i="34"/>
  <c r="T456" i="34"/>
  <c r="Y10" i="34"/>
  <c r="T453" i="34"/>
  <c r="V8" i="34"/>
  <c r="U440" i="34" s="1"/>
  <c r="U453" i="34"/>
  <c r="V158" i="34"/>
  <c r="U446" i="34" s="1"/>
  <c r="U459" i="34"/>
  <c r="AL33" i="34"/>
  <c r="AE441" i="34" s="1"/>
  <c r="AE454" i="34"/>
  <c r="AK110" i="34"/>
  <c r="AF444" i="34" s="1"/>
  <c r="AF457" i="34"/>
  <c r="AL158" i="34"/>
  <c r="AE446" i="34" s="1"/>
  <c r="AE459" i="34"/>
  <c r="AK260" i="34"/>
  <c r="AF450" i="34" s="1"/>
  <c r="AF463" i="34"/>
  <c r="G440" i="34"/>
  <c r="E463" i="34"/>
  <c r="G461" i="34"/>
  <c r="H457" i="34"/>
  <c r="AK8" i="34"/>
  <c r="AD440" i="34" s="1"/>
  <c r="AD453" i="34"/>
  <c r="V33" i="34"/>
  <c r="U441" i="34" s="1"/>
  <c r="U454" i="34"/>
  <c r="AL110" i="34"/>
  <c r="AG457" i="34"/>
  <c r="AI159" i="34"/>
  <c r="AH459" i="34"/>
  <c r="AL260" i="34"/>
  <c r="AG463" i="34"/>
  <c r="E462" i="34"/>
  <c r="F455" i="34"/>
  <c r="G460" i="34"/>
  <c r="H458" i="34"/>
  <c r="Y134" i="35"/>
  <c r="U138" i="35"/>
  <c r="Y135" i="35"/>
  <c r="Z135" i="35"/>
  <c r="S161" i="35"/>
  <c r="S162" i="35" s="1"/>
  <c r="Q138" i="35"/>
  <c r="P145" i="35"/>
  <c r="Z131" i="35"/>
  <c r="Q146" i="35"/>
  <c r="X132" i="35"/>
  <c r="X134" i="35"/>
  <c r="Q148" i="35"/>
  <c r="R138" i="35"/>
  <c r="Z132" i="35"/>
  <c r="P146" i="35"/>
  <c r="Z134" i="35"/>
  <c r="P148" i="35"/>
  <c r="T138" i="35"/>
  <c r="Q145" i="35"/>
  <c r="X131" i="35"/>
  <c r="Q149" i="35"/>
  <c r="X135" i="35"/>
  <c r="X133" i="35"/>
  <c r="Q147" i="35"/>
  <c r="V136" i="35"/>
  <c r="W137" i="35" s="1"/>
  <c r="Y131" i="35"/>
  <c r="P147" i="35"/>
  <c r="Z133" i="35"/>
  <c r="S138" i="35"/>
  <c r="Q161" i="35"/>
  <c r="Q162" i="35" s="1"/>
  <c r="T162" i="35"/>
  <c r="Y158" i="35"/>
  <c r="W156" i="35"/>
  <c r="Q170" i="35" s="1"/>
  <c r="Y156" i="35"/>
  <c r="Q172" i="35"/>
  <c r="X158" i="35"/>
  <c r="Z158" i="35"/>
  <c r="P173" i="35"/>
  <c r="Z159" i="35"/>
  <c r="U162" i="35"/>
  <c r="Q173" i="35"/>
  <c r="X159" i="35"/>
  <c r="Q169" i="35"/>
  <c r="X155" i="35"/>
  <c r="X157" i="35"/>
  <c r="Q171" i="35"/>
  <c r="R162" i="35"/>
  <c r="P170" i="35"/>
  <c r="Y159" i="35"/>
  <c r="P122" i="35"/>
  <c r="U114" i="35"/>
  <c r="X107" i="35"/>
  <c r="Y107" i="35"/>
  <c r="V112" i="35"/>
  <c r="W113" i="35" s="1"/>
  <c r="Q114" i="35"/>
  <c r="P121" i="35"/>
  <c r="Z107" i="35"/>
  <c r="Q125" i="35"/>
  <c r="X111" i="35"/>
  <c r="X108" i="35"/>
  <c r="Q122" i="35"/>
  <c r="Z111" i="35"/>
  <c r="Z109" i="35"/>
  <c r="P123" i="35"/>
  <c r="S114" i="35"/>
  <c r="Z108" i="35"/>
  <c r="V88" i="35"/>
  <c r="W89" i="35" s="1"/>
  <c r="Q89" i="35"/>
  <c r="Q90" i="35" s="1"/>
  <c r="U89" i="35"/>
  <c r="P101" i="35" s="1"/>
  <c r="Z84" i="35"/>
  <c r="R90" i="35"/>
  <c r="P98" i="35"/>
  <c r="S89" i="35"/>
  <c r="P99" i="35" s="1"/>
  <c r="X85" i="35"/>
  <c r="Q99" i="35"/>
  <c r="X83" i="35"/>
  <c r="Q97" i="35"/>
  <c r="X86" i="35"/>
  <c r="Q100" i="35"/>
  <c r="Q98" i="35"/>
  <c r="X84" i="35"/>
  <c r="Q101" i="35"/>
  <c r="X87" i="35"/>
  <c r="U90" i="35"/>
  <c r="P75" i="35"/>
  <c r="Z61" i="35"/>
  <c r="Y59" i="35"/>
  <c r="Y60" i="35"/>
  <c r="Z60" i="35"/>
  <c r="P74" i="35"/>
  <c r="R66" i="35"/>
  <c r="V64" i="35"/>
  <c r="W65" i="35" s="1"/>
  <c r="P73" i="35"/>
  <c r="Z59" i="35"/>
  <c r="Q66" i="35"/>
  <c r="Q75" i="35"/>
  <c r="X61" i="35"/>
  <c r="W60" i="35"/>
  <c r="Q77" i="35"/>
  <c r="X63" i="35"/>
  <c r="X62" i="35"/>
  <c r="Q76" i="35"/>
  <c r="Z63" i="35"/>
  <c r="Z62" i="35"/>
  <c r="R124" i="30"/>
  <c r="S124" i="30"/>
  <c r="T124" i="30"/>
  <c r="U124" i="30"/>
  <c r="V124" i="30"/>
  <c r="R28" i="30"/>
  <c r="R68" i="30"/>
  <c r="R38" i="30"/>
  <c r="R59" i="30"/>
  <c r="R78" i="30"/>
  <c r="R102" i="30"/>
  <c r="V78" i="30"/>
  <c r="S10" i="30"/>
  <c r="R48" i="30"/>
  <c r="R88" i="30"/>
  <c r="V119" i="30"/>
  <c r="E23" i="35" s="1"/>
  <c r="Y38" i="35"/>
  <c r="W36" i="35"/>
  <c r="Z36" i="35" s="1"/>
  <c r="U41" i="35"/>
  <c r="U42" i="35" s="1"/>
  <c r="P52" i="35"/>
  <c r="Y35" i="35"/>
  <c r="V40" i="35"/>
  <c r="W41" i="35" s="1"/>
  <c r="Q42" i="35"/>
  <c r="P49" i="35"/>
  <c r="W37" i="35"/>
  <c r="Q52" i="35"/>
  <c r="X38" i="35"/>
  <c r="Z38" i="35"/>
  <c r="X39" i="35"/>
  <c r="Q53" i="35"/>
  <c r="W35" i="35"/>
  <c r="Z35" i="35" s="1"/>
  <c r="L31" i="35"/>
  <c r="L55" i="35"/>
  <c r="I6" i="35"/>
  <c r="D118" i="35"/>
  <c r="E15" i="35"/>
  <c r="G10" i="35"/>
  <c r="G11" i="35" s="1"/>
  <c r="C22" i="35" s="1"/>
  <c r="I8" i="35"/>
  <c r="J8" i="35" s="1"/>
  <c r="G15" i="35"/>
  <c r="I7" i="35"/>
  <c r="J7" i="35" s="1"/>
  <c r="F15" i="35"/>
  <c r="B15" i="35"/>
  <c r="C15" i="35"/>
  <c r="T10" i="30"/>
  <c r="R79" i="30"/>
  <c r="U119" i="30"/>
  <c r="E22" i="35" s="1"/>
  <c r="R69" i="30"/>
  <c r="V10" i="30"/>
  <c r="T11" i="30"/>
  <c r="S29" i="30"/>
  <c r="V39" i="30"/>
  <c r="S48" i="30"/>
  <c r="T59" i="30"/>
  <c r="S69" i="30"/>
  <c r="S89" i="30"/>
  <c r="V102" i="30"/>
  <c r="T29" i="30"/>
  <c r="T49" i="30"/>
  <c r="T69" i="30"/>
  <c r="T88" i="30"/>
  <c r="U29" i="30"/>
  <c r="U49" i="30"/>
  <c r="S11" i="30"/>
  <c r="R120" i="30"/>
  <c r="E43" i="35" s="1"/>
  <c r="T19" i="30"/>
  <c r="V29" i="30"/>
  <c r="R39" i="30"/>
  <c r="V48" i="30"/>
  <c r="R58" i="30"/>
  <c r="V68" i="30"/>
  <c r="V122" i="30"/>
  <c r="E95" i="35" s="1"/>
  <c r="U89" i="30"/>
  <c r="R103" i="30"/>
  <c r="R10" i="30"/>
  <c r="S18" i="30"/>
  <c r="T28" i="30"/>
  <c r="T68" i="30"/>
  <c r="U78" i="30"/>
  <c r="R89" i="30"/>
  <c r="T89" i="30"/>
  <c r="V117" i="30"/>
  <c r="S116" i="30"/>
  <c r="U28" i="30"/>
  <c r="T48" i="30"/>
  <c r="S39" i="30"/>
  <c r="S59" i="30"/>
  <c r="S79" i="30"/>
  <c r="S103" i="30"/>
  <c r="T38" i="30"/>
  <c r="T58" i="30"/>
  <c r="T79" i="30"/>
  <c r="T103" i="30"/>
  <c r="R116" i="30"/>
  <c r="S102" i="30"/>
  <c r="V11" i="30"/>
  <c r="U38" i="30"/>
  <c r="U59" i="30"/>
  <c r="U102" i="30"/>
  <c r="U11" i="30"/>
  <c r="V38" i="30"/>
  <c r="V58" i="30"/>
  <c r="V79" i="30"/>
  <c r="T116" i="30"/>
  <c r="U39" i="30"/>
  <c r="U121" i="30"/>
  <c r="E70" i="35" s="1"/>
  <c r="U122" i="30"/>
  <c r="E94" i="35" s="1"/>
  <c r="V28" i="30"/>
  <c r="U48" i="30"/>
  <c r="T102" i="30"/>
  <c r="T39" i="30"/>
  <c r="V59" i="30"/>
  <c r="T120" i="30"/>
  <c r="E45" i="35" s="1"/>
  <c r="U10" i="30"/>
  <c r="S28" i="30"/>
  <c r="T78" i="30"/>
  <c r="R49" i="30"/>
  <c r="U103" i="30"/>
  <c r="U79" i="30"/>
  <c r="U120" i="30"/>
  <c r="E46" i="35" s="1"/>
  <c r="U58" i="30"/>
  <c r="S78" i="30"/>
  <c r="U116" i="30"/>
  <c r="S49" i="30"/>
  <c r="U69" i="30"/>
  <c r="S120" i="30"/>
  <c r="E44" i="35" s="1"/>
  <c r="V120" i="30"/>
  <c r="E47" i="35" s="1"/>
  <c r="R123" i="30"/>
  <c r="E115" i="35" s="1"/>
  <c r="E19" i="35"/>
  <c r="V116" i="30"/>
  <c r="R29" i="30"/>
  <c r="V69" i="30"/>
  <c r="V103" i="30"/>
  <c r="S123" i="30"/>
  <c r="E116" i="35" s="1"/>
  <c r="R18" i="30"/>
  <c r="S58" i="30"/>
  <c r="V88" i="30"/>
  <c r="R117" i="30"/>
  <c r="T123" i="30"/>
  <c r="E117" i="35" s="1"/>
  <c r="V18" i="30"/>
  <c r="U88" i="30"/>
  <c r="R19" i="30"/>
  <c r="V49" i="30"/>
  <c r="S117" i="30"/>
  <c r="T119" i="30"/>
  <c r="E21" i="35" s="1"/>
  <c r="U123" i="30"/>
  <c r="E118" i="35" s="1"/>
  <c r="U18" i="30"/>
  <c r="S38" i="30"/>
  <c r="V19" i="30"/>
  <c r="T117" i="30"/>
  <c r="S119" i="30"/>
  <c r="E20" i="35" s="1"/>
  <c r="V121" i="30"/>
  <c r="E71" i="35" s="1"/>
  <c r="R121" i="30"/>
  <c r="E67" i="35" s="1"/>
  <c r="R122" i="30"/>
  <c r="E91" i="35" s="1"/>
  <c r="V123" i="30"/>
  <c r="E119" i="35" s="1"/>
  <c r="T18" i="30"/>
  <c r="U68" i="30"/>
  <c r="S88" i="30"/>
  <c r="U19" i="30"/>
  <c r="U117" i="30"/>
  <c r="S121" i="30"/>
  <c r="E68" i="35" s="1"/>
  <c r="S122" i="30"/>
  <c r="E92" i="35" s="1"/>
  <c r="T121" i="30"/>
  <c r="E69" i="35" s="1"/>
  <c r="T122" i="30"/>
  <c r="E93" i="35" s="1"/>
  <c r="S68" i="30"/>
  <c r="S19" i="30"/>
  <c r="V89" i="30"/>
  <c r="F107" i="35"/>
  <c r="F108" i="35" s="1"/>
  <c r="L104" i="35"/>
  <c r="L101" i="35"/>
  <c r="E108" i="35"/>
  <c r="I106" i="35"/>
  <c r="J107" i="35" s="1"/>
  <c r="M102" i="35"/>
  <c r="M104" i="35"/>
  <c r="C118" i="35"/>
  <c r="G108" i="35"/>
  <c r="D119" i="35"/>
  <c r="K105" i="35"/>
  <c r="K102" i="35"/>
  <c r="D116" i="35"/>
  <c r="K103" i="35"/>
  <c r="D117" i="35"/>
  <c r="D108" i="35"/>
  <c r="C115" i="35"/>
  <c r="M101" i="35"/>
  <c r="H107" i="35"/>
  <c r="D115" i="35"/>
  <c r="K101" i="35"/>
  <c r="M77" i="35"/>
  <c r="D84" i="35"/>
  <c r="C91" i="35"/>
  <c r="D93" i="35"/>
  <c r="K79" i="35"/>
  <c r="K77" i="35"/>
  <c r="D91" i="35"/>
  <c r="M79" i="35"/>
  <c r="L77" i="35"/>
  <c r="I82" i="35"/>
  <c r="J83" i="35" s="1"/>
  <c r="D92" i="35"/>
  <c r="K78" i="35"/>
  <c r="K81" i="35"/>
  <c r="D95" i="35"/>
  <c r="M78" i="35"/>
  <c r="E84" i="35"/>
  <c r="C92" i="35"/>
  <c r="E59" i="35"/>
  <c r="E60" i="35" s="1"/>
  <c r="H59" i="35"/>
  <c r="C71" i="35" s="1"/>
  <c r="G59" i="35"/>
  <c r="G60" i="35" s="1"/>
  <c r="D68" i="35"/>
  <c r="K54" i="35"/>
  <c r="L53" i="35"/>
  <c r="I58" i="35"/>
  <c r="J59" i="35" s="1"/>
  <c r="J53" i="35"/>
  <c r="M53" i="35" s="1"/>
  <c r="D71" i="35"/>
  <c r="K57" i="35"/>
  <c r="K55" i="35"/>
  <c r="D69" i="35"/>
  <c r="F59" i="35"/>
  <c r="D60" i="35"/>
  <c r="C67" i="35"/>
  <c r="K56" i="35"/>
  <c r="D70" i="35"/>
  <c r="F35" i="35"/>
  <c r="M31" i="35" s="1"/>
  <c r="L29" i="35"/>
  <c r="E36" i="35"/>
  <c r="M30" i="35"/>
  <c r="C44" i="35"/>
  <c r="L30" i="35"/>
  <c r="L33" i="35"/>
  <c r="H36" i="35"/>
  <c r="I34" i="35"/>
  <c r="J35" i="35" s="1"/>
  <c r="J29" i="35"/>
  <c r="M29" i="35" s="1"/>
  <c r="D36" i="35"/>
  <c r="K30" i="35"/>
  <c r="D44" i="35"/>
  <c r="K31" i="35"/>
  <c r="D45" i="35"/>
  <c r="K32" i="35"/>
  <c r="D46" i="35"/>
  <c r="K33" i="35"/>
  <c r="D47" i="35"/>
  <c r="M33" i="35"/>
  <c r="AA85" i="34"/>
  <c r="AK211" i="34"/>
  <c r="AK212" i="34" s="1"/>
  <c r="AA60" i="34"/>
  <c r="Y61" i="34"/>
  <c r="Y62" i="34" s="1"/>
  <c r="AA260" i="34"/>
  <c r="AK186" i="34"/>
  <c r="AK187" i="34" s="1"/>
  <c r="K211" i="34"/>
  <c r="K212" i="34" s="1"/>
  <c r="AI8" i="34"/>
  <c r="AG303" i="34"/>
  <c r="Y211" i="34"/>
  <c r="Y212" i="34" s="1"/>
  <c r="T289" i="34"/>
  <c r="Y111" i="34"/>
  <c r="Y112" i="34" s="1"/>
  <c r="K236" i="34"/>
  <c r="K237" i="34" s="1"/>
  <c r="AA110" i="34"/>
  <c r="AH301" i="34"/>
  <c r="U288" i="34"/>
  <c r="AA135" i="34"/>
  <c r="AN10" i="34"/>
  <c r="AA35" i="34"/>
  <c r="AK261" i="34"/>
  <c r="AK262" i="34" s="1"/>
  <c r="AN260" i="34"/>
  <c r="AN235" i="34"/>
  <c r="AL211" i="34"/>
  <c r="AL212" i="34" s="1"/>
  <c r="AN210" i="34"/>
  <c r="AK183" i="34"/>
  <c r="AD447" i="34" s="1"/>
  <c r="AA10" i="34"/>
  <c r="S303" i="34"/>
  <c r="AK236" i="34"/>
  <c r="AK237" i="34" s="1"/>
  <c r="AI183" i="34"/>
  <c r="AF237" i="34"/>
  <c r="L211" i="34"/>
  <c r="L212" i="34" s="1"/>
  <c r="L61" i="34"/>
  <c r="L62" i="34" s="1"/>
  <c r="AL161" i="34"/>
  <c r="AL162" i="34" s="1"/>
  <c r="L186" i="34"/>
  <c r="L187" i="34" s="1"/>
  <c r="Y136" i="34"/>
  <c r="Y137" i="34" s="1"/>
  <c r="AK161" i="34"/>
  <c r="AK162" i="34" s="1"/>
  <c r="AL86" i="34"/>
  <c r="AL87" i="34" s="1"/>
  <c r="AK208" i="34"/>
  <c r="AD448" i="34" s="1"/>
  <c r="Y161" i="34"/>
  <c r="Y162" i="34" s="1"/>
  <c r="AN185" i="34"/>
  <c r="AK158" i="34"/>
  <c r="AD446" i="34" s="1"/>
  <c r="AN160" i="34"/>
  <c r="AI158" i="34"/>
  <c r="AK136" i="34"/>
  <c r="AK137" i="34" s="1"/>
  <c r="AK133" i="34"/>
  <c r="AD445" i="34" s="1"/>
  <c r="AL136" i="34"/>
  <c r="AL137" i="34" s="1"/>
  <c r="AN135" i="34"/>
  <c r="AK111" i="34"/>
  <c r="AK112" i="34" s="1"/>
  <c r="AN110" i="34"/>
  <c r="AK108" i="34"/>
  <c r="AD444" i="34" s="1"/>
  <c r="AI107" i="34"/>
  <c r="AF112" i="34"/>
  <c r="AK86" i="34"/>
  <c r="AK87" i="34" s="1"/>
  <c r="AK83" i="34"/>
  <c r="AD443" i="34" s="1"/>
  <c r="AI84" i="34"/>
  <c r="AI83" i="34"/>
  <c r="AN85" i="34"/>
  <c r="AL61" i="34"/>
  <c r="AL62" i="34" s="1"/>
  <c r="AN60" i="34"/>
  <c r="AN35" i="34"/>
  <c r="AK36" i="34"/>
  <c r="AK37" i="34" s="1"/>
  <c r="AK33" i="34"/>
  <c r="AD441" i="34" s="1"/>
  <c r="AI32" i="34"/>
  <c r="AH454" i="34" s="1"/>
  <c r="AI258" i="34"/>
  <c r="AL261" i="34"/>
  <c r="AL262" i="34" s="1"/>
  <c r="AI234" i="34"/>
  <c r="AI233" i="34"/>
  <c r="AK233" i="34"/>
  <c r="AD449" i="34" s="1"/>
  <c r="AI208" i="34"/>
  <c r="AL186" i="34"/>
  <c r="AL187" i="34" s="1"/>
  <c r="AI133" i="34"/>
  <c r="AI59" i="34"/>
  <c r="AI58" i="34"/>
  <c r="AK61" i="34"/>
  <c r="AK62" i="34" s="1"/>
  <c r="AK11" i="34"/>
  <c r="AK12" i="34" s="1"/>
  <c r="AL36" i="34"/>
  <c r="AL37" i="34" s="1"/>
  <c r="AL11" i="34"/>
  <c r="AL12" i="34" s="1"/>
  <c r="AA235" i="34"/>
  <c r="AA210" i="34"/>
  <c r="AA185" i="34"/>
  <c r="AA160" i="34"/>
  <c r="E313" i="34"/>
  <c r="H311" i="34" s="1"/>
  <c r="G285" i="34"/>
  <c r="Y261" i="34"/>
  <c r="Y262" i="34" s="1"/>
  <c r="Y236" i="34"/>
  <c r="Y237" i="34" s="1"/>
  <c r="X236" i="34"/>
  <c r="X237" i="34" s="1"/>
  <c r="X211" i="34"/>
  <c r="X212" i="34" s="1"/>
  <c r="Y186" i="34"/>
  <c r="Y187" i="34" s="1"/>
  <c r="X186" i="34"/>
  <c r="X187" i="34" s="1"/>
  <c r="X161" i="34"/>
  <c r="X162" i="34" s="1"/>
  <c r="X136" i="34"/>
  <c r="X137" i="34" s="1"/>
  <c r="X111" i="34"/>
  <c r="X112" i="34" s="1"/>
  <c r="Y86" i="34"/>
  <c r="Y87" i="34" s="1"/>
  <c r="X86" i="34"/>
  <c r="X87" i="34" s="1"/>
  <c r="X61" i="34"/>
  <c r="X62" i="34" s="1"/>
  <c r="Y36" i="34"/>
  <c r="Y37" i="34" s="1"/>
  <c r="X36" i="34"/>
  <c r="X37" i="34" s="1"/>
  <c r="Y11" i="34"/>
  <c r="Y12" i="34" s="1"/>
  <c r="X11" i="34"/>
  <c r="X12" i="34" s="1"/>
  <c r="X58" i="34"/>
  <c r="Q442" i="34" s="1"/>
  <c r="X108" i="34"/>
  <c r="Q444" i="34" s="1"/>
  <c r="X133" i="34"/>
  <c r="Q445" i="34" s="1"/>
  <c r="X208" i="34"/>
  <c r="Q448" i="34" s="1"/>
  <c r="X233" i="34"/>
  <c r="Q449" i="34" s="1"/>
  <c r="N185" i="34"/>
  <c r="E285" i="34"/>
  <c r="K36" i="34"/>
  <c r="K37" i="34" s="1"/>
  <c r="L161" i="34"/>
  <c r="L162" i="34" s="1"/>
  <c r="N235" i="34"/>
  <c r="N35" i="34"/>
  <c r="L236" i="34"/>
  <c r="L237" i="34" s="1"/>
  <c r="M33" i="34"/>
  <c r="K186" i="34"/>
  <c r="K187" i="34" s="1"/>
  <c r="G293" i="34"/>
  <c r="M108" i="34"/>
  <c r="E289" i="34"/>
  <c r="I182" i="34"/>
  <c r="H460" i="34" s="1"/>
  <c r="L261" i="34"/>
  <c r="L262" i="34" s="1"/>
  <c r="L11" i="34"/>
  <c r="L12" i="34" s="1"/>
  <c r="K11" i="34"/>
  <c r="K12" i="34" s="1"/>
  <c r="L36" i="34"/>
  <c r="L37" i="34" s="1"/>
  <c r="K35" i="34"/>
  <c r="F441" i="34" s="1"/>
  <c r="K61" i="34"/>
  <c r="K62" i="34" s="1"/>
  <c r="N60" i="34"/>
  <c r="L86" i="34"/>
  <c r="L87" i="34" s="1"/>
  <c r="K86" i="34"/>
  <c r="K87" i="34" s="1"/>
  <c r="L111" i="34"/>
  <c r="L112" i="34" s="1"/>
  <c r="K111" i="34"/>
  <c r="K112" i="34" s="1"/>
  <c r="L136" i="34"/>
  <c r="L137" i="34" s="1"/>
  <c r="K136" i="34"/>
  <c r="K137" i="34" s="1"/>
  <c r="K161" i="34"/>
  <c r="K162" i="34" s="1"/>
  <c r="K233" i="34"/>
  <c r="D449" i="34" s="1"/>
  <c r="M58" i="34"/>
  <c r="N135" i="34"/>
  <c r="N110" i="34"/>
  <c r="M158" i="34"/>
  <c r="N85" i="34"/>
  <c r="M133" i="34"/>
  <c r="N210" i="34"/>
  <c r="M233" i="34"/>
  <c r="M83" i="34"/>
  <c r="M208" i="34"/>
  <c r="N160" i="34"/>
  <c r="H10" i="35"/>
  <c r="H11" i="35" s="1"/>
  <c r="F10" i="35"/>
  <c r="F11" i="35" s="1"/>
  <c r="E10" i="35"/>
  <c r="L6" i="35" s="1"/>
  <c r="D10" i="35"/>
  <c r="D11" i="35" s="1"/>
  <c r="C19" i="35" s="1"/>
  <c r="I5" i="35"/>
  <c r="J5" i="35" s="1"/>
  <c r="M8" i="35"/>
  <c r="G12" i="35"/>
  <c r="J6" i="35"/>
  <c r="L8" i="35"/>
  <c r="J9" i="35"/>
  <c r="K261" i="34"/>
  <c r="K262" i="34" s="1"/>
  <c r="V259" i="34"/>
  <c r="X261" i="34"/>
  <c r="X262" i="34" s="1"/>
  <c r="I259" i="34"/>
  <c r="I234" i="34"/>
  <c r="V234" i="34"/>
  <c r="I209" i="34"/>
  <c r="V209" i="34"/>
  <c r="V184" i="34"/>
  <c r="I159" i="34"/>
  <c r="V159" i="34"/>
  <c r="I134" i="34"/>
  <c r="V134" i="34"/>
  <c r="V109" i="34"/>
  <c r="I109" i="34"/>
  <c r="I84" i="34"/>
  <c r="V84" i="34"/>
  <c r="I59" i="34"/>
  <c r="V59" i="34"/>
  <c r="I34" i="34"/>
  <c r="V9" i="34"/>
  <c r="V34" i="34"/>
  <c r="Z14" i="34"/>
  <c r="Z164" i="34"/>
  <c r="Z239" i="34"/>
  <c r="Z89" i="34"/>
  <c r="Z64" i="34"/>
  <c r="Z214" i="34"/>
  <c r="Z139" i="34"/>
  <c r="Z39" i="34"/>
  <c r="Z114" i="34"/>
  <c r="Z189" i="34"/>
  <c r="Z264" i="34"/>
  <c r="I9" i="34"/>
  <c r="M264" i="34"/>
  <c r="M164" i="34"/>
  <c r="M39" i="34"/>
  <c r="M14" i="34"/>
  <c r="M89" i="34"/>
  <c r="M139" i="34"/>
  <c r="M258" i="34"/>
  <c r="M239" i="34"/>
  <c r="M64" i="34"/>
  <c r="M189" i="34"/>
  <c r="M214" i="34"/>
  <c r="M114" i="34"/>
  <c r="J374" i="27"/>
  <c r="F224" i="27"/>
  <c r="H311" i="27"/>
  <c r="G272" i="27"/>
  <c r="J335" i="27"/>
  <c r="D272" i="27"/>
  <c r="F272" i="27"/>
  <c r="J431" i="27"/>
  <c r="G224" i="27"/>
  <c r="E272" i="27"/>
  <c r="H416" i="27"/>
  <c r="H224" i="27"/>
  <c r="G368" i="27"/>
  <c r="H368" i="27"/>
  <c r="J479" i="27"/>
  <c r="E311" i="27"/>
  <c r="J383" i="27"/>
  <c r="F311" i="27"/>
  <c r="J278" i="27"/>
  <c r="J527" i="27"/>
  <c r="G311" i="27"/>
  <c r="J518" i="27"/>
  <c r="J287" i="27"/>
  <c r="H272" i="27"/>
  <c r="D320" i="27"/>
  <c r="E320" i="27"/>
  <c r="D464" i="27"/>
  <c r="J237" i="27"/>
  <c r="J230" i="27"/>
  <c r="J326" i="27"/>
  <c r="F320" i="27"/>
  <c r="D512" i="27"/>
  <c r="D416" i="27"/>
  <c r="E464" i="27"/>
  <c r="J470" i="27"/>
  <c r="G320" i="27"/>
  <c r="E512" i="27"/>
  <c r="D368" i="27"/>
  <c r="E416" i="27"/>
  <c r="F464" i="27"/>
  <c r="H320" i="27"/>
  <c r="F512" i="27"/>
  <c r="D224" i="27"/>
  <c r="E368" i="27"/>
  <c r="F416" i="27"/>
  <c r="G464" i="27"/>
  <c r="G512" i="27"/>
  <c r="J422" i="27"/>
  <c r="E224" i="27"/>
  <c r="D311" i="27"/>
  <c r="F368" i="27"/>
  <c r="G416" i="27"/>
  <c r="H464" i="27"/>
  <c r="H512" i="27"/>
  <c r="J525" i="27"/>
  <c r="J477" i="27"/>
  <c r="J429" i="27"/>
  <c r="J381" i="27"/>
  <c r="J333" i="27"/>
  <c r="J285" i="27"/>
  <c r="J239" i="27"/>
  <c r="H267" i="27"/>
  <c r="H219" i="27"/>
  <c r="G267" i="27"/>
  <c r="G315" i="27"/>
  <c r="F363" i="27"/>
  <c r="F315" i="27"/>
  <c r="G363" i="27"/>
  <c r="F411" i="27"/>
  <c r="G411" i="27"/>
  <c r="I316" i="27"/>
  <c r="I317" i="27" s="1"/>
  <c r="F459" i="27"/>
  <c r="I362" i="27"/>
  <c r="I363" i="27" s="1"/>
  <c r="G459" i="27"/>
  <c r="G219" i="27"/>
  <c r="E507" i="27"/>
  <c r="F507" i="27"/>
  <c r="I314" i="27"/>
  <c r="I315" i="27" s="1"/>
  <c r="F219" i="27"/>
  <c r="F267" i="27"/>
  <c r="E315" i="27"/>
  <c r="E363" i="27"/>
  <c r="E411" i="27"/>
  <c r="E459" i="27"/>
  <c r="D507" i="27"/>
  <c r="I364" i="27"/>
  <c r="I365" i="27" s="1"/>
  <c r="H315" i="27"/>
  <c r="H363" i="27"/>
  <c r="H411" i="27"/>
  <c r="H459" i="27"/>
  <c r="G507" i="27"/>
  <c r="I410" i="27"/>
  <c r="I411" i="27" s="1"/>
  <c r="D221" i="27"/>
  <c r="D269" i="27"/>
  <c r="H507" i="27"/>
  <c r="I412" i="27"/>
  <c r="I413" i="27" s="1"/>
  <c r="E221" i="27"/>
  <c r="E269" i="27"/>
  <c r="D317" i="27"/>
  <c r="D365" i="27"/>
  <c r="D413" i="27"/>
  <c r="I458" i="27"/>
  <c r="I459" i="27" s="1"/>
  <c r="F221" i="27"/>
  <c r="F269" i="27"/>
  <c r="E317" i="27"/>
  <c r="E365" i="27"/>
  <c r="E413" i="27"/>
  <c r="D461" i="27"/>
  <c r="D509" i="27"/>
  <c r="I460" i="27"/>
  <c r="I461" i="27" s="1"/>
  <c r="G221" i="27"/>
  <c r="G269" i="27"/>
  <c r="F317" i="27"/>
  <c r="F365" i="27"/>
  <c r="F413" i="27"/>
  <c r="E461" i="27"/>
  <c r="E509" i="27"/>
  <c r="I218" i="27"/>
  <c r="I219" i="27" s="1"/>
  <c r="I506" i="27"/>
  <c r="I507" i="27" s="1"/>
  <c r="H221" i="27"/>
  <c r="H269" i="27"/>
  <c r="G317" i="27"/>
  <c r="G365" i="27"/>
  <c r="G413" i="27"/>
  <c r="F461" i="27"/>
  <c r="F509" i="27"/>
  <c r="I220" i="27"/>
  <c r="I221" i="27" s="1"/>
  <c r="I508" i="27"/>
  <c r="I509" i="27" s="1"/>
  <c r="H317" i="27"/>
  <c r="H365" i="27"/>
  <c r="H413" i="27"/>
  <c r="G461" i="27"/>
  <c r="G509" i="27"/>
  <c r="I266" i="27"/>
  <c r="I267" i="27" s="1"/>
  <c r="D219" i="27"/>
  <c r="D267" i="27"/>
  <c r="H461" i="27"/>
  <c r="H509" i="27"/>
  <c r="I268" i="27"/>
  <c r="I269" i="27" s="1"/>
  <c r="E219" i="27"/>
  <c r="E267" i="27"/>
  <c r="D315" i="27"/>
  <c r="D363" i="27"/>
  <c r="D411" i="27"/>
  <c r="D459" i="27"/>
  <c r="J189" i="27"/>
  <c r="J191" i="27"/>
  <c r="J182" i="27"/>
  <c r="J180" i="27"/>
  <c r="H171" i="27"/>
  <c r="G171" i="27"/>
  <c r="F171" i="27"/>
  <c r="E171" i="27"/>
  <c r="I172" i="27"/>
  <c r="I173" i="27" s="1"/>
  <c r="D176" i="27"/>
  <c r="D173" i="27"/>
  <c r="E176" i="27"/>
  <c r="F176" i="27"/>
  <c r="H173" i="27"/>
  <c r="G176" i="27"/>
  <c r="G173" i="27"/>
  <c r="H176" i="27"/>
  <c r="I170" i="27"/>
  <c r="I171" i="27" s="1"/>
  <c r="F173" i="27"/>
  <c r="D171" i="27"/>
  <c r="E173" i="27"/>
  <c r="J141" i="27"/>
  <c r="G123" i="27"/>
  <c r="F123" i="27"/>
  <c r="J134" i="27"/>
  <c r="J143" i="27"/>
  <c r="E123" i="27"/>
  <c r="D128" i="27"/>
  <c r="E128" i="27"/>
  <c r="F128" i="27"/>
  <c r="I122" i="27"/>
  <c r="I123" i="27" s="1"/>
  <c r="H125" i="27"/>
  <c r="G128" i="27"/>
  <c r="I124" i="27"/>
  <c r="I125" i="27" s="1"/>
  <c r="G125" i="27"/>
  <c r="H128" i="27"/>
  <c r="D123" i="27"/>
  <c r="F125" i="27"/>
  <c r="E125" i="27"/>
  <c r="D125" i="27"/>
  <c r="H123" i="27"/>
  <c r="J45" i="27"/>
  <c r="F90" i="27"/>
  <c r="E90" i="27"/>
  <c r="J95" i="27"/>
  <c r="J93" i="27"/>
  <c r="G90" i="27"/>
  <c r="H90" i="27"/>
  <c r="D90" i="27"/>
  <c r="E80" i="27"/>
  <c r="J86" i="27"/>
  <c r="F80" i="27"/>
  <c r="D77" i="27"/>
  <c r="G80" i="27"/>
  <c r="H77" i="27"/>
  <c r="G77" i="27"/>
  <c r="F77" i="27"/>
  <c r="D80" i="27"/>
  <c r="E77" i="27"/>
  <c r="H80" i="27"/>
  <c r="I74" i="27"/>
  <c r="I75" i="27" s="1"/>
  <c r="I76" i="27"/>
  <c r="I77" i="27" s="1"/>
  <c r="D75" i="27"/>
  <c r="H75" i="27"/>
  <c r="G75" i="27"/>
  <c r="F75" i="27"/>
  <c r="E75" i="27"/>
  <c r="D32" i="27"/>
  <c r="E51" i="27"/>
  <c r="F51" i="27"/>
  <c r="D51" i="27"/>
  <c r="G51" i="27"/>
  <c r="J47" i="27"/>
  <c r="J38" i="27"/>
  <c r="H32" i="27"/>
  <c r="G32" i="27"/>
  <c r="F32" i="27"/>
  <c r="E42" i="27"/>
  <c r="E32" i="27"/>
  <c r="D42" i="27"/>
  <c r="F42" i="27"/>
  <c r="G42" i="27"/>
  <c r="H42" i="27"/>
  <c r="D27" i="27"/>
  <c r="H29" i="27"/>
  <c r="G29" i="27"/>
  <c r="F29" i="27"/>
  <c r="E29" i="27"/>
  <c r="I26" i="27"/>
  <c r="I27" i="27" s="1"/>
  <c r="D29" i="27"/>
  <c r="I28" i="27"/>
  <c r="I29" i="27" s="1"/>
  <c r="F27" i="27"/>
  <c r="E27" i="27"/>
  <c r="H27" i="27"/>
  <c r="J36" i="27"/>
  <c r="J468" i="27"/>
  <c r="J420" i="27"/>
  <c r="J84" i="27"/>
  <c r="J372" i="27"/>
  <c r="J276" i="27"/>
  <c r="J132" i="27"/>
  <c r="J516" i="27"/>
  <c r="J228" i="27"/>
  <c r="J324" i="27"/>
  <c r="N582" i="26"/>
  <c r="O579" i="26" s="1"/>
  <c r="G571" i="26"/>
  <c r="G572" i="26" s="1"/>
  <c r="F571" i="26"/>
  <c r="E571" i="26"/>
  <c r="E572" i="26" s="1"/>
  <c r="D571" i="26"/>
  <c r="D572" i="26" s="1"/>
  <c r="C571" i="26"/>
  <c r="H570" i="26"/>
  <c r="I570" i="26" s="1"/>
  <c r="J570" i="26" s="1"/>
  <c r="H569" i="26"/>
  <c r="L580" i="26" s="1"/>
  <c r="H568" i="26"/>
  <c r="L579" i="26" s="1"/>
  <c r="G579" i="26" s="1"/>
  <c r="H567" i="26"/>
  <c r="H566" i="26"/>
  <c r="G558" i="26"/>
  <c r="E558" i="26"/>
  <c r="D558" i="26"/>
  <c r="N553" i="26"/>
  <c r="O552" i="26"/>
  <c r="O551" i="26"/>
  <c r="O550" i="26"/>
  <c r="O549" i="26"/>
  <c r="L549" i="26"/>
  <c r="E549" i="26"/>
  <c r="O548" i="26"/>
  <c r="L548" i="26"/>
  <c r="G542" i="26"/>
  <c r="G543" i="26" s="1"/>
  <c r="F542" i="26"/>
  <c r="F543" i="26" s="1"/>
  <c r="F544" i="26" s="1"/>
  <c r="E542" i="26"/>
  <c r="E543" i="26" s="1"/>
  <c r="D542" i="26"/>
  <c r="D543" i="26" s="1"/>
  <c r="N538" i="26" s="1"/>
  <c r="U202" i="26" s="1"/>
  <c r="C542" i="26"/>
  <c r="C558" i="26" s="1"/>
  <c r="H541" i="26"/>
  <c r="I540" i="26"/>
  <c r="H540" i="26"/>
  <c r="H539" i="26"/>
  <c r="I539" i="26" s="1"/>
  <c r="J539" i="26" s="1"/>
  <c r="H538" i="26"/>
  <c r="I538" i="26" s="1"/>
  <c r="J538" i="26" s="1"/>
  <c r="I537" i="26"/>
  <c r="J537" i="26" s="1"/>
  <c r="H537" i="26"/>
  <c r="K537" i="26" s="1"/>
  <c r="N524" i="26"/>
  <c r="O523" i="26" s="1"/>
  <c r="O522" i="26"/>
  <c r="O520" i="26"/>
  <c r="O519" i="26"/>
  <c r="D514" i="26"/>
  <c r="D515" i="26" s="1"/>
  <c r="G513" i="26"/>
  <c r="K512" i="26" s="1"/>
  <c r="F513" i="26"/>
  <c r="E513" i="26"/>
  <c r="E529" i="26" s="1"/>
  <c r="D513" i="26"/>
  <c r="D529" i="26" s="1"/>
  <c r="C513" i="26"/>
  <c r="C514" i="26" s="1"/>
  <c r="C515" i="26" s="1"/>
  <c r="H512" i="26"/>
  <c r="L523" i="26" s="1"/>
  <c r="H511" i="26"/>
  <c r="L522" i="26" s="1"/>
  <c r="H510" i="26"/>
  <c r="H509" i="26"/>
  <c r="H508" i="26"/>
  <c r="H513" i="26" s="1"/>
  <c r="I514" i="26" s="1"/>
  <c r="AD33" i="26" s="1"/>
  <c r="N495" i="26"/>
  <c r="O494" i="26" s="1"/>
  <c r="O493" i="26"/>
  <c r="L493" i="26"/>
  <c r="O492" i="26"/>
  <c r="O491" i="26"/>
  <c r="O490" i="26"/>
  <c r="L490" i="26"/>
  <c r="G490" i="26"/>
  <c r="F485" i="26"/>
  <c r="F486" i="26" s="1"/>
  <c r="C485" i="26"/>
  <c r="G484" i="26"/>
  <c r="G500" i="26" s="1"/>
  <c r="F484" i="26"/>
  <c r="F500" i="26" s="1"/>
  <c r="E484" i="26"/>
  <c r="E500" i="26" s="1"/>
  <c r="D484" i="26"/>
  <c r="D500" i="26" s="1"/>
  <c r="C484" i="26"/>
  <c r="C500" i="26" s="1"/>
  <c r="H483" i="26"/>
  <c r="H482" i="26"/>
  <c r="H481" i="26"/>
  <c r="K481" i="26" s="1"/>
  <c r="K480" i="26"/>
  <c r="I480" i="26"/>
  <c r="J480" i="26" s="1"/>
  <c r="H480" i="26"/>
  <c r="L491" i="26" s="1"/>
  <c r="I479" i="26"/>
  <c r="J479" i="26" s="1"/>
  <c r="H479" i="26"/>
  <c r="N466" i="26"/>
  <c r="O465" i="26" s="1"/>
  <c r="O463" i="26"/>
  <c r="O461" i="26"/>
  <c r="E456" i="26"/>
  <c r="E457" i="26" s="1"/>
  <c r="G455" i="26"/>
  <c r="K454" i="26" s="1"/>
  <c r="F455" i="26"/>
  <c r="F471" i="26" s="1"/>
  <c r="E455" i="26"/>
  <c r="E471" i="26" s="1"/>
  <c r="D455" i="26"/>
  <c r="D456" i="26" s="1"/>
  <c r="C455" i="26"/>
  <c r="H454" i="26"/>
  <c r="L465" i="26" s="1"/>
  <c r="H453" i="26"/>
  <c r="L464" i="26" s="1"/>
  <c r="H452" i="26"/>
  <c r="L463" i="26" s="1"/>
  <c r="H451" i="26"/>
  <c r="H450" i="26"/>
  <c r="F442" i="26"/>
  <c r="N437" i="26"/>
  <c r="O434" i="26" s="1"/>
  <c r="O436" i="26"/>
  <c r="L434" i="26"/>
  <c r="L433" i="26"/>
  <c r="F428" i="26"/>
  <c r="G426" i="26"/>
  <c r="G427" i="26" s="1"/>
  <c r="F426" i="26"/>
  <c r="F427" i="26" s="1"/>
  <c r="E426" i="26"/>
  <c r="E442" i="26" s="1"/>
  <c r="D426" i="26"/>
  <c r="D442" i="26" s="1"/>
  <c r="C426" i="26"/>
  <c r="C442" i="26" s="1"/>
  <c r="H425" i="26"/>
  <c r="H424" i="26"/>
  <c r="I424" i="26" s="1"/>
  <c r="J424" i="26" s="1"/>
  <c r="H423" i="26"/>
  <c r="I423" i="26" s="1"/>
  <c r="J423" i="26" s="1"/>
  <c r="H422" i="26"/>
  <c r="I422" i="26" s="1"/>
  <c r="J422" i="26" s="1"/>
  <c r="H421" i="26"/>
  <c r="L432" i="26" s="1"/>
  <c r="G413" i="26"/>
  <c r="C413" i="26"/>
  <c r="N408" i="26"/>
  <c r="O405" i="26" s="1"/>
  <c r="O407" i="26"/>
  <c r="O406" i="26"/>
  <c r="O404" i="26"/>
  <c r="O403" i="26"/>
  <c r="G398" i="26"/>
  <c r="G399" i="26" s="1"/>
  <c r="C398" i="26"/>
  <c r="C399" i="26" s="1"/>
  <c r="G397" i="26"/>
  <c r="F397" i="26"/>
  <c r="E397" i="26"/>
  <c r="E413" i="26" s="1"/>
  <c r="D397" i="26"/>
  <c r="D413" i="26" s="1"/>
  <c r="C397" i="26"/>
  <c r="H396" i="26"/>
  <c r="L407" i="26" s="1"/>
  <c r="H395" i="26"/>
  <c r="L406" i="26" s="1"/>
  <c r="H394" i="26"/>
  <c r="H393" i="26"/>
  <c r="H392" i="26"/>
  <c r="N379" i="26"/>
  <c r="O378" i="26" s="1"/>
  <c r="L377" i="26"/>
  <c r="G368" i="26"/>
  <c r="G384" i="26" s="1"/>
  <c r="F368" i="26"/>
  <c r="F384" i="26" s="1"/>
  <c r="E368" i="26"/>
  <c r="E384" i="26" s="1"/>
  <c r="D368" i="26"/>
  <c r="D384" i="26" s="1"/>
  <c r="C368" i="26"/>
  <c r="H367" i="26"/>
  <c r="L378" i="26" s="1"/>
  <c r="H366" i="26"/>
  <c r="K365" i="26"/>
  <c r="H365" i="26"/>
  <c r="H364" i="26"/>
  <c r="H363" i="26"/>
  <c r="I363" i="26" s="1"/>
  <c r="J363" i="26" s="1"/>
  <c r="G355" i="26"/>
  <c r="F355" i="26"/>
  <c r="N350" i="26"/>
  <c r="O347" i="26" s="1"/>
  <c r="G339" i="26"/>
  <c r="G340" i="26" s="1"/>
  <c r="G341" i="26" s="1"/>
  <c r="F339" i="26"/>
  <c r="F340" i="26" s="1"/>
  <c r="E339" i="26"/>
  <c r="D339" i="26"/>
  <c r="D340" i="26" s="1"/>
  <c r="D341" i="26" s="1"/>
  <c r="C339" i="26"/>
  <c r="H338" i="26"/>
  <c r="K338" i="26" s="1"/>
  <c r="H337" i="26"/>
  <c r="K337" i="26" s="1"/>
  <c r="H336" i="26"/>
  <c r="I336" i="26" s="1"/>
  <c r="J336" i="26" s="1"/>
  <c r="I335" i="26"/>
  <c r="J335" i="26" s="1"/>
  <c r="H335" i="26"/>
  <c r="K335" i="26" s="1"/>
  <c r="H334" i="26"/>
  <c r="I334" i="26" s="1"/>
  <c r="J334" i="26" s="1"/>
  <c r="N321" i="26"/>
  <c r="O318" i="26" s="1"/>
  <c r="O320" i="26"/>
  <c r="L317" i="26"/>
  <c r="G311" i="26"/>
  <c r="E311" i="26"/>
  <c r="E312" i="26" s="1"/>
  <c r="C311" i="26"/>
  <c r="G310" i="26"/>
  <c r="G326" i="26" s="1"/>
  <c r="F310" i="26"/>
  <c r="F311" i="26" s="1"/>
  <c r="F312" i="26" s="1"/>
  <c r="E310" i="26"/>
  <c r="E326" i="26" s="1"/>
  <c r="D310" i="26"/>
  <c r="D326" i="26" s="1"/>
  <c r="C310" i="26"/>
  <c r="C326" i="26" s="1"/>
  <c r="H309" i="26"/>
  <c r="L320" i="26" s="1"/>
  <c r="H308" i="26"/>
  <c r="H307" i="26"/>
  <c r="L318" i="26" s="1"/>
  <c r="I306" i="26"/>
  <c r="H306" i="26"/>
  <c r="K306" i="26" s="1"/>
  <c r="K305" i="26"/>
  <c r="H305" i="26"/>
  <c r="I305" i="26" s="1"/>
  <c r="J305" i="26" s="1"/>
  <c r="N292" i="26"/>
  <c r="O287" i="26" s="1"/>
  <c r="L289" i="26"/>
  <c r="L287" i="26"/>
  <c r="E282" i="26"/>
  <c r="E283" i="26" s="1"/>
  <c r="G281" i="26"/>
  <c r="G282" i="26" s="1"/>
  <c r="F281" i="26"/>
  <c r="F297" i="26" s="1"/>
  <c r="E281" i="26"/>
  <c r="E297" i="26" s="1"/>
  <c r="D281" i="26"/>
  <c r="D297" i="26" s="1"/>
  <c r="C281" i="26"/>
  <c r="C297" i="26" s="1"/>
  <c r="H280" i="26"/>
  <c r="L291" i="26" s="1"/>
  <c r="I279" i="26"/>
  <c r="J279" i="26" s="1"/>
  <c r="H279" i="26"/>
  <c r="L290" i="26" s="1"/>
  <c r="K278" i="26"/>
  <c r="I278" i="26"/>
  <c r="N278" i="26" s="1"/>
  <c r="V112" i="26" s="1"/>
  <c r="H278" i="26"/>
  <c r="J277" i="26"/>
  <c r="I277" i="26"/>
  <c r="H277" i="26"/>
  <c r="H276" i="26"/>
  <c r="N263" i="26"/>
  <c r="O262" i="26" s="1"/>
  <c r="L260" i="26"/>
  <c r="L259" i="26"/>
  <c r="C253" i="26"/>
  <c r="C254" i="26" s="1"/>
  <c r="G252" i="26"/>
  <c r="G268" i="26" s="1"/>
  <c r="F252" i="26"/>
  <c r="F253" i="26" s="1"/>
  <c r="E252" i="26"/>
  <c r="E268" i="26" s="1"/>
  <c r="D252" i="26"/>
  <c r="D268" i="26" s="1"/>
  <c r="C252" i="26"/>
  <c r="C268" i="26" s="1"/>
  <c r="H251" i="26"/>
  <c r="H250" i="26"/>
  <c r="K249" i="26"/>
  <c r="H249" i="26"/>
  <c r="I249" i="26" s="1"/>
  <c r="J249" i="26" s="1"/>
  <c r="H248" i="26"/>
  <c r="N247" i="26"/>
  <c r="T102" i="26" s="1"/>
  <c r="K247" i="26"/>
  <c r="I247" i="26"/>
  <c r="J247" i="26" s="1"/>
  <c r="H247" i="26"/>
  <c r="L258" i="26" s="1"/>
  <c r="G239" i="26"/>
  <c r="N234" i="26"/>
  <c r="O232" i="26" s="1"/>
  <c r="O231" i="26"/>
  <c r="L231" i="26"/>
  <c r="G224" i="26"/>
  <c r="G223" i="26"/>
  <c r="F223" i="26"/>
  <c r="E223" i="26"/>
  <c r="D223" i="26"/>
  <c r="D224" i="26" s="1"/>
  <c r="C223" i="26"/>
  <c r="C224" i="26" s="1"/>
  <c r="I222" i="26"/>
  <c r="J222" i="26" s="1"/>
  <c r="H222" i="26"/>
  <c r="I221" i="26"/>
  <c r="J221" i="26" s="1"/>
  <c r="H221" i="26"/>
  <c r="L232" i="26" s="1"/>
  <c r="K220" i="26"/>
  <c r="I220" i="26"/>
  <c r="J220" i="26" s="1"/>
  <c r="H220" i="26"/>
  <c r="H219" i="26"/>
  <c r="I219" i="26" s="1"/>
  <c r="J219" i="26" s="1"/>
  <c r="H218" i="26"/>
  <c r="L229" i="26" s="1"/>
  <c r="AA213" i="26"/>
  <c r="X213" i="26"/>
  <c r="W213" i="26"/>
  <c r="V213" i="26"/>
  <c r="U213" i="26"/>
  <c r="T213" i="26"/>
  <c r="N205" i="26"/>
  <c r="O204" i="26" s="1"/>
  <c r="L204" i="26"/>
  <c r="AA203" i="26"/>
  <c r="X203" i="26"/>
  <c r="W203" i="26"/>
  <c r="V203" i="26"/>
  <c r="U203" i="26"/>
  <c r="T203" i="26"/>
  <c r="L201" i="26"/>
  <c r="G195" i="26"/>
  <c r="N193" i="26" s="1"/>
  <c r="X82" i="26" s="1"/>
  <c r="G194" i="26"/>
  <c r="G210" i="26" s="1"/>
  <c r="F194" i="26"/>
  <c r="F210" i="26" s="1"/>
  <c r="E194" i="26"/>
  <c r="D194" i="26"/>
  <c r="D195" i="26" s="1"/>
  <c r="C194" i="26"/>
  <c r="AA193" i="26"/>
  <c r="X193" i="26"/>
  <c r="W193" i="26"/>
  <c r="V193" i="26"/>
  <c r="U193" i="26"/>
  <c r="T193" i="26"/>
  <c r="K193" i="26"/>
  <c r="I193" i="26"/>
  <c r="J193" i="26" s="1"/>
  <c r="H193" i="26"/>
  <c r="H192" i="26"/>
  <c r="H191" i="26"/>
  <c r="H194" i="26" s="1"/>
  <c r="I195" i="26" s="1"/>
  <c r="AD22" i="26" s="1"/>
  <c r="I190" i="26"/>
  <c r="J190" i="26" s="1"/>
  <c r="H190" i="26"/>
  <c r="I189" i="26"/>
  <c r="J189" i="26" s="1"/>
  <c r="H189" i="26"/>
  <c r="L200" i="26" s="1"/>
  <c r="AA183" i="26"/>
  <c r="X183" i="26"/>
  <c r="W183" i="26"/>
  <c r="V183" i="26"/>
  <c r="U183" i="26"/>
  <c r="T183" i="26"/>
  <c r="G181" i="26"/>
  <c r="N176" i="26"/>
  <c r="O173" i="26" s="1"/>
  <c r="AA173" i="26"/>
  <c r="X173" i="26"/>
  <c r="W173" i="26"/>
  <c r="V173" i="26"/>
  <c r="U173" i="26"/>
  <c r="T173" i="26"/>
  <c r="L172" i="26"/>
  <c r="O171" i="26"/>
  <c r="F166" i="26"/>
  <c r="G165" i="26"/>
  <c r="G166" i="26" s="1"/>
  <c r="F165" i="26"/>
  <c r="F181" i="26" s="1"/>
  <c r="E165" i="26"/>
  <c r="E181" i="26" s="1"/>
  <c r="D165" i="26"/>
  <c r="D181" i="26" s="1"/>
  <c r="C165" i="26"/>
  <c r="K160" i="26" s="1"/>
  <c r="H164" i="26"/>
  <c r="I164" i="26" s="1"/>
  <c r="J164" i="26" s="1"/>
  <c r="X163" i="26"/>
  <c r="W163" i="26"/>
  <c r="V163" i="26"/>
  <c r="U163" i="26"/>
  <c r="T163" i="26"/>
  <c r="H163" i="26"/>
  <c r="L174" i="26" s="1"/>
  <c r="K162" i="26"/>
  <c r="H162" i="26"/>
  <c r="L173" i="26" s="1"/>
  <c r="I161" i="26"/>
  <c r="J161" i="26" s="1"/>
  <c r="H161" i="26"/>
  <c r="I160" i="26"/>
  <c r="J160" i="26" s="1"/>
  <c r="H160" i="26"/>
  <c r="L171" i="26" s="1"/>
  <c r="C171" i="26" s="1"/>
  <c r="X153" i="26"/>
  <c r="W153" i="26"/>
  <c r="V153" i="26"/>
  <c r="U153" i="26"/>
  <c r="T153" i="26"/>
  <c r="N147" i="26"/>
  <c r="AA63" i="26" s="1"/>
  <c r="O146" i="26"/>
  <c r="O145" i="26"/>
  <c r="O144" i="26"/>
  <c r="AA143" i="26"/>
  <c r="X143" i="26"/>
  <c r="W143" i="26"/>
  <c r="V143" i="26"/>
  <c r="U143" i="26"/>
  <c r="T143" i="26"/>
  <c r="G136" i="26"/>
  <c r="G152" i="26" s="1"/>
  <c r="F136" i="26"/>
  <c r="F152" i="26" s="1"/>
  <c r="E136" i="26"/>
  <c r="E137" i="26" s="1"/>
  <c r="E138" i="26" s="1"/>
  <c r="D136" i="26"/>
  <c r="D152" i="26" s="1"/>
  <c r="C136" i="26"/>
  <c r="C152" i="26" s="1"/>
  <c r="AP135" i="26"/>
  <c r="AO135" i="26"/>
  <c r="AN135" i="26"/>
  <c r="AM135" i="26"/>
  <c r="AL135" i="26"/>
  <c r="H135" i="26"/>
  <c r="L146" i="26" s="1"/>
  <c r="AP134" i="26"/>
  <c r="AO134" i="26"/>
  <c r="AN134" i="26"/>
  <c r="AM134" i="26"/>
  <c r="AL134" i="26"/>
  <c r="H134" i="26"/>
  <c r="I134" i="26" s="1"/>
  <c r="J134" i="26" s="1"/>
  <c r="X133" i="26"/>
  <c r="W133" i="26"/>
  <c r="V133" i="26"/>
  <c r="U133" i="26"/>
  <c r="T133" i="26"/>
  <c r="I133" i="26"/>
  <c r="J133" i="26" s="1"/>
  <c r="H133" i="26"/>
  <c r="K133" i="26" s="1"/>
  <c r="AS132" i="26"/>
  <c r="AP133" i="26" s="1"/>
  <c r="K132" i="26"/>
  <c r="H132" i="26"/>
  <c r="L143" i="26" s="1"/>
  <c r="H131" i="26"/>
  <c r="AP130" i="26"/>
  <c r="AO130" i="26"/>
  <c r="AN130" i="26"/>
  <c r="AM130" i="26"/>
  <c r="AP129" i="26"/>
  <c r="AO129" i="26"/>
  <c r="AN129" i="26"/>
  <c r="AM129" i="26"/>
  <c r="AL129" i="26"/>
  <c r="AS127" i="26"/>
  <c r="AP125" i="26"/>
  <c r="AO125" i="26"/>
  <c r="AN125" i="26"/>
  <c r="AM125" i="26"/>
  <c r="AL125" i="26"/>
  <c r="AP124" i="26"/>
  <c r="AO124" i="26"/>
  <c r="AN124" i="26"/>
  <c r="AM124" i="26"/>
  <c r="AL124" i="26"/>
  <c r="AO123" i="26"/>
  <c r="X123" i="26"/>
  <c r="W123" i="26"/>
  <c r="V123" i="26"/>
  <c r="U123" i="26"/>
  <c r="T123" i="26"/>
  <c r="D123" i="26"/>
  <c r="AS122" i="26"/>
  <c r="AL123" i="26" s="1"/>
  <c r="AP120" i="26"/>
  <c r="AO120" i="26"/>
  <c r="AN120" i="26"/>
  <c r="AM120" i="26"/>
  <c r="AL120" i="26"/>
  <c r="AP119" i="26"/>
  <c r="AO119" i="26"/>
  <c r="AN119" i="26"/>
  <c r="AM119" i="26"/>
  <c r="AL119" i="26"/>
  <c r="N118" i="26"/>
  <c r="O116" i="26" s="1"/>
  <c r="AP116" i="26"/>
  <c r="AO116" i="26"/>
  <c r="AN116" i="26"/>
  <c r="AM116" i="26"/>
  <c r="AL116" i="26"/>
  <c r="X113" i="26"/>
  <c r="W113" i="26"/>
  <c r="V113" i="26"/>
  <c r="U113" i="26"/>
  <c r="T113" i="26"/>
  <c r="O113" i="26"/>
  <c r="L113" i="26"/>
  <c r="D109" i="26"/>
  <c r="F108" i="26"/>
  <c r="D108" i="26"/>
  <c r="G107" i="26"/>
  <c r="G123" i="26" s="1"/>
  <c r="F107" i="26"/>
  <c r="F123" i="26" s="1"/>
  <c r="E107" i="26"/>
  <c r="D107" i="26"/>
  <c r="C107" i="26"/>
  <c r="C123" i="26" s="1"/>
  <c r="H106" i="26"/>
  <c r="L117" i="26" s="1"/>
  <c r="H105" i="26"/>
  <c r="L116" i="26" s="1"/>
  <c r="H104" i="26"/>
  <c r="X103" i="26"/>
  <c r="W103" i="26"/>
  <c r="V103" i="26"/>
  <c r="U103" i="26"/>
  <c r="T103" i="26"/>
  <c r="H103" i="26"/>
  <c r="L114" i="26" s="1"/>
  <c r="H102" i="26"/>
  <c r="AW99" i="26"/>
  <c r="AS116" i="26" s="1"/>
  <c r="AX98" i="26"/>
  <c r="AX94" i="26"/>
  <c r="D94" i="26"/>
  <c r="AA93" i="26"/>
  <c r="X93" i="26"/>
  <c r="W93" i="26"/>
  <c r="V93" i="26"/>
  <c r="U93" i="26"/>
  <c r="T93" i="26"/>
  <c r="AL89" i="26"/>
  <c r="AL90" i="26" s="1"/>
  <c r="N89" i="26"/>
  <c r="O86" i="26" s="1"/>
  <c r="G86" i="26" s="1"/>
  <c r="AP88" i="26"/>
  <c r="AO88" i="26"/>
  <c r="AN88" i="26"/>
  <c r="AN89" i="26" s="1"/>
  <c r="AM88" i="26"/>
  <c r="AL88" i="26"/>
  <c r="AL104" i="26" s="1"/>
  <c r="AQ87" i="26"/>
  <c r="AU98" i="26" s="1"/>
  <c r="AQ86" i="26"/>
  <c r="AU97" i="26" s="1"/>
  <c r="AT85" i="26"/>
  <c r="AQ85" i="26"/>
  <c r="AQ84" i="26"/>
  <c r="AQ83" i="26"/>
  <c r="AT83" i="26" s="1"/>
  <c r="AA83" i="26"/>
  <c r="X83" i="26"/>
  <c r="W83" i="26"/>
  <c r="V83" i="26"/>
  <c r="U83" i="26"/>
  <c r="T83" i="26"/>
  <c r="G78" i="26"/>
  <c r="G94" i="26" s="1"/>
  <c r="F78" i="26"/>
  <c r="E78" i="26"/>
  <c r="E94" i="26" s="1"/>
  <c r="D78" i="26"/>
  <c r="D79" i="26" s="1"/>
  <c r="C78" i="26"/>
  <c r="K77" i="26"/>
  <c r="I77" i="26"/>
  <c r="J77" i="26" s="1"/>
  <c r="H77" i="26"/>
  <c r="L88" i="26" s="1"/>
  <c r="H76" i="26"/>
  <c r="L87" i="26" s="1"/>
  <c r="H75" i="26"/>
  <c r="L86" i="26" s="1"/>
  <c r="H74" i="26"/>
  <c r="I74" i="26" s="1"/>
  <c r="J74" i="26" s="1"/>
  <c r="AA73" i="26"/>
  <c r="X73" i="26"/>
  <c r="W73" i="26"/>
  <c r="V73" i="26"/>
  <c r="U73" i="26"/>
  <c r="T73" i="26"/>
  <c r="H73" i="26"/>
  <c r="L84" i="26" s="1"/>
  <c r="G65" i="26"/>
  <c r="E65" i="26"/>
  <c r="X63" i="26"/>
  <c r="W63" i="26"/>
  <c r="V63" i="26"/>
  <c r="U63" i="26"/>
  <c r="T63" i="26"/>
  <c r="N60" i="26"/>
  <c r="O58" i="26" s="1"/>
  <c r="L58" i="26"/>
  <c r="L55" i="26"/>
  <c r="X53" i="26"/>
  <c r="W53" i="26"/>
  <c r="V53" i="26"/>
  <c r="U53" i="26"/>
  <c r="T53" i="26"/>
  <c r="G50" i="26"/>
  <c r="F50" i="26"/>
  <c r="N47" i="26" s="1"/>
  <c r="W32" i="26" s="1"/>
  <c r="E50" i="26"/>
  <c r="E51" i="26" s="1"/>
  <c r="G49" i="26"/>
  <c r="F49" i="26"/>
  <c r="F65" i="26" s="1"/>
  <c r="E49" i="26"/>
  <c r="D49" i="26"/>
  <c r="C49" i="26"/>
  <c r="C65" i="26" s="1"/>
  <c r="K48" i="26"/>
  <c r="H48" i="26"/>
  <c r="L59" i="26" s="1"/>
  <c r="I47" i="26"/>
  <c r="J47" i="26" s="1"/>
  <c r="H47" i="26"/>
  <c r="H46" i="26"/>
  <c r="I46" i="26" s="1"/>
  <c r="J46" i="26" s="1"/>
  <c r="H45" i="26"/>
  <c r="H44" i="26"/>
  <c r="K44" i="26" s="1"/>
  <c r="X43" i="26"/>
  <c r="W43" i="26"/>
  <c r="V43" i="26"/>
  <c r="U43" i="26"/>
  <c r="T43" i="26"/>
  <c r="X33" i="26"/>
  <c r="W33" i="26"/>
  <c r="V33" i="26"/>
  <c r="U33" i="26"/>
  <c r="T33" i="26"/>
  <c r="N31" i="26"/>
  <c r="O30" i="26" s="1"/>
  <c r="G30" i="26" s="1"/>
  <c r="L30" i="26"/>
  <c r="O28" i="26"/>
  <c r="O27" i="26"/>
  <c r="O26" i="26"/>
  <c r="X23" i="26"/>
  <c r="W23" i="26"/>
  <c r="V23" i="26"/>
  <c r="U23" i="26"/>
  <c r="T23" i="26"/>
  <c r="E21" i="26"/>
  <c r="N17" i="26" s="1"/>
  <c r="V22" i="26" s="1"/>
  <c r="G20" i="26"/>
  <c r="G36" i="26" s="1"/>
  <c r="F20" i="26"/>
  <c r="F36" i="26" s="1"/>
  <c r="E20" i="26"/>
  <c r="E36" i="26" s="1"/>
  <c r="D20" i="26"/>
  <c r="D21" i="26" s="1"/>
  <c r="D22" i="26" s="1"/>
  <c r="C20" i="26"/>
  <c r="C21" i="26" s="1"/>
  <c r="C22" i="26" s="1"/>
  <c r="K19" i="26"/>
  <c r="H19" i="26"/>
  <c r="I19" i="26" s="1"/>
  <c r="J19" i="26" s="1"/>
  <c r="H18" i="26"/>
  <c r="L29" i="26" s="1"/>
  <c r="K17" i="26"/>
  <c r="H17" i="26"/>
  <c r="I17" i="26" s="1"/>
  <c r="J17" i="26" s="1"/>
  <c r="H16" i="26"/>
  <c r="L27" i="26" s="1"/>
  <c r="H15" i="26"/>
  <c r="L26" i="26" s="1"/>
  <c r="J10" i="26"/>
  <c r="I10" i="26"/>
  <c r="K9" i="26"/>
  <c r="B8" i="26"/>
  <c r="C5" i="26" s="1"/>
  <c r="E5" i="26" s="1"/>
  <c r="C7" i="26"/>
  <c r="E7" i="26" s="1"/>
  <c r="C6" i="26"/>
  <c r="E6" i="26" s="1"/>
  <c r="F587" i="25"/>
  <c r="N582" i="25"/>
  <c r="O581" i="25" s="1"/>
  <c r="D581" i="25" s="1"/>
  <c r="L581" i="25"/>
  <c r="L579" i="25"/>
  <c r="O578" i="25"/>
  <c r="F573" i="25"/>
  <c r="G571" i="25"/>
  <c r="G587" i="25" s="1"/>
  <c r="F571" i="25"/>
  <c r="F572" i="25" s="1"/>
  <c r="E571" i="25"/>
  <c r="D571" i="25"/>
  <c r="D587" i="25" s="1"/>
  <c r="C571" i="25"/>
  <c r="C587" i="25" s="1"/>
  <c r="H570" i="25"/>
  <c r="I570" i="25" s="1"/>
  <c r="J570" i="25" s="1"/>
  <c r="H569" i="25"/>
  <c r="H568" i="25"/>
  <c r="I568" i="25" s="1"/>
  <c r="J568" i="25" s="1"/>
  <c r="H567" i="25"/>
  <c r="H566" i="25"/>
  <c r="L577" i="25" s="1"/>
  <c r="N553" i="25"/>
  <c r="O552" i="25" s="1"/>
  <c r="O551" i="25"/>
  <c r="H542" i="25"/>
  <c r="I543" i="25" s="1"/>
  <c r="AD34" i="25" s="1"/>
  <c r="G542" i="25"/>
  <c r="F542" i="25"/>
  <c r="F558" i="25" s="1"/>
  <c r="E542" i="25"/>
  <c r="E558" i="25" s="1"/>
  <c r="D542" i="25"/>
  <c r="D558" i="25" s="1"/>
  <c r="C542" i="25"/>
  <c r="C558" i="25" s="1"/>
  <c r="H541" i="25"/>
  <c r="H540" i="25"/>
  <c r="L551" i="25" s="1"/>
  <c r="G551" i="25" s="1"/>
  <c r="H539" i="25"/>
  <c r="H538" i="25"/>
  <c r="L549" i="25" s="1"/>
  <c r="I537" i="25"/>
  <c r="J537" i="25" s="1"/>
  <c r="H537" i="25"/>
  <c r="L548" i="25" s="1"/>
  <c r="N524" i="25"/>
  <c r="C514" i="25"/>
  <c r="G513" i="25"/>
  <c r="G529" i="25" s="1"/>
  <c r="F513" i="25"/>
  <c r="F529" i="25" s="1"/>
  <c r="E513" i="25"/>
  <c r="E529" i="25" s="1"/>
  <c r="D513" i="25"/>
  <c r="D529" i="25" s="1"/>
  <c r="C513" i="25"/>
  <c r="C529" i="25" s="1"/>
  <c r="H512" i="25"/>
  <c r="L523" i="25" s="1"/>
  <c r="I511" i="25"/>
  <c r="J511" i="25" s="1"/>
  <c r="H511" i="25"/>
  <c r="L522" i="25" s="1"/>
  <c r="H510" i="25"/>
  <c r="L521" i="25" s="1"/>
  <c r="K509" i="25"/>
  <c r="I509" i="25"/>
  <c r="J509" i="25" s="1"/>
  <c r="H509" i="25"/>
  <c r="L520" i="25" s="1"/>
  <c r="H508" i="25"/>
  <c r="N495" i="25"/>
  <c r="AA183" i="25" s="1"/>
  <c r="O491" i="25"/>
  <c r="G484" i="25"/>
  <c r="G500" i="25" s="1"/>
  <c r="F484" i="25"/>
  <c r="F500" i="25" s="1"/>
  <c r="E484" i="25"/>
  <c r="E485" i="25" s="1"/>
  <c r="E486" i="25" s="1"/>
  <c r="D484" i="25"/>
  <c r="C484" i="25"/>
  <c r="C485" i="25" s="1"/>
  <c r="C486" i="25" s="1"/>
  <c r="H483" i="25"/>
  <c r="K483" i="25" s="1"/>
  <c r="H482" i="25"/>
  <c r="L493" i="25" s="1"/>
  <c r="H481" i="25"/>
  <c r="L492" i="25" s="1"/>
  <c r="H480" i="25"/>
  <c r="L491" i="25" s="1"/>
  <c r="H479" i="25"/>
  <c r="N466" i="25"/>
  <c r="O461" i="25" s="1"/>
  <c r="O465" i="25"/>
  <c r="O464" i="25"/>
  <c r="D464" i="25" s="1"/>
  <c r="L464" i="25"/>
  <c r="O463" i="25"/>
  <c r="L463" i="25"/>
  <c r="C463" i="25"/>
  <c r="O462" i="25"/>
  <c r="L461" i="25"/>
  <c r="F457" i="25"/>
  <c r="E457" i="25"/>
  <c r="G455" i="25"/>
  <c r="F455" i="25"/>
  <c r="F456" i="25" s="1"/>
  <c r="E455" i="25"/>
  <c r="E456" i="25" s="1"/>
  <c r="D455" i="25"/>
  <c r="D456" i="25" s="1"/>
  <c r="C455" i="25"/>
  <c r="C471" i="25" s="1"/>
  <c r="H454" i="25"/>
  <c r="I454" i="25" s="1"/>
  <c r="J454" i="25" s="1"/>
  <c r="H453" i="25"/>
  <c r="K452" i="25"/>
  <c r="J452" i="25"/>
  <c r="I452" i="25"/>
  <c r="H452" i="25"/>
  <c r="H451" i="25"/>
  <c r="L462" i="25" s="1"/>
  <c r="I450" i="25"/>
  <c r="J450" i="25" s="1"/>
  <c r="H450" i="25"/>
  <c r="N437" i="25"/>
  <c r="O435" i="25" s="1"/>
  <c r="O436" i="25"/>
  <c r="L435" i="25"/>
  <c r="O434" i="25"/>
  <c r="L432" i="25"/>
  <c r="G428" i="25"/>
  <c r="F427" i="25"/>
  <c r="G426" i="25"/>
  <c r="G427" i="25" s="1"/>
  <c r="F426" i="25"/>
  <c r="F442" i="25" s="1"/>
  <c r="E426" i="25"/>
  <c r="E442" i="25" s="1"/>
  <c r="D426" i="25"/>
  <c r="D442" i="25" s="1"/>
  <c r="C426" i="25"/>
  <c r="C442" i="25" s="1"/>
  <c r="H425" i="25"/>
  <c r="H424" i="25"/>
  <c r="K424" i="25" s="1"/>
  <c r="H423" i="25"/>
  <c r="H422" i="25"/>
  <c r="L433" i="25" s="1"/>
  <c r="H421" i="25"/>
  <c r="K421" i="25" s="1"/>
  <c r="D413" i="25"/>
  <c r="N408" i="25"/>
  <c r="AA153" i="25" s="1"/>
  <c r="E398" i="25"/>
  <c r="D398" i="25"/>
  <c r="D399" i="25" s="1"/>
  <c r="C398" i="25"/>
  <c r="G397" i="25"/>
  <c r="F397" i="25"/>
  <c r="F413" i="25" s="1"/>
  <c r="E397" i="25"/>
  <c r="E413" i="25" s="1"/>
  <c r="D397" i="25"/>
  <c r="C397" i="25"/>
  <c r="C413" i="25" s="1"/>
  <c r="H396" i="25"/>
  <c r="L407" i="25" s="1"/>
  <c r="I395" i="25"/>
  <c r="J395" i="25" s="1"/>
  <c r="H395" i="25"/>
  <c r="L406" i="25" s="1"/>
  <c r="H394" i="25"/>
  <c r="L405" i="25" s="1"/>
  <c r="H393" i="25"/>
  <c r="L404" i="25" s="1"/>
  <c r="I392" i="25"/>
  <c r="J392" i="25" s="1"/>
  <c r="H392" i="25"/>
  <c r="D384" i="25"/>
  <c r="C384" i="25"/>
  <c r="N379" i="25"/>
  <c r="O378" i="25" s="1"/>
  <c r="O377" i="25"/>
  <c r="O374" i="25"/>
  <c r="E369" i="25"/>
  <c r="E370" i="25" s="1"/>
  <c r="D369" i="25"/>
  <c r="D370" i="25" s="1"/>
  <c r="G368" i="25"/>
  <c r="F368" i="25"/>
  <c r="E368" i="25"/>
  <c r="E384" i="25" s="1"/>
  <c r="D368" i="25"/>
  <c r="C368" i="25"/>
  <c r="C369" i="25" s="1"/>
  <c r="C370" i="25" s="1"/>
  <c r="H367" i="25"/>
  <c r="L378" i="25" s="1"/>
  <c r="H366" i="25"/>
  <c r="L377" i="25" s="1"/>
  <c r="C377" i="25" s="1"/>
  <c r="H365" i="25"/>
  <c r="L376" i="25" s="1"/>
  <c r="H364" i="25"/>
  <c r="H363" i="25"/>
  <c r="L374" i="25" s="1"/>
  <c r="E355" i="25"/>
  <c r="N350" i="25"/>
  <c r="O349" i="25" s="1"/>
  <c r="C340" i="25"/>
  <c r="G339" i="25"/>
  <c r="G355" i="25" s="1"/>
  <c r="F339" i="25"/>
  <c r="F355" i="25" s="1"/>
  <c r="E339" i="25"/>
  <c r="E340" i="25" s="1"/>
  <c r="D339" i="25"/>
  <c r="D355" i="25" s="1"/>
  <c r="C339" i="25"/>
  <c r="C355" i="25" s="1"/>
  <c r="I338" i="25"/>
  <c r="J338" i="25" s="1"/>
  <c r="H338" i="25"/>
  <c r="H337" i="25"/>
  <c r="H336" i="25"/>
  <c r="L347" i="25" s="1"/>
  <c r="H335" i="25"/>
  <c r="I335" i="25" s="1"/>
  <c r="J335" i="25" s="1"/>
  <c r="H334" i="25"/>
  <c r="F326" i="25"/>
  <c r="N321" i="25"/>
  <c r="AA123" i="25" s="1"/>
  <c r="L317" i="25"/>
  <c r="G311" i="25"/>
  <c r="G312" i="25" s="1"/>
  <c r="G310" i="25"/>
  <c r="G326" i="25" s="1"/>
  <c r="F310" i="25"/>
  <c r="F311" i="25" s="1"/>
  <c r="E310" i="25"/>
  <c r="E311" i="25" s="1"/>
  <c r="E312" i="25" s="1"/>
  <c r="D310" i="25"/>
  <c r="C310" i="25"/>
  <c r="C311" i="25" s="1"/>
  <c r="H309" i="25"/>
  <c r="I309" i="25" s="1"/>
  <c r="J309" i="25" s="1"/>
  <c r="H308" i="25"/>
  <c r="H307" i="25"/>
  <c r="L318" i="25" s="1"/>
  <c r="H306" i="25"/>
  <c r="K305" i="25"/>
  <c r="H305" i="25"/>
  <c r="L316" i="25" s="1"/>
  <c r="E297" i="25"/>
  <c r="D297" i="25"/>
  <c r="N292" i="25"/>
  <c r="O291" i="25" s="1"/>
  <c r="L291" i="25"/>
  <c r="O290" i="25"/>
  <c r="O289" i="25"/>
  <c r="O288" i="25"/>
  <c r="O287" i="25"/>
  <c r="O292" i="25" s="1"/>
  <c r="F282" i="25"/>
  <c r="F283" i="25" s="1"/>
  <c r="D282" i="25"/>
  <c r="D283" i="25" s="1"/>
  <c r="G281" i="25"/>
  <c r="G282" i="25" s="1"/>
  <c r="F281" i="25"/>
  <c r="F297" i="25" s="1"/>
  <c r="E281" i="25"/>
  <c r="E282" i="25" s="1"/>
  <c r="D281" i="25"/>
  <c r="C281" i="25"/>
  <c r="C297" i="25" s="1"/>
  <c r="H280" i="25"/>
  <c r="I280" i="25" s="1"/>
  <c r="J280" i="25" s="1"/>
  <c r="H279" i="25"/>
  <c r="L290" i="25" s="1"/>
  <c r="G290" i="25" s="1"/>
  <c r="H278" i="25"/>
  <c r="K278" i="25" s="1"/>
  <c r="I277" i="25"/>
  <c r="N277" i="25" s="1"/>
  <c r="U112" i="25" s="1"/>
  <c r="H277" i="25"/>
  <c r="L288" i="25" s="1"/>
  <c r="D288" i="25" s="1"/>
  <c r="H276" i="25"/>
  <c r="K276" i="25" s="1"/>
  <c r="E268" i="25"/>
  <c r="N263" i="25"/>
  <c r="O262" i="25" s="1"/>
  <c r="O261" i="25"/>
  <c r="E253" i="25"/>
  <c r="E254" i="25" s="1"/>
  <c r="D253" i="25"/>
  <c r="D254" i="25" s="1"/>
  <c r="C253" i="25"/>
  <c r="C254" i="25" s="1"/>
  <c r="G252" i="25"/>
  <c r="F252" i="25"/>
  <c r="F268" i="25" s="1"/>
  <c r="E252" i="25"/>
  <c r="D252" i="25"/>
  <c r="D268" i="25" s="1"/>
  <c r="C252" i="25"/>
  <c r="C268" i="25" s="1"/>
  <c r="H251" i="25"/>
  <c r="L262" i="25" s="1"/>
  <c r="I250" i="25"/>
  <c r="J250" i="25" s="1"/>
  <c r="H250" i="25"/>
  <c r="L261" i="25" s="1"/>
  <c r="H249" i="25"/>
  <c r="L260" i="25" s="1"/>
  <c r="H248" i="25"/>
  <c r="L259" i="25" s="1"/>
  <c r="H247" i="25"/>
  <c r="L258" i="25" s="1"/>
  <c r="N234" i="25"/>
  <c r="O232" i="25" s="1"/>
  <c r="L233" i="25"/>
  <c r="O231" i="25"/>
  <c r="L229" i="25"/>
  <c r="F224" i="25"/>
  <c r="F225" i="25" s="1"/>
  <c r="G223" i="25"/>
  <c r="G224" i="25" s="1"/>
  <c r="G225" i="25" s="1"/>
  <c r="F223" i="25"/>
  <c r="F239" i="25" s="1"/>
  <c r="E223" i="25"/>
  <c r="E224" i="25" s="1"/>
  <c r="D223" i="25"/>
  <c r="D239" i="25" s="1"/>
  <c r="C223" i="25"/>
  <c r="C224" i="25" s="1"/>
  <c r="K222" i="25"/>
  <c r="H222" i="25"/>
  <c r="I222" i="25" s="1"/>
  <c r="J222" i="25" s="1"/>
  <c r="H221" i="25"/>
  <c r="L232" i="25" s="1"/>
  <c r="D232" i="25" s="1"/>
  <c r="H220" i="25"/>
  <c r="H219" i="25"/>
  <c r="I219" i="25" s="1"/>
  <c r="H218" i="25"/>
  <c r="K218" i="25" s="1"/>
  <c r="AA213" i="25"/>
  <c r="X213" i="25"/>
  <c r="W213" i="25"/>
  <c r="V213" i="25"/>
  <c r="U213" i="25"/>
  <c r="T213" i="25"/>
  <c r="G210" i="25"/>
  <c r="N205" i="25"/>
  <c r="O201" i="25" s="1"/>
  <c r="O204" i="25"/>
  <c r="AA203" i="25"/>
  <c r="X203" i="25"/>
  <c r="W203" i="25"/>
  <c r="V203" i="25"/>
  <c r="U203" i="25"/>
  <c r="T203" i="25"/>
  <c r="G194" i="25"/>
  <c r="G195" i="25" s="1"/>
  <c r="G196" i="25" s="1"/>
  <c r="F194" i="25"/>
  <c r="F210" i="25" s="1"/>
  <c r="E194" i="25"/>
  <c r="E195" i="25" s="1"/>
  <c r="D194" i="25"/>
  <c r="C194" i="25"/>
  <c r="AA193" i="25"/>
  <c r="X193" i="25"/>
  <c r="W193" i="25"/>
  <c r="V193" i="25"/>
  <c r="U193" i="25"/>
  <c r="T193" i="25"/>
  <c r="H193" i="25"/>
  <c r="H192" i="25"/>
  <c r="I192" i="25" s="1"/>
  <c r="J192" i="25" s="1"/>
  <c r="H191" i="25"/>
  <c r="H190" i="25"/>
  <c r="L201" i="25" s="1"/>
  <c r="H189" i="25"/>
  <c r="L200" i="25" s="1"/>
  <c r="X183" i="25"/>
  <c r="W183" i="25"/>
  <c r="V183" i="25"/>
  <c r="U183" i="25"/>
  <c r="T183" i="25"/>
  <c r="F181" i="25"/>
  <c r="N176" i="25"/>
  <c r="O174" i="25" s="1"/>
  <c r="G174" i="25" s="1"/>
  <c r="O175" i="25"/>
  <c r="E175" i="25" s="1"/>
  <c r="L174" i="25"/>
  <c r="AA173" i="25"/>
  <c r="X173" i="25"/>
  <c r="W173" i="25"/>
  <c r="V173" i="25"/>
  <c r="U173" i="25"/>
  <c r="T173" i="25"/>
  <c r="O173" i="25"/>
  <c r="E167" i="25"/>
  <c r="E166" i="25"/>
  <c r="G165" i="25"/>
  <c r="G181" i="25" s="1"/>
  <c r="F165" i="25"/>
  <c r="F166" i="25" s="1"/>
  <c r="E165" i="25"/>
  <c r="E181" i="25" s="1"/>
  <c r="D165" i="25"/>
  <c r="D181" i="25" s="1"/>
  <c r="C165" i="25"/>
  <c r="C166" i="25" s="1"/>
  <c r="K164" i="25"/>
  <c r="H164" i="25"/>
  <c r="L175" i="25" s="1"/>
  <c r="AA163" i="25"/>
  <c r="X163" i="25"/>
  <c r="W163" i="25"/>
  <c r="V163" i="25"/>
  <c r="U163" i="25"/>
  <c r="T163" i="25"/>
  <c r="H163" i="25"/>
  <c r="I163" i="25" s="1"/>
  <c r="J163" i="25" s="1"/>
  <c r="H162" i="25"/>
  <c r="L173" i="25" s="1"/>
  <c r="H161" i="25"/>
  <c r="L172" i="25" s="1"/>
  <c r="H160" i="25"/>
  <c r="X153" i="25"/>
  <c r="W153" i="25"/>
  <c r="V153" i="25"/>
  <c r="U153" i="25"/>
  <c r="T153" i="25"/>
  <c r="D152" i="25"/>
  <c r="N147" i="25"/>
  <c r="O143" i="25" s="1"/>
  <c r="O145" i="25"/>
  <c r="O144" i="25"/>
  <c r="AA143" i="25"/>
  <c r="X143" i="25"/>
  <c r="W143" i="25"/>
  <c r="V143" i="25"/>
  <c r="U143" i="25"/>
  <c r="T143" i="25"/>
  <c r="G136" i="25"/>
  <c r="G152" i="25" s="1"/>
  <c r="F136" i="25"/>
  <c r="E136" i="25"/>
  <c r="E137" i="25" s="1"/>
  <c r="D136" i="25"/>
  <c r="D137" i="25" s="1"/>
  <c r="C136" i="25"/>
  <c r="C137" i="25" s="1"/>
  <c r="C138" i="25" s="1"/>
  <c r="AP135" i="25"/>
  <c r="AO135" i="25"/>
  <c r="AN135" i="25"/>
  <c r="AM135" i="25"/>
  <c r="AL135" i="25"/>
  <c r="H135" i="25"/>
  <c r="K135" i="25" s="1"/>
  <c r="AP134" i="25"/>
  <c r="AO134" i="25"/>
  <c r="AN134" i="25"/>
  <c r="AM134" i="25"/>
  <c r="AL134" i="25"/>
  <c r="H134" i="25"/>
  <c r="L145" i="25" s="1"/>
  <c r="X133" i="25"/>
  <c r="W133" i="25"/>
  <c r="V133" i="25"/>
  <c r="U133" i="25"/>
  <c r="T133" i="25"/>
  <c r="H133" i="25"/>
  <c r="I133" i="25" s="1"/>
  <c r="J133" i="25" s="1"/>
  <c r="AS132" i="25"/>
  <c r="AN133" i="25" s="1"/>
  <c r="H132" i="25"/>
  <c r="L143" i="25" s="1"/>
  <c r="H131" i="25"/>
  <c r="AP130" i="25"/>
  <c r="AO130" i="25"/>
  <c r="AN130" i="25"/>
  <c r="AM130" i="25"/>
  <c r="AL130" i="25"/>
  <c r="AP129" i="25"/>
  <c r="AO129" i="25"/>
  <c r="AN129" i="25"/>
  <c r="AM129" i="25"/>
  <c r="AL129" i="25"/>
  <c r="AO128" i="25"/>
  <c r="AS127" i="25"/>
  <c r="AL128" i="25" s="1"/>
  <c r="AP125" i="25"/>
  <c r="AO125" i="25"/>
  <c r="AN125" i="25"/>
  <c r="AM125" i="25"/>
  <c r="AL125" i="25"/>
  <c r="AP124" i="25"/>
  <c r="AO124" i="25"/>
  <c r="AN124" i="25"/>
  <c r="AM124" i="25"/>
  <c r="AL124" i="25"/>
  <c r="X123" i="25"/>
  <c r="W123" i="25"/>
  <c r="V123" i="25"/>
  <c r="U123" i="25"/>
  <c r="T123" i="25"/>
  <c r="AS122" i="25"/>
  <c r="AP123" i="25" s="1"/>
  <c r="AP120" i="25"/>
  <c r="AO120" i="25"/>
  <c r="AN120" i="25"/>
  <c r="AM120" i="25"/>
  <c r="AL120" i="25"/>
  <c r="AP119" i="25"/>
  <c r="AO119" i="25"/>
  <c r="AN119" i="25"/>
  <c r="AM119" i="25"/>
  <c r="AL119" i="25"/>
  <c r="N118" i="25"/>
  <c r="AA53" i="25" s="1"/>
  <c r="AP116" i="25"/>
  <c r="AO116" i="25"/>
  <c r="AN116" i="25"/>
  <c r="AM116" i="25"/>
  <c r="AL116" i="25"/>
  <c r="AA113" i="25"/>
  <c r="X113" i="25"/>
  <c r="W113" i="25"/>
  <c r="V113" i="25"/>
  <c r="U113" i="25"/>
  <c r="T113" i="25"/>
  <c r="G107" i="25"/>
  <c r="G123" i="25" s="1"/>
  <c r="F107" i="25"/>
  <c r="F123" i="25" s="1"/>
  <c r="E107" i="25"/>
  <c r="D107" i="25"/>
  <c r="D123" i="25" s="1"/>
  <c r="C107" i="25"/>
  <c r="C123" i="25" s="1"/>
  <c r="I106" i="25"/>
  <c r="J106" i="25" s="1"/>
  <c r="H106" i="25"/>
  <c r="K106" i="25" s="1"/>
  <c r="H105" i="25"/>
  <c r="H104" i="25"/>
  <c r="X103" i="25"/>
  <c r="W103" i="25"/>
  <c r="V103" i="25"/>
  <c r="U103" i="25"/>
  <c r="T103" i="25"/>
  <c r="H103" i="25"/>
  <c r="L114" i="25" s="1"/>
  <c r="H102" i="25"/>
  <c r="AW99" i="25"/>
  <c r="AX96" i="25" s="1"/>
  <c r="X93" i="25"/>
  <c r="W93" i="25"/>
  <c r="V93" i="25"/>
  <c r="U93" i="25"/>
  <c r="T93" i="25"/>
  <c r="AO89" i="25"/>
  <c r="AO90" i="25" s="1"/>
  <c r="AN89" i="25"/>
  <c r="AN90" i="25" s="1"/>
  <c r="N89" i="25"/>
  <c r="O85" i="25" s="1"/>
  <c r="AP88" i="25"/>
  <c r="AP104" i="25" s="1"/>
  <c r="AO88" i="25"/>
  <c r="AO104" i="25" s="1"/>
  <c r="AN88" i="25"/>
  <c r="AN104" i="25" s="1"/>
  <c r="AM88" i="25"/>
  <c r="AM89" i="25" s="1"/>
  <c r="AL88" i="25"/>
  <c r="AL104" i="25" s="1"/>
  <c r="O88" i="25"/>
  <c r="AQ87" i="25"/>
  <c r="AU98" i="25" s="1"/>
  <c r="AR86" i="25"/>
  <c r="AW86" i="25" s="1"/>
  <c r="AO115" i="25" s="1"/>
  <c r="AQ86" i="25"/>
  <c r="AU97" i="25" s="1"/>
  <c r="AQ85" i="25"/>
  <c r="AQ84" i="25"/>
  <c r="O84" i="25"/>
  <c r="AQ83" i="25"/>
  <c r="AU94" i="25" s="1"/>
  <c r="AA83" i="25"/>
  <c r="X83" i="25"/>
  <c r="W83" i="25"/>
  <c r="V83" i="25"/>
  <c r="U83" i="25"/>
  <c r="T83" i="25"/>
  <c r="E80" i="25"/>
  <c r="E79" i="25"/>
  <c r="G78" i="25"/>
  <c r="F78" i="25"/>
  <c r="F94" i="25" s="1"/>
  <c r="E78" i="25"/>
  <c r="E94" i="25" s="1"/>
  <c r="D78" i="25"/>
  <c r="D94" i="25" s="1"/>
  <c r="C78" i="25"/>
  <c r="C79" i="25" s="1"/>
  <c r="H77" i="25"/>
  <c r="L88" i="25" s="1"/>
  <c r="H76" i="25"/>
  <c r="L87" i="25" s="1"/>
  <c r="K75" i="25"/>
  <c r="H75" i="25"/>
  <c r="I75" i="25" s="1"/>
  <c r="N75" i="25" s="1"/>
  <c r="V42" i="25" s="1"/>
  <c r="H74" i="25"/>
  <c r="L85" i="25" s="1"/>
  <c r="AA73" i="25"/>
  <c r="X73" i="25"/>
  <c r="W73" i="25"/>
  <c r="V73" i="25"/>
  <c r="U73" i="25"/>
  <c r="T73" i="25"/>
  <c r="H73" i="25"/>
  <c r="AA63" i="25"/>
  <c r="X63" i="25"/>
  <c r="W63" i="25"/>
  <c r="V63" i="25"/>
  <c r="U63" i="25"/>
  <c r="T63" i="25"/>
  <c r="N60" i="25"/>
  <c r="O56" i="25" s="1"/>
  <c r="X53" i="25"/>
  <c r="W53" i="25"/>
  <c r="V53" i="25"/>
  <c r="U53" i="25"/>
  <c r="T53" i="25"/>
  <c r="G49" i="25"/>
  <c r="G65" i="25" s="1"/>
  <c r="F49" i="25"/>
  <c r="F65" i="25" s="1"/>
  <c r="E49" i="25"/>
  <c r="D49" i="25"/>
  <c r="D65" i="25" s="1"/>
  <c r="C49" i="25"/>
  <c r="C65" i="25" s="1"/>
  <c r="H48" i="25"/>
  <c r="L59" i="25" s="1"/>
  <c r="H47" i="25"/>
  <c r="I47" i="25" s="1"/>
  <c r="J47" i="25" s="1"/>
  <c r="H46" i="25"/>
  <c r="I46" i="25" s="1"/>
  <c r="J46" i="25" s="1"/>
  <c r="H45" i="25"/>
  <c r="L56" i="25" s="1"/>
  <c r="H44" i="25"/>
  <c r="I44" i="25" s="1"/>
  <c r="J44" i="25" s="1"/>
  <c r="X43" i="25"/>
  <c r="W43" i="25"/>
  <c r="V43" i="25"/>
  <c r="U43" i="25"/>
  <c r="T43" i="25"/>
  <c r="X33" i="25"/>
  <c r="W33" i="25"/>
  <c r="V33" i="25"/>
  <c r="U33" i="25"/>
  <c r="T33" i="25"/>
  <c r="N31" i="25"/>
  <c r="O26" i="25" s="1"/>
  <c r="X23" i="25"/>
  <c r="W23" i="25"/>
  <c r="V23" i="25"/>
  <c r="U23" i="25"/>
  <c r="T23" i="25"/>
  <c r="D21" i="25"/>
  <c r="D22" i="25" s="1"/>
  <c r="G20" i="25"/>
  <c r="F20" i="25"/>
  <c r="F36" i="25" s="1"/>
  <c r="E20" i="25"/>
  <c r="E36" i="25" s="1"/>
  <c r="D20" i="25"/>
  <c r="D36" i="25" s="1"/>
  <c r="C20" i="25"/>
  <c r="C36" i="25" s="1"/>
  <c r="H19" i="25"/>
  <c r="H18" i="25"/>
  <c r="K18" i="25" s="1"/>
  <c r="H17" i="25"/>
  <c r="H16" i="25"/>
  <c r="L27" i="25" s="1"/>
  <c r="H15" i="25"/>
  <c r="L26" i="25" s="1"/>
  <c r="J10" i="25"/>
  <c r="I10" i="25"/>
  <c r="K9" i="25"/>
  <c r="F9" i="25"/>
  <c r="B9" i="25"/>
  <c r="B8" i="25"/>
  <c r="C7" i="25" s="1"/>
  <c r="E7" i="25" s="1"/>
  <c r="C6" i="25"/>
  <c r="C8" i="25" s="1"/>
  <c r="C5" i="25"/>
  <c r="E5" i="25" s="1"/>
  <c r="C4" i="25"/>
  <c r="E4" i="25" s="1"/>
  <c r="C3" i="25"/>
  <c r="E3" i="25" s="1"/>
  <c r="N582" i="24"/>
  <c r="O580" i="24" s="1"/>
  <c r="O581" i="24"/>
  <c r="O579" i="24"/>
  <c r="L579" i="24"/>
  <c r="L578" i="24"/>
  <c r="O577" i="24"/>
  <c r="L577" i="24"/>
  <c r="G572" i="24"/>
  <c r="G571" i="24"/>
  <c r="G587" i="24" s="1"/>
  <c r="F571" i="24"/>
  <c r="F572" i="24" s="1"/>
  <c r="E571" i="24"/>
  <c r="D571" i="24"/>
  <c r="D587" i="24" s="1"/>
  <c r="C571" i="24"/>
  <c r="C587" i="24" s="1"/>
  <c r="H570" i="24"/>
  <c r="L581" i="24" s="1"/>
  <c r="H569" i="24"/>
  <c r="L580" i="24" s="1"/>
  <c r="I568" i="24"/>
  <c r="J568" i="24" s="1"/>
  <c r="H568" i="24"/>
  <c r="H567" i="24"/>
  <c r="K567" i="24" s="1"/>
  <c r="K566" i="24"/>
  <c r="H566" i="24"/>
  <c r="E558" i="24"/>
  <c r="N553" i="24"/>
  <c r="O551" i="24" s="1"/>
  <c r="O552" i="24"/>
  <c r="G542" i="24"/>
  <c r="K541" i="24" s="1"/>
  <c r="F542" i="24"/>
  <c r="F558" i="24" s="1"/>
  <c r="E542" i="24"/>
  <c r="E543" i="24" s="1"/>
  <c r="D542" i="24"/>
  <c r="D558" i="24" s="1"/>
  <c r="C542" i="24"/>
  <c r="C558" i="24" s="1"/>
  <c r="H541" i="24"/>
  <c r="L552" i="24" s="1"/>
  <c r="H540" i="24"/>
  <c r="L551" i="24" s="1"/>
  <c r="H539" i="24"/>
  <c r="L550" i="24" s="1"/>
  <c r="I538" i="24"/>
  <c r="J538" i="24" s="1"/>
  <c r="H538" i="24"/>
  <c r="L549" i="24" s="1"/>
  <c r="H537" i="24"/>
  <c r="L548" i="24" s="1"/>
  <c r="N524" i="24"/>
  <c r="O523" i="24"/>
  <c r="O522" i="24"/>
  <c r="O521" i="24"/>
  <c r="O520" i="24"/>
  <c r="O519" i="24"/>
  <c r="L519" i="24"/>
  <c r="C519" i="24" s="1"/>
  <c r="E514" i="24"/>
  <c r="C514" i="24"/>
  <c r="C515" i="24" s="1"/>
  <c r="G513" i="24"/>
  <c r="G529" i="24" s="1"/>
  <c r="F513" i="24"/>
  <c r="F529" i="24" s="1"/>
  <c r="E513" i="24"/>
  <c r="E529" i="24" s="1"/>
  <c r="D513" i="24"/>
  <c r="D514" i="24" s="1"/>
  <c r="C513" i="24"/>
  <c r="C529" i="24" s="1"/>
  <c r="H512" i="24"/>
  <c r="L523" i="24" s="1"/>
  <c r="G523" i="24" s="1"/>
  <c r="H511" i="24"/>
  <c r="K511" i="24" s="1"/>
  <c r="H510" i="24"/>
  <c r="H509" i="24"/>
  <c r="K509" i="24" s="1"/>
  <c r="H508" i="24"/>
  <c r="K508" i="24" s="1"/>
  <c r="C500" i="24"/>
  <c r="N495" i="24"/>
  <c r="F485" i="24"/>
  <c r="F486" i="24" s="1"/>
  <c r="D485" i="24"/>
  <c r="N480" i="24" s="1"/>
  <c r="U182" i="24" s="1"/>
  <c r="G484" i="24"/>
  <c r="G485" i="24" s="1"/>
  <c r="G486" i="24" s="1"/>
  <c r="F484" i="24"/>
  <c r="F500" i="24" s="1"/>
  <c r="E484" i="24"/>
  <c r="E485" i="24" s="1"/>
  <c r="D484" i="24"/>
  <c r="D500" i="24" s="1"/>
  <c r="C484" i="24"/>
  <c r="C485" i="24" s="1"/>
  <c r="C486" i="24" s="1"/>
  <c r="H483" i="24"/>
  <c r="K483" i="24" s="1"/>
  <c r="I482" i="24"/>
  <c r="J482" i="24" s="1"/>
  <c r="H482" i="24"/>
  <c r="L493" i="24" s="1"/>
  <c r="K481" i="24"/>
  <c r="H481" i="24"/>
  <c r="I481" i="24" s="1"/>
  <c r="J481" i="24" s="1"/>
  <c r="H480" i="24"/>
  <c r="I480" i="24" s="1"/>
  <c r="J480" i="24" s="1"/>
  <c r="I479" i="24"/>
  <c r="J479" i="24" s="1"/>
  <c r="H479" i="24"/>
  <c r="N466" i="24"/>
  <c r="O465" i="24" s="1"/>
  <c r="O464" i="24"/>
  <c r="O463" i="24"/>
  <c r="L463" i="24"/>
  <c r="O462" i="24"/>
  <c r="O461" i="24"/>
  <c r="G455" i="24"/>
  <c r="G456" i="24" s="1"/>
  <c r="F455" i="24"/>
  <c r="F456" i="24" s="1"/>
  <c r="F457" i="24" s="1"/>
  <c r="E455" i="24"/>
  <c r="D455" i="24"/>
  <c r="D471" i="24" s="1"/>
  <c r="C455" i="24"/>
  <c r="C471" i="24" s="1"/>
  <c r="H454" i="24"/>
  <c r="K454" i="24" s="1"/>
  <c r="H453" i="24"/>
  <c r="H452" i="24"/>
  <c r="H451" i="24"/>
  <c r="I451" i="24" s="1"/>
  <c r="J451" i="24" s="1"/>
  <c r="H450" i="24"/>
  <c r="L461" i="24" s="1"/>
  <c r="N437" i="24"/>
  <c r="O436" i="24" s="1"/>
  <c r="G427" i="24"/>
  <c r="G428" i="24" s="1"/>
  <c r="C427" i="24"/>
  <c r="G426" i="24"/>
  <c r="G442" i="24" s="1"/>
  <c r="F426" i="24"/>
  <c r="F442" i="24" s="1"/>
  <c r="E426" i="24"/>
  <c r="E427" i="24" s="1"/>
  <c r="D426" i="24"/>
  <c r="D442" i="24" s="1"/>
  <c r="C426" i="24"/>
  <c r="C442" i="24" s="1"/>
  <c r="H425" i="24"/>
  <c r="L436" i="24" s="1"/>
  <c r="H424" i="24"/>
  <c r="L435" i="24" s="1"/>
  <c r="H423" i="24"/>
  <c r="L434" i="24" s="1"/>
  <c r="I422" i="24"/>
  <c r="J422" i="24" s="1"/>
  <c r="H422" i="24"/>
  <c r="L433" i="24" s="1"/>
  <c r="I421" i="24"/>
  <c r="J421" i="24" s="1"/>
  <c r="H421" i="24"/>
  <c r="L432" i="24" s="1"/>
  <c r="E413" i="24"/>
  <c r="N408" i="24"/>
  <c r="O404" i="24" s="1"/>
  <c r="O407" i="24"/>
  <c r="O406" i="24"/>
  <c r="F398" i="24"/>
  <c r="C398" i="24"/>
  <c r="C399" i="24" s="1"/>
  <c r="G397" i="24"/>
  <c r="G398" i="24" s="1"/>
  <c r="F397" i="24"/>
  <c r="F413" i="24" s="1"/>
  <c r="E397" i="24"/>
  <c r="E398" i="24" s="1"/>
  <c r="E399" i="24" s="1"/>
  <c r="D397" i="24"/>
  <c r="C397" i="24"/>
  <c r="C413" i="24" s="1"/>
  <c r="H396" i="24"/>
  <c r="L407" i="24" s="1"/>
  <c r="H395" i="24"/>
  <c r="K395" i="24" s="1"/>
  <c r="H394" i="24"/>
  <c r="H393" i="24"/>
  <c r="N392" i="24"/>
  <c r="T152" i="24" s="1"/>
  <c r="K392" i="24"/>
  <c r="J392" i="24"/>
  <c r="I392" i="24"/>
  <c r="H392" i="24"/>
  <c r="N379" i="24"/>
  <c r="L376" i="24"/>
  <c r="O375" i="24"/>
  <c r="L375" i="24"/>
  <c r="C375" i="24"/>
  <c r="O374" i="24"/>
  <c r="G369" i="24"/>
  <c r="G370" i="24" s="1"/>
  <c r="C369" i="24"/>
  <c r="G368" i="24"/>
  <c r="G384" i="24" s="1"/>
  <c r="F368" i="24"/>
  <c r="F384" i="24" s="1"/>
  <c r="E368" i="24"/>
  <c r="E384" i="24" s="1"/>
  <c r="D368" i="24"/>
  <c r="D384" i="24" s="1"/>
  <c r="C368" i="24"/>
  <c r="C384" i="24" s="1"/>
  <c r="H367" i="24"/>
  <c r="L378" i="24" s="1"/>
  <c r="H366" i="24"/>
  <c r="H368" i="24" s="1"/>
  <c r="I369" i="24" s="1"/>
  <c r="AD28" i="24" s="1"/>
  <c r="H365" i="24"/>
  <c r="I365" i="24" s="1"/>
  <c r="J365" i="24" s="1"/>
  <c r="I364" i="24"/>
  <c r="J364" i="24" s="1"/>
  <c r="H364" i="24"/>
  <c r="K363" i="24"/>
  <c r="H363" i="24"/>
  <c r="L374" i="24" s="1"/>
  <c r="N350" i="24"/>
  <c r="O349" i="24" s="1"/>
  <c r="L349" i="24"/>
  <c r="O347" i="24"/>
  <c r="L347" i="24"/>
  <c r="F347" i="24" s="1"/>
  <c r="O346" i="24"/>
  <c r="G339" i="24"/>
  <c r="F339" i="24"/>
  <c r="F355" i="24" s="1"/>
  <c r="E339" i="24"/>
  <c r="E355" i="24" s="1"/>
  <c r="D339" i="24"/>
  <c r="D355" i="24" s="1"/>
  <c r="C339" i="24"/>
  <c r="C355" i="24" s="1"/>
  <c r="I338" i="24"/>
  <c r="J338" i="24" s="1"/>
  <c r="H338" i="24"/>
  <c r="H337" i="24"/>
  <c r="H336" i="24"/>
  <c r="H335" i="24"/>
  <c r="K335" i="24" s="1"/>
  <c r="K334" i="24"/>
  <c r="J334" i="24"/>
  <c r="H334" i="24"/>
  <c r="I334" i="24" s="1"/>
  <c r="E326" i="24"/>
  <c r="N321" i="24"/>
  <c r="AA123" i="24" s="1"/>
  <c r="G310" i="24"/>
  <c r="F310" i="24"/>
  <c r="F326" i="24" s="1"/>
  <c r="E310" i="24"/>
  <c r="E311" i="24" s="1"/>
  <c r="D310" i="24"/>
  <c r="D326" i="24" s="1"/>
  <c r="C310" i="24"/>
  <c r="C326" i="24" s="1"/>
  <c r="H309" i="24"/>
  <c r="I309" i="24" s="1"/>
  <c r="J309" i="24" s="1"/>
  <c r="H308" i="24"/>
  <c r="I308" i="24" s="1"/>
  <c r="J308" i="24" s="1"/>
  <c r="H307" i="24"/>
  <c r="L318" i="24" s="1"/>
  <c r="H306" i="24"/>
  <c r="L317" i="24" s="1"/>
  <c r="H305" i="24"/>
  <c r="G297" i="24"/>
  <c r="N292" i="24"/>
  <c r="O291" i="24" s="1"/>
  <c r="O290" i="24"/>
  <c r="L288" i="24"/>
  <c r="O287" i="24"/>
  <c r="E287" i="24"/>
  <c r="D287" i="24"/>
  <c r="F282" i="24"/>
  <c r="G281" i="24"/>
  <c r="G282" i="24" s="1"/>
  <c r="G283" i="24" s="1"/>
  <c r="F281" i="24"/>
  <c r="F297" i="24" s="1"/>
  <c r="E281" i="24"/>
  <c r="D281" i="24"/>
  <c r="D297" i="24" s="1"/>
  <c r="C281" i="24"/>
  <c r="C297" i="24" s="1"/>
  <c r="H280" i="24"/>
  <c r="H279" i="24"/>
  <c r="I279" i="24" s="1"/>
  <c r="J279" i="24" s="1"/>
  <c r="H278" i="24"/>
  <c r="J277" i="24"/>
  <c r="H277" i="24"/>
  <c r="I277" i="24" s="1"/>
  <c r="H276" i="24"/>
  <c r="L287" i="24" s="1"/>
  <c r="G287" i="24" s="1"/>
  <c r="F268" i="24"/>
  <c r="C268" i="24"/>
  <c r="N263" i="24"/>
  <c r="AA103" i="24" s="1"/>
  <c r="L262" i="24"/>
  <c r="F253" i="24"/>
  <c r="F254" i="24" s="1"/>
  <c r="G252" i="24"/>
  <c r="F252" i="24"/>
  <c r="E252" i="24"/>
  <c r="E253" i="24" s="1"/>
  <c r="E254" i="24" s="1"/>
  <c r="D252" i="24"/>
  <c r="D253" i="24" s="1"/>
  <c r="D254" i="24" s="1"/>
  <c r="C252" i="24"/>
  <c r="C253" i="24" s="1"/>
  <c r="H251" i="24"/>
  <c r="I251" i="24" s="1"/>
  <c r="J251" i="24" s="1"/>
  <c r="K250" i="24"/>
  <c r="H250" i="24"/>
  <c r="L261" i="24" s="1"/>
  <c r="H249" i="24"/>
  <c r="L260" i="24" s="1"/>
  <c r="H248" i="24"/>
  <c r="I248" i="24" s="1"/>
  <c r="J248" i="24" s="1"/>
  <c r="K247" i="24"/>
  <c r="H247" i="24"/>
  <c r="L258" i="24" s="1"/>
  <c r="D239" i="24"/>
  <c r="N234" i="24"/>
  <c r="O233" i="24" s="1"/>
  <c r="O232" i="24"/>
  <c r="O231" i="24"/>
  <c r="O230" i="24"/>
  <c r="G223" i="24"/>
  <c r="G239" i="24" s="1"/>
  <c r="F223" i="24"/>
  <c r="F239" i="24" s="1"/>
  <c r="E223" i="24"/>
  <c r="E239" i="24" s="1"/>
  <c r="D223" i="24"/>
  <c r="D224" i="24" s="1"/>
  <c r="C223" i="24"/>
  <c r="C239" i="24" s="1"/>
  <c r="H222" i="24"/>
  <c r="L233" i="24" s="1"/>
  <c r="H221" i="24"/>
  <c r="L232" i="24" s="1"/>
  <c r="H220" i="24"/>
  <c r="L231" i="24" s="1"/>
  <c r="H219" i="24"/>
  <c r="L230" i="24" s="1"/>
  <c r="H218" i="24"/>
  <c r="AA213" i="24"/>
  <c r="X213" i="24"/>
  <c r="W213" i="24"/>
  <c r="V213" i="24"/>
  <c r="U213" i="24"/>
  <c r="T213" i="24"/>
  <c r="F210" i="24"/>
  <c r="E210" i="24"/>
  <c r="N205" i="24"/>
  <c r="AA83" i="24" s="1"/>
  <c r="AA203" i="24"/>
  <c r="X203" i="24"/>
  <c r="W203" i="24"/>
  <c r="V203" i="24"/>
  <c r="U203" i="24"/>
  <c r="T203" i="24"/>
  <c r="L201" i="24"/>
  <c r="L200" i="24"/>
  <c r="E196" i="24"/>
  <c r="F195" i="24"/>
  <c r="G194" i="24"/>
  <c r="G210" i="24" s="1"/>
  <c r="F194" i="24"/>
  <c r="E194" i="24"/>
  <c r="E195" i="24" s="1"/>
  <c r="D194" i="24"/>
  <c r="D195" i="24" s="1"/>
  <c r="C194" i="24"/>
  <c r="C210" i="24" s="1"/>
  <c r="AA193" i="24"/>
  <c r="X193" i="24"/>
  <c r="W193" i="24"/>
  <c r="V193" i="24"/>
  <c r="U193" i="24"/>
  <c r="T193" i="24"/>
  <c r="H193" i="24"/>
  <c r="H192" i="24"/>
  <c r="L203" i="24" s="1"/>
  <c r="H191" i="24"/>
  <c r="H190" i="24"/>
  <c r="I190" i="24" s="1"/>
  <c r="J190" i="24" s="1"/>
  <c r="H189" i="24"/>
  <c r="I189" i="24" s="1"/>
  <c r="J189" i="24" s="1"/>
  <c r="AA183" i="24"/>
  <c r="X183" i="24"/>
  <c r="W183" i="24"/>
  <c r="V183" i="24"/>
  <c r="U183" i="24"/>
  <c r="T183" i="24"/>
  <c r="N176" i="24"/>
  <c r="O174" i="24" s="1"/>
  <c r="AA173" i="24"/>
  <c r="X173" i="24"/>
  <c r="W173" i="24"/>
  <c r="V173" i="24"/>
  <c r="U173" i="24"/>
  <c r="T173" i="24"/>
  <c r="O173" i="24"/>
  <c r="D167" i="24"/>
  <c r="G166" i="24"/>
  <c r="D166" i="24"/>
  <c r="C166" i="24"/>
  <c r="G165" i="24"/>
  <c r="G181" i="24" s="1"/>
  <c r="F165" i="24"/>
  <c r="F181" i="24" s="1"/>
  <c r="E165" i="24"/>
  <c r="D165" i="24"/>
  <c r="D181" i="24" s="1"/>
  <c r="C165" i="24"/>
  <c r="C181" i="24" s="1"/>
  <c r="H164" i="24"/>
  <c r="I164" i="24" s="1"/>
  <c r="J164" i="24" s="1"/>
  <c r="X163" i="24"/>
  <c r="W163" i="24"/>
  <c r="V163" i="24"/>
  <c r="U163" i="24"/>
  <c r="T163" i="24"/>
  <c r="H163" i="24"/>
  <c r="H162" i="24"/>
  <c r="L173" i="24" s="1"/>
  <c r="K161" i="24"/>
  <c r="I161" i="24"/>
  <c r="J161" i="24" s="1"/>
  <c r="H161" i="24"/>
  <c r="L172" i="24" s="1"/>
  <c r="H160" i="24"/>
  <c r="I160" i="24" s="1"/>
  <c r="J160" i="24" s="1"/>
  <c r="AA153" i="24"/>
  <c r="X153" i="24"/>
  <c r="W153" i="24"/>
  <c r="V153" i="24"/>
  <c r="U153" i="24"/>
  <c r="T153" i="24"/>
  <c r="G152" i="24"/>
  <c r="F152" i="24"/>
  <c r="N147" i="24"/>
  <c r="O146" i="24" s="1"/>
  <c r="O144" i="24"/>
  <c r="AA143" i="24"/>
  <c r="X143" i="24"/>
  <c r="W143" i="24"/>
  <c r="V143" i="24"/>
  <c r="U143" i="24"/>
  <c r="T143" i="24"/>
  <c r="L142" i="24"/>
  <c r="G137" i="24"/>
  <c r="G138" i="24" s="1"/>
  <c r="G136" i="24"/>
  <c r="F136" i="24"/>
  <c r="F137" i="24" s="1"/>
  <c r="F138" i="24" s="1"/>
  <c r="E136" i="24"/>
  <c r="E152" i="24" s="1"/>
  <c r="D136" i="24"/>
  <c r="D152" i="24" s="1"/>
  <c r="C136" i="24"/>
  <c r="AP135" i="24"/>
  <c r="AO135" i="24"/>
  <c r="AN135" i="24"/>
  <c r="AM135" i="24"/>
  <c r="AL135" i="24"/>
  <c r="H135" i="24"/>
  <c r="AP134" i="24"/>
  <c r="AO134" i="24"/>
  <c r="AN134" i="24"/>
  <c r="AM134" i="24"/>
  <c r="AL134" i="24"/>
  <c r="AS134" i="24" s="1"/>
  <c r="H134" i="24"/>
  <c r="L145" i="24" s="1"/>
  <c r="AO133" i="24"/>
  <c r="X133" i="24"/>
  <c r="W133" i="24"/>
  <c r="V133" i="24"/>
  <c r="U133" i="24"/>
  <c r="T133" i="24"/>
  <c r="H133" i="24"/>
  <c r="I133" i="24" s="1"/>
  <c r="J133" i="24" s="1"/>
  <c r="AS132" i="24"/>
  <c r="AL133" i="24" s="1"/>
  <c r="H132" i="24"/>
  <c r="H131" i="24"/>
  <c r="I131" i="24" s="1"/>
  <c r="J131" i="24" s="1"/>
  <c r="AP130" i="24"/>
  <c r="AO130" i="24"/>
  <c r="AN130" i="24"/>
  <c r="AM130" i="24"/>
  <c r="AL130" i="24"/>
  <c r="AP129" i="24"/>
  <c r="AO129" i="24"/>
  <c r="AN129" i="24"/>
  <c r="AM129" i="24"/>
  <c r="AL129" i="24"/>
  <c r="AS127" i="24"/>
  <c r="AP128" i="24" s="1"/>
  <c r="AP125" i="24"/>
  <c r="AO125" i="24"/>
  <c r="AN125" i="24"/>
  <c r="AM125" i="24"/>
  <c r="AL125" i="24"/>
  <c r="AP124" i="24"/>
  <c r="AO124" i="24"/>
  <c r="AN124" i="24"/>
  <c r="AM124" i="24"/>
  <c r="AL124" i="24"/>
  <c r="AS124" i="24" s="1"/>
  <c r="X123" i="24"/>
  <c r="W123" i="24"/>
  <c r="V123" i="24"/>
  <c r="U123" i="24"/>
  <c r="T123" i="24"/>
  <c r="AS122" i="24"/>
  <c r="AM123" i="24" s="1"/>
  <c r="AP120" i="24"/>
  <c r="AO120" i="24"/>
  <c r="AN120" i="24"/>
  <c r="AM120" i="24"/>
  <c r="AL120" i="24"/>
  <c r="AP119" i="24"/>
  <c r="AO119" i="24"/>
  <c r="AN119" i="24"/>
  <c r="AM119" i="24"/>
  <c r="AL119" i="24"/>
  <c r="AS119" i="24" s="1"/>
  <c r="N118" i="24"/>
  <c r="O115" i="24" s="1"/>
  <c r="AP116" i="24"/>
  <c r="AO116" i="24"/>
  <c r="AN116" i="24"/>
  <c r="AM116" i="24"/>
  <c r="AL116" i="24"/>
  <c r="AA113" i="24"/>
  <c r="X113" i="24"/>
  <c r="W113" i="24"/>
  <c r="V113" i="24"/>
  <c r="U113" i="24"/>
  <c r="T113" i="24"/>
  <c r="G108" i="24"/>
  <c r="G109" i="24" s="1"/>
  <c r="D108" i="24"/>
  <c r="D109" i="24" s="1"/>
  <c r="C108" i="24"/>
  <c r="C109" i="24" s="1"/>
  <c r="G107" i="24"/>
  <c r="G123" i="24" s="1"/>
  <c r="F107" i="24"/>
  <c r="F108" i="24" s="1"/>
  <c r="E107" i="24"/>
  <c r="D107" i="24"/>
  <c r="D123" i="24" s="1"/>
  <c r="C107" i="24"/>
  <c r="C123" i="24" s="1"/>
  <c r="H106" i="24"/>
  <c r="H105" i="24"/>
  <c r="K105" i="24" s="1"/>
  <c r="H104" i="24"/>
  <c r="L115" i="24" s="1"/>
  <c r="X103" i="24"/>
  <c r="W103" i="24"/>
  <c r="V103" i="24"/>
  <c r="U103" i="24"/>
  <c r="T103" i="24"/>
  <c r="H103" i="24"/>
  <c r="H102" i="24"/>
  <c r="L113" i="24" s="1"/>
  <c r="AW99" i="24"/>
  <c r="AX97" i="24" s="1"/>
  <c r="AX96" i="24"/>
  <c r="AX95" i="24"/>
  <c r="AA93" i="24"/>
  <c r="X93" i="24"/>
  <c r="W93" i="24"/>
  <c r="V93" i="24"/>
  <c r="U93" i="24"/>
  <c r="T93" i="24"/>
  <c r="AL89" i="24"/>
  <c r="AL90" i="24" s="1"/>
  <c r="N89" i="24"/>
  <c r="O88" i="24" s="1"/>
  <c r="AP88" i="24"/>
  <c r="AP104" i="24" s="1"/>
  <c r="AO88" i="24"/>
  <c r="AN88" i="24"/>
  <c r="AN104" i="24" s="1"/>
  <c r="AM88" i="24"/>
  <c r="AM104" i="24" s="1"/>
  <c r="AL88" i="24"/>
  <c r="AL104" i="24" s="1"/>
  <c r="L88" i="24"/>
  <c r="AR87" i="24"/>
  <c r="AS87" i="24" s="1"/>
  <c r="AQ87" i="24"/>
  <c r="AT87" i="24" s="1"/>
  <c r="O87" i="24"/>
  <c r="AQ86" i="24"/>
  <c r="O86" i="24"/>
  <c r="AQ85" i="24"/>
  <c r="AR85" i="24" s="1"/>
  <c r="AS85" i="24" s="1"/>
  <c r="O85" i="24"/>
  <c r="AQ84" i="24"/>
  <c r="O84" i="24"/>
  <c r="AQ83" i="24"/>
  <c r="AR83" i="24" s="1"/>
  <c r="AW83" i="24" s="1"/>
  <c r="AL115" i="24" s="1"/>
  <c r="X83" i="24"/>
  <c r="W83" i="24"/>
  <c r="V83" i="24"/>
  <c r="U83" i="24"/>
  <c r="T83" i="24"/>
  <c r="F79" i="24"/>
  <c r="F80" i="24" s="1"/>
  <c r="C79" i="24"/>
  <c r="G78" i="24"/>
  <c r="G94" i="24" s="1"/>
  <c r="F78" i="24"/>
  <c r="F94" i="24" s="1"/>
  <c r="E78" i="24"/>
  <c r="E94" i="24" s="1"/>
  <c r="D78" i="24"/>
  <c r="D94" i="24" s="1"/>
  <c r="C78" i="24"/>
  <c r="C94" i="24" s="1"/>
  <c r="H77" i="24"/>
  <c r="I77" i="24" s="1"/>
  <c r="J77" i="24" s="1"/>
  <c r="H76" i="24"/>
  <c r="L87" i="24" s="1"/>
  <c r="H75" i="24"/>
  <c r="K75" i="24" s="1"/>
  <c r="H74" i="24"/>
  <c r="AA73" i="24"/>
  <c r="X73" i="24"/>
  <c r="W73" i="24"/>
  <c r="V73" i="24"/>
  <c r="U73" i="24"/>
  <c r="T73" i="24"/>
  <c r="I73" i="24"/>
  <c r="J73" i="24" s="1"/>
  <c r="H73" i="24"/>
  <c r="L84" i="24" s="1"/>
  <c r="X63" i="24"/>
  <c r="W63" i="24"/>
  <c r="V63" i="24"/>
  <c r="U63" i="24"/>
  <c r="T63" i="24"/>
  <c r="N60" i="24"/>
  <c r="O59" i="24" s="1"/>
  <c r="E59" i="24" s="1"/>
  <c r="L59" i="24"/>
  <c r="O58" i="24"/>
  <c r="O56" i="24"/>
  <c r="O55" i="24"/>
  <c r="X53" i="24"/>
  <c r="W53" i="24"/>
  <c r="V53" i="24"/>
  <c r="U53" i="24"/>
  <c r="T53" i="24"/>
  <c r="G49" i="24"/>
  <c r="G65" i="24" s="1"/>
  <c r="F49" i="24"/>
  <c r="F65" i="24" s="1"/>
  <c r="E49" i="24"/>
  <c r="D49" i="24"/>
  <c r="D65" i="24" s="1"/>
  <c r="C49" i="24"/>
  <c r="C65" i="24" s="1"/>
  <c r="K48" i="24"/>
  <c r="H48" i="24"/>
  <c r="I48" i="24" s="1"/>
  <c r="J48" i="24" s="1"/>
  <c r="H47" i="24"/>
  <c r="L58" i="24" s="1"/>
  <c r="G58" i="24" s="1"/>
  <c r="H46" i="24"/>
  <c r="L57" i="24" s="1"/>
  <c r="I45" i="24"/>
  <c r="H45" i="24"/>
  <c r="L56" i="24" s="1"/>
  <c r="H44" i="24"/>
  <c r="K44" i="24" s="1"/>
  <c r="AA43" i="24"/>
  <c r="X43" i="24"/>
  <c r="W43" i="24"/>
  <c r="V43" i="24"/>
  <c r="U43" i="24"/>
  <c r="T43" i="24"/>
  <c r="AA33" i="24"/>
  <c r="X33" i="24"/>
  <c r="W33" i="24"/>
  <c r="V33" i="24"/>
  <c r="U33" i="24"/>
  <c r="T33" i="24"/>
  <c r="N31" i="24"/>
  <c r="O30" i="24" s="1"/>
  <c r="X23" i="24"/>
  <c r="W23" i="24"/>
  <c r="V23" i="24"/>
  <c r="U23" i="24"/>
  <c r="T23" i="24"/>
  <c r="F21" i="24"/>
  <c r="F22" i="24" s="1"/>
  <c r="G20" i="24"/>
  <c r="G36" i="24" s="1"/>
  <c r="F20" i="24"/>
  <c r="F36" i="24" s="1"/>
  <c r="E20" i="24"/>
  <c r="E36" i="24" s="1"/>
  <c r="D20" i="24"/>
  <c r="D36" i="24" s="1"/>
  <c r="C20" i="24"/>
  <c r="C36" i="24" s="1"/>
  <c r="H19" i="24"/>
  <c r="L30" i="24" s="1"/>
  <c r="H18" i="24"/>
  <c r="I18" i="24" s="1"/>
  <c r="H17" i="24"/>
  <c r="K17" i="24" s="1"/>
  <c r="H16" i="24"/>
  <c r="L27" i="24" s="1"/>
  <c r="H15" i="24"/>
  <c r="L26" i="24" s="1"/>
  <c r="J10" i="24"/>
  <c r="I10" i="24"/>
  <c r="K9" i="24"/>
  <c r="B8" i="24"/>
  <c r="F9" i="24" s="1"/>
  <c r="C6" i="24"/>
  <c r="E6" i="24" s="1"/>
  <c r="E5" i="24"/>
  <c r="C5" i="24"/>
  <c r="E4" i="24"/>
  <c r="C4" i="24"/>
  <c r="N582" i="23"/>
  <c r="AA213" i="23" s="1"/>
  <c r="O581" i="23"/>
  <c r="L579" i="23"/>
  <c r="O578" i="23"/>
  <c r="G571" i="23"/>
  <c r="F571" i="23"/>
  <c r="E571" i="23"/>
  <c r="E587" i="23" s="1"/>
  <c r="D571" i="23"/>
  <c r="D572" i="23" s="1"/>
  <c r="C571" i="23"/>
  <c r="C572" i="23" s="1"/>
  <c r="C573" i="23" s="1"/>
  <c r="H570" i="23"/>
  <c r="I569" i="23"/>
  <c r="J569" i="23" s="1"/>
  <c r="H569" i="23"/>
  <c r="H568" i="23"/>
  <c r="I568" i="23" s="1"/>
  <c r="H567" i="23"/>
  <c r="L578" i="23" s="1"/>
  <c r="I566" i="23"/>
  <c r="J566" i="23" s="1"/>
  <c r="H566" i="23"/>
  <c r="N553" i="23"/>
  <c r="O552" i="23" s="1"/>
  <c r="O548" i="23"/>
  <c r="F544" i="23"/>
  <c r="G542" i="23"/>
  <c r="F542" i="23"/>
  <c r="F543" i="23" s="1"/>
  <c r="E542" i="23"/>
  <c r="D542" i="23"/>
  <c r="D558" i="23" s="1"/>
  <c r="C542" i="23"/>
  <c r="C558" i="23" s="1"/>
  <c r="H541" i="23"/>
  <c r="H540" i="23"/>
  <c r="L551" i="23" s="1"/>
  <c r="H539" i="23"/>
  <c r="L550" i="23" s="1"/>
  <c r="I538" i="23"/>
  <c r="J538" i="23" s="1"/>
  <c r="H538" i="23"/>
  <c r="H537" i="23"/>
  <c r="I537" i="23" s="1"/>
  <c r="J537" i="23" s="1"/>
  <c r="N524" i="23"/>
  <c r="AA193" i="23" s="1"/>
  <c r="L522" i="23"/>
  <c r="L520" i="23"/>
  <c r="G514" i="23"/>
  <c r="G515" i="23" s="1"/>
  <c r="E514" i="23"/>
  <c r="D514" i="23"/>
  <c r="G513" i="23"/>
  <c r="G529" i="23" s="1"/>
  <c r="F513" i="23"/>
  <c r="F514" i="23" s="1"/>
  <c r="E513" i="23"/>
  <c r="E529" i="23" s="1"/>
  <c r="D513" i="23"/>
  <c r="D529" i="23" s="1"/>
  <c r="C513" i="23"/>
  <c r="C514" i="23" s="1"/>
  <c r="H512" i="23"/>
  <c r="H511" i="23"/>
  <c r="I511" i="23" s="1"/>
  <c r="J511" i="23" s="1"/>
  <c r="H510" i="23"/>
  <c r="K509" i="23"/>
  <c r="I509" i="23"/>
  <c r="J509" i="23" s="1"/>
  <c r="H509" i="23"/>
  <c r="H508" i="23"/>
  <c r="I508" i="23" s="1"/>
  <c r="J508" i="23" s="1"/>
  <c r="G500" i="23"/>
  <c r="N495" i="23"/>
  <c r="O490" i="23" s="1"/>
  <c r="L493" i="23"/>
  <c r="C486" i="23"/>
  <c r="G484" i="23"/>
  <c r="G485" i="23" s="1"/>
  <c r="G486" i="23" s="1"/>
  <c r="F484" i="23"/>
  <c r="E484" i="23"/>
  <c r="E500" i="23" s="1"/>
  <c r="D484" i="23"/>
  <c r="C484" i="23"/>
  <c r="C485" i="23" s="1"/>
  <c r="N479" i="23" s="1"/>
  <c r="H483" i="23"/>
  <c r="L494" i="23" s="1"/>
  <c r="I482" i="23"/>
  <c r="J482" i="23" s="1"/>
  <c r="H482" i="23"/>
  <c r="H481" i="23"/>
  <c r="L492" i="23" s="1"/>
  <c r="H480" i="23"/>
  <c r="I479" i="23"/>
  <c r="J479" i="23" s="1"/>
  <c r="H479" i="23"/>
  <c r="L490" i="23" s="1"/>
  <c r="N466" i="23"/>
  <c r="O463" i="23" s="1"/>
  <c r="O465" i="23"/>
  <c r="L462" i="23"/>
  <c r="C456" i="23"/>
  <c r="C457" i="23" s="1"/>
  <c r="G455" i="23"/>
  <c r="G456" i="23" s="1"/>
  <c r="F455" i="23"/>
  <c r="E455" i="23"/>
  <c r="D455" i="23"/>
  <c r="D471" i="23" s="1"/>
  <c r="C455" i="23"/>
  <c r="C471" i="23" s="1"/>
  <c r="H454" i="23"/>
  <c r="I454" i="23" s="1"/>
  <c r="J454" i="23" s="1"/>
  <c r="H453" i="23"/>
  <c r="L464" i="23" s="1"/>
  <c r="H452" i="23"/>
  <c r="I452" i="23" s="1"/>
  <c r="J452" i="23" s="1"/>
  <c r="H451" i="23"/>
  <c r="I450" i="23"/>
  <c r="H450" i="23"/>
  <c r="G442" i="23"/>
  <c r="F442" i="23"/>
  <c r="N437" i="23"/>
  <c r="O436" i="23" s="1"/>
  <c r="F427" i="23"/>
  <c r="F428" i="23" s="1"/>
  <c r="E427" i="23"/>
  <c r="E428" i="23" s="1"/>
  <c r="D427" i="23"/>
  <c r="C427" i="23"/>
  <c r="C428" i="23" s="1"/>
  <c r="G426" i="23"/>
  <c r="G427" i="23" s="1"/>
  <c r="G428" i="23" s="1"/>
  <c r="F426" i="23"/>
  <c r="E426" i="23"/>
  <c r="E442" i="23" s="1"/>
  <c r="D426" i="23"/>
  <c r="D442" i="23" s="1"/>
  <c r="C426" i="23"/>
  <c r="C442" i="23" s="1"/>
  <c r="H425" i="23"/>
  <c r="I424" i="23"/>
  <c r="J424" i="23" s="1"/>
  <c r="H424" i="23"/>
  <c r="L435" i="23" s="1"/>
  <c r="H423" i="23"/>
  <c r="K423" i="23" s="1"/>
  <c r="H422" i="23"/>
  <c r="L433" i="23" s="1"/>
  <c r="H421" i="23"/>
  <c r="I421" i="23" s="1"/>
  <c r="J421" i="23" s="1"/>
  <c r="N408" i="23"/>
  <c r="AA153" i="23" s="1"/>
  <c r="L404" i="23"/>
  <c r="L403" i="23"/>
  <c r="G397" i="23"/>
  <c r="G413" i="23" s="1"/>
  <c r="F397" i="23"/>
  <c r="F398" i="23" s="1"/>
  <c r="F399" i="23" s="1"/>
  <c r="E397" i="23"/>
  <c r="D397" i="23"/>
  <c r="C397" i="23"/>
  <c r="H396" i="23"/>
  <c r="K396" i="23" s="1"/>
  <c r="H395" i="23"/>
  <c r="H394" i="23"/>
  <c r="H393" i="23"/>
  <c r="I393" i="23" s="1"/>
  <c r="J393" i="23" s="1"/>
  <c r="H392" i="23"/>
  <c r="I392" i="23" s="1"/>
  <c r="J392" i="23" s="1"/>
  <c r="G384" i="23"/>
  <c r="N379" i="23"/>
  <c r="AA143" i="23" s="1"/>
  <c r="O375" i="23"/>
  <c r="O374" i="23"/>
  <c r="G374" i="23" s="1"/>
  <c r="L374" i="23"/>
  <c r="D370" i="23"/>
  <c r="G368" i="23"/>
  <c r="G369" i="23" s="1"/>
  <c r="F368" i="23"/>
  <c r="E368" i="23"/>
  <c r="D368" i="23"/>
  <c r="D369" i="23" s="1"/>
  <c r="C368" i="23"/>
  <c r="C369" i="23" s="1"/>
  <c r="C370" i="23" s="1"/>
  <c r="H367" i="23"/>
  <c r="K367" i="23" s="1"/>
  <c r="H366" i="23"/>
  <c r="J365" i="23"/>
  <c r="H365" i="23"/>
  <c r="I365" i="23" s="1"/>
  <c r="I364" i="23"/>
  <c r="J364" i="23" s="1"/>
  <c r="H364" i="23"/>
  <c r="H363" i="23"/>
  <c r="N350" i="23"/>
  <c r="O349" i="23" s="1"/>
  <c r="L349" i="23"/>
  <c r="O348" i="23"/>
  <c r="O347" i="23"/>
  <c r="O345" i="23"/>
  <c r="C340" i="23"/>
  <c r="C341" i="23" s="1"/>
  <c r="G339" i="23"/>
  <c r="F339" i="23"/>
  <c r="E339" i="23"/>
  <c r="E355" i="23" s="1"/>
  <c r="D339" i="23"/>
  <c r="D355" i="23" s="1"/>
  <c r="C339" i="23"/>
  <c r="C355" i="23" s="1"/>
  <c r="H338" i="23"/>
  <c r="I338" i="23" s="1"/>
  <c r="J338" i="23" s="1"/>
  <c r="J337" i="23"/>
  <c r="I337" i="23"/>
  <c r="H337" i="23"/>
  <c r="H336" i="23"/>
  <c r="I336" i="23" s="1"/>
  <c r="J336" i="23" s="1"/>
  <c r="H335" i="23"/>
  <c r="I335" i="23" s="1"/>
  <c r="J335" i="23" s="1"/>
  <c r="H334" i="23"/>
  <c r="L345" i="23" s="1"/>
  <c r="N321" i="23"/>
  <c r="O318" i="23" s="1"/>
  <c r="O320" i="23"/>
  <c r="O319" i="23"/>
  <c r="L318" i="23"/>
  <c r="G310" i="23"/>
  <c r="G311" i="23" s="1"/>
  <c r="F310" i="23"/>
  <c r="F311" i="23" s="1"/>
  <c r="E310" i="23"/>
  <c r="E326" i="23" s="1"/>
  <c r="D310" i="23"/>
  <c r="D326" i="23" s="1"/>
  <c r="C310" i="23"/>
  <c r="H309" i="23"/>
  <c r="H308" i="23"/>
  <c r="L319" i="23" s="1"/>
  <c r="H307" i="23"/>
  <c r="K307" i="23" s="1"/>
  <c r="H306" i="23"/>
  <c r="L317" i="23" s="1"/>
  <c r="K305" i="23"/>
  <c r="I305" i="23"/>
  <c r="J305" i="23" s="1"/>
  <c r="H305" i="23"/>
  <c r="L316" i="23" s="1"/>
  <c r="G297" i="23"/>
  <c r="N292" i="23"/>
  <c r="O288" i="23" s="1"/>
  <c r="O291" i="23"/>
  <c r="O290" i="23"/>
  <c r="O289" i="23"/>
  <c r="L288" i="23"/>
  <c r="O287" i="23"/>
  <c r="L287" i="23"/>
  <c r="G281" i="23"/>
  <c r="G282" i="23" s="1"/>
  <c r="G283" i="23" s="1"/>
  <c r="F281" i="23"/>
  <c r="F297" i="23" s="1"/>
  <c r="E281" i="23"/>
  <c r="E297" i="23" s="1"/>
  <c r="D281" i="23"/>
  <c r="C281" i="23"/>
  <c r="H280" i="23"/>
  <c r="L291" i="23" s="1"/>
  <c r="G291" i="23" s="1"/>
  <c r="H279" i="23"/>
  <c r="I279" i="23" s="1"/>
  <c r="J279" i="23" s="1"/>
  <c r="H278" i="23"/>
  <c r="L289" i="23" s="1"/>
  <c r="I277" i="23"/>
  <c r="J277" i="23" s="1"/>
  <c r="H277" i="23"/>
  <c r="H276" i="23"/>
  <c r="E268" i="23"/>
  <c r="N263" i="23"/>
  <c r="O261" i="23" s="1"/>
  <c r="O262" i="23"/>
  <c r="O260" i="23"/>
  <c r="G260" i="23" s="1"/>
  <c r="G252" i="23"/>
  <c r="G268" i="23" s="1"/>
  <c r="F252" i="23"/>
  <c r="F268" i="23" s="1"/>
  <c r="E252" i="23"/>
  <c r="E253" i="23" s="1"/>
  <c r="D252" i="23"/>
  <c r="D268" i="23" s="1"/>
  <c r="C252" i="23"/>
  <c r="C268" i="23" s="1"/>
  <c r="H251" i="23"/>
  <c r="H250" i="23"/>
  <c r="L261" i="23" s="1"/>
  <c r="H249" i="23"/>
  <c r="L260" i="23" s="1"/>
  <c r="F260" i="23" s="1"/>
  <c r="H248" i="23"/>
  <c r="L259" i="23" s="1"/>
  <c r="H247" i="23"/>
  <c r="L258" i="23" s="1"/>
  <c r="D239" i="23"/>
  <c r="N234" i="23"/>
  <c r="O233" i="23" s="1"/>
  <c r="L231" i="23"/>
  <c r="L229" i="23"/>
  <c r="G223" i="23"/>
  <c r="G224" i="23" s="1"/>
  <c r="F223" i="23"/>
  <c r="F239" i="23" s="1"/>
  <c r="E223" i="23"/>
  <c r="E224" i="23" s="1"/>
  <c r="D223" i="23"/>
  <c r="D224" i="23" s="1"/>
  <c r="D225" i="23" s="1"/>
  <c r="C223" i="23"/>
  <c r="C239" i="23" s="1"/>
  <c r="H222" i="23"/>
  <c r="L233" i="23" s="1"/>
  <c r="H221" i="23"/>
  <c r="I221" i="23" s="1"/>
  <c r="J221" i="23" s="1"/>
  <c r="H220" i="23"/>
  <c r="I220" i="23" s="1"/>
  <c r="J220" i="23" s="1"/>
  <c r="H219" i="23"/>
  <c r="I218" i="23"/>
  <c r="J218" i="23" s="1"/>
  <c r="H218" i="23"/>
  <c r="X213" i="23"/>
  <c r="W213" i="23"/>
  <c r="V213" i="23"/>
  <c r="U213" i="23"/>
  <c r="T213" i="23"/>
  <c r="N205" i="23"/>
  <c r="O201" i="23" s="1"/>
  <c r="X203" i="23"/>
  <c r="W203" i="23"/>
  <c r="V203" i="23"/>
  <c r="U203" i="23"/>
  <c r="T203" i="23"/>
  <c r="O203" i="23"/>
  <c r="E203" i="23" s="1"/>
  <c r="O202" i="23"/>
  <c r="O200" i="23"/>
  <c r="G194" i="23"/>
  <c r="G195" i="23" s="1"/>
  <c r="F194" i="23"/>
  <c r="F195" i="23" s="1"/>
  <c r="E194" i="23"/>
  <c r="E210" i="23" s="1"/>
  <c r="D194" i="23"/>
  <c r="C194" i="23"/>
  <c r="C195" i="23" s="1"/>
  <c r="X193" i="23"/>
  <c r="W193" i="23"/>
  <c r="V193" i="23"/>
  <c r="U193" i="23"/>
  <c r="T193" i="23"/>
  <c r="H193" i="23"/>
  <c r="H192" i="23"/>
  <c r="L203" i="23" s="1"/>
  <c r="H191" i="23"/>
  <c r="L202" i="23" s="1"/>
  <c r="H190" i="23"/>
  <c r="I190" i="23" s="1"/>
  <c r="J190" i="23" s="1"/>
  <c r="H189" i="23"/>
  <c r="AA183" i="23"/>
  <c r="X183" i="23"/>
  <c r="W183" i="23"/>
  <c r="V183" i="23"/>
  <c r="U183" i="23"/>
  <c r="T183" i="23"/>
  <c r="T182" i="23"/>
  <c r="N176" i="23"/>
  <c r="O171" i="23" s="1"/>
  <c r="X173" i="23"/>
  <c r="W173" i="23"/>
  <c r="V173" i="23"/>
  <c r="U173" i="23"/>
  <c r="T173" i="23"/>
  <c r="O172" i="23"/>
  <c r="D167" i="23"/>
  <c r="G166" i="23"/>
  <c r="D166" i="23"/>
  <c r="G165" i="23"/>
  <c r="G181" i="23" s="1"/>
  <c r="F165" i="23"/>
  <c r="F181" i="23" s="1"/>
  <c r="E165" i="23"/>
  <c r="E181" i="23" s="1"/>
  <c r="D165" i="23"/>
  <c r="D181" i="23" s="1"/>
  <c r="C165" i="23"/>
  <c r="C181" i="23" s="1"/>
  <c r="H164" i="23"/>
  <c r="L175" i="23" s="1"/>
  <c r="X163" i="23"/>
  <c r="W163" i="23"/>
  <c r="V163" i="23"/>
  <c r="U163" i="23"/>
  <c r="T163" i="23"/>
  <c r="H163" i="23"/>
  <c r="K163" i="23" s="1"/>
  <c r="H162" i="23"/>
  <c r="L173" i="23" s="1"/>
  <c r="H161" i="23"/>
  <c r="H160" i="23"/>
  <c r="I160" i="23" s="1"/>
  <c r="J160" i="23" s="1"/>
  <c r="X153" i="23"/>
  <c r="W153" i="23"/>
  <c r="V153" i="23"/>
  <c r="U153" i="23"/>
  <c r="T153" i="23"/>
  <c r="G152" i="23"/>
  <c r="N147" i="23"/>
  <c r="X143" i="23"/>
  <c r="W143" i="23"/>
  <c r="V143" i="23"/>
  <c r="U143" i="23"/>
  <c r="T143" i="23"/>
  <c r="G137" i="23"/>
  <c r="G138" i="23" s="1"/>
  <c r="C137" i="23"/>
  <c r="C138" i="23" s="1"/>
  <c r="G136" i="23"/>
  <c r="F136" i="23"/>
  <c r="F152" i="23" s="1"/>
  <c r="E136" i="23"/>
  <c r="D136" i="23"/>
  <c r="C136" i="23"/>
  <c r="C152" i="23" s="1"/>
  <c r="AP135" i="23"/>
  <c r="AO135" i="23"/>
  <c r="AN135" i="23"/>
  <c r="AM135" i="23"/>
  <c r="AL135" i="23"/>
  <c r="I135" i="23"/>
  <c r="J135" i="23" s="1"/>
  <c r="H135" i="23"/>
  <c r="AP134" i="23"/>
  <c r="AO134" i="23"/>
  <c r="AN134" i="23"/>
  <c r="AM134" i="23"/>
  <c r="AL134" i="23"/>
  <c r="H134" i="23"/>
  <c r="L145" i="23" s="1"/>
  <c r="AP133" i="23"/>
  <c r="AA133" i="23"/>
  <c r="X133" i="23"/>
  <c r="W133" i="23"/>
  <c r="V133" i="23"/>
  <c r="U133" i="23"/>
  <c r="T133" i="23"/>
  <c r="H133" i="23"/>
  <c r="L144" i="23" s="1"/>
  <c r="AS132" i="23"/>
  <c r="AM133" i="23" s="1"/>
  <c r="H132" i="23"/>
  <c r="I132" i="23" s="1"/>
  <c r="J132" i="23" s="1"/>
  <c r="H131" i="23"/>
  <c r="L142" i="23" s="1"/>
  <c r="AP130" i="23"/>
  <c r="AO130" i="23"/>
  <c r="AN130" i="23"/>
  <c r="AM130" i="23"/>
  <c r="AL130" i="23"/>
  <c r="AP129" i="23"/>
  <c r="AO129" i="23"/>
  <c r="AN129" i="23"/>
  <c r="AM129" i="23"/>
  <c r="AL129" i="23"/>
  <c r="AS127" i="23"/>
  <c r="AM128" i="23" s="1"/>
  <c r="AP125" i="23"/>
  <c r="AO125" i="23"/>
  <c r="AN125" i="23"/>
  <c r="AM125" i="23"/>
  <c r="AL125" i="23"/>
  <c r="AP124" i="23"/>
  <c r="AO124" i="23"/>
  <c r="AN124" i="23"/>
  <c r="AM124" i="23"/>
  <c r="AL124" i="23"/>
  <c r="AA123" i="23"/>
  <c r="X123" i="23"/>
  <c r="W123" i="23"/>
  <c r="V123" i="23"/>
  <c r="U123" i="23"/>
  <c r="T123" i="23"/>
  <c r="AS122" i="23"/>
  <c r="AP123" i="23" s="1"/>
  <c r="AP120" i="23"/>
  <c r="AO120" i="23"/>
  <c r="AN120" i="23"/>
  <c r="AM120" i="23"/>
  <c r="AL120" i="23"/>
  <c r="AP119" i="23"/>
  <c r="AO119" i="23"/>
  <c r="AN119" i="23"/>
  <c r="AM119" i="23"/>
  <c r="AL119" i="23"/>
  <c r="N118" i="23"/>
  <c r="AA53" i="23" s="1"/>
  <c r="AP116" i="23"/>
  <c r="AO116" i="23"/>
  <c r="AN116" i="23"/>
  <c r="AM116" i="23"/>
  <c r="AL116" i="23"/>
  <c r="AA113" i="23"/>
  <c r="X113" i="23"/>
  <c r="W113" i="23"/>
  <c r="V113" i="23"/>
  <c r="U113" i="23"/>
  <c r="T113" i="23"/>
  <c r="O113" i="23"/>
  <c r="D108" i="23"/>
  <c r="G107" i="23"/>
  <c r="G123" i="23" s="1"/>
  <c r="F107" i="23"/>
  <c r="E107" i="23"/>
  <c r="E123" i="23" s="1"/>
  <c r="D107" i="23"/>
  <c r="D123" i="23" s="1"/>
  <c r="C107" i="23"/>
  <c r="C123" i="23" s="1"/>
  <c r="H106" i="23"/>
  <c r="H105" i="23"/>
  <c r="L116" i="23" s="1"/>
  <c r="AN104" i="23"/>
  <c r="H104" i="23"/>
  <c r="L115" i="23" s="1"/>
  <c r="X103" i="23"/>
  <c r="W103" i="23"/>
  <c r="V103" i="23"/>
  <c r="U103" i="23"/>
  <c r="T103" i="23"/>
  <c r="H103" i="23"/>
  <c r="K103" i="23" s="1"/>
  <c r="H102" i="23"/>
  <c r="L113" i="23" s="1"/>
  <c r="AW99" i="23"/>
  <c r="AX98" i="23" s="1"/>
  <c r="X93" i="23"/>
  <c r="W93" i="23"/>
  <c r="V93" i="23"/>
  <c r="U93" i="23"/>
  <c r="T93" i="23"/>
  <c r="AN89" i="23"/>
  <c r="AN90" i="23" s="1"/>
  <c r="N89" i="23"/>
  <c r="O85" i="23" s="1"/>
  <c r="AP88" i="23"/>
  <c r="AP89" i="23" s="1"/>
  <c r="AP90" i="23" s="1"/>
  <c r="AO88" i="23"/>
  <c r="AN88" i="23"/>
  <c r="AM88" i="23"/>
  <c r="AL88" i="23"/>
  <c r="AL104" i="23" s="1"/>
  <c r="AQ87" i="23"/>
  <c r="AT87" i="23" s="1"/>
  <c r="O87" i="23"/>
  <c r="AQ86" i="23"/>
  <c r="AU97" i="23" s="1"/>
  <c r="AQ85" i="23"/>
  <c r="AQ84" i="23"/>
  <c r="AU95" i="23" s="1"/>
  <c r="AQ83" i="23"/>
  <c r="AT83" i="23" s="1"/>
  <c r="AA83" i="23"/>
  <c r="X83" i="23"/>
  <c r="W83" i="23"/>
  <c r="V83" i="23"/>
  <c r="U83" i="23"/>
  <c r="T83" i="23"/>
  <c r="G78" i="23"/>
  <c r="G79" i="23" s="1"/>
  <c r="G80" i="23" s="1"/>
  <c r="F78" i="23"/>
  <c r="F94" i="23" s="1"/>
  <c r="E78" i="23"/>
  <c r="E79" i="23" s="1"/>
  <c r="D78" i="23"/>
  <c r="D94" i="23" s="1"/>
  <c r="C78" i="23"/>
  <c r="C79" i="23" s="1"/>
  <c r="H77" i="23"/>
  <c r="K77" i="23" s="1"/>
  <c r="H76" i="23"/>
  <c r="I76" i="23" s="1"/>
  <c r="H75" i="23"/>
  <c r="H74" i="23"/>
  <c r="I74" i="23" s="1"/>
  <c r="J74" i="23" s="1"/>
  <c r="AA73" i="23"/>
  <c r="X73" i="23"/>
  <c r="W73" i="23"/>
  <c r="V73" i="23"/>
  <c r="U73" i="23"/>
  <c r="T73" i="23"/>
  <c r="H73" i="23"/>
  <c r="AA63" i="23"/>
  <c r="X63" i="23"/>
  <c r="W63" i="23"/>
  <c r="V63" i="23"/>
  <c r="U63" i="23"/>
  <c r="T63" i="23"/>
  <c r="N60" i="23"/>
  <c r="O57" i="23" s="1"/>
  <c r="O59" i="23"/>
  <c r="L55" i="23"/>
  <c r="X53" i="23"/>
  <c r="W53" i="23"/>
  <c r="V53" i="23"/>
  <c r="U53" i="23"/>
  <c r="T53" i="23"/>
  <c r="G49" i="23"/>
  <c r="K48" i="23" s="1"/>
  <c r="F49" i="23"/>
  <c r="F50" i="23" s="1"/>
  <c r="F51" i="23" s="1"/>
  <c r="E49" i="23"/>
  <c r="E65" i="23" s="1"/>
  <c r="D49" i="23"/>
  <c r="D50" i="23" s="1"/>
  <c r="D51" i="23" s="1"/>
  <c r="C49" i="23"/>
  <c r="H48" i="23"/>
  <c r="I48" i="23" s="1"/>
  <c r="J48" i="23" s="1"/>
  <c r="H47" i="23"/>
  <c r="H46" i="23"/>
  <c r="H45" i="23"/>
  <c r="L56" i="23" s="1"/>
  <c r="H44" i="23"/>
  <c r="I44" i="23" s="1"/>
  <c r="J44" i="23" s="1"/>
  <c r="AA43" i="23"/>
  <c r="X43" i="23"/>
  <c r="W43" i="23"/>
  <c r="V43" i="23"/>
  <c r="U43" i="23"/>
  <c r="T43" i="23"/>
  <c r="AA33" i="23"/>
  <c r="X33" i="23"/>
  <c r="W33" i="23"/>
  <c r="V33" i="23"/>
  <c r="U33" i="23"/>
  <c r="T33" i="23"/>
  <c r="N31" i="23"/>
  <c r="O30" i="23" s="1"/>
  <c r="O29" i="23"/>
  <c r="X23" i="23"/>
  <c r="W23" i="23"/>
  <c r="V23" i="23"/>
  <c r="U23" i="23"/>
  <c r="T23" i="23"/>
  <c r="E21" i="23"/>
  <c r="E22" i="23" s="1"/>
  <c r="G20" i="23"/>
  <c r="G21" i="23" s="1"/>
  <c r="F20" i="23"/>
  <c r="F21" i="23" s="1"/>
  <c r="F22" i="23" s="1"/>
  <c r="E20" i="23"/>
  <c r="E36" i="23" s="1"/>
  <c r="D20" i="23"/>
  <c r="D36" i="23" s="1"/>
  <c r="C20" i="23"/>
  <c r="C36" i="23" s="1"/>
  <c r="H19" i="23"/>
  <c r="I19" i="23" s="1"/>
  <c r="J19" i="23" s="1"/>
  <c r="K18" i="23"/>
  <c r="H18" i="23"/>
  <c r="I18" i="23" s="1"/>
  <c r="I17" i="23"/>
  <c r="J17" i="23" s="1"/>
  <c r="H17" i="23"/>
  <c r="K17" i="23" s="1"/>
  <c r="H16" i="23"/>
  <c r="I16" i="23" s="1"/>
  <c r="J16" i="23" s="1"/>
  <c r="H15" i="23"/>
  <c r="J10" i="23"/>
  <c r="I10" i="23"/>
  <c r="K9" i="23"/>
  <c r="F9" i="23"/>
  <c r="B8" i="23"/>
  <c r="E5" i="23"/>
  <c r="C5" i="23"/>
  <c r="C4" i="23"/>
  <c r="E4" i="23" s="1"/>
  <c r="C3" i="23"/>
  <c r="E587" i="21"/>
  <c r="N582" i="21"/>
  <c r="AA213" i="21" s="1"/>
  <c r="D572" i="21"/>
  <c r="D573" i="21" s="1"/>
  <c r="G571" i="21"/>
  <c r="F571" i="21"/>
  <c r="F587" i="21" s="1"/>
  <c r="E571" i="21"/>
  <c r="E572" i="21" s="1"/>
  <c r="E573" i="21" s="1"/>
  <c r="D571" i="21"/>
  <c r="D587" i="21" s="1"/>
  <c r="C571" i="21"/>
  <c r="C587" i="21" s="1"/>
  <c r="H570" i="21"/>
  <c r="H569" i="21"/>
  <c r="I569" i="21" s="1"/>
  <c r="J569" i="21" s="1"/>
  <c r="H568" i="21"/>
  <c r="L579" i="21" s="1"/>
  <c r="H567" i="21"/>
  <c r="H566" i="21"/>
  <c r="I566" i="21" s="1"/>
  <c r="J566" i="21" s="1"/>
  <c r="F558" i="21"/>
  <c r="N553" i="21"/>
  <c r="O551" i="21" s="1"/>
  <c r="O548" i="21"/>
  <c r="G542" i="21"/>
  <c r="G543" i="21" s="1"/>
  <c r="G544" i="21" s="1"/>
  <c r="F542" i="21"/>
  <c r="F543" i="21" s="1"/>
  <c r="E542" i="21"/>
  <c r="E543" i="21" s="1"/>
  <c r="E544" i="21" s="1"/>
  <c r="D542" i="21"/>
  <c r="C542" i="21"/>
  <c r="C543" i="21" s="1"/>
  <c r="C544" i="21" s="1"/>
  <c r="H541" i="21"/>
  <c r="L552" i="21" s="1"/>
  <c r="H540" i="21"/>
  <c r="H539" i="21"/>
  <c r="H538" i="21"/>
  <c r="I538" i="21" s="1"/>
  <c r="J538" i="21" s="1"/>
  <c r="H537" i="21"/>
  <c r="L548" i="21" s="1"/>
  <c r="N524" i="21"/>
  <c r="O523" i="21" s="1"/>
  <c r="O519" i="21"/>
  <c r="G513" i="21"/>
  <c r="F513" i="21"/>
  <c r="F514" i="21" s="1"/>
  <c r="F515" i="21" s="1"/>
  <c r="E513" i="21"/>
  <c r="D513" i="21"/>
  <c r="D514" i="21" s="1"/>
  <c r="D515" i="21" s="1"/>
  <c r="C513" i="21"/>
  <c r="C529" i="21" s="1"/>
  <c r="H512" i="21"/>
  <c r="I512" i="21" s="1"/>
  <c r="J512" i="21" s="1"/>
  <c r="H511" i="21"/>
  <c r="I510" i="21"/>
  <c r="J510" i="21" s="1"/>
  <c r="H510" i="21"/>
  <c r="L521" i="21" s="1"/>
  <c r="H509" i="21"/>
  <c r="L520" i="21" s="1"/>
  <c r="H508" i="21"/>
  <c r="N495" i="21"/>
  <c r="O491" i="21" s="1"/>
  <c r="L491" i="21"/>
  <c r="G484" i="21"/>
  <c r="G500" i="21" s="1"/>
  <c r="F484" i="21"/>
  <c r="F485" i="21" s="1"/>
  <c r="F486" i="21" s="1"/>
  <c r="E484" i="21"/>
  <c r="E500" i="21" s="1"/>
  <c r="D484" i="21"/>
  <c r="D500" i="21" s="1"/>
  <c r="C484" i="21"/>
  <c r="C500" i="21" s="1"/>
  <c r="H483" i="21"/>
  <c r="L494" i="21" s="1"/>
  <c r="H482" i="21"/>
  <c r="K482" i="21" s="1"/>
  <c r="H481" i="21"/>
  <c r="L492" i="21" s="1"/>
  <c r="H480" i="21"/>
  <c r="K480" i="21" s="1"/>
  <c r="H479" i="21"/>
  <c r="I479" i="21" s="1"/>
  <c r="J479" i="21" s="1"/>
  <c r="D471" i="21"/>
  <c r="N466" i="21"/>
  <c r="AA173" i="21" s="1"/>
  <c r="G456" i="21"/>
  <c r="G457" i="21" s="1"/>
  <c r="F456" i="21"/>
  <c r="D456" i="21"/>
  <c r="D457" i="21" s="1"/>
  <c r="G455" i="21"/>
  <c r="G471" i="21" s="1"/>
  <c r="F455" i="21"/>
  <c r="F471" i="21" s="1"/>
  <c r="E455" i="21"/>
  <c r="E471" i="21" s="1"/>
  <c r="D455" i="21"/>
  <c r="C455" i="21"/>
  <c r="K450" i="21" s="1"/>
  <c r="H454" i="21"/>
  <c r="K454" i="21" s="1"/>
  <c r="H453" i="21"/>
  <c r="I453" i="21" s="1"/>
  <c r="J453" i="21" s="1"/>
  <c r="I452" i="21"/>
  <c r="J452" i="21" s="1"/>
  <c r="H452" i="21"/>
  <c r="H451" i="21"/>
  <c r="I451" i="21" s="1"/>
  <c r="J451" i="21" s="1"/>
  <c r="I450" i="21"/>
  <c r="J450" i="21" s="1"/>
  <c r="H450" i="21"/>
  <c r="L461" i="21" s="1"/>
  <c r="N437" i="21"/>
  <c r="O436" i="21" s="1"/>
  <c r="O435" i="21"/>
  <c r="O434" i="21"/>
  <c r="O433" i="21"/>
  <c r="L433" i="21"/>
  <c r="O432" i="21"/>
  <c r="O437" i="21" s="1"/>
  <c r="G428" i="21"/>
  <c r="E427" i="21"/>
  <c r="E428" i="21" s="1"/>
  <c r="G426" i="21"/>
  <c r="G427" i="21" s="1"/>
  <c r="F426" i="21"/>
  <c r="F427" i="21" s="1"/>
  <c r="E426" i="21"/>
  <c r="E442" i="21" s="1"/>
  <c r="D426" i="21"/>
  <c r="D427" i="21" s="1"/>
  <c r="N422" i="21" s="1"/>
  <c r="U162" i="21" s="1"/>
  <c r="C426" i="21"/>
  <c r="C427" i="21" s="1"/>
  <c r="C428" i="21" s="1"/>
  <c r="H425" i="21"/>
  <c r="H424" i="21"/>
  <c r="H423" i="21"/>
  <c r="L434" i="21" s="1"/>
  <c r="G434" i="21" s="1"/>
  <c r="I422" i="21"/>
  <c r="J422" i="21" s="1"/>
  <c r="H422" i="21"/>
  <c r="I421" i="21"/>
  <c r="N421" i="21" s="1"/>
  <c r="T162" i="21" s="1"/>
  <c r="H421" i="21"/>
  <c r="L432" i="21" s="1"/>
  <c r="D413" i="21"/>
  <c r="N408" i="21"/>
  <c r="AA153" i="21" s="1"/>
  <c r="G397" i="21"/>
  <c r="G398" i="21" s="1"/>
  <c r="F397" i="21"/>
  <c r="F398" i="21" s="1"/>
  <c r="F399" i="21" s="1"/>
  <c r="E397" i="21"/>
  <c r="K394" i="21" s="1"/>
  <c r="D397" i="21"/>
  <c r="D398" i="21" s="1"/>
  <c r="C397" i="21"/>
  <c r="C413" i="21" s="1"/>
  <c r="H396" i="21"/>
  <c r="I396" i="21" s="1"/>
  <c r="J396" i="21" s="1"/>
  <c r="H395" i="21"/>
  <c r="L406" i="21" s="1"/>
  <c r="H394" i="21"/>
  <c r="L405" i="21" s="1"/>
  <c r="H393" i="21"/>
  <c r="L404" i="21" s="1"/>
  <c r="K392" i="21"/>
  <c r="H392" i="21"/>
  <c r="L403" i="21" s="1"/>
  <c r="N379" i="21"/>
  <c r="O374" i="21" s="1"/>
  <c r="O378" i="21"/>
  <c r="L378" i="21"/>
  <c r="C378" i="21" s="1"/>
  <c r="O377" i="21"/>
  <c r="L377" i="21"/>
  <c r="O376" i="21"/>
  <c r="L376" i="21"/>
  <c r="E376" i="21" s="1"/>
  <c r="O375" i="21"/>
  <c r="G369" i="21"/>
  <c r="G370" i="21" s="1"/>
  <c r="G368" i="21"/>
  <c r="G384" i="21" s="1"/>
  <c r="F368" i="21"/>
  <c r="E368" i="21"/>
  <c r="K365" i="21" s="1"/>
  <c r="D368" i="21"/>
  <c r="D384" i="21" s="1"/>
  <c r="C368" i="21"/>
  <c r="H367" i="21"/>
  <c r="K366" i="21"/>
  <c r="I366" i="21"/>
  <c r="J366" i="21" s="1"/>
  <c r="H366" i="21"/>
  <c r="H365" i="21"/>
  <c r="I365" i="21" s="1"/>
  <c r="J365" i="21" s="1"/>
  <c r="H364" i="21"/>
  <c r="L375" i="21" s="1"/>
  <c r="H363" i="21"/>
  <c r="N350" i="21"/>
  <c r="O349" i="21" s="1"/>
  <c r="O346" i="21"/>
  <c r="O345" i="21"/>
  <c r="L345" i="21"/>
  <c r="G345" i="21"/>
  <c r="F340" i="21"/>
  <c r="F341" i="21" s="1"/>
  <c r="D340" i="21"/>
  <c r="D341" i="21" s="1"/>
  <c r="C340" i="21"/>
  <c r="C341" i="21" s="1"/>
  <c r="G339" i="21"/>
  <c r="G355" i="21" s="1"/>
  <c r="F339" i="21"/>
  <c r="F355" i="21" s="1"/>
  <c r="E339" i="21"/>
  <c r="E355" i="21" s="1"/>
  <c r="D339" i="21"/>
  <c r="D355" i="21" s="1"/>
  <c r="C339" i="21"/>
  <c r="C355" i="21" s="1"/>
  <c r="H338" i="21"/>
  <c r="L349" i="21" s="1"/>
  <c r="H337" i="21"/>
  <c r="L348" i="21" s="1"/>
  <c r="H336" i="21"/>
  <c r="L347" i="21" s="1"/>
  <c r="H335" i="21"/>
  <c r="L346" i="21" s="1"/>
  <c r="K334" i="21"/>
  <c r="H334" i="21"/>
  <c r="I334" i="21" s="1"/>
  <c r="J334" i="21" s="1"/>
  <c r="D326" i="21"/>
  <c r="N321" i="21"/>
  <c r="O320" i="21" s="1"/>
  <c r="D311" i="21"/>
  <c r="D312" i="21" s="1"/>
  <c r="G310" i="21"/>
  <c r="G326" i="21" s="1"/>
  <c r="F310" i="21"/>
  <c r="F326" i="21" s="1"/>
  <c r="E310" i="21"/>
  <c r="E326" i="21" s="1"/>
  <c r="D310" i="21"/>
  <c r="C310" i="21"/>
  <c r="H309" i="21"/>
  <c r="L320" i="21" s="1"/>
  <c r="H308" i="21"/>
  <c r="I308" i="21" s="1"/>
  <c r="J308" i="21" s="1"/>
  <c r="H307" i="21"/>
  <c r="H306" i="21"/>
  <c r="L317" i="21" s="1"/>
  <c r="H305" i="21"/>
  <c r="L316" i="21" s="1"/>
  <c r="N292" i="21"/>
  <c r="O291" i="21" s="1"/>
  <c r="O289" i="21"/>
  <c r="F282" i="21"/>
  <c r="F283" i="21" s="1"/>
  <c r="D282" i="21"/>
  <c r="D283" i="21" s="1"/>
  <c r="G281" i="21"/>
  <c r="G297" i="21" s="1"/>
  <c r="F281" i="21"/>
  <c r="F297" i="21" s="1"/>
  <c r="E281" i="21"/>
  <c r="D281" i="21"/>
  <c r="D297" i="21" s="1"/>
  <c r="C281" i="21"/>
  <c r="C297" i="21" s="1"/>
  <c r="H280" i="21"/>
  <c r="I279" i="21"/>
  <c r="J279" i="21" s="1"/>
  <c r="H279" i="21"/>
  <c r="L290" i="21" s="1"/>
  <c r="H278" i="21"/>
  <c r="H277" i="21"/>
  <c r="K277" i="21" s="1"/>
  <c r="H276" i="21"/>
  <c r="N263" i="21"/>
  <c r="O259" i="21" s="1"/>
  <c r="C253" i="21"/>
  <c r="C254" i="21" s="1"/>
  <c r="G252" i="21"/>
  <c r="G268" i="21" s="1"/>
  <c r="F252" i="21"/>
  <c r="E252" i="21"/>
  <c r="E268" i="21" s="1"/>
  <c r="D252" i="21"/>
  <c r="D268" i="21" s="1"/>
  <c r="C252" i="21"/>
  <c r="C268" i="21" s="1"/>
  <c r="H251" i="21"/>
  <c r="L262" i="21" s="1"/>
  <c r="I250" i="21"/>
  <c r="J250" i="21" s="1"/>
  <c r="H250" i="21"/>
  <c r="L261" i="21" s="1"/>
  <c r="H249" i="21"/>
  <c r="I249" i="21" s="1"/>
  <c r="J249" i="21" s="1"/>
  <c r="H248" i="21"/>
  <c r="K248" i="21" s="1"/>
  <c r="H247" i="21"/>
  <c r="H252" i="21" s="1"/>
  <c r="I253" i="21" s="1"/>
  <c r="AD24" i="21" s="1"/>
  <c r="D239" i="21"/>
  <c r="N234" i="21"/>
  <c r="O231" i="21" s="1"/>
  <c r="L229" i="21"/>
  <c r="C224" i="21"/>
  <c r="G223" i="21"/>
  <c r="F223" i="21"/>
  <c r="F239" i="21" s="1"/>
  <c r="E223" i="21"/>
  <c r="E224" i="21" s="1"/>
  <c r="D223" i="21"/>
  <c r="D224" i="21" s="1"/>
  <c r="D225" i="21" s="1"/>
  <c r="C223" i="21"/>
  <c r="C239" i="21" s="1"/>
  <c r="H222" i="21"/>
  <c r="L233" i="21" s="1"/>
  <c r="H221" i="21"/>
  <c r="H220" i="21"/>
  <c r="L231" i="21" s="1"/>
  <c r="H219" i="21"/>
  <c r="I219" i="21" s="1"/>
  <c r="J219" i="21" s="1"/>
  <c r="H218" i="21"/>
  <c r="K218" i="21" s="1"/>
  <c r="X213" i="21"/>
  <c r="W213" i="21"/>
  <c r="V213" i="21"/>
  <c r="U213" i="21"/>
  <c r="T213" i="21"/>
  <c r="G210" i="21"/>
  <c r="C210" i="21"/>
  <c r="N205" i="21"/>
  <c r="O204" i="21" s="1"/>
  <c r="AA203" i="21"/>
  <c r="X203" i="21"/>
  <c r="W203" i="21"/>
  <c r="V203" i="21"/>
  <c r="U203" i="21"/>
  <c r="T203" i="21"/>
  <c r="L203" i="21"/>
  <c r="O202" i="21"/>
  <c r="O201" i="21"/>
  <c r="C201" i="21" s="1"/>
  <c r="L201" i="21"/>
  <c r="F201" i="21"/>
  <c r="G194" i="21"/>
  <c r="G195" i="21" s="1"/>
  <c r="F194" i="21"/>
  <c r="F195" i="21" s="1"/>
  <c r="F196" i="21" s="1"/>
  <c r="E194" i="21"/>
  <c r="E195" i="21" s="1"/>
  <c r="D194" i="21"/>
  <c r="D195" i="21" s="1"/>
  <c r="C194" i="21"/>
  <c r="C195" i="21" s="1"/>
  <c r="AA193" i="21"/>
  <c r="X193" i="21"/>
  <c r="W193" i="21"/>
  <c r="V193" i="21"/>
  <c r="U193" i="21"/>
  <c r="T193" i="21"/>
  <c r="H193" i="21"/>
  <c r="L204" i="21" s="1"/>
  <c r="F204" i="21" s="1"/>
  <c r="H192" i="21"/>
  <c r="H191" i="21"/>
  <c r="K190" i="21"/>
  <c r="H190" i="21"/>
  <c r="I190" i="21" s="1"/>
  <c r="J190" i="21" s="1"/>
  <c r="H189" i="21"/>
  <c r="L200" i="21" s="1"/>
  <c r="X183" i="21"/>
  <c r="W183" i="21"/>
  <c r="V183" i="21"/>
  <c r="U183" i="21"/>
  <c r="T183" i="21"/>
  <c r="F181" i="21"/>
  <c r="N176" i="21"/>
  <c r="O173" i="21" s="1"/>
  <c r="O174" i="21"/>
  <c r="X173" i="21"/>
  <c r="W173" i="21"/>
  <c r="V173" i="21"/>
  <c r="U173" i="21"/>
  <c r="T173" i="21"/>
  <c r="F166" i="21"/>
  <c r="D166" i="21"/>
  <c r="D167" i="21" s="1"/>
  <c r="G165" i="21"/>
  <c r="F165" i="21"/>
  <c r="E165" i="21"/>
  <c r="D165" i="21"/>
  <c r="D181" i="21" s="1"/>
  <c r="C165" i="21"/>
  <c r="C166" i="21" s="1"/>
  <c r="I164" i="21"/>
  <c r="J164" i="21" s="1"/>
  <c r="H164" i="21"/>
  <c r="L175" i="21" s="1"/>
  <c r="AA163" i="21"/>
  <c r="X163" i="21"/>
  <c r="W163" i="21"/>
  <c r="V163" i="21"/>
  <c r="U163" i="21"/>
  <c r="T163" i="21"/>
  <c r="H163" i="21"/>
  <c r="H162" i="21"/>
  <c r="H161" i="21"/>
  <c r="I161" i="21" s="1"/>
  <c r="H160" i="21"/>
  <c r="L171" i="21" s="1"/>
  <c r="X153" i="21"/>
  <c r="W153" i="21"/>
  <c r="V153" i="21"/>
  <c r="U153" i="21"/>
  <c r="T153" i="21"/>
  <c r="D152" i="21"/>
  <c r="N147" i="21"/>
  <c r="O142" i="21" s="1"/>
  <c r="AA143" i="21"/>
  <c r="X143" i="21"/>
  <c r="W143" i="21"/>
  <c r="V143" i="21"/>
  <c r="U143" i="21"/>
  <c r="T143" i="21"/>
  <c r="L142" i="21"/>
  <c r="F142" i="21"/>
  <c r="F137" i="21"/>
  <c r="F138" i="21" s="1"/>
  <c r="G136" i="21"/>
  <c r="G137" i="21" s="1"/>
  <c r="F136" i="21"/>
  <c r="F152" i="21" s="1"/>
  <c r="E136" i="21"/>
  <c r="D136" i="21"/>
  <c r="D137" i="21" s="1"/>
  <c r="C136" i="21"/>
  <c r="AP135" i="21"/>
  <c r="AO135" i="21"/>
  <c r="AN135" i="21"/>
  <c r="AM135" i="21"/>
  <c r="AL135" i="21"/>
  <c r="K135" i="21"/>
  <c r="H135" i="21"/>
  <c r="L146" i="21" s="1"/>
  <c r="AP134" i="21"/>
  <c r="AO134" i="21"/>
  <c r="AN134" i="21"/>
  <c r="AM134" i="21"/>
  <c r="AL134" i="21"/>
  <c r="AS134" i="21" s="1"/>
  <c r="K134" i="21"/>
  <c r="H134" i="21"/>
  <c r="I134" i="21" s="1"/>
  <c r="J134" i="21" s="1"/>
  <c r="AA133" i="21"/>
  <c r="X133" i="21"/>
  <c r="W133" i="21"/>
  <c r="V133" i="21"/>
  <c r="U133" i="21"/>
  <c r="T133" i="21"/>
  <c r="H133" i="21"/>
  <c r="AS132" i="21"/>
  <c r="AP133" i="21" s="1"/>
  <c r="K132" i="21"/>
  <c r="H132" i="21"/>
  <c r="L143" i="21" s="1"/>
  <c r="H131" i="21"/>
  <c r="K131" i="21" s="1"/>
  <c r="AP130" i="21"/>
  <c r="AO130" i="21"/>
  <c r="AN130" i="21"/>
  <c r="AM130" i="21"/>
  <c r="AL130" i="21"/>
  <c r="AP129" i="21"/>
  <c r="AO129" i="21"/>
  <c r="AN129" i="21"/>
  <c r="AM129" i="21"/>
  <c r="AL129" i="21"/>
  <c r="AS129" i="21" s="1"/>
  <c r="AM128" i="21"/>
  <c r="AS127" i="21"/>
  <c r="AP128" i="21" s="1"/>
  <c r="AP125" i="21"/>
  <c r="AO125" i="21"/>
  <c r="AN125" i="21"/>
  <c r="AM125" i="21"/>
  <c r="AL125" i="21"/>
  <c r="AP124" i="21"/>
  <c r="AO124" i="21"/>
  <c r="AN124" i="21"/>
  <c r="AM124" i="21"/>
  <c r="AL124" i="21"/>
  <c r="AP123" i="21"/>
  <c r="AA123" i="21"/>
  <c r="X123" i="21"/>
  <c r="W123" i="21"/>
  <c r="V123" i="21"/>
  <c r="U123" i="21"/>
  <c r="T123" i="21"/>
  <c r="F123" i="21"/>
  <c r="AS122" i="21"/>
  <c r="AP120" i="21"/>
  <c r="AO120" i="21"/>
  <c r="AN120" i="21"/>
  <c r="AM120" i="21"/>
  <c r="AL120" i="21"/>
  <c r="AP119" i="21"/>
  <c r="AS119" i="21" s="1"/>
  <c r="AO119" i="21"/>
  <c r="AN119" i="21"/>
  <c r="AM119" i="21"/>
  <c r="AL119" i="21"/>
  <c r="N118" i="21"/>
  <c r="O115" i="21" s="1"/>
  <c r="AP116" i="21"/>
  <c r="AO116" i="21"/>
  <c r="AN116" i="21"/>
  <c r="AM116" i="21"/>
  <c r="AL116" i="21"/>
  <c r="O116" i="21"/>
  <c r="O114" i="21"/>
  <c r="AA113" i="21"/>
  <c r="X113" i="21"/>
  <c r="W113" i="21"/>
  <c r="V113" i="21"/>
  <c r="U113" i="21"/>
  <c r="T113" i="21"/>
  <c r="O113" i="21"/>
  <c r="F109" i="21"/>
  <c r="F108" i="21"/>
  <c r="C108" i="21"/>
  <c r="C109" i="21" s="1"/>
  <c r="G107" i="21"/>
  <c r="G123" i="21" s="1"/>
  <c r="F107" i="21"/>
  <c r="E107" i="21"/>
  <c r="E123" i="21" s="1"/>
  <c r="D107" i="21"/>
  <c r="D108" i="21" s="1"/>
  <c r="C107" i="21"/>
  <c r="C123" i="21" s="1"/>
  <c r="H106" i="21"/>
  <c r="H105" i="21"/>
  <c r="L116" i="21" s="1"/>
  <c r="H104" i="21"/>
  <c r="L115" i="21" s="1"/>
  <c r="X103" i="21"/>
  <c r="W103" i="21"/>
  <c r="V103" i="21"/>
  <c r="U103" i="21"/>
  <c r="T103" i="21"/>
  <c r="H103" i="21"/>
  <c r="L114" i="21" s="1"/>
  <c r="C114" i="21" s="1"/>
  <c r="H102" i="21"/>
  <c r="AW99" i="21"/>
  <c r="AU96" i="21"/>
  <c r="E94" i="21"/>
  <c r="AA93" i="21"/>
  <c r="X93" i="21"/>
  <c r="W93" i="21"/>
  <c r="V93" i="21"/>
  <c r="U93" i="21"/>
  <c r="T93" i="21"/>
  <c r="AN89" i="21"/>
  <c r="AM89" i="21"/>
  <c r="AM90" i="21" s="1"/>
  <c r="N89" i="21"/>
  <c r="O86" i="21" s="1"/>
  <c r="AP88" i="21"/>
  <c r="AP89" i="21" s="1"/>
  <c r="AO88" i="21"/>
  <c r="AO104" i="21" s="1"/>
  <c r="AN88" i="21"/>
  <c r="AN104" i="21" s="1"/>
  <c r="AM88" i="21"/>
  <c r="AM104" i="21" s="1"/>
  <c r="AL88" i="21"/>
  <c r="AL104" i="21" s="1"/>
  <c r="AQ87" i="21"/>
  <c r="AT87" i="21" s="1"/>
  <c r="L87" i="21"/>
  <c r="AR86" i="21"/>
  <c r="AS86" i="21" s="1"/>
  <c r="AQ86" i="21"/>
  <c r="AU97" i="21" s="1"/>
  <c r="AT85" i="21"/>
  <c r="AR85" i="21"/>
  <c r="AS85" i="21" s="1"/>
  <c r="AQ85" i="21"/>
  <c r="AQ84" i="21"/>
  <c r="AT84" i="21" s="1"/>
  <c r="AQ83" i="21"/>
  <c r="AQ88" i="21" s="1"/>
  <c r="AR89" i="21" s="1"/>
  <c r="AA83" i="21"/>
  <c r="X83" i="21"/>
  <c r="W83" i="21"/>
  <c r="V83" i="21"/>
  <c r="U83" i="21"/>
  <c r="T83" i="21"/>
  <c r="G79" i="21"/>
  <c r="G80" i="21" s="1"/>
  <c r="F79" i="21"/>
  <c r="F80" i="21" s="1"/>
  <c r="G78" i="21"/>
  <c r="G94" i="21" s="1"/>
  <c r="F78" i="21"/>
  <c r="F94" i="21" s="1"/>
  <c r="E78" i="21"/>
  <c r="E79" i="21" s="1"/>
  <c r="E80" i="21" s="1"/>
  <c r="D78" i="21"/>
  <c r="D94" i="21" s="1"/>
  <c r="C78" i="21"/>
  <c r="C94" i="21" s="1"/>
  <c r="H77" i="21"/>
  <c r="K77" i="21" s="1"/>
  <c r="I76" i="21"/>
  <c r="J76" i="21" s="1"/>
  <c r="H76" i="21"/>
  <c r="K76" i="21" s="1"/>
  <c r="H75" i="21"/>
  <c r="H74" i="21"/>
  <c r="L85" i="21" s="1"/>
  <c r="X73" i="21"/>
  <c r="W73" i="21"/>
  <c r="V73" i="21"/>
  <c r="U73" i="21"/>
  <c r="T73" i="21"/>
  <c r="H73" i="21"/>
  <c r="X63" i="21"/>
  <c r="W63" i="21"/>
  <c r="V63" i="21"/>
  <c r="U63" i="21"/>
  <c r="T63" i="21"/>
  <c r="N60" i="21"/>
  <c r="L57" i="21"/>
  <c r="O56" i="21"/>
  <c r="L55" i="21"/>
  <c r="AA53" i="21"/>
  <c r="X53" i="21"/>
  <c r="W53" i="21"/>
  <c r="V53" i="21"/>
  <c r="U53" i="21"/>
  <c r="T53" i="21"/>
  <c r="D50" i="21"/>
  <c r="D51" i="21" s="1"/>
  <c r="G49" i="21"/>
  <c r="F49" i="21"/>
  <c r="F65" i="21" s="1"/>
  <c r="E49" i="21"/>
  <c r="E65" i="21" s="1"/>
  <c r="D49" i="21"/>
  <c r="D65" i="21" s="1"/>
  <c r="C49" i="21"/>
  <c r="C65" i="21" s="1"/>
  <c r="H48" i="21"/>
  <c r="K48" i="21" s="1"/>
  <c r="H47" i="21"/>
  <c r="H46" i="21"/>
  <c r="H45" i="21"/>
  <c r="I44" i="21"/>
  <c r="J44" i="21" s="1"/>
  <c r="H44" i="21"/>
  <c r="K44" i="21" s="1"/>
  <c r="X43" i="21"/>
  <c r="W43" i="21"/>
  <c r="V43" i="21"/>
  <c r="U43" i="21"/>
  <c r="T43" i="21"/>
  <c r="X33" i="21"/>
  <c r="W33" i="21"/>
  <c r="V33" i="21"/>
  <c r="U33" i="21"/>
  <c r="T33" i="21"/>
  <c r="N31" i="21"/>
  <c r="O27" i="21" s="1"/>
  <c r="O26" i="21"/>
  <c r="AA23" i="21"/>
  <c r="X23" i="21"/>
  <c r="W23" i="21"/>
  <c r="V23" i="21"/>
  <c r="U23" i="21"/>
  <c r="T23" i="21"/>
  <c r="D21" i="21"/>
  <c r="D22" i="21" s="1"/>
  <c r="G20" i="21"/>
  <c r="G36" i="21" s="1"/>
  <c r="F20" i="21"/>
  <c r="F36" i="21" s="1"/>
  <c r="E20" i="21"/>
  <c r="E36" i="21" s="1"/>
  <c r="D20" i="21"/>
  <c r="D36" i="21" s="1"/>
  <c r="C20" i="21"/>
  <c r="C36" i="21" s="1"/>
  <c r="H19" i="21"/>
  <c r="L30" i="21" s="1"/>
  <c r="H18" i="21"/>
  <c r="L29" i="21" s="1"/>
  <c r="H17" i="21"/>
  <c r="I17" i="21" s="1"/>
  <c r="H16" i="21"/>
  <c r="L27" i="21" s="1"/>
  <c r="K15" i="21"/>
  <c r="I15" i="21"/>
  <c r="J15" i="21" s="1"/>
  <c r="H15" i="21"/>
  <c r="L26" i="21" s="1"/>
  <c r="J10" i="21"/>
  <c r="I10" i="21"/>
  <c r="K9" i="21"/>
  <c r="F9" i="21"/>
  <c r="B8" i="21"/>
  <c r="C5" i="21" s="1"/>
  <c r="E5" i="21" s="1"/>
  <c r="C7" i="21"/>
  <c r="E7" i="21" s="1"/>
  <c r="C6" i="21"/>
  <c r="E6" i="21" s="1"/>
  <c r="AL119" i="20"/>
  <c r="E587" i="20"/>
  <c r="N582" i="20"/>
  <c r="O581" i="20" s="1"/>
  <c r="O578" i="20"/>
  <c r="G571" i="20"/>
  <c r="F571" i="20"/>
  <c r="E571" i="20"/>
  <c r="E572" i="20" s="1"/>
  <c r="E573" i="20" s="1"/>
  <c r="D571" i="20"/>
  <c r="D587" i="20" s="1"/>
  <c r="C571" i="20"/>
  <c r="C587" i="20" s="1"/>
  <c r="H570" i="20"/>
  <c r="I569" i="20"/>
  <c r="J569" i="20" s="1"/>
  <c r="H569" i="20"/>
  <c r="H568" i="20"/>
  <c r="K568" i="20" s="1"/>
  <c r="H567" i="20"/>
  <c r="H566" i="20"/>
  <c r="L577" i="20" s="1"/>
  <c r="N553" i="20"/>
  <c r="O552" i="20" s="1"/>
  <c r="G542" i="20"/>
  <c r="G558" i="20" s="1"/>
  <c r="F542" i="20"/>
  <c r="F558" i="20" s="1"/>
  <c r="E542" i="20"/>
  <c r="E558" i="20" s="1"/>
  <c r="D542" i="20"/>
  <c r="D558" i="20" s="1"/>
  <c r="C542" i="20"/>
  <c r="C558" i="20" s="1"/>
  <c r="H541" i="20"/>
  <c r="I540" i="20"/>
  <c r="J540" i="20" s="1"/>
  <c r="H540" i="20"/>
  <c r="L551" i="20" s="1"/>
  <c r="H539" i="20"/>
  <c r="H538" i="20"/>
  <c r="L549" i="20" s="1"/>
  <c r="H537" i="20"/>
  <c r="L548" i="20" s="1"/>
  <c r="N524" i="20"/>
  <c r="O523" i="20" s="1"/>
  <c r="L520" i="20"/>
  <c r="D514" i="20"/>
  <c r="N509" i="20" s="1"/>
  <c r="G513" i="20"/>
  <c r="G529" i="20" s="1"/>
  <c r="F513" i="20"/>
  <c r="F529" i="20" s="1"/>
  <c r="E513" i="20"/>
  <c r="E529" i="20" s="1"/>
  <c r="D513" i="20"/>
  <c r="D529" i="20" s="1"/>
  <c r="C513" i="20"/>
  <c r="H512" i="20"/>
  <c r="L523" i="20" s="1"/>
  <c r="H511" i="20"/>
  <c r="H510" i="20"/>
  <c r="L521" i="20" s="1"/>
  <c r="H509" i="20"/>
  <c r="I509" i="20" s="1"/>
  <c r="J509" i="20" s="1"/>
  <c r="H508" i="20"/>
  <c r="I508" i="20" s="1"/>
  <c r="J508" i="20" s="1"/>
  <c r="G500" i="20"/>
  <c r="E500" i="20"/>
  <c r="N495" i="20"/>
  <c r="O493" i="20" s="1"/>
  <c r="L492" i="20"/>
  <c r="G484" i="20"/>
  <c r="K483" i="20" s="1"/>
  <c r="F484" i="20"/>
  <c r="E484" i="20"/>
  <c r="E485" i="20" s="1"/>
  <c r="E486" i="20" s="1"/>
  <c r="D484" i="20"/>
  <c r="D485" i="20" s="1"/>
  <c r="D486" i="20" s="1"/>
  <c r="C484" i="20"/>
  <c r="C485" i="20" s="1"/>
  <c r="C486" i="20" s="1"/>
  <c r="H483" i="20"/>
  <c r="I483" i="20" s="1"/>
  <c r="J483" i="20" s="1"/>
  <c r="H482" i="20"/>
  <c r="I482" i="20" s="1"/>
  <c r="J482" i="20" s="1"/>
  <c r="H481" i="20"/>
  <c r="K481" i="20" s="1"/>
  <c r="H480" i="20"/>
  <c r="H479" i="20"/>
  <c r="F471" i="20"/>
  <c r="E471" i="20"/>
  <c r="N466" i="20"/>
  <c r="O464" i="20" s="1"/>
  <c r="O465" i="20"/>
  <c r="L464" i="20"/>
  <c r="O463" i="20"/>
  <c r="L463" i="20"/>
  <c r="L461" i="20"/>
  <c r="F457" i="20"/>
  <c r="D456" i="20"/>
  <c r="C456" i="20"/>
  <c r="C457" i="20" s="1"/>
  <c r="G455" i="20"/>
  <c r="G456" i="20" s="1"/>
  <c r="G457" i="20" s="1"/>
  <c r="F455" i="20"/>
  <c r="F456" i="20" s="1"/>
  <c r="E455" i="20"/>
  <c r="E456" i="20" s="1"/>
  <c r="E457" i="20" s="1"/>
  <c r="D455" i="20"/>
  <c r="D471" i="20" s="1"/>
  <c r="C455" i="20"/>
  <c r="C471" i="20" s="1"/>
  <c r="H454" i="20"/>
  <c r="I453" i="20"/>
  <c r="J453" i="20" s="1"/>
  <c r="H453" i="20"/>
  <c r="H452" i="20"/>
  <c r="H451" i="20"/>
  <c r="L462" i="20" s="1"/>
  <c r="K450" i="20"/>
  <c r="H450" i="20"/>
  <c r="I450" i="20" s="1"/>
  <c r="N437" i="20"/>
  <c r="O436" i="20" s="1"/>
  <c r="G427" i="20"/>
  <c r="G428" i="20" s="1"/>
  <c r="G426" i="20"/>
  <c r="G442" i="20" s="1"/>
  <c r="F426" i="20"/>
  <c r="F442" i="20" s="1"/>
  <c r="E426" i="20"/>
  <c r="E427" i="20" s="1"/>
  <c r="E428" i="20" s="1"/>
  <c r="D426" i="20"/>
  <c r="D442" i="20" s="1"/>
  <c r="C426" i="20"/>
  <c r="C442" i="20" s="1"/>
  <c r="H425" i="20"/>
  <c r="K425" i="20" s="1"/>
  <c r="H424" i="20"/>
  <c r="L435" i="20" s="1"/>
  <c r="H423" i="20"/>
  <c r="H422" i="20"/>
  <c r="L433" i="20" s="1"/>
  <c r="H421" i="20"/>
  <c r="L432" i="20" s="1"/>
  <c r="N408" i="20"/>
  <c r="O407" i="20" s="1"/>
  <c r="F398" i="20"/>
  <c r="G397" i="20"/>
  <c r="G413" i="20" s="1"/>
  <c r="F397" i="20"/>
  <c r="F413" i="20" s="1"/>
  <c r="E397" i="20"/>
  <c r="E398" i="20" s="1"/>
  <c r="E399" i="20" s="1"/>
  <c r="D397" i="20"/>
  <c r="D413" i="20" s="1"/>
  <c r="C397" i="20"/>
  <c r="H396" i="20"/>
  <c r="L407" i="20" s="1"/>
  <c r="G407" i="20" s="1"/>
  <c r="H395" i="20"/>
  <c r="K395" i="20" s="1"/>
  <c r="H394" i="20"/>
  <c r="L405" i="20" s="1"/>
  <c r="H393" i="20"/>
  <c r="H392" i="20"/>
  <c r="I392" i="20" s="1"/>
  <c r="J392" i="20" s="1"/>
  <c r="D384" i="20"/>
  <c r="N379" i="20"/>
  <c r="O375" i="20" s="1"/>
  <c r="L378" i="20"/>
  <c r="L375" i="20"/>
  <c r="F369" i="20"/>
  <c r="F370" i="20" s="1"/>
  <c r="D369" i="20"/>
  <c r="D370" i="20" s="1"/>
  <c r="G368" i="20"/>
  <c r="G369" i="20" s="1"/>
  <c r="F368" i="20"/>
  <c r="F384" i="20" s="1"/>
  <c r="E368" i="20"/>
  <c r="E384" i="20" s="1"/>
  <c r="D368" i="20"/>
  <c r="C368" i="20"/>
  <c r="C384" i="20" s="1"/>
  <c r="H367" i="20"/>
  <c r="I367" i="20" s="1"/>
  <c r="J367" i="20" s="1"/>
  <c r="H366" i="20"/>
  <c r="I366" i="20" s="1"/>
  <c r="H365" i="20"/>
  <c r="K365" i="20" s="1"/>
  <c r="I364" i="20"/>
  <c r="N364" i="20" s="1"/>
  <c r="U142" i="20" s="1"/>
  <c r="H364" i="20"/>
  <c r="K364" i="20" s="1"/>
  <c r="H363" i="20"/>
  <c r="L374" i="20" s="1"/>
  <c r="D355" i="20"/>
  <c r="N350" i="20"/>
  <c r="O349" i="20"/>
  <c r="O348" i="20"/>
  <c r="O347" i="20"/>
  <c r="O346" i="20"/>
  <c r="O345" i="20"/>
  <c r="D340" i="20"/>
  <c r="D341" i="20" s="1"/>
  <c r="G339" i="20"/>
  <c r="G355" i="20" s="1"/>
  <c r="F339" i="20"/>
  <c r="F340" i="20" s="1"/>
  <c r="N337" i="20" s="1"/>
  <c r="W132" i="20" s="1"/>
  <c r="E339" i="20"/>
  <c r="E355" i="20" s="1"/>
  <c r="D339" i="20"/>
  <c r="C339" i="20"/>
  <c r="C340" i="20" s="1"/>
  <c r="H338" i="20"/>
  <c r="K338" i="20" s="1"/>
  <c r="K337" i="20"/>
  <c r="H337" i="20"/>
  <c r="I337" i="20" s="1"/>
  <c r="J337" i="20" s="1"/>
  <c r="H336" i="20"/>
  <c r="H335" i="20"/>
  <c r="L346" i="20" s="1"/>
  <c r="K334" i="20"/>
  <c r="H334" i="20"/>
  <c r="I334" i="20" s="1"/>
  <c r="J334" i="20" s="1"/>
  <c r="D326" i="20"/>
  <c r="C326" i="20"/>
  <c r="N321" i="20"/>
  <c r="O320" i="20" s="1"/>
  <c r="L318" i="20"/>
  <c r="G310" i="20"/>
  <c r="G311" i="20" s="1"/>
  <c r="F310" i="20"/>
  <c r="F311" i="20" s="1"/>
  <c r="E310" i="20"/>
  <c r="E326" i="20" s="1"/>
  <c r="D310" i="20"/>
  <c r="D311" i="20" s="1"/>
  <c r="C310" i="20"/>
  <c r="C311" i="20" s="1"/>
  <c r="K309" i="20"/>
  <c r="H309" i="20"/>
  <c r="L320" i="20" s="1"/>
  <c r="K308" i="20"/>
  <c r="I308" i="20"/>
  <c r="J308" i="20" s="1"/>
  <c r="H308" i="20"/>
  <c r="L319" i="20" s="1"/>
  <c r="K307" i="20"/>
  <c r="H307" i="20"/>
  <c r="I307" i="20" s="1"/>
  <c r="J307" i="20" s="1"/>
  <c r="H306" i="20"/>
  <c r="K306" i="20" s="1"/>
  <c r="H305" i="20"/>
  <c r="H310" i="20" s="1"/>
  <c r="I311" i="20" s="1"/>
  <c r="AD26" i="20" s="1"/>
  <c r="N292" i="20"/>
  <c r="O288" i="20" s="1"/>
  <c r="D283" i="20"/>
  <c r="D282" i="20"/>
  <c r="G281" i="20"/>
  <c r="G297" i="20" s="1"/>
  <c r="F281" i="20"/>
  <c r="F297" i="20" s="1"/>
  <c r="E281" i="20"/>
  <c r="E297" i="20" s="1"/>
  <c r="D281" i="20"/>
  <c r="D297" i="20" s="1"/>
  <c r="C281" i="20"/>
  <c r="C297" i="20" s="1"/>
  <c r="H280" i="20"/>
  <c r="L291" i="20" s="1"/>
  <c r="H279" i="20"/>
  <c r="L290" i="20" s="1"/>
  <c r="H278" i="20"/>
  <c r="L289" i="20" s="1"/>
  <c r="H277" i="20"/>
  <c r="L288" i="20" s="1"/>
  <c r="I276" i="20"/>
  <c r="J276" i="20" s="1"/>
  <c r="H276" i="20"/>
  <c r="N263" i="20"/>
  <c r="O262" i="20" s="1"/>
  <c r="G252" i="20"/>
  <c r="G268" i="20" s="1"/>
  <c r="F252" i="20"/>
  <c r="F268" i="20" s="1"/>
  <c r="E252" i="20"/>
  <c r="E268" i="20" s="1"/>
  <c r="D252" i="20"/>
  <c r="D253" i="20" s="1"/>
  <c r="C252" i="20"/>
  <c r="C253" i="20" s="1"/>
  <c r="I251" i="20"/>
  <c r="J251" i="20" s="1"/>
  <c r="H251" i="20"/>
  <c r="L262" i="20" s="1"/>
  <c r="H250" i="20"/>
  <c r="L261" i="20" s="1"/>
  <c r="H249" i="20"/>
  <c r="L260" i="20" s="1"/>
  <c r="H248" i="20"/>
  <c r="H247" i="20"/>
  <c r="K247" i="20" s="1"/>
  <c r="C239" i="20"/>
  <c r="N234" i="20"/>
  <c r="O233" i="20" s="1"/>
  <c r="O232" i="20"/>
  <c r="O231" i="20"/>
  <c r="O229" i="20"/>
  <c r="F224" i="20"/>
  <c r="D224" i="20"/>
  <c r="D225" i="20" s="1"/>
  <c r="C224" i="20"/>
  <c r="G223" i="20"/>
  <c r="G239" i="20" s="1"/>
  <c r="F223" i="20"/>
  <c r="F239" i="20" s="1"/>
  <c r="E223" i="20"/>
  <c r="E224" i="20" s="1"/>
  <c r="D223" i="20"/>
  <c r="D239" i="20" s="1"/>
  <c r="C223" i="20"/>
  <c r="H222" i="20"/>
  <c r="J221" i="20"/>
  <c r="I221" i="20"/>
  <c r="H221" i="20"/>
  <c r="K221" i="20" s="1"/>
  <c r="H220" i="20"/>
  <c r="I220" i="20" s="1"/>
  <c r="J220" i="20" s="1"/>
  <c r="K219" i="20"/>
  <c r="I219" i="20"/>
  <c r="H219" i="20"/>
  <c r="L230" i="20" s="1"/>
  <c r="H218" i="20"/>
  <c r="L229" i="20" s="1"/>
  <c r="X213" i="20"/>
  <c r="W213" i="20"/>
  <c r="V213" i="20"/>
  <c r="U213" i="20"/>
  <c r="T213" i="20"/>
  <c r="G210" i="20"/>
  <c r="N205" i="20"/>
  <c r="O203" i="20" s="1"/>
  <c r="X203" i="20"/>
  <c r="W203" i="20"/>
  <c r="V203" i="20"/>
  <c r="U203" i="20"/>
  <c r="T203" i="20"/>
  <c r="O202" i="20"/>
  <c r="L201" i="20"/>
  <c r="G194" i="20"/>
  <c r="G195" i="20" s="1"/>
  <c r="F194" i="20"/>
  <c r="F210" i="20" s="1"/>
  <c r="E194" i="20"/>
  <c r="E210" i="20" s="1"/>
  <c r="D194" i="20"/>
  <c r="D195" i="20" s="1"/>
  <c r="C194" i="20"/>
  <c r="C195" i="20" s="1"/>
  <c r="X193" i="20"/>
  <c r="W193" i="20"/>
  <c r="V193" i="20"/>
  <c r="U193" i="20"/>
  <c r="T193" i="20"/>
  <c r="H193" i="20"/>
  <c r="L204" i="20" s="1"/>
  <c r="U192" i="20"/>
  <c r="H192" i="20"/>
  <c r="H191" i="20"/>
  <c r="H194" i="20" s="1"/>
  <c r="I195" i="20" s="1"/>
  <c r="AD22" i="20" s="1"/>
  <c r="H190" i="20"/>
  <c r="K190" i="20" s="1"/>
  <c r="H189" i="20"/>
  <c r="X183" i="20"/>
  <c r="W183" i="20"/>
  <c r="V183" i="20"/>
  <c r="U183" i="20"/>
  <c r="T183" i="20"/>
  <c r="F181" i="20"/>
  <c r="N176" i="20"/>
  <c r="O175" i="20" s="1"/>
  <c r="AA173" i="20"/>
  <c r="X173" i="20"/>
  <c r="W173" i="20"/>
  <c r="V173" i="20"/>
  <c r="U173" i="20"/>
  <c r="T173" i="20"/>
  <c r="G166" i="20"/>
  <c r="G167" i="20" s="1"/>
  <c r="F166" i="20"/>
  <c r="F167" i="20" s="1"/>
  <c r="G165" i="20"/>
  <c r="G181" i="20" s="1"/>
  <c r="F165" i="20"/>
  <c r="E165" i="20"/>
  <c r="E166" i="20" s="1"/>
  <c r="D165" i="20"/>
  <c r="D181" i="20" s="1"/>
  <c r="C165" i="20"/>
  <c r="C181" i="20" s="1"/>
  <c r="H164" i="20"/>
  <c r="I164" i="20" s="1"/>
  <c r="X163" i="20"/>
  <c r="W163" i="20"/>
  <c r="V163" i="20"/>
  <c r="U163" i="20"/>
  <c r="T163" i="20"/>
  <c r="I163" i="20"/>
  <c r="J163" i="20" s="1"/>
  <c r="H163" i="20"/>
  <c r="K163" i="20" s="1"/>
  <c r="H162" i="20"/>
  <c r="H161" i="20"/>
  <c r="H160" i="20"/>
  <c r="I160" i="20" s="1"/>
  <c r="J160" i="20" s="1"/>
  <c r="AA153" i="20"/>
  <c r="X153" i="20"/>
  <c r="W153" i="20"/>
  <c r="V153" i="20"/>
  <c r="U153" i="20"/>
  <c r="T153" i="20"/>
  <c r="D152" i="20"/>
  <c r="N147" i="20"/>
  <c r="O142" i="20" s="1"/>
  <c r="O145" i="20"/>
  <c r="L144" i="20"/>
  <c r="AA143" i="20"/>
  <c r="X143" i="20"/>
  <c r="W143" i="20"/>
  <c r="V143" i="20"/>
  <c r="U143" i="20"/>
  <c r="T143" i="20"/>
  <c r="G137" i="20"/>
  <c r="G138" i="20" s="1"/>
  <c r="C137" i="20"/>
  <c r="C138" i="20" s="1"/>
  <c r="G136" i="20"/>
  <c r="G152" i="20" s="1"/>
  <c r="F136" i="20"/>
  <c r="F152" i="20" s="1"/>
  <c r="E136" i="20"/>
  <c r="E152" i="20" s="1"/>
  <c r="D136" i="20"/>
  <c r="D137" i="20" s="1"/>
  <c r="C136" i="20"/>
  <c r="C152" i="20" s="1"/>
  <c r="AP135" i="20"/>
  <c r="AO135" i="20"/>
  <c r="AN135" i="20"/>
  <c r="AM135" i="20"/>
  <c r="AL135" i="20"/>
  <c r="H135" i="20"/>
  <c r="I135" i="20" s="1"/>
  <c r="J135" i="20" s="1"/>
  <c r="AP134" i="20"/>
  <c r="AO134" i="20"/>
  <c r="AN134" i="20"/>
  <c r="AM134" i="20"/>
  <c r="AL134" i="20"/>
  <c r="AS134" i="20" s="1"/>
  <c r="K134" i="20"/>
  <c r="H134" i="20"/>
  <c r="I134" i="20" s="1"/>
  <c r="J134" i="20" s="1"/>
  <c r="AA133" i="20"/>
  <c r="X133" i="20"/>
  <c r="W133" i="20"/>
  <c r="V133" i="20"/>
  <c r="U133" i="20"/>
  <c r="T133" i="20"/>
  <c r="H133" i="20"/>
  <c r="K133" i="20" s="1"/>
  <c r="AS132" i="20"/>
  <c r="AL133" i="20" s="1"/>
  <c r="J132" i="20"/>
  <c r="I132" i="20"/>
  <c r="H132" i="20"/>
  <c r="H131" i="20"/>
  <c r="L142" i="20" s="1"/>
  <c r="AP130" i="20"/>
  <c r="AO130" i="20"/>
  <c r="AN130" i="20"/>
  <c r="AM130" i="20"/>
  <c r="AL130" i="20"/>
  <c r="AP129" i="20"/>
  <c r="AO129" i="20"/>
  <c r="AN129" i="20"/>
  <c r="AM129" i="20"/>
  <c r="AL129" i="20"/>
  <c r="AL128" i="20"/>
  <c r="AS127" i="20"/>
  <c r="AM128" i="20" s="1"/>
  <c r="AP125" i="20"/>
  <c r="AO125" i="20"/>
  <c r="AN125" i="20"/>
  <c r="AM125" i="20"/>
  <c r="AL125" i="20"/>
  <c r="AP124" i="20"/>
  <c r="AO124" i="20"/>
  <c r="AN124" i="20"/>
  <c r="AM124" i="20"/>
  <c r="AL124" i="20"/>
  <c r="AS124" i="20" s="1"/>
  <c r="AA123" i="20"/>
  <c r="X123" i="20"/>
  <c r="W123" i="20"/>
  <c r="V123" i="20"/>
  <c r="U123" i="20"/>
  <c r="T123" i="20"/>
  <c r="AS122" i="20"/>
  <c r="AP123" i="20" s="1"/>
  <c r="AP120" i="20"/>
  <c r="AO120" i="20"/>
  <c r="AN120" i="20"/>
  <c r="AM120" i="20"/>
  <c r="AL120" i="20"/>
  <c r="AP119" i="20"/>
  <c r="AO119" i="20"/>
  <c r="AN119" i="20"/>
  <c r="AM119" i="20"/>
  <c r="N118" i="20"/>
  <c r="AA53" i="20" s="1"/>
  <c r="O117" i="20"/>
  <c r="AP116" i="20"/>
  <c r="AO116" i="20"/>
  <c r="AN116" i="20"/>
  <c r="AM116" i="20"/>
  <c r="AL116" i="20"/>
  <c r="O116" i="20"/>
  <c r="O115" i="20"/>
  <c r="X113" i="20"/>
  <c r="W113" i="20"/>
  <c r="V113" i="20"/>
  <c r="U113" i="20"/>
  <c r="T113" i="20"/>
  <c r="G107" i="20"/>
  <c r="G123" i="20" s="1"/>
  <c r="F107" i="20"/>
  <c r="E107" i="20"/>
  <c r="D107" i="20"/>
  <c r="D108" i="20" s="1"/>
  <c r="C107" i="20"/>
  <c r="C108" i="20" s="1"/>
  <c r="H106" i="20"/>
  <c r="I106" i="20" s="1"/>
  <c r="J106" i="20" s="1"/>
  <c r="H105" i="20"/>
  <c r="I105" i="20" s="1"/>
  <c r="J105" i="20" s="1"/>
  <c r="H104" i="20"/>
  <c r="K104" i="20" s="1"/>
  <c r="X103" i="20"/>
  <c r="W103" i="20"/>
  <c r="V103" i="20"/>
  <c r="U103" i="20"/>
  <c r="T103" i="20"/>
  <c r="H103" i="20"/>
  <c r="H102" i="20"/>
  <c r="L113" i="20" s="1"/>
  <c r="AW99" i="20"/>
  <c r="AX98" i="20" s="1"/>
  <c r="G94" i="20"/>
  <c r="AA93" i="20"/>
  <c r="X93" i="20"/>
  <c r="W93" i="20"/>
  <c r="V93" i="20"/>
  <c r="U93" i="20"/>
  <c r="T93" i="20"/>
  <c r="N89" i="20"/>
  <c r="O84" i="20" s="1"/>
  <c r="AP88" i="20"/>
  <c r="AP104" i="20" s="1"/>
  <c r="AO88" i="20"/>
  <c r="AO89" i="20" s="1"/>
  <c r="AN88" i="20"/>
  <c r="AN104" i="20" s="1"/>
  <c r="AM88" i="20"/>
  <c r="AM89" i="20" s="1"/>
  <c r="AM90" i="20" s="1"/>
  <c r="AL88" i="20"/>
  <c r="AQ87" i="20"/>
  <c r="AU98" i="20" s="1"/>
  <c r="AQ86" i="20"/>
  <c r="AQ85" i="20"/>
  <c r="AU96" i="20" s="1"/>
  <c r="AQ84" i="20"/>
  <c r="AQ83" i="20"/>
  <c r="X83" i="20"/>
  <c r="W83" i="20"/>
  <c r="V83" i="20"/>
  <c r="U83" i="20"/>
  <c r="T83" i="20"/>
  <c r="G79" i="20"/>
  <c r="F79" i="20"/>
  <c r="D79" i="20"/>
  <c r="G78" i="20"/>
  <c r="F78" i="20"/>
  <c r="F94" i="20" s="1"/>
  <c r="E78" i="20"/>
  <c r="D78" i="20"/>
  <c r="D94" i="20" s="1"/>
  <c r="C78" i="20"/>
  <c r="H77" i="20"/>
  <c r="H76" i="20"/>
  <c r="L87" i="20" s="1"/>
  <c r="H75" i="20"/>
  <c r="L86" i="20" s="1"/>
  <c r="H74" i="20"/>
  <c r="X73" i="20"/>
  <c r="W73" i="20"/>
  <c r="V73" i="20"/>
  <c r="U73" i="20"/>
  <c r="T73" i="20"/>
  <c r="H73" i="20"/>
  <c r="E65" i="20"/>
  <c r="AA63" i="20"/>
  <c r="X63" i="20"/>
  <c r="W63" i="20"/>
  <c r="V63" i="20"/>
  <c r="U63" i="20"/>
  <c r="T63" i="20"/>
  <c r="N60" i="20"/>
  <c r="O57" i="20" s="1"/>
  <c r="O59" i="20"/>
  <c r="O58" i="20"/>
  <c r="O56" i="20"/>
  <c r="X53" i="20"/>
  <c r="W53" i="20"/>
  <c r="V53" i="20"/>
  <c r="U53" i="20"/>
  <c r="T53" i="20"/>
  <c r="E50" i="20"/>
  <c r="E51" i="20" s="1"/>
  <c r="G49" i="20"/>
  <c r="F49" i="20"/>
  <c r="F65" i="20" s="1"/>
  <c r="E49" i="20"/>
  <c r="D49" i="20"/>
  <c r="D50" i="20" s="1"/>
  <c r="C49" i="20"/>
  <c r="H48" i="20"/>
  <c r="I48" i="20" s="1"/>
  <c r="J48" i="20" s="1"/>
  <c r="H47" i="20"/>
  <c r="K47" i="20" s="1"/>
  <c r="H46" i="20"/>
  <c r="H45" i="20"/>
  <c r="I45" i="20" s="1"/>
  <c r="J45" i="20" s="1"/>
  <c r="I44" i="20"/>
  <c r="J44" i="20" s="1"/>
  <c r="H44" i="20"/>
  <c r="L55" i="20" s="1"/>
  <c r="X43" i="20"/>
  <c r="W43" i="20"/>
  <c r="V43" i="20"/>
  <c r="U43" i="20"/>
  <c r="T43" i="20"/>
  <c r="X33" i="20"/>
  <c r="W33" i="20"/>
  <c r="V33" i="20"/>
  <c r="U33" i="20"/>
  <c r="T33" i="20"/>
  <c r="N31" i="20"/>
  <c r="AA23" i="20" s="1"/>
  <c r="O28" i="20"/>
  <c r="X23" i="20"/>
  <c r="W23" i="20"/>
  <c r="V23" i="20"/>
  <c r="U23" i="20"/>
  <c r="T23" i="20"/>
  <c r="G20" i="20"/>
  <c r="G36" i="20" s="1"/>
  <c r="F20" i="20"/>
  <c r="F36" i="20" s="1"/>
  <c r="E20" i="20"/>
  <c r="E36" i="20" s="1"/>
  <c r="D20" i="20"/>
  <c r="D36" i="20" s="1"/>
  <c r="C20" i="20"/>
  <c r="C36" i="20" s="1"/>
  <c r="H19" i="20"/>
  <c r="H18" i="20"/>
  <c r="L29" i="20" s="1"/>
  <c r="H17" i="20"/>
  <c r="L28" i="20" s="1"/>
  <c r="H16" i="20"/>
  <c r="K16" i="20" s="1"/>
  <c r="H15" i="20"/>
  <c r="L26" i="20" s="1"/>
  <c r="J10" i="20"/>
  <c r="I10" i="20"/>
  <c r="K9" i="20"/>
  <c r="F9" i="20"/>
  <c r="B9" i="20"/>
  <c r="B8" i="20"/>
  <c r="E7" i="20"/>
  <c r="C7" i="20"/>
  <c r="E6" i="20"/>
  <c r="C6" i="20"/>
  <c r="C5" i="20"/>
  <c r="E5" i="20" s="1"/>
  <c r="C4" i="20"/>
  <c r="E4" i="20" s="1"/>
  <c r="C3" i="20"/>
  <c r="C8" i="20" s="1"/>
  <c r="AP125" i="14"/>
  <c r="AO125" i="14"/>
  <c r="AN125" i="14"/>
  <c r="AM125" i="14"/>
  <c r="AL125" i="14"/>
  <c r="AP124" i="14"/>
  <c r="AO124" i="14"/>
  <c r="AN124" i="14"/>
  <c r="AM124" i="14"/>
  <c r="AS124" i="14" s="1"/>
  <c r="AL124" i="14"/>
  <c r="AP120" i="14"/>
  <c r="AO120" i="14"/>
  <c r="AN120" i="14"/>
  <c r="AM120" i="14"/>
  <c r="AL120" i="14"/>
  <c r="AP119" i="14"/>
  <c r="AO119" i="14"/>
  <c r="AN119" i="14"/>
  <c r="AM119" i="14"/>
  <c r="AL119" i="14"/>
  <c r="AS119" i="14" s="1"/>
  <c r="AL129" i="9"/>
  <c r="AN129" i="9"/>
  <c r="AO129" i="9"/>
  <c r="AP129" i="9"/>
  <c r="AL130" i="9"/>
  <c r="AN130" i="9"/>
  <c r="AO130" i="9"/>
  <c r="AP130" i="9"/>
  <c r="AM130" i="9"/>
  <c r="AM129" i="9"/>
  <c r="AS134" i="9"/>
  <c r="AP120" i="9"/>
  <c r="AO120" i="9"/>
  <c r="AN120" i="9"/>
  <c r="AM120" i="9"/>
  <c r="AL120" i="9"/>
  <c r="AP119" i="9"/>
  <c r="AO119" i="9"/>
  <c r="AN119" i="9"/>
  <c r="AM119" i="9"/>
  <c r="AL119" i="9"/>
  <c r="AS119" i="9" s="1"/>
  <c r="AM125" i="17"/>
  <c r="AN125" i="17"/>
  <c r="AO125" i="17"/>
  <c r="AP125" i="17"/>
  <c r="AM124" i="17"/>
  <c r="AS124" i="17" s="1"/>
  <c r="AN124" i="17"/>
  <c r="AO124" i="17"/>
  <c r="AP124" i="17"/>
  <c r="AL125" i="17"/>
  <c r="AL124" i="17"/>
  <c r="AS134" i="17"/>
  <c r="AS129" i="17"/>
  <c r="AP120" i="17"/>
  <c r="AO120" i="17"/>
  <c r="AN120" i="17"/>
  <c r="AM120" i="17"/>
  <c r="AL120" i="17"/>
  <c r="AP119" i="17"/>
  <c r="AO119" i="17"/>
  <c r="AN119" i="17"/>
  <c r="AM119" i="17"/>
  <c r="AS119" i="17" s="1"/>
  <c r="AL119" i="17"/>
  <c r="AS129" i="18"/>
  <c r="AS129" i="12"/>
  <c r="AS134" i="12"/>
  <c r="AS134" i="18"/>
  <c r="AS124" i="12"/>
  <c r="AL124" i="12"/>
  <c r="AP125" i="12"/>
  <c r="AO125" i="12"/>
  <c r="AN125" i="12"/>
  <c r="AM125" i="12"/>
  <c r="AL125" i="12"/>
  <c r="AP124" i="12"/>
  <c r="AO124" i="12"/>
  <c r="AN124" i="12"/>
  <c r="AM124" i="12"/>
  <c r="AP120" i="12"/>
  <c r="AO120" i="12"/>
  <c r="AN120" i="12"/>
  <c r="AM120" i="12"/>
  <c r="AL120" i="12"/>
  <c r="AP119" i="12"/>
  <c r="AO119" i="12"/>
  <c r="AN119" i="12"/>
  <c r="AM119" i="12"/>
  <c r="AL119" i="12"/>
  <c r="AS124" i="18"/>
  <c r="AL119" i="18"/>
  <c r="AS119" i="18" s="1"/>
  <c r="AM125" i="18"/>
  <c r="AN125" i="18"/>
  <c r="AO125" i="18"/>
  <c r="AP125" i="18"/>
  <c r="AL125" i="18"/>
  <c r="AM124" i="18"/>
  <c r="AN124" i="18"/>
  <c r="AO124" i="18"/>
  <c r="AP124" i="18"/>
  <c r="AL124" i="18"/>
  <c r="AL120" i="18"/>
  <c r="AM120" i="18"/>
  <c r="AN120" i="18"/>
  <c r="AO120" i="18"/>
  <c r="AP120" i="18"/>
  <c r="AM119" i="18"/>
  <c r="AN119" i="18"/>
  <c r="AO119" i="18"/>
  <c r="AP119" i="18"/>
  <c r="AN130" i="12"/>
  <c r="B8" i="14"/>
  <c r="B8" i="18"/>
  <c r="B8" i="12"/>
  <c r="B8" i="17"/>
  <c r="F273" i="34" l="1"/>
  <c r="E273" i="34"/>
  <c r="F248" i="34"/>
  <c r="R198" i="34"/>
  <c r="E287" i="34"/>
  <c r="U285" i="34"/>
  <c r="T123" i="34"/>
  <c r="S123" i="34"/>
  <c r="R123" i="34"/>
  <c r="T98" i="34"/>
  <c r="U98" i="34"/>
  <c r="S73" i="34"/>
  <c r="R73" i="34"/>
  <c r="D48" i="34"/>
  <c r="AE249" i="34"/>
  <c r="AE250" i="34" s="1"/>
  <c r="AE251" i="34" s="1"/>
  <c r="AH249" i="34"/>
  <c r="AH250" i="34" s="1"/>
  <c r="AH251" i="34" s="1"/>
  <c r="AG249" i="34"/>
  <c r="AG250" i="34" s="1"/>
  <c r="AG251" i="34" s="1"/>
  <c r="AD249" i="34"/>
  <c r="AF249" i="34"/>
  <c r="AF250" i="34" s="1"/>
  <c r="AH149" i="34"/>
  <c r="AH150" i="34" s="1"/>
  <c r="AH151" i="34" s="1"/>
  <c r="AG149" i="34"/>
  <c r="AG150" i="34" s="1"/>
  <c r="AG151" i="34" s="1"/>
  <c r="AF149" i="34"/>
  <c r="AF150" i="34" s="1"/>
  <c r="AE149" i="34"/>
  <c r="AE150" i="34" s="1"/>
  <c r="AE151" i="34" s="1"/>
  <c r="AD149" i="34"/>
  <c r="AG174" i="34"/>
  <c r="AG175" i="34" s="1"/>
  <c r="AG176" i="34" s="1"/>
  <c r="AF174" i="34"/>
  <c r="AF175" i="34" s="1"/>
  <c r="AE174" i="34"/>
  <c r="AE175" i="34" s="1"/>
  <c r="AE176" i="34" s="1"/>
  <c r="AD174" i="34"/>
  <c r="AH174" i="34"/>
  <c r="AH175" i="34" s="1"/>
  <c r="AH176" i="34" s="1"/>
  <c r="AE24" i="34"/>
  <c r="AE25" i="34" s="1"/>
  <c r="AE26" i="34" s="1"/>
  <c r="AD24" i="34"/>
  <c r="AF24" i="34"/>
  <c r="AF25" i="34" s="1"/>
  <c r="AH24" i="34"/>
  <c r="AH25" i="34" s="1"/>
  <c r="AH26" i="34" s="1"/>
  <c r="AG24" i="34"/>
  <c r="AG25" i="34" s="1"/>
  <c r="AG26" i="34" s="1"/>
  <c r="AH74" i="34"/>
  <c r="AH75" i="34" s="1"/>
  <c r="AH76" i="34" s="1"/>
  <c r="AF74" i="34"/>
  <c r="AF75" i="34" s="1"/>
  <c r="AE74" i="34"/>
  <c r="AE75" i="34" s="1"/>
  <c r="AE76" i="34" s="1"/>
  <c r="AG74" i="34"/>
  <c r="AG75" i="34" s="1"/>
  <c r="AG76" i="34" s="1"/>
  <c r="AD74" i="34"/>
  <c r="AE199" i="34"/>
  <c r="AE200" i="34" s="1"/>
  <c r="AE201" i="34" s="1"/>
  <c r="AD199" i="34"/>
  <c r="AH199" i="34"/>
  <c r="AH200" i="34" s="1"/>
  <c r="AH201" i="34" s="1"/>
  <c r="AG199" i="34"/>
  <c r="AG200" i="34" s="1"/>
  <c r="AG201" i="34" s="1"/>
  <c r="AF199" i="34"/>
  <c r="AF200" i="34" s="1"/>
  <c r="AD224" i="34"/>
  <c r="AE224" i="34"/>
  <c r="AE225" i="34" s="1"/>
  <c r="AE226" i="34" s="1"/>
  <c r="AF224" i="34"/>
  <c r="AF225" i="34" s="1"/>
  <c r="AG224" i="34"/>
  <c r="AG225" i="34" s="1"/>
  <c r="AG226" i="34" s="1"/>
  <c r="AH224" i="34"/>
  <c r="AH225" i="34" s="1"/>
  <c r="AH226" i="34" s="1"/>
  <c r="AH274" i="34"/>
  <c r="AH275" i="34" s="1"/>
  <c r="AH276" i="34" s="1"/>
  <c r="AG274" i="34"/>
  <c r="AG275" i="34" s="1"/>
  <c r="AG276" i="34" s="1"/>
  <c r="AF274" i="34"/>
  <c r="AF275" i="34" s="1"/>
  <c r="AE274" i="34"/>
  <c r="AE275" i="34" s="1"/>
  <c r="AE276" i="34" s="1"/>
  <c r="AD274" i="34"/>
  <c r="AH99" i="34"/>
  <c r="AH100" i="34" s="1"/>
  <c r="AH101" i="34" s="1"/>
  <c r="AG99" i="34"/>
  <c r="AG100" i="34" s="1"/>
  <c r="AG101" i="34" s="1"/>
  <c r="AF99" i="34"/>
  <c r="AF100" i="34" s="1"/>
  <c r="AE99" i="34"/>
  <c r="AE100" i="34" s="1"/>
  <c r="AE101" i="34" s="1"/>
  <c r="AD99" i="34"/>
  <c r="G225" i="27"/>
  <c r="G584" i="27"/>
  <c r="E33" i="27"/>
  <c r="E580" i="27"/>
  <c r="E547" i="27"/>
  <c r="E544" i="27"/>
  <c r="E546" i="27"/>
  <c r="E545" i="27"/>
  <c r="E369" i="27"/>
  <c r="E587" i="27"/>
  <c r="D513" i="27"/>
  <c r="D590" i="27"/>
  <c r="G312" i="27"/>
  <c r="G575" i="27"/>
  <c r="G81" i="27"/>
  <c r="G581" i="27"/>
  <c r="F129" i="27"/>
  <c r="F582" i="27"/>
  <c r="D225" i="27"/>
  <c r="D584" i="27"/>
  <c r="F321" i="27"/>
  <c r="F586" i="27"/>
  <c r="F273" i="27"/>
  <c r="F585" i="27"/>
  <c r="D33" i="27"/>
  <c r="D547" i="27"/>
  <c r="D546" i="27"/>
  <c r="D545" i="27"/>
  <c r="D580" i="27"/>
  <c r="D544" i="27"/>
  <c r="D417" i="27"/>
  <c r="D588" i="27"/>
  <c r="F33" i="27"/>
  <c r="F545" i="27"/>
  <c r="F580" i="27"/>
  <c r="F547" i="27"/>
  <c r="F544" i="27"/>
  <c r="F546" i="27"/>
  <c r="E129" i="27"/>
  <c r="E582" i="27"/>
  <c r="H177" i="27"/>
  <c r="H583" i="27"/>
  <c r="H513" i="27"/>
  <c r="H590" i="27"/>
  <c r="F513" i="27"/>
  <c r="F590" i="27"/>
  <c r="F312" i="27"/>
  <c r="F575" i="27"/>
  <c r="D273" i="27"/>
  <c r="D585" i="27"/>
  <c r="F417" i="27"/>
  <c r="F588" i="27"/>
  <c r="G33" i="27"/>
  <c r="G545" i="27"/>
  <c r="G580" i="27"/>
  <c r="G547" i="27"/>
  <c r="G544" i="27"/>
  <c r="G546" i="27"/>
  <c r="F81" i="27"/>
  <c r="F581" i="27"/>
  <c r="D129" i="27"/>
  <c r="D582" i="27"/>
  <c r="H465" i="27"/>
  <c r="H589" i="27"/>
  <c r="H321" i="27"/>
  <c r="H586" i="27"/>
  <c r="G177" i="27"/>
  <c r="G583" i="27"/>
  <c r="F465" i="27"/>
  <c r="F589" i="27"/>
  <c r="E81" i="27"/>
  <c r="E581" i="27"/>
  <c r="F369" i="27"/>
  <c r="F587" i="27"/>
  <c r="E417" i="27"/>
  <c r="E588" i="27"/>
  <c r="D465" i="27"/>
  <c r="D589" i="27"/>
  <c r="H312" i="27"/>
  <c r="H575" i="27"/>
  <c r="F177" i="27"/>
  <c r="F583" i="27"/>
  <c r="D312" i="27"/>
  <c r="D575" i="27"/>
  <c r="D369" i="27"/>
  <c r="D587" i="27"/>
  <c r="E321" i="27"/>
  <c r="E586" i="27"/>
  <c r="H369" i="27"/>
  <c r="H587" i="27"/>
  <c r="F225" i="27"/>
  <c r="F584" i="27"/>
  <c r="E312" i="27"/>
  <c r="E575" i="27"/>
  <c r="H81" i="27"/>
  <c r="H581" i="27"/>
  <c r="H129" i="27"/>
  <c r="H582" i="27"/>
  <c r="E177" i="27"/>
  <c r="E583" i="27"/>
  <c r="E225" i="27"/>
  <c r="E584" i="27"/>
  <c r="E513" i="27"/>
  <c r="E590" i="27"/>
  <c r="D321" i="27"/>
  <c r="D586" i="27"/>
  <c r="G369" i="27"/>
  <c r="G587" i="27"/>
  <c r="H33" i="27"/>
  <c r="H547" i="27"/>
  <c r="H545" i="27"/>
  <c r="H580" i="27"/>
  <c r="H546" i="27"/>
  <c r="H544" i="27"/>
  <c r="G273" i="27"/>
  <c r="G585" i="27"/>
  <c r="G321" i="27"/>
  <c r="G586" i="27"/>
  <c r="H273" i="27"/>
  <c r="H585" i="27"/>
  <c r="H225" i="27"/>
  <c r="H584" i="27"/>
  <c r="D81" i="27"/>
  <c r="D581" i="27"/>
  <c r="D177" i="27"/>
  <c r="D583" i="27"/>
  <c r="G513" i="27"/>
  <c r="G590" i="27"/>
  <c r="H417" i="27"/>
  <c r="H588" i="27"/>
  <c r="G417" i="27"/>
  <c r="G588" i="27"/>
  <c r="G129" i="27"/>
  <c r="G582" i="27"/>
  <c r="G465" i="27"/>
  <c r="G589" i="27"/>
  <c r="E465" i="27"/>
  <c r="E589" i="27"/>
  <c r="E273" i="27"/>
  <c r="E585" i="27"/>
  <c r="D123" i="34"/>
  <c r="F148" i="34"/>
  <c r="H148" i="34"/>
  <c r="F223" i="34"/>
  <c r="E223" i="34"/>
  <c r="AH299" i="34"/>
  <c r="F198" i="34"/>
  <c r="H248" i="34"/>
  <c r="U273" i="34"/>
  <c r="Q273" i="34"/>
  <c r="AE287" i="34"/>
  <c r="U23" i="34"/>
  <c r="F290" i="34"/>
  <c r="G289" i="34"/>
  <c r="S289" i="34"/>
  <c r="S286" i="34"/>
  <c r="AH303" i="34"/>
  <c r="H290" i="34"/>
  <c r="AD290" i="34"/>
  <c r="H98" i="34"/>
  <c r="T173" i="34"/>
  <c r="AE285" i="34"/>
  <c r="F289" i="34"/>
  <c r="G148" i="34"/>
  <c r="AE289" i="34"/>
  <c r="H288" i="34"/>
  <c r="H297" i="34"/>
  <c r="T288" i="34"/>
  <c r="AE290" i="34"/>
  <c r="S288" i="34"/>
  <c r="E290" i="34"/>
  <c r="R290" i="34"/>
  <c r="Q289" i="34"/>
  <c r="AF290" i="34"/>
  <c r="Q198" i="34"/>
  <c r="U149" i="34"/>
  <c r="U150" i="34" s="1"/>
  <c r="T149" i="34"/>
  <c r="T150" i="34" s="1"/>
  <c r="S149" i="34"/>
  <c r="S150" i="34" s="1"/>
  <c r="R149" i="34"/>
  <c r="R150" i="34" s="1"/>
  <c r="Q149" i="34"/>
  <c r="T48" i="34"/>
  <c r="R48" i="34"/>
  <c r="U48" i="34"/>
  <c r="U73" i="34"/>
  <c r="E98" i="34"/>
  <c r="H123" i="34"/>
  <c r="Q148" i="34"/>
  <c r="S198" i="34"/>
  <c r="E198" i="34"/>
  <c r="G223" i="34"/>
  <c r="Q124" i="34"/>
  <c r="U124" i="34"/>
  <c r="U125" i="34" s="1"/>
  <c r="T124" i="34"/>
  <c r="T125" i="34" s="1"/>
  <c r="S124" i="34"/>
  <c r="S125" i="34" s="1"/>
  <c r="R124" i="34"/>
  <c r="R125" i="34" s="1"/>
  <c r="F149" i="34"/>
  <c r="F150" i="34" s="1"/>
  <c r="H149" i="34"/>
  <c r="H150" i="34" s="1"/>
  <c r="G149" i="34"/>
  <c r="G150" i="34" s="1"/>
  <c r="E149" i="34"/>
  <c r="E150" i="34" s="1"/>
  <c r="D149" i="34"/>
  <c r="D98" i="34"/>
  <c r="U173" i="34"/>
  <c r="S173" i="34"/>
  <c r="U198" i="34"/>
  <c r="T274" i="34"/>
  <c r="U274" i="34"/>
  <c r="U275" i="34" s="1"/>
  <c r="S274" i="34"/>
  <c r="S275" i="34" s="1"/>
  <c r="Q274" i="34"/>
  <c r="R274" i="34"/>
  <c r="R275" i="34" s="1"/>
  <c r="U174" i="34"/>
  <c r="U175" i="34" s="1"/>
  <c r="T174" i="34"/>
  <c r="T175" i="34" s="1"/>
  <c r="S174" i="34"/>
  <c r="S175" i="34" s="1"/>
  <c r="R174" i="34"/>
  <c r="R175" i="34" s="1"/>
  <c r="Q174" i="34"/>
  <c r="D286" i="34"/>
  <c r="G98" i="34"/>
  <c r="E123" i="34"/>
  <c r="E173" i="34"/>
  <c r="D198" i="34"/>
  <c r="T223" i="34"/>
  <c r="H223" i="34"/>
  <c r="R273" i="34"/>
  <c r="U49" i="34"/>
  <c r="U50" i="34" s="1"/>
  <c r="T49" i="34"/>
  <c r="T50" i="34" s="1"/>
  <c r="S49" i="34"/>
  <c r="S50" i="34" s="1"/>
  <c r="R49" i="34"/>
  <c r="R50" i="34" s="1"/>
  <c r="Q49" i="34"/>
  <c r="E174" i="34"/>
  <c r="E175" i="34" s="1"/>
  <c r="H174" i="34"/>
  <c r="H175" i="34" s="1"/>
  <c r="G174" i="34"/>
  <c r="G175" i="34" s="1"/>
  <c r="F174" i="34"/>
  <c r="F175" i="34" s="1"/>
  <c r="D174" i="34"/>
  <c r="R23" i="34"/>
  <c r="G48" i="34"/>
  <c r="H73" i="34"/>
  <c r="Q98" i="34"/>
  <c r="S148" i="34"/>
  <c r="R148" i="34"/>
  <c r="E148" i="34"/>
  <c r="Q173" i="34"/>
  <c r="R223" i="34"/>
  <c r="S223" i="34"/>
  <c r="T248" i="34"/>
  <c r="Q73" i="34"/>
  <c r="G49" i="34"/>
  <c r="G50" i="34" s="1"/>
  <c r="F49" i="34"/>
  <c r="F50" i="34" s="1"/>
  <c r="E49" i="34"/>
  <c r="E50" i="34" s="1"/>
  <c r="D49" i="34"/>
  <c r="H49" i="34"/>
  <c r="H50" i="34" s="1"/>
  <c r="T224" i="34"/>
  <c r="T225" i="34" s="1"/>
  <c r="S224" i="34"/>
  <c r="S225" i="34" s="1"/>
  <c r="R224" i="34"/>
  <c r="R225" i="34" s="1"/>
  <c r="Q224" i="34"/>
  <c r="U224" i="34"/>
  <c r="U225" i="34" s="1"/>
  <c r="S48" i="34"/>
  <c r="G73" i="34"/>
  <c r="R98" i="34"/>
  <c r="D148" i="34"/>
  <c r="T148" i="34"/>
  <c r="G248" i="34"/>
  <c r="S248" i="34"/>
  <c r="Q248" i="34"/>
  <c r="H273" i="34"/>
  <c r="S74" i="34"/>
  <c r="R74" i="34"/>
  <c r="R75" i="34" s="1"/>
  <c r="Q74" i="34"/>
  <c r="Q75" i="34" s="1"/>
  <c r="U74" i="34"/>
  <c r="U75" i="34" s="1"/>
  <c r="T74" i="34"/>
  <c r="H224" i="34"/>
  <c r="H225" i="34" s="1"/>
  <c r="G224" i="34"/>
  <c r="G225" i="34" s="1"/>
  <c r="F224" i="34"/>
  <c r="F225" i="34" s="1"/>
  <c r="D224" i="34"/>
  <c r="E224" i="34"/>
  <c r="E225" i="34" s="1"/>
  <c r="F48" i="34"/>
  <c r="Q48" i="34"/>
  <c r="S75" i="34"/>
  <c r="D73" i="34"/>
  <c r="U123" i="34"/>
  <c r="F123" i="34"/>
  <c r="R173" i="34"/>
  <c r="T198" i="34"/>
  <c r="D223" i="34"/>
  <c r="Q223" i="34"/>
  <c r="U199" i="34"/>
  <c r="U200" i="34" s="1"/>
  <c r="T199" i="34"/>
  <c r="T200" i="34" s="1"/>
  <c r="S199" i="34"/>
  <c r="S200" i="34" s="1"/>
  <c r="R199" i="34"/>
  <c r="R200" i="34" s="1"/>
  <c r="Q199" i="34"/>
  <c r="Q23" i="34"/>
  <c r="F74" i="34"/>
  <c r="F75" i="34" s="1"/>
  <c r="E74" i="34"/>
  <c r="E75" i="34" s="1"/>
  <c r="D74" i="34"/>
  <c r="D75" i="34" s="1"/>
  <c r="G74" i="34"/>
  <c r="G75" i="34" s="1"/>
  <c r="H74" i="34"/>
  <c r="H75" i="34" s="1"/>
  <c r="Q249" i="34"/>
  <c r="Q250" i="34" s="1"/>
  <c r="U249" i="34"/>
  <c r="U250" i="34" s="1"/>
  <c r="T249" i="34"/>
  <c r="S249" i="34"/>
  <c r="S250" i="34" s="1"/>
  <c r="R249" i="34"/>
  <c r="R250" i="34" s="1"/>
  <c r="S287" i="34"/>
  <c r="T73" i="34"/>
  <c r="S98" i="34"/>
  <c r="F98" i="34"/>
  <c r="Q123" i="34"/>
  <c r="G123" i="34"/>
  <c r="G198" i="34"/>
  <c r="T99" i="34"/>
  <c r="T100" i="34" s="1"/>
  <c r="U99" i="34"/>
  <c r="U100" i="34" s="1"/>
  <c r="S99" i="34"/>
  <c r="S100" i="34" s="1"/>
  <c r="Q99" i="34"/>
  <c r="R99" i="34"/>
  <c r="R100" i="34" s="1"/>
  <c r="H249" i="34"/>
  <c r="H250" i="34" s="1"/>
  <c r="G249" i="34"/>
  <c r="G250" i="34" s="1"/>
  <c r="F249" i="34"/>
  <c r="F250" i="34" s="1"/>
  <c r="E249" i="34"/>
  <c r="E250" i="34" s="1"/>
  <c r="D249" i="34"/>
  <c r="F173" i="34"/>
  <c r="D173" i="34"/>
  <c r="H198" i="34"/>
  <c r="R248" i="34"/>
  <c r="T273" i="34"/>
  <c r="S273" i="34"/>
  <c r="Q24" i="34"/>
  <c r="Q25" i="34" s="1"/>
  <c r="U24" i="34"/>
  <c r="U25" i="34" s="1"/>
  <c r="T24" i="34"/>
  <c r="R24" i="34"/>
  <c r="R25" i="34" s="1"/>
  <c r="S24" i="34"/>
  <c r="S25" i="34" s="1"/>
  <c r="E99" i="34"/>
  <c r="E100" i="34" s="1"/>
  <c r="D99" i="34"/>
  <c r="D100" i="34" s="1"/>
  <c r="F99" i="34"/>
  <c r="F100" i="34" s="1"/>
  <c r="H99" i="34"/>
  <c r="H100" i="34" s="1"/>
  <c r="G99" i="34"/>
  <c r="G100" i="34" s="1"/>
  <c r="D274" i="34"/>
  <c r="H274" i="34"/>
  <c r="H275" i="34" s="1"/>
  <c r="G274" i="34"/>
  <c r="G275" i="34" s="1"/>
  <c r="F274" i="34"/>
  <c r="F275" i="34" s="1"/>
  <c r="E274" i="34"/>
  <c r="E275" i="34" s="1"/>
  <c r="H48" i="34"/>
  <c r="S23" i="34"/>
  <c r="H173" i="34"/>
  <c r="G173" i="34"/>
  <c r="U223" i="34"/>
  <c r="U248" i="34"/>
  <c r="D273" i="34"/>
  <c r="D124" i="34"/>
  <c r="H124" i="34"/>
  <c r="H125" i="34" s="1"/>
  <c r="E124" i="34"/>
  <c r="E125" i="34" s="1"/>
  <c r="G124" i="34"/>
  <c r="G125" i="34" s="1"/>
  <c r="F124" i="34"/>
  <c r="F125" i="34" s="1"/>
  <c r="T23" i="34"/>
  <c r="E48" i="34"/>
  <c r="F73" i="34"/>
  <c r="E73" i="34"/>
  <c r="U148" i="34"/>
  <c r="E248" i="34"/>
  <c r="D248" i="34"/>
  <c r="G273" i="34"/>
  <c r="T275" i="34"/>
  <c r="G290" i="34"/>
  <c r="D289" i="34"/>
  <c r="T303" i="34"/>
  <c r="Q290" i="34"/>
  <c r="R289" i="34"/>
  <c r="H289" i="34"/>
  <c r="AG289" i="34"/>
  <c r="D290" i="34"/>
  <c r="U289" i="34"/>
  <c r="AE288" i="34"/>
  <c r="AH289" i="34"/>
  <c r="AD289" i="34"/>
  <c r="U290" i="34"/>
  <c r="D288" i="34"/>
  <c r="F301" i="34"/>
  <c r="R281" i="34"/>
  <c r="AF285" i="34"/>
  <c r="AF288" i="34"/>
  <c r="R288" i="34"/>
  <c r="R285" i="34"/>
  <c r="F283" i="34"/>
  <c r="F286" i="34"/>
  <c r="AF286" i="34"/>
  <c r="R286" i="34"/>
  <c r="H286" i="34"/>
  <c r="AF287" i="34"/>
  <c r="AE284" i="34"/>
  <c r="H283" i="34"/>
  <c r="AH300" i="34"/>
  <c r="AF283" i="34"/>
  <c r="G286" i="34"/>
  <c r="T287" i="34"/>
  <c r="I260" i="34"/>
  <c r="M260" i="34" s="1"/>
  <c r="T286" i="34"/>
  <c r="H287" i="34"/>
  <c r="AI260" i="34"/>
  <c r="AM260" i="34" s="1"/>
  <c r="V260" i="34"/>
  <c r="Z260" i="34" s="1"/>
  <c r="D284" i="34"/>
  <c r="F285" i="34"/>
  <c r="AG298" i="34"/>
  <c r="AG288" i="34"/>
  <c r="V235" i="34"/>
  <c r="Z235" i="34" s="1"/>
  <c r="AI235" i="34"/>
  <c r="AM235" i="34" s="1"/>
  <c r="Q286" i="34"/>
  <c r="E286" i="34"/>
  <c r="I235" i="34"/>
  <c r="M235" i="34" s="1"/>
  <c r="H293" i="34"/>
  <c r="G301" i="34"/>
  <c r="AG299" i="34"/>
  <c r="E288" i="34"/>
  <c r="U287" i="34"/>
  <c r="U283" i="34"/>
  <c r="AH298" i="34"/>
  <c r="AG287" i="34"/>
  <c r="D287" i="34"/>
  <c r="E281" i="34"/>
  <c r="AE286" i="34"/>
  <c r="AG284" i="34"/>
  <c r="U286" i="34"/>
  <c r="I210" i="34"/>
  <c r="M210" i="34" s="1"/>
  <c r="U284" i="34"/>
  <c r="AE283" i="34"/>
  <c r="AG282" i="34"/>
  <c r="R283" i="34"/>
  <c r="F300" i="34"/>
  <c r="AI210" i="34"/>
  <c r="AM210" i="34" s="1"/>
  <c r="V210" i="34"/>
  <c r="Z210" i="34" s="1"/>
  <c r="R287" i="34"/>
  <c r="S282" i="34"/>
  <c r="G300" i="34"/>
  <c r="D283" i="34"/>
  <c r="G283" i="34"/>
  <c r="R282" i="34"/>
  <c r="V185" i="34"/>
  <c r="Z185" i="34" s="1"/>
  <c r="T297" i="34"/>
  <c r="AI185" i="34"/>
  <c r="AM185" i="34" s="1"/>
  <c r="AI160" i="34"/>
  <c r="AM160" i="34" s="1"/>
  <c r="V160" i="34"/>
  <c r="Z160" i="34" s="1"/>
  <c r="I160" i="34"/>
  <c r="M160" i="34" s="1"/>
  <c r="D285" i="34"/>
  <c r="T298" i="34"/>
  <c r="E284" i="34"/>
  <c r="AI135" i="34"/>
  <c r="AM135" i="34" s="1"/>
  <c r="F284" i="34"/>
  <c r="AG283" i="34"/>
  <c r="V135" i="34"/>
  <c r="Z135" i="34" s="1"/>
  <c r="S298" i="34"/>
  <c r="I135" i="34"/>
  <c r="M135" i="34" s="1"/>
  <c r="AH283" i="34"/>
  <c r="S283" i="34"/>
  <c r="G281" i="34"/>
  <c r="F295" i="34"/>
  <c r="H285" i="34"/>
  <c r="U282" i="34"/>
  <c r="AE281" i="34"/>
  <c r="G284" i="34"/>
  <c r="S284" i="34"/>
  <c r="G282" i="34"/>
  <c r="AH282" i="34"/>
  <c r="R284" i="34"/>
  <c r="AH284" i="34"/>
  <c r="AF282" i="34"/>
  <c r="I110" i="34"/>
  <c r="M110" i="34" s="1"/>
  <c r="V110" i="34"/>
  <c r="Z110" i="34" s="1"/>
  <c r="E283" i="34"/>
  <c r="D281" i="34"/>
  <c r="AH281" i="34"/>
  <c r="T283" i="34"/>
  <c r="AI85" i="34"/>
  <c r="AM85" i="34" s="1"/>
  <c r="E295" i="34"/>
  <c r="AG294" i="34"/>
  <c r="V85" i="34"/>
  <c r="Z85" i="34" s="1"/>
  <c r="I85" i="34"/>
  <c r="M85" i="34" s="1"/>
  <c r="AE295" i="34"/>
  <c r="AF281" i="34"/>
  <c r="V60" i="34"/>
  <c r="Z60" i="34" s="1"/>
  <c r="I60" i="34"/>
  <c r="M60" i="34" s="1"/>
  <c r="H282" i="34"/>
  <c r="S281" i="34"/>
  <c r="AI60" i="34"/>
  <c r="AM60" i="34" s="1"/>
  <c r="D282" i="34"/>
  <c r="F281" i="34"/>
  <c r="U281" i="34"/>
  <c r="R280" i="34"/>
  <c r="T281" i="34"/>
  <c r="S280" i="34"/>
  <c r="T282" i="34"/>
  <c r="I35" i="34"/>
  <c r="M35" i="34" s="1"/>
  <c r="V35" i="34"/>
  <c r="Z35" i="34" s="1"/>
  <c r="AF280" i="34"/>
  <c r="D23" i="34"/>
  <c r="AG293" i="34"/>
  <c r="H24" i="34"/>
  <c r="H25" i="34" s="1"/>
  <c r="F24" i="34"/>
  <c r="F25" i="34" s="1"/>
  <c r="D24" i="34"/>
  <c r="D25" i="34" s="1"/>
  <c r="G24" i="34"/>
  <c r="G25" i="34" s="1"/>
  <c r="E24" i="34"/>
  <c r="E25" i="34" s="1"/>
  <c r="H281" i="34"/>
  <c r="Z233" i="34"/>
  <c r="U280" i="34"/>
  <c r="F280" i="34"/>
  <c r="E23" i="34"/>
  <c r="T280" i="34"/>
  <c r="AH280" i="34"/>
  <c r="G23" i="34"/>
  <c r="V10" i="34"/>
  <c r="Z10" i="34" s="1"/>
  <c r="Q280" i="34"/>
  <c r="E280" i="34"/>
  <c r="AI10" i="34"/>
  <c r="AM10" i="34" s="1"/>
  <c r="Z183" i="34"/>
  <c r="H23" i="34"/>
  <c r="F23" i="34"/>
  <c r="Z133" i="34"/>
  <c r="Z33" i="34"/>
  <c r="D280" i="34"/>
  <c r="I10" i="34"/>
  <c r="M10" i="34" s="1"/>
  <c r="Z258" i="34"/>
  <c r="Z208" i="34"/>
  <c r="Z158" i="34"/>
  <c r="Z83" i="34"/>
  <c r="Z8" i="34"/>
  <c r="AM58" i="34"/>
  <c r="AH442" i="34"/>
  <c r="T440" i="34"/>
  <c r="Q305" i="34"/>
  <c r="Q312" i="34"/>
  <c r="T448" i="34"/>
  <c r="AI109" i="34"/>
  <c r="AH457" i="34"/>
  <c r="AM8" i="34"/>
  <c r="AH440" i="34"/>
  <c r="AD309" i="34"/>
  <c r="AG444" i="34"/>
  <c r="Q308" i="34"/>
  <c r="T443" i="34"/>
  <c r="AG447" i="34"/>
  <c r="AD311" i="34"/>
  <c r="AG440" i="34"/>
  <c r="AD305" i="34"/>
  <c r="AG443" i="34"/>
  <c r="AD308" i="34"/>
  <c r="AM258" i="34"/>
  <c r="AH450" i="34"/>
  <c r="AD307" i="34"/>
  <c r="AG442" i="34"/>
  <c r="AD306" i="34"/>
  <c r="AG441" i="34"/>
  <c r="AM133" i="34"/>
  <c r="AH445" i="34"/>
  <c r="AM183" i="34"/>
  <c r="AH447" i="34"/>
  <c r="T446" i="34"/>
  <c r="Q310" i="34"/>
  <c r="Z58" i="34"/>
  <c r="Q313" i="34"/>
  <c r="T449" i="34"/>
  <c r="Q314" i="34"/>
  <c r="R314" i="34" s="1"/>
  <c r="U312" i="34" s="1"/>
  <c r="T450" i="34"/>
  <c r="T441" i="34"/>
  <c r="Q306" i="34"/>
  <c r="AM208" i="34"/>
  <c r="AH448" i="34"/>
  <c r="T444" i="34"/>
  <c r="Q309" i="34"/>
  <c r="T442" i="34"/>
  <c r="Q307" i="34"/>
  <c r="AM233" i="34"/>
  <c r="AH449" i="34"/>
  <c r="AM83" i="34"/>
  <c r="AH443" i="34"/>
  <c r="Z108" i="34"/>
  <c r="AM158" i="34"/>
  <c r="AH446" i="34"/>
  <c r="AD314" i="34"/>
  <c r="AE314" i="34" s="1"/>
  <c r="AH312" i="34" s="1"/>
  <c r="AG450" i="34"/>
  <c r="AG446" i="34"/>
  <c r="AD310" i="34"/>
  <c r="Q311" i="34"/>
  <c r="T447" i="34"/>
  <c r="AG448" i="34"/>
  <c r="AD312" i="34"/>
  <c r="AD313" i="34"/>
  <c r="AG449" i="34"/>
  <c r="E309" i="34"/>
  <c r="H308" i="34" s="1"/>
  <c r="E311" i="34"/>
  <c r="H310" i="34" s="1"/>
  <c r="E312" i="34"/>
  <c r="E307" i="34"/>
  <c r="E308" i="34"/>
  <c r="H307" i="34" s="1"/>
  <c r="E310" i="34"/>
  <c r="H309" i="34" s="1"/>
  <c r="H306" i="34"/>
  <c r="E305" i="34"/>
  <c r="H305" i="34" s="1"/>
  <c r="Z157" i="35"/>
  <c r="Z155" i="35"/>
  <c r="P171" i="35"/>
  <c r="P169" i="35"/>
  <c r="X156" i="35"/>
  <c r="Z156" i="35"/>
  <c r="P97" i="35"/>
  <c r="Z87" i="35"/>
  <c r="Z83" i="35"/>
  <c r="Z85" i="35"/>
  <c r="S90" i="35"/>
  <c r="Q74" i="35"/>
  <c r="X60" i="35"/>
  <c r="X36" i="35"/>
  <c r="Z39" i="35"/>
  <c r="P53" i="35"/>
  <c r="Q50" i="35"/>
  <c r="Q51" i="35"/>
  <c r="X37" i="35"/>
  <c r="Z37" i="35"/>
  <c r="Q49" i="35"/>
  <c r="X35" i="35"/>
  <c r="K6" i="35"/>
  <c r="D20" i="35"/>
  <c r="K7" i="35"/>
  <c r="D21" i="35"/>
  <c r="K8" i="35"/>
  <c r="D22" i="35"/>
  <c r="F36" i="35"/>
  <c r="F12" i="35"/>
  <c r="C21" i="35"/>
  <c r="H12" i="35"/>
  <c r="C23" i="35"/>
  <c r="K9" i="35"/>
  <c r="D23" i="35"/>
  <c r="C117" i="35"/>
  <c r="M103" i="35"/>
  <c r="C119" i="35"/>
  <c r="M105" i="35"/>
  <c r="H108" i="35"/>
  <c r="M54" i="35"/>
  <c r="C68" i="35"/>
  <c r="C70" i="35"/>
  <c r="M56" i="35"/>
  <c r="H60" i="35"/>
  <c r="M57" i="35"/>
  <c r="D67" i="35"/>
  <c r="K53" i="35"/>
  <c r="C69" i="35"/>
  <c r="M55" i="35"/>
  <c r="F60" i="35"/>
  <c r="C45" i="35"/>
  <c r="K29" i="35"/>
  <c r="D43" i="35"/>
  <c r="K5" i="35"/>
  <c r="D19" i="35"/>
  <c r="AF297" i="34"/>
  <c r="AF284" i="34"/>
  <c r="AF289" i="34"/>
  <c r="AF302" i="34"/>
  <c r="AI108" i="34"/>
  <c r="AI34" i="34"/>
  <c r="AI33" i="34"/>
  <c r="E11" i="35"/>
  <c r="M7" i="35"/>
  <c r="L7" i="35"/>
  <c r="L9" i="35"/>
  <c r="I10" i="35"/>
  <c r="J11" i="35" s="1"/>
  <c r="M5" i="35"/>
  <c r="D12" i="35"/>
  <c r="L5" i="35"/>
  <c r="M9" i="35"/>
  <c r="H23" i="27"/>
  <c r="D23" i="27"/>
  <c r="G23" i="27"/>
  <c r="F23" i="27"/>
  <c r="E23" i="27"/>
  <c r="H71" i="27"/>
  <c r="G71" i="27"/>
  <c r="F71" i="27"/>
  <c r="E71" i="27"/>
  <c r="D71" i="27"/>
  <c r="H119" i="27"/>
  <c r="G119" i="27"/>
  <c r="F119" i="27"/>
  <c r="E119" i="27"/>
  <c r="D119" i="27"/>
  <c r="H167" i="27"/>
  <c r="G167" i="27"/>
  <c r="F167" i="27"/>
  <c r="E167" i="27"/>
  <c r="D167" i="27"/>
  <c r="E215" i="27"/>
  <c r="H215" i="27"/>
  <c r="G215" i="27"/>
  <c r="F215" i="27"/>
  <c r="D215" i="27"/>
  <c r="H263" i="27"/>
  <c r="G263" i="27"/>
  <c r="F263" i="27"/>
  <c r="E263" i="27"/>
  <c r="D263" i="27"/>
  <c r="H359" i="27"/>
  <c r="D359" i="27"/>
  <c r="G359" i="27"/>
  <c r="F359" i="27"/>
  <c r="E359" i="27"/>
  <c r="H407" i="27"/>
  <c r="G407" i="27"/>
  <c r="E407" i="27"/>
  <c r="F407" i="27"/>
  <c r="D407" i="27"/>
  <c r="G503" i="27"/>
  <c r="H503" i="27"/>
  <c r="H455" i="27"/>
  <c r="G455" i="27"/>
  <c r="F503" i="27"/>
  <c r="F455" i="27"/>
  <c r="E455" i="27"/>
  <c r="E503" i="27"/>
  <c r="D455" i="27"/>
  <c r="J507" i="27"/>
  <c r="J219" i="27"/>
  <c r="J317" i="27"/>
  <c r="J411" i="27"/>
  <c r="J459" i="27"/>
  <c r="J509" i="27"/>
  <c r="J365" i="27"/>
  <c r="J461" i="27"/>
  <c r="J363" i="27"/>
  <c r="J315" i="27"/>
  <c r="J269" i="27"/>
  <c r="J267" i="27"/>
  <c r="J413" i="27"/>
  <c r="J221" i="27"/>
  <c r="J173" i="27"/>
  <c r="J171" i="27"/>
  <c r="J123" i="27"/>
  <c r="J125" i="27"/>
  <c r="J77" i="27"/>
  <c r="J75" i="27"/>
  <c r="I109" i="27"/>
  <c r="I61" i="27"/>
  <c r="J29" i="27"/>
  <c r="J27" i="27"/>
  <c r="H495" i="27"/>
  <c r="D255" i="27"/>
  <c r="F159" i="27"/>
  <c r="F63" i="27"/>
  <c r="I398" i="27"/>
  <c r="I399" i="27" s="1"/>
  <c r="G495" i="27"/>
  <c r="H399" i="27"/>
  <c r="H303" i="27"/>
  <c r="E159" i="27"/>
  <c r="E63" i="27"/>
  <c r="I350" i="27"/>
  <c r="I351" i="27" s="1"/>
  <c r="F495" i="27"/>
  <c r="G399" i="27"/>
  <c r="G303" i="27"/>
  <c r="D159" i="27"/>
  <c r="D63" i="27"/>
  <c r="I302" i="27"/>
  <c r="I303" i="27" s="1"/>
  <c r="E495" i="27"/>
  <c r="H207" i="27"/>
  <c r="F399" i="27"/>
  <c r="F303" i="27"/>
  <c r="I254" i="27"/>
  <c r="I255" i="27" s="1"/>
  <c r="H447" i="27"/>
  <c r="E207" i="27"/>
  <c r="F111" i="27"/>
  <c r="G15" i="27"/>
  <c r="I110" i="27"/>
  <c r="I111" i="27" s="1"/>
  <c r="G447" i="27"/>
  <c r="H351" i="27"/>
  <c r="D207" i="27"/>
  <c r="E111" i="27"/>
  <c r="I62" i="27"/>
  <c r="F447" i="27"/>
  <c r="G351" i="27"/>
  <c r="H255" i="27"/>
  <c r="D111" i="27"/>
  <c r="E15" i="27"/>
  <c r="E447" i="27"/>
  <c r="G255" i="27"/>
  <c r="F351" i="27"/>
  <c r="D447" i="27"/>
  <c r="E351" i="27"/>
  <c r="F255" i="27"/>
  <c r="H159" i="27"/>
  <c r="H63" i="27"/>
  <c r="I494" i="27"/>
  <c r="I495" i="27" s="1"/>
  <c r="D351" i="27"/>
  <c r="E255" i="27"/>
  <c r="G159" i="27"/>
  <c r="G63" i="27"/>
  <c r="I446" i="27"/>
  <c r="I447" i="27" s="1"/>
  <c r="D495" i="27"/>
  <c r="E399" i="27"/>
  <c r="E303" i="27"/>
  <c r="G207" i="27"/>
  <c r="H111" i="27"/>
  <c r="I206" i="27"/>
  <c r="I207" i="27" s="1"/>
  <c r="D399" i="27"/>
  <c r="D303" i="27"/>
  <c r="F207" i="27"/>
  <c r="G111" i="27"/>
  <c r="H15" i="27"/>
  <c r="I158" i="27"/>
  <c r="I159" i="27" s="1"/>
  <c r="AN133" i="26"/>
  <c r="AX96" i="26"/>
  <c r="AO98" i="26"/>
  <c r="AL98" i="26"/>
  <c r="AR87" i="26"/>
  <c r="AS87" i="26" s="1"/>
  <c r="AT84" i="26"/>
  <c r="AU95" i="26"/>
  <c r="AR84" i="26"/>
  <c r="AS84" i="26" s="1"/>
  <c r="AN104" i="26"/>
  <c r="AR86" i="26"/>
  <c r="AS86" i="26" s="1"/>
  <c r="AS129" i="26"/>
  <c r="AS124" i="26"/>
  <c r="O578" i="26"/>
  <c r="O580" i="26"/>
  <c r="F549" i="26"/>
  <c r="F548" i="26"/>
  <c r="O495" i="26"/>
  <c r="G493" i="26"/>
  <c r="O464" i="26"/>
  <c r="G464" i="26" s="1"/>
  <c r="C465" i="26"/>
  <c r="O435" i="26"/>
  <c r="O432" i="26"/>
  <c r="E432" i="26" s="1"/>
  <c r="AA163" i="26"/>
  <c r="O433" i="26"/>
  <c r="E433" i="26" s="1"/>
  <c r="G407" i="26"/>
  <c r="AA153" i="26"/>
  <c r="O374" i="26"/>
  <c r="O379" i="26" s="1"/>
  <c r="O375" i="26"/>
  <c r="O376" i="26"/>
  <c r="O377" i="26"/>
  <c r="C378" i="26"/>
  <c r="AA133" i="26"/>
  <c r="O319" i="26"/>
  <c r="O316" i="26"/>
  <c r="F318" i="26"/>
  <c r="F320" i="26"/>
  <c r="O317" i="26"/>
  <c r="D317" i="26" s="1"/>
  <c r="AA123" i="26"/>
  <c r="O289" i="26"/>
  <c r="AA113" i="26"/>
  <c r="AA103" i="26"/>
  <c r="O229" i="26"/>
  <c r="E229" i="26" s="1"/>
  <c r="O230" i="26"/>
  <c r="O233" i="26"/>
  <c r="G173" i="26"/>
  <c r="E173" i="26"/>
  <c r="O174" i="26"/>
  <c r="G174" i="26" s="1"/>
  <c r="O175" i="26"/>
  <c r="O172" i="26"/>
  <c r="F172" i="26" s="1"/>
  <c r="O142" i="26"/>
  <c r="G146" i="26"/>
  <c r="O143" i="26"/>
  <c r="F143" i="26"/>
  <c r="E113" i="26"/>
  <c r="E116" i="26"/>
  <c r="E114" i="26"/>
  <c r="AA53" i="26"/>
  <c r="O114" i="26"/>
  <c r="O115" i="26"/>
  <c r="O87" i="26"/>
  <c r="F87" i="26" s="1"/>
  <c r="E86" i="26"/>
  <c r="O84" i="26"/>
  <c r="AA43" i="26"/>
  <c r="AA288" i="26" s="1"/>
  <c r="G58" i="26"/>
  <c r="AA23" i="26"/>
  <c r="O29" i="26"/>
  <c r="O31" i="26" s="1"/>
  <c r="K570" i="26"/>
  <c r="G587" i="26"/>
  <c r="I569" i="26"/>
  <c r="J569" i="26" s="1"/>
  <c r="D587" i="26"/>
  <c r="E587" i="26"/>
  <c r="D549" i="26"/>
  <c r="F558" i="26"/>
  <c r="C543" i="26"/>
  <c r="L550" i="26"/>
  <c r="K538" i="26"/>
  <c r="K539" i="26"/>
  <c r="I511" i="26"/>
  <c r="J511" i="26" s="1"/>
  <c r="C529" i="26"/>
  <c r="C491" i="26"/>
  <c r="D491" i="26"/>
  <c r="E485" i="26"/>
  <c r="E486" i="26" s="1"/>
  <c r="G485" i="26"/>
  <c r="G486" i="26" s="1"/>
  <c r="K483" i="26"/>
  <c r="I453" i="26"/>
  <c r="J453" i="26" s="1"/>
  <c r="I454" i="26"/>
  <c r="J454" i="26" s="1"/>
  <c r="K452" i="26"/>
  <c r="G456" i="26"/>
  <c r="D471" i="26"/>
  <c r="H455" i="26"/>
  <c r="I456" i="26" s="1"/>
  <c r="AD31" i="26" s="1"/>
  <c r="I421" i="26"/>
  <c r="J421" i="26" s="1"/>
  <c r="K421" i="26"/>
  <c r="C427" i="26"/>
  <c r="K422" i="26"/>
  <c r="D427" i="26"/>
  <c r="N422" i="26" s="1"/>
  <c r="U162" i="26" s="1"/>
  <c r="E427" i="26"/>
  <c r="E428" i="26" s="1"/>
  <c r="K423" i="26"/>
  <c r="G442" i="26"/>
  <c r="D433" i="26"/>
  <c r="D398" i="26"/>
  <c r="D399" i="26" s="1"/>
  <c r="I395" i="26"/>
  <c r="J395" i="26" s="1"/>
  <c r="K396" i="26"/>
  <c r="C407" i="26"/>
  <c r="D407" i="26"/>
  <c r="I367" i="26"/>
  <c r="J367" i="26" s="1"/>
  <c r="E369" i="26"/>
  <c r="K364" i="26"/>
  <c r="F369" i="26"/>
  <c r="F370" i="26" s="1"/>
  <c r="L375" i="26"/>
  <c r="L349" i="26"/>
  <c r="D355" i="26"/>
  <c r="L345" i="26"/>
  <c r="L346" i="26"/>
  <c r="L347" i="26"/>
  <c r="I309" i="26"/>
  <c r="J309" i="26" s="1"/>
  <c r="K307" i="26"/>
  <c r="D311" i="26"/>
  <c r="D312" i="26" s="1"/>
  <c r="K309" i="26"/>
  <c r="L316" i="26"/>
  <c r="N306" i="26"/>
  <c r="U122" i="26" s="1"/>
  <c r="H310" i="26"/>
  <c r="I311" i="26" s="1"/>
  <c r="AD26" i="26" s="1"/>
  <c r="I307" i="26"/>
  <c r="J307" i="26" s="1"/>
  <c r="N280" i="26"/>
  <c r="X112" i="26" s="1"/>
  <c r="G297" i="26"/>
  <c r="J278" i="26"/>
  <c r="D282" i="26"/>
  <c r="D283" i="26" s="1"/>
  <c r="I280" i="26"/>
  <c r="J280" i="26" s="1"/>
  <c r="F268" i="26"/>
  <c r="K248" i="26"/>
  <c r="D253" i="26"/>
  <c r="I248" i="26"/>
  <c r="J248" i="26" s="1"/>
  <c r="E253" i="26"/>
  <c r="G253" i="26"/>
  <c r="G254" i="26" s="1"/>
  <c r="E232" i="26"/>
  <c r="G232" i="26"/>
  <c r="F232" i="26"/>
  <c r="L230" i="26"/>
  <c r="D229" i="26"/>
  <c r="C239" i="26"/>
  <c r="D239" i="26"/>
  <c r="K190" i="26"/>
  <c r="F195" i="26"/>
  <c r="G196" i="26"/>
  <c r="D210" i="26"/>
  <c r="I162" i="26"/>
  <c r="J162" i="26" s="1"/>
  <c r="D166" i="26"/>
  <c r="N161" i="26" s="1"/>
  <c r="U72" i="26" s="1"/>
  <c r="K161" i="26"/>
  <c r="I135" i="26"/>
  <c r="J135" i="26" s="1"/>
  <c r="C137" i="26"/>
  <c r="C138" i="26" s="1"/>
  <c r="D137" i="26"/>
  <c r="D138" i="26" s="1"/>
  <c r="F137" i="26"/>
  <c r="I132" i="26"/>
  <c r="N132" i="26" s="1"/>
  <c r="U62" i="26" s="1"/>
  <c r="G137" i="26"/>
  <c r="C146" i="26"/>
  <c r="D143" i="26"/>
  <c r="E146" i="26"/>
  <c r="N133" i="26"/>
  <c r="V62" i="26" s="1"/>
  <c r="C108" i="26"/>
  <c r="K103" i="26"/>
  <c r="C116" i="26"/>
  <c r="K102" i="26"/>
  <c r="I102" i="26"/>
  <c r="J102" i="26" s="1"/>
  <c r="G108" i="26"/>
  <c r="G109" i="26" s="1"/>
  <c r="I103" i="26"/>
  <c r="K105" i="26"/>
  <c r="I75" i="26"/>
  <c r="J75" i="26" s="1"/>
  <c r="K75" i="26"/>
  <c r="E79" i="26"/>
  <c r="G79" i="26"/>
  <c r="N77" i="26" s="1"/>
  <c r="X42" i="26" s="1"/>
  <c r="L85" i="26"/>
  <c r="L57" i="26"/>
  <c r="D58" i="26"/>
  <c r="K46" i="26"/>
  <c r="K47" i="26"/>
  <c r="I44" i="26"/>
  <c r="J44" i="26" s="1"/>
  <c r="C50" i="26"/>
  <c r="C51" i="26" s="1"/>
  <c r="I15" i="26"/>
  <c r="J15" i="26" s="1"/>
  <c r="D36" i="26"/>
  <c r="K15" i="26"/>
  <c r="C36" i="26"/>
  <c r="I16" i="26"/>
  <c r="N16" i="26" s="1"/>
  <c r="U22" i="26" s="1"/>
  <c r="K16" i="26"/>
  <c r="F21" i="26"/>
  <c r="F22" i="26" s="1"/>
  <c r="G21" i="26"/>
  <c r="G22" i="26" s="1"/>
  <c r="L28" i="26"/>
  <c r="F28" i="26" s="1"/>
  <c r="F26" i="26"/>
  <c r="G26" i="26"/>
  <c r="E26" i="26"/>
  <c r="D26" i="26"/>
  <c r="C26" i="26"/>
  <c r="E27" i="26"/>
  <c r="G27" i="26"/>
  <c r="F27" i="26"/>
  <c r="D27" i="26"/>
  <c r="C27" i="26"/>
  <c r="J16" i="26"/>
  <c r="V288" i="26"/>
  <c r="V289" i="26" s="1"/>
  <c r="V287" i="26"/>
  <c r="V226" i="26"/>
  <c r="D30" i="26"/>
  <c r="E30" i="26"/>
  <c r="N44" i="26"/>
  <c r="T32" i="26" s="1"/>
  <c r="N46" i="26"/>
  <c r="V32" i="26" s="1"/>
  <c r="AU96" i="26"/>
  <c r="AR85" i="26"/>
  <c r="AS85" i="26" s="1"/>
  <c r="AM89" i="26"/>
  <c r="AM104" i="26"/>
  <c r="E174" i="26"/>
  <c r="C174" i="26"/>
  <c r="W287" i="26"/>
  <c r="W288" i="26"/>
  <c r="W289" i="26" s="1"/>
  <c r="W226" i="26"/>
  <c r="C94" i="26"/>
  <c r="C79" i="26"/>
  <c r="K73" i="26"/>
  <c r="AN90" i="26"/>
  <c r="AW85" i="26"/>
  <c r="AN115" i="26" s="1"/>
  <c r="AP98" i="26"/>
  <c r="AN98" i="26"/>
  <c r="AM98" i="26"/>
  <c r="N15" i="26"/>
  <c r="T22" i="26" s="1"/>
  <c r="F29" i="26"/>
  <c r="E29" i="26"/>
  <c r="E58" i="26"/>
  <c r="C58" i="26"/>
  <c r="F58" i="26"/>
  <c r="K106" i="26"/>
  <c r="I106" i="26"/>
  <c r="J106" i="26" s="1"/>
  <c r="C3" i="26"/>
  <c r="B9" i="26"/>
  <c r="I18" i="26"/>
  <c r="J18" i="26" s="1"/>
  <c r="AA287" i="26"/>
  <c r="D65" i="26"/>
  <c r="D50" i="26"/>
  <c r="E87" i="26"/>
  <c r="AP89" i="26"/>
  <c r="AP104" i="26"/>
  <c r="F9" i="26"/>
  <c r="K45" i="26"/>
  <c r="I45" i="26"/>
  <c r="J45" i="26" s="1"/>
  <c r="K74" i="26"/>
  <c r="I76" i="26"/>
  <c r="J76" i="26" s="1"/>
  <c r="F94" i="26"/>
  <c r="F79" i="26"/>
  <c r="C4" i="26"/>
  <c r="E4" i="26" s="1"/>
  <c r="K18" i="26"/>
  <c r="C28" i="26"/>
  <c r="F51" i="26"/>
  <c r="K76" i="26"/>
  <c r="AQ88" i="26"/>
  <c r="AR89" i="26" s="1"/>
  <c r="AU94" i="26"/>
  <c r="AR83" i="26"/>
  <c r="F86" i="26"/>
  <c r="D86" i="26"/>
  <c r="I104" i="26"/>
  <c r="J104" i="26" s="1"/>
  <c r="L115" i="26"/>
  <c r="H107" i="26"/>
  <c r="I108" i="26" s="1"/>
  <c r="AD19" i="26" s="1"/>
  <c r="D28" i="26"/>
  <c r="C29" i="26"/>
  <c r="G51" i="26"/>
  <c r="AA33" i="26"/>
  <c r="O56" i="26"/>
  <c r="O55" i="26"/>
  <c r="C55" i="26" s="1"/>
  <c r="O57" i="26"/>
  <c r="G57" i="26" s="1"/>
  <c r="O59" i="26"/>
  <c r="G59" i="26" s="1"/>
  <c r="F84" i="26"/>
  <c r="D84" i="26"/>
  <c r="G84" i="26"/>
  <c r="H78" i="26"/>
  <c r="I79" i="26" s="1"/>
  <c r="AD18" i="26" s="1"/>
  <c r="K104" i="26"/>
  <c r="E22" i="26"/>
  <c r="E28" i="26"/>
  <c r="D29" i="26"/>
  <c r="C30" i="26"/>
  <c r="H49" i="26"/>
  <c r="I50" i="26" s="1"/>
  <c r="AD17" i="26" s="1"/>
  <c r="C84" i="26"/>
  <c r="U288" i="26"/>
  <c r="U289" i="26" s="1"/>
  <c r="U287" i="26"/>
  <c r="U226" i="26"/>
  <c r="G28" i="26"/>
  <c r="G29" i="26"/>
  <c r="F30" i="26"/>
  <c r="E84" i="26"/>
  <c r="G113" i="26"/>
  <c r="D113" i="26"/>
  <c r="H20" i="26"/>
  <c r="I21" i="26" s="1"/>
  <c r="AD16" i="26" s="1"/>
  <c r="F59" i="26"/>
  <c r="E59" i="26"/>
  <c r="C59" i="26"/>
  <c r="D80" i="26"/>
  <c r="N74" i="26"/>
  <c r="U42" i="26" s="1"/>
  <c r="G85" i="26"/>
  <c r="I48" i="26"/>
  <c r="J48" i="26" s="1"/>
  <c r="L56" i="26"/>
  <c r="I73" i="26"/>
  <c r="J73" i="26" s="1"/>
  <c r="AO89" i="26"/>
  <c r="AO104" i="26"/>
  <c r="J132" i="26"/>
  <c r="AO128" i="26"/>
  <c r="AN128" i="26"/>
  <c r="AL128" i="26"/>
  <c r="L145" i="26"/>
  <c r="H136" i="26"/>
  <c r="I137" i="26" s="1"/>
  <c r="AD20" i="26" s="1"/>
  <c r="K134" i="26"/>
  <c r="AM128" i="26"/>
  <c r="T288" i="26"/>
  <c r="T289" i="26" s="1"/>
  <c r="T287" i="26"/>
  <c r="T226" i="26"/>
  <c r="AT86" i="26"/>
  <c r="O85" i="26"/>
  <c r="C85" i="26" s="1"/>
  <c r="O88" i="26"/>
  <c r="G88" i="26" s="1"/>
  <c r="G116" i="26"/>
  <c r="F116" i="26"/>
  <c r="D116" i="26"/>
  <c r="F113" i="26"/>
  <c r="AP128" i="26"/>
  <c r="C210" i="26"/>
  <c r="C195" i="26"/>
  <c r="K189" i="26"/>
  <c r="AT87" i="26"/>
  <c r="F109" i="26"/>
  <c r="N105" i="26"/>
  <c r="W52" i="26" s="1"/>
  <c r="G114" i="26"/>
  <c r="F114" i="26"/>
  <c r="D114" i="26"/>
  <c r="C114" i="26"/>
  <c r="O176" i="26"/>
  <c r="X287" i="26"/>
  <c r="X288" i="26"/>
  <c r="X289" i="26" s="1"/>
  <c r="X226" i="26"/>
  <c r="C86" i="26"/>
  <c r="E108" i="26"/>
  <c r="E123" i="26"/>
  <c r="AS119" i="26"/>
  <c r="D196" i="26"/>
  <c r="N190" i="26"/>
  <c r="U82" i="26" s="1"/>
  <c r="N249" i="26"/>
  <c r="V102" i="26" s="1"/>
  <c r="E254" i="26"/>
  <c r="C312" i="26"/>
  <c r="N305" i="26"/>
  <c r="T122" i="26" s="1"/>
  <c r="D146" i="26"/>
  <c r="L175" i="26"/>
  <c r="K164" i="26"/>
  <c r="C166" i="26"/>
  <c r="C173" i="26"/>
  <c r="E210" i="26"/>
  <c r="E195" i="26"/>
  <c r="F254" i="26"/>
  <c r="N250" i="26"/>
  <c r="W102" i="26" s="1"/>
  <c r="G523" i="26"/>
  <c r="D523" i="26"/>
  <c r="C523" i="26"/>
  <c r="L142" i="26"/>
  <c r="K131" i="26"/>
  <c r="N134" i="26"/>
  <c r="W62" i="26" s="1"/>
  <c r="F138" i="26"/>
  <c r="F204" i="26"/>
  <c r="D204" i="26"/>
  <c r="G204" i="26"/>
  <c r="E204" i="26"/>
  <c r="C204" i="26"/>
  <c r="N218" i="26"/>
  <c r="T92" i="26" s="1"/>
  <c r="C225" i="26"/>
  <c r="K250" i="26"/>
  <c r="I250" i="26"/>
  <c r="J250" i="26" s="1"/>
  <c r="L261" i="26"/>
  <c r="L319" i="26"/>
  <c r="K308" i="26"/>
  <c r="I308" i="26"/>
  <c r="I131" i="26"/>
  <c r="F146" i="26"/>
  <c r="O147" i="26"/>
  <c r="E166" i="26"/>
  <c r="F173" i="26"/>
  <c r="D225" i="26"/>
  <c r="N219" i="26"/>
  <c r="U92" i="26" s="1"/>
  <c r="I105" i="26"/>
  <c r="J105" i="26" s="1"/>
  <c r="C113" i="26"/>
  <c r="K135" i="26"/>
  <c r="E239" i="26"/>
  <c r="E224" i="26"/>
  <c r="K251" i="26"/>
  <c r="L262" i="26"/>
  <c r="I251" i="26"/>
  <c r="K191" i="26"/>
  <c r="L202" i="26"/>
  <c r="I191" i="26"/>
  <c r="J191" i="26" s="1"/>
  <c r="F196" i="26"/>
  <c r="F239" i="26"/>
  <c r="F224" i="26"/>
  <c r="K221" i="26"/>
  <c r="AM123" i="26"/>
  <c r="AL133" i="26"/>
  <c r="H165" i="26"/>
  <c r="I166" i="26" s="1"/>
  <c r="AD21" i="26" s="1"/>
  <c r="K163" i="26"/>
  <c r="I163" i="26"/>
  <c r="J163" i="26" s="1"/>
  <c r="O203" i="26"/>
  <c r="O200" i="26"/>
  <c r="G200" i="26" s="1"/>
  <c r="O202" i="26"/>
  <c r="C230" i="26"/>
  <c r="G230" i="26"/>
  <c r="D230" i="26"/>
  <c r="C340" i="26"/>
  <c r="C355" i="26"/>
  <c r="K334" i="26"/>
  <c r="AX95" i="26"/>
  <c r="AN123" i="26"/>
  <c r="AM133" i="26"/>
  <c r="L144" i="26"/>
  <c r="N222" i="26"/>
  <c r="X92" i="26" s="1"/>
  <c r="G225" i="26"/>
  <c r="O234" i="26"/>
  <c r="L405" i="26"/>
  <c r="K394" i="26"/>
  <c r="I394" i="26"/>
  <c r="J394" i="26" s="1"/>
  <c r="H397" i="26"/>
  <c r="I398" i="26" s="1"/>
  <c r="AD29" i="26" s="1"/>
  <c r="AS134" i="26"/>
  <c r="G171" i="26"/>
  <c r="D171" i="26"/>
  <c r="L203" i="26"/>
  <c r="K192" i="26"/>
  <c r="O117" i="26"/>
  <c r="F117" i="26" s="1"/>
  <c r="AP123" i="26"/>
  <c r="AO133" i="26"/>
  <c r="E152" i="26"/>
  <c r="F167" i="26"/>
  <c r="E171" i="26"/>
  <c r="G172" i="26"/>
  <c r="E172" i="26"/>
  <c r="D172" i="26"/>
  <c r="C172" i="26"/>
  <c r="C181" i="26"/>
  <c r="I192" i="26"/>
  <c r="J192" i="26" s="1"/>
  <c r="O201" i="26"/>
  <c r="D201" i="26" s="1"/>
  <c r="C229" i="26"/>
  <c r="G229" i="26"/>
  <c r="E406" i="26"/>
  <c r="F406" i="26"/>
  <c r="C406" i="26"/>
  <c r="G406" i="26"/>
  <c r="D406" i="26"/>
  <c r="AX97" i="26"/>
  <c r="AO97" i="26" s="1"/>
  <c r="G143" i="26"/>
  <c r="E143" i="26"/>
  <c r="C143" i="26"/>
  <c r="D173" i="26"/>
  <c r="N164" i="26"/>
  <c r="X72" i="26" s="1"/>
  <c r="G167" i="26"/>
  <c r="F171" i="26"/>
  <c r="K219" i="26"/>
  <c r="G289" i="26"/>
  <c r="F289" i="26"/>
  <c r="E289" i="26"/>
  <c r="D289" i="26"/>
  <c r="C289" i="26"/>
  <c r="G287" i="26"/>
  <c r="F287" i="26"/>
  <c r="E287" i="26"/>
  <c r="D287" i="26"/>
  <c r="C287" i="26"/>
  <c r="E355" i="26"/>
  <c r="E340" i="26"/>
  <c r="K336" i="26"/>
  <c r="K366" i="26"/>
  <c r="I366" i="26"/>
  <c r="J366" i="26" s="1"/>
  <c r="L233" i="26"/>
  <c r="K222" i="26"/>
  <c r="D231" i="26"/>
  <c r="G318" i="26"/>
  <c r="E318" i="26"/>
  <c r="D318" i="26"/>
  <c r="C318" i="26"/>
  <c r="O349" i="26"/>
  <c r="O346" i="26"/>
  <c r="C346" i="26" s="1"/>
  <c r="O348" i="26"/>
  <c r="O345" i="26"/>
  <c r="D345" i="26" s="1"/>
  <c r="F231" i="26"/>
  <c r="K425" i="26"/>
  <c r="I425" i="26"/>
  <c r="J425" i="26" s="1"/>
  <c r="L436" i="26"/>
  <c r="G432" i="26"/>
  <c r="C432" i="26"/>
  <c r="D432" i="26"/>
  <c r="E522" i="26"/>
  <c r="F522" i="26"/>
  <c r="G522" i="26"/>
  <c r="D522" i="26"/>
  <c r="C522" i="26"/>
  <c r="G550" i="26"/>
  <c r="C550" i="26"/>
  <c r="F550" i="26"/>
  <c r="E550" i="26"/>
  <c r="D550" i="26"/>
  <c r="G231" i="26"/>
  <c r="D258" i="26"/>
  <c r="N539" i="26"/>
  <c r="V202" i="26" s="1"/>
  <c r="E544" i="26"/>
  <c r="E231" i="26"/>
  <c r="C231" i="26"/>
  <c r="H231" i="26" s="1"/>
  <c r="H281" i="26"/>
  <c r="I282" i="26" s="1"/>
  <c r="AD25" i="26" s="1"/>
  <c r="K276" i="26"/>
  <c r="I276" i="26"/>
  <c r="J276" i="26" s="1"/>
  <c r="G316" i="26"/>
  <c r="E316" i="26"/>
  <c r="F316" i="26"/>
  <c r="D316" i="26"/>
  <c r="C316" i="26"/>
  <c r="K218" i="26"/>
  <c r="H223" i="26"/>
  <c r="I224" i="26" s="1"/>
  <c r="AD23" i="26" s="1"/>
  <c r="I218" i="26"/>
  <c r="J218" i="26" s="1"/>
  <c r="H252" i="26"/>
  <c r="I253" i="26" s="1"/>
  <c r="AD24" i="26" s="1"/>
  <c r="O288" i="26"/>
  <c r="O291" i="26"/>
  <c r="O290" i="26"/>
  <c r="G345" i="26"/>
  <c r="F345" i="26"/>
  <c r="C345" i="26"/>
  <c r="L288" i="26"/>
  <c r="K277" i="26"/>
  <c r="N248" i="26"/>
  <c r="U102" i="26" s="1"/>
  <c r="D254" i="26"/>
  <c r="C259" i="26"/>
  <c r="G347" i="26"/>
  <c r="F347" i="26"/>
  <c r="E347" i="26"/>
  <c r="D347" i="26"/>
  <c r="C347" i="26"/>
  <c r="E370" i="26"/>
  <c r="F377" i="26"/>
  <c r="E377" i="26"/>
  <c r="D377" i="26"/>
  <c r="C377" i="26"/>
  <c r="G377" i="26"/>
  <c r="F434" i="26"/>
  <c r="C282" i="26"/>
  <c r="O321" i="26"/>
  <c r="E375" i="26"/>
  <c r="D375" i="26"/>
  <c r="C375" i="26"/>
  <c r="O437" i="26"/>
  <c r="N479" i="26"/>
  <c r="T182" i="26" s="1"/>
  <c r="C486" i="26"/>
  <c r="K540" i="26"/>
  <c r="L551" i="26"/>
  <c r="C572" i="26"/>
  <c r="C587" i="26"/>
  <c r="G580" i="26"/>
  <c r="C580" i="26"/>
  <c r="N307" i="26"/>
  <c r="V122" i="26" s="1"/>
  <c r="F326" i="26"/>
  <c r="H426" i="26"/>
  <c r="I427" i="26" s="1"/>
  <c r="AD30" i="26" s="1"/>
  <c r="G465" i="26"/>
  <c r="N481" i="26"/>
  <c r="V182" i="26" s="1"/>
  <c r="J540" i="26"/>
  <c r="N540" i="26"/>
  <c r="W202" i="26" s="1"/>
  <c r="D573" i="26"/>
  <c r="G312" i="26"/>
  <c r="H339" i="26"/>
  <c r="I340" i="26" s="1"/>
  <c r="AD27" i="26" s="1"/>
  <c r="L348" i="26"/>
  <c r="G378" i="26"/>
  <c r="F378" i="26"/>
  <c r="E378" i="26"/>
  <c r="D378" i="26"/>
  <c r="N424" i="26"/>
  <c r="W162" i="26" s="1"/>
  <c r="K541" i="26"/>
  <c r="I541" i="26"/>
  <c r="J541" i="26" s="1"/>
  <c r="L552" i="26"/>
  <c r="F291" i="26"/>
  <c r="F282" i="26"/>
  <c r="G283" i="26"/>
  <c r="H368" i="26"/>
  <c r="I369" i="26" s="1"/>
  <c r="AD28" i="26" s="1"/>
  <c r="G428" i="26"/>
  <c r="C456" i="26"/>
  <c r="C471" i="26"/>
  <c r="I481" i="26"/>
  <c r="J481" i="26" s="1"/>
  <c r="H484" i="26"/>
  <c r="I485" i="26" s="1"/>
  <c r="AD32" i="26" s="1"/>
  <c r="L492" i="26"/>
  <c r="O553" i="26"/>
  <c r="H571" i="26"/>
  <c r="I572" i="26" s="1"/>
  <c r="AD35" i="26" s="1"/>
  <c r="F587" i="26"/>
  <c r="K569" i="26"/>
  <c r="F572" i="26"/>
  <c r="F346" i="26"/>
  <c r="C384" i="26"/>
  <c r="C369" i="26"/>
  <c r="C493" i="26"/>
  <c r="F493" i="26"/>
  <c r="E493" i="26"/>
  <c r="D493" i="26"/>
  <c r="F579" i="26"/>
  <c r="E579" i="26"/>
  <c r="D579" i="26"/>
  <c r="C579" i="26"/>
  <c r="G573" i="26"/>
  <c r="N570" i="26"/>
  <c r="X212" i="26" s="1"/>
  <c r="C232" i="26"/>
  <c r="O258" i="26"/>
  <c r="C258" i="26" s="1"/>
  <c r="O259" i="26"/>
  <c r="G259" i="26" s="1"/>
  <c r="O260" i="26"/>
  <c r="D260" i="26" s="1"/>
  <c r="O261" i="26"/>
  <c r="F290" i="26"/>
  <c r="C290" i="26"/>
  <c r="J306" i="26"/>
  <c r="G317" i="26"/>
  <c r="E317" i="26"/>
  <c r="C320" i="26"/>
  <c r="I337" i="26"/>
  <c r="J337" i="26" s="1"/>
  <c r="K363" i="26"/>
  <c r="K482" i="26"/>
  <c r="I482" i="26"/>
  <c r="F529" i="26"/>
  <c r="F514" i="26"/>
  <c r="K511" i="26"/>
  <c r="H542" i="26"/>
  <c r="I543" i="26" s="1"/>
  <c r="AD34" i="26" s="1"/>
  <c r="I568" i="26"/>
  <c r="J568" i="26" s="1"/>
  <c r="D232" i="26"/>
  <c r="K280" i="26"/>
  <c r="D320" i="26"/>
  <c r="L374" i="26"/>
  <c r="N423" i="26"/>
  <c r="V162" i="26" s="1"/>
  <c r="F463" i="26"/>
  <c r="E463" i="26"/>
  <c r="D463" i="26"/>
  <c r="G463" i="26"/>
  <c r="C463" i="26"/>
  <c r="C490" i="26"/>
  <c r="F490" i="26"/>
  <c r="E490" i="26"/>
  <c r="D490" i="26"/>
  <c r="K568" i="26"/>
  <c r="E290" i="26"/>
  <c r="C291" i="26"/>
  <c r="F341" i="26"/>
  <c r="G349" i="26"/>
  <c r="F349" i="26"/>
  <c r="E349" i="26"/>
  <c r="D349" i="26"/>
  <c r="C428" i="26"/>
  <c r="I452" i="26"/>
  <c r="K279" i="26"/>
  <c r="G320" i="26"/>
  <c r="E320" i="26"/>
  <c r="I365" i="26"/>
  <c r="J365" i="26" s="1"/>
  <c r="L376" i="26"/>
  <c r="F413" i="26"/>
  <c r="F398" i="26"/>
  <c r="K395" i="26"/>
  <c r="K424" i="26"/>
  <c r="L435" i="26"/>
  <c r="G434" i="26"/>
  <c r="C434" i="26"/>
  <c r="E434" i="26"/>
  <c r="D434" i="26"/>
  <c r="D457" i="26"/>
  <c r="O462" i="26"/>
  <c r="D485" i="26"/>
  <c r="D544" i="26"/>
  <c r="E573" i="26"/>
  <c r="O408" i="26"/>
  <c r="F464" i="26"/>
  <c r="E464" i="26"/>
  <c r="D464" i="26"/>
  <c r="F580" i="26"/>
  <c r="E580" i="26"/>
  <c r="D580" i="26"/>
  <c r="L403" i="26"/>
  <c r="K392" i="26"/>
  <c r="I392" i="26"/>
  <c r="J392" i="26" s="1"/>
  <c r="G433" i="26"/>
  <c r="C433" i="26"/>
  <c r="L519" i="26"/>
  <c r="K508" i="26"/>
  <c r="I508" i="26"/>
  <c r="J508" i="26" s="1"/>
  <c r="G529" i="26"/>
  <c r="D548" i="26"/>
  <c r="G549" i="26"/>
  <c r="C549" i="26"/>
  <c r="O577" i="26"/>
  <c r="N335" i="26"/>
  <c r="U132" i="26" s="1"/>
  <c r="I338" i="26"/>
  <c r="I364" i="26"/>
  <c r="J364" i="26" s="1"/>
  <c r="E407" i="26"/>
  <c r="F407" i="26"/>
  <c r="K479" i="26"/>
  <c r="I483" i="26"/>
  <c r="J483" i="26" s="1"/>
  <c r="E491" i="26"/>
  <c r="N508" i="26"/>
  <c r="T192" i="26" s="1"/>
  <c r="E523" i="26"/>
  <c r="F523" i="26"/>
  <c r="O521" i="26"/>
  <c r="E548" i="26"/>
  <c r="O581" i="26"/>
  <c r="K393" i="26"/>
  <c r="L404" i="26"/>
  <c r="L461" i="26"/>
  <c r="K450" i="26"/>
  <c r="K453" i="26"/>
  <c r="F491" i="26"/>
  <c r="H491" i="26" s="1"/>
  <c r="I491" i="26" s="1"/>
  <c r="K509" i="26"/>
  <c r="L520" i="26"/>
  <c r="G514" i="26"/>
  <c r="L577" i="26"/>
  <c r="K566" i="26"/>
  <c r="D369" i="26"/>
  <c r="I393" i="26"/>
  <c r="J393" i="26" s="1"/>
  <c r="I450" i="26"/>
  <c r="J450" i="26" s="1"/>
  <c r="F465" i="26"/>
  <c r="E465" i="26"/>
  <c r="D465" i="26"/>
  <c r="F456" i="26"/>
  <c r="G471" i="26"/>
  <c r="G491" i="26"/>
  <c r="I509" i="26"/>
  <c r="J509" i="26" s="1"/>
  <c r="I566" i="26"/>
  <c r="J566" i="26" s="1"/>
  <c r="G544" i="26"/>
  <c r="K451" i="26"/>
  <c r="L462" i="26"/>
  <c r="L521" i="26"/>
  <c r="K510" i="26"/>
  <c r="G548" i="26"/>
  <c r="C548" i="26"/>
  <c r="K567" i="26"/>
  <c r="L578" i="26"/>
  <c r="K367" i="26"/>
  <c r="G369" i="26"/>
  <c r="I451" i="26"/>
  <c r="J451" i="26" s="1"/>
  <c r="C464" i="26"/>
  <c r="L494" i="26"/>
  <c r="I510" i="26"/>
  <c r="J510" i="26" s="1"/>
  <c r="I567" i="26"/>
  <c r="J567" i="26" s="1"/>
  <c r="I396" i="26"/>
  <c r="E398" i="26"/>
  <c r="N509" i="26"/>
  <c r="U192" i="26" s="1"/>
  <c r="I512" i="26"/>
  <c r="J512" i="26" s="1"/>
  <c r="E514" i="26"/>
  <c r="L581" i="26"/>
  <c r="AO133" i="25"/>
  <c r="AP133" i="25"/>
  <c r="AM128" i="25"/>
  <c r="AN128" i="25"/>
  <c r="AM123" i="25"/>
  <c r="AN123" i="25"/>
  <c r="AO123" i="25"/>
  <c r="AS134" i="25"/>
  <c r="AS124" i="25"/>
  <c r="AS119" i="25"/>
  <c r="AX95" i="25"/>
  <c r="AT87" i="25"/>
  <c r="AP89" i="25"/>
  <c r="AT84" i="25"/>
  <c r="AM104" i="25"/>
  <c r="AT86" i="25"/>
  <c r="AL89" i="25"/>
  <c r="AL90" i="25" s="1"/>
  <c r="AR87" i="25"/>
  <c r="AS87" i="25" s="1"/>
  <c r="O577" i="25"/>
  <c r="D577" i="25" s="1"/>
  <c r="O579" i="25"/>
  <c r="E579" i="25" s="1"/>
  <c r="O580" i="25"/>
  <c r="C581" i="25"/>
  <c r="O548" i="25"/>
  <c r="F548" i="25" s="1"/>
  <c r="O549" i="25"/>
  <c r="C549" i="25" s="1"/>
  <c r="O550" i="25"/>
  <c r="D461" i="25"/>
  <c r="O466" i="25"/>
  <c r="D463" i="25"/>
  <c r="C464" i="25"/>
  <c r="O432" i="25"/>
  <c r="G432" i="25" s="1"/>
  <c r="O433" i="25"/>
  <c r="E433" i="25" s="1"/>
  <c r="O375" i="25"/>
  <c r="O376" i="25"/>
  <c r="AA133" i="25"/>
  <c r="AA103" i="25"/>
  <c r="O258" i="25"/>
  <c r="F258" i="25" s="1"/>
  <c r="O259" i="25"/>
  <c r="G259" i="25" s="1"/>
  <c r="G264" i="25" s="1"/>
  <c r="X97" i="25" s="1"/>
  <c r="X105" i="25" s="1"/>
  <c r="O260" i="25"/>
  <c r="O229" i="25"/>
  <c r="G229" i="25" s="1"/>
  <c r="AA93" i="25"/>
  <c r="O230" i="25"/>
  <c r="O200" i="25"/>
  <c r="D200" i="25" s="1"/>
  <c r="O202" i="25"/>
  <c r="O203" i="25"/>
  <c r="O172" i="25"/>
  <c r="D172" i="25" s="1"/>
  <c r="F175" i="25"/>
  <c r="H175" i="25" s="1"/>
  <c r="I175" i="25" s="1"/>
  <c r="G173" i="25"/>
  <c r="G175" i="25"/>
  <c r="F174" i="25"/>
  <c r="D175" i="25"/>
  <c r="O171" i="25"/>
  <c r="O146" i="25"/>
  <c r="O142" i="25"/>
  <c r="AA43" i="25"/>
  <c r="O86" i="25"/>
  <c r="O87" i="25"/>
  <c r="O89" i="25" s="1"/>
  <c r="O58" i="25"/>
  <c r="G58" i="25" s="1"/>
  <c r="AA33" i="25"/>
  <c r="O59" i="25"/>
  <c r="D59" i="25" s="1"/>
  <c r="I566" i="25"/>
  <c r="J566" i="25" s="1"/>
  <c r="K566" i="25"/>
  <c r="C572" i="25"/>
  <c r="K567" i="25"/>
  <c r="L578" i="25"/>
  <c r="D578" i="25" s="1"/>
  <c r="C548" i="25"/>
  <c r="G548" i="25"/>
  <c r="E548" i="25"/>
  <c r="D548" i="25"/>
  <c r="K537" i="25"/>
  <c r="I538" i="25"/>
  <c r="J538" i="25" s="1"/>
  <c r="C543" i="25"/>
  <c r="C544" i="25" s="1"/>
  <c r="I540" i="25"/>
  <c r="J540" i="25" s="1"/>
  <c r="D543" i="25"/>
  <c r="D544" i="25" s="1"/>
  <c r="E549" i="25"/>
  <c r="E543" i="25"/>
  <c r="K540" i="25"/>
  <c r="F543" i="25"/>
  <c r="D514" i="25"/>
  <c r="D515" i="25" s="1"/>
  <c r="E514" i="25"/>
  <c r="F514" i="25"/>
  <c r="K511" i="25"/>
  <c r="G514" i="25"/>
  <c r="G515" i="25" s="1"/>
  <c r="G485" i="25"/>
  <c r="G486" i="25" s="1"/>
  <c r="I480" i="25"/>
  <c r="J480" i="25" s="1"/>
  <c r="I481" i="25"/>
  <c r="J481" i="25" s="1"/>
  <c r="I483" i="25"/>
  <c r="J483" i="25" s="1"/>
  <c r="L494" i="25"/>
  <c r="I451" i="25"/>
  <c r="J451" i="25" s="1"/>
  <c r="N452" i="25"/>
  <c r="V172" i="25" s="1"/>
  <c r="C461" i="25"/>
  <c r="K453" i="25"/>
  <c r="L465" i="25"/>
  <c r="K450" i="25"/>
  <c r="C427" i="25"/>
  <c r="K425" i="25"/>
  <c r="I425" i="25"/>
  <c r="J425" i="25" s="1"/>
  <c r="I422" i="25"/>
  <c r="J422" i="25" s="1"/>
  <c r="I421" i="25"/>
  <c r="J421" i="25" s="1"/>
  <c r="F398" i="25"/>
  <c r="K395" i="25"/>
  <c r="I365" i="25"/>
  <c r="J365" i="25" s="1"/>
  <c r="I366" i="25"/>
  <c r="J366" i="25" s="1"/>
  <c r="D340" i="25"/>
  <c r="D341" i="25" s="1"/>
  <c r="N335" i="25"/>
  <c r="U132" i="25" s="1"/>
  <c r="K335" i="25"/>
  <c r="F340" i="25"/>
  <c r="F341" i="25" s="1"/>
  <c r="K337" i="25"/>
  <c r="G340" i="25"/>
  <c r="G341" i="25" s="1"/>
  <c r="K309" i="25"/>
  <c r="I305" i="25"/>
  <c r="J305" i="25" s="1"/>
  <c r="K306" i="25"/>
  <c r="L320" i="25"/>
  <c r="I276" i="25"/>
  <c r="J276" i="25" s="1"/>
  <c r="H281" i="25"/>
  <c r="I282" i="25" s="1"/>
  <c r="AD25" i="25" s="1"/>
  <c r="L287" i="25"/>
  <c r="G287" i="25" s="1"/>
  <c r="I279" i="25"/>
  <c r="K280" i="25"/>
  <c r="L289" i="25"/>
  <c r="K248" i="25"/>
  <c r="I251" i="25"/>
  <c r="J251" i="25" s="1"/>
  <c r="I247" i="25"/>
  <c r="D224" i="25"/>
  <c r="D225" i="25" s="1"/>
  <c r="I221" i="25"/>
  <c r="I218" i="25"/>
  <c r="J218" i="25" s="1"/>
  <c r="K219" i="25"/>
  <c r="I189" i="25"/>
  <c r="J189" i="25" s="1"/>
  <c r="L203" i="25"/>
  <c r="K189" i="25"/>
  <c r="I190" i="25"/>
  <c r="J190" i="25" s="1"/>
  <c r="F195" i="25"/>
  <c r="N192" i="25" s="1"/>
  <c r="W82" i="25" s="1"/>
  <c r="C175" i="25"/>
  <c r="K163" i="25"/>
  <c r="H165" i="25"/>
  <c r="I166" i="25" s="1"/>
  <c r="AD21" i="25" s="1"/>
  <c r="D166" i="25"/>
  <c r="D167" i="25" s="1"/>
  <c r="I162" i="25"/>
  <c r="K160" i="25"/>
  <c r="I132" i="25"/>
  <c r="J132" i="25" s="1"/>
  <c r="C152" i="25"/>
  <c r="K132" i="25"/>
  <c r="K133" i="25"/>
  <c r="L144" i="25"/>
  <c r="G137" i="25"/>
  <c r="K103" i="25"/>
  <c r="C108" i="25"/>
  <c r="C109" i="25" s="1"/>
  <c r="F108" i="25"/>
  <c r="F109" i="25" s="1"/>
  <c r="G108" i="25"/>
  <c r="F85" i="25"/>
  <c r="G85" i="25"/>
  <c r="I77" i="25"/>
  <c r="J77" i="25" s="1"/>
  <c r="L86" i="25"/>
  <c r="I74" i="25"/>
  <c r="N74" i="25" s="1"/>
  <c r="U42" i="25" s="1"/>
  <c r="K74" i="25"/>
  <c r="D79" i="25"/>
  <c r="D80" i="25" s="1"/>
  <c r="C94" i="25"/>
  <c r="F50" i="25"/>
  <c r="N47" i="25" s="1"/>
  <c r="W32" i="25" s="1"/>
  <c r="L58" i="25"/>
  <c r="K47" i="25"/>
  <c r="C50" i="25"/>
  <c r="E21" i="25"/>
  <c r="E22" i="25" s="1"/>
  <c r="G26" i="25"/>
  <c r="F26" i="25"/>
  <c r="E26" i="25"/>
  <c r="D26" i="25"/>
  <c r="C26" i="25"/>
  <c r="E6" i="25"/>
  <c r="U287" i="25"/>
  <c r="U226" i="25"/>
  <c r="U288" i="25"/>
  <c r="U289" i="25" s="1"/>
  <c r="G56" i="25"/>
  <c r="F56" i="25"/>
  <c r="E56" i="25"/>
  <c r="V287" i="25"/>
  <c r="V226" i="25"/>
  <c r="V288" i="25"/>
  <c r="V289" i="25" s="1"/>
  <c r="E65" i="25"/>
  <c r="E50" i="25"/>
  <c r="C56" i="25"/>
  <c r="AM90" i="25"/>
  <c r="C21" i="25"/>
  <c r="AA23" i="25"/>
  <c r="O30" i="25"/>
  <c r="O27" i="25"/>
  <c r="G27" i="25" s="1"/>
  <c r="O28" i="25"/>
  <c r="G28" i="25" s="1"/>
  <c r="K46" i="25"/>
  <c r="L57" i="25"/>
  <c r="D56" i="25"/>
  <c r="J74" i="25"/>
  <c r="F87" i="25"/>
  <c r="E87" i="25"/>
  <c r="D87" i="25"/>
  <c r="C87" i="25"/>
  <c r="L116" i="25"/>
  <c r="K105" i="25"/>
  <c r="I105" i="25"/>
  <c r="J105" i="25" s="1"/>
  <c r="AU96" i="25"/>
  <c r="AT85" i="25"/>
  <c r="AR85" i="25"/>
  <c r="AS85" i="25" s="1"/>
  <c r="AQ88" i="25"/>
  <c r="AR89" i="25" s="1"/>
  <c r="K15" i="25"/>
  <c r="H20" i="25"/>
  <c r="I21" i="25" s="1"/>
  <c r="AD16" i="25" s="1"/>
  <c r="I15" i="25"/>
  <c r="J15" i="25" s="1"/>
  <c r="K19" i="25"/>
  <c r="I19" i="25"/>
  <c r="J19" i="25" s="1"/>
  <c r="L29" i="25"/>
  <c r="H78" i="25"/>
  <c r="I79" i="25" s="1"/>
  <c r="AD18" i="25" s="1"/>
  <c r="L84" i="25"/>
  <c r="K73" i="25"/>
  <c r="C80" i="25"/>
  <c r="G88" i="25"/>
  <c r="F88" i="25"/>
  <c r="E88" i="25"/>
  <c r="D88" i="25"/>
  <c r="C88" i="25"/>
  <c r="AS86" i="25"/>
  <c r="F21" i="25"/>
  <c r="O29" i="25"/>
  <c r="G59" i="25"/>
  <c r="F59" i="25"/>
  <c r="E59" i="25"/>
  <c r="C59" i="25"/>
  <c r="I73" i="25"/>
  <c r="J73" i="25" s="1"/>
  <c r="C85" i="25"/>
  <c r="I18" i="25"/>
  <c r="J18" i="25" s="1"/>
  <c r="G36" i="25"/>
  <c r="G21" i="25"/>
  <c r="H49" i="25"/>
  <c r="I50" i="25" s="1"/>
  <c r="AD17" i="25" s="1"/>
  <c r="J75" i="25"/>
  <c r="N162" i="25"/>
  <c r="V72" i="25" s="1"/>
  <c r="J162" i="25"/>
  <c r="K16" i="25"/>
  <c r="I16" i="25"/>
  <c r="F51" i="25"/>
  <c r="I17" i="25"/>
  <c r="L28" i="25"/>
  <c r="K48" i="25"/>
  <c r="I48" i="25"/>
  <c r="J48" i="25" s="1"/>
  <c r="K76" i="25"/>
  <c r="I76" i="25"/>
  <c r="J76" i="25" s="1"/>
  <c r="G94" i="25"/>
  <c r="G79" i="25"/>
  <c r="K17" i="25"/>
  <c r="L30" i="25"/>
  <c r="L142" i="25"/>
  <c r="K131" i="25"/>
  <c r="H136" i="25"/>
  <c r="I137" i="25" s="1"/>
  <c r="AD20" i="25" s="1"/>
  <c r="I131" i="25"/>
  <c r="G138" i="25"/>
  <c r="C167" i="25"/>
  <c r="I45" i="25"/>
  <c r="J45" i="25" s="1"/>
  <c r="O57" i="25"/>
  <c r="AU95" i="25"/>
  <c r="G143" i="25"/>
  <c r="F143" i="25"/>
  <c r="E143" i="25"/>
  <c r="D143" i="25"/>
  <c r="C143" i="25"/>
  <c r="L55" i="25"/>
  <c r="AR84" i="25"/>
  <c r="AS84" i="25" s="1"/>
  <c r="AS116" i="25"/>
  <c r="AX94" i="25"/>
  <c r="N105" i="25"/>
  <c r="W52" i="25" s="1"/>
  <c r="O113" i="25"/>
  <c r="O114" i="25"/>
  <c r="G114" i="25" s="1"/>
  <c r="O115" i="25"/>
  <c r="O116" i="25"/>
  <c r="O117" i="25"/>
  <c r="N279" i="25"/>
  <c r="W112" i="25" s="1"/>
  <c r="J279" i="25"/>
  <c r="K45" i="25"/>
  <c r="O55" i="25"/>
  <c r="AR83" i="25"/>
  <c r="F114" i="25"/>
  <c r="F167" i="25"/>
  <c r="N163" i="25"/>
  <c r="W72" i="25" s="1"/>
  <c r="T288" i="25"/>
  <c r="T289" i="25" s="1"/>
  <c r="T287" i="25"/>
  <c r="T226" i="25"/>
  <c r="K44" i="25"/>
  <c r="D50" i="25"/>
  <c r="F79" i="25"/>
  <c r="I103" i="25"/>
  <c r="J103" i="25" s="1"/>
  <c r="K104" i="25"/>
  <c r="I104" i="25"/>
  <c r="J104" i="25" s="1"/>
  <c r="L115" i="25"/>
  <c r="K191" i="25"/>
  <c r="L202" i="25"/>
  <c r="H194" i="25"/>
  <c r="I195" i="25" s="1"/>
  <c r="AD22" i="25" s="1"/>
  <c r="I191" i="25"/>
  <c r="J191" i="25" s="1"/>
  <c r="D195" i="25"/>
  <c r="D210" i="25"/>
  <c r="K190" i="25"/>
  <c r="AT83" i="25"/>
  <c r="D86" i="25"/>
  <c r="AX98" i="25"/>
  <c r="AS129" i="25"/>
  <c r="G145" i="25"/>
  <c r="F145" i="25"/>
  <c r="E145" i="25"/>
  <c r="D145" i="25"/>
  <c r="C145" i="25"/>
  <c r="E196" i="25"/>
  <c r="H107" i="25"/>
  <c r="I108" i="25" s="1"/>
  <c r="AD19" i="25" s="1"/>
  <c r="L113" i="25"/>
  <c r="W287" i="25"/>
  <c r="W226" i="25"/>
  <c r="W288" i="25"/>
  <c r="W289" i="25" s="1"/>
  <c r="G50" i="25"/>
  <c r="K77" i="25"/>
  <c r="D85" i="25"/>
  <c r="F86" i="25"/>
  <c r="AP98" i="25"/>
  <c r="AX97" i="25"/>
  <c r="I102" i="25"/>
  <c r="J102" i="25" s="1"/>
  <c r="E123" i="25"/>
  <c r="E108" i="25"/>
  <c r="D138" i="25"/>
  <c r="N132" i="25"/>
  <c r="U62" i="25" s="1"/>
  <c r="X288" i="25"/>
  <c r="X289" i="25" s="1"/>
  <c r="X287" i="25"/>
  <c r="X226" i="25"/>
  <c r="C58" i="25"/>
  <c r="E85" i="25"/>
  <c r="K102" i="25"/>
  <c r="E138" i="25"/>
  <c r="N133" i="25"/>
  <c r="V62" i="25" s="1"/>
  <c r="C114" i="25"/>
  <c r="F152" i="25"/>
  <c r="F137" i="25"/>
  <c r="E172" i="25"/>
  <c r="F172" i="25"/>
  <c r="G203" i="25"/>
  <c r="F203" i="25"/>
  <c r="E203" i="25"/>
  <c r="D203" i="25"/>
  <c r="G262" i="25"/>
  <c r="F262" i="25"/>
  <c r="E262" i="25"/>
  <c r="D262" i="25"/>
  <c r="C262" i="25"/>
  <c r="L204" i="25"/>
  <c r="K193" i="25"/>
  <c r="AP128" i="25"/>
  <c r="I134" i="25"/>
  <c r="J134" i="25" s="1"/>
  <c r="I161" i="25"/>
  <c r="J161" i="25" s="1"/>
  <c r="K162" i="25"/>
  <c r="I193" i="25"/>
  <c r="J193" i="25" s="1"/>
  <c r="G258" i="25"/>
  <c r="C258" i="25"/>
  <c r="L146" i="25"/>
  <c r="L171" i="25"/>
  <c r="C173" i="25"/>
  <c r="N222" i="25"/>
  <c r="X92" i="25" s="1"/>
  <c r="N247" i="25"/>
  <c r="T102" i="25" s="1"/>
  <c r="J247" i="25"/>
  <c r="L117" i="25"/>
  <c r="K134" i="25"/>
  <c r="I160" i="25"/>
  <c r="J160" i="25" s="1"/>
  <c r="K161" i="25"/>
  <c r="D173" i="25"/>
  <c r="C181" i="25"/>
  <c r="N193" i="25"/>
  <c r="X82" i="25" s="1"/>
  <c r="C225" i="25"/>
  <c r="N218" i="25"/>
  <c r="T92" i="25" s="1"/>
  <c r="E259" i="25"/>
  <c r="C259" i="25"/>
  <c r="D378" i="25"/>
  <c r="D108" i="25"/>
  <c r="AL123" i="25"/>
  <c r="E173" i="25"/>
  <c r="G253" i="25"/>
  <c r="G268" i="25"/>
  <c r="E283" i="25"/>
  <c r="O147" i="25"/>
  <c r="F173" i="25"/>
  <c r="O176" i="25"/>
  <c r="F196" i="25"/>
  <c r="O205" i="25"/>
  <c r="E225" i="25"/>
  <c r="G260" i="25"/>
  <c r="F260" i="25"/>
  <c r="E260" i="25"/>
  <c r="D260" i="25"/>
  <c r="C260" i="25"/>
  <c r="D311" i="25"/>
  <c r="D326" i="25"/>
  <c r="I135" i="25"/>
  <c r="J135" i="25" s="1"/>
  <c r="C144" i="25"/>
  <c r="G200" i="25"/>
  <c r="C200" i="25"/>
  <c r="G201" i="25"/>
  <c r="F201" i="25"/>
  <c r="E201" i="25"/>
  <c r="D201" i="25"/>
  <c r="C201" i="25"/>
  <c r="C210" i="25"/>
  <c r="G288" i="25"/>
  <c r="F288" i="25"/>
  <c r="E288" i="25"/>
  <c r="C288" i="25"/>
  <c r="G283" i="25"/>
  <c r="N280" i="25"/>
  <c r="X112" i="25" s="1"/>
  <c r="G374" i="25"/>
  <c r="F374" i="25"/>
  <c r="E374" i="25"/>
  <c r="D374" i="25"/>
  <c r="C374" i="25"/>
  <c r="AL133" i="25"/>
  <c r="E152" i="25"/>
  <c r="C174" i="25"/>
  <c r="C195" i="25"/>
  <c r="C203" i="25"/>
  <c r="G261" i="25"/>
  <c r="F261" i="25"/>
  <c r="E261" i="25"/>
  <c r="D261" i="25"/>
  <c r="C261" i="25"/>
  <c r="G289" i="25"/>
  <c r="F289" i="25"/>
  <c r="E289" i="25"/>
  <c r="D289" i="25"/>
  <c r="C289" i="25"/>
  <c r="AM133" i="25"/>
  <c r="E144" i="25"/>
  <c r="I164" i="25"/>
  <c r="J164" i="25" s="1"/>
  <c r="D174" i="25"/>
  <c r="K192" i="25"/>
  <c r="E200" i="25"/>
  <c r="E210" i="25"/>
  <c r="K220" i="25"/>
  <c r="L231" i="25"/>
  <c r="I220" i="25"/>
  <c r="J220" i="25" s="1"/>
  <c r="H223" i="25"/>
  <c r="I224" i="25" s="1"/>
  <c r="AD23" i="25" s="1"/>
  <c r="G166" i="25"/>
  <c r="E174" i="25"/>
  <c r="F200" i="25"/>
  <c r="G232" i="25"/>
  <c r="F232" i="25"/>
  <c r="E232" i="25"/>
  <c r="C232" i="25"/>
  <c r="O379" i="25"/>
  <c r="F435" i="25"/>
  <c r="E435" i="25"/>
  <c r="D435" i="25"/>
  <c r="C435" i="25"/>
  <c r="G435" i="25"/>
  <c r="D485" i="25"/>
  <c r="K480" i="25"/>
  <c r="D500" i="25"/>
  <c r="H252" i="25"/>
  <c r="I253" i="25" s="1"/>
  <c r="AD24" i="25" s="1"/>
  <c r="G291" i="25"/>
  <c r="F291" i="25"/>
  <c r="E291" i="25"/>
  <c r="D291" i="25"/>
  <c r="C341" i="25"/>
  <c r="H513" i="25"/>
  <c r="I514" i="25" s="1"/>
  <c r="AD33" i="25" s="1"/>
  <c r="L519" i="25"/>
  <c r="K508" i="25"/>
  <c r="I508" i="25"/>
  <c r="J508" i="25" s="1"/>
  <c r="K221" i="25"/>
  <c r="O233" i="25"/>
  <c r="G233" i="25" s="1"/>
  <c r="K247" i="25"/>
  <c r="I278" i="25"/>
  <c r="J278" i="25" s="1"/>
  <c r="K279" i="25"/>
  <c r="I307" i="25"/>
  <c r="J307" i="25" s="1"/>
  <c r="C326" i="25"/>
  <c r="L375" i="25"/>
  <c r="K364" i="25"/>
  <c r="F369" i="25"/>
  <c r="F384" i="25"/>
  <c r="G433" i="25"/>
  <c r="F433" i="25"/>
  <c r="D433" i="25"/>
  <c r="L230" i="25"/>
  <c r="G297" i="25"/>
  <c r="E341" i="25"/>
  <c r="I364" i="25"/>
  <c r="J364" i="25" s="1"/>
  <c r="G369" i="25"/>
  <c r="G384" i="25"/>
  <c r="C239" i="25"/>
  <c r="K307" i="25"/>
  <c r="F312" i="25"/>
  <c r="O320" i="25"/>
  <c r="O319" i="25"/>
  <c r="O318" i="25"/>
  <c r="O317" i="25"/>
  <c r="C317" i="25" s="1"/>
  <c r="O316" i="25"/>
  <c r="F316" i="25" s="1"/>
  <c r="E326" i="25"/>
  <c r="G376" i="25"/>
  <c r="F376" i="25"/>
  <c r="E376" i="25"/>
  <c r="D376" i="25"/>
  <c r="H368" i="25"/>
  <c r="I369" i="25" s="1"/>
  <c r="AD28" i="25" s="1"/>
  <c r="C376" i="25"/>
  <c r="C573" i="25"/>
  <c r="N566" i="25"/>
  <c r="T212" i="25" s="1"/>
  <c r="J219" i="25"/>
  <c r="F253" i="25"/>
  <c r="J277" i="25"/>
  <c r="C287" i="25"/>
  <c r="N307" i="25"/>
  <c r="V122" i="25" s="1"/>
  <c r="C229" i="25"/>
  <c r="E233" i="25"/>
  <c r="E239" i="25"/>
  <c r="K251" i="25"/>
  <c r="K277" i="25"/>
  <c r="C282" i="25"/>
  <c r="D287" i="25"/>
  <c r="C290" i="25"/>
  <c r="K308" i="25"/>
  <c r="I308" i="25"/>
  <c r="J308" i="25" s="1"/>
  <c r="L319" i="25"/>
  <c r="L349" i="25"/>
  <c r="K338" i="25"/>
  <c r="G377" i="25"/>
  <c r="F377" i="25"/>
  <c r="E377" i="25"/>
  <c r="D377" i="25"/>
  <c r="D229" i="25"/>
  <c r="F233" i="25"/>
  <c r="E287" i="25"/>
  <c r="D290" i="25"/>
  <c r="C312" i="25"/>
  <c r="G413" i="25"/>
  <c r="G398" i="25"/>
  <c r="E229" i="25"/>
  <c r="G239" i="25"/>
  <c r="I249" i="25"/>
  <c r="K250" i="25"/>
  <c r="O263" i="25"/>
  <c r="F287" i="25"/>
  <c r="E290" i="25"/>
  <c r="C291" i="25"/>
  <c r="H310" i="25"/>
  <c r="I311" i="25" s="1"/>
  <c r="AD26" i="25" s="1"/>
  <c r="F229" i="25"/>
  <c r="F290" i="25"/>
  <c r="K366" i="25"/>
  <c r="G406" i="25"/>
  <c r="L580" i="25"/>
  <c r="K569" i="25"/>
  <c r="I569" i="25"/>
  <c r="H571" i="25"/>
  <c r="I572" i="25" s="1"/>
  <c r="AD35" i="25" s="1"/>
  <c r="I248" i="25"/>
  <c r="K249" i="25"/>
  <c r="N309" i="25"/>
  <c r="X122" i="25" s="1"/>
  <c r="G316" i="25"/>
  <c r="H339" i="25"/>
  <c r="I340" i="25" s="1"/>
  <c r="AD27" i="25" s="1"/>
  <c r="C378" i="25"/>
  <c r="G378" i="25"/>
  <c r="F378" i="25"/>
  <c r="E378" i="25"/>
  <c r="O494" i="25"/>
  <c r="O492" i="25"/>
  <c r="C492" i="25" s="1"/>
  <c r="O490" i="25"/>
  <c r="O493" i="25"/>
  <c r="L403" i="25"/>
  <c r="K392" i="25"/>
  <c r="F491" i="25"/>
  <c r="E491" i="25"/>
  <c r="D491" i="25"/>
  <c r="C491" i="25"/>
  <c r="C522" i="25"/>
  <c r="G558" i="25"/>
  <c r="G543" i="25"/>
  <c r="G578" i="25"/>
  <c r="E578" i="25"/>
  <c r="H397" i="25"/>
  <c r="I398" i="25" s="1"/>
  <c r="AD29" i="25" s="1"/>
  <c r="O407" i="25"/>
  <c r="G407" i="25" s="1"/>
  <c r="O406" i="25"/>
  <c r="O405" i="25"/>
  <c r="E405" i="25" s="1"/>
  <c r="O404" i="25"/>
  <c r="C404" i="25" s="1"/>
  <c r="O403" i="25"/>
  <c r="G462" i="25"/>
  <c r="F462" i="25"/>
  <c r="E462" i="25"/>
  <c r="O523" i="25"/>
  <c r="G523" i="25" s="1"/>
  <c r="O522" i="25"/>
  <c r="O521" i="25"/>
  <c r="O520" i="25"/>
  <c r="C520" i="25" s="1"/>
  <c r="O519" i="25"/>
  <c r="I393" i="25"/>
  <c r="J393" i="25" s="1"/>
  <c r="N392" i="25"/>
  <c r="T152" i="25" s="1"/>
  <c r="K422" i="25"/>
  <c r="F428" i="25"/>
  <c r="K481" i="25"/>
  <c r="C500" i="25"/>
  <c r="N508" i="25"/>
  <c r="T192" i="25" s="1"/>
  <c r="G581" i="25"/>
  <c r="F581" i="25"/>
  <c r="E581" i="25"/>
  <c r="H581" i="25" s="1"/>
  <c r="I336" i="25"/>
  <c r="J336" i="25" s="1"/>
  <c r="N451" i="25"/>
  <c r="U172" i="25" s="1"/>
  <c r="G464" i="25"/>
  <c r="F464" i="25"/>
  <c r="E464" i="25"/>
  <c r="H484" i="25"/>
  <c r="I485" i="25" s="1"/>
  <c r="AD32" i="25" s="1"/>
  <c r="E544" i="25"/>
  <c r="N338" i="25"/>
  <c r="X132" i="25" s="1"/>
  <c r="N364" i="25"/>
  <c r="U142" i="25" s="1"/>
  <c r="I367" i="25"/>
  <c r="J367" i="25" s="1"/>
  <c r="K393" i="25"/>
  <c r="I396" i="25"/>
  <c r="J396" i="25" s="1"/>
  <c r="E399" i="25"/>
  <c r="K423" i="25"/>
  <c r="I423" i="25"/>
  <c r="J423" i="25" s="1"/>
  <c r="C432" i="25"/>
  <c r="L434" i="25"/>
  <c r="I479" i="25"/>
  <c r="J479" i="25" s="1"/>
  <c r="K482" i="25"/>
  <c r="F485" i="25"/>
  <c r="L490" i="25"/>
  <c r="E500" i="25"/>
  <c r="E515" i="25"/>
  <c r="D520" i="25"/>
  <c r="L552" i="25"/>
  <c r="K541" i="25"/>
  <c r="C551" i="25"/>
  <c r="F579" i="25"/>
  <c r="I334" i="25"/>
  <c r="J334" i="25" s="1"/>
  <c r="K336" i="25"/>
  <c r="I482" i="25"/>
  <c r="J482" i="25" s="1"/>
  <c r="I512" i="25"/>
  <c r="J512" i="25" s="1"/>
  <c r="E520" i="25"/>
  <c r="I541" i="25"/>
  <c r="J541" i="25" s="1"/>
  <c r="F549" i="25"/>
  <c r="D551" i="25"/>
  <c r="K367" i="25"/>
  <c r="K396" i="25"/>
  <c r="N425" i="25"/>
  <c r="X162" i="25" s="1"/>
  <c r="G456" i="25"/>
  <c r="K454" i="25"/>
  <c r="G461" i="25"/>
  <c r="F461" i="25"/>
  <c r="E461" i="25"/>
  <c r="C465" i="25"/>
  <c r="D471" i="25"/>
  <c r="K479" i="25"/>
  <c r="G491" i="25"/>
  <c r="F520" i="25"/>
  <c r="D522" i="25"/>
  <c r="E551" i="25"/>
  <c r="G577" i="25"/>
  <c r="F577" i="25"/>
  <c r="E577" i="25"/>
  <c r="I306" i="25"/>
  <c r="J306" i="25" s="1"/>
  <c r="C320" i="25"/>
  <c r="K334" i="25"/>
  <c r="L345" i="25"/>
  <c r="L346" i="25"/>
  <c r="L348" i="25"/>
  <c r="I394" i="25"/>
  <c r="J394" i="25" s="1"/>
  <c r="I424" i="25"/>
  <c r="J424" i="25" s="1"/>
  <c r="H426" i="25"/>
  <c r="I427" i="25" s="1"/>
  <c r="AD30" i="25" s="1"/>
  <c r="I453" i="25"/>
  <c r="J453" i="25" s="1"/>
  <c r="H455" i="25"/>
  <c r="I456" i="25" s="1"/>
  <c r="AD31" i="25" s="1"/>
  <c r="D465" i="25"/>
  <c r="E471" i="25"/>
  <c r="C521" i="25"/>
  <c r="K512" i="25"/>
  <c r="G520" i="25"/>
  <c r="E522" i="25"/>
  <c r="F551" i="25"/>
  <c r="I567" i="25"/>
  <c r="J567" i="25" s="1"/>
  <c r="I337" i="25"/>
  <c r="O345" i="25"/>
  <c r="O346" i="25"/>
  <c r="O347" i="25"/>
  <c r="C347" i="25" s="1"/>
  <c r="O348" i="25"/>
  <c r="I363" i="25"/>
  <c r="K365" i="25"/>
  <c r="C399" i="25"/>
  <c r="L436" i="25"/>
  <c r="C456" i="25"/>
  <c r="G463" i="25"/>
  <c r="F463" i="25"/>
  <c r="E463" i="25"/>
  <c r="F471" i="25"/>
  <c r="F494" i="25"/>
  <c r="E494" i="25"/>
  <c r="D494" i="25"/>
  <c r="C494" i="25"/>
  <c r="I510" i="25"/>
  <c r="J510" i="25" s="1"/>
  <c r="N512" i="25"/>
  <c r="X192" i="25" s="1"/>
  <c r="C515" i="25"/>
  <c r="F522" i="25"/>
  <c r="K538" i="25"/>
  <c r="E587" i="25"/>
  <c r="K568" i="25"/>
  <c r="E572" i="25"/>
  <c r="N365" i="25"/>
  <c r="V142" i="25" s="1"/>
  <c r="K394" i="25"/>
  <c r="E404" i="25"/>
  <c r="D427" i="25"/>
  <c r="C462" i="25"/>
  <c r="G471" i="25"/>
  <c r="G522" i="25"/>
  <c r="C578" i="25"/>
  <c r="K363" i="25"/>
  <c r="E427" i="25"/>
  <c r="G442" i="25"/>
  <c r="K451" i="25"/>
  <c r="D457" i="25"/>
  <c r="D462" i="25"/>
  <c r="G465" i="25"/>
  <c r="F465" i="25"/>
  <c r="E465" i="25"/>
  <c r="N483" i="25"/>
  <c r="X182" i="25" s="1"/>
  <c r="K510" i="25"/>
  <c r="L550" i="25"/>
  <c r="K539" i="25"/>
  <c r="I539" i="25"/>
  <c r="J539" i="25" s="1"/>
  <c r="G572" i="25"/>
  <c r="K570" i="25"/>
  <c r="D572" i="25"/>
  <c r="O553" i="25"/>
  <c r="AM133" i="24"/>
  <c r="AN133" i="24"/>
  <c r="AP133" i="24"/>
  <c r="AL128" i="24"/>
  <c r="AL123" i="24"/>
  <c r="AM89" i="24"/>
  <c r="AX98" i="24"/>
  <c r="AX94" i="24"/>
  <c r="AS129" i="24"/>
  <c r="O578" i="24"/>
  <c r="D552" i="24"/>
  <c r="O548" i="24"/>
  <c r="D548" i="24" s="1"/>
  <c r="D554" i="24" s="1"/>
  <c r="U197" i="24" s="1"/>
  <c r="U205" i="24" s="1"/>
  <c r="O549" i="24"/>
  <c r="C549" i="24" s="1"/>
  <c r="O550" i="24"/>
  <c r="E550" i="24" s="1"/>
  <c r="C551" i="24"/>
  <c r="AA163" i="24"/>
  <c r="O432" i="24"/>
  <c r="O433" i="24"/>
  <c r="C433" i="24" s="1"/>
  <c r="C438" i="24" s="1"/>
  <c r="T157" i="24" s="1"/>
  <c r="T165" i="24" s="1"/>
  <c r="C434" i="24"/>
  <c r="O434" i="24"/>
  <c r="C435" i="24"/>
  <c r="O435" i="24"/>
  <c r="D436" i="24"/>
  <c r="O405" i="24"/>
  <c r="F407" i="24"/>
  <c r="O403" i="24"/>
  <c r="G375" i="24"/>
  <c r="F349" i="24"/>
  <c r="C349" i="24"/>
  <c r="O345" i="24"/>
  <c r="AA133" i="24"/>
  <c r="O348" i="24"/>
  <c r="G349" i="24"/>
  <c r="O288" i="24"/>
  <c r="D288" i="24" s="1"/>
  <c r="O289" i="24"/>
  <c r="O229" i="24"/>
  <c r="O234" i="24" s="1"/>
  <c r="O175" i="24"/>
  <c r="O171" i="24"/>
  <c r="O172" i="24"/>
  <c r="O176" i="24" s="1"/>
  <c r="AA63" i="24"/>
  <c r="G142" i="24"/>
  <c r="O142" i="24"/>
  <c r="D142" i="24" s="1"/>
  <c r="AA53" i="24"/>
  <c r="O114" i="24"/>
  <c r="O116" i="24"/>
  <c r="O89" i="24"/>
  <c r="C88" i="24"/>
  <c r="O57" i="24"/>
  <c r="C59" i="24"/>
  <c r="I569" i="24"/>
  <c r="J569" i="24" s="1"/>
  <c r="I570" i="24"/>
  <c r="J570" i="24" s="1"/>
  <c r="K570" i="24"/>
  <c r="H571" i="24"/>
  <c r="I572" i="24" s="1"/>
  <c r="AD35" i="24" s="1"/>
  <c r="I566" i="24"/>
  <c r="J566" i="24" s="1"/>
  <c r="N569" i="24"/>
  <c r="W212" i="24" s="1"/>
  <c r="N570" i="24"/>
  <c r="X212" i="24" s="1"/>
  <c r="I537" i="24"/>
  <c r="J537" i="24" s="1"/>
  <c r="I539" i="24"/>
  <c r="J539" i="24" s="1"/>
  <c r="H542" i="24"/>
  <c r="I543" i="24" s="1"/>
  <c r="AD34" i="24" s="1"/>
  <c r="G558" i="24"/>
  <c r="K539" i="24"/>
  <c r="C543" i="24"/>
  <c r="N537" i="24" s="1"/>
  <c r="T202" i="24" s="1"/>
  <c r="G543" i="24"/>
  <c r="G544" i="24" s="1"/>
  <c r="I540" i="24"/>
  <c r="J540" i="24" s="1"/>
  <c r="K540" i="24"/>
  <c r="F514" i="24"/>
  <c r="F519" i="24"/>
  <c r="I511" i="24"/>
  <c r="J511" i="24" s="1"/>
  <c r="G519" i="24"/>
  <c r="I508" i="24"/>
  <c r="I512" i="24"/>
  <c r="J512" i="24" s="1"/>
  <c r="E519" i="24"/>
  <c r="K482" i="24"/>
  <c r="N482" i="24"/>
  <c r="W182" i="24" s="1"/>
  <c r="K480" i="24"/>
  <c r="L465" i="24"/>
  <c r="I450" i="24"/>
  <c r="J450" i="24" s="1"/>
  <c r="D456" i="24"/>
  <c r="D457" i="24" s="1"/>
  <c r="G471" i="24"/>
  <c r="K450" i="24"/>
  <c r="K451" i="24"/>
  <c r="L462" i="24"/>
  <c r="F462" i="24" s="1"/>
  <c r="I423" i="24"/>
  <c r="J423" i="24" s="1"/>
  <c r="H426" i="24"/>
  <c r="I427" i="24" s="1"/>
  <c r="AD30" i="24" s="1"/>
  <c r="K423" i="24"/>
  <c r="E442" i="24"/>
  <c r="I424" i="24"/>
  <c r="J424" i="24" s="1"/>
  <c r="K424" i="24"/>
  <c r="K425" i="24"/>
  <c r="I396" i="24"/>
  <c r="J396" i="24" s="1"/>
  <c r="N395" i="24"/>
  <c r="W152" i="24" s="1"/>
  <c r="I395" i="24"/>
  <c r="J395" i="24" s="1"/>
  <c r="G413" i="24"/>
  <c r="K367" i="24"/>
  <c r="C340" i="24"/>
  <c r="I335" i="24"/>
  <c r="J335" i="24" s="1"/>
  <c r="L345" i="24"/>
  <c r="K337" i="24"/>
  <c r="I337" i="24"/>
  <c r="J337" i="24" s="1"/>
  <c r="G347" i="24"/>
  <c r="K308" i="24"/>
  <c r="I306" i="24"/>
  <c r="J306" i="24" s="1"/>
  <c r="K307" i="24"/>
  <c r="C311" i="24"/>
  <c r="C312" i="24" s="1"/>
  <c r="D311" i="24"/>
  <c r="F311" i="24"/>
  <c r="H310" i="24"/>
  <c r="I311" i="24" s="1"/>
  <c r="AD26" i="24" s="1"/>
  <c r="K279" i="24"/>
  <c r="L290" i="24"/>
  <c r="E290" i="24" s="1"/>
  <c r="I276" i="24"/>
  <c r="J276" i="24" s="1"/>
  <c r="N279" i="24"/>
  <c r="W112" i="24" s="1"/>
  <c r="K277" i="24"/>
  <c r="I247" i="24"/>
  <c r="J247" i="24" s="1"/>
  <c r="I249" i="24"/>
  <c r="J249" i="24" s="1"/>
  <c r="I250" i="24"/>
  <c r="L259" i="24"/>
  <c r="K219" i="24"/>
  <c r="C224" i="24"/>
  <c r="C225" i="24" s="1"/>
  <c r="F224" i="24"/>
  <c r="I219" i="24"/>
  <c r="J219" i="24" s="1"/>
  <c r="G224" i="24"/>
  <c r="G225" i="24" s="1"/>
  <c r="I221" i="24"/>
  <c r="J221" i="24" s="1"/>
  <c r="K222" i="24"/>
  <c r="K221" i="24"/>
  <c r="K189" i="24"/>
  <c r="N190" i="24"/>
  <c r="U82" i="24" s="1"/>
  <c r="H194" i="24"/>
  <c r="I195" i="24" s="1"/>
  <c r="AD22" i="24" s="1"/>
  <c r="F166" i="24"/>
  <c r="N161" i="24"/>
  <c r="U72" i="24" s="1"/>
  <c r="K164" i="24"/>
  <c r="L175" i="24"/>
  <c r="I162" i="24"/>
  <c r="J162" i="24" s="1"/>
  <c r="N160" i="24"/>
  <c r="T72" i="24" s="1"/>
  <c r="N164" i="24"/>
  <c r="X72" i="24" s="1"/>
  <c r="G167" i="24"/>
  <c r="K160" i="24"/>
  <c r="I134" i="24"/>
  <c r="J134" i="24" s="1"/>
  <c r="K134" i="24"/>
  <c r="K131" i="24"/>
  <c r="D137" i="24"/>
  <c r="E137" i="24"/>
  <c r="E138" i="24" s="1"/>
  <c r="F115" i="24"/>
  <c r="D115" i="24"/>
  <c r="I104" i="24"/>
  <c r="J104" i="24" s="1"/>
  <c r="I102" i="24"/>
  <c r="J102" i="24" s="1"/>
  <c r="K102" i="24"/>
  <c r="K106" i="24"/>
  <c r="H78" i="24"/>
  <c r="I79" i="24" s="1"/>
  <c r="AD18" i="24" s="1"/>
  <c r="I76" i="24"/>
  <c r="E79" i="24"/>
  <c r="D88" i="24"/>
  <c r="K73" i="24"/>
  <c r="K76" i="24"/>
  <c r="K77" i="24"/>
  <c r="L86" i="24"/>
  <c r="G86" i="24" s="1"/>
  <c r="N45" i="24"/>
  <c r="U32" i="24" s="1"/>
  <c r="J45" i="24"/>
  <c r="L55" i="24"/>
  <c r="C55" i="24" s="1"/>
  <c r="K45" i="24"/>
  <c r="C50" i="24"/>
  <c r="C51" i="24" s="1"/>
  <c r="D50" i="24"/>
  <c r="D51" i="24" s="1"/>
  <c r="F50" i="24"/>
  <c r="F51" i="24" s="1"/>
  <c r="G21" i="24"/>
  <c r="G22" i="24" s="1"/>
  <c r="K18" i="24"/>
  <c r="K19" i="24"/>
  <c r="C27" i="24"/>
  <c r="N18" i="24"/>
  <c r="W22" i="24" s="1"/>
  <c r="J18" i="24"/>
  <c r="G30" i="24"/>
  <c r="F30" i="24"/>
  <c r="E30" i="24"/>
  <c r="D30" i="24"/>
  <c r="C30" i="24"/>
  <c r="F109" i="24"/>
  <c r="C7" i="24"/>
  <c r="E7" i="24" s="1"/>
  <c r="I15" i="24"/>
  <c r="J15" i="24" s="1"/>
  <c r="I16" i="24"/>
  <c r="J16" i="24" s="1"/>
  <c r="I19" i="24"/>
  <c r="J19" i="24" s="1"/>
  <c r="H20" i="24"/>
  <c r="I21" i="24" s="1"/>
  <c r="AD16" i="24" s="1"/>
  <c r="W288" i="24"/>
  <c r="W289" i="24" s="1"/>
  <c r="W287" i="24"/>
  <c r="W226" i="24"/>
  <c r="O27" i="24"/>
  <c r="G27" i="24" s="1"/>
  <c r="K47" i="24"/>
  <c r="E56" i="24"/>
  <c r="G56" i="24"/>
  <c r="C80" i="24"/>
  <c r="N73" i="24"/>
  <c r="T42" i="24" s="1"/>
  <c r="AT86" i="24"/>
  <c r="AX99" i="24"/>
  <c r="E123" i="24"/>
  <c r="E108" i="24"/>
  <c r="K104" i="24"/>
  <c r="AU95" i="24"/>
  <c r="AT84" i="24"/>
  <c r="AR84" i="24"/>
  <c r="AS84" i="24" s="1"/>
  <c r="K15" i="24"/>
  <c r="K16" i="24"/>
  <c r="AA23" i="24"/>
  <c r="I46" i="24"/>
  <c r="J46" i="24" s="1"/>
  <c r="E57" i="24"/>
  <c r="D57" i="24"/>
  <c r="N19" i="24"/>
  <c r="X22" i="24" s="1"/>
  <c r="L29" i="24"/>
  <c r="G50" i="24"/>
  <c r="I75" i="24"/>
  <c r="J75" i="24" s="1"/>
  <c r="AO104" i="24"/>
  <c r="AO89" i="24"/>
  <c r="C3" i="24"/>
  <c r="B9" i="24"/>
  <c r="C21" i="24"/>
  <c r="O26" i="24"/>
  <c r="O29" i="24"/>
  <c r="K46" i="24"/>
  <c r="E65" i="24"/>
  <c r="E50" i="24"/>
  <c r="G232" i="24"/>
  <c r="F232" i="24"/>
  <c r="E232" i="24"/>
  <c r="D232" i="24"/>
  <c r="C232" i="24"/>
  <c r="G84" i="24"/>
  <c r="F84" i="24"/>
  <c r="E84" i="24"/>
  <c r="C84" i="24"/>
  <c r="F173" i="24"/>
  <c r="E173" i="24"/>
  <c r="D173" i="24"/>
  <c r="C173" i="24"/>
  <c r="G173" i="24"/>
  <c r="D21" i="24"/>
  <c r="C58" i="24"/>
  <c r="L114" i="24"/>
  <c r="K103" i="24"/>
  <c r="I103" i="24"/>
  <c r="J103" i="24" s="1"/>
  <c r="E21" i="24"/>
  <c r="D55" i="24"/>
  <c r="C57" i="24"/>
  <c r="D58" i="24"/>
  <c r="G87" i="24"/>
  <c r="F87" i="24"/>
  <c r="E87" i="24"/>
  <c r="D87" i="24"/>
  <c r="C87" i="24"/>
  <c r="L28" i="24"/>
  <c r="H49" i="24"/>
  <c r="I50" i="24" s="1"/>
  <c r="AD17" i="24" s="1"/>
  <c r="E55" i="24"/>
  <c r="C56" i="24"/>
  <c r="F57" i="24"/>
  <c r="E58" i="24"/>
  <c r="AQ88" i="24"/>
  <c r="AR89" i="24" s="1"/>
  <c r="I17" i="24"/>
  <c r="J17" i="24" s="1"/>
  <c r="O28" i="24"/>
  <c r="F55" i="24"/>
  <c r="D56" i="24"/>
  <c r="G57" i="24"/>
  <c r="F58" i="24"/>
  <c r="T226" i="24"/>
  <c r="T288" i="24"/>
  <c r="T289" i="24" s="1"/>
  <c r="T287" i="24"/>
  <c r="I44" i="24"/>
  <c r="J44" i="24" s="1"/>
  <c r="G55" i="24"/>
  <c r="F56" i="24"/>
  <c r="D84" i="24"/>
  <c r="D86" i="24"/>
  <c r="AM90" i="24"/>
  <c r="D138" i="24"/>
  <c r="U288" i="24"/>
  <c r="U289" i="24" s="1"/>
  <c r="U287" i="24"/>
  <c r="U226" i="24"/>
  <c r="I47" i="24"/>
  <c r="O60" i="24"/>
  <c r="K74" i="24"/>
  <c r="I74" i="24"/>
  <c r="J74" i="24" s="1"/>
  <c r="L85" i="24"/>
  <c r="X287" i="24"/>
  <c r="X288" i="24"/>
  <c r="X289" i="24" s="1"/>
  <c r="X226" i="24"/>
  <c r="D113" i="24"/>
  <c r="G113" i="24"/>
  <c r="F113" i="24"/>
  <c r="E113" i="24"/>
  <c r="V288" i="24"/>
  <c r="V289" i="24" s="1"/>
  <c r="V287" i="24"/>
  <c r="V226" i="24"/>
  <c r="G59" i="24"/>
  <c r="F59" i="24"/>
  <c r="D59" i="24"/>
  <c r="H59" i="24" s="1"/>
  <c r="D79" i="24"/>
  <c r="E80" i="24"/>
  <c r="AT85" i="24"/>
  <c r="E88" i="24"/>
  <c r="AN89" i="24"/>
  <c r="AU94" i="24"/>
  <c r="N102" i="24"/>
  <c r="T52" i="24" s="1"/>
  <c r="E115" i="24"/>
  <c r="L116" i="24"/>
  <c r="AS116" i="24"/>
  <c r="N133" i="24"/>
  <c r="V62" i="24" s="1"/>
  <c r="D196" i="24"/>
  <c r="F88" i="24"/>
  <c r="AU97" i="24"/>
  <c r="G115" i="24"/>
  <c r="AO128" i="24"/>
  <c r="AN128" i="24"/>
  <c r="AM128" i="24"/>
  <c r="L174" i="24"/>
  <c r="K163" i="24"/>
  <c r="I163" i="24"/>
  <c r="J163" i="24" s="1"/>
  <c r="E181" i="24"/>
  <c r="K162" i="24"/>
  <c r="E166" i="24"/>
  <c r="AS83" i="24"/>
  <c r="G88" i="24"/>
  <c r="AP89" i="24"/>
  <c r="H107" i="24"/>
  <c r="I108" i="24" s="1"/>
  <c r="AD19" i="24" s="1"/>
  <c r="G79" i="24"/>
  <c r="AT83" i="24"/>
  <c r="O113" i="24"/>
  <c r="C113" i="24" s="1"/>
  <c r="C152" i="24"/>
  <c r="C137" i="24"/>
  <c r="L144" i="24"/>
  <c r="K133" i="24"/>
  <c r="O200" i="24"/>
  <c r="F200" i="24" s="1"/>
  <c r="O204" i="24"/>
  <c r="O201" i="24"/>
  <c r="E201" i="24" s="1"/>
  <c r="O202" i="24"/>
  <c r="O203" i="24"/>
  <c r="F203" i="24" s="1"/>
  <c r="F172" i="24"/>
  <c r="E172" i="24"/>
  <c r="C172" i="24"/>
  <c r="AU98" i="24"/>
  <c r="I135" i="24"/>
  <c r="L146" i="24"/>
  <c r="N163" i="24"/>
  <c r="W72" i="24" s="1"/>
  <c r="F167" i="24"/>
  <c r="L229" i="24"/>
  <c r="H223" i="24"/>
  <c r="I224" i="24" s="1"/>
  <c r="AD23" i="24" s="1"/>
  <c r="I218" i="24"/>
  <c r="K218" i="24"/>
  <c r="I105" i="24"/>
  <c r="J105" i="24" s="1"/>
  <c r="AN123" i="24"/>
  <c r="AO123" i="24"/>
  <c r="AP123" i="24"/>
  <c r="K135" i="24"/>
  <c r="AR86" i="24"/>
  <c r="AS86" i="24" s="1"/>
  <c r="AU96" i="24"/>
  <c r="I106" i="24"/>
  <c r="L117" i="24"/>
  <c r="N134" i="24"/>
  <c r="W62" i="24" s="1"/>
  <c r="O117" i="24"/>
  <c r="F123" i="24"/>
  <c r="H136" i="24"/>
  <c r="I137" i="24" s="1"/>
  <c r="AD20" i="24" s="1"/>
  <c r="K132" i="24"/>
  <c r="I132" i="24"/>
  <c r="J132" i="24" s="1"/>
  <c r="L143" i="24"/>
  <c r="C115" i="24"/>
  <c r="N247" i="24"/>
  <c r="T102" i="24" s="1"/>
  <c r="C254" i="24"/>
  <c r="C142" i="24"/>
  <c r="I193" i="24"/>
  <c r="J193" i="24" s="1"/>
  <c r="L204" i="24"/>
  <c r="K193" i="24"/>
  <c r="K220" i="24"/>
  <c r="D225" i="24"/>
  <c r="F142" i="24"/>
  <c r="O143" i="24"/>
  <c r="O145" i="24"/>
  <c r="F145" i="24" s="1"/>
  <c r="K190" i="24"/>
  <c r="G203" i="24"/>
  <c r="D203" i="24"/>
  <c r="H165" i="24"/>
  <c r="I166" i="24" s="1"/>
  <c r="AD21" i="24" s="1"/>
  <c r="D200" i="24"/>
  <c r="K192" i="24"/>
  <c r="I192" i="24"/>
  <c r="J192" i="24" s="1"/>
  <c r="G230" i="24"/>
  <c r="F230" i="24"/>
  <c r="E230" i="24"/>
  <c r="D230" i="24"/>
  <c r="C230" i="24"/>
  <c r="G268" i="24"/>
  <c r="K251" i="24"/>
  <c r="G253" i="24"/>
  <c r="C195" i="24"/>
  <c r="D210" i="24"/>
  <c r="G233" i="24"/>
  <c r="F233" i="24"/>
  <c r="E233" i="24"/>
  <c r="D233" i="24"/>
  <c r="L171" i="24"/>
  <c r="F196" i="24"/>
  <c r="N221" i="24"/>
  <c r="W92" i="24" s="1"/>
  <c r="C167" i="24"/>
  <c r="L202" i="24"/>
  <c r="I191" i="24"/>
  <c r="C233" i="24"/>
  <c r="E297" i="24"/>
  <c r="E282" i="24"/>
  <c r="K191" i="24"/>
  <c r="G231" i="24"/>
  <c r="F231" i="24"/>
  <c r="E231" i="24"/>
  <c r="D231" i="24"/>
  <c r="C231" i="24"/>
  <c r="H231" i="24" s="1"/>
  <c r="I220" i="24"/>
  <c r="J220" i="24" s="1"/>
  <c r="G355" i="24"/>
  <c r="G340" i="24"/>
  <c r="K338" i="24"/>
  <c r="G195" i="24"/>
  <c r="H252" i="24"/>
  <c r="I253" i="24" s="1"/>
  <c r="AD24" i="24" s="1"/>
  <c r="D268" i="24"/>
  <c r="H339" i="24"/>
  <c r="I340" i="24" s="1"/>
  <c r="AD27" i="24" s="1"/>
  <c r="K249" i="24"/>
  <c r="E268" i="24"/>
  <c r="G374" i="24"/>
  <c r="F374" i="24"/>
  <c r="E374" i="24"/>
  <c r="D374" i="24"/>
  <c r="K278" i="24"/>
  <c r="L289" i="24"/>
  <c r="I278" i="24"/>
  <c r="J278" i="24" s="1"/>
  <c r="H281" i="24"/>
  <c r="I282" i="24" s="1"/>
  <c r="AD25" i="24" s="1"/>
  <c r="G326" i="24"/>
  <c r="G311" i="24"/>
  <c r="O320" i="24"/>
  <c r="O319" i="24"/>
  <c r="O318" i="24"/>
  <c r="D318" i="24" s="1"/>
  <c r="O317" i="24"/>
  <c r="G317" i="24" s="1"/>
  <c r="O316" i="24"/>
  <c r="E340" i="24"/>
  <c r="L348" i="24"/>
  <c r="D515" i="24"/>
  <c r="E224" i="24"/>
  <c r="F225" i="24"/>
  <c r="K276" i="24"/>
  <c r="F283" i="24"/>
  <c r="C287" i="24"/>
  <c r="F340" i="24"/>
  <c r="L346" i="24"/>
  <c r="G461" i="24"/>
  <c r="F461" i="24"/>
  <c r="E461" i="24"/>
  <c r="D461" i="24"/>
  <c r="C461" i="24"/>
  <c r="K248" i="24"/>
  <c r="I280" i="24"/>
  <c r="L291" i="24"/>
  <c r="N305" i="24"/>
  <c r="T122" i="24" s="1"/>
  <c r="I222" i="24"/>
  <c r="N248" i="24"/>
  <c r="U102" i="24" s="1"/>
  <c r="K280" i="24"/>
  <c r="C282" i="24"/>
  <c r="L316" i="24"/>
  <c r="K305" i="24"/>
  <c r="G580" i="24"/>
  <c r="F580" i="24"/>
  <c r="E580" i="24"/>
  <c r="D580" i="24"/>
  <c r="C580" i="24"/>
  <c r="D282" i="24"/>
  <c r="F287" i="24"/>
  <c r="I305" i="24"/>
  <c r="J305" i="24" s="1"/>
  <c r="E312" i="24"/>
  <c r="N307" i="24"/>
  <c r="V122" i="24" s="1"/>
  <c r="C345" i="24"/>
  <c r="C347" i="24"/>
  <c r="K453" i="24"/>
  <c r="L464" i="24"/>
  <c r="I453" i="24"/>
  <c r="J453" i="24" s="1"/>
  <c r="G290" i="24"/>
  <c r="C290" i="24"/>
  <c r="L320" i="24"/>
  <c r="K309" i="24"/>
  <c r="D317" i="24"/>
  <c r="D349" i="24"/>
  <c r="E349" i="24"/>
  <c r="E587" i="24"/>
  <c r="K568" i="24"/>
  <c r="E572" i="24"/>
  <c r="E317" i="24"/>
  <c r="N249" i="24"/>
  <c r="V102" i="24" s="1"/>
  <c r="O262" i="24"/>
  <c r="F262" i="24" s="1"/>
  <c r="O261" i="24"/>
  <c r="F261" i="24" s="1"/>
  <c r="O260" i="24"/>
  <c r="F260" i="24" s="1"/>
  <c r="O259" i="24"/>
  <c r="F259" i="24" s="1"/>
  <c r="O258" i="24"/>
  <c r="D258" i="24" s="1"/>
  <c r="G288" i="24"/>
  <c r="E288" i="24"/>
  <c r="D345" i="24"/>
  <c r="E345" i="24"/>
  <c r="D347" i="24"/>
  <c r="E347" i="24"/>
  <c r="L377" i="24"/>
  <c r="I366" i="24"/>
  <c r="J366" i="24" s="1"/>
  <c r="C374" i="24"/>
  <c r="C493" i="24"/>
  <c r="K306" i="24"/>
  <c r="K336" i="24"/>
  <c r="I336" i="24"/>
  <c r="J336" i="24" s="1"/>
  <c r="K366" i="24"/>
  <c r="I307" i="24"/>
  <c r="J307" i="24" s="1"/>
  <c r="D340" i="24"/>
  <c r="H397" i="24"/>
  <c r="I398" i="24" s="1"/>
  <c r="AD29" i="24" s="1"/>
  <c r="E407" i="24"/>
  <c r="D407" i="24"/>
  <c r="C407" i="24"/>
  <c r="F399" i="24"/>
  <c r="K452" i="24"/>
  <c r="G549" i="24"/>
  <c r="F549" i="24"/>
  <c r="E549" i="24"/>
  <c r="D549" i="24"/>
  <c r="D375" i="24"/>
  <c r="G435" i="24"/>
  <c r="F435" i="24"/>
  <c r="E435" i="24"/>
  <c r="N421" i="24"/>
  <c r="T162" i="24" s="1"/>
  <c r="C428" i="24"/>
  <c r="D435" i="24"/>
  <c r="O466" i="24"/>
  <c r="E544" i="24"/>
  <c r="K364" i="24"/>
  <c r="D369" i="24"/>
  <c r="E375" i="24"/>
  <c r="G462" i="24"/>
  <c r="E462" i="24"/>
  <c r="D462" i="24"/>
  <c r="C462" i="24"/>
  <c r="O494" i="24"/>
  <c r="O493" i="24"/>
  <c r="D493" i="24" s="1"/>
  <c r="O492" i="24"/>
  <c r="O491" i="24"/>
  <c r="O490" i="24"/>
  <c r="G550" i="24"/>
  <c r="F550" i="24"/>
  <c r="F554" i="24" s="1"/>
  <c r="W197" i="24" s="1"/>
  <c r="W205" i="24" s="1"/>
  <c r="D550" i="24"/>
  <c r="G581" i="24"/>
  <c r="F581" i="24"/>
  <c r="E581" i="24"/>
  <c r="D581" i="24"/>
  <c r="C581" i="24"/>
  <c r="L319" i="24"/>
  <c r="I367" i="24"/>
  <c r="E369" i="24"/>
  <c r="F375" i="24"/>
  <c r="O378" i="24"/>
  <c r="F378" i="24" s="1"/>
  <c r="O377" i="24"/>
  <c r="O376" i="24"/>
  <c r="G376" i="24" s="1"/>
  <c r="D398" i="24"/>
  <c r="D413" i="24"/>
  <c r="O408" i="24"/>
  <c r="G407" i="24"/>
  <c r="C432" i="24"/>
  <c r="C436" i="24"/>
  <c r="F471" i="24"/>
  <c r="O350" i="24"/>
  <c r="F369" i="24"/>
  <c r="K393" i="24"/>
  <c r="G463" i="24"/>
  <c r="F463" i="24"/>
  <c r="E463" i="24"/>
  <c r="D463" i="24"/>
  <c r="C463" i="24"/>
  <c r="K569" i="24"/>
  <c r="G432" i="24"/>
  <c r="F432" i="24"/>
  <c r="F438" i="24" s="1"/>
  <c r="W157" i="24" s="1"/>
  <c r="W165" i="24" s="1"/>
  <c r="E432" i="24"/>
  <c r="G436" i="24"/>
  <c r="F436" i="24"/>
  <c r="E436" i="24"/>
  <c r="H455" i="24"/>
  <c r="I456" i="24" s="1"/>
  <c r="AD31" i="24" s="1"/>
  <c r="E471" i="24"/>
  <c r="E456" i="24"/>
  <c r="H484" i="24"/>
  <c r="I485" i="24" s="1"/>
  <c r="AD32" i="24" s="1"/>
  <c r="L490" i="24"/>
  <c r="K479" i="24"/>
  <c r="L521" i="24"/>
  <c r="K510" i="24"/>
  <c r="I510" i="24"/>
  <c r="J510" i="24" s="1"/>
  <c r="E515" i="24"/>
  <c r="G551" i="24"/>
  <c r="F551" i="24"/>
  <c r="E551" i="24"/>
  <c r="D551" i="24"/>
  <c r="F573" i="24"/>
  <c r="G399" i="24"/>
  <c r="N511" i="24"/>
  <c r="W192" i="24" s="1"/>
  <c r="F515" i="24"/>
  <c r="G577" i="24"/>
  <c r="F577" i="24"/>
  <c r="E577" i="24"/>
  <c r="D577" i="24"/>
  <c r="C577" i="24"/>
  <c r="C583" i="24" s="1"/>
  <c r="T207" i="24" s="1"/>
  <c r="T215" i="24" s="1"/>
  <c r="I363" i="24"/>
  <c r="J363" i="24" s="1"/>
  <c r="K365" i="24"/>
  <c r="C370" i="24"/>
  <c r="L405" i="24"/>
  <c r="K394" i="24"/>
  <c r="I394" i="24"/>
  <c r="G433" i="24"/>
  <c r="F433" i="24"/>
  <c r="E433" i="24"/>
  <c r="D433" i="24"/>
  <c r="N479" i="24"/>
  <c r="T182" i="24" s="1"/>
  <c r="C552" i="24"/>
  <c r="O582" i="24"/>
  <c r="G465" i="24"/>
  <c r="F465" i="24"/>
  <c r="E465" i="24"/>
  <c r="D465" i="24"/>
  <c r="C465" i="24"/>
  <c r="E523" i="24"/>
  <c r="D523" i="24"/>
  <c r="C523" i="24"/>
  <c r="F523" i="24"/>
  <c r="G548" i="24"/>
  <c r="F548" i="24"/>
  <c r="E548" i="24"/>
  <c r="G578" i="24"/>
  <c r="F578" i="24"/>
  <c r="E578" i="24"/>
  <c r="D578" i="24"/>
  <c r="C578" i="24"/>
  <c r="E428" i="24"/>
  <c r="E486" i="24"/>
  <c r="N481" i="24"/>
  <c r="V182" i="24" s="1"/>
  <c r="G552" i="24"/>
  <c r="F552" i="24"/>
  <c r="E552" i="24"/>
  <c r="F587" i="24"/>
  <c r="G434" i="24"/>
  <c r="F434" i="24"/>
  <c r="H434" i="24" s="1"/>
  <c r="E434" i="24"/>
  <c r="D434" i="24"/>
  <c r="H513" i="24"/>
  <c r="I514" i="24" s="1"/>
  <c r="AD33" i="24" s="1"/>
  <c r="G579" i="24"/>
  <c r="F579" i="24"/>
  <c r="E579" i="24"/>
  <c r="D579" i="24"/>
  <c r="C579" i="24"/>
  <c r="K396" i="24"/>
  <c r="K422" i="24"/>
  <c r="D427" i="24"/>
  <c r="G457" i="24"/>
  <c r="D486" i="24"/>
  <c r="E500" i="24"/>
  <c r="K512" i="24"/>
  <c r="G514" i="24"/>
  <c r="K538" i="24"/>
  <c r="D543" i="24"/>
  <c r="G573" i="24"/>
  <c r="I425" i="24"/>
  <c r="J425" i="24" s="1"/>
  <c r="L491" i="24"/>
  <c r="L492" i="24"/>
  <c r="L494" i="24"/>
  <c r="I541" i="24"/>
  <c r="J541" i="24" s="1"/>
  <c r="I567" i="24"/>
  <c r="J567" i="24" s="1"/>
  <c r="F427" i="24"/>
  <c r="C456" i="24"/>
  <c r="G500" i="24"/>
  <c r="O524" i="24"/>
  <c r="D529" i="24"/>
  <c r="F543" i="24"/>
  <c r="C572" i="24"/>
  <c r="D572" i="24"/>
  <c r="L403" i="24"/>
  <c r="L404" i="24"/>
  <c r="L406" i="24"/>
  <c r="N451" i="24"/>
  <c r="U172" i="24" s="1"/>
  <c r="I454" i="24"/>
  <c r="J454" i="24" s="1"/>
  <c r="L520" i="24"/>
  <c r="L522" i="24"/>
  <c r="I452" i="24"/>
  <c r="J452" i="24" s="1"/>
  <c r="I393" i="24"/>
  <c r="J393" i="24" s="1"/>
  <c r="K421" i="24"/>
  <c r="I483" i="24"/>
  <c r="I509" i="24"/>
  <c r="J509" i="24" s="1"/>
  <c r="K537" i="24"/>
  <c r="D519" i="24"/>
  <c r="H519" i="24" s="1"/>
  <c r="I519" i="24" s="1"/>
  <c r="AS134" i="23"/>
  <c r="AS124" i="23"/>
  <c r="AN133" i="23"/>
  <c r="AO133" i="23"/>
  <c r="AL128" i="23"/>
  <c r="AX94" i="23"/>
  <c r="AX95" i="23"/>
  <c r="AX96" i="23"/>
  <c r="AR84" i="23"/>
  <c r="AS84" i="23" s="1"/>
  <c r="AR86" i="23"/>
  <c r="AS86" i="23" s="1"/>
  <c r="AL89" i="23"/>
  <c r="AL90" i="23" s="1"/>
  <c r="AU98" i="23"/>
  <c r="AR87" i="23"/>
  <c r="AS87" i="23" s="1"/>
  <c r="AW87" i="23"/>
  <c r="AP115" i="23" s="1"/>
  <c r="O549" i="23"/>
  <c r="O550" i="23"/>
  <c r="E550" i="23" s="1"/>
  <c r="O551" i="23"/>
  <c r="G551" i="23" s="1"/>
  <c r="AA203" i="23"/>
  <c r="O464" i="23"/>
  <c r="E464" i="23" s="1"/>
  <c r="AA173" i="23"/>
  <c r="O461" i="23"/>
  <c r="O466" i="23" s="1"/>
  <c r="O462" i="23"/>
  <c r="C462" i="23" s="1"/>
  <c r="O432" i="23"/>
  <c r="O433" i="23"/>
  <c r="D433" i="23" s="1"/>
  <c r="O434" i="23"/>
  <c r="AA163" i="23"/>
  <c r="D374" i="23"/>
  <c r="O376" i="23"/>
  <c r="O377" i="23"/>
  <c r="O378" i="23"/>
  <c r="O346" i="23"/>
  <c r="O350" i="23" s="1"/>
  <c r="E349" i="23"/>
  <c r="O316" i="23"/>
  <c r="O321" i="23" s="1"/>
  <c r="O317" i="23"/>
  <c r="F318" i="23"/>
  <c r="O258" i="23"/>
  <c r="C258" i="23" s="1"/>
  <c r="AA103" i="23"/>
  <c r="O259" i="23"/>
  <c r="F259" i="23" s="1"/>
  <c r="D259" i="23"/>
  <c r="G261" i="23"/>
  <c r="AA93" i="23"/>
  <c r="O204" i="23"/>
  <c r="O174" i="23"/>
  <c r="O175" i="23"/>
  <c r="D175" i="23" s="1"/>
  <c r="O173" i="23"/>
  <c r="C173" i="23" s="1"/>
  <c r="O86" i="23"/>
  <c r="O55" i="23"/>
  <c r="G55" i="23" s="1"/>
  <c r="O56" i="23"/>
  <c r="O58" i="23"/>
  <c r="O28" i="23"/>
  <c r="AA23" i="23"/>
  <c r="AA287" i="23" s="1"/>
  <c r="O26" i="23"/>
  <c r="I567" i="23"/>
  <c r="J567" i="23" s="1"/>
  <c r="K567" i="23"/>
  <c r="E572" i="23"/>
  <c r="E573" i="23" s="1"/>
  <c r="K568" i="23"/>
  <c r="C587" i="23"/>
  <c r="D550" i="23"/>
  <c r="F550" i="23"/>
  <c r="I539" i="23"/>
  <c r="J539" i="23" s="1"/>
  <c r="K537" i="23"/>
  <c r="C543" i="23"/>
  <c r="C544" i="23" s="1"/>
  <c r="D543" i="23"/>
  <c r="D544" i="23" s="1"/>
  <c r="F515" i="23"/>
  <c r="N511" i="23"/>
  <c r="W192" i="23" s="1"/>
  <c r="L519" i="23"/>
  <c r="F529" i="23"/>
  <c r="N508" i="23"/>
  <c r="T192" i="23" s="1"/>
  <c r="K511" i="23"/>
  <c r="C515" i="23"/>
  <c r="I483" i="23"/>
  <c r="J483" i="23" s="1"/>
  <c r="N454" i="23"/>
  <c r="X172" i="23" s="1"/>
  <c r="L465" i="23"/>
  <c r="C465" i="23" s="1"/>
  <c r="K451" i="23"/>
  <c r="D456" i="23"/>
  <c r="G457" i="23"/>
  <c r="I453" i="23"/>
  <c r="J453" i="23" s="1"/>
  <c r="L463" i="23"/>
  <c r="F463" i="23" s="1"/>
  <c r="K424" i="23"/>
  <c r="L432" i="23"/>
  <c r="E432" i="23" s="1"/>
  <c r="N421" i="23"/>
  <c r="T162" i="23" s="1"/>
  <c r="I422" i="23"/>
  <c r="J422" i="23" s="1"/>
  <c r="H426" i="23"/>
  <c r="I427" i="23" s="1"/>
  <c r="AD30" i="23" s="1"/>
  <c r="I423" i="23"/>
  <c r="J423" i="23" s="1"/>
  <c r="G398" i="23"/>
  <c r="G399" i="23" s="1"/>
  <c r="L407" i="23"/>
  <c r="I396" i="23"/>
  <c r="J396" i="23" s="1"/>
  <c r="F413" i="23"/>
  <c r="K392" i="23"/>
  <c r="L378" i="23"/>
  <c r="I367" i="23"/>
  <c r="J367" i="23" s="1"/>
  <c r="D340" i="23"/>
  <c r="D341" i="23" s="1"/>
  <c r="E340" i="23"/>
  <c r="N336" i="23" s="1"/>
  <c r="V132" i="23" s="1"/>
  <c r="L347" i="23"/>
  <c r="K335" i="23"/>
  <c r="F316" i="23"/>
  <c r="E316" i="23"/>
  <c r="I307" i="23"/>
  <c r="J307" i="23" s="1"/>
  <c r="F326" i="23"/>
  <c r="G326" i="23"/>
  <c r="K309" i="23"/>
  <c r="E318" i="23"/>
  <c r="I278" i="23"/>
  <c r="J278" i="23" s="1"/>
  <c r="K279" i="23"/>
  <c r="L290" i="23"/>
  <c r="F282" i="23"/>
  <c r="F283" i="23" s="1"/>
  <c r="C253" i="23"/>
  <c r="C254" i="23" s="1"/>
  <c r="D253" i="23"/>
  <c r="D254" i="23" s="1"/>
  <c r="K247" i="23"/>
  <c r="F253" i="23"/>
  <c r="F254" i="23" s="1"/>
  <c r="G253" i="23"/>
  <c r="G254" i="23" s="1"/>
  <c r="E258" i="23"/>
  <c r="F258" i="23"/>
  <c r="G258" i="23"/>
  <c r="E259" i="23"/>
  <c r="K218" i="23"/>
  <c r="C224" i="23"/>
  <c r="F224" i="23"/>
  <c r="F225" i="23" s="1"/>
  <c r="K221" i="23"/>
  <c r="L201" i="23"/>
  <c r="C210" i="23"/>
  <c r="K189" i="23"/>
  <c r="I189" i="23"/>
  <c r="J189" i="23" s="1"/>
  <c r="I162" i="23"/>
  <c r="J162" i="23" s="1"/>
  <c r="K162" i="23"/>
  <c r="C166" i="23"/>
  <c r="E175" i="23"/>
  <c r="N135" i="23"/>
  <c r="X62" i="23" s="1"/>
  <c r="F137" i="23"/>
  <c r="F138" i="23" s="1"/>
  <c r="I133" i="23"/>
  <c r="J133" i="23" s="1"/>
  <c r="K134" i="23"/>
  <c r="K133" i="23"/>
  <c r="K135" i="23"/>
  <c r="L146" i="23"/>
  <c r="K104" i="23"/>
  <c r="G108" i="23"/>
  <c r="I102" i="23"/>
  <c r="J102" i="23" s="1"/>
  <c r="I105" i="23"/>
  <c r="J105" i="23" s="1"/>
  <c r="K105" i="23"/>
  <c r="D79" i="23"/>
  <c r="D80" i="23" s="1"/>
  <c r="F79" i="23"/>
  <c r="F80" i="23" s="1"/>
  <c r="C94" i="23"/>
  <c r="N76" i="23"/>
  <c r="W42" i="23" s="1"/>
  <c r="K76" i="23"/>
  <c r="D65" i="23"/>
  <c r="F65" i="23"/>
  <c r="L59" i="23"/>
  <c r="D59" i="23" s="1"/>
  <c r="K45" i="23"/>
  <c r="H49" i="23"/>
  <c r="I50" i="23" s="1"/>
  <c r="AD17" i="23" s="1"/>
  <c r="F36" i="23"/>
  <c r="G36" i="23"/>
  <c r="C21" i="23"/>
  <c r="C22" i="23" s="1"/>
  <c r="D21" i="23"/>
  <c r="D22" i="23" s="1"/>
  <c r="L30" i="23"/>
  <c r="G22" i="23"/>
  <c r="N19" i="23"/>
  <c r="X22" i="23" s="1"/>
  <c r="N18" i="23"/>
  <c r="W22" i="23" s="1"/>
  <c r="J18" i="23"/>
  <c r="E3" i="23"/>
  <c r="L86" i="23"/>
  <c r="K75" i="23"/>
  <c r="T288" i="23"/>
  <c r="T289" i="23" s="1"/>
  <c r="T287" i="23"/>
  <c r="T226" i="23"/>
  <c r="L27" i="23"/>
  <c r="G56" i="23"/>
  <c r="L85" i="23"/>
  <c r="K74" i="23"/>
  <c r="AM104" i="23"/>
  <c r="AT84" i="23"/>
  <c r="AM89" i="23"/>
  <c r="AP95" i="23"/>
  <c r="AM95" i="23"/>
  <c r="AO95" i="23"/>
  <c r="AN95" i="23"/>
  <c r="AL95" i="23"/>
  <c r="AP128" i="23"/>
  <c r="AO128" i="23"/>
  <c r="AN128" i="23"/>
  <c r="C80" i="23"/>
  <c r="H20" i="23"/>
  <c r="I21" i="23" s="1"/>
  <c r="AD16" i="23" s="1"/>
  <c r="I15" i="23"/>
  <c r="J15" i="23" s="1"/>
  <c r="K16" i="23"/>
  <c r="L28" i="23"/>
  <c r="C65" i="23"/>
  <c r="C50" i="23"/>
  <c r="I75" i="23"/>
  <c r="J75" i="23" s="1"/>
  <c r="E80" i="23"/>
  <c r="N75" i="23"/>
  <c r="V42" i="23" s="1"/>
  <c r="X287" i="23"/>
  <c r="X288" i="23"/>
  <c r="X289" i="23" s="1"/>
  <c r="X226" i="23"/>
  <c r="L29" i="23"/>
  <c r="K44" i="23"/>
  <c r="K15" i="23"/>
  <c r="K19" i="23"/>
  <c r="L58" i="23"/>
  <c r="K47" i="23"/>
  <c r="H78" i="23"/>
  <c r="I79" i="23" s="1"/>
  <c r="AD18" i="23" s="1"/>
  <c r="L84" i="23"/>
  <c r="K73" i="23"/>
  <c r="I73" i="23"/>
  <c r="J73" i="23" s="1"/>
  <c r="C196" i="23"/>
  <c r="N189" i="23"/>
  <c r="T82" i="23" s="1"/>
  <c r="AU96" i="23"/>
  <c r="AT85" i="23"/>
  <c r="AR85" i="23"/>
  <c r="G30" i="23"/>
  <c r="F30" i="23"/>
  <c r="E30" i="23"/>
  <c r="I47" i="23"/>
  <c r="J47" i="23" s="1"/>
  <c r="J76" i="23"/>
  <c r="C108" i="23"/>
  <c r="D210" i="23"/>
  <c r="D195" i="23"/>
  <c r="G65" i="23"/>
  <c r="G50" i="23"/>
  <c r="E55" i="23"/>
  <c r="D55" i="23"/>
  <c r="D109" i="23"/>
  <c r="V287" i="23"/>
  <c r="V226" i="23"/>
  <c r="V288" i="23"/>
  <c r="V289" i="23" s="1"/>
  <c r="AO104" i="23"/>
  <c r="AO89" i="23"/>
  <c r="F56" i="23"/>
  <c r="E56" i="23"/>
  <c r="D56" i="23"/>
  <c r="AT86" i="23"/>
  <c r="G109" i="23"/>
  <c r="N106" i="23"/>
  <c r="X52" i="23" s="1"/>
  <c r="K46" i="23"/>
  <c r="L57" i="23"/>
  <c r="I46" i="23"/>
  <c r="J46" i="23" s="1"/>
  <c r="C7" i="23"/>
  <c r="E7" i="23" s="1"/>
  <c r="C6" i="23"/>
  <c r="E6" i="23" s="1"/>
  <c r="N17" i="23"/>
  <c r="V22" i="23" s="1"/>
  <c r="L26" i="23"/>
  <c r="L117" i="23"/>
  <c r="H107" i="23"/>
  <c r="I108" i="23" s="1"/>
  <c r="AD19" i="23" s="1"/>
  <c r="K106" i="23"/>
  <c r="C30" i="23"/>
  <c r="I106" i="23"/>
  <c r="J106" i="23" s="1"/>
  <c r="AP98" i="23"/>
  <c r="AO98" i="23"/>
  <c r="AN98" i="23"/>
  <c r="AM98" i="23"/>
  <c r="AL98" i="23"/>
  <c r="B9" i="23"/>
  <c r="D30" i="23"/>
  <c r="C56" i="23"/>
  <c r="E94" i="23"/>
  <c r="O114" i="23"/>
  <c r="O115" i="23"/>
  <c r="D115" i="23" s="1"/>
  <c r="O116" i="23"/>
  <c r="O117" i="23"/>
  <c r="O146" i="23"/>
  <c r="O145" i="23"/>
  <c r="C145" i="23" s="1"/>
  <c r="O142" i="23"/>
  <c r="O144" i="23"/>
  <c r="C144" i="23" s="1"/>
  <c r="F196" i="23"/>
  <c r="L88" i="23"/>
  <c r="AQ88" i="23"/>
  <c r="AR89" i="23" s="1"/>
  <c r="F123" i="23"/>
  <c r="F108" i="23"/>
  <c r="L114" i="23"/>
  <c r="AS129" i="23"/>
  <c r="K161" i="23"/>
  <c r="L172" i="23"/>
  <c r="G196" i="23"/>
  <c r="I45" i="23"/>
  <c r="N74" i="23"/>
  <c r="U42" i="23" s="1"/>
  <c r="O88" i="23"/>
  <c r="G94" i="23"/>
  <c r="L143" i="23"/>
  <c r="K132" i="23"/>
  <c r="I161" i="23"/>
  <c r="L204" i="23"/>
  <c r="K193" i="23"/>
  <c r="I193" i="23"/>
  <c r="J193" i="23" s="1"/>
  <c r="D152" i="23"/>
  <c r="D137" i="23"/>
  <c r="C288" i="23"/>
  <c r="G288" i="23"/>
  <c r="F288" i="23"/>
  <c r="E288" i="23"/>
  <c r="D288" i="23"/>
  <c r="AR83" i="23"/>
  <c r="AU94" i="23"/>
  <c r="F113" i="23"/>
  <c r="E113" i="23"/>
  <c r="D113" i="23"/>
  <c r="U287" i="23"/>
  <c r="U226" i="23"/>
  <c r="U288" i="23"/>
  <c r="U289" i="23" s="1"/>
  <c r="E50" i="23"/>
  <c r="I77" i="23"/>
  <c r="J77" i="23" s="1"/>
  <c r="O84" i="23"/>
  <c r="L87" i="23"/>
  <c r="I103" i="23"/>
  <c r="J103" i="23" s="1"/>
  <c r="K102" i="23"/>
  <c r="AP104" i="23"/>
  <c r="C113" i="23"/>
  <c r="F145" i="23"/>
  <c r="G145" i="23"/>
  <c r="D145" i="23"/>
  <c r="O143" i="23"/>
  <c r="C282" i="23"/>
  <c r="C297" i="23"/>
  <c r="K276" i="23"/>
  <c r="W287" i="23"/>
  <c r="W226" i="23"/>
  <c r="W288" i="23"/>
  <c r="W289" i="23" s="1"/>
  <c r="O27" i="23"/>
  <c r="AS116" i="23"/>
  <c r="AX97" i="23"/>
  <c r="AX99" i="23" s="1"/>
  <c r="I104" i="23"/>
  <c r="J104" i="23" s="1"/>
  <c r="G113" i="23"/>
  <c r="AS119" i="23"/>
  <c r="E137" i="23"/>
  <c r="E152" i="23"/>
  <c r="F175" i="23"/>
  <c r="E202" i="23"/>
  <c r="D202" i="23"/>
  <c r="C202" i="23"/>
  <c r="K219" i="23"/>
  <c r="I219" i="23"/>
  <c r="E225" i="23"/>
  <c r="N220" i="23"/>
  <c r="V92" i="23" s="1"/>
  <c r="D297" i="23"/>
  <c r="D282" i="23"/>
  <c r="G319" i="23"/>
  <c r="D319" i="23"/>
  <c r="C319" i="23"/>
  <c r="F319" i="23"/>
  <c r="E319" i="23"/>
  <c r="L377" i="23"/>
  <c r="K366" i="23"/>
  <c r="I366" i="23"/>
  <c r="J366" i="23" s="1"/>
  <c r="I131" i="23"/>
  <c r="G175" i="23"/>
  <c r="I191" i="23"/>
  <c r="J191" i="23" s="1"/>
  <c r="G201" i="23"/>
  <c r="E201" i="23"/>
  <c r="D201" i="23"/>
  <c r="D203" i="23"/>
  <c r="K277" i="23"/>
  <c r="E456" i="23"/>
  <c r="E471" i="23"/>
  <c r="K452" i="23"/>
  <c r="I134" i="23"/>
  <c r="J134" i="23" s="1"/>
  <c r="H136" i="23"/>
  <c r="I137" i="23" s="1"/>
  <c r="AD20" i="23" s="1"/>
  <c r="E166" i="23"/>
  <c r="G167" i="23"/>
  <c r="K191" i="23"/>
  <c r="G225" i="23"/>
  <c r="F456" i="23"/>
  <c r="K453" i="23"/>
  <c r="F471" i="23"/>
  <c r="K131" i="23"/>
  <c r="K160" i="23"/>
  <c r="F166" i="23"/>
  <c r="L174" i="23"/>
  <c r="H194" i="23"/>
  <c r="I195" i="23" s="1"/>
  <c r="AD22" i="23" s="1"/>
  <c r="N450" i="23"/>
  <c r="T172" i="23" s="1"/>
  <c r="J450" i="23"/>
  <c r="G543" i="23"/>
  <c r="G558" i="23"/>
  <c r="O176" i="23"/>
  <c r="E229" i="23"/>
  <c r="D229" i="23"/>
  <c r="C229" i="23"/>
  <c r="O232" i="23"/>
  <c r="O231" i="23"/>
  <c r="O230" i="23"/>
  <c r="O229" i="23"/>
  <c r="G229" i="23" s="1"/>
  <c r="AL123" i="23"/>
  <c r="I164" i="23"/>
  <c r="J164" i="23" s="1"/>
  <c r="D173" i="23"/>
  <c r="G203" i="23"/>
  <c r="F203" i="23"/>
  <c r="C203" i="23"/>
  <c r="G289" i="23"/>
  <c r="C289" i="23"/>
  <c r="F289" i="23"/>
  <c r="E289" i="23"/>
  <c r="D289" i="23"/>
  <c r="G317" i="23"/>
  <c r="D317" i="23"/>
  <c r="C317" i="23"/>
  <c r="F317" i="23"/>
  <c r="E317" i="23"/>
  <c r="E108" i="23"/>
  <c r="AM123" i="23"/>
  <c r="I163" i="23"/>
  <c r="J163" i="23" s="1"/>
  <c r="L171" i="23"/>
  <c r="E173" i="23"/>
  <c r="K190" i="23"/>
  <c r="I192" i="23"/>
  <c r="J192" i="23" s="1"/>
  <c r="F202" i="23"/>
  <c r="N221" i="23"/>
  <c r="W92" i="23" s="1"/>
  <c r="L230" i="23"/>
  <c r="AN123" i="23"/>
  <c r="K164" i="23"/>
  <c r="H165" i="23"/>
  <c r="I166" i="23" s="1"/>
  <c r="AD21" i="23" s="1"/>
  <c r="F173" i="23"/>
  <c r="E195" i="23"/>
  <c r="G202" i="23"/>
  <c r="F210" i="23"/>
  <c r="G233" i="23"/>
  <c r="F233" i="23"/>
  <c r="E233" i="23"/>
  <c r="D233" i="23"/>
  <c r="C233" i="23"/>
  <c r="AO123" i="23"/>
  <c r="AL133" i="23"/>
  <c r="G173" i="23"/>
  <c r="K192" i="23"/>
  <c r="G210" i="23"/>
  <c r="G231" i="23"/>
  <c r="F231" i="23"/>
  <c r="E231" i="23"/>
  <c r="D231" i="23"/>
  <c r="C231" i="23"/>
  <c r="L262" i="23"/>
  <c r="K251" i="23"/>
  <c r="I251" i="23"/>
  <c r="J251" i="23" s="1"/>
  <c r="N279" i="23"/>
  <c r="W112" i="23" s="1"/>
  <c r="G287" i="23"/>
  <c r="C287" i="23"/>
  <c r="F287" i="23"/>
  <c r="E287" i="23"/>
  <c r="D287" i="23"/>
  <c r="K220" i="23"/>
  <c r="G259" i="23"/>
  <c r="O292" i="23"/>
  <c r="E291" i="23"/>
  <c r="D291" i="23"/>
  <c r="C291" i="23"/>
  <c r="K308" i="23"/>
  <c r="I308" i="23"/>
  <c r="J308" i="23" s="1"/>
  <c r="G349" i="23"/>
  <c r="F349" i="23"/>
  <c r="L405" i="23"/>
  <c r="H397" i="23"/>
  <c r="I398" i="23" s="1"/>
  <c r="AD29" i="23" s="1"/>
  <c r="K394" i="23"/>
  <c r="G345" i="23"/>
  <c r="F345" i="23"/>
  <c r="I394" i="23"/>
  <c r="J394" i="23" s="1"/>
  <c r="G578" i="23"/>
  <c r="F578" i="23"/>
  <c r="C578" i="23"/>
  <c r="E578" i="23"/>
  <c r="D578" i="23"/>
  <c r="E239" i="23"/>
  <c r="I250" i="23"/>
  <c r="J250" i="23" s="1"/>
  <c r="I309" i="23"/>
  <c r="J309" i="23" s="1"/>
  <c r="I334" i="23"/>
  <c r="G347" i="23"/>
  <c r="F347" i="23"/>
  <c r="C347" i="23"/>
  <c r="F374" i="23"/>
  <c r="E374" i="23"/>
  <c r="C374" i="23"/>
  <c r="D485" i="23"/>
  <c r="D500" i="23"/>
  <c r="K570" i="23"/>
  <c r="L581" i="23"/>
  <c r="N251" i="23"/>
  <c r="X102" i="23" s="1"/>
  <c r="K278" i="23"/>
  <c r="C326" i="23"/>
  <c r="C311" i="23"/>
  <c r="K334" i="23"/>
  <c r="C345" i="23"/>
  <c r="O379" i="23"/>
  <c r="K508" i="23"/>
  <c r="I570" i="23"/>
  <c r="J570" i="23" s="1"/>
  <c r="L232" i="23"/>
  <c r="G239" i="23"/>
  <c r="I249" i="23"/>
  <c r="J249" i="23" s="1"/>
  <c r="K250" i="23"/>
  <c r="C261" i="23"/>
  <c r="K280" i="23"/>
  <c r="I280" i="23"/>
  <c r="J280" i="23" s="1"/>
  <c r="D290" i="23"/>
  <c r="C290" i="23"/>
  <c r="D345" i="23"/>
  <c r="K363" i="23"/>
  <c r="H368" i="23"/>
  <c r="I369" i="23" s="1"/>
  <c r="AD28" i="23" s="1"/>
  <c r="D465" i="23"/>
  <c r="D261" i="23"/>
  <c r="H310" i="23"/>
  <c r="I311" i="23" s="1"/>
  <c r="AD26" i="23" s="1"/>
  <c r="G316" i="23"/>
  <c r="D316" i="23"/>
  <c r="C316" i="23"/>
  <c r="G318" i="23"/>
  <c r="D318" i="23"/>
  <c r="C318" i="23"/>
  <c r="L320" i="23"/>
  <c r="E345" i="23"/>
  <c r="I363" i="23"/>
  <c r="J363" i="23" s="1"/>
  <c r="O407" i="23"/>
  <c r="D407" i="23" s="1"/>
  <c r="O406" i="23"/>
  <c r="O405" i="23"/>
  <c r="O404" i="23"/>
  <c r="O403" i="23"/>
  <c r="E403" i="23" s="1"/>
  <c r="G433" i="23"/>
  <c r="C529" i="23"/>
  <c r="L200" i="23"/>
  <c r="I222" i="23"/>
  <c r="J222" i="23" s="1"/>
  <c r="I248" i="23"/>
  <c r="J248" i="23" s="1"/>
  <c r="K249" i="23"/>
  <c r="E254" i="23"/>
  <c r="C260" i="23"/>
  <c r="H260" i="23" s="1"/>
  <c r="E261" i="23"/>
  <c r="K306" i="23"/>
  <c r="N308" i="23"/>
  <c r="W122" i="23" s="1"/>
  <c r="F312" i="23"/>
  <c r="N335" i="23"/>
  <c r="U132" i="23" s="1"/>
  <c r="K364" i="23"/>
  <c r="L375" i="23"/>
  <c r="L434" i="23"/>
  <c r="K541" i="23"/>
  <c r="I541" i="23"/>
  <c r="J541" i="23" s="1"/>
  <c r="O205" i="23"/>
  <c r="D260" i="23"/>
  <c r="F261" i="23"/>
  <c r="O263" i="23"/>
  <c r="N309" i="23"/>
  <c r="X122" i="23" s="1"/>
  <c r="G312" i="23"/>
  <c r="F355" i="23"/>
  <c r="F340" i="23"/>
  <c r="F384" i="23"/>
  <c r="F369" i="23"/>
  <c r="E404" i="23"/>
  <c r="F404" i="23"/>
  <c r="D404" i="23"/>
  <c r="C404" i="23"/>
  <c r="O492" i="23"/>
  <c r="E492" i="23" s="1"/>
  <c r="O493" i="23"/>
  <c r="D493" i="23" s="1"/>
  <c r="O494" i="23"/>
  <c r="O491" i="23"/>
  <c r="K510" i="23"/>
  <c r="L521" i="23"/>
  <c r="H513" i="23"/>
  <c r="I514" i="23" s="1"/>
  <c r="AD33" i="23" s="1"/>
  <c r="F572" i="23"/>
  <c r="F587" i="23"/>
  <c r="K222" i="23"/>
  <c r="H223" i="23"/>
  <c r="I224" i="23" s="1"/>
  <c r="AD23" i="23" s="1"/>
  <c r="I247" i="23"/>
  <c r="K248" i="23"/>
  <c r="C259" i="23"/>
  <c r="E260" i="23"/>
  <c r="H281" i="23"/>
  <c r="I282" i="23" s="1"/>
  <c r="AD25" i="23" s="1"/>
  <c r="D311" i="23"/>
  <c r="G340" i="23"/>
  <c r="G355" i="23"/>
  <c r="C349" i="23"/>
  <c r="G370" i="23"/>
  <c r="N367" i="23"/>
  <c r="X142" i="23" s="1"/>
  <c r="F462" i="23"/>
  <c r="E462" i="23"/>
  <c r="D462" i="23"/>
  <c r="I510" i="23"/>
  <c r="J510" i="23" s="1"/>
  <c r="L552" i="23"/>
  <c r="H252" i="23"/>
  <c r="I253" i="23" s="1"/>
  <c r="AD24" i="23" s="1"/>
  <c r="I276" i="23"/>
  <c r="J276" i="23" s="1"/>
  <c r="E282" i="23"/>
  <c r="F291" i="23"/>
  <c r="E311" i="23"/>
  <c r="L348" i="23"/>
  <c r="K337" i="23"/>
  <c r="H339" i="23"/>
  <c r="I340" i="23" s="1"/>
  <c r="AD27" i="23" s="1"/>
  <c r="D349" i="23"/>
  <c r="E413" i="23"/>
  <c r="E398" i="23"/>
  <c r="L461" i="23"/>
  <c r="K450" i="23"/>
  <c r="H455" i="23"/>
  <c r="I456" i="23" s="1"/>
  <c r="AD31" i="23" s="1"/>
  <c r="E490" i="23"/>
  <c r="D490" i="23"/>
  <c r="G490" i="23"/>
  <c r="F490" i="23"/>
  <c r="C490" i="23"/>
  <c r="J568" i="23"/>
  <c r="O523" i="23"/>
  <c r="O522" i="23"/>
  <c r="G522" i="23" s="1"/>
  <c r="O521" i="23"/>
  <c r="O520" i="23"/>
  <c r="D520" i="23" s="1"/>
  <c r="O519" i="23"/>
  <c r="D519" i="23" s="1"/>
  <c r="N538" i="23"/>
  <c r="U202" i="23" s="1"/>
  <c r="E551" i="23"/>
  <c r="D551" i="23"/>
  <c r="C551" i="23"/>
  <c r="L346" i="23"/>
  <c r="I481" i="23"/>
  <c r="J481" i="23" s="1"/>
  <c r="F500" i="23"/>
  <c r="F485" i="23"/>
  <c r="D515" i="23"/>
  <c r="N509" i="23"/>
  <c r="U192" i="23" s="1"/>
  <c r="K569" i="23"/>
  <c r="E378" i="23"/>
  <c r="C378" i="23"/>
  <c r="I395" i="23"/>
  <c r="L406" i="23"/>
  <c r="D428" i="23"/>
  <c r="N422" i="23"/>
  <c r="U162" i="23" s="1"/>
  <c r="G464" i="23"/>
  <c r="F464" i="23"/>
  <c r="D464" i="23"/>
  <c r="K481" i="23"/>
  <c r="N510" i="23"/>
  <c r="V192" i="23" s="1"/>
  <c r="K540" i="23"/>
  <c r="I540" i="23"/>
  <c r="I306" i="23"/>
  <c r="J306" i="23" s="1"/>
  <c r="K338" i="23"/>
  <c r="K365" i="23"/>
  <c r="N364" i="23"/>
  <c r="U142" i="23" s="1"/>
  <c r="L376" i="23"/>
  <c r="K395" i="23"/>
  <c r="N424" i="23"/>
  <c r="W162" i="23" s="1"/>
  <c r="O435" i="23"/>
  <c r="C435" i="23" s="1"/>
  <c r="D457" i="23"/>
  <c r="N451" i="23"/>
  <c r="U172" i="23" s="1"/>
  <c r="K482" i="23"/>
  <c r="L523" i="23"/>
  <c r="K512" i="23"/>
  <c r="I512" i="23"/>
  <c r="D522" i="23"/>
  <c r="O579" i="23"/>
  <c r="G579" i="23" s="1"/>
  <c r="O580" i="23"/>
  <c r="O577" i="23"/>
  <c r="E369" i="23"/>
  <c r="E384" i="23"/>
  <c r="L436" i="23"/>
  <c r="K425" i="23"/>
  <c r="I425" i="23"/>
  <c r="H571" i="23"/>
  <c r="I572" i="23" s="1"/>
  <c r="AD35" i="23" s="1"/>
  <c r="K566" i="23"/>
  <c r="E341" i="23"/>
  <c r="C384" i="23"/>
  <c r="F433" i="23"/>
  <c r="E433" i="23"/>
  <c r="C433" i="23"/>
  <c r="H484" i="23"/>
  <c r="I485" i="23" s="1"/>
  <c r="AD32" i="23" s="1"/>
  <c r="C550" i="23"/>
  <c r="N566" i="23"/>
  <c r="T212" i="23" s="1"/>
  <c r="L577" i="23"/>
  <c r="D384" i="23"/>
  <c r="C413" i="23"/>
  <c r="C398" i="23"/>
  <c r="K483" i="23"/>
  <c r="E558" i="23"/>
  <c r="E543" i="23"/>
  <c r="D573" i="23"/>
  <c r="N567" i="23"/>
  <c r="U212" i="23" s="1"/>
  <c r="K336" i="23"/>
  <c r="K393" i="23"/>
  <c r="D413" i="23"/>
  <c r="D398" i="23"/>
  <c r="E407" i="23"/>
  <c r="C407" i="23"/>
  <c r="K422" i="23"/>
  <c r="I451" i="23"/>
  <c r="J451" i="23" s="1"/>
  <c r="G465" i="23"/>
  <c r="F465" i="23"/>
  <c r="E465" i="23"/>
  <c r="N483" i="23"/>
  <c r="X182" i="23" s="1"/>
  <c r="K538" i="23"/>
  <c r="L549" i="23"/>
  <c r="F551" i="23"/>
  <c r="G463" i="23"/>
  <c r="E494" i="23"/>
  <c r="D494" i="23"/>
  <c r="H542" i="23"/>
  <c r="I543" i="23" s="1"/>
  <c r="AD34" i="23" s="1"/>
  <c r="K454" i="23"/>
  <c r="G471" i="23"/>
  <c r="K479" i="23"/>
  <c r="C500" i="23"/>
  <c r="F558" i="23"/>
  <c r="G572" i="23"/>
  <c r="G587" i="23"/>
  <c r="L580" i="23"/>
  <c r="D587" i="23"/>
  <c r="E485" i="23"/>
  <c r="E515" i="23"/>
  <c r="C432" i="23"/>
  <c r="C463" i="23"/>
  <c r="K480" i="23"/>
  <c r="C494" i="23"/>
  <c r="E520" i="23"/>
  <c r="L548" i="23"/>
  <c r="K421" i="23"/>
  <c r="I480" i="23"/>
  <c r="J480" i="23" s="1"/>
  <c r="L491" i="23"/>
  <c r="F494" i="23"/>
  <c r="K539" i="23"/>
  <c r="O553" i="23"/>
  <c r="AS124" i="21"/>
  <c r="AM133" i="21"/>
  <c r="AO133" i="21"/>
  <c r="AT86" i="21"/>
  <c r="AL89" i="21"/>
  <c r="AU95" i="21"/>
  <c r="AP104" i="21"/>
  <c r="AW85" i="21"/>
  <c r="AN115" i="21" s="1"/>
  <c r="AU98" i="21"/>
  <c r="AR87" i="21"/>
  <c r="AS87" i="21" s="1"/>
  <c r="AN90" i="21"/>
  <c r="AT83" i="21"/>
  <c r="AP90" i="21"/>
  <c r="AR84" i="21"/>
  <c r="AS84" i="21" s="1"/>
  <c r="O549" i="21"/>
  <c r="O550" i="21"/>
  <c r="O552" i="21"/>
  <c r="O520" i="21"/>
  <c r="E520" i="21" s="1"/>
  <c r="O522" i="21"/>
  <c r="O492" i="21"/>
  <c r="O493" i="21"/>
  <c r="O494" i="21"/>
  <c r="AA183" i="21"/>
  <c r="O490" i="21"/>
  <c r="C494" i="21"/>
  <c r="F491" i="21"/>
  <c r="F433" i="21"/>
  <c r="G432" i="21"/>
  <c r="E375" i="21"/>
  <c r="F345" i="21"/>
  <c r="O347" i="21"/>
  <c r="O348" i="21"/>
  <c r="F348" i="21" s="1"/>
  <c r="O287" i="21"/>
  <c r="O288" i="21"/>
  <c r="O290" i="21"/>
  <c r="E290" i="21" s="1"/>
  <c r="O260" i="21"/>
  <c r="G261" i="21"/>
  <c r="O261" i="21"/>
  <c r="O262" i="21"/>
  <c r="AA103" i="21"/>
  <c r="O258" i="21"/>
  <c r="G262" i="21"/>
  <c r="O232" i="21"/>
  <c r="F231" i="21"/>
  <c r="O200" i="21"/>
  <c r="O171" i="21"/>
  <c r="G171" i="21" s="1"/>
  <c r="AA73" i="21"/>
  <c r="O143" i="21"/>
  <c r="F143" i="21" s="1"/>
  <c r="AA63" i="21"/>
  <c r="O144" i="21"/>
  <c r="O145" i="21"/>
  <c r="G142" i="21"/>
  <c r="O117" i="21"/>
  <c r="O84" i="21"/>
  <c r="O87" i="21"/>
  <c r="G87" i="21" s="1"/>
  <c r="O85" i="21"/>
  <c r="O88" i="21"/>
  <c r="AA43" i="21"/>
  <c r="G85" i="21"/>
  <c r="D27" i="21"/>
  <c r="O28" i="21"/>
  <c r="O29" i="21"/>
  <c r="O30" i="21"/>
  <c r="G30" i="21" s="1"/>
  <c r="C572" i="21"/>
  <c r="N566" i="21" s="1"/>
  <c r="T212" i="21" s="1"/>
  <c r="I568" i="21"/>
  <c r="F572" i="21"/>
  <c r="F573" i="21" s="1"/>
  <c r="K569" i="21"/>
  <c r="E558" i="21"/>
  <c r="G558" i="21"/>
  <c r="K510" i="21"/>
  <c r="K512" i="21"/>
  <c r="L523" i="21"/>
  <c r="I480" i="21"/>
  <c r="J480" i="21" s="1"/>
  <c r="L493" i="21"/>
  <c r="I482" i="21"/>
  <c r="J482" i="21" s="1"/>
  <c r="D485" i="21"/>
  <c r="C485" i="21"/>
  <c r="C486" i="21" s="1"/>
  <c r="E485" i="21"/>
  <c r="N482" i="21"/>
  <c r="W182" i="21" s="1"/>
  <c r="L490" i="21"/>
  <c r="I483" i="21"/>
  <c r="J483" i="21" s="1"/>
  <c r="K483" i="21"/>
  <c r="G491" i="21"/>
  <c r="F500" i="21"/>
  <c r="K479" i="21"/>
  <c r="L462" i="21"/>
  <c r="L464" i="21"/>
  <c r="I454" i="21"/>
  <c r="J454" i="21" s="1"/>
  <c r="L465" i="21"/>
  <c r="K451" i="21"/>
  <c r="N451" i="21"/>
  <c r="U172" i="21" s="1"/>
  <c r="J421" i="21"/>
  <c r="K422" i="21"/>
  <c r="C442" i="21"/>
  <c r="I423" i="21"/>
  <c r="J423" i="21" s="1"/>
  <c r="K423" i="21"/>
  <c r="C433" i="21"/>
  <c r="H426" i="21"/>
  <c r="I427" i="21" s="1"/>
  <c r="AD30" i="21" s="1"/>
  <c r="N396" i="21"/>
  <c r="X152" i="21" s="1"/>
  <c r="I393" i="21"/>
  <c r="J393" i="21" s="1"/>
  <c r="C398" i="21"/>
  <c r="I394" i="21"/>
  <c r="J394" i="21" s="1"/>
  <c r="K395" i="21"/>
  <c r="K396" i="21"/>
  <c r="E413" i="21"/>
  <c r="I392" i="21"/>
  <c r="J392" i="21" s="1"/>
  <c r="F413" i="21"/>
  <c r="I364" i="21"/>
  <c r="J364" i="21" s="1"/>
  <c r="K363" i="21"/>
  <c r="K364" i="21"/>
  <c r="E378" i="21"/>
  <c r="D369" i="21"/>
  <c r="N364" i="21" s="1"/>
  <c r="U142" i="21" s="1"/>
  <c r="C375" i="21"/>
  <c r="H375" i="21" s="1"/>
  <c r="G349" i="21"/>
  <c r="E349" i="21"/>
  <c r="C349" i="21"/>
  <c r="D345" i="21"/>
  <c r="I338" i="21"/>
  <c r="J338" i="21" s="1"/>
  <c r="K308" i="21"/>
  <c r="I306" i="21"/>
  <c r="J306" i="21" s="1"/>
  <c r="F311" i="21"/>
  <c r="F312" i="21" s="1"/>
  <c r="I305" i="21"/>
  <c r="J305" i="21" s="1"/>
  <c r="K306" i="21"/>
  <c r="G311" i="21"/>
  <c r="G312" i="21" s="1"/>
  <c r="H310" i="21"/>
  <c r="I311" i="21" s="1"/>
  <c r="AD26" i="21" s="1"/>
  <c r="K305" i="21"/>
  <c r="H281" i="21"/>
  <c r="I282" i="21" s="1"/>
  <c r="AD25" i="21" s="1"/>
  <c r="K279" i="21"/>
  <c r="L288" i="21"/>
  <c r="I277" i="21"/>
  <c r="K251" i="21"/>
  <c r="L260" i="21"/>
  <c r="E260" i="21" s="1"/>
  <c r="C261" i="21"/>
  <c r="E261" i="21"/>
  <c r="D262" i="21"/>
  <c r="K249" i="21"/>
  <c r="G253" i="21"/>
  <c r="H223" i="21"/>
  <c r="I224" i="21" s="1"/>
  <c r="AD23" i="21" s="1"/>
  <c r="I218" i="21"/>
  <c r="J218" i="21" s="1"/>
  <c r="F224" i="21"/>
  <c r="F225" i="21" s="1"/>
  <c r="I189" i="21"/>
  <c r="J189" i="21" s="1"/>
  <c r="K192" i="21"/>
  <c r="I193" i="21"/>
  <c r="J193" i="21" s="1"/>
  <c r="K193" i="21"/>
  <c r="C171" i="21"/>
  <c r="E171" i="21"/>
  <c r="I160" i="21"/>
  <c r="J160" i="21" s="1"/>
  <c r="C181" i="21"/>
  <c r="K161" i="21"/>
  <c r="L172" i="21"/>
  <c r="I131" i="21"/>
  <c r="J131" i="21" s="1"/>
  <c r="I135" i="21"/>
  <c r="J135" i="21" s="1"/>
  <c r="I132" i="21"/>
  <c r="J132" i="21" s="1"/>
  <c r="D142" i="21"/>
  <c r="N134" i="21"/>
  <c r="W62" i="21" s="1"/>
  <c r="D109" i="21"/>
  <c r="D123" i="21"/>
  <c r="K104" i="21"/>
  <c r="E108" i="21"/>
  <c r="E109" i="21" s="1"/>
  <c r="I105" i="21"/>
  <c r="J105" i="21" s="1"/>
  <c r="I103" i="21"/>
  <c r="J103" i="21" s="1"/>
  <c r="K105" i="21"/>
  <c r="N76" i="21"/>
  <c r="W42" i="21" s="1"/>
  <c r="L88" i="21"/>
  <c r="G88" i="21" s="1"/>
  <c r="I74" i="21"/>
  <c r="J74" i="21" s="1"/>
  <c r="K74" i="21"/>
  <c r="D79" i="21"/>
  <c r="D80" i="21" s="1"/>
  <c r="L59" i="21"/>
  <c r="F59" i="21" s="1"/>
  <c r="E50" i="21"/>
  <c r="E51" i="21" s="1"/>
  <c r="I48" i="21"/>
  <c r="J48" i="21" s="1"/>
  <c r="N16" i="21"/>
  <c r="U22" i="21" s="1"/>
  <c r="E21" i="21"/>
  <c r="E22" i="21" s="1"/>
  <c r="K17" i="21"/>
  <c r="I16" i="21"/>
  <c r="J16" i="21" s="1"/>
  <c r="K19" i="21"/>
  <c r="K16" i="21"/>
  <c r="C29" i="21"/>
  <c r="G29" i="21"/>
  <c r="F29" i="21"/>
  <c r="E29" i="21"/>
  <c r="D29" i="21"/>
  <c r="G26" i="21"/>
  <c r="F26" i="21"/>
  <c r="E26" i="21"/>
  <c r="D26" i="21"/>
  <c r="C26" i="21"/>
  <c r="N17" i="21"/>
  <c r="V22" i="21" s="1"/>
  <c r="J17" i="21"/>
  <c r="I19" i="21"/>
  <c r="J19" i="21" s="1"/>
  <c r="H20" i="21"/>
  <c r="I21" i="21" s="1"/>
  <c r="AD16" i="21" s="1"/>
  <c r="X288" i="21"/>
  <c r="X289" i="21" s="1"/>
  <c r="X287" i="21"/>
  <c r="X226" i="21"/>
  <c r="E27" i="21"/>
  <c r="K46" i="21"/>
  <c r="I46" i="21"/>
  <c r="E85" i="21"/>
  <c r="D85" i="21"/>
  <c r="C85" i="21"/>
  <c r="F85" i="21"/>
  <c r="AL90" i="21"/>
  <c r="N105" i="21"/>
  <c r="W52" i="21" s="1"/>
  <c r="F27" i="21"/>
  <c r="L28" i="21"/>
  <c r="O58" i="21"/>
  <c r="O55" i="21"/>
  <c r="E55" i="21" s="1"/>
  <c r="O57" i="21"/>
  <c r="G57" i="21" s="1"/>
  <c r="O59" i="21"/>
  <c r="E88" i="21"/>
  <c r="AO95" i="21"/>
  <c r="AN95" i="21"/>
  <c r="AS116" i="21"/>
  <c r="AX97" i="21"/>
  <c r="AN97" i="21" s="1"/>
  <c r="AX94" i="21"/>
  <c r="AX95" i="21"/>
  <c r="AP95" i="21" s="1"/>
  <c r="AX96" i="21"/>
  <c r="AO96" i="21" s="1"/>
  <c r="AX98" i="21"/>
  <c r="G347" i="21"/>
  <c r="F347" i="21"/>
  <c r="F351" i="21" s="1"/>
  <c r="W127" i="21" s="1"/>
  <c r="W135" i="21" s="1"/>
  <c r="E347" i="21"/>
  <c r="D347" i="21"/>
  <c r="C347" i="21"/>
  <c r="G27" i="21"/>
  <c r="AM97" i="21"/>
  <c r="AL97" i="21"/>
  <c r="AO97" i="21"/>
  <c r="L144" i="21"/>
  <c r="K133" i="21"/>
  <c r="I133" i="21"/>
  <c r="J133" i="21" s="1"/>
  <c r="L58" i="21"/>
  <c r="K47" i="21"/>
  <c r="H78" i="21"/>
  <c r="I79" i="21" s="1"/>
  <c r="AD18" i="21" s="1"/>
  <c r="L84" i="21"/>
  <c r="K73" i="21"/>
  <c r="I73" i="21"/>
  <c r="J73" i="21" s="1"/>
  <c r="K106" i="21"/>
  <c r="I106" i="21"/>
  <c r="J106" i="21" s="1"/>
  <c r="L117" i="21"/>
  <c r="C3" i="21"/>
  <c r="B9" i="21"/>
  <c r="I18" i="21"/>
  <c r="J18" i="21" s="1"/>
  <c r="C21" i="21"/>
  <c r="I47" i="21"/>
  <c r="J47" i="21" s="1"/>
  <c r="L86" i="21"/>
  <c r="K75" i="21"/>
  <c r="I75" i="21"/>
  <c r="C30" i="21"/>
  <c r="O31" i="21"/>
  <c r="H107" i="21"/>
  <c r="I108" i="21" s="1"/>
  <c r="AD19" i="21" s="1"/>
  <c r="K102" i="21"/>
  <c r="L113" i="21"/>
  <c r="I102" i="21"/>
  <c r="C4" i="21"/>
  <c r="E4" i="21" s="1"/>
  <c r="K18" i="21"/>
  <c r="D30" i="21"/>
  <c r="AP97" i="21"/>
  <c r="G115" i="21"/>
  <c r="F115" i="21"/>
  <c r="E115" i="21"/>
  <c r="C115" i="21"/>
  <c r="D115" i="21"/>
  <c r="F268" i="21"/>
  <c r="F253" i="21"/>
  <c r="F21" i="21"/>
  <c r="E30" i="21"/>
  <c r="G65" i="21"/>
  <c r="G50" i="21"/>
  <c r="C87" i="21"/>
  <c r="G21" i="21"/>
  <c r="T287" i="21"/>
  <c r="T226" i="21"/>
  <c r="T288" i="21"/>
  <c r="T289" i="21" s="1"/>
  <c r="F30" i="21"/>
  <c r="L56" i="21"/>
  <c r="K45" i="21"/>
  <c r="I45" i="21"/>
  <c r="H49" i="21"/>
  <c r="I50" i="21" s="1"/>
  <c r="AD17" i="21" s="1"/>
  <c r="G59" i="21"/>
  <c r="N161" i="21"/>
  <c r="U72" i="21" s="1"/>
  <c r="J161" i="21"/>
  <c r="U226" i="21"/>
  <c r="U288" i="21"/>
  <c r="U289" i="21" s="1"/>
  <c r="U287" i="21"/>
  <c r="AA33" i="21"/>
  <c r="F57" i="21"/>
  <c r="E57" i="21"/>
  <c r="D57" i="21"/>
  <c r="C57" i="21"/>
  <c r="G114" i="21"/>
  <c r="F114" i="21"/>
  <c r="E114" i="21"/>
  <c r="D114" i="21"/>
  <c r="N132" i="21"/>
  <c r="U62" i="21" s="1"/>
  <c r="D138" i="21"/>
  <c r="C27" i="21"/>
  <c r="H27" i="21" s="1"/>
  <c r="I27" i="21" s="1"/>
  <c r="C55" i="21"/>
  <c r="G55" i="21"/>
  <c r="W287" i="21"/>
  <c r="W288" i="21"/>
  <c r="W289" i="21" s="1"/>
  <c r="W226" i="21"/>
  <c r="G116" i="21"/>
  <c r="E116" i="21"/>
  <c r="F116" i="21"/>
  <c r="D116" i="21"/>
  <c r="C116" i="21"/>
  <c r="AM123" i="21"/>
  <c r="AO123" i="21"/>
  <c r="E137" i="21"/>
  <c r="E152" i="21"/>
  <c r="G166" i="21"/>
  <c r="G181" i="21"/>
  <c r="N135" i="21"/>
  <c r="X62" i="21" s="1"/>
  <c r="F167" i="21"/>
  <c r="L202" i="21"/>
  <c r="I191" i="21"/>
  <c r="J191" i="21" s="1"/>
  <c r="H194" i="21"/>
  <c r="I195" i="21" s="1"/>
  <c r="AD22" i="21" s="1"/>
  <c r="K191" i="21"/>
  <c r="N189" i="21"/>
  <c r="T82" i="21" s="1"/>
  <c r="C196" i="21"/>
  <c r="N74" i="21"/>
  <c r="U42" i="21" s="1"/>
  <c r="C79" i="21"/>
  <c r="D88" i="21"/>
  <c r="E196" i="21"/>
  <c r="AU94" i="21"/>
  <c r="G239" i="21"/>
  <c r="G224" i="21"/>
  <c r="C50" i="21"/>
  <c r="AR83" i="21"/>
  <c r="AS83" i="21" s="1"/>
  <c r="D87" i="21"/>
  <c r="AO89" i="21"/>
  <c r="G138" i="21"/>
  <c r="L173" i="21"/>
  <c r="K162" i="21"/>
  <c r="I162" i="21"/>
  <c r="J162" i="21" s="1"/>
  <c r="G196" i="21"/>
  <c r="N193" i="21"/>
  <c r="X82" i="21" s="1"/>
  <c r="E87" i="21"/>
  <c r="K103" i="21"/>
  <c r="K164" i="21"/>
  <c r="I77" i="21"/>
  <c r="F87" i="21"/>
  <c r="C167" i="21"/>
  <c r="V288" i="21"/>
  <c r="V289" i="21" s="1"/>
  <c r="V287" i="21"/>
  <c r="V226" i="21"/>
  <c r="F50" i="21"/>
  <c r="O89" i="21"/>
  <c r="I104" i="21"/>
  <c r="G108" i="21"/>
  <c r="AL123" i="21"/>
  <c r="G143" i="21"/>
  <c r="E143" i="21"/>
  <c r="K163" i="21"/>
  <c r="I163" i="21"/>
  <c r="J163" i="21" s="1"/>
  <c r="L174" i="21"/>
  <c r="G200" i="21"/>
  <c r="F200" i="21"/>
  <c r="D200" i="21"/>
  <c r="E200" i="21"/>
  <c r="C200" i="21"/>
  <c r="AN123" i="21"/>
  <c r="C152" i="21"/>
  <c r="C137" i="21"/>
  <c r="E181" i="21"/>
  <c r="E166" i="21"/>
  <c r="AL133" i="21"/>
  <c r="C142" i="21"/>
  <c r="L232" i="21"/>
  <c r="K221" i="21"/>
  <c r="I221" i="21"/>
  <c r="J221" i="21" s="1"/>
  <c r="AL128" i="21"/>
  <c r="AN133" i="21"/>
  <c r="E142" i="21"/>
  <c r="L145" i="21"/>
  <c r="G152" i="21"/>
  <c r="D171" i="21"/>
  <c r="O175" i="21"/>
  <c r="D175" i="21" s="1"/>
  <c r="E210" i="21"/>
  <c r="AN128" i="21"/>
  <c r="H165" i="21"/>
  <c r="I166" i="21" s="1"/>
  <c r="AD21" i="21" s="1"/>
  <c r="K222" i="21"/>
  <c r="I222" i="21"/>
  <c r="J222" i="21" s="1"/>
  <c r="C225" i="21"/>
  <c r="N218" i="21"/>
  <c r="T92" i="21" s="1"/>
  <c r="L230" i="21"/>
  <c r="E239" i="21"/>
  <c r="O118" i="21"/>
  <c r="AO128" i="21"/>
  <c r="K189" i="21"/>
  <c r="K219" i="21"/>
  <c r="C231" i="21"/>
  <c r="K247" i="21"/>
  <c r="I247" i="21"/>
  <c r="L258" i="21"/>
  <c r="G254" i="21"/>
  <c r="H136" i="21"/>
  <c r="I137" i="21" s="1"/>
  <c r="AD20" i="21" s="1"/>
  <c r="D204" i="21"/>
  <c r="E201" i="21"/>
  <c r="D201" i="21"/>
  <c r="G201" i="21"/>
  <c r="N277" i="21"/>
  <c r="U112" i="21" s="1"/>
  <c r="J277" i="21"/>
  <c r="O146" i="21"/>
  <c r="K220" i="21"/>
  <c r="I220" i="21"/>
  <c r="J220" i="21" s="1"/>
  <c r="E231" i="21"/>
  <c r="D231" i="21"/>
  <c r="G231" i="21"/>
  <c r="C233" i="21"/>
  <c r="L289" i="21"/>
  <c r="K278" i="21"/>
  <c r="I278" i="21"/>
  <c r="J278" i="21" s="1"/>
  <c r="K160" i="21"/>
  <c r="O172" i="21"/>
  <c r="N190" i="21"/>
  <c r="U82" i="21" s="1"/>
  <c r="D196" i="21"/>
  <c r="N219" i="21"/>
  <c r="U92" i="21" s="1"/>
  <c r="O292" i="21"/>
  <c r="G204" i="21"/>
  <c r="E204" i="21"/>
  <c r="C204" i="21"/>
  <c r="E225" i="21"/>
  <c r="I248" i="21"/>
  <c r="J248" i="21" s="1"/>
  <c r="L259" i="21"/>
  <c r="I276" i="21"/>
  <c r="J276" i="21" s="1"/>
  <c r="F290" i="21"/>
  <c r="C290" i="21"/>
  <c r="L287" i="21"/>
  <c r="G346" i="21"/>
  <c r="G351" i="21" s="1"/>
  <c r="X127" i="21" s="1"/>
  <c r="X135" i="21" s="1"/>
  <c r="F346" i="21"/>
  <c r="E346" i="21"/>
  <c r="D346" i="21"/>
  <c r="D350" i="21" s="1"/>
  <c r="U126" i="21" s="1"/>
  <c r="U134" i="21" s="1"/>
  <c r="U242" i="21" s="1"/>
  <c r="C346" i="21"/>
  <c r="D210" i="21"/>
  <c r="C262" i="21"/>
  <c r="K276" i="21"/>
  <c r="D290" i="21"/>
  <c r="G348" i="21"/>
  <c r="G350" i="21" s="1"/>
  <c r="X126" i="21" s="1"/>
  <c r="X134" i="21" s="1"/>
  <c r="X242" i="21" s="1"/>
  <c r="D348" i="21"/>
  <c r="F544" i="21"/>
  <c r="O203" i="21"/>
  <c r="G203" i="21" s="1"/>
  <c r="F210" i="21"/>
  <c r="O233" i="21"/>
  <c r="D261" i="21"/>
  <c r="E262" i="21"/>
  <c r="N279" i="21"/>
  <c r="W112" i="21" s="1"/>
  <c r="C282" i="21"/>
  <c r="G290" i="21"/>
  <c r="D253" i="21"/>
  <c r="F262" i="21"/>
  <c r="C288" i="21"/>
  <c r="O229" i="21"/>
  <c r="F229" i="21" s="1"/>
  <c r="O230" i="21"/>
  <c r="I251" i="21"/>
  <c r="J251" i="21" s="1"/>
  <c r="E253" i="21"/>
  <c r="F261" i="21"/>
  <c r="D288" i="21"/>
  <c r="F405" i="21"/>
  <c r="I192" i="21"/>
  <c r="J192" i="21" s="1"/>
  <c r="E297" i="21"/>
  <c r="E282" i="21"/>
  <c r="F288" i="21"/>
  <c r="L291" i="21"/>
  <c r="I280" i="21"/>
  <c r="J280" i="21" s="1"/>
  <c r="C320" i="21"/>
  <c r="G320" i="21"/>
  <c r="F320" i="21"/>
  <c r="E320" i="21"/>
  <c r="D320" i="21"/>
  <c r="K250" i="21"/>
  <c r="K280" i="21"/>
  <c r="N308" i="21"/>
  <c r="W122" i="21" s="1"/>
  <c r="C311" i="21"/>
  <c r="N334" i="21"/>
  <c r="T132" i="21" s="1"/>
  <c r="I337" i="21"/>
  <c r="O350" i="21"/>
  <c r="F384" i="21"/>
  <c r="F369" i="21"/>
  <c r="C376" i="21"/>
  <c r="G377" i="21"/>
  <c r="F377" i="21"/>
  <c r="D377" i="21"/>
  <c r="G399" i="21"/>
  <c r="O403" i="21"/>
  <c r="O404" i="21"/>
  <c r="E404" i="21" s="1"/>
  <c r="O405" i="21"/>
  <c r="O407" i="21"/>
  <c r="E432" i="21"/>
  <c r="C434" i="21"/>
  <c r="H484" i="21"/>
  <c r="I485" i="21" s="1"/>
  <c r="AD32" i="21" s="1"/>
  <c r="G492" i="21"/>
  <c r="F492" i="21"/>
  <c r="E492" i="21"/>
  <c r="C492" i="21"/>
  <c r="K511" i="21"/>
  <c r="I511" i="21"/>
  <c r="J511" i="21" s="1"/>
  <c r="K538" i="21"/>
  <c r="D558" i="21"/>
  <c r="D543" i="21"/>
  <c r="N569" i="21"/>
  <c r="W212" i="21" s="1"/>
  <c r="O581" i="21"/>
  <c r="O580" i="21"/>
  <c r="O579" i="21"/>
  <c r="O578" i="21"/>
  <c r="O577" i="21"/>
  <c r="E434" i="21"/>
  <c r="L581" i="21"/>
  <c r="I570" i="21"/>
  <c r="J570" i="21" s="1"/>
  <c r="K570" i="21"/>
  <c r="N306" i="21"/>
  <c r="U122" i="21" s="1"/>
  <c r="I309" i="21"/>
  <c r="E311" i="21"/>
  <c r="I335" i="21"/>
  <c r="K337" i="21"/>
  <c r="H339" i="21"/>
  <c r="I340" i="21" s="1"/>
  <c r="AD27" i="21" s="1"/>
  <c r="C345" i="21"/>
  <c r="D349" i="21"/>
  <c r="H368" i="21"/>
  <c r="I369" i="21" s="1"/>
  <c r="AD28" i="21" s="1"/>
  <c r="O406" i="21"/>
  <c r="G406" i="21" s="1"/>
  <c r="D442" i="21"/>
  <c r="N454" i="21"/>
  <c r="X172" i="21" s="1"/>
  <c r="N480" i="21"/>
  <c r="U182" i="21" s="1"/>
  <c r="D486" i="21"/>
  <c r="L522" i="21"/>
  <c r="D529" i="21"/>
  <c r="I539" i="21"/>
  <c r="J539" i="21" s="1"/>
  <c r="L550" i="21"/>
  <c r="K539" i="21"/>
  <c r="D548" i="21"/>
  <c r="C548" i="21"/>
  <c r="G548" i="21"/>
  <c r="F548" i="21"/>
  <c r="G282" i="21"/>
  <c r="L374" i="21"/>
  <c r="D399" i="21"/>
  <c r="N393" i="21"/>
  <c r="U152" i="21" s="1"/>
  <c r="D434" i="21"/>
  <c r="F434" i="21"/>
  <c r="D432" i="21"/>
  <c r="C432" i="21"/>
  <c r="F432" i="21"/>
  <c r="F442" i="21"/>
  <c r="C456" i="21"/>
  <c r="C471" i="21"/>
  <c r="G464" i="21"/>
  <c r="N481" i="21"/>
  <c r="V182" i="21" s="1"/>
  <c r="I508" i="21"/>
  <c r="J508" i="21" s="1"/>
  <c r="H513" i="21"/>
  <c r="I514" i="21" s="1"/>
  <c r="AD33" i="21" s="1"/>
  <c r="K508" i="21"/>
  <c r="L578" i="21"/>
  <c r="K567" i="21"/>
  <c r="I307" i="21"/>
  <c r="J307" i="21" s="1"/>
  <c r="K309" i="21"/>
  <c r="K335" i="21"/>
  <c r="E345" i="21"/>
  <c r="F349" i="21"/>
  <c r="I363" i="21"/>
  <c r="J363" i="21" s="1"/>
  <c r="O379" i="21"/>
  <c r="K393" i="21"/>
  <c r="G413" i="21"/>
  <c r="K452" i="21"/>
  <c r="N479" i="21"/>
  <c r="T182" i="21" s="1"/>
  <c r="E494" i="21"/>
  <c r="G494" i="21"/>
  <c r="G485" i="21"/>
  <c r="I567" i="21"/>
  <c r="C326" i="21"/>
  <c r="E340" i="21"/>
  <c r="G376" i="21"/>
  <c r="F376" i="21"/>
  <c r="D376" i="21"/>
  <c r="E486" i="21"/>
  <c r="C493" i="21"/>
  <c r="G493" i="21"/>
  <c r="E493" i="21"/>
  <c r="K307" i="21"/>
  <c r="G378" i="21"/>
  <c r="F378" i="21"/>
  <c r="D378" i="21"/>
  <c r="E491" i="21"/>
  <c r="D491" i="21"/>
  <c r="C491" i="21"/>
  <c r="G520" i="21"/>
  <c r="F520" i="21"/>
  <c r="L519" i="21"/>
  <c r="D552" i="21"/>
  <c r="C552" i="21"/>
  <c r="O553" i="21"/>
  <c r="I336" i="21"/>
  <c r="J336" i="21" s="1"/>
  <c r="K338" i="21"/>
  <c r="G340" i="21"/>
  <c r="K367" i="21"/>
  <c r="I367" i="21"/>
  <c r="C377" i="21"/>
  <c r="H397" i="21"/>
  <c r="I398" i="21" s="1"/>
  <c r="AD29" i="21" s="1"/>
  <c r="G405" i="21"/>
  <c r="K509" i="21"/>
  <c r="E514" i="21"/>
  <c r="E529" i="21"/>
  <c r="I541" i="21"/>
  <c r="J541" i="21" s="1"/>
  <c r="L549" i="21"/>
  <c r="F579" i="21"/>
  <c r="L318" i="21"/>
  <c r="L319" i="21"/>
  <c r="E377" i="21"/>
  <c r="L407" i="21"/>
  <c r="I424" i="21"/>
  <c r="J424" i="21" s="1"/>
  <c r="L435" i="21"/>
  <c r="K424" i="21"/>
  <c r="D428" i="21"/>
  <c r="E552" i="21"/>
  <c r="N568" i="21"/>
  <c r="V212" i="21" s="1"/>
  <c r="J568" i="21"/>
  <c r="G587" i="21"/>
  <c r="G572" i="21"/>
  <c r="O316" i="21"/>
  <c r="C316" i="21" s="1"/>
  <c r="O317" i="21"/>
  <c r="D317" i="21" s="1"/>
  <c r="O318" i="21"/>
  <c r="O319" i="21"/>
  <c r="K336" i="21"/>
  <c r="C384" i="21"/>
  <c r="C369" i="21"/>
  <c r="I395" i="21"/>
  <c r="J395" i="21" s="1"/>
  <c r="E398" i="21"/>
  <c r="K421" i="21"/>
  <c r="D433" i="21"/>
  <c r="E433" i="21"/>
  <c r="G433" i="21"/>
  <c r="E456" i="21"/>
  <c r="L463" i="21"/>
  <c r="K481" i="21"/>
  <c r="I481" i="21"/>
  <c r="J481" i="21" s="1"/>
  <c r="D492" i="21"/>
  <c r="D494" i="21"/>
  <c r="G529" i="21"/>
  <c r="G514" i="21"/>
  <c r="G523" i="21"/>
  <c r="F523" i="21"/>
  <c r="E523" i="21"/>
  <c r="D523" i="21"/>
  <c r="C523" i="21"/>
  <c r="H542" i="21"/>
  <c r="I543" i="21" s="1"/>
  <c r="AD34" i="21" s="1"/>
  <c r="K537" i="21"/>
  <c r="I537" i="21"/>
  <c r="K541" i="21"/>
  <c r="F552" i="21"/>
  <c r="H571" i="21"/>
  <c r="I572" i="21" s="1"/>
  <c r="AD35" i="21" s="1"/>
  <c r="G375" i="21"/>
  <c r="F375" i="21"/>
  <c r="D375" i="21"/>
  <c r="F404" i="21"/>
  <c r="F406" i="21"/>
  <c r="K425" i="21"/>
  <c r="L436" i="21"/>
  <c r="I425" i="21"/>
  <c r="F428" i="21"/>
  <c r="E461" i="21"/>
  <c r="F457" i="21"/>
  <c r="N453" i="21"/>
  <c r="W172" i="21" s="1"/>
  <c r="F494" i="21"/>
  <c r="C514" i="21"/>
  <c r="D520" i="21"/>
  <c r="E548" i="21"/>
  <c r="G552" i="21"/>
  <c r="C573" i="21"/>
  <c r="E384" i="21"/>
  <c r="E369" i="21"/>
  <c r="G442" i="21"/>
  <c r="O495" i="21"/>
  <c r="K453" i="21"/>
  <c r="H455" i="21"/>
  <c r="I456" i="21" s="1"/>
  <c r="AD31" i="21" s="1"/>
  <c r="O465" i="21"/>
  <c r="O464" i="21"/>
  <c r="O463" i="21"/>
  <c r="O462" i="21"/>
  <c r="O461" i="21"/>
  <c r="O521" i="21"/>
  <c r="D521" i="21" s="1"/>
  <c r="K540" i="21"/>
  <c r="L551" i="21"/>
  <c r="D579" i="21"/>
  <c r="I509" i="21"/>
  <c r="J509" i="21" s="1"/>
  <c r="F529" i="21"/>
  <c r="I540" i="21"/>
  <c r="J540" i="21" s="1"/>
  <c r="C558" i="21"/>
  <c r="K568" i="21"/>
  <c r="E579" i="21"/>
  <c r="L577" i="21"/>
  <c r="K566" i="21"/>
  <c r="L580" i="21"/>
  <c r="AS119" i="20"/>
  <c r="AM123" i="20"/>
  <c r="AN123" i="20"/>
  <c r="AS116" i="20"/>
  <c r="AO96" i="20"/>
  <c r="AX94" i="20"/>
  <c r="AX99" i="20" s="1"/>
  <c r="AX95" i="20"/>
  <c r="AX96" i="20"/>
  <c r="AP96" i="20" s="1"/>
  <c r="AX97" i="20"/>
  <c r="AP89" i="20"/>
  <c r="AP90" i="20" s="1"/>
  <c r="AT86" i="20"/>
  <c r="AN89" i="20"/>
  <c r="AN90" i="20" s="1"/>
  <c r="AT84" i="20"/>
  <c r="AU95" i="20"/>
  <c r="AL95" i="20" s="1"/>
  <c r="AR84" i="20"/>
  <c r="AS84" i="20" s="1"/>
  <c r="AP98" i="20"/>
  <c r="AL98" i="20"/>
  <c r="AR87" i="20"/>
  <c r="AS87" i="20" s="1"/>
  <c r="AO104" i="20"/>
  <c r="AN95" i="20"/>
  <c r="AT85" i="20"/>
  <c r="AL96" i="20"/>
  <c r="O577" i="20"/>
  <c r="O579" i="20"/>
  <c r="AA213" i="20"/>
  <c r="O580" i="20"/>
  <c r="AA203" i="20"/>
  <c r="E523" i="20"/>
  <c r="AA193" i="20"/>
  <c r="AA183" i="20"/>
  <c r="O490" i="20"/>
  <c r="O461" i="20"/>
  <c r="E461" i="20" s="1"/>
  <c r="O462" i="20"/>
  <c r="E462" i="20" s="1"/>
  <c r="E463" i="20"/>
  <c r="AA163" i="20"/>
  <c r="O432" i="20"/>
  <c r="F432" i="20" s="1"/>
  <c r="O433" i="20"/>
  <c r="D433" i="20" s="1"/>
  <c r="F433" i="20"/>
  <c r="O434" i="20"/>
  <c r="O377" i="20"/>
  <c r="G375" i="20"/>
  <c r="O378" i="20"/>
  <c r="G320" i="20"/>
  <c r="AA113" i="20"/>
  <c r="O287" i="20"/>
  <c r="F288" i="20"/>
  <c r="O289" i="20"/>
  <c r="C289" i="20"/>
  <c r="O290" i="20"/>
  <c r="AA103" i="20"/>
  <c r="O230" i="20"/>
  <c r="O234" i="20" s="1"/>
  <c r="F229" i="20"/>
  <c r="AA83" i="20"/>
  <c r="O201" i="20"/>
  <c r="O174" i="20"/>
  <c r="AA73" i="20"/>
  <c r="O171" i="20"/>
  <c r="O172" i="20"/>
  <c r="O144" i="20"/>
  <c r="C144" i="20" s="1"/>
  <c r="O143" i="20"/>
  <c r="E144" i="20"/>
  <c r="O114" i="20"/>
  <c r="O113" i="20"/>
  <c r="AA33" i="20"/>
  <c r="O55" i="20"/>
  <c r="O26" i="20"/>
  <c r="O29" i="20"/>
  <c r="I566" i="20"/>
  <c r="J566" i="20" s="1"/>
  <c r="K566" i="20"/>
  <c r="C572" i="20"/>
  <c r="D572" i="20"/>
  <c r="I538" i="20"/>
  <c r="J538" i="20" s="1"/>
  <c r="K538" i="20"/>
  <c r="C543" i="20"/>
  <c r="D543" i="20"/>
  <c r="E543" i="20"/>
  <c r="E544" i="20" s="1"/>
  <c r="F543" i="20"/>
  <c r="K540" i="20"/>
  <c r="I537" i="20"/>
  <c r="J537" i="20" s="1"/>
  <c r="E514" i="20"/>
  <c r="E515" i="20" s="1"/>
  <c r="K509" i="20"/>
  <c r="F514" i="20"/>
  <c r="G514" i="20"/>
  <c r="K511" i="20"/>
  <c r="K512" i="20"/>
  <c r="C500" i="20"/>
  <c r="I481" i="20"/>
  <c r="J481" i="20" s="1"/>
  <c r="L494" i="20"/>
  <c r="E464" i="20"/>
  <c r="N453" i="20"/>
  <c r="W172" i="20" s="1"/>
  <c r="G471" i="20"/>
  <c r="N450" i="20"/>
  <c r="T172" i="20" s="1"/>
  <c r="H426" i="20"/>
  <c r="I427" i="20" s="1"/>
  <c r="AD30" i="20" s="1"/>
  <c r="G433" i="20"/>
  <c r="K422" i="20"/>
  <c r="I422" i="20"/>
  <c r="J422" i="20" s="1"/>
  <c r="I424" i="20"/>
  <c r="J424" i="20" s="1"/>
  <c r="C427" i="20"/>
  <c r="E442" i="20"/>
  <c r="D427" i="20"/>
  <c r="N422" i="20" s="1"/>
  <c r="U162" i="20" s="1"/>
  <c r="K424" i="20"/>
  <c r="F427" i="20"/>
  <c r="G398" i="20"/>
  <c r="E413" i="20"/>
  <c r="K366" i="20"/>
  <c r="L376" i="20"/>
  <c r="H368" i="20"/>
  <c r="I369" i="20" s="1"/>
  <c r="AD28" i="20" s="1"/>
  <c r="C369" i="20"/>
  <c r="D346" i="20"/>
  <c r="G346" i="20"/>
  <c r="F346" i="20"/>
  <c r="C346" i="20"/>
  <c r="G340" i="20"/>
  <c r="G341" i="20" s="1"/>
  <c r="L345" i="20"/>
  <c r="L349" i="20"/>
  <c r="I338" i="20"/>
  <c r="N338" i="20" s="1"/>
  <c r="X132" i="20" s="1"/>
  <c r="I335" i="20"/>
  <c r="F355" i="20"/>
  <c r="K335" i="20"/>
  <c r="E340" i="20"/>
  <c r="E341" i="20" s="1"/>
  <c r="H339" i="20"/>
  <c r="I340" i="20" s="1"/>
  <c r="AD27" i="20" s="1"/>
  <c r="G312" i="20"/>
  <c r="N309" i="20"/>
  <c r="X122" i="20" s="1"/>
  <c r="I309" i="20"/>
  <c r="J309" i="20" s="1"/>
  <c r="I306" i="20"/>
  <c r="J306" i="20" s="1"/>
  <c r="G326" i="20"/>
  <c r="E311" i="20"/>
  <c r="E312" i="20" s="1"/>
  <c r="G288" i="20"/>
  <c r="H281" i="20"/>
  <c r="I282" i="20" s="1"/>
  <c r="AD25" i="20" s="1"/>
  <c r="C282" i="20"/>
  <c r="K277" i="20"/>
  <c r="I277" i="20"/>
  <c r="F282" i="20"/>
  <c r="F283" i="20" s="1"/>
  <c r="K278" i="20"/>
  <c r="G282" i="20"/>
  <c r="I279" i="20"/>
  <c r="J279" i="20" s="1"/>
  <c r="I247" i="20"/>
  <c r="J247" i="20" s="1"/>
  <c r="E253" i="20"/>
  <c r="F253" i="20"/>
  <c r="I250" i="20"/>
  <c r="J250" i="20" s="1"/>
  <c r="G253" i="20"/>
  <c r="L258" i="20"/>
  <c r="C268" i="20"/>
  <c r="K251" i="20"/>
  <c r="K220" i="20"/>
  <c r="G224" i="20"/>
  <c r="G225" i="20" s="1"/>
  <c r="L231" i="20"/>
  <c r="G231" i="20" s="1"/>
  <c r="F231" i="20"/>
  <c r="K193" i="20"/>
  <c r="E195" i="20"/>
  <c r="K189" i="20"/>
  <c r="F201" i="20"/>
  <c r="I190" i="20"/>
  <c r="J190" i="20" s="1"/>
  <c r="I193" i="20"/>
  <c r="J193" i="20" s="1"/>
  <c r="N193" i="20"/>
  <c r="X82" i="20" s="1"/>
  <c r="K160" i="20"/>
  <c r="K161" i="20"/>
  <c r="K162" i="20"/>
  <c r="L171" i="20"/>
  <c r="L174" i="20"/>
  <c r="D174" i="20" s="1"/>
  <c r="L172" i="20"/>
  <c r="G172" i="20" s="1"/>
  <c r="K164" i="20"/>
  <c r="E181" i="20"/>
  <c r="I133" i="20"/>
  <c r="J133" i="20" s="1"/>
  <c r="K132" i="20"/>
  <c r="C113" i="20"/>
  <c r="D113" i="20"/>
  <c r="H113" i="20" s="1"/>
  <c r="G113" i="20"/>
  <c r="F113" i="20"/>
  <c r="E113" i="20"/>
  <c r="I102" i="20"/>
  <c r="J102" i="20" s="1"/>
  <c r="K102" i="20"/>
  <c r="G108" i="20"/>
  <c r="K106" i="20"/>
  <c r="I104" i="20"/>
  <c r="J104" i="20" s="1"/>
  <c r="I75" i="20"/>
  <c r="J75" i="20" s="1"/>
  <c r="K76" i="20"/>
  <c r="F50" i="20"/>
  <c r="F51" i="20" s="1"/>
  <c r="L58" i="20"/>
  <c r="I47" i="20"/>
  <c r="L59" i="20"/>
  <c r="C21" i="20"/>
  <c r="E21" i="20"/>
  <c r="E22" i="20" s="1"/>
  <c r="I17" i="20"/>
  <c r="N17" i="20" s="1"/>
  <c r="V22" i="20" s="1"/>
  <c r="G21" i="20"/>
  <c r="K17" i="20"/>
  <c r="K19" i="20"/>
  <c r="I18" i="20"/>
  <c r="J18" i="20" s="1"/>
  <c r="G28" i="20"/>
  <c r="F28" i="20"/>
  <c r="E28" i="20"/>
  <c r="D28" i="20"/>
  <c r="C28" i="20"/>
  <c r="G26" i="20"/>
  <c r="F26" i="20"/>
  <c r="E26" i="20"/>
  <c r="D26" i="20"/>
  <c r="C26" i="20"/>
  <c r="D51" i="20"/>
  <c r="N45" i="20"/>
  <c r="U32" i="20" s="1"/>
  <c r="G29" i="20"/>
  <c r="F29" i="20"/>
  <c r="E29" i="20"/>
  <c r="D29" i="20"/>
  <c r="C29" i="20"/>
  <c r="AA287" i="20"/>
  <c r="K45" i="20"/>
  <c r="F55" i="20"/>
  <c r="E55" i="20"/>
  <c r="D55" i="20"/>
  <c r="D80" i="20"/>
  <c r="E3" i="20"/>
  <c r="D21" i="20"/>
  <c r="G22" i="20"/>
  <c r="C65" i="20"/>
  <c r="C50" i="20"/>
  <c r="G58" i="20"/>
  <c r="F58" i="20"/>
  <c r="C58" i="20"/>
  <c r="K74" i="20"/>
  <c r="L85" i="20"/>
  <c r="F80" i="20"/>
  <c r="O87" i="20"/>
  <c r="E87" i="20" s="1"/>
  <c r="AA43" i="20"/>
  <c r="O88" i="20"/>
  <c r="K18" i="20"/>
  <c r="I74" i="20"/>
  <c r="J74" i="20" s="1"/>
  <c r="F21" i="20"/>
  <c r="L88" i="20"/>
  <c r="K77" i="20"/>
  <c r="K44" i="20"/>
  <c r="I77" i="20"/>
  <c r="J77" i="20" s="1"/>
  <c r="O86" i="20"/>
  <c r="G86" i="20" s="1"/>
  <c r="C109" i="20"/>
  <c r="N102" i="20"/>
  <c r="T52" i="20" s="1"/>
  <c r="T288" i="20"/>
  <c r="T289" i="20" s="1"/>
  <c r="T226" i="20"/>
  <c r="T287" i="20"/>
  <c r="K46" i="20"/>
  <c r="L57" i="20"/>
  <c r="G65" i="20"/>
  <c r="G50" i="20"/>
  <c r="K73" i="20"/>
  <c r="I73" i="20"/>
  <c r="J73" i="20" s="1"/>
  <c r="H78" i="20"/>
  <c r="I79" i="20" s="1"/>
  <c r="AD18" i="20" s="1"/>
  <c r="G80" i="20"/>
  <c r="D109" i="20"/>
  <c r="U287" i="20"/>
  <c r="U288" i="20"/>
  <c r="U289" i="20" s="1"/>
  <c r="U226" i="20"/>
  <c r="I46" i="20"/>
  <c r="H49" i="20"/>
  <c r="I50" i="20" s="1"/>
  <c r="AD17" i="20" s="1"/>
  <c r="D65" i="20"/>
  <c r="C79" i="20"/>
  <c r="C94" i="20"/>
  <c r="AU94" i="20"/>
  <c r="AQ88" i="20"/>
  <c r="AR89" i="20" s="1"/>
  <c r="AR83" i="20"/>
  <c r="AS83" i="20" s="1"/>
  <c r="L114" i="20"/>
  <c r="H107" i="20"/>
  <c r="I108" i="20" s="1"/>
  <c r="AD19" i="20" s="1"/>
  <c r="K103" i="20"/>
  <c r="E108" i="20"/>
  <c r="E123" i="20"/>
  <c r="V287" i="20"/>
  <c r="V288" i="20"/>
  <c r="V289" i="20" s="1"/>
  <c r="V226" i="20"/>
  <c r="L27" i="20"/>
  <c r="L30" i="20"/>
  <c r="AL89" i="20"/>
  <c r="AL104" i="20"/>
  <c r="I103" i="20"/>
  <c r="J103" i="20" s="1"/>
  <c r="F123" i="20"/>
  <c r="F108" i="20"/>
  <c r="I15" i="20"/>
  <c r="J15" i="20" s="1"/>
  <c r="I16" i="20"/>
  <c r="J16" i="20" s="1"/>
  <c r="I19" i="20"/>
  <c r="J19" i="20" s="1"/>
  <c r="H20" i="20"/>
  <c r="I21" i="20" s="1"/>
  <c r="AD16" i="20" s="1"/>
  <c r="W287" i="20"/>
  <c r="W288" i="20"/>
  <c r="W289" i="20" s="1"/>
  <c r="W226" i="20"/>
  <c r="O27" i="20"/>
  <c r="O30" i="20"/>
  <c r="E94" i="20"/>
  <c r="E79" i="20"/>
  <c r="AT83" i="20"/>
  <c r="O85" i="20"/>
  <c r="C22" i="20"/>
  <c r="X287" i="20"/>
  <c r="X288" i="20"/>
  <c r="X289" i="20" s="1"/>
  <c r="X226" i="20"/>
  <c r="K48" i="20"/>
  <c r="C55" i="20"/>
  <c r="D58" i="20"/>
  <c r="C59" i="20"/>
  <c r="E59" i="20"/>
  <c r="K15" i="20"/>
  <c r="G55" i="20"/>
  <c r="E58" i="20"/>
  <c r="F87" i="20"/>
  <c r="AO90" i="20"/>
  <c r="L84" i="20"/>
  <c r="AM95" i="20"/>
  <c r="L116" i="20"/>
  <c r="AM133" i="20"/>
  <c r="AP133" i="20"/>
  <c r="AO133" i="20"/>
  <c r="AN133" i="20"/>
  <c r="K135" i="20"/>
  <c r="L146" i="20"/>
  <c r="AM98" i="20"/>
  <c r="L56" i="20"/>
  <c r="I76" i="20"/>
  <c r="J76" i="20" s="1"/>
  <c r="AN98" i="20"/>
  <c r="AM104" i="20"/>
  <c r="L115" i="20"/>
  <c r="O147" i="20"/>
  <c r="AO98" i="20"/>
  <c r="O118" i="20"/>
  <c r="AL123" i="20"/>
  <c r="N164" i="20"/>
  <c r="X72" i="20" s="1"/>
  <c r="J164" i="20"/>
  <c r="C123" i="20"/>
  <c r="AR86" i="20"/>
  <c r="AS86" i="20" s="1"/>
  <c r="AT87" i="20"/>
  <c r="AU97" i="20"/>
  <c r="D123" i="20"/>
  <c r="K75" i="20"/>
  <c r="AM96" i="20"/>
  <c r="AO123" i="20"/>
  <c r="AR85" i="20"/>
  <c r="AS85" i="20" s="1"/>
  <c r="AN96" i="20"/>
  <c r="L117" i="20"/>
  <c r="D138" i="20"/>
  <c r="N132" i="20"/>
  <c r="U62" i="20" s="1"/>
  <c r="E167" i="20"/>
  <c r="N162" i="20"/>
  <c r="V72" i="20" s="1"/>
  <c r="O60" i="20"/>
  <c r="K105" i="20"/>
  <c r="AP128" i="20"/>
  <c r="AO128" i="20"/>
  <c r="AN128" i="20"/>
  <c r="AS129" i="20"/>
  <c r="D142" i="20"/>
  <c r="C142" i="20"/>
  <c r="G142" i="20"/>
  <c r="F142" i="20"/>
  <c r="E142" i="20"/>
  <c r="N135" i="20"/>
  <c r="X62" i="20" s="1"/>
  <c r="E137" i="20"/>
  <c r="L143" i="20"/>
  <c r="F144" i="20"/>
  <c r="L145" i="20"/>
  <c r="L173" i="20"/>
  <c r="L203" i="20"/>
  <c r="K192" i="20"/>
  <c r="I192" i="20"/>
  <c r="J192" i="20" s="1"/>
  <c r="C225" i="20"/>
  <c r="F137" i="20"/>
  <c r="H165" i="20"/>
  <c r="I166" i="20" s="1"/>
  <c r="AD21" i="20" s="1"/>
  <c r="G229" i="20"/>
  <c r="E229" i="20"/>
  <c r="D229" i="20"/>
  <c r="E262" i="20"/>
  <c r="D262" i="20"/>
  <c r="C262" i="20"/>
  <c r="G262" i="20"/>
  <c r="I162" i="20"/>
  <c r="J162" i="20" s="1"/>
  <c r="G174" i="20"/>
  <c r="G230" i="20"/>
  <c r="E230" i="20"/>
  <c r="D230" i="20"/>
  <c r="N221" i="20"/>
  <c r="W92" i="20" s="1"/>
  <c r="F225" i="20"/>
  <c r="I131" i="20"/>
  <c r="N163" i="20"/>
  <c r="W72" i="20" s="1"/>
  <c r="E171" i="20"/>
  <c r="L175" i="20"/>
  <c r="C196" i="20"/>
  <c r="G196" i="20"/>
  <c r="N219" i="20"/>
  <c r="U92" i="20" s="1"/>
  <c r="J219" i="20"/>
  <c r="L233" i="20"/>
  <c r="K222" i="20"/>
  <c r="I222" i="20"/>
  <c r="J222" i="20" s="1"/>
  <c r="N222" i="20"/>
  <c r="X92" i="20" s="1"/>
  <c r="F230" i="20"/>
  <c r="N277" i="20"/>
  <c r="U112" i="20" s="1"/>
  <c r="J277" i="20"/>
  <c r="H136" i="20"/>
  <c r="I137" i="20" s="1"/>
  <c r="AD20" i="20" s="1"/>
  <c r="I161" i="20"/>
  <c r="J161" i="20" s="1"/>
  <c r="F171" i="20"/>
  <c r="E172" i="20"/>
  <c r="D196" i="20"/>
  <c r="N190" i="20"/>
  <c r="U82" i="20" s="1"/>
  <c r="C201" i="20"/>
  <c r="H252" i="20"/>
  <c r="I253" i="20" s="1"/>
  <c r="AD24" i="20" s="1"/>
  <c r="K248" i="20"/>
  <c r="L259" i="20"/>
  <c r="I248" i="20"/>
  <c r="J248" i="20" s="1"/>
  <c r="N247" i="20"/>
  <c r="T102" i="20" s="1"/>
  <c r="C254" i="20"/>
  <c r="K131" i="20"/>
  <c r="C231" i="20"/>
  <c r="D254" i="20"/>
  <c r="O146" i="20"/>
  <c r="C166" i="20"/>
  <c r="G201" i="20"/>
  <c r="E201" i="20"/>
  <c r="D201" i="20"/>
  <c r="D166" i="20"/>
  <c r="D260" i="20"/>
  <c r="C260" i="20"/>
  <c r="G260" i="20"/>
  <c r="C174" i="20"/>
  <c r="E225" i="20"/>
  <c r="N220" i="20"/>
  <c r="V92" i="20" s="1"/>
  <c r="E174" i="20"/>
  <c r="L202" i="20"/>
  <c r="I191" i="20"/>
  <c r="J191" i="20" s="1"/>
  <c r="E254" i="20"/>
  <c r="F262" i="20"/>
  <c r="N276" i="20"/>
  <c r="T112" i="20" s="1"/>
  <c r="C283" i="20"/>
  <c r="F174" i="20"/>
  <c r="K191" i="20"/>
  <c r="E196" i="20"/>
  <c r="N191" i="20"/>
  <c r="V82" i="20" s="1"/>
  <c r="E239" i="20"/>
  <c r="C261" i="20"/>
  <c r="F195" i="20"/>
  <c r="C229" i="20"/>
  <c r="G254" i="20"/>
  <c r="N251" i="20"/>
  <c r="X102" i="20" s="1"/>
  <c r="F320" i="20"/>
  <c r="D320" i="20"/>
  <c r="C320" i="20"/>
  <c r="D231" i="20"/>
  <c r="N366" i="20"/>
  <c r="W142" i="20" s="1"/>
  <c r="J366" i="20"/>
  <c r="O204" i="20"/>
  <c r="E231" i="20"/>
  <c r="L232" i="20"/>
  <c r="I249" i="20"/>
  <c r="J249" i="20" s="1"/>
  <c r="K250" i="20"/>
  <c r="D268" i="20"/>
  <c r="K276" i="20"/>
  <c r="E282" i="20"/>
  <c r="G283" i="20"/>
  <c r="L287" i="20"/>
  <c r="N305" i="20"/>
  <c r="T122" i="20" s="1"/>
  <c r="C312" i="20"/>
  <c r="D312" i="20"/>
  <c r="N334" i="20"/>
  <c r="T132" i="20" s="1"/>
  <c r="C341" i="20"/>
  <c r="L200" i="20"/>
  <c r="K249" i="20"/>
  <c r="I280" i="20"/>
  <c r="J280" i="20" s="1"/>
  <c r="O173" i="20"/>
  <c r="O176" i="20" s="1"/>
  <c r="I189" i="20"/>
  <c r="J189" i="20" s="1"/>
  <c r="O200" i="20"/>
  <c r="D204" i="20"/>
  <c r="C210" i="20"/>
  <c r="I218" i="20"/>
  <c r="J218" i="20" s="1"/>
  <c r="O258" i="20"/>
  <c r="D258" i="20" s="1"/>
  <c r="O259" i="20"/>
  <c r="O260" i="20"/>
  <c r="F260" i="20" s="1"/>
  <c r="O261" i="20"/>
  <c r="D261" i="20" s="1"/>
  <c r="G290" i="20"/>
  <c r="F290" i="20"/>
  <c r="E290" i="20"/>
  <c r="D290" i="20"/>
  <c r="C290" i="20"/>
  <c r="N308" i="20"/>
  <c r="W122" i="20" s="1"/>
  <c r="F312" i="20"/>
  <c r="G551" i="20"/>
  <c r="D210" i="20"/>
  <c r="H223" i="20"/>
  <c r="I224" i="20" s="1"/>
  <c r="AD23" i="20" s="1"/>
  <c r="K280" i="20"/>
  <c r="C288" i="20"/>
  <c r="D375" i="20"/>
  <c r="C375" i="20"/>
  <c r="K218" i="20"/>
  <c r="G289" i="20"/>
  <c r="F289" i="20"/>
  <c r="E289" i="20"/>
  <c r="D289" i="20"/>
  <c r="D288" i="20"/>
  <c r="I278" i="20"/>
  <c r="J278" i="20" s="1"/>
  <c r="K279" i="20"/>
  <c r="E288" i="20"/>
  <c r="N367" i="20"/>
  <c r="X142" i="20" s="1"/>
  <c r="G370" i="20"/>
  <c r="N279" i="20"/>
  <c r="W112" i="20" s="1"/>
  <c r="E345" i="20"/>
  <c r="E346" i="20"/>
  <c r="E349" i="20"/>
  <c r="G378" i="20"/>
  <c r="F378" i="20"/>
  <c r="D378" i="20"/>
  <c r="C378" i="20"/>
  <c r="G384" i="20"/>
  <c r="G462" i="20"/>
  <c r="F462" i="20"/>
  <c r="C462" i="20"/>
  <c r="G464" i="20"/>
  <c r="F464" i="20"/>
  <c r="C464" i="20"/>
  <c r="K510" i="20"/>
  <c r="N537" i="20"/>
  <c r="T202" i="20" s="1"/>
  <c r="C544" i="20"/>
  <c r="C428" i="20"/>
  <c r="D544" i="20"/>
  <c r="N538" i="20"/>
  <c r="U202" i="20" s="1"/>
  <c r="G577" i="20"/>
  <c r="F577" i="20"/>
  <c r="C577" i="20"/>
  <c r="I305" i="20"/>
  <c r="J305" i="20" s="1"/>
  <c r="J364" i="20"/>
  <c r="I394" i="20"/>
  <c r="J394" i="20" s="1"/>
  <c r="F485" i="20"/>
  <c r="F500" i="20"/>
  <c r="F515" i="20"/>
  <c r="D577" i="20"/>
  <c r="N307" i="20"/>
  <c r="V122" i="20" s="1"/>
  <c r="I336" i="20"/>
  <c r="J336" i="20" s="1"/>
  <c r="E375" i="20"/>
  <c r="K394" i="20"/>
  <c r="E407" i="20"/>
  <c r="J450" i="20"/>
  <c r="K454" i="20"/>
  <c r="I454" i="20"/>
  <c r="J454" i="20" s="1"/>
  <c r="D463" i="20"/>
  <c r="O492" i="20"/>
  <c r="F492" i="20" s="1"/>
  <c r="D523" i="20"/>
  <c r="C523" i="20"/>
  <c r="G515" i="20"/>
  <c r="L552" i="20"/>
  <c r="I541" i="20"/>
  <c r="J541" i="20" s="1"/>
  <c r="K570" i="20"/>
  <c r="I570" i="20"/>
  <c r="J570" i="20" s="1"/>
  <c r="L581" i="20"/>
  <c r="E577" i="20"/>
  <c r="O291" i="20"/>
  <c r="K305" i="20"/>
  <c r="L316" i="20"/>
  <c r="L317" i="20"/>
  <c r="F326" i="20"/>
  <c r="C355" i="20"/>
  <c r="E369" i="20"/>
  <c r="F375" i="20"/>
  <c r="L377" i="20"/>
  <c r="D398" i="20"/>
  <c r="F407" i="20"/>
  <c r="L436" i="20"/>
  <c r="I425" i="20"/>
  <c r="J425" i="20" s="1"/>
  <c r="C433" i="20"/>
  <c r="N481" i="20"/>
  <c r="V182" i="20" s="1"/>
  <c r="G485" i="20"/>
  <c r="O494" i="20"/>
  <c r="E494" i="20" s="1"/>
  <c r="H513" i="20"/>
  <c r="I514" i="20" s="1"/>
  <c r="AD33" i="20" s="1"/>
  <c r="I512" i="20"/>
  <c r="J512" i="20" s="1"/>
  <c r="G543" i="20"/>
  <c r="O316" i="20"/>
  <c r="O317" i="20"/>
  <c r="O318" i="20"/>
  <c r="O319" i="20"/>
  <c r="G319" i="20" s="1"/>
  <c r="K336" i="20"/>
  <c r="O350" i="20"/>
  <c r="K482" i="20"/>
  <c r="D515" i="20"/>
  <c r="K541" i="20"/>
  <c r="O582" i="20"/>
  <c r="I365" i="20"/>
  <c r="J365" i="20" s="1"/>
  <c r="K367" i="20"/>
  <c r="F399" i="20"/>
  <c r="E433" i="20"/>
  <c r="H455" i="20"/>
  <c r="I456" i="20" s="1"/>
  <c r="AD31" i="20" s="1"/>
  <c r="I451" i="20"/>
  <c r="J451" i="20" s="1"/>
  <c r="G463" i="20"/>
  <c r="F463" i="20"/>
  <c r="C463" i="20"/>
  <c r="L465" i="20"/>
  <c r="H571" i="20"/>
  <c r="I572" i="20" s="1"/>
  <c r="AD35" i="20" s="1"/>
  <c r="I567" i="20"/>
  <c r="J567" i="20" s="1"/>
  <c r="L578" i="20"/>
  <c r="L347" i="20"/>
  <c r="L348" i="20"/>
  <c r="E378" i="20"/>
  <c r="H397" i="20"/>
  <c r="I398" i="20" s="1"/>
  <c r="AD29" i="20" s="1"/>
  <c r="D407" i="20"/>
  <c r="C407" i="20"/>
  <c r="O466" i="20"/>
  <c r="H484" i="20"/>
  <c r="I485" i="20" s="1"/>
  <c r="AD32" i="20" s="1"/>
  <c r="L490" i="20"/>
  <c r="K479" i="20"/>
  <c r="C514" i="20"/>
  <c r="C529" i="20"/>
  <c r="F572" i="20"/>
  <c r="F587" i="20"/>
  <c r="F341" i="20"/>
  <c r="I363" i="20"/>
  <c r="J363" i="20" s="1"/>
  <c r="C370" i="20"/>
  <c r="O376" i="20"/>
  <c r="C376" i="20" s="1"/>
  <c r="I396" i="20"/>
  <c r="J396" i="20" s="1"/>
  <c r="L434" i="20"/>
  <c r="K423" i="20"/>
  <c r="C432" i="20"/>
  <c r="K451" i="20"/>
  <c r="N454" i="20"/>
  <c r="X172" i="20" s="1"/>
  <c r="I479" i="20"/>
  <c r="O491" i="20"/>
  <c r="D500" i="20"/>
  <c r="F521" i="20"/>
  <c r="F523" i="20"/>
  <c r="L550" i="20"/>
  <c r="K539" i="20"/>
  <c r="K567" i="20"/>
  <c r="G572" i="20"/>
  <c r="G587" i="20"/>
  <c r="E318" i="20"/>
  <c r="E320" i="20"/>
  <c r="I423" i="20"/>
  <c r="K452" i="20"/>
  <c r="D464" i="20"/>
  <c r="G523" i="20"/>
  <c r="I539" i="20"/>
  <c r="J539" i="20" s="1"/>
  <c r="K363" i="20"/>
  <c r="I393" i="20"/>
  <c r="J393" i="20" s="1"/>
  <c r="L404" i="20"/>
  <c r="K396" i="20"/>
  <c r="G399" i="20"/>
  <c r="E432" i="20"/>
  <c r="N451" i="20"/>
  <c r="U172" i="20" s="1"/>
  <c r="O374" i="20"/>
  <c r="G374" i="20" s="1"/>
  <c r="K393" i="20"/>
  <c r="C398" i="20"/>
  <c r="C413" i="20"/>
  <c r="G432" i="20"/>
  <c r="G435" i="20"/>
  <c r="K453" i="20"/>
  <c r="D457" i="20"/>
  <c r="K480" i="20"/>
  <c r="I480" i="20"/>
  <c r="J480" i="20" s="1"/>
  <c r="L491" i="20"/>
  <c r="I510" i="20"/>
  <c r="H542" i="20"/>
  <c r="I543" i="20" s="1"/>
  <c r="AD34" i="20" s="1"/>
  <c r="K569" i="20"/>
  <c r="L580" i="20"/>
  <c r="D573" i="20"/>
  <c r="L579" i="20"/>
  <c r="L493" i="20"/>
  <c r="K392" i="20"/>
  <c r="L403" i="20"/>
  <c r="L406" i="20"/>
  <c r="C492" i="20"/>
  <c r="C494" i="20"/>
  <c r="K508" i="20"/>
  <c r="L519" i="20"/>
  <c r="L522" i="20"/>
  <c r="I395" i="20"/>
  <c r="J395" i="20" s="1"/>
  <c r="O403" i="20"/>
  <c r="O404" i="20"/>
  <c r="O405" i="20"/>
  <c r="D405" i="20" s="1"/>
  <c r="O406" i="20"/>
  <c r="I421" i="20"/>
  <c r="J421" i="20" s="1"/>
  <c r="D492" i="20"/>
  <c r="D494" i="20"/>
  <c r="I511" i="20"/>
  <c r="J511" i="20" s="1"/>
  <c r="O519" i="20"/>
  <c r="O520" i="20"/>
  <c r="D520" i="20" s="1"/>
  <c r="O521" i="20"/>
  <c r="E521" i="20" s="1"/>
  <c r="O522" i="20"/>
  <c r="I452" i="20"/>
  <c r="E492" i="20"/>
  <c r="I568" i="20"/>
  <c r="K421" i="20"/>
  <c r="F494" i="20"/>
  <c r="C520" i="20"/>
  <c r="K537" i="20"/>
  <c r="O435" i="20"/>
  <c r="D435" i="20" s="1"/>
  <c r="O548" i="20"/>
  <c r="O549" i="20"/>
  <c r="F549" i="20" s="1"/>
  <c r="O550" i="20"/>
  <c r="O551" i="20"/>
  <c r="C551" i="20" s="1"/>
  <c r="AS129" i="9"/>
  <c r="AS119" i="12"/>
  <c r="AF176" i="34" l="1"/>
  <c r="AL175" i="34"/>
  <c r="AL75" i="34"/>
  <c r="AF76" i="34"/>
  <c r="AD150" i="34"/>
  <c r="AI149" i="34"/>
  <c r="AE49" i="34"/>
  <c r="AE50" i="34" s="1"/>
  <c r="AE51" i="34" s="1"/>
  <c r="AD49" i="34"/>
  <c r="AG49" i="34"/>
  <c r="AG50" i="34" s="1"/>
  <c r="AG51" i="34" s="1"/>
  <c r="AF49" i="34"/>
  <c r="AF50" i="34" s="1"/>
  <c r="AH49" i="34"/>
  <c r="AH50" i="34" s="1"/>
  <c r="AH51" i="34" s="1"/>
  <c r="AD100" i="34"/>
  <c r="AI99" i="34"/>
  <c r="AF151" i="34"/>
  <c r="AL150" i="34"/>
  <c r="AF101" i="34"/>
  <c r="AL100" i="34"/>
  <c r="AD225" i="34"/>
  <c r="AI224" i="34"/>
  <c r="AF201" i="34"/>
  <c r="AL200" i="34"/>
  <c r="AF26" i="34"/>
  <c r="AL25" i="34"/>
  <c r="AD25" i="34"/>
  <c r="AI24" i="34"/>
  <c r="AF251" i="34"/>
  <c r="AL250" i="34"/>
  <c r="AF226" i="34"/>
  <c r="AL225" i="34"/>
  <c r="AH124" i="34"/>
  <c r="AH125" i="34" s="1"/>
  <c r="AH126" i="34" s="1"/>
  <c r="AG124" i="34"/>
  <c r="AG125" i="34" s="1"/>
  <c r="AG126" i="34" s="1"/>
  <c r="AF124" i="34"/>
  <c r="AF125" i="34" s="1"/>
  <c r="AE124" i="34"/>
  <c r="AE125" i="34" s="1"/>
  <c r="AE126" i="34" s="1"/>
  <c r="AD124" i="34"/>
  <c r="AD275" i="34"/>
  <c r="AI274" i="34"/>
  <c r="AD250" i="34"/>
  <c r="AI249" i="34"/>
  <c r="AD200" i="34"/>
  <c r="AI199" i="34"/>
  <c r="AF276" i="34"/>
  <c r="AK379" i="34" s="1"/>
  <c r="AL275" i="34"/>
  <c r="AD175" i="34"/>
  <c r="AI174" i="34"/>
  <c r="AI74" i="34"/>
  <c r="AD75" i="34"/>
  <c r="F504" i="27"/>
  <c r="F579" i="27"/>
  <c r="F360" i="27"/>
  <c r="F576" i="27"/>
  <c r="H216" i="27"/>
  <c r="H573" i="27"/>
  <c r="D72" i="27"/>
  <c r="D570" i="27"/>
  <c r="G456" i="27"/>
  <c r="G578" i="27"/>
  <c r="G360" i="27"/>
  <c r="G576" i="27"/>
  <c r="E216" i="27"/>
  <c r="E573" i="27"/>
  <c r="E72" i="27"/>
  <c r="E570" i="27"/>
  <c r="H456" i="27"/>
  <c r="H578" i="27"/>
  <c r="D360" i="27"/>
  <c r="D576" i="27"/>
  <c r="D168" i="27"/>
  <c r="D572" i="27"/>
  <c r="F72" i="27"/>
  <c r="F570" i="27"/>
  <c r="H504" i="27"/>
  <c r="H579" i="27"/>
  <c r="H360" i="27"/>
  <c r="H576" i="27"/>
  <c r="E168" i="27"/>
  <c r="E572" i="27"/>
  <c r="G72" i="27"/>
  <c r="G570" i="27"/>
  <c r="D579" i="27"/>
  <c r="D264" i="27"/>
  <c r="D574" i="27"/>
  <c r="F168" i="27"/>
  <c r="F572" i="27"/>
  <c r="H72" i="27"/>
  <c r="H570" i="27"/>
  <c r="G504" i="27"/>
  <c r="G579" i="27"/>
  <c r="E264" i="27"/>
  <c r="E574" i="27"/>
  <c r="G168" i="27"/>
  <c r="G572" i="27"/>
  <c r="E24" i="27"/>
  <c r="E542" i="27"/>
  <c r="E541" i="27"/>
  <c r="E540" i="27"/>
  <c r="E543" i="27"/>
  <c r="E569" i="27"/>
  <c r="D408" i="27"/>
  <c r="D577" i="27"/>
  <c r="F264" i="27"/>
  <c r="F574" i="27"/>
  <c r="H168" i="27"/>
  <c r="H572" i="27"/>
  <c r="F24" i="27"/>
  <c r="F540" i="27"/>
  <c r="F542" i="27"/>
  <c r="F541" i="27"/>
  <c r="F543" i="27"/>
  <c r="F569" i="27"/>
  <c r="F408" i="27"/>
  <c r="F577" i="27"/>
  <c r="G264" i="27"/>
  <c r="G574" i="27"/>
  <c r="D120" i="27"/>
  <c r="D571" i="27"/>
  <c r="G24" i="27"/>
  <c r="G569" i="27"/>
  <c r="G540" i="27"/>
  <c r="G542" i="27"/>
  <c r="G541" i="27"/>
  <c r="G543" i="27"/>
  <c r="D456" i="27"/>
  <c r="D578" i="27"/>
  <c r="E408" i="27"/>
  <c r="E577" i="27"/>
  <c r="H264" i="27"/>
  <c r="H574" i="27"/>
  <c r="E120" i="27"/>
  <c r="E571" i="27"/>
  <c r="D24" i="27"/>
  <c r="D569" i="27"/>
  <c r="D540" i="27"/>
  <c r="D541" i="27"/>
  <c r="D543" i="27"/>
  <c r="D542" i="27"/>
  <c r="E504" i="27"/>
  <c r="E579" i="27"/>
  <c r="G408" i="27"/>
  <c r="G577" i="27"/>
  <c r="D216" i="27"/>
  <c r="D573" i="27"/>
  <c r="F120" i="27"/>
  <c r="F571" i="27"/>
  <c r="H24" i="27"/>
  <c r="H543" i="27"/>
  <c r="H569" i="27"/>
  <c r="H542" i="27"/>
  <c r="H540" i="27"/>
  <c r="H541" i="27"/>
  <c r="E456" i="27"/>
  <c r="E578" i="27"/>
  <c r="H408" i="27"/>
  <c r="H577" i="27"/>
  <c r="F216" i="27"/>
  <c r="F573" i="27"/>
  <c r="G120" i="27"/>
  <c r="G571" i="27"/>
  <c r="F456" i="27"/>
  <c r="F578" i="27"/>
  <c r="E360" i="27"/>
  <c r="E576" i="27"/>
  <c r="G216" i="27"/>
  <c r="G573" i="27"/>
  <c r="H120" i="27"/>
  <c r="H571" i="27"/>
  <c r="I249" i="34"/>
  <c r="V24" i="34"/>
  <c r="L100" i="34"/>
  <c r="L456" i="34" s="1"/>
  <c r="F101" i="34"/>
  <c r="K372" i="34" s="1"/>
  <c r="K385" i="34"/>
  <c r="L390" i="34"/>
  <c r="G226" i="34"/>
  <c r="L377" i="34" s="1"/>
  <c r="H26" i="34"/>
  <c r="M369" i="34" s="1"/>
  <c r="M382" i="34"/>
  <c r="F226" i="34"/>
  <c r="K377" i="34" s="1"/>
  <c r="K390" i="34"/>
  <c r="L225" i="34"/>
  <c r="L461" i="34" s="1"/>
  <c r="M383" i="34"/>
  <c r="H51" i="34"/>
  <c r="M370" i="34" s="1"/>
  <c r="I385" i="34"/>
  <c r="D101" i="34"/>
  <c r="I372" i="34" s="1"/>
  <c r="K100" i="34"/>
  <c r="Y250" i="34"/>
  <c r="Y462" i="34" s="1"/>
  <c r="X391" i="34"/>
  <c r="S251" i="34"/>
  <c r="X378" i="34" s="1"/>
  <c r="M390" i="34"/>
  <c r="H226" i="34"/>
  <c r="M377" i="34" s="1"/>
  <c r="R51" i="34"/>
  <c r="W370" i="34" s="1"/>
  <c r="W383" i="34"/>
  <c r="F126" i="34"/>
  <c r="K373" i="34" s="1"/>
  <c r="L125" i="34"/>
  <c r="L457" i="34" s="1"/>
  <c r="K386" i="34"/>
  <c r="E251" i="34"/>
  <c r="J378" i="34" s="1"/>
  <c r="J391" i="34"/>
  <c r="Q251" i="34"/>
  <c r="V378" i="34" s="1"/>
  <c r="V391" i="34"/>
  <c r="S201" i="34"/>
  <c r="X376" i="34" s="1"/>
  <c r="X389" i="34"/>
  <c r="Y200" i="34"/>
  <c r="Y460" i="34" s="1"/>
  <c r="H126" i="34"/>
  <c r="M373" i="34" s="1"/>
  <c r="M386" i="34"/>
  <c r="T201" i="34"/>
  <c r="Y376" i="34" s="1"/>
  <c r="Y389" i="34"/>
  <c r="R76" i="34"/>
  <c r="W371" i="34" s="1"/>
  <c r="W384" i="34"/>
  <c r="U76" i="34"/>
  <c r="Z371" i="34" s="1"/>
  <c r="Z384" i="34"/>
  <c r="L275" i="34"/>
  <c r="F276" i="34"/>
  <c r="K379" i="34" s="1"/>
  <c r="K392" i="34"/>
  <c r="U201" i="34"/>
  <c r="Z376" i="34" s="1"/>
  <c r="Z389" i="34"/>
  <c r="U226" i="34"/>
  <c r="Z377" i="34" s="1"/>
  <c r="Z390" i="34"/>
  <c r="H251" i="34"/>
  <c r="M378" i="34" s="1"/>
  <c r="M391" i="34"/>
  <c r="U276" i="34"/>
  <c r="Z379" i="34" s="1"/>
  <c r="Z392" i="34"/>
  <c r="T126" i="34"/>
  <c r="Y373" i="34" s="1"/>
  <c r="Y386" i="34"/>
  <c r="R226" i="34"/>
  <c r="W377" i="34" s="1"/>
  <c r="W390" i="34"/>
  <c r="U151" i="34"/>
  <c r="Z374" i="34" s="1"/>
  <c r="Z387" i="34"/>
  <c r="L75" i="34"/>
  <c r="L455" i="34" s="1"/>
  <c r="F76" i="34"/>
  <c r="K371" i="34" s="1"/>
  <c r="K384" i="34"/>
  <c r="Y225" i="34"/>
  <c r="Y461" i="34" s="1"/>
  <c r="X390" i="34"/>
  <c r="S226" i="34"/>
  <c r="X377" i="34" s="1"/>
  <c r="AM377" i="34"/>
  <c r="AM390" i="34"/>
  <c r="S276" i="34"/>
  <c r="X379" i="34" s="1"/>
  <c r="X392" i="34"/>
  <c r="Y275" i="34"/>
  <c r="V382" i="34"/>
  <c r="Q26" i="34"/>
  <c r="V369" i="34" s="1"/>
  <c r="AK377" i="34"/>
  <c r="AK390" i="34"/>
  <c r="AJ379" i="34"/>
  <c r="AJ392" i="34"/>
  <c r="L392" i="34"/>
  <c r="G276" i="34"/>
  <c r="L379" i="34" s="1"/>
  <c r="Q225" i="34"/>
  <c r="V224" i="34"/>
  <c r="F151" i="34"/>
  <c r="K374" i="34" s="1"/>
  <c r="L150" i="34"/>
  <c r="L458" i="34" s="1"/>
  <c r="K387" i="34"/>
  <c r="AL374" i="34"/>
  <c r="AL387" i="34"/>
  <c r="AL376" i="34"/>
  <c r="AL389" i="34"/>
  <c r="AK392" i="34"/>
  <c r="G126" i="34"/>
  <c r="L373" i="34" s="1"/>
  <c r="L386" i="34"/>
  <c r="M392" i="34"/>
  <c r="H276" i="34"/>
  <c r="M379" i="34" s="1"/>
  <c r="E226" i="34"/>
  <c r="J377" i="34" s="1"/>
  <c r="J390" i="34"/>
  <c r="V249" i="34"/>
  <c r="X383" i="34"/>
  <c r="S51" i="34"/>
  <c r="X370" i="34" s="1"/>
  <c r="Y50" i="34"/>
  <c r="Y454" i="34" s="1"/>
  <c r="T226" i="34"/>
  <c r="Y377" i="34" s="1"/>
  <c r="Y390" i="34"/>
  <c r="T101" i="34"/>
  <c r="Y372" i="34" s="1"/>
  <c r="Y385" i="34"/>
  <c r="Q125" i="34"/>
  <c r="V124" i="34"/>
  <c r="AM371" i="34"/>
  <c r="AM384" i="34"/>
  <c r="AM374" i="34"/>
  <c r="AM387" i="34"/>
  <c r="AJ375" i="34"/>
  <c r="AJ388" i="34"/>
  <c r="AJ376" i="34"/>
  <c r="AJ389" i="34"/>
  <c r="AM379" i="34"/>
  <c r="AM392" i="34"/>
  <c r="G251" i="34"/>
  <c r="L378" i="34" s="1"/>
  <c r="L391" i="34"/>
  <c r="D275" i="34"/>
  <c r="I274" i="34"/>
  <c r="U251" i="34"/>
  <c r="Z378" i="34" s="1"/>
  <c r="Z391" i="34"/>
  <c r="V199" i="34"/>
  <c r="T25" i="34"/>
  <c r="X25" i="34" s="1"/>
  <c r="X453" i="34" s="1"/>
  <c r="D225" i="34"/>
  <c r="I224" i="34"/>
  <c r="S101" i="34"/>
  <c r="X372" i="34" s="1"/>
  <c r="X385" i="34"/>
  <c r="Y100" i="34"/>
  <c r="Y456" i="34" s="1"/>
  <c r="F26" i="34"/>
  <c r="K369" i="34" s="1"/>
  <c r="K382" i="34"/>
  <c r="L25" i="34"/>
  <c r="L453" i="34" s="1"/>
  <c r="AK376" i="34"/>
  <c r="AK389" i="34"/>
  <c r="Z382" i="34"/>
  <c r="U26" i="34"/>
  <c r="Z369" i="34" s="1"/>
  <c r="H151" i="34"/>
  <c r="M374" i="34" s="1"/>
  <c r="M387" i="34"/>
  <c r="Q50" i="34"/>
  <c r="V49" i="34"/>
  <c r="U126" i="34"/>
  <c r="Z373" i="34" s="1"/>
  <c r="Z386" i="34"/>
  <c r="AJ371" i="34"/>
  <c r="AJ384" i="34"/>
  <c r="AJ374" i="34"/>
  <c r="AJ387" i="34"/>
  <c r="AL375" i="34"/>
  <c r="AL388" i="34"/>
  <c r="AM376" i="34"/>
  <c r="AM389" i="34"/>
  <c r="G101" i="34"/>
  <c r="L372" i="34" s="1"/>
  <c r="L385" i="34"/>
  <c r="G176" i="34"/>
  <c r="L375" i="34" s="1"/>
  <c r="L388" i="34"/>
  <c r="R201" i="34"/>
  <c r="W376" i="34" s="1"/>
  <c r="W389" i="34"/>
  <c r="V74" i="34"/>
  <c r="F51" i="34"/>
  <c r="K370" i="34" s="1"/>
  <c r="K383" i="34"/>
  <c r="L50" i="34"/>
  <c r="L454" i="34" s="1"/>
  <c r="T51" i="34"/>
  <c r="Y370" i="34" s="1"/>
  <c r="Y383" i="34"/>
  <c r="V174" i="34"/>
  <c r="D150" i="34"/>
  <c r="I149" i="34"/>
  <c r="Q150" i="34"/>
  <c r="V149" i="34"/>
  <c r="AK369" i="34"/>
  <c r="AK382" i="34"/>
  <c r="AL371" i="34"/>
  <c r="AL384" i="34"/>
  <c r="AK375" i="34"/>
  <c r="AK388" i="34"/>
  <c r="Q100" i="34"/>
  <c r="V99" i="34"/>
  <c r="L384" i="34"/>
  <c r="G76" i="34"/>
  <c r="L371" i="34" s="1"/>
  <c r="R126" i="34"/>
  <c r="W373" i="34" s="1"/>
  <c r="W386" i="34"/>
  <c r="D50" i="34"/>
  <c r="I49" i="34"/>
  <c r="R151" i="34"/>
  <c r="W374" i="34" s="1"/>
  <c r="W387" i="34"/>
  <c r="I382" i="34"/>
  <c r="D26" i="34"/>
  <c r="I369" i="34" s="1"/>
  <c r="K25" i="34"/>
  <c r="S151" i="34"/>
  <c r="X374" i="34" s="1"/>
  <c r="X387" i="34"/>
  <c r="Y150" i="34"/>
  <c r="Y458" i="34" s="1"/>
  <c r="U101" i="34"/>
  <c r="Z372" i="34" s="1"/>
  <c r="Z385" i="34"/>
  <c r="J388" i="34"/>
  <c r="E176" i="34"/>
  <c r="J375" i="34" s="1"/>
  <c r="AK371" i="34"/>
  <c r="AK384" i="34"/>
  <c r="AK374" i="34"/>
  <c r="AK387" i="34"/>
  <c r="R101" i="34"/>
  <c r="W372" i="34" s="1"/>
  <c r="W385" i="34"/>
  <c r="AL369" i="34"/>
  <c r="AL382" i="34"/>
  <c r="AL372" i="34"/>
  <c r="AL385" i="34"/>
  <c r="AL378" i="34"/>
  <c r="AL391" i="34"/>
  <c r="T276" i="34"/>
  <c r="Y379" i="34" s="1"/>
  <c r="Y392" i="34"/>
  <c r="I99" i="34"/>
  <c r="K391" i="34"/>
  <c r="F251" i="34"/>
  <c r="K378" i="34" s="1"/>
  <c r="L250" i="34"/>
  <c r="L462" i="34" s="1"/>
  <c r="I74" i="34"/>
  <c r="S76" i="34"/>
  <c r="X371" i="34" s="1"/>
  <c r="X384" i="34"/>
  <c r="Y75" i="34"/>
  <c r="Y455" i="34" s="1"/>
  <c r="E51" i="34"/>
  <c r="J370" i="34" s="1"/>
  <c r="J383" i="34"/>
  <c r="T176" i="34"/>
  <c r="Y375" i="34" s="1"/>
  <c r="Y388" i="34"/>
  <c r="Y175" i="34"/>
  <c r="Y459" i="34" s="1"/>
  <c r="X388" i="34"/>
  <c r="S176" i="34"/>
  <c r="X375" i="34" s="1"/>
  <c r="AM375" i="34"/>
  <c r="AM388" i="34"/>
  <c r="M388" i="34"/>
  <c r="H176" i="34"/>
  <c r="M375" i="34" s="1"/>
  <c r="H76" i="34"/>
  <c r="M371" i="34" s="1"/>
  <c r="M384" i="34"/>
  <c r="E151" i="34"/>
  <c r="J374" i="34" s="1"/>
  <c r="J387" i="34"/>
  <c r="AM369" i="34"/>
  <c r="AM382" i="34"/>
  <c r="AJ372" i="34"/>
  <c r="AJ385" i="34"/>
  <c r="AJ378" i="34"/>
  <c r="AJ391" i="34"/>
  <c r="J385" i="34"/>
  <c r="E101" i="34"/>
  <c r="J372" i="34" s="1"/>
  <c r="J384" i="34"/>
  <c r="E76" i="34"/>
  <c r="J371" i="34" s="1"/>
  <c r="L383" i="34"/>
  <c r="G51" i="34"/>
  <c r="L370" i="34" s="1"/>
  <c r="D175" i="34"/>
  <c r="I174" i="34"/>
  <c r="U176" i="34"/>
  <c r="Z375" i="34" s="1"/>
  <c r="Z388" i="34"/>
  <c r="U51" i="34"/>
  <c r="Z370" i="34" s="1"/>
  <c r="Z383" i="34"/>
  <c r="AM372" i="34"/>
  <c r="AM385" i="34"/>
  <c r="AK378" i="34"/>
  <c r="AK391" i="34"/>
  <c r="D250" i="34"/>
  <c r="T250" i="34"/>
  <c r="X250" i="34" s="1"/>
  <c r="X462" i="34" s="1"/>
  <c r="Q175" i="34"/>
  <c r="T151" i="34"/>
  <c r="Y374" i="34" s="1"/>
  <c r="Y387" i="34"/>
  <c r="R251" i="34"/>
  <c r="W378" i="34" s="1"/>
  <c r="W391" i="34"/>
  <c r="Q275" i="34"/>
  <c r="V274" i="34"/>
  <c r="D76" i="34"/>
  <c r="I371" i="34" s="1"/>
  <c r="K75" i="34"/>
  <c r="I384" i="34"/>
  <c r="R176" i="34"/>
  <c r="W375" i="34" s="1"/>
  <c r="W388" i="34"/>
  <c r="J382" i="34"/>
  <c r="E26" i="34"/>
  <c r="J369" i="34" s="1"/>
  <c r="AK372" i="34"/>
  <c r="AK385" i="34"/>
  <c r="AL377" i="34"/>
  <c r="AL390" i="34"/>
  <c r="AM378" i="34"/>
  <c r="AM391" i="34"/>
  <c r="Y25" i="34"/>
  <c r="Y453" i="34" s="1"/>
  <c r="S26" i="34"/>
  <c r="X369" i="34" s="1"/>
  <c r="X382" i="34"/>
  <c r="T75" i="34"/>
  <c r="X75" i="34" s="1"/>
  <c r="X455" i="34" s="1"/>
  <c r="AJ369" i="34"/>
  <c r="AJ382" i="34"/>
  <c r="H101" i="34"/>
  <c r="M372" i="34" s="1"/>
  <c r="M385" i="34"/>
  <c r="G26" i="34"/>
  <c r="L369" i="34" s="1"/>
  <c r="L382" i="34"/>
  <c r="AJ377" i="34"/>
  <c r="AJ390" i="34"/>
  <c r="AL379" i="34"/>
  <c r="AL392" i="34"/>
  <c r="D125" i="34"/>
  <c r="I124" i="34"/>
  <c r="E276" i="34"/>
  <c r="J379" i="34" s="1"/>
  <c r="J392" i="34"/>
  <c r="R26" i="34"/>
  <c r="W369" i="34" s="1"/>
  <c r="W382" i="34"/>
  <c r="S126" i="34"/>
  <c r="X373" i="34" s="1"/>
  <c r="X386" i="34"/>
  <c r="Y125" i="34"/>
  <c r="Y457" i="34" s="1"/>
  <c r="G151" i="34"/>
  <c r="L374" i="34" s="1"/>
  <c r="L387" i="34"/>
  <c r="F176" i="34"/>
  <c r="K375" i="34" s="1"/>
  <c r="K388" i="34"/>
  <c r="L175" i="34"/>
  <c r="L459" i="34" s="1"/>
  <c r="Q76" i="34"/>
  <c r="V371" i="34" s="1"/>
  <c r="V384" i="34"/>
  <c r="R276" i="34"/>
  <c r="W379" i="34" s="1"/>
  <c r="W392" i="34"/>
  <c r="J386" i="34"/>
  <c r="E126" i="34"/>
  <c r="J373" i="34" s="1"/>
  <c r="Q200" i="34"/>
  <c r="AI110" i="34"/>
  <c r="AM110" i="34" s="1"/>
  <c r="AI35" i="34"/>
  <c r="AM35" i="34" s="1"/>
  <c r="I24" i="34"/>
  <c r="AM108" i="34"/>
  <c r="AH444" i="34"/>
  <c r="AF307" i="34"/>
  <c r="S313" i="34"/>
  <c r="R312" i="34" s="1"/>
  <c r="U311" i="34" s="1"/>
  <c r="R313" i="34"/>
  <c r="S307" i="34"/>
  <c r="AM33" i="34"/>
  <c r="AH441" i="34"/>
  <c r="AE313" i="34"/>
  <c r="AF313" i="34"/>
  <c r="AE307" i="34" s="1"/>
  <c r="E12" i="35"/>
  <c r="C20" i="35"/>
  <c r="M6" i="35"/>
  <c r="J495" i="27"/>
  <c r="J447" i="27"/>
  <c r="J399" i="27"/>
  <c r="J351" i="27"/>
  <c r="J303" i="27"/>
  <c r="J207" i="27"/>
  <c r="J255" i="27"/>
  <c r="J159" i="27"/>
  <c r="J111" i="27"/>
  <c r="I63" i="27"/>
  <c r="J63" i="27" s="1"/>
  <c r="AM97" i="26"/>
  <c r="AL97" i="26"/>
  <c r="AM95" i="26"/>
  <c r="AP97" i="26"/>
  <c r="AP95" i="26"/>
  <c r="AQ98" i="26"/>
  <c r="AR98" i="26" s="1"/>
  <c r="F432" i="26"/>
  <c r="F433" i="26"/>
  <c r="H407" i="26"/>
  <c r="I407" i="26" s="1"/>
  <c r="E345" i="26"/>
  <c r="C317" i="26"/>
  <c r="F317" i="26"/>
  <c r="C260" i="26"/>
  <c r="F230" i="26"/>
  <c r="F229" i="26"/>
  <c r="H229" i="26" s="1"/>
  <c r="I229" i="26" s="1"/>
  <c r="D174" i="26"/>
  <c r="F174" i="26"/>
  <c r="I174" i="26" s="1"/>
  <c r="C87" i="26"/>
  <c r="F85" i="26"/>
  <c r="D87" i="26"/>
  <c r="G87" i="26"/>
  <c r="D59" i="26"/>
  <c r="E55" i="26"/>
  <c r="E32" i="26"/>
  <c r="V17" i="26" s="1"/>
  <c r="N537" i="26"/>
  <c r="T202" i="26" s="1"/>
  <c r="C544" i="26"/>
  <c r="H465" i="26"/>
  <c r="I465" i="26" s="1"/>
  <c r="N454" i="26"/>
  <c r="X172" i="26" s="1"/>
  <c r="G457" i="26"/>
  <c r="N421" i="26"/>
  <c r="T162" i="26" s="1"/>
  <c r="D428" i="26"/>
  <c r="H378" i="26"/>
  <c r="I378" i="26" s="1"/>
  <c r="G375" i="26"/>
  <c r="H375" i="26" s="1"/>
  <c r="I375" i="26" s="1"/>
  <c r="F375" i="26"/>
  <c r="N309" i="26"/>
  <c r="X122" i="26" s="1"/>
  <c r="N277" i="26"/>
  <c r="U112" i="26" s="1"/>
  <c r="E230" i="26"/>
  <c r="H230" i="26" s="1"/>
  <c r="I230" i="26" s="1"/>
  <c r="H204" i="26"/>
  <c r="I204" i="26" s="1"/>
  <c r="N163" i="26"/>
  <c r="W72" i="26" s="1"/>
  <c r="H173" i="26"/>
  <c r="I173" i="26" s="1"/>
  <c r="K173" i="26" s="1"/>
  <c r="P173" i="26" s="1"/>
  <c r="D167" i="26"/>
  <c r="H143" i="26"/>
  <c r="I143" i="26" s="1"/>
  <c r="H146" i="26"/>
  <c r="I146" i="26" s="1"/>
  <c r="X60" i="26" s="1"/>
  <c r="G138" i="26"/>
  <c r="N135" i="26"/>
  <c r="X62" i="26" s="1"/>
  <c r="J103" i="26"/>
  <c r="N103" i="26"/>
  <c r="U52" i="26" s="1"/>
  <c r="C109" i="26"/>
  <c r="N102" i="26"/>
  <c r="T52" i="26" s="1"/>
  <c r="E80" i="26"/>
  <c r="N75" i="26"/>
  <c r="V42" i="26" s="1"/>
  <c r="H87" i="26"/>
  <c r="I87" i="26" s="1"/>
  <c r="J87" i="26" s="1"/>
  <c r="W41" i="26" s="1"/>
  <c r="G80" i="26"/>
  <c r="H59" i="26"/>
  <c r="N19" i="26"/>
  <c r="X22" i="26" s="1"/>
  <c r="K143" i="26"/>
  <c r="P143" i="26" s="1"/>
  <c r="J143" i="26"/>
  <c r="U61" i="26" s="1"/>
  <c r="U60" i="26"/>
  <c r="K491" i="26"/>
  <c r="P491" i="26" s="1"/>
  <c r="J491" i="26"/>
  <c r="U181" i="26" s="1"/>
  <c r="U180" i="26"/>
  <c r="J146" i="26"/>
  <c r="X61" i="26" s="1"/>
  <c r="K146" i="26"/>
  <c r="P146" i="26" s="1"/>
  <c r="G235" i="26"/>
  <c r="X87" i="26" s="1"/>
  <c r="X95" i="26" s="1"/>
  <c r="V25" i="26"/>
  <c r="K407" i="26"/>
  <c r="P407" i="26" s="1"/>
  <c r="J407" i="26"/>
  <c r="X151" i="26" s="1"/>
  <c r="X150" i="26"/>
  <c r="J173" i="26"/>
  <c r="V71" i="26" s="1"/>
  <c r="G90" i="26"/>
  <c r="X37" i="26" s="1"/>
  <c r="X45" i="26" s="1"/>
  <c r="F581" i="26"/>
  <c r="E581" i="26"/>
  <c r="D581" i="26"/>
  <c r="C581" i="26"/>
  <c r="G581" i="26"/>
  <c r="N541" i="26"/>
  <c r="X202" i="26" s="1"/>
  <c r="E520" i="26"/>
  <c r="F520" i="26"/>
  <c r="G520" i="26"/>
  <c r="D520" i="26"/>
  <c r="C520" i="26"/>
  <c r="H549" i="26"/>
  <c r="I549" i="26" s="1"/>
  <c r="N567" i="26"/>
  <c r="U212" i="26" s="1"/>
  <c r="N276" i="26"/>
  <c r="T112" i="26" s="1"/>
  <c r="C283" i="26"/>
  <c r="I231" i="26"/>
  <c r="H522" i="26"/>
  <c r="I522" i="26" s="1"/>
  <c r="E201" i="26"/>
  <c r="O60" i="26"/>
  <c r="D55" i="26"/>
  <c r="G55" i="26"/>
  <c r="G115" i="26"/>
  <c r="E115" i="26"/>
  <c r="D115" i="26"/>
  <c r="C115" i="26"/>
  <c r="F115" i="26"/>
  <c r="F119" i="26" s="1"/>
  <c r="W47" i="26" s="1"/>
  <c r="W55" i="26" s="1"/>
  <c r="H28" i="26"/>
  <c r="I28" i="26" s="1"/>
  <c r="N106" i="26"/>
  <c r="X52" i="26" s="1"/>
  <c r="H27" i="26"/>
  <c r="I27" i="26" s="1"/>
  <c r="G370" i="26"/>
  <c r="N367" i="26"/>
  <c r="X142" i="26" s="1"/>
  <c r="N363" i="26"/>
  <c r="T142" i="26" s="1"/>
  <c r="C370" i="26"/>
  <c r="C494" i="26"/>
  <c r="G494" i="26"/>
  <c r="F494" i="26"/>
  <c r="E494" i="26"/>
  <c r="D494" i="26"/>
  <c r="F578" i="26"/>
  <c r="E578" i="26"/>
  <c r="D578" i="26"/>
  <c r="G578" i="26"/>
  <c r="C578" i="26"/>
  <c r="H434" i="26"/>
  <c r="I434" i="26" s="1"/>
  <c r="C492" i="26"/>
  <c r="C496" i="26" s="1"/>
  <c r="T177" i="26" s="1"/>
  <c r="T185" i="26" s="1"/>
  <c r="G492" i="26"/>
  <c r="E492" i="26"/>
  <c r="E495" i="26" s="1"/>
  <c r="V176" i="26" s="1"/>
  <c r="V184" i="26" s="1"/>
  <c r="V247" i="26" s="1"/>
  <c r="F492" i="26"/>
  <c r="D492" i="26"/>
  <c r="D495" i="26" s="1"/>
  <c r="H377" i="26"/>
  <c r="I377" i="26" s="1"/>
  <c r="D259" i="26"/>
  <c r="O205" i="26"/>
  <c r="F200" i="26"/>
  <c r="C200" i="26"/>
  <c r="F142" i="26"/>
  <c r="E142" i="26"/>
  <c r="G142" i="26"/>
  <c r="D142" i="26"/>
  <c r="C142" i="26"/>
  <c r="C167" i="26"/>
  <c r="N160" i="26"/>
  <c r="T72" i="26" s="1"/>
  <c r="E109" i="26"/>
  <c r="N104" i="26"/>
  <c r="V52" i="26" s="1"/>
  <c r="V285" i="26" s="1"/>
  <c r="V286" i="26" s="1"/>
  <c r="C57" i="26"/>
  <c r="D117" i="26"/>
  <c r="D118" i="26" s="1"/>
  <c r="U46" i="26" s="1"/>
  <c r="U54" i="26" s="1"/>
  <c r="U234" i="26" s="1"/>
  <c r="N483" i="26"/>
  <c r="X182" i="26" s="1"/>
  <c r="E403" i="26"/>
  <c r="F403" i="26"/>
  <c r="C403" i="26"/>
  <c r="G403" i="26"/>
  <c r="D403" i="26"/>
  <c r="N568" i="26"/>
  <c r="V212" i="26" s="1"/>
  <c r="D496" i="26"/>
  <c r="U177" i="26" s="1"/>
  <c r="U185" i="26" s="1"/>
  <c r="J482" i="26"/>
  <c r="N482" i="26"/>
  <c r="W182" i="26" s="1"/>
  <c r="D346" i="26"/>
  <c r="D350" i="26" s="1"/>
  <c r="U126" i="26" s="1"/>
  <c r="U134" i="26" s="1"/>
  <c r="U242" i="26" s="1"/>
  <c r="H580" i="26"/>
  <c r="I580" i="26" s="1"/>
  <c r="G290" i="26"/>
  <c r="AN97" i="26"/>
  <c r="H172" i="26"/>
  <c r="I172" i="26" s="1"/>
  <c r="G201" i="26"/>
  <c r="D200" i="26"/>
  <c r="H523" i="26"/>
  <c r="I523" i="26" s="1"/>
  <c r="N189" i="26"/>
  <c r="T82" i="26" s="1"/>
  <c r="C196" i="26"/>
  <c r="O89" i="26"/>
  <c r="C56" i="26"/>
  <c r="F56" i="26"/>
  <c r="D56" i="26"/>
  <c r="G56" i="26"/>
  <c r="E56" i="26"/>
  <c r="D57" i="26"/>
  <c r="N76" i="26"/>
  <c r="W42" i="26" s="1"/>
  <c r="F80" i="26"/>
  <c r="C117" i="26"/>
  <c r="AO96" i="26"/>
  <c r="AN96" i="26"/>
  <c r="AL96" i="26"/>
  <c r="AP96" i="26"/>
  <c r="AM96" i="26"/>
  <c r="V284" i="26"/>
  <c r="E399" i="26"/>
  <c r="N394" i="26"/>
  <c r="V152" i="26" s="1"/>
  <c r="H464" i="26"/>
  <c r="I464" i="26" s="1"/>
  <c r="H548" i="26"/>
  <c r="I548" i="26" s="1"/>
  <c r="G435" i="26"/>
  <c r="C435" i="26"/>
  <c r="F435" i="26"/>
  <c r="D435" i="26"/>
  <c r="E435" i="26"/>
  <c r="E438" i="26" s="1"/>
  <c r="V157" i="26" s="1"/>
  <c r="V165" i="26" s="1"/>
  <c r="N452" i="26"/>
  <c r="V172" i="26" s="1"/>
  <c r="J452" i="26"/>
  <c r="E374" i="26"/>
  <c r="D374" i="26"/>
  <c r="C374" i="26"/>
  <c r="G374" i="26"/>
  <c r="F374" i="26"/>
  <c r="G260" i="26"/>
  <c r="F260" i="26"/>
  <c r="E260" i="26"/>
  <c r="E346" i="26"/>
  <c r="E351" i="26" s="1"/>
  <c r="V127" i="26" s="1"/>
  <c r="V135" i="26" s="1"/>
  <c r="G348" i="26"/>
  <c r="G350" i="26" s="1"/>
  <c r="F348" i="26"/>
  <c r="F351" i="26" s="1"/>
  <c r="W127" i="26" s="1"/>
  <c r="W135" i="26" s="1"/>
  <c r="E348" i="26"/>
  <c r="D348" i="26"/>
  <c r="C348" i="26"/>
  <c r="D291" i="26"/>
  <c r="G291" i="26"/>
  <c r="E291" i="26"/>
  <c r="G233" i="26"/>
  <c r="G234" i="26" s="1"/>
  <c r="X86" i="26" s="1"/>
  <c r="X94" i="26" s="1"/>
  <c r="X238" i="26" s="1"/>
  <c r="E233" i="26"/>
  <c r="E235" i="26" s="1"/>
  <c r="V87" i="26" s="1"/>
  <c r="V95" i="26" s="1"/>
  <c r="D233" i="26"/>
  <c r="D235" i="26" s="1"/>
  <c r="U87" i="26" s="1"/>
  <c r="U95" i="26" s="1"/>
  <c r="C233" i="26"/>
  <c r="C234" i="26" s="1"/>
  <c r="F233" i="26"/>
  <c r="AN95" i="26"/>
  <c r="AX99" i="26"/>
  <c r="AO95" i="26"/>
  <c r="N221" i="26"/>
  <c r="W92" i="26" s="1"/>
  <c r="F225" i="26"/>
  <c r="E200" i="26"/>
  <c r="D175" i="26"/>
  <c r="D177" i="26" s="1"/>
  <c r="U67" i="26" s="1"/>
  <c r="U75" i="26" s="1"/>
  <c r="F175" i="26"/>
  <c r="E175" i="26"/>
  <c r="E176" i="26" s="1"/>
  <c r="C175" i="26"/>
  <c r="H175" i="26" s="1"/>
  <c r="G175" i="26"/>
  <c r="G176" i="26" s="1"/>
  <c r="X66" i="26" s="1"/>
  <c r="X74" i="26" s="1"/>
  <c r="X236" i="26" s="1"/>
  <c r="AL95" i="26"/>
  <c r="D32" i="26"/>
  <c r="U17" i="26" s="1"/>
  <c r="D85" i="26"/>
  <c r="E3" i="26"/>
  <c r="C8" i="26"/>
  <c r="N73" i="26"/>
  <c r="T42" i="26" s="1"/>
  <c r="C80" i="26"/>
  <c r="E117" i="26"/>
  <c r="O118" i="26"/>
  <c r="C60" i="26"/>
  <c r="T26" i="26" s="1"/>
  <c r="T34" i="26" s="1"/>
  <c r="J131" i="26"/>
  <c r="N131" i="26"/>
  <c r="T62" i="26" s="1"/>
  <c r="J396" i="26"/>
  <c r="N396" i="26"/>
  <c r="X152" i="26" s="1"/>
  <c r="N392" i="26"/>
  <c r="T152" i="26" s="1"/>
  <c r="N480" i="26"/>
  <c r="U182" i="26" s="1"/>
  <c r="D486" i="26"/>
  <c r="G552" i="26"/>
  <c r="C552" i="26"/>
  <c r="F552" i="26"/>
  <c r="E552" i="26"/>
  <c r="D552" i="26"/>
  <c r="N337" i="26"/>
  <c r="W132" i="26" s="1"/>
  <c r="F201" i="26"/>
  <c r="N336" i="26"/>
  <c r="V132" i="26" s="1"/>
  <c r="E341" i="26"/>
  <c r="G203" i="26"/>
  <c r="F203" i="26"/>
  <c r="E203" i="26"/>
  <c r="D203" i="26"/>
  <c r="C203" i="26"/>
  <c r="N251" i="26"/>
  <c r="X102" i="26" s="1"/>
  <c r="J251" i="26"/>
  <c r="J308" i="26"/>
  <c r="N308" i="26"/>
  <c r="W122" i="26" s="1"/>
  <c r="O292" i="26"/>
  <c r="G145" i="26"/>
  <c r="E145" i="26"/>
  <c r="C145" i="26"/>
  <c r="F145" i="26"/>
  <c r="D145" i="26"/>
  <c r="AQ97" i="26"/>
  <c r="AR97" i="26" s="1"/>
  <c r="AL115" i="26"/>
  <c r="AS83" i="26"/>
  <c r="G117" i="26"/>
  <c r="N393" i="26"/>
  <c r="U152" i="26" s="1"/>
  <c r="O466" i="26"/>
  <c r="H490" i="26"/>
  <c r="I490" i="26" s="1"/>
  <c r="C495" i="26"/>
  <c r="T176" i="26" s="1"/>
  <c r="T184" i="26" s="1"/>
  <c r="O263" i="26"/>
  <c r="G258" i="26"/>
  <c r="F258" i="26"/>
  <c r="E258" i="26"/>
  <c r="H258" i="26" s="1"/>
  <c r="I258" i="26" s="1"/>
  <c r="G346" i="26"/>
  <c r="C457" i="26"/>
  <c r="N450" i="26"/>
  <c r="T172" i="26" s="1"/>
  <c r="F259" i="26"/>
  <c r="C351" i="26"/>
  <c r="T127" i="26" s="1"/>
  <c r="T135" i="26" s="1"/>
  <c r="D351" i="26"/>
  <c r="U127" i="26" s="1"/>
  <c r="U135" i="26" s="1"/>
  <c r="O350" i="26"/>
  <c r="H289" i="26"/>
  <c r="I289" i="26" s="1"/>
  <c r="H406" i="26"/>
  <c r="I406" i="26" s="1"/>
  <c r="D262" i="26"/>
  <c r="C262" i="26"/>
  <c r="G262" i="26"/>
  <c r="F262" i="26"/>
  <c r="E262" i="26"/>
  <c r="H113" i="26"/>
  <c r="I113" i="26" s="1"/>
  <c r="H86" i="26"/>
  <c r="I86" i="26" s="1"/>
  <c r="AW86" i="26"/>
  <c r="AO115" i="26" s="1"/>
  <c r="AO90" i="26"/>
  <c r="H30" i="26"/>
  <c r="I30" i="26" s="1"/>
  <c r="G89" i="26"/>
  <c r="X36" i="26" s="1"/>
  <c r="X44" i="26" s="1"/>
  <c r="X233" i="26" s="1"/>
  <c r="H29" i="26"/>
  <c r="I29" i="26" s="1"/>
  <c r="AP94" i="26"/>
  <c r="AN94" i="26"/>
  <c r="AM94" i="26"/>
  <c r="AO94" i="26"/>
  <c r="AL94" i="26"/>
  <c r="N45" i="26"/>
  <c r="U32" i="26" s="1"/>
  <c r="D51" i="26"/>
  <c r="F55" i="26"/>
  <c r="C31" i="26"/>
  <c r="T16" i="26" s="1"/>
  <c r="C32" i="26"/>
  <c r="T17" i="26" s="1"/>
  <c r="H26" i="26"/>
  <c r="AW84" i="26"/>
  <c r="AM115" i="26" s="1"/>
  <c r="AM90" i="26"/>
  <c r="E521" i="26"/>
  <c r="F521" i="26"/>
  <c r="D521" i="26"/>
  <c r="G521" i="26"/>
  <c r="C521" i="26"/>
  <c r="D370" i="26"/>
  <c r="N364" i="26"/>
  <c r="U142" i="26" s="1"/>
  <c r="F461" i="26"/>
  <c r="E461" i="26"/>
  <c r="D461" i="26"/>
  <c r="C461" i="26"/>
  <c r="G461" i="26"/>
  <c r="E519" i="26"/>
  <c r="F519" i="26"/>
  <c r="C519" i="26"/>
  <c r="G519" i="26"/>
  <c r="D519" i="26"/>
  <c r="N451" i="26"/>
  <c r="U172" i="26" s="1"/>
  <c r="N395" i="26"/>
  <c r="W152" i="26" s="1"/>
  <c r="F399" i="26"/>
  <c r="H463" i="26"/>
  <c r="I463" i="26" s="1"/>
  <c r="D290" i="26"/>
  <c r="H232" i="26"/>
  <c r="I232" i="26" s="1"/>
  <c r="N425" i="26"/>
  <c r="X162" i="26" s="1"/>
  <c r="C573" i="26"/>
  <c r="N566" i="26"/>
  <c r="T212" i="26" s="1"/>
  <c r="N365" i="26"/>
  <c r="V142" i="26" s="1"/>
  <c r="H287" i="26"/>
  <c r="I287" i="26" s="1"/>
  <c r="C341" i="26"/>
  <c r="N334" i="26"/>
  <c r="T132" i="26" s="1"/>
  <c r="N192" i="26"/>
  <c r="W82" i="26" s="1"/>
  <c r="G319" i="26"/>
  <c r="G321" i="26" s="1"/>
  <c r="E319" i="26"/>
  <c r="E321" i="26" s="1"/>
  <c r="F319" i="26"/>
  <c r="D319" i="26"/>
  <c r="D321" i="26" s="1"/>
  <c r="C319" i="26"/>
  <c r="C321" i="26" s="1"/>
  <c r="H114" i="26"/>
  <c r="H116" i="26"/>
  <c r="I116" i="26" s="1"/>
  <c r="E88" i="26"/>
  <c r="H58" i="26"/>
  <c r="I58" i="26" s="1"/>
  <c r="H171" i="26"/>
  <c r="N48" i="26"/>
  <c r="X32" i="26" s="1"/>
  <c r="H174" i="26"/>
  <c r="D31" i="26"/>
  <c r="U16" i="26" s="1"/>
  <c r="H316" i="26"/>
  <c r="I316" i="26" s="1"/>
  <c r="E405" i="26"/>
  <c r="F405" i="26"/>
  <c r="D405" i="26"/>
  <c r="G405" i="26"/>
  <c r="C405" i="26"/>
  <c r="J338" i="26"/>
  <c r="N338" i="26"/>
  <c r="X132" i="26" s="1"/>
  <c r="O524" i="26"/>
  <c r="G551" i="26"/>
  <c r="G553" i="26" s="1"/>
  <c r="X196" i="26" s="1"/>
  <c r="X204" i="26" s="1"/>
  <c r="X249" i="26" s="1"/>
  <c r="C551" i="26"/>
  <c r="F551" i="26"/>
  <c r="F553" i="26" s="1"/>
  <c r="W196" i="26" s="1"/>
  <c r="W204" i="26" s="1"/>
  <c r="W249" i="26" s="1"/>
  <c r="D551" i="26"/>
  <c r="D553" i="26" s="1"/>
  <c r="E551" i="26"/>
  <c r="H347" i="26"/>
  <c r="I347" i="26" s="1"/>
  <c r="H432" i="26"/>
  <c r="I432" i="26" s="1"/>
  <c r="D261" i="26"/>
  <c r="C261" i="26"/>
  <c r="G261" i="26"/>
  <c r="F261" i="26"/>
  <c r="E261" i="26"/>
  <c r="I114" i="26"/>
  <c r="C88" i="26"/>
  <c r="C89" i="26" s="1"/>
  <c r="T36" i="26" s="1"/>
  <c r="T44" i="26" s="1"/>
  <c r="E31" i="26"/>
  <c r="V16" i="26" s="1"/>
  <c r="E515" i="26"/>
  <c r="N510" i="26"/>
  <c r="V192" i="26" s="1"/>
  <c r="C201" i="26"/>
  <c r="F462" i="26"/>
  <c r="E462" i="26"/>
  <c r="D462" i="26"/>
  <c r="G462" i="26"/>
  <c r="C462" i="26"/>
  <c r="F577" i="26"/>
  <c r="E577" i="26"/>
  <c r="D577" i="26"/>
  <c r="D583" i="26" s="1"/>
  <c r="U207" i="26" s="1"/>
  <c r="U215" i="26" s="1"/>
  <c r="G577" i="26"/>
  <c r="C577" i="26"/>
  <c r="E404" i="26"/>
  <c r="F404" i="26"/>
  <c r="G404" i="26"/>
  <c r="D404" i="26"/>
  <c r="C404" i="26"/>
  <c r="H433" i="26"/>
  <c r="I433" i="26" s="1"/>
  <c r="E376" i="26"/>
  <c r="D376" i="26"/>
  <c r="C376" i="26"/>
  <c r="G376" i="26"/>
  <c r="F376" i="26"/>
  <c r="H320" i="26"/>
  <c r="I320" i="26" s="1"/>
  <c r="H493" i="26"/>
  <c r="I493" i="26" s="1"/>
  <c r="N569" i="26"/>
  <c r="W212" i="26" s="1"/>
  <c r="F573" i="26"/>
  <c r="E288" i="26"/>
  <c r="E293" i="26" s="1"/>
  <c r="V107" i="26" s="1"/>
  <c r="V115" i="26" s="1"/>
  <c r="D288" i="26"/>
  <c r="C288" i="26"/>
  <c r="G288" i="26"/>
  <c r="F288" i="26"/>
  <c r="F292" i="26" s="1"/>
  <c r="E259" i="26"/>
  <c r="H550" i="26"/>
  <c r="I550" i="26" s="1"/>
  <c r="C349" i="26"/>
  <c r="H349" i="26" s="1"/>
  <c r="I349" i="26" s="1"/>
  <c r="N162" i="26"/>
  <c r="V72" i="26" s="1"/>
  <c r="E167" i="26"/>
  <c r="N366" i="26"/>
  <c r="W142" i="26" s="1"/>
  <c r="E85" i="26"/>
  <c r="G118" i="26"/>
  <c r="X46" i="26" s="1"/>
  <c r="X54" i="26" s="1"/>
  <c r="X234" i="26" s="1"/>
  <c r="D88" i="26"/>
  <c r="N18" i="26"/>
  <c r="W22" i="26" s="1"/>
  <c r="G31" i="26"/>
  <c r="G32" i="26"/>
  <c r="X17" i="26" s="1"/>
  <c r="F283" i="26"/>
  <c r="N279" i="26"/>
  <c r="W112" i="26" s="1"/>
  <c r="F515" i="26"/>
  <c r="N511" i="26"/>
  <c r="W192" i="26" s="1"/>
  <c r="H84" i="26"/>
  <c r="I84" i="26" s="1"/>
  <c r="AP90" i="26"/>
  <c r="AW87" i="26"/>
  <c r="AP115" i="26" s="1"/>
  <c r="N453" i="26"/>
  <c r="W172" i="26" s="1"/>
  <c r="F457" i="26"/>
  <c r="G515" i="26"/>
  <c r="N512" i="26"/>
  <c r="X192" i="26" s="1"/>
  <c r="O582" i="26"/>
  <c r="H579" i="26"/>
  <c r="I579" i="26" s="1"/>
  <c r="H345" i="26"/>
  <c r="I345" i="26" s="1"/>
  <c r="G436" i="26"/>
  <c r="G437" i="26" s="1"/>
  <c r="X156" i="26" s="1"/>
  <c r="X164" i="26" s="1"/>
  <c r="X245" i="26" s="1"/>
  <c r="C436" i="26"/>
  <c r="F436" i="26"/>
  <c r="E436" i="26"/>
  <c r="D436" i="26"/>
  <c r="D437" i="26" s="1"/>
  <c r="H318" i="26"/>
  <c r="I318" i="26" s="1"/>
  <c r="G144" i="26"/>
  <c r="F144" i="26"/>
  <c r="E144" i="26"/>
  <c r="D144" i="26"/>
  <c r="C144" i="26"/>
  <c r="G202" i="26"/>
  <c r="F202" i="26"/>
  <c r="E202" i="26"/>
  <c r="D202" i="26"/>
  <c r="C202" i="26"/>
  <c r="E225" i="26"/>
  <c r="N220" i="26"/>
  <c r="V92" i="26" s="1"/>
  <c r="E196" i="26"/>
  <c r="N191" i="26"/>
  <c r="V82" i="26" s="1"/>
  <c r="F88" i="26"/>
  <c r="F90" i="26" s="1"/>
  <c r="W37" i="26" s="1"/>
  <c r="W45" i="26" s="1"/>
  <c r="F57" i="26"/>
  <c r="E57" i="26"/>
  <c r="I59" i="26"/>
  <c r="F31" i="26"/>
  <c r="W16" i="26" s="1"/>
  <c r="F32" i="26"/>
  <c r="W17" i="26" s="1"/>
  <c r="AW87" i="25"/>
  <c r="AP115" i="25" s="1"/>
  <c r="AP90" i="25"/>
  <c r="C577" i="25"/>
  <c r="C582" i="25" s="1"/>
  <c r="C579" i="25"/>
  <c r="D579" i="25"/>
  <c r="O582" i="25"/>
  <c r="G579" i="25"/>
  <c r="H548" i="25"/>
  <c r="I548" i="25" s="1"/>
  <c r="D549" i="25"/>
  <c r="G549" i="25"/>
  <c r="H549" i="25" s="1"/>
  <c r="I549" i="25" s="1"/>
  <c r="G492" i="25"/>
  <c r="H464" i="25"/>
  <c r="I464" i="25" s="1"/>
  <c r="C467" i="25"/>
  <c r="T167" i="25" s="1"/>
  <c r="T175" i="25" s="1"/>
  <c r="E467" i="25"/>
  <c r="V167" i="25" s="1"/>
  <c r="V175" i="25" s="1"/>
  <c r="O437" i="25"/>
  <c r="C433" i="25"/>
  <c r="F432" i="25"/>
  <c r="D432" i="25"/>
  <c r="E432" i="25"/>
  <c r="G404" i="25"/>
  <c r="G405" i="25"/>
  <c r="F404" i="25"/>
  <c r="F405" i="25"/>
  <c r="D404" i="25"/>
  <c r="D405" i="25"/>
  <c r="D320" i="25"/>
  <c r="H288" i="25"/>
  <c r="I288" i="25" s="1"/>
  <c r="C264" i="25"/>
  <c r="T97" i="25" s="1"/>
  <c r="T105" i="25" s="1"/>
  <c r="H261" i="25"/>
  <c r="I261" i="25" s="1"/>
  <c r="D258" i="25"/>
  <c r="D263" i="25" s="1"/>
  <c r="U96" i="25" s="1"/>
  <c r="U104" i="25" s="1"/>
  <c r="U239" i="25" s="1"/>
  <c r="E258" i="25"/>
  <c r="D259" i="25"/>
  <c r="F259" i="25"/>
  <c r="C172" i="25"/>
  <c r="G172" i="25"/>
  <c r="H145" i="25"/>
  <c r="G87" i="25"/>
  <c r="D27" i="25"/>
  <c r="E27" i="25"/>
  <c r="F27" i="25"/>
  <c r="C27" i="25"/>
  <c r="H27" i="25" s="1"/>
  <c r="I27" i="25" s="1"/>
  <c r="F578" i="25"/>
  <c r="N538" i="25"/>
  <c r="U202" i="25" s="1"/>
  <c r="N537" i="25"/>
  <c r="T202" i="25" s="1"/>
  <c r="F544" i="25"/>
  <c r="N540" i="25"/>
  <c r="W202" i="25" s="1"/>
  <c r="N509" i="25"/>
  <c r="U192" i="25" s="1"/>
  <c r="F515" i="25"/>
  <c r="N511" i="25"/>
  <c r="W192" i="25" s="1"/>
  <c r="N479" i="25"/>
  <c r="T182" i="25" s="1"/>
  <c r="N481" i="25"/>
  <c r="V182" i="25" s="1"/>
  <c r="F466" i="25"/>
  <c r="W166" i="25" s="1"/>
  <c r="W174" i="25" s="1"/>
  <c r="W246" i="25" s="1"/>
  <c r="G466" i="25"/>
  <c r="X166" i="25" s="1"/>
  <c r="X174" i="25" s="1"/>
  <c r="X246" i="25" s="1"/>
  <c r="D467" i="25"/>
  <c r="U167" i="25" s="1"/>
  <c r="U175" i="25" s="1"/>
  <c r="C428" i="25"/>
  <c r="N421" i="25"/>
  <c r="T162" i="25" s="1"/>
  <c r="F399" i="25"/>
  <c r="N395" i="25"/>
  <c r="W152" i="25" s="1"/>
  <c r="H377" i="25"/>
  <c r="I377" i="25" s="1"/>
  <c r="H376" i="25"/>
  <c r="I376" i="25" s="1"/>
  <c r="E320" i="25"/>
  <c r="N305" i="25"/>
  <c r="T122" i="25" s="1"/>
  <c r="G292" i="25"/>
  <c r="X106" i="25" s="1"/>
  <c r="X114" i="25" s="1"/>
  <c r="X240" i="25" s="1"/>
  <c r="H260" i="25"/>
  <c r="I260" i="25" s="1"/>
  <c r="E264" i="25"/>
  <c r="V97" i="25" s="1"/>
  <c r="V105" i="25" s="1"/>
  <c r="N221" i="25"/>
  <c r="W92" i="25" s="1"/>
  <c r="J221" i="25"/>
  <c r="N220" i="25"/>
  <c r="V92" i="25" s="1"/>
  <c r="N219" i="25"/>
  <c r="U92" i="25" s="1"/>
  <c r="H173" i="25"/>
  <c r="F144" i="25"/>
  <c r="G144" i="25"/>
  <c r="D144" i="25"/>
  <c r="N106" i="25"/>
  <c r="X52" i="25" s="1"/>
  <c r="G109" i="25"/>
  <c r="N73" i="25"/>
  <c r="T42" i="25" s="1"/>
  <c r="G86" i="25"/>
  <c r="E86" i="25"/>
  <c r="C86" i="25"/>
  <c r="H87" i="25"/>
  <c r="I87" i="25" s="1"/>
  <c r="H85" i="25"/>
  <c r="I85" i="25" s="1"/>
  <c r="N44" i="25"/>
  <c r="T32" i="25" s="1"/>
  <c r="C51" i="25"/>
  <c r="H56" i="25"/>
  <c r="H59" i="25"/>
  <c r="I59" i="25" s="1"/>
  <c r="D58" i="25"/>
  <c r="H58" i="25" s="1"/>
  <c r="I58" i="25" s="1"/>
  <c r="F58" i="25"/>
  <c r="E58" i="25"/>
  <c r="K288" i="25"/>
  <c r="P288" i="25" s="1"/>
  <c r="J288" i="25"/>
  <c r="U111" i="25" s="1"/>
  <c r="U110" i="25"/>
  <c r="D550" i="25"/>
  <c r="C550" i="25"/>
  <c r="G550" i="25"/>
  <c r="E550" i="25"/>
  <c r="F550" i="25"/>
  <c r="O350" i="25"/>
  <c r="C434" i="25"/>
  <c r="C437" i="25" s="1"/>
  <c r="T156" i="25" s="1"/>
  <c r="T164" i="25" s="1"/>
  <c r="G434" i="25"/>
  <c r="F434" i="25"/>
  <c r="D434" i="25"/>
  <c r="E434" i="25"/>
  <c r="D493" i="25"/>
  <c r="O495" i="25"/>
  <c r="C316" i="25"/>
  <c r="H174" i="25"/>
  <c r="I174" i="25" s="1"/>
  <c r="N251" i="25"/>
  <c r="X102" i="25" s="1"/>
  <c r="G254" i="25"/>
  <c r="E263" i="25"/>
  <c r="V96" i="25" s="1"/>
  <c r="V104" i="25" s="1"/>
  <c r="V239" i="25" s="1"/>
  <c r="AX99" i="25"/>
  <c r="H88" i="25"/>
  <c r="I88" i="25" s="1"/>
  <c r="H461" i="25"/>
  <c r="N77" i="25"/>
  <c r="X42" i="25" s="1"/>
  <c r="G80" i="25"/>
  <c r="E142" i="25"/>
  <c r="D142" i="25"/>
  <c r="C142" i="25"/>
  <c r="F142" i="25"/>
  <c r="G142" i="25"/>
  <c r="J337" i="25"/>
  <c r="N337" i="25"/>
  <c r="W132" i="25" s="1"/>
  <c r="C348" i="25"/>
  <c r="G348" i="25"/>
  <c r="F348" i="25"/>
  <c r="E348" i="25"/>
  <c r="D348" i="25"/>
  <c r="J548" i="25"/>
  <c r="T201" i="25" s="1"/>
  <c r="T200" i="25"/>
  <c r="N454" i="25"/>
  <c r="X172" i="25" s="1"/>
  <c r="G457" i="25"/>
  <c r="H432" i="25"/>
  <c r="E493" i="25"/>
  <c r="N248" i="25"/>
  <c r="U102" i="25" s="1"/>
  <c r="J248" i="25"/>
  <c r="D492" i="25"/>
  <c r="H492" i="25" s="1"/>
  <c r="D316" i="25"/>
  <c r="N334" i="25"/>
  <c r="T132" i="25" s="1"/>
  <c r="F263" i="25"/>
  <c r="W96" i="25" s="1"/>
  <c r="W104" i="25" s="1"/>
  <c r="W239" i="25" s="1"/>
  <c r="F264" i="25"/>
  <c r="W97" i="25" s="1"/>
  <c r="W105" i="25" s="1"/>
  <c r="I145" i="25"/>
  <c r="F80" i="25"/>
  <c r="N76" i="25"/>
  <c r="W42" i="25" s="1"/>
  <c r="E84" i="25"/>
  <c r="D84" i="25"/>
  <c r="C84" i="25"/>
  <c r="G84" i="25"/>
  <c r="F84" i="25"/>
  <c r="C22" i="25"/>
  <c r="N15" i="25"/>
  <c r="T22" i="25" s="1"/>
  <c r="C552" i="25"/>
  <c r="G552" i="25"/>
  <c r="F552" i="25"/>
  <c r="D552" i="25"/>
  <c r="E552" i="25"/>
  <c r="F523" i="25"/>
  <c r="E523" i="25"/>
  <c r="D523" i="25"/>
  <c r="N48" i="25"/>
  <c r="X32" i="25" s="1"/>
  <c r="G51" i="25"/>
  <c r="E51" i="25"/>
  <c r="N46" i="25"/>
  <c r="V32" i="25" s="1"/>
  <c r="H578" i="25"/>
  <c r="I578" i="25" s="1"/>
  <c r="E317" i="25"/>
  <c r="C457" i="25"/>
  <c r="N450" i="25"/>
  <c r="T172" i="25" s="1"/>
  <c r="C346" i="25"/>
  <c r="G346" i="25"/>
  <c r="E346" i="25"/>
  <c r="D346" i="25"/>
  <c r="F346" i="25"/>
  <c r="N510" i="25"/>
  <c r="V192" i="25" s="1"/>
  <c r="N539" i="25"/>
  <c r="V202" i="25" s="1"/>
  <c r="I581" i="25"/>
  <c r="F493" i="25"/>
  <c r="G494" i="25"/>
  <c r="H291" i="25"/>
  <c r="I291" i="25" s="1"/>
  <c r="H229" i="25"/>
  <c r="I229" i="25" s="1"/>
  <c r="G320" i="25"/>
  <c r="E492" i="25"/>
  <c r="E316" i="25"/>
  <c r="C407" i="25"/>
  <c r="F320" i="25"/>
  <c r="G231" i="25"/>
  <c r="F231" i="25"/>
  <c r="E231" i="25"/>
  <c r="D231" i="25"/>
  <c r="C231" i="25"/>
  <c r="H200" i="25"/>
  <c r="I200" i="25" s="1"/>
  <c r="I173" i="25"/>
  <c r="G171" i="25"/>
  <c r="F171" i="25"/>
  <c r="E171" i="25"/>
  <c r="D171" i="25"/>
  <c r="C171" i="25"/>
  <c r="G263" i="25"/>
  <c r="X96" i="25" s="1"/>
  <c r="X104" i="25" s="1"/>
  <c r="X239" i="25" s="1"/>
  <c r="F138" i="25"/>
  <c r="N134" i="25"/>
  <c r="W62" i="25" s="1"/>
  <c r="AP97" i="25"/>
  <c r="AO97" i="25"/>
  <c r="AL97" i="25"/>
  <c r="N190" i="25"/>
  <c r="U82" i="25" s="1"/>
  <c r="D196" i="25"/>
  <c r="N45" i="25"/>
  <c r="U32" i="25" s="1"/>
  <c r="D51" i="25"/>
  <c r="AN96" i="25"/>
  <c r="AP96" i="25"/>
  <c r="AO96" i="25"/>
  <c r="AM96" i="25"/>
  <c r="AL96" i="25"/>
  <c r="AW84" i="25"/>
  <c r="AM115" i="25" s="1"/>
  <c r="F347" i="25"/>
  <c r="E347" i="25"/>
  <c r="D347" i="25"/>
  <c r="H347" i="25" s="1"/>
  <c r="E116" i="25"/>
  <c r="D116" i="25"/>
  <c r="C116" i="25"/>
  <c r="F116" i="25"/>
  <c r="G116" i="25"/>
  <c r="G119" i="25" s="1"/>
  <c r="X47" i="25" s="1"/>
  <c r="X55" i="25" s="1"/>
  <c r="H463" i="25"/>
  <c r="I463" i="25" s="1"/>
  <c r="C493" i="25"/>
  <c r="H494" i="25"/>
  <c r="D317" i="25"/>
  <c r="C345" i="25"/>
  <c r="G345" i="25"/>
  <c r="F345" i="25"/>
  <c r="E345" i="25"/>
  <c r="D345" i="25"/>
  <c r="H579" i="25"/>
  <c r="I579" i="25" s="1"/>
  <c r="N541" i="25"/>
  <c r="X202" i="25" s="1"/>
  <c r="G544" i="25"/>
  <c r="N453" i="25"/>
  <c r="W172" i="25" s="1"/>
  <c r="N569" i="25"/>
  <c r="W212" i="25" s="1"/>
  <c r="J569" i="25"/>
  <c r="C349" i="25"/>
  <c r="G349" i="25"/>
  <c r="F349" i="25"/>
  <c r="E349" i="25"/>
  <c r="D349" i="25"/>
  <c r="F492" i="25"/>
  <c r="C318" i="25"/>
  <c r="N306" i="25"/>
  <c r="U122" i="25" s="1"/>
  <c r="D312" i="25"/>
  <c r="AL94" i="25"/>
  <c r="G583" i="25"/>
  <c r="X207" i="25" s="1"/>
  <c r="X215" i="25" s="1"/>
  <c r="F407" i="25"/>
  <c r="D407" i="25"/>
  <c r="E407" i="25"/>
  <c r="D109" i="25"/>
  <c r="N103" i="25"/>
  <c r="U52" i="25" s="1"/>
  <c r="D573" i="25"/>
  <c r="N567" i="25"/>
  <c r="U212" i="25" s="1"/>
  <c r="G436" i="25"/>
  <c r="F436" i="25"/>
  <c r="E436" i="25"/>
  <c r="E437" i="25" s="1"/>
  <c r="V156" i="25" s="1"/>
  <c r="V164" i="25" s="1"/>
  <c r="V245" i="25" s="1"/>
  <c r="D436" i="25"/>
  <c r="C436" i="25"/>
  <c r="C523" i="25"/>
  <c r="N394" i="25"/>
  <c r="V152" i="25" s="1"/>
  <c r="F292" i="25"/>
  <c r="W106" i="25" s="1"/>
  <c r="W114" i="25" s="1"/>
  <c r="W240" i="25" s="1"/>
  <c r="F293" i="25"/>
  <c r="W107" i="25" s="1"/>
  <c r="W115" i="25" s="1"/>
  <c r="F319" i="25"/>
  <c r="E319" i="25"/>
  <c r="D319" i="25"/>
  <c r="C319" i="25"/>
  <c r="G319" i="25"/>
  <c r="N308" i="25"/>
  <c r="W122" i="25" s="1"/>
  <c r="D318" i="25"/>
  <c r="F113" i="25"/>
  <c r="E113" i="25"/>
  <c r="G113" i="25"/>
  <c r="D113" i="25"/>
  <c r="C113" i="25"/>
  <c r="G29" i="25"/>
  <c r="F29" i="25"/>
  <c r="E29" i="25"/>
  <c r="D29" i="25"/>
  <c r="C29" i="25"/>
  <c r="AM94" i="25"/>
  <c r="N18" i="25"/>
  <c r="W22" i="25" s="1"/>
  <c r="F22" i="25"/>
  <c r="G167" i="25"/>
  <c r="N164" i="25"/>
  <c r="X72" i="25" s="1"/>
  <c r="H577" i="25"/>
  <c r="H522" i="25"/>
  <c r="I522" i="25" s="1"/>
  <c r="C403" i="25"/>
  <c r="G403" i="25"/>
  <c r="F403" i="25"/>
  <c r="D403" i="25"/>
  <c r="E403" i="25"/>
  <c r="G580" i="25"/>
  <c r="F580" i="25"/>
  <c r="F582" i="25" s="1"/>
  <c r="W206" i="25" s="1"/>
  <c r="W214" i="25" s="1"/>
  <c r="W250" i="25" s="1"/>
  <c r="E580" i="25"/>
  <c r="E583" i="25" s="1"/>
  <c r="V207" i="25" s="1"/>
  <c r="V215" i="25" s="1"/>
  <c r="D580" i="25"/>
  <c r="C580" i="25"/>
  <c r="E292" i="25"/>
  <c r="V106" i="25" s="1"/>
  <c r="V114" i="25" s="1"/>
  <c r="V240" i="25" s="1"/>
  <c r="E293" i="25"/>
  <c r="V107" i="25" s="1"/>
  <c r="V115" i="25" s="1"/>
  <c r="N366" i="25"/>
  <c r="W142" i="25" s="1"/>
  <c r="F370" i="25"/>
  <c r="E318" i="25"/>
  <c r="N480" i="25"/>
  <c r="U182" i="25" s="1"/>
  <c r="D486" i="25"/>
  <c r="H203" i="25"/>
  <c r="I203" i="25" s="1"/>
  <c r="N161" i="25"/>
  <c r="U72" i="25" s="1"/>
  <c r="G146" i="25"/>
  <c r="F146" i="25"/>
  <c r="E146" i="25"/>
  <c r="D146" i="25"/>
  <c r="C146" i="25"/>
  <c r="H146" i="25" s="1"/>
  <c r="C204" i="25"/>
  <c r="G204" i="25"/>
  <c r="F204" i="25"/>
  <c r="F205" i="25" s="1"/>
  <c r="W76" i="25" s="1"/>
  <c r="W84" i="25" s="1"/>
  <c r="W237" i="25" s="1"/>
  <c r="E204" i="25"/>
  <c r="D204" i="25"/>
  <c r="N102" i="25"/>
  <c r="T52" i="25" s="1"/>
  <c r="F202" i="25"/>
  <c r="D202" i="25"/>
  <c r="D206" i="25" s="1"/>
  <c r="U77" i="25" s="1"/>
  <c r="U85" i="25" s="1"/>
  <c r="C202" i="25"/>
  <c r="E202" i="25"/>
  <c r="G202" i="25"/>
  <c r="G55" i="25"/>
  <c r="F55" i="25"/>
  <c r="E55" i="25"/>
  <c r="C55" i="25"/>
  <c r="C61" i="25" s="1"/>
  <c r="T27" i="25" s="1"/>
  <c r="T35" i="25" s="1"/>
  <c r="D55" i="25"/>
  <c r="D61" i="25" s="1"/>
  <c r="U27" i="25" s="1"/>
  <c r="U35" i="25" s="1"/>
  <c r="N160" i="25"/>
  <c r="T72" i="25" s="1"/>
  <c r="F28" i="25"/>
  <c r="E28" i="25"/>
  <c r="C28" i="25"/>
  <c r="D28" i="25"/>
  <c r="N19" i="25"/>
  <c r="X22" i="25" s="1"/>
  <c r="G22" i="25"/>
  <c r="AP94" i="25"/>
  <c r="C31" i="25"/>
  <c r="T16" i="25" s="1"/>
  <c r="H26" i="25"/>
  <c r="I26" i="25" s="1"/>
  <c r="N568" i="25"/>
  <c r="V212" i="25" s="1"/>
  <c r="E573" i="25"/>
  <c r="F490" i="25"/>
  <c r="E490" i="25"/>
  <c r="E496" i="25" s="1"/>
  <c r="V177" i="25" s="1"/>
  <c r="V185" i="25" s="1"/>
  <c r="D490" i="25"/>
  <c r="C490" i="25"/>
  <c r="G490" i="25"/>
  <c r="H520" i="25"/>
  <c r="I520" i="25" s="1"/>
  <c r="O524" i="25"/>
  <c r="O408" i="25"/>
  <c r="H491" i="25"/>
  <c r="I491" i="25" s="1"/>
  <c r="H287" i="25"/>
  <c r="C292" i="25"/>
  <c r="T106" i="25" s="1"/>
  <c r="T114" i="25" s="1"/>
  <c r="C293" i="25"/>
  <c r="T107" i="25" s="1"/>
  <c r="T115" i="25" s="1"/>
  <c r="N367" i="25"/>
  <c r="X142" i="25" s="1"/>
  <c r="G370" i="25"/>
  <c r="G230" i="25"/>
  <c r="F230" i="25"/>
  <c r="E230" i="25"/>
  <c r="E235" i="25" s="1"/>
  <c r="V87" i="25" s="1"/>
  <c r="V95" i="25" s="1"/>
  <c r="D230" i="25"/>
  <c r="C230" i="25"/>
  <c r="F318" i="25"/>
  <c r="F322" i="25" s="1"/>
  <c r="W117" i="25" s="1"/>
  <c r="W125" i="25" s="1"/>
  <c r="H289" i="25"/>
  <c r="F117" i="25"/>
  <c r="E117" i="25"/>
  <c r="D117" i="25"/>
  <c r="C117" i="25"/>
  <c r="G117" i="25"/>
  <c r="H262" i="25"/>
  <c r="I262" i="25" s="1"/>
  <c r="AO98" i="25"/>
  <c r="AN98" i="25"/>
  <c r="AM98" i="25"/>
  <c r="AL98" i="25"/>
  <c r="AW85" i="25"/>
  <c r="AN115" i="25" s="1"/>
  <c r="H143" i="25"/>
  <c r="I143" i="25" s="1"/>
  <c r="J17" i="25"/>
  <c r="N17" i="25"/>
  <c r="V22" i="25" s="1"/>
  <c r="AN94" i="25"/>
  <c r="I56" i="25"/>
  <c r="AA287" i="25"/>
  <c r="AA288" i="25"/>
  <c r="G347" i="25"/>
  <c r="N423" i="25"/>
  <c r="V162" i="25" s="1"/>
  <c r="E428" i="25"/>
  <c r="G399" i="25"/>
  <c r="N396" i="25"/>
  <c r="X152" i="25" s="1"/>
  <c r="AP95" i="25"/>
  <c r="AL95" i="25"/>
  <c r="AO95" i="25"/>
  <c r="AN95" i="25"/>
  <c r="AM95" i="25"/>
  <c r="I462" i="25"/>
  <c r="D466" i="25"/>
  <c r="U166" i="25" s="1"/>
  <c r="U174" i="25" s="1"/>
  <c r="U246" i="25" s="1"/>
  <c r="G467" i="25"/>
  <c r="X167" i="25" s="1"/>
  <c r="X175" i="25" s="1"/>
  <c r="G493" i="25"/>
  <c r="F437" i="25"/>
  <c r="W156" i="25" s="1"/>
  <c r="W164" i="25" s="1"/>
  <c r="W245" i="25" s="1"/>
  <c r="N482" i="25"/>
  <c r="W182" i="25" s="1"/>
  <c r="F486" i="25"/>
  <c r="F468" i="25"/>
  <c r="H378" i="25"/>
  <c r="I378" i="25" s="1"/>
  <c r="J249" i="25"/>
  <c r="N249" i="25"/>
  <c r="V102" i="25" s="1"/>
  <c r="H290" i="25"/>
  <c r="G375" i="25"/>
  <c r="G379" i="25" s="1"/>
  <c r="F375" i="25"/>
  <c r="F380" i="25" s="1"/>
  <c r="W137" i="25" s="1"/>
  <c r="W145" i="25" s="1"/>
  <c r="E375" i="25"/>
  <c r="E380" i="25" s="1"/>
  <c r="V137" i="25" s="1"/>
  <c r="V145" i="25" s="1"/>
  <c r="D375" i="25"/>
  <c r="C375" i="25"/>
  <c r="H435" i="25"/>
  <c r="I435" i="25" s="1"/>
  <c r="D264" i="25"/>
  <c r="U97" i="25" s="1"/>
  <c r="U105" i="25" s="1"/>
  <c r="G293" i="25"/>
  <c r="X107" i="25" s="1"/>
  <c r="X115" i="25" s="1"/>
  <c r="AM97" i="25"/>
  <c r="N191" i="25"/>
  <c r="V82" i="25" s="1"/>
  <c r="K175" i="25"/>
  <c r="P175" i="25" s="1"/>
  <c r="J175" i="25"/>
  <c r="X71" i="25" s="1"/>
  <c r="X70" i="25"/>
  <c r="AS83" i="25"/>
  <c r="AW83" i="25"/>
  <c r="AL115" i="25" s="1"/>
  <c r="E114" i="25"/>
  <c r="D114" i="25"/>
  <c r="H114" i="25" s="1"/>
  <c r="N135" i="25"/>
  <c r="X62" i="25" s="1"/>
  <c r="C30" i="25"/>
  <c r="G30" i="25"/>
  <c r="F30" i="25"/>
  <c r="E30" i="25"/>
  <c r="D30" i="25"/>
  <c r="AO94" i="25"/>
  <c r="G57" i="25"/>
  <c r="G61" i="25" s="1"/>
  <c r="X27" i="25" s="1"/>
  <c r="X35" i="25" s="1"/>
  <c r="E57" i="25"/>
  <c r="D57" i="25"/>
  <c r="C57" i="25"/>
  <c r="F57" i="25"/>
  <c r="F61" i="25" s="1"/>
  <c r="W27" i="25" s="1"/>
  <c r="W35" i="25" s="1"/>
  <c r="O321" i="25"/>
  <c r="C263" i="25"/>
  <c r="T96" i="25" s="1"/>
  <c r="T104" i="25" s="1"/>
  <c r="E109" i="25"/>
  <c r="N104" i="25"/>
  <c r="V52" i="25" s="1"/>
  <c r="G317" i="25"/>
  <c r="H462" i="25"/>
  <c r="C466" i="25"/>
  <c r="J363" i="25"/>
  <c r="N363" i="25"/>
  <c r="T142" i="25" s="1"/>
  <c r="E582" i="25"/>
  <c r="V206" i="25" s="1"/>
  <c r="V214" i="25" s="1"/>
  <c r="V250" i="25" s="1"/>
  <c r="H465" i="25"/>
  <c r="I465" i="25" s="1"/>
  <c r="H551" i="25"/>
  <c r="I551" i="25" s="1"/>
  <c r="G521" i="25"/>
  <c r="F521" i="25"/>
  <c r="D521" i="25"/>
  <c r="E521" i="25"/>
  <c r="C405" i="25"/>
  <c r="H405" i="25" s="1"/>
  <c r="I405" i="25" s="1"/>
  <c r="F317" i="25"/>
  <c r="D292" i="25"/>
  <c r="D293" i="25"/>
  <c r="U107" i="25" s="1"/>
  <c r="U115" i="25" s="1"/>
  <c r="N250" i="25"/>
  <c r="W102" i="25" s="1"/>
  <c r="F254" i="25"/>
  <c r="O234" i="25"/>
  <c r="N336" i="25"/>
  <c r="V132" i="25" s="1"/>
  <c r="N424" i="25"/>
  <c r="W162" i="25" s="1"/>
  <c r="I289" i="25"/>
  <c r="D205" i="25"/>
  <c r="U76" i="25" s="1"/>
  <c r="U84" i="25" s="1"/>
  <c r="U237" i="25" s="1"/>
  <c r="C379" i="25"/>
  <c r="T136" i="25" s="1"/>
  <c r="T144" i="25" s="1"/>
  <c r="H374" i="25"/>
  <c r="I374" i="25" s="1"/>
  <c r="AN97" i="25"/>
  <c r="C115" i="25"/>
  <c r="G115" i="25"/>
  <c r="F115" i="25"/>
  <c r="E115" i="25"/>
  <c r="D115" i="25"/>
  <c r="O60" i="25"/>
  <c r="C119" i="25"/>
  <c r="T47" i="25" s="1"/>
  <c r="T55" i="25" s="1"/>
  <c r="O118" i="25"/>
  <c r="N131" i="25"/>
  <c r="T62" i="25" s="1"/>
  <c r="J131" i="25"/>
  <c r="J16" i="25"/>
  <c r="N16" i="25"/>
  <c r="U22" i="25" s="1"/>
  <c r="O31" i="25"/>
  <c r="H404" i="25"/>
  <c r="I404" i="25" s="1"/>
  <c r="N570" i="25"/>
  <c r="X212" i="25" s="1"/>
  <c r="G573" i="25"/>
  <c r="N422" i="25"/>
  <c r="U162" i="25" s="1"/>
  <c r="D428" i="25"/>
  <c r="F467" i="25"/>
  <c r="W167" i="25" s="1"/>
  <c r="W175" i="25" s="1"/>
  <c r="E466" i="25"/>
  <c r="V166" i="25" s="1"/>
  <c r="V174" i="25" s="1"/>
  <c r="V246" i="25" s="1"/>
  <c r="N393" i="25"/>
  <c r="U152" i="25" s="1"/>
  <c r="F406" i="25"/>
  <c r="E406" i="25"/>
  <c r="D406" i="25"/>
  <c r="C406" i="25"/>
  <c r="G318" i="25"/>
  <c r="I290" i="25"/>
  <c r="N276" i="25"/>
  <c r="T112" i="25" s="1"/>
  <c r="C283" i="25"/>
  <c r="D233" i="25"/>
  <c r="C233" i="25"/>
  <c r="H233" i="25" s="1"/>
  <c r="I233" i="25" s="1"/>
  <c r="H433" i="25"/>
  <c r="I433" i="25" s="1"/>
  <c r="C519" i="25"/>
  <c r="E519" i="25"/>
  <c r="D519" i="25"/>
  <c r="F519" i="25"/>
  <c r="F525" i="25" s="1"/>
  <c r="W187" i="25" s="1"/>
  <c r="W195" i="25" s="1"/>
  <c r="G519" i="25"/>
  <c r="H232" i="25"/>
  <c r="I232" i="25" s="1"/>
  <c r="C196" i="25"/>
  <c r="N189" i="25"/>
  <c r="T82" i="25" s="1"/>
  <c r="H201" i="25"/>
  <c r="I201" i="25" s="1"/>
  <c r="H144" i="25"/>
  <c r="I144" i="25" s="1"/>
  <c r="N278" i="25"/>
  <c r="V112" i="25" s="1"/>
  <c r="AW84" i="24"/>
  <c r="AM115" i="24" s="1"/>
  <c r="D583" i="24"/>
  <c r="U207" i="24" s="1"/>
  <c r="U215" i="24" s="1"/>
  <c r="F583" i="24"/>
  <c r="W207" i="24" s="1"/>
  <c r="W215" i="24" s="1"/>
  <c r="H578" i="24"/>
  <c r="O553" i="24"/>
  <c r="C550" i="24"/>
  <c r="E554" i="24"/>
  <c r="V197" i="24" s="1"/>
  <c r="V205" i="24" s="1"/>
  <c r="C548" i="24"/>
  <c r="C553" i="24" s="1"/>
  <c r="H549" i="24"/>
  <c r="E493" i="24"/>
  <c r="H433" i="24"/>
  <c r="I433" i="24" s="1"/>
  <c r="E438" i="24"/>
  <c r="V157" i="24" s="1"/>
  <c r="V165" i="24" s="1"/>
  <c r="O437" i="24"/>
  <c r="D432" i="24"/>
  <c r="H349" i="24"/>
  <c r="I349" i="24" s="1"/>
  <c r="K349" i="24" s="1"/>
  <c r="P349" i="24" s="1"/>
  <c r="E318" i="24"/>
  <c r="F317" i="24"/>
  <c r="C288" i="24"/>
  <c r="H288" i="24" s="1"/>
  <c r="I288" i="24" s="1"/>
  <c r="F288" i="24"/>
  <c r="O292" i="24"/>
  <c r="E258" i="24"/>
  <c r="F258" i="24"/>
  <c r="G200" i="24"/>
  <c r="D201" i="24"/>
  <c r="D172" i="24"/>
  <c r="G172" i="24"/>
  <c r="H172" i="24" s="1"/>
  <c r="I172" i="24" s="1"/>
  <c r="H173" i="24"/>
  <c r="O147" i="24"/>
  <c r="E142" i="24"/>
  <c r="H142" i="24" s="1"/>
  <c r="C145" i="24"/>
  <c r="D145" i="24"/>
  <c r="H88" i="24"/>
  <c r="H55" i="24"/>
  <c r="I55" i="24" s="1"/>
  <c r="K55" i="24" s="1"/>
  <c r="P55" i="24" s="1"/>
  <c r="C61" i="24"/>
  <c r="T27" i="24" s="1"/>
  <c r="T35" i="24" s="1"/>
  <c r="H30" i="24"/>
  <c r="E583" i="24"/>
  <c r="V207" i="24" s="1"/>
  <c r="V215" i="24" s="1"/>
  <c r="G582" i="24"/>
  <c r="X206" i="24" s="1"/>
  <c r="X214" i="24" s="1"/>
  <c r="X250" i="24" s="1"/>
  <c r="H551" i="24"/>
  <c r="I551" i="24" s="1"/>
  <c r="C544" i="24"/>
  <c r="H550" i="24"/>
  <c r="I550" i="24" s="1"/>
  <c r="F553" i="24"/>
  <c r="W196" i="24" s="1"/>
  <c r="W204" i="24" s="1"/>
  <c r="W249" i="24" s="1"/>
  <c r="N539" i="24"/>
  <c r="V202" i="24" s="1"/>
  <c r="N508" i="24"/>
  <c r="T192" i="24" s="1"/>
  <c r="J508" i="24"/>
  <c r="N453" i="24"/>
  <c r="W172" i="24" s="1"/>
  <c r="H435" i="24"/>
  <c r="N425" i="24"/>
  <c r="X162" i="24" s="1"/>
  <c r="N423" i="24"/>
  <c r="V162" i="24" s="1"/>
  <c r="D438" i="24"/>
  <c r="U157" i="24" s="1"/>
  <c r="U165" i="24" s="1"/>
  <c r="N396" i="24"/>
  <c r="X152" i="24" s="1"/>
  <c r="H347" i="24"/>
  <c r="F345" i="24"/>
  <c r="H345" i="24" s="1"/>
  <c r="I345" i="24" s="1"/>
  <c r="G345" i="24"/>
  <c r="C341" i="24"/>
  <c r="N334" i="24"/>
  <c r="T132" i="24" s="1"/>
  <c r="F312" i="24"/>
  <c r="N308" i="24"/>
  <c r="W122" i="24" s="1"/>
  <c r="D312" i="24"/>
  <c r="N306" i="24"/>
  <c r="U122" i="24" s="1"/>
  <c r="F290" i="24"/>
  <c r="D290" i="24"/>
  <c r="H290" i="24" s="1"/>
  <c r="I290" i="24" s="1"/>
  <c r="N250" i="24"/>
  <c r="W102" i="24" s="1"/>
  <c r="J250" i="24"/>
  <c r="N219" i="24"/>
  <c r="U92" i="24" s="1"/>
  <c r="G175" i="24"/>
  <c r="E175" i="24"/>
  <c r="D175" i="24"/>
  <c r="F175" i="24"/>
  <c r="C175" i="24"/>
  <c r="H175" i="24" s="1"/>
  <c r="N132" i="24"/>
  <c r="U62" i="24" s="1"/>
  <c r="E86" i="24"/>
  <c r="F86" i="24"/>
  <c r="N76" i="24"/>
  <c r="W42" i="24" s="1"/>
  <c r="J76" i="24"/>
  <c r="C86" i="24"/>
  <c r="H86" i="24" s="1"/>
  <c r="I86" i="24" s="1"/>
  <c r="H87" i="24"/>
  <c r="F61" i="24"/>
  <c r="W27" i="24" s="1"/>
  <c r="W35" i="24" s="1"/>
  <c r="E60" i="24"/>
  <c r="V26" i="24" s="1"/>
  <c r="V34" i="24" s="1"/>
  <c r="V232" i="24" s="1"/>
  <c r="G61" i="24"/>
  <c r="X27" i="24" s="1"/>
  <c r="X35" i="24" s="1"/>
  <c r="X130" i="24"/>
  <c r="K519" i="24"/>
  <c r="P519" i="24" s="1"/>
  <c r="J519" i="24"/>
  <c r="T191" i="24" s="1"/>
  <c r="T190" i="24"/>
  <c r="D146" i="24"/>
  <c r="C146" i="24"/>
  <c r="G146" i="24"/>
  <c r="E146" i="24"/>
  <c r="F146" i="24"/>
  <c r="I88" i="24"/>
  <c r="AP94" i="24"/>
  <c r="AO94" i="24"/>
  <c r="AN94" i="24"/>
  <c r="AM94" i="24"/>
  <c r="AL94" i="24"/>
  <c r="I59" i="24"/>
  <c r="J483" i="24"/>
  <c r="N483" i="24"/>
  <c r="X182" i="24" s="1"/>
  <c r="D573" i="24"/>
  <c r="N567" i="24"/>
  <c r="U212" i="24" s="1"/>
  <c r="G494" i="24"/>
  <c r="F494" i="24"/>
  <c r="E494" i="24"/>
  <c r="D494" i="24"/>
  <c r="C494" i="24"/>
  <c r="I578" i="24"/>
  <c r="H465" i="24"/>
  <c r="I465" i="24" s="1"/>
  <c r="J394" i="24"/>
  <c r="N394" i="24"/>
  <c r="V152" i="24" s="1"/>
  <c r="N367" i="24"/>
  <c r="X142" i="24" s="1"/>
  <c r="J367" i="24"/>
  <c r="D370" i="24"/>
  <c r="N364" i="24"/>
  <c r="U142" i="24" s="1"/>
  <c r="N278" i="24"/>
  <c r="V112" i="24" s="1"/>
  <c r="E283" i="24"/>
  <c r="E200" i="24"/>
  <c r="H230" i="24"/>
  <c r="I230" i="24" s="1"/>
  <c r="C260" i="24"/>
  <c r="J135" i="24"/>
  <c r="N135" i="24"/>
  <c r="X62" i="24" s="1"/>
  <c r="AN90" i="24"/>
  <c r="AW85" i="24"/>
  <c r="AN115" i="24" s="1"/>
  <c r="H56" i="24"/>
  <c r="H60" i="24" s="1"/>
  <c r="I61" i="24" s="1"/>
  <c r="AE17" i="24" s="1"/>
  <c r="E61" i="24"/>
  <c r="V27" i="24" s="1"/>
  <c r="V35" i="24" s="1"/>
  <c r="AP95" i="24"/>
  <c r="AO95" i="24"/>
  <c r="AN95" i="24"/>
  <c r="AM95" i="24"/>
  <c r="AL95" i="24"/>
  <c r="D27" i="24"/>
  <c r="O495" i="24"/>
  <c r="G492" i="24"/>
  <c r="F492" i="24"/>
  <c r="E492" i="24"/>
  <c r="D492" i="24"/>
  <c r="C492" i="24"/>
  <c r="H552" i="24"/>
  <c r="I552" i="24" s="1"/>
  <c r="F555" i="24"/>
  <c r="N452" i="24"/>
  <c r="V172" i="24" s="1"/>
  <c r="E457" i="24"/>
  <c r="G319" i="24"/>
  <c r="E319" i="24"/>
  <c r="E322" i="24" s="1"/>
  <c r="V117" i="24" s="1"/>
  <c r="V125" i="24" s="1"/>
  <c r="D319" i="24"/>
  <c r="C319" i="24"/>
  <c r="F319" i="24"/>
  <c r="C378" i="24"/>
  <c r="G320" i="24"/>
  <c r="F320" i="24"/>
  <c r="E320" i="24"/>
  <c r="D320" i="24"/>
  <c r="C320" i="24"/>
  <c r="G312" i="24"/>
  <c r="N309" i="24"/>
  <c r="X122" i="24" s="1"/>
  <c r="N192" i="24"/>
  <c r="W82" i="24" s="1"/>
  <c r="D171" i="24"/>
  <c r="C171" i="24"/>
  <c r="G171" i="24"/>
  <c r="E171" i="24"/>
  <c r="F171" i="24"/>
  <c r="D260" i="24"/>
  <c r="AM98" i="24"/>
  <c r="AL98" i="24"/>
  <c r="AP98" i="24"/>
  <c r="AO98" i="24"/>
  <c r="AN98" i="24"/>
  <c r="E167" i="24"/>
  <c r="N162" i="24"/>
  <c r="V72" i="24" s="1"/>
  <c r="AP97" i="24"/>
  <c r="AO97" i="24"/>
  <c r="AN97" i="24"/>
  <c r="AM97" i="24"/>
  <c r="AL97" i="24"/>
  <c r="J55" i="24"/>
  <c r="T31" i="24" s="1"/>
  <c r="I173" i="24"/>
  <c r="N103" i="24"/>
  <c r="U52" i="24" s="1"/>
  <c r="O31" i="24"/>
  <c r="G51" i="24"/>
  <c r="N48" i="24"/>
  <c r="X32" i="24" s="1"/>
  <c r="N44" i="24"/>
  <c r="T32" i="24" s="1"/>
  <c r="E27" i="24"/>
  <c r="N541" i="24"/>
  <c r="X202" i="24" s="1"/>
  <c r="C573" i="24"/>
  <c r="N566" i="24"/>
  <c r="T212" i="24" s="1"/>
  <c r="G491" i="24"/>
  <c r="F491" i="24"/>
  <c r="E491" i="24"/>
  <c r="D491" i="24"/>
  <c r="C491" i="24"/>
  <c r="E405" i="24"/>
  <c r="D405" i="24"/>
  <c r="C405" i="24"/>
  <c r="G405" i="24"/>
  <c r="F405" i="24"/>
  <c r="H581" i="24"/>
  <c r="I581" i="24" s="1"/>
  <c r="F493" i="24"/>
  <c r="E225" i="24"/>
  <c r="N220" i="24"/>
  <c r="V92" i="24" s="1"/>
  <c r="C261" i="24"/>
  <c r="H233" i="24"/>
  <c r="I233" i="24" s="1"/>
  <c r="G260" i="24"/>
  <c r="G145" i="24"/>
  <c r="E145" i="24"/>
  <c r="H145" i="24" s="1"/>
  <c r="I145" i="24" s="1"/>
  <c r="D204" i="24"/>
  <c r="C204" i="24"/>
  <c r="G204" i="24"/>
  <c r="E204" i="24"/>
  <c r="F204" i="24"/>
  <c r="C138" i="24"/>
  <c r="N131" i="24"/>
  <c r="T62" i="24" s="1"/>
  <c r="J47" i="24"/>
  <c r="N47" i="24"/>
  <c r="W32" i="24" s="1"/>
  <c r="N15" i="24"/>
  <c r="T22" i="24" s="1"/>
  <c r="C22" i="24"/>
  <c r="E109" i="24"/>
  <c r="N104" i="24"/>
  <c r="V52" i="24" s="1"/>
  <c r="F27" i="24"/>
  <c r="F544" i="24"/>
  <c r="N540" i="24"/>
  <c r="W202" i="24" s="1"/>
  <c r="D428" i="24"/>
  <c r="N422" i="24"/>
  <c r="U162" i="24" s="1"/>
  <c r="I434" i="24"/>
  <c r="N510" i="24"/>
  <c r="V192" i="24" s="1"/>
  <c r="H463" i="24"/>
  <c r="I463" i="24" s="1"/>
  <c r="I549" i="24"/>
  <c r="D341" i="24"/>
  <c r="N335" i="24"/>
  <c r="U132" i="24" s="1"/>
  <c r="D262" i="24"/>
  <c r="G493" i="24"/>
  <c r="G291" i="24"/>
  <c r="F291" i="24"/>
  <c r="E291" i="24"/>
  <c r="D291" i="24"/>
  <c r="C291" i="24"/>
  <c r="D437" i="24"/>
  <c r="U156" i="24" s="1"/>
  <c r="U164" i="24" s="1"/>
  <c r="U245" i="24" s="1"/>
  <c r="N509" i="24"/>
  <c r="U192" i="24" s="1"/>
  <c r="D261" i="24"/>
  <c r="I231" i="24"/>
  <c r="E260" i="24"/>
  <c r="G143" i="24"/>
  <c r="F143" i="24"/>
  <c r="E143" i="24"/>
  <c r="D143" i="24"/>
  <c r="C143" i="24"/>
  <c r="D117" i="24"/>
  <c r="G117" i="24"/>
  <c r="F117" i="24"/>
  <c r="F118" i="24" s="1"/>
  <c r="W46" i="24" s="1"/>
  <c r="W54" i="24" s="1"/>
  <c r="W234" i="24" s="1"/>
  <c r="E117" i="24"/>
  <c r="C117" i="24"/>
  <c r="E203" i="24"/>
  <c r="C203" i="24"/>
  <c r="H375" i="24"/>
  <c r="I375" i="24" s="1"/>
  <c r="F60" i="24"/>
  <c r="W26" i="24" s="1"/>
  <c r="W34" i="24" s="1"/>
  <c r="W232" i="24" s="1"/>
  <c r="E114" i="24"/>
  <c r="G114" i="24"/>
  <c r="F114" i="24"/>
  <c r="D114" i="24"/>
  <c r="C114" i="24"/>
  <c r="H84" i="24"/>
  <c r="I84" i="24" s="1"/>
  <c r="N105" i="24"/>
  <c r="W52" i="24" s="1"/>
  <c r="C554" i="24"/>
  <c r="T197" i="24" s="1"/>
  <c r="T205" i="24" s="1"/>
  <c r="E522" i="24"/>
  <c r="D522" i="24"/>
  <c r="C522" i="24"/>
  <c r="G522" i="24"/>
  <c r="F522" i="24"/>
  <c r="D553" i="24"/>
  <c r="U196" i="24" s="1"/>
  <c r="U204" i="24" s="1"/>
  <c r="U249" i="24" s="1"/>
  <c r="H462" i="24"/>
  <c r="I462" i="24" s="1"/>
  <c r="H374" i="24"/>
  <c r="J280" i="24"/>
  <c r="N280" i="24"/>
  <c r="X112" i="24" s="1"/>
  <c r="E259" i="24"/>
  <c r="G196" i="24"/>
  <c r="N193" i="24"/>
  <c r="X82" i="24" s="1"/>
  <c r="J191" i="24"/>
  <c r="N191" i="24"/>
  <c r="V82" i="24" s="1"/>
  <c r="N189" i="24"/>
  <c r="T82" i="24" s="1"/>
  <c r="C196" i="24"/>
  <c r="J106" i="24"/>
  <c r="N106" i="24"/>
  <c r="X52" i="24" s="1"/>
  <c r="O118" i="24"/>
  <c r="G119" i="24"/>
  <c r="X47" i="24" s="1"/>
  <c r="X55" i="24" s="1"/>
  <c r="D80" i="24"/>
  <c r="N74" i="24"/>
  <c r="U42" i="24" s="1"/>
  <c r="D28" i="24"/>
  <c r="C28" i="24"/>
  <c r="F28" i="24"/>
  <c r="F32" i="24" s="1"/>
  <c r="W17" i="24" s="1"/>
  <c r="G28" i="24"/>
  <c r="E28" i="24"/>
  <c r="I87" i="24"/>
  <c r="H58" i="24"/>
  <c r="I58" i="24" s="1"/>
  <c r="E3" i="24"/>
  <c r="C8" i="24"/>
  <c r="G29" i="24"/>
  <c r="F29" i="24"/>
  <c r="E29" i="24"/>
  <c r="D29" i="24"/>
  <c r="C29" i="24"/>
  <c r="E520" i="24"/>
  <c r="D520" i="24"/>
  <c r="C520" i="24"/>
  <c r="F520" i="24"/>
  <c r="G520" i="24"/>
  <c r="E553" i="24"/>
  <c r="V196" i="24" s="1"/>
  <c r="V204" i="24" s="1"/>
  <c r="V249" i="24" s="1"/>
  <c r="D399" i="24"/>
  <c r="N393" i="24"/>
  <c r="U152" i="24" s="1"/>
  <c r="O263" i="24"/>
  <c r="C258" i="24"/>
  <c r="F264" i="24"/>
  <c r="W97" i="24" s="1"/>
  <c r="W105" i="24" s="1"/>
  <c r="G258" i="24"/>
  <c r="N568" i="24"/>
  <c r="V212" i="24" s="1"/>
  <c r="E573" i="24"/>
  <c r="G316" i="24"/>
  <c r="F316" i="24"/>
  <c r="E316" i="24"/>
  <c r="D316" i="24"/>
  <c r="C316" i="24"/>
  <c r="E262" i="24"/>
  <c r="D348" i="24"/>
  <c r="D350" i="24" s="1"/>
  <c r="U126" i="24" s="1"/>
  <c r="U134" i="24" s="1"/>
  <c r="U242" i="24" s="1"/>
  <c r="E348" i="24"/>
  <c r="G348" i="24"/>
  <c r="F348" i="24"/>
  <c r="C348" i="24"/>
  <c r="G202" i="24"/>
  <c r="C202" i="24"/>
  <c r="F202" i="24"/>
  <c r="D202" i="24"/>
  <c r="D205" i="24" s="1"/>
  <c r="E202" i="24"/>
  <c r="N218" i="24"/>
  <c r="T92" i="24" s="1"/>
  <c r="J218" i="24"/>
  <c r="G201" i="24"/>
  <c r="F201" i="24"/>
  <c r="C201" i="24"/>
  <c r="G60" i="24"/>
  <c r="X26" i="24" s="1"/>
  <c r="X34" i="24" s="1"/>
  <c r="X232" i="24" s="1"/>
  <c r="AO90" i="24"/>
  <c r="AW86" i="24"/>
  <c r="AO115" i="24" s="1"/>
  <c r="I30" i="24"/>
  <c r="H579" i="24"/>
  <c r="I579" i="24" s="1"/>
  <c r="H436" i="24"/>
  <c r="I436" i="24" s="1"/>
  <c r="D376" i="24"/>
  <c r="C376" i="24"/>
  <c r="F377" i="24"/>
  <c r="C377" i="24"/>
  <c r="G377" i="24"/>
  <c r="G380" i="24" s="1"/>
  <c r="X137" i="24" s="1"/>
  <c r="X145" i="24" s="1"/>
  <c r="D377" i="24"/>
  <c r="E377" i="24"/>
  <c r="G259" i="24"/>
  <c r="D259" i="24"/>
  <c r="E261" i="24"/>
  <c r="E264" i="24" s="1"/>
  <c r="V97" i="24" s="1"/>
  <c r="V105" i="24" s="1"/>
  <c r="N277" i="24"/>
  <c r="U112" i="24" s="1"/>
  <c r="D283" i="24"/>
  <c r="N276" i="24"/>
  <c r="T112" i="24" s="1"/>
  <c r="C283" i="24"/>
  <c r="D346" i="24"/>
  <c r="E346" i="24"/>
  <c r="G346" i="24"/>
  <c r="F346" i="24"/>
  <c r="C346" i="24"/>
  <c r="E341" i="24"/>
  <c r="N336" i="24"/>
  <c r="V132" i="24" s="1"/>
  <c r="G289" i="24"/>
  <c r="F289" i="24"/>
  <c r="F293" i="24" s="1"/>
  <c r="W107" i="24" s="1"/>
  <c r="W115" i="24" s="1"/>
  <c r="E289" i="24"/>
  <c r="D289" i="24"/>
  <c r="C289" i="24"/>
  <c r="C292" i="24" s="1"/>
  <c r="T106" i="24" s="1"/>
  <c r="T114" i="24" s="1"/>
  <c r="N338" i="24"/>
  <c r="X132" i="24" s="1"/>
  <c r="G341" i="24"/>
  <c r="AP96" i="24"/>
  <c r="AO96" i="24"/>
  <c r="AN96" i="24"/>
  <c r="AM96" i="24"/>
  <c r="AL96" i="24"/>
  <c r="G174" i="24"/>
  <c r="F174" i="24"/>
  <c r="E174" i="24"/>
  <c r="D174" i="24"/>
  <c r="C174" i="24"/>
  <c r="G85" i="24"/>
  <c r="G89" i="24" s="1"/>
  <c r="F85" i="24"/>
  <c r="D85" i="24"/>
  <c r="D89" i="24" s="1"/>
  <c r="U36" i="24" s="1"/>
  <c r="U44" i="24" s="1"/>
  <c r="U233" i="24" s="1"/>
  <c r="C85" i="24"/>
  <c r="C89" i="24" s="1"/>
  <c r="E85" i="24"/>
  <c r="E89" i="24" s="1"/>
  <c r="D90" i="24"/>
  <c r="U37" i="24" s="1"/>
  <c r="U45" i="24" s="1"/>
  <c r="N75" i="24"/>
  <c r="V42" i="24" s="1"/>
  <c r="C26" i="24"/>
  <c r="C457" i="24"/>
  <c r="N450" i="24"/>
  <c r="T172" i="24" s="1"/>
  <c r="D544" i="24"/>
  <c r="N538" i="24"/>
  <c r="U202" i="24" s="1"/>
  <c r="N454" i="24"/>
  <c r="X172" i="24" s="1"/>
  <c r="G553" i="24"/>
  <c r="X196" i="24" s="1"/>
  <c r="X204" i="24" s="1"/>
  <c r="X249" i="24" s="1"/>
  <c r="G554" i="24"/>
  <c r="X197" i="24" s="1"/>
  <c r="X205" i="24" s="1"/>
  <c r="H577" i="24"/>
  <c r="C582" i="24"/>
  <c r="T206" i="24" s="1"/>
  <c r="T214" i="24" s="1"/>
  <c r="E521" i="24"/>
  <c r="D521" i="24"/>
  <c r="C521" i="24"/>
  <c r="G521" i="24"/>
  <c r="F521" i="24"/>
  <c r="H432" i="24"/>
  <c r="C437" i="24"/>
  <c r="T156" i="24" s="1"/>
  <c r="T164" i="24" s="1"/>
  <c r="O379" i="24"/>
  <c r="I347" i="24"/>
  <c r="C259" i="24"/>
  <c r="E263" i="24"/>
  <c r="V96" i="24" s="1"/>
  <c r="V104" i="24" s="1"/>
  <c r="V239" i="24" s="1"/>
  <c r="N337" i="24"/>
  <c r="W132" i="24" s="1"/>
  <c r="F341" i="24"/>
  <c r="O321" i="24"/>
  <c r="G254" i="24"/>
  <c r="N251" i="24"/>
  <c r="X102" i="24" s="1"/>
  <c r="G229" i="24"/>
  <c r="F229" i="24"/>
  <c r="E229" i="24"/>
  <c r="D229" i="24"/>
  <c r="C229" i="24"/>
  <c r="O205" i="24"/>
  <c r="C206" i="24"/>
  <c r="T77" i="24" s="1"/>
  <c r="T85" i="24" s="1"/>
  <c r="C116" i="24"/>
  <c r="C118" i="24" s="1"/>
  <c r="G116" i="24"/>
  <c r="F116" i="24"/>
  <c r="E116" i="24"/>
  <c r="D116" i="24"/>
  <c r="H113" i="24"/>
  <c r="I113" i="24" s="1"/>
  <c r="H57" i="24"/>
  <c r="E51" i="24"/>
  <c r="N46" i="24"/>
  <c r="V32" i="24" s="1"/>
  <c r="AA287" i="24"/>
  <c r="AA288" i="24"/>
  <c r="D26" i="24"/>
  <c r="E403" i="24"/>
  <c r="D403" i="24"/>
  <c r="C403" i="24"/>
  <c r="G403" i="24"/>
  <c r="F403" i="24"/>
  <c r="G437" i="24"/>
  <c r="X156" i="24" s="1"/>
  <c r="X164" i="24" s="1"/>
  <c r="X245" i="24" s="1"/>
  <c r="G438" i="24"/>
  <c r="X157" i="24" s="1"/>
  <c r="X165" i="24" s="1"/>
  <c r="F428" i="24"/>
  <c r="N424" i="24"/>
  <c r="W162" i="24" s="1"/>
  <c r="G555" i="24"/>
  <c r="D582" i="24"/>
  <c r="U206" i="24" s="1"/>
  <c r="U214" i="24" s="1"/>
  <c r="U250" i="24" s="1"/>
  <c r="I407" i="24"/>
  <c r="G378" i="24"/>
  <c r="E378" i="24"/>
  <c r="D378" i="24"/>
  <c r="F439" i="24"/>
  <c r="I435" i="24"/>
  <c r="N363" i="24"/>
  <c r="T142" i="24" s="1"/>
  <c r="F263" i="24"/>
  <c r="W96" i="24" s="1"/>
  <c r="W104" i="24" s="1"/>
  <c r="W239" i="24" s="1"/>
  <c r="C317" i="24"/>
  <c r="H317" i="24" s="1"/>
  <c r="I317" i="24" s="1"/>
  <c r="G80" i="24"/>
  <c r="N77" i="24"/>
  <c r="X42" i="24" s="1"/>
  <c r="D61" i="24"/>
  <c r="U27" i="24" s="1"/>
  <c r="U35" i="24" s="1"/>
  <c r="D60" i="24"/>
  <c r="U26" i="24" s="1"/>
  <c r="U34" i="24" s="1"/>
  <c r="U232" i="24" s="1"/>
  <c r="H232" i="24"/>
  <c r="I232" i="24" s="1"/>
  <c r="I57" i="24"/>
  <c r="E26" i="24"/>
  <c r="H493" i="24"/>
  <c r="E406" i="24"/>
  <c r="D406" i="24"/>
  <c r="C406" i="24"/>
  <c r="F406" i="24"/>
  <c r="G406" i="24"/>
  <c r="G515" i="24"/>
  <c r="N512" i="24"/>
  <c r="X192" i="24" s="1"/>
  <c r="H523" i="24"/>
  <c r="I523" i="24" s="1"/>
  <c r="E582" i="24"/>
  <c r="V206" i="24" s="1"/>
  <c r="V214" i="24" s="1"/>
  <c r="V250" i="24" s="1"/>
  <c r="G490" i="24"/>
  <c r="F490" i="24"/>
  <c r="E490" i="24"/>
  <c r="E495" i="24" s="1"/>
  <c r="V176" i="24" s="1"/>
  <c r="V184" i="24" s="1"/>
  <c r="V247" i="24" s="1"/>
  <c r="D490" i="24"/>
  <c r="C490" i="24"/>
  <c r="E437" i="24"/>
  <c r="V156" i="24" s="1"/>
  <c r="V164" i="24" s="1"/>
  <c r="V245" i="24" s="1"/>
  <c r="F376" i="24"/>
  <c r="F380" i="24" s="1"/>
  <c r="W137" i="24" s="1"/>
  <c r="W145" i="24" s="1"/>
  <c r="G262" i="24"/>
  <c r="G464" i="24"/>
  <c r="G467" i="24" s="1"/>
  <c r="X167" i="24" s="1"/>
  <c r="X175" i="24" s="1"/>
  <c r="F464" i="24"/>
  <c r="F466" i="24" s="1"/>
  <c r="W166" i="24" s="1"/>
  <c r="W174" i="24" s="1"/>
  <c r="W246" i="24" s="1"/>
  <c r="E464" i="24"/>
  <c r="E466" i="24" s="1"/>
  <c r="D464" i="24"/>
  <c r="D467" i="24" s="1"/>
  <c r="U167" i="24" s="1"/>
  <c r="U175" i="24" s="1"/>
  <c r="C464" i="24"/>
  <c r="C467" i="24" s="1"/>
  <c r="T167" i="24" s="1"/>
  <c r="T175" i="24" s="1"/>
  <c r="H580" i="24"/>
  <c r="I580" i="24" s="1"/>
  <c r="F318" i="24"/>
  <c r="C318" i="24"/>
  <c r="G318" i="24"/>
  <c r="G261" i="24"/>
  <c r="N16" i="24"/>
  <c r="U22" i="24" s="1"/>
  <c r="D22" i="24"/>
  <c r="F26" i="24"/>
  <c r="E370" i="24"/>
  <c r="N365" i="24"/>
  <c r="V142" i="24" s="1"/>
  <c r="E404" i="24"/>
  <c r="D404" i="24"/>
  <c r="C404" i="24"/>
  <c r="G404" i="24"/>
  <c r="F404" i="24"/>
  <c r="G583" i="24"/>
  <c r="X207" i="24" s="1"/>
  <c r="X215" i="24" s="1"/>
  <c r="F582" i="24"/>
  <c r="W206" i="24" s="1"/>
  <c r="W214" i="24" s="1"/>
  <c r="W250" i="24" s="1"/>
  <c r="F437" i="24"/>
  <c r="W156" i="24" s="1"/>
  <c r="W164" i="24" s="1"/>
  <c r="W245" i="24" s="1"/>
  <c r="F370" i="24"/>
  <c r="N366" i="24"/>
  <c r="W142" i="24" s="1"/>
  <c r="E376" i="24"/>
  <c r="H407" i="24"/>
  <c r="C262" i="24"/>
  <c r="J222" i="24"/>
  <c r="N222" i="24"/>
  <c r="X92" i="24" s="1"/>
  <c r="I461" i="24"/>
  <c r="H461" i="24"/>
  <c r="H287" i="24"/>
  <c r="I287" i="24" s="1"/>
  <c r="C200" i="24"/>
  <c r="H115" i="24"/>
  <c r="I115" i="24" s="1"/>
  <c r="C144" i="24"/>
  <c r="G144" i="24"/>
  <c r="F144" i="24"/>
  <c r="F147" i="24" s="1"/>
  <c r="D144" i="24"/>
  <c r="E144" i="24"/>
  <c r="AW87" i="24"/>
  <c r="AP115" i="24" s="1"/>
  <c r="AP90" i="24"/>
  <c r="N17" i="24"/>
  <c r="V22" i="24" s="1"/>
  <c r="E22" i="24"/>
  <c r="C60" i="24"/>
  <c r="G26" i="24"/>
  <c r="AP97" i="23"/>
  <c r="AQ95" i="23"/>
  <c r="AQ98" i="23"/>
  <c r="G550" i="23"/>
  <c r="H550" i="23" s="1"/>
  <c r="I550" i="23" s="1"/>
  <c r="E519" i="23"/>
  <c r="F520" i="23"/>
  <c r="C520" i="23"/>
  <c r="C519" i="23"/>
  <c r="F519" i="23"/>
  <c r="F492" i="23"/>
  <c r="D492" i="23"/>
  <c r="C493" i="23"/>
  <c r="E493" i="23"/>
  <c r="O495" i="23"/>
  <c r="G462" i="23"/>
  <c r="H462" i="23" s="1"/>
  <c r="I462" i="23" s="1"/>
  <c r="H465" i="23"/>
  <c r="C464" i="23"/>
  <c r="H464" i="23" s="1"/>
  <c r="I464" i="23" s="1"/>
  <c r="E435" i="23"/>
  <c r="C403" i="23"/>
  <c r="D258" i="23"/>
  <c r="H258" i="23" s="1"/>
  <c r="I258" i="23" s="1"/>
  <c r="P258" i="23" s="1"/>
  <c r="C175" i="23"/>
  <c r="F144" i="23"/>
  <c r="C55" i="23"/>
  <c r="F55" i="23"/>
  <c r="O60" i="23"/>
  <c r="AA288" i="23"/>
  <c r="H578" i="23"/>
  <c r="N568" i="23"/>
  <c r="V212" i="23" s="1"/>
  <c r="N537" i="23"/>
  <c r="T202" i="23" s="1"/>
  <c r="E463" i="23"/>
  <c r="D463" i="23"/>
  <c r="F432" i="23"/>
  <c r="N423" i="23"/>
  <c r="V162" i="23" s="1"/>
  <c r="D432" i="23"/>
  <c r="G432" i="23"/>
  <c r="N396" i="23"/>
  <c r="X152" i="23" s="1"/>
  <c r="G378" i="23"/>
  <c r="F378" i="23"/>
  <c r="D378" i="23"/>
  <c r="D347" i="23"/>
  <c r="H347" i="23" s="1"/>
  <c r="I347" i="23" s="1"/>
  <c r="E347" i="23"/>
  <c r="N280" i="23"/>
  <c r="X112" i="23" s="1"/>
  <c r="D293" i="23"/>
  <c r="U107" i="23" s="1"/>
  <c r="U115" i="23" s="1"/>
  <c r="E290" i="23"/>
  <c r="H290" i="23" s="1"/>
  <c r="I290" i="23" s="1"/>
  <c r="G290" i="23"/>
  <c r="G292" i="23" s="1"/>
  <c r="F290" i="23"/>
  <c r="C293" i="23"/>
  <c r="T107" i="23" s="1"/>
  <c r="T115" i="23" s="1"/>
  <c r="N222" i="23"/>
  <c r="X92" i="23" s="1"/>
  <c r="C225" i="23"/>
  <c r="N218" i="23"/>
  <c r="T92" i="23" s="1"/>
  <c r="N192" i="23"/>
  <c r="W82" i="23" s="1"/>
  <c r="N193" i="23"/>
  <c r="X82" i="23" s="1"/>
  <c r="F201" i="23"/>
  <c r="H201" i="23" s="1"/>
  <c r="I201" i="23" s="1"/>
  <c r="C201" i="23"/>
  <c r="H173" i="23"/>
  <c r="I173" i="23" s="1"/>
  <c r="N160" i="23"/>
  <c r="T72" i="23" s="1"/>
  <c r="C167" i="23"/>
  <c r="C146" i="23"/>
  <c r="E86" i="23"/>
  <c r="F86" i="23"/>
  <c r="G86" i="23"/>
  <c r="C86" i="23"/>
  <c r="D86" i="23"/>
  <c r="G88" i="23"/>
  <c r="C88" i="23"/>
  <c r="H88" i="23" s="1"/>
  <c r="D88" i="23"/>
  <c r="F88" i="23"/>
  <c r="E88" i="23"/>
  <c r="C84" i="23"/>
  <c r="D84" i="23"/>
  <c r="E84" i="23"/>
  <c r="F84" i="23"/>
  <c r="G84" i="23"/>
  <c r="G89" i="23" s="1"/>
  <c r="X36" i="23" s="1"/>
  <c r="X44" i="23" s="1"/>
  <c r="X233" i="23" s="1"/>
  <c r="N73" i="23"/>
  <c r="T42" i="23" s="1"/>
  <c r="C87" i="23"/>
  <c r="D87" i="23"/>
  <c r="E87" i="23"/>
  <c r="F87" i="23"/>
  <c r="G87" i="23"/>
  <c r="C85" i="23"/>
  <c r="D85" i="23"/>
  <c r="E85" i="23"/>
  <c r="F85" i="23"/>
  <c r="G85" i="23"/>
  <c r="N47" i="23"/>
  <c r="W32" i="23" s="1"/>
  <c r="W285" i="23" s="1"/>
  <c r="W286" i="23" s="1"/>
  <c r="C59" i="23"/>
  <c r="E59" i="23"/>
  <c r="H59" i="23" s="1"/>
  <c r="I59" i="23" s="1"/>
  <c r="F59" i="23"/>
  <c r="G59" i="23"/>
  <c r="N15" i="23"/>
  <c r="T22" i="23" s="1"/>
  <c r="N16" i="23"/>
  <c r="U22" i="23" s="1"/>
  <c r="N453" i="23"/>
  <c r="W172" i="23" s="1"/>
  <c r="F457" i="23"/>
  <c r="AM90" i="23"/>
  <c r="AW84" i="23"/>
  <c r="AM115" i="23" s="1"/>
  <c r="G341" i="23"/>
  <c r="N338" i="23"/>
  <c r="X132" i="23" s="1"/>
  <c r="C171" i="23"/>
  <c r="G171" i="23"/>
  <c r="F171" i="23"/>
  <c r="D171" i="23"/>
  <c r="E171" i="23"/>
  <c r="J131" i="23"/>
  <c r="N131" i="23"/>
  <c r="T62" i="23" s="1"/>
  <c r="E138" i="23"/>
  <c r="N133" i="23"/>
  <c r="V62" i="23" s="1"/>
  <c r="N365" i="23"/>
  <c r="V142" i="23" s="1"/>
  <c r="E370" i="23"/>
  <c r="J395" i="23"/>
  <c r="N395" i="23"/>
  <c r="W152" i="23" s="1"/>
  <c r="H551" i="23"/>
  <c r="I551" i="23" s="1"/>
  <c r="N306" i="23"/>
  <c r="U122" i="23" s="1"/>
  <c r="D312" i="23"/>
  <c r="G434" i="23"/>
  <c r="F434" i="23"/>
  <c r="E434" i="23"/>
  <c r="D434" i="23"/>
  <c r="C434" i="23"/>
  <c r="F435" i="23"/>
  <c r="G320" i="23"/>
  <c r="G322" i="23" s="1"/>
  <c r="X117" i="23" s="1"/>
  <c r="X125" i="23" s="1"/>
  <c r="D320" i="23"/>
  <c r="D321" i="23" s="1"/>
  <c r="U116" i="23" s="1"/>
  <c r="U124" i="23" s="1"/>
  <c r="U241" i="23" s="1"/>
  <c r="C320" i="23"/>
  <c r="F320" i="23"/>
  <c r="E320" i="23"/>
  <c r="G581" i="23"/>
  <c r="C581" i="23"/>
  <c r="E581" i="23"/>
  <c r="D581" i="23"/>
  <c r="F581" i="23"/>
  <c r="H231" i="23"/>
  <c r="G230" i="23"/>
  <c r="F230" i="23"/>
  <c r="E230" i="23"/>
  <c r="D230" i="23"/>
  <c r="D235" i="23" s="1"/>
  <c r="U87" i="23" s="1"/>
  <c r="U95" i="23" s="1"/>
  <c r="C230" i="23"/>
  <c r="I289" i="23"/>
  <c r="F229" i="23"/>
  <c r="F235" i="23" s="1"/>
  <c r="W87" i="23" s="1"/>
  <c r="W95" i="23" s="1"/>
  <c r="E457" i="23"/>
  <c r="N452" i="23"/>
  <c r="V172" i="23" s="1"/>
  <c r="G114" i="23"/>
  <c r="F114" i="23"/>
  <c r="E114" i="23"/>
  <c r="D114" i="23"/>
  <c r="C114" i="23"/>
  <c r="G26" i="23"/>
  <c r="C26" i="23"/>
  <c r="F26" i="23"/>
  <c r="E26" i="23"/>
  <c r="D26" i="23"/>
  <c r="N103" i="23"/>
  <c r="U52" i="23" s="1"/>
  <c r="AO96" i="23"/>
  <c r="AP96" i="23"/>
  <c r="AL96" i="23"/>
  <c r="AN96" i="23"/>
  <c r="AM96" i="23"/>
  <c r="G461" i="23"/>
  <c r="F461" i="23"/>
  <c r="D461" i="23"/>
  <c r="E461" i="23"/>
  <c r="C461" i="23"/>
  <c r="D196" i="23"/>
  <c r="N190" i="23"/>
  <c r="U82" i="23" s="1"/>
  <c r="N394" i="23"/>
  <c r="V152" i="23" s="1"/>
  <c r="E399" i="23"/>
  <c r="N481" i="23"/>
  <c r="V182" i="23" s="1"/>
  <c r="E486" i="23"/>
  <c r="F341" i="23"/>
  <c r="N337" i="23"/>
  <c r="W132" i="23" s="1"/>
  <c r="AW83" i="23"/>
  <c r="AL115" i="23" s="1"/>
  <c r="AS83" i="23"/>
  <c r="N134" i="23"/>
  <c r="W62" i="23" s="1"/>
  <c r="G58" i="23"/>
  <c r="F58" i="23"/>
  <c r="E58" i="23"/>
  <c r="D58" i="23"/>
  <c r="C58" i="23"/>
  <c r="I465" i="23"/>
  <c r="G577" i="23"/>
  <c r="F577" i="23"/>
  <c r="E577" i="23"/>
  <c r="D577" i="23"/>
  <c r="D583" i="23" s="1"/>
  <c r="U207" i="23" s="1"/>
  <c r="U215" i="23" s="1"/>
  <c r="C577" i="23"/>
  <c r="O582" i="23"/>
  <c r="H378" i="23"/>
  <c r="I378" i="23" s="1"/>
  <c r="F573" i="23"/>
  <c r="N569" i="23"/>
  <c r="W212" i="23" s="1"/>
  <c r="D403" i="23"/>
  <c r="D435" i="23"/>
  <c r="H318" i="23"/>
  <c r="I318" i="23" s="1"/>
  <c r="N250" i="23"/>
  <c r="W102" i="23" s="1"/>
  <c r="H261" i="23"/>
  <c r="I261" i="23" s="1"/>
  <c r="J334" i="23"/>
  <c r="N334" i="23"/>
  <c r="T132" i="23" s="1"/>
  <c r="E115" i="23"/>
  <c r="H113" i="23"/>
  <c r="G172" i="23"/>
  <c r="F172" i="23"/>
  <c r="E172" i="23"/>
  <c r="D172" i="23"/>
  <c r="C172" i="23"/>
  <c r="F109" i="23"/>
  <c r="N105" i="23"/>
  <c r="W52" i="23" s="1"/>
  <c r="AR98" i="23"/>
  <c r="N102" i="23"/>
  <c r="T52" i="23" s="1"/>
  <c r="C109" i="23"/>
  <c r="O118" i="23"/>
  <c r="H287" i="23"/>
  <c r="C292" i="23"/>
  <c r="T106" i="23" s="1"/>
  <c r="T114" i="23" s="1"/>
  <c r="H229" i="23"/>
  <c r="D283" i="23"/>
  <c r="N277" i="23"/>
  <c r="U112" i="23" s="1"/>
  <c r="G116" i="23"/>
  <c r="F116" i="23"/>
  <c r="E116" i="23"/>
  <c r="C406" i="23"/>
  <c r="G406" i="23"/>
  <c r="F406" i="23"/>
  <c r="D406" i="23"/>
  <c r="E406" i="23"/>
  <c r="G552" i="23"/>
  <c r="F552" i="23"/>
  <c r="E552" i="23"/>
  <c r="D552" i="23"/>
  <c r="C552" i="23"/>
  <c r="E548" i="23"/>
  <c r="C548" i="23"/>
  <c r="D548" i="23"/>
  <c r="G548" i="23"/>
  <c r="F548" i="23"/>
  <c r="H490" i="23"/>
  <c r="G435" i="23"/>
  <c r="I231" i="23"/>
  <c r="N191" i="23"/>
  <c r="V82" i="23" s="1"/>
  <c r="E196" i="23"/>
  <c r="H289" i="23"/>
  <c r="F174" i="23"/>
  <c r="C174" i="23"/>
  <c r="G174" i="23"/>
  <c r="E174" i="23"/>
  <c r="D174" i="23"/>
  <c r="N219" i="23"/>
  <c r="U92" i="23" s="1"/>
  <c r="J219" i="23"/>
  <c r="F204" i="23"/>
  <c r="E204" i="23"/>
  <c r="D204" i="23"/>
  <c r="C204" i="23"/>
  <c r="G204" i="23"/>
  <c r="E144" i="23"/>
  <c r="D144" i="23"/>
  <c r="G144" i="23"/>
  <c r="N77" i="23"/>
  <c r="X42" i="23" s="1"/>
  <c r="X284" i="23" s="1"/>
  <c r="H55" i="23"/>
  <c r="G29" i="23"/>
  <c r="C29" i="23"/>
  <c r="E29" i="23"/>
  <c r="D29" i="23"/>
  <c r="F29" i="23"/>
  <c r="N44" i="23"/>
  <c r="T32" i="23" s="1"/>
  <c r="C51" i="23"/>
  <c r="AW85" i="23"/>
  <c r="AN115" i="23" s="1"/>
  <c r="AS85" i="23"/>
  <c r="G580" i="23"/>
  <c r="F580" i="23"/>
  <c r="E580" i="23"/>
  <c r="D580" i="23"/>
  <c r="C580" i="23"/>
  <c r="N539" i="23"/>
  <c r="V202" i="23" s="1"/>
  <c r="E544" i="23"/>
  <c r="E579" i="23"/>
  <c r="E583" i="23" s="1"/>
  <c r="V207" i="23" s="1"/>
  <c r="V215" i="23" s="1"/>
  <c r="D579" i="23"/>
  <c r="C579" i="23"/>
  <c r="F579" i="23"/>
  <c r="F348" i="23"/>
  <c r="E348" i="23"/>
  <c r="D348" i="23"/>
  <c r="C348" i="23"/>
  <c r="G348" i="23"/>
  <c r="G521" i="23"/>
  <c r="F521" i="23"/>
  <c r="E521" i="23"/>
  <c r="D521" i="23"/>
  <c r="C521" i="23"/>
  <c r="O408" i="23"/>
  <c r="D486" i="23"/>
  <c r="N480" i="23"/>
  <c r="U182" i="23" s="1"/>
  <c r="G262" i="23"/>
  <c r="F262" i="23"/>
  <c r="F264" i="23" s="1"/>
  <c r="W97" i="23" s="1"/>
  <c r="W105" i="23" s="1"/>
  <c r="E262" i="23"/>
  <c r="E264" i="23" s="1"/>
  <c r="V97" i="23" s="1"/>
  <c r="V105" i="23" s="1"/>
  <c r="D262" i="23"/>
  <c r="D264" i="23" s="1"/>
  <c r="U97" i="23" s="1"/>
  <c r="U105" i="23" s="1"/>
  <c r="C262" i="23"/>
  <c r="H262" i="23" s="1"/>
  <c r="N163" i="23"/>
  <c r="W72" i="23" s="1"/>
  <c r="F167" i="23"/>
  <c r="E377" i="23"/>
  <c r="G377" i="23"/>
  <c r="F377" i="23"/>
  <c r="D377" i="23"/>
  <c r="C377" i="23"/>
  <c r="C116" i="23"/>
  <c r="F115" i="23"/>
  <c r="N161" i="23"/>
  <c r="U72" i="23" s="1"/>
  <c r="J161" i="23"/>
  <c r="O147" i="23"/>
  <c r="E142" i="23"/>
  <c r="H30" i="23"/>
  <c r="I30" i="23" s="1"/>
  <c r="C115" i="23"/>
  <c r="K258" i="23"/>
  <c r="J258" i="23"/>
  <c r="T101" i="23" s="1"/>
  <c r="F376" i="23"/>
  <c r="E376" i="23"/>
  <c r="C376" i="23"/>
  <c r="G376" i="23"/>
  <c r="D376" i="23"/>
  <c r="E312" i="23"/>
  <c r="N307" i="23"/>
  <c r="V122" i="23" s="1"/>
  <c r="F403" i="23"/>
  <c r="F409" i="23" s="1"/>
  <c r="W147" i="23" s="1"/>
  <c r="W155" i="23" s="1"/>
  <c r="H316" i="23"/>
  <c r="H345" i="23"/>
  <c r="N249" i="23"/>
  <c r="V102" i="23" s="1"/>
  <c r="N248" i="23"/>
  <c r="U102" i="23" s="1"/>
  <c r="H202" i="23"/>
  <c r="I202" i="23" s="1"/>
  <c r="D116" i="23"/>
  <c r="G115" i="23"/>
  <c r="O89" i="23"/>
  <c r="H288" i="23"/>
  <c r="I288" i="23" s="1"/>
  <c r="N45" i="23"/>
  <c r="U32" i="23" s="1"/>
  <c r="J45" i="23"/>
  <c r="H56" i="23"/>
  <c r="I56" i="23" s="1"/>
  <c r="G27" i="23"/>
  <c r="F27" i="23"/>
  <c r="E27" i="23"/>
  <c r="D27" i="23"/>
  <c r="C27" i="23"/>
  <c r="C8" i="23"/>
  <c r="O524" i="23"/>
  <c r="I260" i="23"/>
  <c r="G403" i="23"/>
  <c r="C200" i="23"/>
  <c r="G200" i="23"/>
  <c r="F200" i="23"/>
  <c r="E200" i="23"/>
  <c r="D200" i="23"/>
  <c r="D322" i="23"/>
  <c r="U117" i="23" s="1"/>
  <c r="U125" i="23" s="1"/>
  <c r="N363" i="23"/>
  <c r="T142" i="23" s="1"/>
  <c r="E232" i="23"/>
  <c r="D232" i="23"/>
  <c r="C232" i="23"/>
  <c r="C234" i="23" s="1"/>
  <c r="T86" i="23" s="1"/>
  <c r="T94" i="23" s="1"/>
  <c r="F232" i="23"/>
  <c r="G232" i="23"/>
  <c r="E109" i="23"/>
  <c r="N104" i="23"/>
  <c r="V52" i="23" s="1"/>
  <c r="O234" i="23"/>
  <c r="C283" i="23"/>
  <c r="N276" i="23"/>
  <c r="T112" i="23" s="1"/>
  <c r="F143" i="23"/>
  <c r="G143" i="23"/>
  <c r="E143" i="23"/>
  <c r="D143" i="23"/>
  <c r="C143" i="23"/>
  <c r="O31" i="23"/>
  <c r="G51" i="23"/>
  <c r="N48" i="23"/>
  <c r="X32" i="23" s="1"/>
  <c r="D146" i="23"/>
  <c r="E28" i="23"/>
  <c r="C28" i="23"/>
  <c r="G28" i="23"/>
  <c r="F28" i="23"/>
  <c r="D28" i="23"/>
  <c r="N482" i="23"/>
  <c r="W182" i="23" s="1"/>
  <c r="F486" i="23"/>
  <c r="G405" i="23"/>
  <c r="E405" i="23"/>
  <c r="F405" i="23"/>
  <c r="D405" i="23"/>
  <c r="C405" i="23"/>
  <c r="AN94" i="23"/>
  <c r="AL94" i="23"/>
  <c r="AP94" i="23"/>
  <c r="AO94" i="23"/>
  <c r="AM94" i="23"/>
  <c r="N570" i="23"/>
  <c r="X212" i="23" s="1"/>
  <c r="G573" i="23"/>
  <c r="G549" i="23"/>
  <c r="E549" i="23"/>
  <c r="C549" i="23"/>
  <c r="F549" i="23"/>
  <c r="D549" i="23"/>
  <c r="J425" i="23"/>
  <c r="N425" i="23"/>
  <c r="X162" i="23" s="1"/>
  <c r="J512" i="23"/>
  <c r="N512" i="23"/>
  <c r="X192" i="23" s="1"/>
  <c r="O437" i="23"/>
  <c r="G520" i="23"/>
  <c r="H520" i="23" s="1"/>
  <c r="I520" i="23" s="1"/>
  <c r="H259" i="23"/>
  <c r="I259" i="23" s="1"/>
  <c r="G494" i="23"/>
  <c r="G404" i="23"/>
  <c r="H404" i="23" s="1"/>
  <c r="I404" i="23" s="1"/>
  <c r="F375" i="23"/>
  <c r="E375" i="23"/>
  <c r="E379" i="23" s="1"/>
  <c r="V136" i="23" s="1"/>
  <c r="V144" i="23" s="1"/>
  <c r="V243" i="23" s="1"/>
  <c r="G375" i="23"/>
  <c r="D375" i="23"/>
  <c r="C375" i="23"/>
  <c r="N305" i="23"/>
  <c r="T122" i="23" s="1"/>
  <c r="C312" i="23"/>
  <c r="G293" i="23"/>
  <c r="X107" i="23" s="1"/>
  <c r="X115" i="23" s="1"/>
  <c r="D292" i="23"/>
  <c r="U106" i="23" s="1"/>
  <c r="U114" i="23" s="1"/>
  <c r="U240" i="23" s="1"/>
  <c r="H203" i="23"/>
  <c r="E167" i="23"/>
  <c r="N162" i="23"/>
  <c r="V72" i="23" s="1"/>
  <c r="H319" i="23"/>
  <c r="I319" i="23" s="1"/>
  <c r="AO97" i="23"/>
  <c r="AN97" i="23"/>
  <c r="AL97" i="23"/>
  <c r="F263" i="23"/>
  <c r="W96" i="23" s="1"/>
  <c r="W104" i="23" s="1"/>
  <c r="W239" i="23" s="1"/>
  <c r="AM97" i="23"/>
  <c r="E51" i="23"/>
  <c r="N46" i="23"/>
  <c r="V32" i="23" s="1"/>
  <c r="F142" i="23"/>
  <c r="N164" i="23"/>
  <c r="X72" i="23" s="1"/>
  <c r="G142" i="23"/>
  <c r="G57" i="23"/>
  <c r="F57" i="23"/>
  <c r="F60" i="23" s="1"/>
  <c r="W26" i="23" s="1"/>
  <c r="W34" i="23" s="1"/>
  <c r="W232" i="23" s="1"/>
  <c r="E57" i="23"/>
  <c r="D57" i="23"/>
  <c r="C57" i="23"/>
  <c r="AO90" i="23"/>
  <c r="AW86" i="23"/>
  <c r="AO115" i="23" s="1"/>
  <c r="E146" i="23"/>
  <c r="H463" i="23"/>
  <c r="I463" i="23" s="1"/>
  <c r="H433" i="23"/>
  <c r="I433" i="23" s="1"/>
  <c r="E283" i="23"/>
  <c r="N278" i="23"/>
  <c r="V112" i="23" s="1"/>
  <c r="G493" i="23"/>
  <c r="F493" i="23"/>
  <c r="G407" i="23"/>
  <c r="F407" i="23"/>
  <c r="H407" i="23" s="1"/>
  <c r="H374" i="23"/>
  <c r="I374" i="23" s="1"/>
  <c r="I578" i="23"/>
  <c r="H291" i="23"/>
  <c r="I291" i="23" s="1"/>
  <c r="E293" i="23"/>
  <c r="V107" i="23" s="1"/>
  <c r="V115" i="23" s="1"/>
  <c r="H233" i="23"/>
  <c r="I233" i="23" s="1"/>
  <c r="I203" i="23"/>
  <c r="N541" i="23"/>
  <c r="X202" i="23" s="1"/>
  <c r="G544" i="23"/>
  <c r="H175" i="23"/>
  <c r="I175" i="23" s="1"/>
  <c r="C142" i="23"/>
  <c r="F146" i="23"/>
  <c r="AR95" i="23"/>
  <c r="X285" i="23"/>
  <c r="X286" i="23" s="1"/>
  <c r="N540" i="23"/>
  <c r="W202" i="23" s="1"/>
  <c r="J540" i="23"/>
  <c r="E491" i="23"/>
  <c r="D491" i="23"/>
  <c r="D495" i="23" s="1"/>
  <c r="U176" i="23" s="1"/>
  <c r="U184" i="23" s="1"/>
  <c r="U247" i="23" s="1"/>
  <c r="F491" i="23"/>
  <c r="G491" i="23"/>
  <c r="C491" i="23"/>
  <c r="G519" i="23"/>
  <c r="N393" i="23"/>
  <c r="U152" i="23" s="1"/>
  <c r="D399" i="23"/>
  <c r="N392" i="23"/>
  <c r="T152" i="23" s="1"/>
  <c r="C399" i="23"/>
  <c r="F436" i="23"/>
  <c r="D436" i="23"/>
  <c r="D437" i="23" s="1"/>
  <c r="G436" i="23"/>
  <c r="C436" i="23"/>
  <c r="E436" i="23"/>
  <c r="E437" i="23" s="1"/>
  <c r="V156" i="23" s="1"/>
  <c r="V164" i="23" s="1"/>
  <c r="V245" i="23" s="1"/>
  <c r="F523" i="23"/>
  <c r="D523" i="23"/>
  <c r="D524" i="23" s="1"/>
  <c r="C523" i="23"/>
  <c r="G523" i="23"/>
  <c r="E523" i="23"/>
  <c r="E346" i="23"/>
  <c r="E351" i="23" s="1"/>
  <c r="V127" i="23" s="1"/>
  <c r="V135" i="23" s="1"/>
  <c r="D346" i="23"/>
  <c r="C346" i="23"/>
  <c r="G346" i="23"/>
  <c r="F346" i="23"/>
  <c r="F350" i="23" s="1"/>
  <c r="W126" i="23" s="1"/>
  <c r="W134" i="23" s="1"/>
  <c r="W242" i="23" s="1"/>
  <c r="F522" i="23"/>
  <c r="E522" i="23"/>
  <c r="C522" i="23"/>
  <c r="H349" i="23"/>
  <c r="I349" i="23" s="1"/>
  <c r="J247" i="23"/>
  <c r="N247" i="23"/>
  <c r="T102" i="23" s="1"/>
  <c r="G492" i="23"/>
  <c r="C492" i="23"/>
  <c r="N366" i="23"/>
  <c r="W142" i="23" s="1"/>
  <c r="F370" i="23"/>
  <c r="F292" i="23"/>
  <c r="F293" i="23"/>
  <c r="W107" i="23" s="1"/>
  <c r="W115" i="23" s="1"/>
  <c r="H317" i="23"/>
  <c r="I317" i="23" s="1"/>
  <c r="E145" i="23"/>
  <c r="H145" i="23" s="1"/>
  <c r="I145" i="23" s="1"/>
  <c r="D138" i="23"/>
  <c r="N132" i="23"/>
  <c r="U62" i="23" s="1"/>
  <c r="D142" i="23"/>
  <c r="E117" i="23"/>
  <c r="D117" i="23"/>
  <c r="C117" i="23"/>
  <c r="G117" i="23"/>
  <c r="F117" i="23"/>
  <c r="G146" i="23"/>
  <c r="AL96" i="21"/>
  <c r="AM96" i="21"/>
  <c r="AN96" i="21"/>
  <c r="AP96" i="21"/>
  <c r="AP98" i="21"/>
  <c r="AO98" i="21"/>
  <c r="AN98" i="21"/>
  <c r="AL98" i="21"/>
  <c r="AQ98" i="21" s="1"/>
  <c r="AR98" i="21" s="1"/>
  <c r="AW84" i="21"/>
  <c r="AM115" i="21" s="1"/>
  <c r="AW87" i="21"/>
  <c r="AP115" i="21" s="1"/>
  <c r="C520" i="21"/>
  <c r="H520" i="21" s="1"/>
  <c r="I520" i="21" s="1"/>
  <c r="F521" i="21"/>
  <c r="H494" i="21"/>
  <c r="D464" i="21"/>
  <c r="G404" i="21"/>
  <c r="D406" i="21"/>
  <c r="C406" i="21"/>
  <c r="C404" i="21"/>
  <c r="E406" i="21"/>
  <c r="C348" i="21"/>
  <c r="E348" i="21"/>
  <c r="E351" i="21" s="1"/>
  <c r="V127" i="21" s="1"/>
  <c r="V135" i="21" s="1"/>
  <c r="H347" i="21"/>
  <c r="G316" i="21"/>
  <c r="O263" i="21"/>
  <c r="D203" i="21"/>
  <c r="F203" i="21"/>
  <c r="F175" i="21"/>
  <c r="F171" i="21"/>
  <c r="H171" i="21" s="1"/>
  <c r="C175" i="21"/>
  <c r="C143" i="21"/>
  <c r="AA287" i="21"/>
  <c r="D143" i="21"/>
  <c r="I143" i="21" s="1"/>
  <c r="AA288" i="21"/>
  <c r="D55" i="21"/>
  <c r="D61" i="21" s="1"/>
  <c r="U27" i="21" s="1"/>
  <c r="U35" i="21" s="1"/>
  <c r="N541" i="21"/>
  <c r="X202" i="21" s="1"/>
  <c r="N539" i="21"/>
  <c r="V202" i="21" s="1"/>
  <c r="N511" i="21"/>
  <c r="W192" i="21" s="1"/>
  <c r="H492" i="21"/>
  <c r="I492" i="21" s="1"/>
  <c r="C490" i="21"/>
  <c r="D490" i="21"/>
  <c r="G490" i="21"/>
  <c r="F490" i="21"/>
  <c r="F496" i="21" s="1"/>
  <c r="W177" i="21" s="1"/>
  <c r="W185" i="21" s="1"/>
  <c r="E490" i="21"/>
  <c r="E495" i="21" s="1"/>
  <c r="V176" i="21" s="1"/>
  <c r="V184" i="21" s="1"/>
  <c r="V247" i="21" s="1"/>
  <c r="F493" i="21"/>
  <c r="D493" i="21"/>
  <c r="H493" i="21" s="1"/>
  <c r="I493" i="21" s="1"/>
  <c r="C464" i="21"/>
  <c r="N424" i="21"/>
  <c r="W162" i="21" s="1"/>
  <c r="N423" i="21"/>
  <c r="V162" i="21" s="1"/>
  <c r="C399" i="21"/>
  <c r="N392" i="21"/>
  <c r="T152" i="21" s="1"/>
  <c r="D370" i="21"/>
  <c r="H378" i="21"/>
  <c r="I378" i="21" s="1"/>
  <c r="F350" i="21"/>
  <c r="W126" i="21" s="1"/>
  <c r="W134" i="21" s="1"/>
  <c r="W242" i="21" s="1"/>
  <c r="H349" i="21"/>
  <c r="I349" i="21" s="1"/>
  <c r="J349" i="21" s="1"/>
  <c r="X131" i="21" s="1"/>
  <c r="E288" i="21"/>
  <c r="G288" i="21"/>
  <c r="H288" i="21" s="1"/>
  <c r="I288" i="21" s="1"/>
  <c r="F260" i="21"/>
  <c r="H261" i="21"/>
  <c r="I261" i="21" s="1"/>
  <c r="D260" i="21"/>
  <c r="G260" i="21"/>
  <c r="C260" i="21"/>
  <c r="N220" i="21"/>
  <c r="V92" i="21" s="1"/>
  <c r="N191" i="21"/>
  <c r="V82" i="21" s="1"/>
  <c r="N160" i="21"/>
  <c r="T72" i="21" s="1"/>
  <c r="H115" i="21"/>
  <c r="I115" i="21" s="1"/>
  <c r="N103" i="21"/>
  <c r="U52" i="21" s="1"/>
  <c r="F88" i="21"/>
  <c r="C88" i="21"/>
  <c r="C59" i="21"/>
  <c r="H57" i="21"/>
  <c r="I57" i="21" s="1"/>
  <c r="E59" i="21"/>
  <c r="K27" i="21"/>
  <c r="P27" i="21" s="1"/>
  <c r="J27" i="21"/>
  <c r="U21" i="21" s="1"/>
  <c r="U20" i="21"/>
  <c r="G580" i="21"/>
  <c r="F580" i="21"/>
  <c r="D580" i="21"/>
  <c r="E580" i="21"/>
  <c r="C580" i="21"/>
  <c r="D551" i="21"/>
  <c r="C551" i="21"/>
  <c r="G551" i="21"/>
  <c r="F551" i="21"/>
  <c r="E551" i="21"/>
  <c r="H406" i="21"/>
  <c r="I406" i="21" s="1"/>
  <c r="E341" i="21"/>
  <c r="N336" i="21"/>
  <c r="V132" i="21" s="1"/>
  <c r="E350" i="21"/>
  <c r="V126" i="21" s="1"/>
  <c r="V134" i="21" s="1"/>
  <c r="V242" i="21" s="1"/>
  <c r="N335" i="21"/>
  <c r="U132" i="21" s="1"/>
  <c r="J335" i="21"/>
  <c r="O582" i="21"/>
  <c r="D404" i="21"/>
  <c r="H404" i="21" s="1"/>
  <c r="C172" i="21"/>
  <c r="D172" i="21"/>
  <c r="F51" i="21"/>
  <c r="N47" i="21"/>
  <c r="W32" i="21" s="1"/>
  <c r="G22" i="21"/>
  <c r="N19" i="21"/>
  <c r="X22" i="21" s="1"/>
  <c r="F316" i="21"/>
  <c r="N305" i="21"/>
  <c r="T122" i="21" s="1"/>
  <c r="C312" i="21"/>
  <c r="C283" i="21"/>
  <c r="N276" i="21"/>
  <c r="T112" i="21" s="1"/>
  <c r="G259" i="21"/>
  <c r="F259" i="21"/>
  <c r="E259" i="21"/>
  <c r="D259" i="21"/>
  <c r="C259" i="21"/>
  <c r="D173" i="21"/>
  <c r="G173" i="21"/>
  <c r="F173" i="21"/>
  <c r="E173" i="21"/>
  <c r="C173" i="21"/>
  <c r="AO94" i="21"/>
  <c r="AO99" i="21" s="1"/>
  <c r="AO109" i="21" s="1"/>
  <c r="AO117" i="21" s="1"/>
  <c r="AN94" i="21"/>
  <c r="AN99" i="21" s="1"/>
  <c r="AN109" i="21" s="1"/>
  <c r="AN117" i="21" s="1"/>
  <c r="AM94" i="21"/>
  <c r="AL94" i="21"/>
  <c r="AP94" i="21"/>
  <c r="AP99" i="21" s="1"/>
  <c r="AP109" i="21" s="1"/>
  <c r="AP117" i="21" s="1"/>
  <c r="N133" i="21"/>
  <c r="V62" i="21" s="1"/>
  <c r="E138" i="21"/>
  <c r="N102" i="21"/>
  <c r="T52" i="21" s="1"/>
  <c r="J102" i="21"/>
  <c r="AQ96" i="21"/>
  <c r="AR96" i="21" s="1"/>
  <c r="G577" i="21"/>
  <c r="F577" i="21"/>
  <c r="E577" i="21"/>
  <c r="D577" i="21"/>
  <c r="C577" i="21"/>
  <c r="E521" i="21"/>
  <c r="C521" i="21"/>
  <c r="O524" i="21"/>
  <c r="J425" i="21"/>
  <c r="N425" i="21"/>
  <c r="X162" i="21" s="1"/>
  <c r="G521" i="21"/>
  <c r="N567" i="21"/>
  <c r="U212" i="21" s="1"/>
  <c r="J567" i="21"/>
  <c r="E464" i="21"/>
  <c r="N309" i="21"/>
  <c r="X122" i="21" s="1"/>
  <c r="J309" i="21"/>
  <c r="G579" i="21"/>
  <c r="C579" i="21"/>
  <c r="I320" i="21"/>
  <c r="H346" i="21"/>
  <c r="F232" i="21"/>
  <c r="D232" i="21"/>
  <c r="G232" i="21"/>
  <c r="C232" i="21"/>
  <c r="E232" i="21"/>
  <c r="E167" i="21"/>
  <c r="N162" i="21"/>
  <c r="V72" i="21" s="1"/>
  <c r="H87" i="21"/>
  <c r="I87" i="21" s="1"/>
  <c r="F113" i="21"/>
  <c r="E113" i="21"/>
  <c r="C113" i="21"/>
  <c r="G113" i="21"/>
  <c r="D113" i="21"/>
  <c r="F117" i="21"/>
  <c r="G117" i="21"/>
  <c r="E117" i="21"/>
  <c r="D117" i="21"/>
  <c r="C117" i="21"/>
  <c r="N46" i="21"/>
  <c r="V32" i="21" s="1"/>
  <c r="J46" i="21"/>
  <c r="H432" i="21"/>
  <c r="D436" i="21"/>
  <c r="G436" i="21"/>
  <c r="F436" i="21"/>
  <c r="E436" i="21"/>
  <c r="C436" i="21"/>
  <c r="H320" i="21"/>
  <c r="O466" i="21"/>
  <c r="G461" i="21"/>
  <c r="C461" i="21"/>
  <c r="C467" i="21" s="1"/>
  <c r="T167" i="21" s="1"/>
  <c r="T175" i="21" s="1"/>
  <c r="J537" i="21"/>
  <c r="N537" i="21"/>
  <c r="T202" i="21" s="1"/>
  <c r="O321" i="21"/>
  <c r="C496" i="21"/>
  <c r="T177" i="21" s="1"/>
  <c r="T185" i="21" s="1"/>
  <c r="G352" i="21"/>
  <c r="N338" i="21"/>
  <c r="X132" i="21" s="1"/>
  <c r="G341" i="21"/>
  <c r="H491" i="21"/>
  <c r="I491" i="21" s="1"/>
  <c r="G486" i="21"/>
  <c r="N483" i="21"/>
  <c r="X182" i="21" s="1"/>
  <c r="N251" i="21"/>
  <c r="X102" i="21" s="1"/>
  <c r="AW86" i="21"/>
  <c r="AO115" i="21" s="1"/>
  <c r="AO90" i="21"/>
  <c r="E175" i="21"/>
  <c r="H116" i="21"/>
  <c r="N45" i="21"/>
  <c r="U32" i="21" s="1"/>
  <c r="J45" i="21"/>
  <c r="C144" i="21"/>
  <c r="F144" i="21"/>
  <c r="D144" i="21"/>
  <c r="G144" i="21"/>
  <c r="E144" i="21"/>
  <c r="AM98" i="21"/>
  <c r="C319" i="21"/>
  <c r="G319" i="21"/>
  <c r="F319" i="21"/>
  <c r="E319" i="21"/>
  <c r="D319" i="21"/>
  <c r="D495" i="21"/>
  <c r="U176" i="21" s="1"/>
  <c r="U184" i="21" s="1"/>
  <c r="U247" i="21" s="1"/>
  <c r="I494" i="21"/>
  <c r="D578" i="21"/>
  <c r="C578" i="21"/>
  <c r="F578" i="21"/>
  <c r="E578" i="21"/>
  <c r="G578" i="21"/>
  <c r="C462" i="21"/>
  <c r="C291" i="21"/>
  <c r="F291" i="21"/>
  <c r="G291" i="21"/>
  <c r="E291" i="21"/>
  <c r="D291" i="21"/>
  <c r="N278" i="21"/>
  <c r="V112" i="21" s="1"/>
  <c r="E283" i="21"/>
  <c r="E172" i="21"/>
  <c r="O176" i="21"/>
  <c r="G258" i="21"/>
  <c r="F258" i="21"/>
  <c r="E258" i="21"/>
  <c r="D258" i="21"/>
  <c r="C258" i="21"/>
  <c r="F172" i="21"/>
  <c r="C138" i="21"/>
  <c r="N131" i="21"/>
  <c r="T62" i="21" s="1"/>
  <c r="F202" i="21"/>
  <c r="F206" i="21" s="1"/>
  <c r="W77" i="21" s="1"/>
  <c r="W85" i="21" s="1"/>
  <c r="D202" i="21"/>
  <c r="D205" i="21" s="1"/>
  <c r="C202" i="21"/>
  <c r="E202" i="21"/>
  <c r="E206" i="21" s="1"/>
  <c r="V77" i="21" s="1"/>
  <c r="V85" i="21" s="1"/>
  <c r="G202" i="21"/>
  <c r="G205" i="21" s="1"/>
  <c r="G51" i="21"/>
  <c r="N48" i="21"/>
  <c r="X32" i="21" s="1"/>
  <c r="N15" i="21"/>
  <c r="T22" i="21" s="1"/>
  <c r="C22" i="21"/>
  <c r="AO101" i="21"/>
  <c r="N510" i="21"/>
  <c r="V192" i="21" s="1"/>
  <c r="E515" i="21"/>
  <c r="C515" i="21"/>
  <c r="N508" i="21"/>
  <c r="T192" i="21" s="1"/>
  <c r="C317" i="21"/>
  <c r="G317" i="21"/>
  <c r="E317" i="21"/>
  <c r="D462" i="21"/>
  <c r="E399" i="21"/>
  <c r="N394" i="21"/>
  <c r="V152" i="21" s="1"/>
  <c r="C318" i="21"/>
  <c r="G318" i="21"/>
  <c r="F318" i="21"/>
  <c r="E318" i="21"/>
  <c r="D318" i="21"/>
  <c r="E462" i="21"/>
  <c r="D550" i="21"/>
  <c r="C550" i="21"/>
  <c r="H550" i="21" s="1"/>
  <c r="F550" i="21"/>
  <c r="G550" i="21"/>
  <c r="E550" i="21"/>
  <c r="D581" i="21"/>
  <c r="F581" i="21"/>
  <c r="G581" i="21"/>
  <c r="E581" i="21"/>
  <c r="C581" i="21"/>
  <c r="D544" i="21"/>
  <c r="N538" i="21"/>
  <c r="U202" i="21" s="1"/>
  <c r="H376" i="21"/>
  <c r="I376" i="21" s="1"/>
  <c r="O234" i="21"/>
  <c r="F352" i="21"/>
  <c r="G229" i="21"/>
  <c r="D233" i="21"/>
  <c r="N247" i="21"/>
  <c r="T102" i="21" s="1"/>
  <c r="J247" i="21"/>
  <c r="F205" i="21"/>
  <c r="W76" i="21" s="1"/>
  <c r="W84" i="21" s="1"/>
  <c r="W237" i="21" s="1"/>
  <c r="G109" i="21"/>
  <c r="N106" i="21"/>
  <c r="X52" i="21" s="1"/>
  <c r="G175" i="21"/>
  <c r="I116" i="21"/>
  <c r="F146" i="21"/>
  <c r="F56" i="21"/>
  <c r="D56" i="21"/>
  <c r="G56" i="21"/>
  <c r="E56" i="21"/>
  <c r="C56" i="21"/>
  <c r="N75" i="21"/>
  <c r="V42" i="21" s="1"/>
  <c r="J75" i="21"/>
  <c r="AQ97" i="21"/>
  <c r="AR97" i="21" s="1"/>
  <c r="AO105" i="21" s="1"/>
  <c r="N512" i="21"/>
  <c r="X192" i="21" s="1"/>
  <c r="G515" i="21"/>
  <c r="J367" i="21"/>
  <c r="N367" i="21"/>
  <c r="X142" i="21" s="1"/>
  <c r="E312" i="21"/>
  <c r="N307" i="21"/>
  <c r="V122" i="21" s="1"/>
  <c r="H548" i="21"/>
  <c r="I548" i="21"/>
  <c r="E254" i="21"/>
  <c r="N249" i="21"/>
  <c r="V102" i="21" s="1"/>
  <c r="G495" i="21"/>
  <c r="X176" i="21" s="1"/>
  <c r="X184" i="21" s="1"/>
  <c r="X247" i="21" s="1"/>
  <c r="G496" i="21"/>
  <c r="X177" i="21" s="1"/>
  <c r="X185" i="21" s="1"/>
  <c r="I375" i="21"/>
  <c r="H523" i="21"/>
  <c r="I523" i="21" s="1"/>
  <c r="N395" i="21"/>
  <c r="W152" i="21" s="1"/>
  <c r="F462" i="21"/>
  <c r="N366" i="21"/>
  <c r="W142" i="21" s="1"/>
  <c r="F370" i="21"/>
  <c r="D229" i="21"/>
  <c r="F233" i="21"/>
  <c r="C229" i="21"/>
  <c r="N192" i="21"/>
  <c r="W82" i="21" s="1"/>
  <c r="O147" i="21"/>
  <c r="J104" i="21"/>
  <c r="N104" i="21"/>
  <c r="V52" i="21" s="1"/>
  <c r="J77" i="21"/>
  <c r="N77" i="21"/>
  <c r="X42" i="21" s="1"/>
  <c r="E146" i="21"/>
  <c r="D84" i="21"/>
  <c r="C84" i="21"/>
  <c r="G84" i="21"/>
  <c r="E84" i="21"/>
  <c r="F84" i="21"/>
  <c r="E352" i="21"/>
  <c r="I347" i="21"/>
  <c r="AO110" i="21"/>
  <c r="AN110" i="21"/>
  <c r="AX99" i="21"/>
  <c r="AW83" i="21"/>
  <c r="AL115" i="21" s="1"/>
  <c r="D59" i="21"/>
  <c r="H59" i="21" s="1"/>
  <c r="I59" i="21" s="1"/>
  <c r="E403" i="21"/>
  <c r="E409" i="21" s="1"/>
  <c r="V147" i="21" s="1"/>
  <c r="V155" i="21" s="1"/>
  <c r="D403" i="21"/>
  <c r="O408" i="21"/>
  <c r="C403" i="21"/>
  <c r="H114" i="21"/>
  <c r="I114" i="21" s="1"/>
  <c r="G465" i="21"/>
  <c r="E465" i="21"/>
  <c r="C465" i="21"/>
  <c r="F465" i="21"/>
  <c r="F403" i="21"/>
  <c r="F409" i="21" s="1"/>
  <c r="W147" i="21" s="1"/>
  <c r="W155" i="21" s="1"/>
  <c r="D435" i="21"/>
  <c r="D438" i="21" s="1"/>
  <c r="U157" i="21" s="1"/>
  <c r="U165" i="21" s="1"/>
  <c r="G435" i="21"/>
  <c r="F435" i="21"/>
  <c r="E435" i="21"/>
  <c r="C435" i="21"/>
  <c r="H552" i="21"/>
  <c r="I552" i="21" s="1"/>
  <c r="G462" i="21"/>
  <c r="G374" i="21"/>
  <c r="F374" i="21"/>
  <c r="D374" i="21"/>
  <c r="E374" i="21"/>
  <c r="C374" i="21"/>
  <c r="H434" i="21"/>
  <c r="I434" i="21" s="1"/>
  <c r="G287" i="21"/>
  <c r="E287" i="21"/>
  <c r="D287" i="21"/>
  <c r="C287" i="21"/>
  <c r="F287" i="21"/>
  <c r="E229" i="21"/>
  <c r="G233" i="21"/>
  <c r="H231" i="21"/>
  <c r="I231" i="21" s="1"/>
  <c r="H142" i="21"/>
  <c r="E233" i="21"/>
  <c r="N163" i="21"/>
  <c r="W72" i="21" s="1"/>
  <c r="G172" i="21"/>
  <c r="G146" i="21"/>
  <c r="H30" i="21"/>
  <c r="I30" i="21" s="1"/>
  <c r="G86" i="21"/>
  <c r="F86" i="21"/>
  <c r="E86" i="21"/>
  <c r="D86" i="21"/>
  <c r="C86" i="21"/>
  <c r="E3" i="21"/>
  <c r="C8" i="21"/>
  <c r="D352" i="21"/>
  <c r="I346" i="21"/>
  <c r="G145" i="21"/>
  <c r="F145" i="21"/>
  <c r="E145" i="21"/>
  <c r="D145" i="21"/>
  <c r="C145" i="21"/>
  <c r="G573" i="21"/>
  <c r="N570" i="21"/>
  <c r="X212" i="21" s="1"/>
  <c r="D461" i="21"/>
  <c r="D465" i="21"/>
  <c r="G403" i="21"/>
  <c r="G409" i="21" s="1"/>
  <c r="X147" i="21" s="1"/>
  <c r="X155" i="21" s="1"/>
  <c r="D549" i="21"/>
  <c r="C549" i="21"/>
  <c r="F549" i="21"/>
  <c r="F554" i="21" s="1"/>
  <c r="W197" i="21" s="1"/>
  <c r="W205" i="21" s="1"/>
  <c r="G549" i="21"/>
  <c r="E549" i="21"/>
  <c r="G554" i="21"/>
  <c r="X197" i="21" s="1"/>
  <c r="X205" i="21" s="1"/>
  <c r="N280" i="21"/>
  <c r="X112" i="21" s="1"/>
  <c r="G283" i="21"/>
  <c r="G522" i="21"/>
  <c r="F522" i="21"/>
  <c r="C522" i="21"/>
  <c r="E522" i="21"/>
  <c r="D522" i="21"/>
  <c r="C350" i="21"/>
  <c r="T126" i="21" s="1"/>
  <c r="T134" i="21" s="1"/>
  <c r="I345" i="21"/>
  <c r="H345" i="21"/>
  <c r="H433" i="21"/>
  <c r="I433" i="21" s="1"/>
  <c r="D254" i="21"/>
  <c r="N248" i="21"/>
  <c r="U102" i="21" s="1"/>
  <c r="E203" i="21"/>
  <c r="H290" i="21"/>
  <c r="I290" i="21" s="1"/>
  <c r="N221" i="21"/>
  <c r="W92" i="21" s="1"/>
  <c r="N44" i="21"/>
  <c r="T32" i="21" s="1"/>
  <c r="C51" i="21"/>
  <c r="C146" i="21"/>
  <c r="N18" i="21"/>
  <c r="W22" i="21" s="1"/>
  <c r="F22" i="21"/>
  <c r="O60" i="21"/>
  <c r="F55" i="21"/>
  <c r="H26" i="21"/>
  <c r="I26" i="21"/>
  <c r="H200" i="21"/>
  <c r="G463" i="21"/>
  <c r="F463" i="21"/>
  <c r="D463" i="21"/>
  <c r="E463" i="21"/>
  <c r="C463" i="21"/>
  <c r="N363" i="21"/>
  <c r="T142" i="21" s="1"/>
  <c r="C370" i="21"/>
  <c r="G407" i="21"/>
  <c r="D407" i="21"/>
  <c r="C407" i="21"/>
  <c r="F407" i="21"/>
  <c r="E407" i="21"/>
  <c r="G519" i="21"/>
  <c r="F519" i="21"/>
  <c r="C519" i="21"/>
  <c r="E519" i="21"/>
  <c r="D519" i="21"/>
  <c r="C351" i="21"/>
  <c r="T127" i="21" s="1"/>
  <c r="T135" i="21" s="1"/>
  <c r="N450" i="21"/>
  <c r="T172" i="21" s="1"/>
  <c r="C457" i="21"/>
  <c r="C495" i="21"/>
  <c r="N337" i="21"/>
  <c r="W132" i="21" s="1"/>
  <c r="J337" i="21"/>
  <c r="F464" i="21"/>
  <c r="H262" i="21"/>
  <c r="I262" i="21" s="1"/>
  <c r="G289" i="21"/>
  <c r="E289" i="21"/>
  <c r="F289" i="21"/>
  <c r="D289" i="21"/>
  <c r="C289" i="21"/>
  <c r="D174" i="21"/>
  <c r="C174" i="21"/>
  <c r="G174" i="21"/>
  <c r="F174" i="21"/>
  <c r="E174" i="21"/>
  <c r="G225" i="21"/>
  <c r="N222" i="21"/>
  <c r="X92" i="21" s="1"/>
  <c r="C80" i="21"/>
  <c r="N73" i="21"/>
  <c r="T42" i="21" s="1"/>
  <c r="G167" i="21"/>
  <c r="N164" i="21"/>
  <c r="X72" i="21" s="1"/>
  <c r="H201" i="21"/>
  <c r="I201" i="21" s="1"/>
  <c r="D146" i="21"/>
  <c r="N250" i="21"/>
  <c r="W102" i="21" s="1"/>
  <c r="F254" i="21"/>
  <c r="D316" i="21"/>
  <c r="AL95" i="21"/>
  <c r="E370" i="21"/>
  <c r="N365" i="21"/>
  <c r="V142" i="21" s="1"/>
  <c r="F461" i="21"/>
  <c r="N452" i="21"/>
  <c r="V172" i="21" s="1"/>
  <c r="E457" i="21"/>
  <c r="H377" i="21"/>
  <c r="I377" i="21" s="1"/>
  <c r="N509" i="21"/>
  <c r="U192" i="21" s="1"/>
  <c r="D351" i="21"/>
  <c r="U127" i="21" s="1"/>
  <c r="U135" i="21" s="1"/>
  <c r="E405" i="21"/>
  <c r="D405" i="21"/>
  <c r="C405" i="21"/>
  <c r="F317" i="21"/>
  <c r="N540" i="21"/>
  <c r="W202" i="21" s="1"/>
  <c r="H204" i="21"/>
  <c r="I204" i="21" s="1"/>
  <c r="C203" i="21"/>
  <c r="H203" i="21" s="1"/>
  <c r="I203" i="21" s="1"/>
  <c r="O205" i="21"/>
  <c r="E230" i="21"/>
  <c r="D230" i="21"/>
  <c r="G230" i="21"/>
  <c r="C230" i="21"/>
  <c r="F230" i="21"/>
  <c r="H143" i="21"/>
  <c r="F58" i="21"/>
  <c r="D58" i="21"/>
  <c r="C58" i="21"/>
  <c r="G58" i="21"/>
  <c r="E58" i="21"/>
  <c r="E316" i="21"/>
  <c r="AM95" i="21"/>
  <c r="D28" i="21"/>
  <c r="D32" i="21" s="1"/>
  <c r="U17" i="21" s="1"/>
  <c r="G28" i="21"/>
  <c r="G31" i="21" s="1"/>
  <c r="F28" i="21"/>
  <c r="F32" i="21" s="1"/>
  <c r="W17" i="21" s="1"/>
  <c r="E28" i="21"/>
  <c r="E31" i="21" s="1"/>
  <c r="V16" i="21" s="1"/>
  <c r="C28" i="21"/>
  <c r="C31" i="21" s="1"/>
  <c r="H85" i="21"/>
  <c r="I85" i="21" s="1"/>
  <c r="H29" i="21"/>
  <c r="I29" i="21" s="1"/>
  <c r="AQ96" i="20"/>
  <c r="AR96" i="20" s="1"/>
  <c r="AP95" i="20"/>
  <c r="AO95" i="20"/>
  <c r="AW84" i="20"/>
  <c r="AM115" i="20" s="1"/>
  <c r="AW87" i="20"/>
  <c r="AP115" i="20" s="1"/>
  <c r="AQ98" i="20"/>
  <c r="AR98" i="20" s="1"/>
  <c r="AS98" i="20" s="1"/>
  <c r="AP114" i="20" s="1"/>
  <c r="AW85" i="20"/>
  <c r="AN115" i="20" s="1"/>
  <c r="F551" i="20"/>
  <c r="O495" i="20"/>
  <c r="G494" i="20"/>
  <c r="H494" i="20" s="1"/>
  <c r="G492" i="20"/>
  <c r="C461" i="20"/>
  <c r="H461" i="20" s="1"/>
  <c r="F461" i="20"/>
  <c r="D462" i="20"/>
  <c r="H462" i="20" s="1"/>
  <c r="I462" i="20" s="1"/>
  <c r="G461" i="20"/>
  <c r="D461" i="20"/>
  <c r="D432" i="20"/>
  <c r="D376" i="20"/>
  <c r="E374" i="20"/>
  <c r="F374" i="20"/>
  <c r="H290" i="20"/>
  <c r="I290" i="20" s="1"/>
  <c r="H262" i="20"/>
  <c r="C230" i="20"/>
  <c r="D144" i="20"/>
  <c r="G144" i="20"/>
  <c r="H58" i="20"/>
  <c r="N567" i="20"/>
  <c r="U212" i="20" s="1"/>
  <c r="C573" i="20"/>
  <c r="N566" i="20"/>
  <c r="T212" i="20" s="1"/>
  <c r="F544" i="20"/>
  <c r="N540" i="20"/>
  <c r="W202" i="20" s="1"/>
  <c r="N512" i="20"/>
  <c r="X192" i="20" s="1"/>
  <c r="H523" i="20"/>
  <c r="N511" i="20"/>
  <c r="W192" i="20" s="1"/>
  <c r="H463" i="20"/>
  <c r="I463" i="20" s="1"/>
  <c r="N421" i="20"/>
  <c r="T162" i="20" s="1"/>
  <c r="F428" i="20"/>
  <c r="N424" i="20"/>
  <c r="W162" i="20" s="1"/>
  <c r="D428" i="20"/>
  <c r="N395" i="20"/>
  <c r="W152" i="20" s="1"/>
  <c r="N394" i="20"/>
  <c r="V152" i="20" s="1"/>
  <c r="H407" i="20"/>
  <c r="I407" i="20" s="1"/>
  <c r="N336" i="20"/>
  <c r="V132" i="20" s="1"/>
  <c r="J338" i="20"/>
  <c r="D349" i="20"/>
  <c r="G349" i="20"/>
  <c r="F349" i="20"/>
  <c r="C349" i="20"/>
  <c r="H349" i="20" s="1"/>
  <c r="I349" i="20" s="1"/>
  <c r="D345" i="20"/>
  <c r="C345" i="20"/>
  <c r="G345" i="20"/>
  <c r="F345" i="20"/>
  <c r="J335" i="20"/>
  <c r="N335" i="20"/>
  <c r="U132" i="20" s="1"/>
  <c r="N306" i="20"/>
  <c r="U122" i="20" s="1"/>
  <c r="H289" i="20"/>
  <c r="I289" i="20" s="1"/>
  <c r="F254" i="20"/>
  <c r="N250" i="20"/>
  <c r="W102" i="20" s="1"/>
  <c r="N248" i="20"/>
  <c r="U102" i="20" s="1"/>
  <c r="H230" i="20"/>
  <c r="I230" i="20" s="1"/>
  <c r="C172" i="20"/>
  <c r="F172" i="20"/>
  <c r="D172" i="20"/>
  <c r="G171" i="20"/>
  <c r="D171" i="20"/>
  <c r="C171" i="20"/>
  <c r="G109" i="20"/>
  <c r="N106" i="20"/>
  <c r="X52" i="20" s="1"/>
  <c r="N103" i="20"/>
  <c r="U52" i="20" s="1"/>
  <c r="D59" i="20"/>
  <c r="H59" i="20" s="1"/>
  <c r="I59" i="20" s="1"/>
  <c r="G59" i="20"/>
  <c r="F59" i="20"/>
  <c r="N47" i="20"/>
  <c r="W32" i="20" s="1"/>
  <c r="J47" i="20"/>
  <c r="H29" i="20"/>
  <c r="J17" i="20"/>
  <c r="AP113" i="20"/>
  <c r="AT98" i="20"/>
  <c r="K407" i="20"/>
  <c r="P407" i="20" s="1"/>
  <c r="J407" i="20"/>
  <c r="X151" i="20" s="1"/>
  <c r="X150" i="20"/>
  <c r="O553" i="20"/>
  <c r="J131" i="20"/>
  <c r="N131" i="20"/>
  <c r="T62" i="20" s="1"/>
  <c r="H142" i="20"/>
  <c r="AL90" i="20"/>
  <c r="AW83" i="20"/>
  <c r="AL115" i="20" s="1"/>
  <c r="G51" i="20"/>
  <c r="N48" i="20"/>
  <c r="X32" i="20" s="1"/>
  <c r="N18" i="20"/>
  <c r="W22" i="20" s="1"/>
  <c r="F22" i="20"/>
  <c r="E435" i="20"/>
  <c r="C435" i="20"/>
  <c r="O408" i="20"/>
  <c r="C521" i="20"/>
  <c r="J423" i="20"/>
  <c r="N423" i="20"/>
  <c r="V162" i="20" s="1"/>
  <c r="H432" i="20"/>
  <c r="I432" i="20" s="1"/>
  <c r="C548" i="20"/>
  <c r="C554" i="20" s="1"/>
  <c r="T197" i="20" s="1"/>
  <c r="T205" i="20" s="1"/>
  <c r="F552" i="20"/>
  <c r="G552" i="20"/>
  <c r="E552" i="20"/>
  <c r="D552" i="20"/>
  <c r="C552" i="20"/>
  <c r="F548" i="20"/>
  <c r="F405" i="20"/>
  <c r="N480" i="20"/>
  <c r="U182" i="20" s="1"/>
  <c r="C374" i="20"/>
  <c r="H375" i="20"/>
  <c r="I375" i="20" s="1"/>
  <c r="H346" i="20"/>
  <c r="I346" i="20" s="1"/>
  <c r="D173" i="20"/>
  <c r="G173" i="20"/>
  <c r="F173" i="20"/>
  <c r="E173" i="20"/>
  <c r="E176" i="20" s="1"/>
  <c r="V66" i="20" s="1"/>
  <c r="V74" i="20" s="1"/>
  <c r="V236" i="20" s="1"/>
  <c r="C173" i="20"/>
  <c r="AP97" i="20"/>
  <c r="AL97" i="20"/>
  <c r="AM97" i="20"/>
  <c r="AN97" i="20"/>
  <c r="AO97" i="20"/>
  <c r="F146" i="20"/>
  <c r="E146" i="20"/>
  <c r="D146" i="20"/>
  <c r="C146" i="20"/>
  <c r="G146" i="20"/>
  <c r="N76" i="20"/>
  <c r="W42" i="20" s="1"/>
  <c r="N74" i="20"/>
  <c r="U42" i="20" s="1"/>
  <c r="H26" i="20"/>
  <c r="N16" i="20"/>
  <c r="U22" i="20" s="1"/>
  <c r="D22" i="20"/>
  <c r="D86" i="20"/>
  <c r="C86" i="20"/>
  <c r="D521" i="20"/>
  <c r="G548" i="20"/>
  <c r="F550" i="20"/>
  <c r="G550" i="20"/>
  <c r="E550" i="20"/>
  <c r="D550" i="20"/>
  <c r="C550" i="20"/>
  <c r="F318" i="20"/>
  <c r="D318" i="20"/>
  <c r="C318" i="20"/>
  <c r="H433" i="20"/>
  <c r="I433" i="20" s="1"/>
  <c r="D374" i="20"/>
  <c r="D380" i="20" s="1"/>
  <c r="U137" i="20" s="1"/>
  <c r="U145" i="20" s="1"/>
  <c r="F138" i="20"/>
  <c r="N134" i="20"/>
  <c r="W62" i="20" s="1"/>
  <c r="G145" i="20"/>
  <c r="F145" i="20"/>
  <c r="E145" i="20"/>
  <c r="D145" i="20"/>
  <c r="C145" i="20"/>
  <c r="D114" i="20"/>
  <c r="C114" i="20"/>
  <c r="E114" i="20"/>
  <c r="G114" i="20"/>
  <c r="F114" i="20"/>
  <c r="G57" i="20"/>
  <c r="F57" i="20"/>
  <c r="C57" i="20"/>
  <c r="E57" i="20"/>
  <c r="E61" i="20" s="1"/>
  <c r="V27" i="20" s="1"/>
  <c r="V35" i="20" s="1"/>
  <c r="D57" i="20"/>
  <c r="N77" i="20"/>
  <c r="X42" i="20" s="1"/>
  <c r="G85" i="20"/>
  <c r="E85" i="20"/>
  <c r="D85" i="20"/>
  <c r="C85" i="20"/>
  <c r="F85" i="20"/>
  <c r="E258" i="20"/>
  <c r="O263" i="20"/>
  <c r="G258" i="20"/>
  <c r="F258" i="20"/>
  <c r="G520" i="20"/>
  <c r="F520" i="20"/>
  <c r="E520" i="20"/>
  <c r="D522" i="20"/>
  <c r="C522" i="20"/>
  <c r="G522" i="20"/>
  <c r="F522" i="20"/>
  <c r="E522" i="20"/>
  <c r="G580" i="20"/>
  <c r="F580" i="20"/>
  <c r="C580" i="20"/>
  <c r="E580" i="20"/>
  <c r="D580" i="20"/>
  <c r="F434" i="20"/>
  <c r="G434" i="20"/>
  <c r="E434" i="20"/>
  <c r="D434" i="20"/>
  <c r="D438" i="20" s="1"/>
  <c r="U157" i="20" s="1"/>
  <c r="U165" i="20" s="1"/>
  <c r="C434" i="20"/>
  <c r="N508" i="20"/>
  <c r="T192" i="20" s="1"/>
  <c r="C515" i="20"/>
  <c r="G465" i="20"/>
  <c r="G466" i="20" s="1"/>
  <c r="X166" i="20" s="1"/>
  <c r="X174" i="20" s="1"/>
  <c r="X246" i="20" s="1"/>
  <c r="F465" i="20"/>
  <c r="F466" i="20" s="1"/>
  <c r="C465" i="20"/>
  <c r="E465" i="20"/>
  <c r="D465" i="20"/>
  <c r="G317" i="20"/>
  <c r="F317" i="20"/>
  <c r="E317" i="20"/>
  <c r="D317" i="20"/>
  <c r="C317" i="20"/>
  <c r="H464" i="20"/>
  <c r="I464" i="20" s="1"/>
  <c r="D200" i="20"/>
  <c r="C200" i="20"/>
  <c r="G200" i="20"/>
  <c r="F200" i="20"/>
  <c r="E200" i="20"/>
  <c r="C204" i="20"/>
  <c r="H229" i="20"/>
  <c r="C167" i="20"/>
  <c r="N160" i="20"/>
  <c r="T72" i="20" s="1"/>
  <c r="H201" i="20"/>
  <c r="I201" i="20" s="1"/>
  <c r="N189" i="20"/>
  <c r="T82" i="20" s="1"/>
  <c r="N280" i="20"/>
  <c r="X112" i="20" s="1"/>
  <c r="J46" i="20"/>
  <c r="N46" i="20"/>
  <c r="V32" i="20" s="1"/>
  <c r="D87" i="20"/>
  <c r="I29" i="20"/>
  <c r="H28" i="20"/>
  <c r="I28" i="20" s="1"/>
  <c r="G202" i="20"/>
  <c r="F202" i="20"/>
  <c r="E202" i="20"/>
  <c r="D202" i="20"/>
  <c r="D206" i="20" s="1"/>
  <c r="U77" i="20" s="1"/>
  <c r="U85" i="20" s="1"/>
  <c r="C202" i="20"/>
  <c r="O31" i="20"/>
  <c r="D548" i="20"/>
  <c r="H288" i="20"/>
  <c r="I288" i="20" s="1"/>
  <c r="F56" i="20"/>
  <c r="E56" i="20"/>
  <c r="E60" i="20" s="1"/>
  <c r="V26" i="20" s="1"/>
  <c r="V34" i="20" s="1"/>
  <c r="V232" i="20" s="1"/>
  <c r="D56" i="20"/>
  <c r="G56" i="20"/>
  <c r="C56" i="20"/>
  <c r="F435" i="20"/>
  <c r="I523" i="20"/>
  <c r="G376" i="20"/>
  <c r="G379" i="20" s="1"/>
  <c r="E376" i="20"/>
  <c r="G490" i="20"/>
  <c r="F490" i="20"/>
  <c r="E490" i="20"/>
  <c r="D490" i="20"/>
  <c r="C490" i="20"/>
  <c r="F376" i="20"/>
  <c r="G405" i="20"/>
  <c r="E405" i="20"/>
  <c r="C258" i="20"/>
  <c r="O205" i="20"/>
  <c r="G287" i="20"/>
  <c r="E287" i="20"/>
  <c r="D287" i="20"/>
  <c r="C287" i="20"/>
  <c r="F287" i="20"/>
  <c r="H320" i="20"/>
  <c r="I320" i="20" s="1"/>
  <c r="G143" i="20"/>
  <c r="F143" i="20"/>
  <c r="E143" i="20"/>
  <c r="E147" i="20" s="1"/>
  <c r="D143" i="20"/>
  <c r="C143" i="20"/>
  <c r="G117" i="20"/>
  <c r="F117" i="20"/>
  <c r="E117" i="20"/>
  <c r="C117" i="20"/>
  <c r="D117" i="20"/>
  <c r="AQ95" i="20"/>
  <c r="AR95" i="20" s="1"/>
  <c r="C87" i="20"/>
  <c r="D27" i="20"/>
  <c r="C27" i="20"/>
  <c r="G27" i="20"/>
  <c r="F27" i="20"/>
  <c r="E27" i="20"/>
  <c r="I58" i="20"/>
  <c r="J463" i="20"/>
  <c r="V171" i="20" s="1"/>
  <c r="K463" i="20"/>
  <c r="V170" i="20"/>
  <c r="F436" i="20"/>
  <c r="G436" i="20"/>
  <c r="E436" i="20"/>
  <c r="D436" i="20"/>
  <c r="C436" i="20"/>
  <c r="G87" i="20"/>
  <c r="D348" i="20"/>
  <c r="C348" i="20"/>
  <c r="G348" i="20"/>
  <c r="F348" i="20"/>
  <c r="E348" i="20"/>
  <c r="N541" i="20"/>
  <c r="X202" i="20" s="1"/>
  <c r="G544" i="20"/>
  <c r="D399" i="20"/>
  <c r="N393" i="20"/>
  <c r="U152" i="20" s="1"/>
  <c r="D291" i="20"/>
  <c r="C405" i="20"/>
  <c r="P463" i="20"/>
  <c r="G261" i="20"/>
  <c r="N161" i="20"/>
  <c r="U72" i="20" s="1"/>
  <c r="D167" i="20"/>
  <c r="I262" i="20"/>
  <c r="N218" i="20"/>
  <c r="T92" i="20" s="1"/>
  <c r="E138" i="20"/>
  <c r="N133" i="20"/>
  <c r="V62" i="20" s="1"/>
  <c r="D176" i="20"/>
  <c r="U66" i="20" s="1"/>
  <c r="U74" i="20" s="1"/>
  <c r="U236" i="20" s="1"/>
  <c r="G84" i="20"/>
  <c r="F84" i="20"/>
  <c r="D84" i="20"/>
  <c r="C84" i="20"/>
  <c r="E84" i="20"/>
  <c r="AP94" i="20"/>
  <c r="AO94" i="20"/>
  <c r="AN94" i="20"/>
  <c r="AM94" i="20"/>
  <c r="AL94" i="20"/>
  <c r="N19" i="20"/>
  <c r="X22" i="20" s="1"/>
  <c r="G493" i="20"/>
  <c r="F493" i="20"/>
  <c r="E493" i="20"/>
  <c r="D493" i="20"/>
  <c r="C493" i="20"/>
  <c r="J452" i="20"/>
  <c r="N452" i="20"/>
  <c r="V172" i="20" s="1"/>
  <c r="G232" i="20"/>
  <c r="F232" i="20"/>
  <c r="F234" i="20" s="1"/>
  <c r="W86" i="20" s="1"/>
  <c r="W94" i="20" s="1"/>
  <c r="W238" i="20" s="1"/>
  <c r="E232" i="20"/>
  <c r="D232" i="20"/>
  <c r="C232" i="20"/>
  <c r="O321" i="20"/>
  <c r="G318" i="20"/>
  <c r="C319" i="20"/>
  <c r="O292" i="20"/>
  <c r="E283" i="20"/>
  <c r="N278" i="20"/>
  <c r="V112" i="20" s="1"/>
  <c r="G549" i="20"/>
  <c r="N249" i="20"/>
  <c r="V102" i="20" s="1"/>
  <c r="I113" i="20"/>
  <c r="N569" i="20"/>
  <c r="W212" i="20" s="1"/>
  <c r="F573" i="20"/>
  <c r="N483" i="20"/>
  <c r="X182" i="20" s="1"/>
  <c r="G486" i="20"/>
  <c r="E109" i="20"/>
  <c r="N104" i="20"/>
  <c r="V52" i="20" s="1"/>
  <c r="E548" i="20"/>
  <c r="D175" i="20"/>
  <c r="G175" i="20"/>
  <c r="F175" i="20"/>
  <c r="E175" i="20"/>
  <c r="C175" i="20"/>
  <c r="H492" i="20"/>
  <c r="I492" i="20" s="1"/>
  <c r="N392" i="20"/>
  <c r="T152" i="20" s="1"/>
  <c r="C399" i="20"/>
  <c r="D347" i="20"/>
  <c r="C347" i="20"/>
  <c r="G347" i="20"/>
  <c r="F347" i="20"/>
  <c r="E347" i="20"/>
  <c r="J568" i="20"/>
  <c r="N568" i="20"/>
  <c r="V212" i="20" s="1"/>
  <c r="N479" i="20"/>
  <c r="T182" i="20" s="1"/>
  <c r="J479" i="20"/>
  <c r="F377" i="20"/>
  <c r="D377" i="20"/>
  <c r="C377" i="20"/>
  <c r="G377" i="20"/>
  <c r="E377" i="20"/>
  <c r="N482" i="20"/>
  <c r="W182" i="20" s="1"/>
  <c r="F486" i="20"/>
  <c r="C291" i="20"/>
  <c r="D319" i="20"/>
  <c r="F204" i="20"/>
  <c r="E291" i="20"/>
  <c r="N75" i="20"/>
  <c r="V42" i="20" s="1"/>
  <c r="E80" i="20"/>
  <c r="N105" i="20"/>
  <c r="W52" i="20" s="1"/>
  <c r="F109" i="20"/>
  <c r="C80" i="20"/>
  <c r="N73" i="20"/>
  <c r="T42" i="20" s="1"/>
  <c r="N44" i="20"/>
  <c r="T32" i="20" s="1"/>
  <c r="C51" i="20"/>
  <c r="O89" i="20"/>
  <c r="N15" i="20"/>
  <c r="T22" i="20" s="1"/>
  <c r="E549" i="20"/>
  <c r="D549" i="20"/>
  <c r="C549" i="20"/>
  <c r="O524" i="20"/>
  <c r="J510" i="20"/>
  <c r="N510" i="20"/>
  <c r="V192" i="20" s="1"/>
  <c r="O437" i="20"/>
  <c r="N539" i="20"/>
  <c r="V202" i="20" s="1"/>
  <c r="D403" i="20"/>
  <c r="C403" i="20"/>
  <c r="E403" i="20"/>
  <c r="G403" i="20"/>
  <c r="F403" i="20"/>
  <c r="D404" i="20"/>
  <c r="C404" i="20"/>
  <c r="G404" i="20"/>
  <c r="F404" i="20"/>
  <c r="E404" i="20"/>
  <c r="G581" i="20"/>
  <c r="F581" i="20"/>
  <c r="C581" i="20"/>
  <c r="E581" i="20"/>
  <c r="D581" i="20"/>
  <c r="H577" i="20"/>
  <c r="N363" i="20"/>
  <c r="T142" i="20" s="1"/>
  <c r="E319" i="20"/>
  <c r="G521" i="20"/>
  <c r="E204" i="20"/>
  <c r="F261" i="20"/>
  <c r="F291" i="20"/>
  <c r="E261" i="20"/>
  <c r="E115" i="20"/>
  <c r="G115" i="20"/>
  <c r="F115" i="20"/>
  <c r="D115" i="20"/>
  <c r="C115" i="20"/>
  <c r="G116" i="20"/>
  <c r="F116" i="20"/>
  <c r="E116" i="20"/>
  <c r="D116" i="20"/>
  <c r="C116" i="20"/>
  <c r="H116" i="20" s="1"/>
  <c r="E86" i="20"/>
  <c r="E88" i="20"/>
  <c r="D88" i="20"/>
  <c r="C88" i="20"/>
  <c r="F88" i="20"/>
  <c r="G88" i="20"/>
  <c r="G203" i="20"/>
  <c r="F203" i="20"/>
  <c r="D203" i="20"/>
  <c r="E203" i="20"/>
  <c r="C203" i="20"/>
  <c r="G579" i="20"/>
  <c r="F579" i="20"/>
  <c r="C579" i="20"/>
  <c r="E579" i="20"/>
  <c r="D579" i="20"/>
  <c r="D519" i="20"/>
  <c r="C519" i="20"/>
  <c r="G519" i="20"/>
  <c r="F519" i="20"/>
  <c r="F525" i="20" s="1"/>
  <c r="W187" i="20" s="1"/>
  <c r="W195" i="20" s="1"/>
  <c r="E519" i="20"/>
  <c r="G316" i="20"/>
  <c r="F316" i="20"/>
  <c r="E316" i="20"/>
  <c r="D316" i="20"/>
  <c r="C316" i="20"/>
  <c r="N192" i="20"/>
  <c r="W82" i="20" s="1"/>
  <c r="F196" i="20"/>
  <c r="H174" i="20"/>
  <c r="I174" i="20" s="1"/>
  <c r="D30" i="20"/>
  <c r="D32" i="20" s="1"/>
  <c r="U17" i="20" s="1"/>
  <c r="C30" i="20"/>
  <c r="G30" i="20"/>
  <c r="F30" i="20"/>
  <c r="F32" i="20" s="1"/>
  <c r="W17" i="20" s="1"/>
  <c r="E30" i="20"/>
  <c r="D406" i="20"/>
  <c r="C406" i="20"/>
  <c r="G406" i="20"/>
  <c r="F406" i="20"/>
  <c r="E406" i="20"/>
  <c r="E551" i="20"/>
  <c r="D551" i="20"/>
  <c r="O379" i="20"/>
  <c r="G491" i="20"/>
  <c r="F491" i="20"/>
  <c r="E491" i="20"/>
  <c r="D491" i="20"/>
  <c r="C491" i="20"/>
  <c r="N570" i="20"/>
  <c r="X212" i="20" s="1"/>
  <c r="G573" i="20"/>
  <c r="N396" i="20"/>
  <c r="X152" i="20" s="1"/>
  <c r="G578" i="20"/>
  <c r="F578" i="20"/>
  <c r="C578" i="20"/>
  <c r="E578" i="20"/>
  <c r="D578" i="20"/>
  <c r="D583" i="20" s="1"/>
  <c r="U207" i="20" s="1"/>
  <c r="U215" i="20" s="1"/>
  <c r="N425" i="20"/>
  <c r="X162" i="20" s="1"/>
  <c r="E370" i="20"/>
  <c r="N365" i="20"/>
  <c r="V142" i="20" s="1"/>
  <c r="H378" i="20"/>
  <c r="I378" i="20" s="1"/>
  <c r="F319" i="20"/>
  <c r="G291" i="20"/>
  <c r="H144" i="20"/>
  <c r="I144" i="20" s="1"/>
  <c r="E260" i="20"/>
  <c r="H260" i="20" s="1"/>
  <c r="H231" i="20"/>
  <c r="I231" i="20" s="1"/>
  <c r="E259" i="20"/>
  <c r="D259" i="20"/>
  <c r="D264" i="20" s="1"/>
  <c r="U97" i="20" s="1"/>
  <c r="U105" i="20" s="1"/>
  <c r="C259" i="20"/>
  <c r="G259" i="20"/>
  <c r="F259" i="20"/>
  <c r="F264" i="20" s="1"/>
  <c r="W97" i="20" s="1"/>
  <c r="W105" i="20" s="1"/>
  <c r="G233" i="20"/>
  <c r="F233" i="20"/>
  <c r="D233" i="20"/>
  <c r="E233" i="20"/>
  <c r="E234" i="20" s="1"/>
  <c r="V86" i="20" s="1"/>
  <c r="V94" i="20" s="1"/>
  <c r="V238" i="20" s="1"/>
  <c r="C233" i="20"/>
  <c r="G204" i="20"/>
  <c r="AW86" i="20"/>
  <c r="AO115" i="20" s="1"/>
  <c r="H55" i="20"/>
  <c r="I55" i="20" s="1"/>
  <c r="F86" i="20"/>
  <c r="AA288" i="20"/>
  <c r="J590" i="18"/>
  <c r="N582" i="18"/>
  <c r="O580" i="18" s="1"/>
  <c r="F580" i="18" s="1"/>
  <c r="C573" i="18"/>
  <c r="P571" i="18"/>
  <c r="O571" i="18"/>
  <c r="G571" i="18"/>
  <c r="G572" i="18" s="1"/>
  <c r="F571" i="18"/>
  <c r="E571" i="18"/>
  <c r="D571" i="18"/>
  <c r="C571" i="18"/>
  <c r="C572" i="18" s="1"/>
  <c r="H570" i="18"/>
  <c r="I570" i="18" s="1"/>
  <c r="J570" i="18" s="1"/>
  <c r="H569" i="18"/>
  <c r="L580" i="18" s="1"/>
  <c r="H568" i="18"/>
  <c r="L579" i="18" s="1"/>
  <c r="I567" i="18"/>
  <c r="J567" i="18" s="1"/>
  <c r="H567" i="18"/>
  <c r="K566" i="18"/>
  <c r="H566" i="18"/>
  <c r="L577" i="18" s="1"/>
  <c r="J561" i="18"/>
  <c r="G562" i="18" s="1"/>
  <c r="N553" i="18"/>
  <c r="O550" i="18" s="1"/>
  <c r="O548" i="18"/>
  <c r="L548" i="18"/>
  <c r="E548" i="18" s="1"/>
  <c r="P542" i="18"/>
  <c r="O542" i="18"/>
  <c r="G542" i="18"/>
  <c r="G543" i="18" s="1"/>
  <c r="F542" i="18"/>
  <c r="E542" i="18"/>
  <c r="D542" i="18"/>
  <c r="C542" i="18"/>
  <c r="C543" i="18" s="1"/>
  <c r="C544" i="18" s="1"/>
  <c r="H541" i="18"/>
  <c r="H540" i="18"/>
  <c r="K539" i="18"/>
  <c r="I539" i="18"/>
  <c r="J539" i="18" s="1"/>
  <c r="H539" i="18"/>
  <c r="L550" i="18" s="1"/>
  <c r="E550" i="18" s="1"/>
  <c r="H538" i="18"/>
  <c r="I537" i="18"/>
  <c r="J537" i="18" s="1"/>
  <c r="H537" i="18"/>
  <c r="J532" i="18"/>
  <c r="G533" i="18" s="1"/>
  <c r="F529" i="18"/>
  <c r="N524" i="18"/>
  <c r="C514" i="18"/>
  <c r="P513" i="18"/>
  <c r="O513" i="18"/>
  <c r="G513" i="18"/>
  <c r="G529" i="18" s="1"/>
  <c r="F513" i="18"/>
  <c r="F514" i="18" s="1"/>
  <c r="F515" i="18" s="1"/>
  <c r="E513" i="18"/>
  <c r="E529" i="18" s="1"/>
  <c r="D513" i="18"/>
  <c r="D529" i="18" s="1"/>
  <c r="C513" i="18"/>
  <c r="C529" i="18" s="1"/>
  <c r="H512" i="18"/>
  <c r="H511" i="18"/>
  <c r="H510" i="18"/>
  <c r="L521" i="18" s="1"/>
  <c r="H509" i="18"/>
  <c r="I509" i="18" s="1"/>
  <c r="J509" i="18" s="1"/>
  <c r="H508" i="18"/>
  <c r="E504" i="18"/>
  <c r="J503" i="18"/>
  <c r="C504" i="18" s="1"/>
  <c r="N495" i="18"/>
  <c r="F485" i="18"/>
  <c r="F486" i="18" s="1"/>
  <c r="E485" i="18"/>
  <c r="E486" i="18" s="1"/>
  <c r="P484" i="18"/>
  <c r="O484" i="18"/>
  <c r="G484" i="18"/>
  <c r="G500" i="18" s="1"/>
  <c r="F484" i="18"/>
  <c r="F500" i="18" s="1"/>
  <c r="E484" i="18"/>
  <c r="E500" i="18" s="1"/>
  <c r="D484" i="18"/>
  <c r="C484" i="18"/>
  <c r="C500" i="18" s="1"/>
  <c r="H483" i="18"/>
  <c r="H482" i="18"/>
  <c r="L493" i="18" s="1"/>
  <c r="K481" i="18"/>
  <c r="H481" i="18"/>
  <c r="L492" i="18" s="1"/>
  <c r="I480" i="18"/>
  <c r="J480" i="18" s="1"/>
  <c r="H480" i="18"/>
  <c r="L491" i="18" s="1"/>
  <c r="H479" i="18"/>
  <c r="J474" i="18"/>
  <c r="C475" i="18" s="1"/>
  <c r="N466" i="18"/>
  <c r="AA173" i="18" s="1"/>
  <c r="L464" i="18"/>
  <c r="G456" i="18"/>
  <c r="F456" i="18"/>
  <c r="F457" i="18" s="1"/>
  <c r="E456" i="18"/>
  <c r="E457" i="18" s="1"/>
  <c r="P455" i="18"/>
  <c r="O455" i="18"/>
  <c r="G455" i="18"/>
  <c r="G471" i="18" s="1"/>
  <c r="F455" i="18"/>
  <c r="F471" i="18" s="1"/>
  <c r="E455" i="18"/>
  <c r="E471" i="18" s="1"/>
  <c r="D455" i="18"/>
  <c r="D456" i="18" s="1"/>
  <c r="D457" i="18" s="1"/>
  <c r="C455" i="18"/>
  <c r="C471" i="18" s="1"/>
  <c r="H454" i="18"/>
  <c r="I454" i="18" s="1"/>
  <c r="J454" i="18" s="1"/>
  <c r="N453" i="18"/>
  <c r="W172" i="18" s="1"/>
  <c r="K453" i="18"/>
  <c r="H453" i="18"/>
  <c r="I453" i="18" s="1"/>
  <c r="J453" i="18" s="1"/>
  <c r="H452" i="18"/>
  <c r="L463" i="18" s="1"/>
  <c r="H451" i="18"/>
  <c r="I451" i="18" s="1"/>
  <c r="H450" i="18"/>
  <c r="J445" i="18"/>
  <c r="G446" i="18" s="1"/>
  <c r="G442" i="18"/>
  <c r="F442" i="18"/>
  <c r="E442" i="18"/>
  <c r="N437" i="18"/>
  <c r="O436" i="18" s="1"/>
  <c r="L434" i="18"/>
  <c r="F428" i="18"/>
  <c r="F427" i="18"/>
  <c r="E427" i="18"/>
  <c r="D427" i="18"/>
  <c r="D428" i="18" s="1"/>
  <c r="P426" i="18"/>
  <c r="O426" i="18"/>
  <c r="G426" i="18"/>
  <c r="G427" i="18" s="1"/>
  <c r="G428" i="18" s="1"/>
  <c r="F426" i="18"/>
  <c r="E426" i="18"/>
  <c r="D426" i="18"/>
  <c r="D442" i="18" s="1"/>
  <c r="C426" i="18"/>
  <c r="H425" i="18"/>
  <c r="L436" i="18" s="1"/>
  <c r="I424" i="18"/>
  <c r="J424" i="18" s="1"/>
  <c r="H424" i="18"/>
  <c r="K424" i="18" s="1"/>
  <c r="H423" i="18"/>
  <c r="K423" i="18" s="1"/>
  <c r="H422" i="18"/>
  <c r="H421" i="18"/>
  <c r="G417" i="18"/>
  <c r="C417" i="18"/>
  <c r="J416" i="18"/>
  <c r="E417" i="18" s="1"/>
  <c r="N408" i="18"/>
  <c r="O407" i="18" s="1"/>
  <c r="L407" i="18"/>
  <c r="O406" i="18"/>
  <c r="O405" i="18"/>
  <c r="O404" i="18"/>
  <c r="F398" i="18"/>
  <c r="F399" i="18" s="1"/>
  <c r="E398" i="18"/>
  <c r="P397" i="18"/>
  <c r="O397" i="18"/>
  <c r="G397" i="18"/>
  <c r="G398" i="18" s="1"/>
  <c r="G399" i="18" s="1"/>
  <c r="F397" i="18"/>
  <c r="F413" i="18" s="1"/>
  <c r="E397" i="18"/>
  <c r="E413" i="18" s="1"/>
  <c r="D397" i="18"/>
  <c r="D398" i="18" s="1"/>
  <c r="C397" i="18"/>
  <c r="C413" i="18" s="1"/>
  <c r="H396" i="18"/>
  <c r="K396" i="18" s="1"/>
  <c r="I395" i="18"/>
  <c r="J395" i="18" s="1"/>
  <c r="H395" i="18"/>
  <c r="L406" i="18" s="1"/>
  <c r="H394" i="18"/>
  <c r="L405" i="18" s="1"/>
  <c r="H393" i="18"/>
  <c r="K393" i="18" s="1"/>
  <c r="H392" i="18"/>
  <c r="F388" i="18"/>
  <c r="J387" i="18"/>
  <c r="G388" i="18" s="1"/>
  <c r="F384" i="18"/>
  <c r="D384" i="18"/>
  <c r="N379" i="18"/>
  <c r="E369" i="18"/>
  <c r="E370" i="18" s="1"/>
  <c r="P368" i="18"/>
  <c r="O368" i="18"/>
  <c r="G368" i="18"/>
  <c r="F368" i="18"/>
  <c r="F369" i="18" s="1"/>
  <c r="F370" i="18" s="1"/>
  <c r="E368" i="18"/>
  <c r="E384" i="18" s="1"/>
  <c r="D368" i="18"/>
  <c r="D369" i="18" s="1"/>
  <c r="D370" i="18" s="1"/>
  <c r="C368" i="18"/>
  <c r="C369" i="18" s="1"/>
  <c r="C370" i="18" s="1"/>
  <c r="H367" i="18"/>
  <c r="I367" i="18" s="1"/>
  <c r="J367" i="18" s="1"/>
  <c r="H366" i="18"/>
  <c r="I366" i="18" s="1"/>
  <c r="J366" i="18" s="1"/>
  <c r="H365" i="18"/>
  <c r="H364" i="18"/>
  <c r="K364" i="18" s="1"/>
  <c r="K363" i="18"/>
  <c r="I363" i="18"/>
  <c r="H363" i="18"/>
  <c r="L374" i="18" s="1"/>
  <c r="J358" i="18"/>
  <c r="C359" i="18" s="1"/>
  <c r="G355" i="18"/>
  <c r="E355" i="18"/>
  <c r="N350" i="18"/>
  <c r="AA133" i="18" s="1"/>
  <c r="G340" i="18"/>
  <c r="G341" i="18" s="1"/>
  <c r="F340" i="18"/>
  <c r="D340" i="18"/>
  <c r="C340" i="18"/>
  <c r="C341" i="18" s="1"/>
  <c r="P339" i="18"/>
  <c r="O339" i="18"/>
  <c r="G339" i="18"/>
  <c r="F339" i="18"/>
  <c r="F355" i="18" s="1"/>
  <c r="E339" i="18"/>
  <c r="E340" i="18" s="1"/>
  <c r="D339" i="18"/>
  <c r="C339" i="18"/>
  <c r="C355" i="18" s="1"/>
  <c r="K338" i="18"/>
  <c r="H338" i="18"/>
  <c r="L349" i="18" s="1"/>
  <c r="K337" i="18"/>
  <c r="I337" i="18"/>
  <c r="J337" i="18" s="1"/>
  <c r="H337" i="18"/>
  <c r="L348" i="18" s="1"/>
  <c r="H336" i="18"/>
  <c r="L347" i="18" s="1"/>
  <c r="H335" i="18"/>
  <c r="L346" i="18" s="1"/>
  <c r="H334" i="18"/>
  <c r="J329" i="18"/>
  <c r="G330" i="18" s="1"/>
  <c r="N321" i="18"/>
  <c r="O320" i="18" s="1"/>
  <c r="L320" i="18"/>
  <c r="C311" i="18"/>
  <c r="P310" i="18"/>
  <c r="O310" i="18"/>
  <c r="G310" i="18"/>
  <c r="F310" i="18"/>
  <c r="F326" i="18" s="1"/>
  <c r="E310" i="18"/>
  <c r="E326" i="18" s="1"/>
  <c r="D310" i="18"/>
  <c r="D326" i="18" s="1"/>
  <c r="C310" i="18"/>
  <c r="C326" i="18" s="1"/>
  <c r="H309" i="18"/>
  <c r="K309" i="18" s="1"/>
  <c r="H308" i="18"/>
  <c r="L319" i="18" s="1"/>
  <c r="H307" i="18"/>
  <c r="H306" i="18"/>
  <c r="H305" i="18"/>
  <c r="L316" i="18" s="1"/>
  <c r="D301" i="18"/>
  <c r="C301" i="18"/>
  <c r="J300" i="18"/>
  <c r="F301" i="18" s="1"/>
  <c r="N292" i="18"/>
  <c r="O291" i="18" s="1"/>
  <c r="O288" i="18"/>
  <c r="F282" i="18"/>
  <c r="F283" i="18" s="1"/>
  <c r="P281" i="18"/>
  <c r="O281" i="18"/>
  <c r="G281" i="18"/>
  <c r="G297" i="18" s="1"/>
  <c r="F281" i="18"/>
  <c r="F297" i="18" s="1"/>
  <c r="E281" i="18"/>
  <c r="E297" i="18" s="1"/>
  <c r="D281" i="18"/>
  <c r="D297" i="18" s="1"/>
  <c r="C281" i="18"/>
  <c r="C297" i="18" s="1"/>
  <c r="H280" i="18"/>
  <c r="H279" i="18"/>
  <c r="I279" i="18" s="1"/>
  <c r="J279" i="18" s="1"/>
  <c r="H278" i="18"/>
  <c r="I278" i="18" s="1"/>
  <c r="J278" i="18" s="1"/>
  <c r="H277" i="18"/>
  <c r="I276" i="18"/>
  <c r="J276" i="18" s="1"/>
  <c r="H276" i="18"/>
  <c r="J271" i="18"/>
  <c r="G272" i="18" s="1"/>
  <c r="N263" i="18"/>
  <c r="AA103" i="18" s="1"/>
  <c r="L262" i="18"/>
  <c r="L260" i="18"/>
  <c r="P252" i="18"/>
  <c r="O252" i="18"/>
  <c r="G252" i="18"/>
  <c r="G253" i="18" s="1"/>
  <c r="F252" i="18"/>
  <c r="E252" i="18"/>
  <c r="E253" i="18" s="1"/>
  <c r="E254" i="18" s="1"/>
  <c r="D252" i="18"/>
  <c r="D253" i="18" s="1"/>
  <c r="C252" i="18"/>
  <c r="C253" i="18" s="1"/>
  <c r="H251" i="18"/>
  <c r="H250" i="18"/>
  <c r="H249" i="18"/>
  <c r="I249" i="18" s="1"/>
  <c r="J249" i="18" s="1"/>
  <c r="H248" i="18"/>
  <c r="H247" i="18"/>
  <c r="E243" i="18"/>
  <c r="D243" i="18"/>
  <c r="J242" i="18"/>
  <c r="G243" i="18" s="1"/>
  <c r="N234" i="18"/>
  <c r="O231" i="18" s="1"/>
  <c r="O229" i="18"/>
  <c r="E224" i="18"/>
  <c r="E225" i="18" s="1"/>
  <c r="P223" i="18"/>
  <c r="O223" i="18"/>
  <c r="G223" i="18"/>
  <c r="G239" i="18" s="1"/>
  <c r="F223" i="18"/>
  <c r="E223" i="18"/>
  <c r="E239" i="18" s="1"/>
  <c r="D223" i="18"/>
  <c r="D224" i="18" s="1"/>
  <c r="C223" i="18"/>
  <c r="C224" i="18" s="1"/>
  <c r="H222" i="18"/>
  <c r="L233" i="18" s="1"/>
  <c r="H221" i="18"/>
  <c r="K221" i="18" s="1"/>
  <c r="H220" i="18"/>
  <c r="I220" i="18" s="1"/>
  <c r="J220" i="18" s="1"/>
  <c r="K219" i="18"/>
  <c r="I219" i="18"/>
  <c r="J219" i="18" s="1"/>
  <c r="H219" i="18"/>
  <c r="L230" i="18" s="1"/>
  <c r="H218" i="18"/>
  <c r="AA213" i="18"/>
  <c r="X213" i="18"/>
  <c r="W213" i="18"/>
  <c r="V213" i="18"/>
  <c r="U213" i="18"/>
  <c r="T213" i="18"/>
  <c r="J213" i="18"/>
  <c r="F214" i="18" s="1"/>
  <c r="N205" i="18"/>
  <c r="O200" i="18" s="1"/>
  <c r="F200" i="18" s="1"/>
  <c r="X203" i="18"/>
  <c r="W203" i="18"/>
  <c r="V203" i="18"/>
  <c r="U203" i="18"/>
  <c r="T203" i="18"/>
  <c r="O201" i="18"/>
  <c r="L200" i="18"/>
  <c r="P194" i="18"/>
  <c r="O194" i="18"/>
  <c r="G194" i="18"/>
  <c r="G210" i="18" s="1"/>
  <c r="F194" i="18"/>
  <c r="F210" i="18" s="1"/>
  <c r="E194" i="18"/>
  <c r="E195" i="18" s="1"/>
  <c r="D194" i="18"/>
  <c r="D195" i="18" s="1"/>
  <c r="D196" i="18" s="1"/>
  <c r="C194" i="18"/>
  <c r="AA193" i="18"/>
  <c r="X193" i="18"/>
  <c r="W193" i="18"/>
  <c r="V193" i="18"/>
  <c r="U193" i="18"/>
  <c r="T193" i="18"/>
  <c r="H193" i="18"/>
  <c r="L204" i="18" s="1"/>
  <c r="H192" i="18"/>
  <c r="I192" i="18" s="1"/>
  <c r="J192" i="18" s="1"/>
  <c r="H191" i="18"/>
  <c r="H190" i="18"/>
  <c r="H194" i="18" s="1"/>
  <c r="I195" i="18" s="1"/>
  <c r="AD22" i="18" s="1"/>
  <c r="H189" i="18"/>
  <c r="I189" i="18" s="1"/>
  <c r="J189" i="18" s="1"/>
  <c r="J184" i="18"/>
  <c r="E185" i="18" s="1"/>
  <c r="X183" i="18"/>
  <c r="W183" i="18"/>
  <c r="V183" i="18"/>
  <c r="U183" i="18"/>
  <c r="T183" i="18"/>
  <c r="D181" i="18"/>
  <c r="N176" i="18"/>
  <c r="AA73" i="18" s="1"/>
  <c r="X173" i="18"/>
  <c r="W173" i="18"/>
  <c r="V173" i="18"/>
  <c r="U173" i="18"/>
  <c r="T173" i="18"/>
  <c r="F166" i="18"/>
  <c r="P165" i="18"/>
  <c r="O165" i="18"/>
  <c r="G165" i="18"/>
  <c r="G181" i="18" s="1"/>
  <c r="F165" i="18"/>
  <c r="F181" i="18" s="1"/>
  <c r="E165" i="18"/>
  <c r="E181" i="18" s="1"/>
  <c r="D165" i="18"/>
  <c r="D166" i="18" s="1"/>
  <c r="D167" i="18" s="1"/>
  <c r="C165" i="18"/>
  <c r="H164" i="18"/>
  <c r="BH163" i="18"/>
  <c r="AA163" i="18"/>
  <c r="X163" i="18"/>
  <c r="W163" i="18"/>
  <c r="V163" i="18"/>
  <c r="U163" i="18"/>
  <c r="T163" i="18"/>
  <c r="H163" i="18"/>
  <c r="BH162" i="18"/>
  <c r="H162" i="18"/>
  <c r="L173" i="18" s="1"/>
  <c r="BH161" i="18"/>
  <c r="N161" i="18"/>
  <c r="U72" i="18" s="1"/>
  <c r="I161" i="18"/>
  <c r="J161" i="18" s="1"/>
  <c r="H161" i="18"/>
  <c r="L172" i="18" s="1"/>
  <c r="BH160" i="18"/>
  <c r="H160" i="18"/>
  <c r="I160" i="18" s="1"/>
  <c r="J160" i="18" s="1"/>
  <c r="BH159" i="18"/>
  <c r="BH158" i="18"/>
  <c r="BH157" i="18"/>
  <c r="BH156" i="18"/>
  <c r="BH155" i="18"/>
  <c r="J155" i="18"/>
  <c r="E156" i="18" s="1"/>
  <c r="BH154" i="18"/>
  <c r="BH153" i="18"/>
  <c r="AA153" i="18"/>
  <c r="X153" i="18"/>
  <c r="W153" i="18"/>
  <c r="V153" i="18"/>
  <c r="U153" i="18"/>
  <c r="T153" i="18"/>
  <c r="BH152" i="18"/>
  <c r="E152" i="18"/>
  <c r="BH151" i="18"/>
  <c r="BH150" i="18"/>
  <c r="BH149" i="18"/>
  <c r="BH148" i="18"/>
  <c r="BH147" i="18"/>
  <c r="N147" i="18"/>
  <c r="O144" i="18" s="1"/>
  <c r="C144" i="18" s="1"/>
  <c r="BH146" i="18"/>
  <c r="BH145" i="18"/>
  <c r="O145" i="18"/>
  <c r="BH144" i="18"/>
  <c r="BH143" i="18"/>
  <c r="AA143" i="18"/>
  <c r="X143" i="18"/>
  <c r="W143" i="18"/>
  <c r="V143" i="18"/>
  <c r="U143" i="18"/>
  <c r="T143" i="18"/>
  <c r="O143" i="18"/>
  <c r="BH142" i="18"/>
  <c r="BH141" i="18"/>
  <c r="BH140" i="18"/>
  <c r="BH139" i="18"/>
  <c r="BH138" i="18"/>
  <c r="BH137" i="18"/>
  <c r="BH136" i="18"/>
  <c r="P136" i="18"/>
  <c r="O136" i="18"/>
  <c r="G136" i="18"/>
  <c r="G152" i="18" s="1"/>
  <c r="F136" i="18"/>
  <c r="F137" i="18" s="1"/>
  <c r="F138" i="18" s="1"/>
  <c r="E136" i="18"/>
  <c r="E137" i="18" s="1"/>
  <c r="D136" i="18"/>
  <c r="C136" i="18"/>
  <c r="C137" i="18" s="1"/>
  <c r="C138" i="18" s="1"/>
  <c r="BH135" i="18"/>
  <c r="AP135" i="18"/>
  <c r="AO135" i="18"/>
  <c r="AN135" i="18"/>
  <c r="AM135" i="18"/>
  <c r="AL135" i="18"/>
  <c r="K135" i="18"/>
  <c r="H135" i="18"/>
  <c r="I135" i="18" s="1"/>
  <c r="J135" i="18" s="1"/>
  <c r="BH134" i="18"/>
  <c r="AP134" i="18"/>
  <c r="AO134" i="18"/>
  <c r="AN134" i="18"/>
  <c r="AM134" i="18"/>
  <c r="AL134" i="18"/>
  <c r="H134" i="18"/>
  <c r="L145" i="18" s="1"/>
  <c r="BH133" i="18"/>
  <c r="X133" i="18"/>
  <c r="W133" i="18"/>
  <c r="V133" i="18"/>
  <c r="U133" i="18"/>
  <c r="T133" i="18"/>
  <c r="I133" i="18"/>
  <c r="J133" i="18" s="1"/>
  <c r="H133" i="18"/>
  <c r="L144" i="18" s="1"/>
  <c r="BH132" i="18"/>
  <c r="AS132" i="18"/>
  <c r="AL133" i="18" s="1"/>
  <c r="H132" i="18"/>
  <c r="BH131" i="18"/>
  <c r="H131" i="18"/>
  <c r="L142" i="18" s="1"/>
  <c r="BH130" i="18"/>
  <c r="AP130" i="18"/>
  <c r="AO130" i="18"/>
  <c r="AN130" i="18"/>
  <c r="AM130" i="18"/>
  <c r="AL130" i="18"/>
  <c r="BH129" i="18"/>
  <c r="AP129" i="18"/>
  <c r="AO129" i="18"/>
  <c r="AN129" i="18"/>
  <c r="AM129" i="18"/>
  <c r="AL129" i="18"/>
  <c r="BH128" i="18"/>
  <c r="BH127" i="18"/>
  <c r="AS127" i="18"/>
  <c r="AM128" i="18" s="1"/>
  <c r="BH126" i="18"/>
  <c r="J126" i="18"/>
  <c r="D127" i="18" s="1"/>
  <c r="BH125" i="18"/>
  <c r="BH124" i="18"/>
  <c r="BH123" i="18"/>
  <c r="X123" i="18"/>
  <c r="W123" i="18"/>
  <c r="V123" i="18"/>
  <c r="U123" i="18"/>
  <c r="T123" i="18"/>
  <c r="C123" i="18"/>
  <c r="BH122" i="18"/>
  <c r="AS122" i="18"/>
  <c r="AN123" i="18" s="1"/>
  <c r="BH121" i="18"/>
  <c r="BH120" i="18"/>
  <c r="BH119" i="18"/>
  <c r="BH118" i="18"/>
  <c r="AP116" i="18"/>
  <c r="AO116" i="18"/>
  <c r="AN116" i="18"/>
  <c r="AM116" i="18"/>
  <c r="AL116" i="18"/>
  <c r="N118" i="18"/>
  <c r="O114" i="18" s="1"/>
  <c r="BH117" i="18"/>
  <c r="BH116" i="18"/>
  <c r="BH115" i="18"/>
  <c r="BH114" i="18"/>
  <c r="BH113" i="18"/>
  <c r="X113" i="18"/>
  <c r="W113" i="18"/>
  <c r="V113" i="18"/>
  <c r="U113" i="18"/>
  <c r="T113" i="18"/>
  <c r="BH112" i="18"/>
  <c r="BH111" i="18"/>
  <c r="BH110" i="18"/>
  <c r="BH109" i="18"/>
  <c r="BH108" i="18"/>
  <c r="G108" i="18"/>
  <c r="G109" i="18" s="1"/>
  <c r="C108" i="18"/>
  <c r="BH107" i="18"/>
  <c r="P107" i="18"/>
  <c r="O107" i="18"/>
  <c r="G107" i="18"/>
  <c r="G123" i="18" s="1"/>
  <c r="F107" i="18"/>
  <c r="E107" i="18"/>
  <c r="E123" i="18" s="1"/>
  <c r="D107" i="18"/>
  <c r="C107" i="18"/>
  <c r="BH106" i="18"/>
  <c r="H106" i="18"/>
  <c r="L117" i="18" s="1"/>
  <c r="BH105" i="18"/>
  <c r="H105" i="18"/>
  <c r="L116" i="18" s="1"/>
  <c r="BH104" i="18"/>
  <c r="H104" i="18"/>
  <c r="K104" i="18" s="1"/>
  <c r="BH103" i="18"/>
  <c r="X103" i="18"/>
  <c r="W103" i="18"/>
  <c r="V103" i="18"/>
  <c r="U103" i="18"/>
  <c r="T103" i="18"/>
  <c r="H103" i="18"/>
  <c r="I103" i="18" s="1"/>
  <c r="J103" i="18" s="1"/>
  <c r="BH102" i="18"/>
  <c r="H102" i="18"/>
  <c r="BH101" i="18"/>
  <c r="BH100" i="18"/>
  <c r="BH99" i="18"/>
  <c r="AW99" i="18"/>
  <c r="AX98" i="18" s="1"/>
  <c r="BH98" i="18"/>
  <c r="BH97" i="18"/>
  <c r="J97" i="18"/>
  <c r="G98" i="18" s="1"/>
  <c r="BH96" i="18"/>
  <c r="BH95" i="18"/>
  <c r="BH94" i="18"/>
  <c r="F94" i="18"/>
  <c r="BH93" i="18"/>
  <c r="AA93" i="18"/>
  <c r="X93" i="18"/>
  <c r="W93" i="18"/>
  <c r="V93" i="18"/>
  <c r="U93" i="18"/>
  <c r="T93" i="18"/>
  <c r="BH92" i="18"/>
  <c r="BH91" i="18"/>
  <c r="BH90" i="18"/>
  <c r="BH89" i="18"/>
  <c r="AM89" i="18"/>
  <c r="AM90" i="18" s="1"/>
  <c r="N89" i="18"/>
  <c r="O88" i="18" s="1"/>
  <c r="D88" i="18" s="1"/>
  <c r="BH88" i="18"/>
  <c r="AP88" i="18"/>
  <c r="AO88" i="18"/>
  <c r="AO104" i="18" s="1"/>
  <c r="AN88" i="18"/>
  <c r="AN89" i="18" s="1"/>
  <c r="AM88" i="18"/>
  <c r="AM104" i="18" s="1"/>
  <c r="AL88" i="18"/>
  <c r="AL89" i="18" s="1"/>
  <c r="AL90" i="18" s="1"/>
  <c r="BH87" i="18"/>
  <c r="AT87" i="18"/>
  <c r="AQ87" i="18"/>
  <c r="BH86" i="18"/>
  <c r="AQ86" i="18"/>
  <c r="AU97" i="18" s="1"/>
  <c r="O86" i="18"/>
  <c r="BH85" i="18"/>
  <c r="AQ85" i="18"/>
  <c r="AU96" i="18" s="1"/>
  <c r="BH84" i="18"/>
  <c r="AQ84" i="18"/>
  <c r="BH83" i="18"/>
  <c r="AQ83" i="18"/>
  <c r="AT83" i="18" s="1"/>
  <c r="X83" i="18"/>
  <c r="W83" i="18"/>
  <c r="V83" i="18"/>
  <c r="U83" i="18"/>
  <c r="T83" i="18"/>
  <c r="BH82" i="18"/>
  <c r="BH81" i="18"/>
  <c r="BH80" i="18"/>
  <c r="BH79" i="18"/>
  <c r="BH78" i="18"/>
  <c r="P78" i="18"/>
  <c r="O78" i="18"/>
  <c r="G78" i="18"/>
  <c r="G94" i="18" s="1"/>
  <c r="F78" i="18"/>
  <c r="F79" i="18" s="1"/>
  <c r="F80" i="18" s="1"/>
  <c r="E78" i="18"/>
  <c r="E79" i="18" s="1"/>
  <c r="D78" i="18"/>
  <c r="C78" i="18"/>
  <c r="C94" i="18" s="1"/>
  <c r="BH77" i="18"/>
  <c r="H77" i="18"/>
  <c r="L88" i="18" s="1"/>
  <c r="BH76" i="18"/>
  <c r="H76" i="18"/>
  <c r="K76" i="18" s="1"/>
  <c r="BH75" i="18"/>
  <c r="H75" i="18"/>
  <c r="L86" i="18" s="1"/>
  <c r="BH74" i="18"/>
  <c r="I74" i="18"/>
  <c r="J74" i="18" s="1"/>
  <c r="H74" i="18"/>
  <c r="BH73" i="18"/>
  <c r="X73" i="18"/>
  <c r="W73" i="18"/>
  <c r="V73" i="18"/>
  <c r="U73" i="18"/>
  <c r="T73" i="18"/>
  <c r="H73" i="18"/>
  <c r="K73" i="18" s="1"/>
  <c r="BH72" i="18"/>
  <c r="BH71" i="18"/>
  <c r="BH70" i="18"/>
  <c r="BH69" i="18"/>
  <c r="BL68" i="18"/>
  <c r="BH68" i="18"/>
  <c r="J68" i="18"/>
  <c r="G69" i="18" s="1"/>
  <c r="BL67" i="18"/>
  <c r="BH67" i="18"/>
  <c r="BH66" i="18"/>
  <c r="BH65" i="18"/>
  <c r="E65" i="18"/>
  <c r="D65" i="18"/>
  <c r="BH64" i="18"/>
  <c r="BL63" i="18"/>
  <c r="AA63" i="18"/>
  <c r="X63" i="18"/>
  <c r="W63" i="18"/>
  <c r="V63" i="18"/>
  <c r="U63" i="18"/>
  <c r="T63" i="18"/>
  <c r="BK61" i="18"/>
  <c r="N60" i="18"/>
  <c r="O58" i="18" s="1"/>
  <c r="BH58" i="18"/>
  <c r="BH57" i="18"/>
  <c r="BH56" i="18"/>
  <c r="BH55" i="18"/>
  <c r="BH54" i="18"/>
  <c r="BH53" i="18"/>
  <c r="X53" i="18"/>
  <c r="W53" i="18"/>
  <c r="V53" i="18"/>
  <c r="U53" i="18"/>
  <c r="T53" i="18"/>
  <c r="BH52" i="18"/>
  <c r="BH51" i="18"/>
  <c r="BH50" i="18"/>
  <c r="D50" i="18"/>
  <c r="BH49" i="18"/>
  <c r="P49" i="18"/>
  <c r="O49" i="18"/>
  <c r="G49" i="18"/>
  <c r="G65" i="18" s="1"/>
  <c r="F49" i="18"/>
  <c r="F50" i="18" s="1"/>
  <c r="E49" i="18"/>
  <c r="E50" i="18" s="1"/>
  <c r="E51" i="18" s="1"/>
  <c r="D49" i="18"/>
  <c r="C49" i="18"/>
  <c r="C65" i="18" s="1"/>
  <c r="BH48" i="18"/>
  <c r="H48" i="18"/>
  <c r="BH47" i="18"/>
  <c r="K47" i="18"/>
  <c r="H47" i="18"/>
  <c r="L58" i="18" s="1"/>
  <c r="BH46" i="18"/>
  <c r="H46" i="18"/>
  <c r="K46" i="18" s="1"/>
  <c r="BH45" i="18"/>
  <c r="H45" i="18"/>
  <c r="L56" i="18" s="1"/>
  <c r="BH44" i="18"/>
  <c r="H44" i="18"/>
  <c r="BL43" i="18"/>
  <c r="BH43" i="18"/>
  <c r="X43" i="18"/>
  <c r="W43" i="18"/>
  <c r="V43" i="18"/>
  <c r="U43" i="18"/>
  <c r="T43" i="18"/>
  <c r="BL42" i="18"/>
  <c r="BH42" i="18"/>
  <c r="BH41" i="18"/>
  <c r="BH40" i="18"/>
  <c r="D40" i="18"/>
  <c r="BH39" i="18"/>
  <c r="J39" i="18"/>
  <c r="E40" i="18" s="1"/>
  <c r="BL38" i="18"/>
  <c r="BK36" i="18"/>
  <c r="X33" i="18"/>
  <c r="W33" i="18"/>
  <c r="V33" i="18"/>
  <c r="U33" i="18"/>
  <c r="T33" i="18"/>
  <c r="N31" i="18"/>
  <c r="O26" i="18" s="1"/>
  <c r="X23" i="18"/>
  <c r="W23" i="18"/>
  <c r="V23" i="18"/>
  <c r="U23" i="18"/>
  <c r="T23" i="18"/>
  <c r="E21" i="18"/>
  <c r="E22" i="18" s="1"/>
  <c r="P20" i="18"/>
  <c r="O20" i="18"/>
  <c r="G20" i="18"/>
  <c r="G36" i="18" s="1"/>
  <c r="F20" i="18"/>
  <c r="E20" i="18"/>
  <c r="E36" i="18" s="1"/>
  <c r="D20" i="18"/>
  <c r="D36" i="18" s="1"/>
  <c r="C20" i="18"/>
  <c r="C21" i="18" s="1"/>
  <c r="C22" i="18" s="1"/>
  <c r="I19" i="18"/>
  <c r="J19" i="18" s="1"/>
  <c r="H19" i="18"/>
  <c r="K19" i="18" s="1"/>
  <c r="H18" i="18"/>
  <c r="L29" i="18" s="1"/>
  <c r="H17" i="18"/>
  <c r="K17" i="18" s="1"/>
  <c r="K16" i="18"/>
  <c r="H16" i="18"/>
  <c r="I16" i="18" s="1"/>
  <c r="J16" i="18" s="1"/>
  <c r="H15" i="18"/>
  <c r="J10" i="18"/>
  <c r="I10" i="18"/>
  <c r="K9" i="18"/>
  <c r="B9" i="18"/>
  <c r="C5" i="18"/>
  <c r="E5" i="18" s="1"/>
  <c r="C7" i="18"/>
  <c r="E7" i="18" s="1"/>
  <c r="C6" i="18"/>
  <c r="C4" i="18"/>
  <c r="E4" i="18" s="1"/>
  <c r="J590" i="17"/>
  <c r="G591" i="17" s="1"/>
  <c r="N582" i="17"/>
  <c r="O581" i="17" s="1"/>
  <c r="P571" i="17"/>
  <c r="O571" i="17"/>
  <c r="G571" i="17"/>
  <c r="G587" i="17" s="1"/>
  <c r="F571" i="17"/>
  <c r="F587" i="17" s="1"/>
  <c r="E571" i="17"/>
  <c r="E587" i="17" s="1"/>
  <c r="D571" i="17"/>
  <c r="D572" i="17" s="1"/>
  <c r="C571" i="17"/>
  <c r="H570" i="17"/>
  <c r="I570" i="17" s="1"/>
  <c r="J570" i="17" s="1"/>
  <c r="K569" i="17"/>
  <c r="H569" i="17"/>
  <c r="L580" i="17" s="1"/>
  <c r="H568" i="17"/>
  <c r="L579" i="17" s="1"/>
  <c r="I567" i="17"/>
  <c r="J567" i="17" s="1"/>
  <c r="H567" i="17"/>
  <c r="H566" i="17"/>
  <c r="I566" i="17" s="1"/>
  <c r="J566" i="17" s="1"/>
  <c r="J561" i="17"/>
  <c r="F562" i="17" s="1"/>
  <c r="N553" i="17"/>
  <c r="O552" i="17" s="1"/>
  <c r="G552" i="17"/>
  <c r="E543" i="17"/>
  <c r="D543" i="17"/>
  <c r="P542" i="17"/>
  <c r="O542" i="17"/>
  <c r="G542" i="17"/>
  <c r="G558" i="17" s="1"/>
  <c r="F542" i="17"/>
  <c r="F558" i="17" s="1"/>
  <c r="E542" i="17"/>
  <c r="E558" i="17" s="1"/>
  <c r="D542" i="17"/>
  <c r="D558" i="17" s="1"/>
  <c r="C542" i="17"/>
  <c r="C543" i="17" s="1"/>
  <c r="H541" i="17"/>
  <c r="L552" i="17" s="1"/>
  <c r="H540" i="17"/>
  <c r="L551" i="17" s="1"/>
  <c r="H539" i="17"/>
  <c r="I539" i="17" s="1"/>
  <c r="J539" i="17" s="1"/>
  <c r="H538" i="17"/>
  <c r="K538" i="17" s="1"/>
  <c r="H537" i="17"/>
  <c r="J532" i="17"/>
  <c r="E533" i="17" s="1"/>
  <c r="N524" i="17"/>
  <c r="O522" i="17" s="1"/>
  <c r="O519" i="17"/>
  <c r="C514" i="17"/>
  <c r="P513" i="17"/>
  <c r="O513" i="17"/>
  <c r="G513" i="17"/>
  <c r="G529" i="17" s="1"/>
  <c r="F513" i="17"/>
  <c r="K511" i="17" s="1"/>
  <c r="E513" i="17"/>
  <c r="E529" i="17" s="1"/>
  <c r="D513" i="17"/>
  <c r="D529" i="17" s="1"/>
  <c r="C513" i="17"/>
  <c r="C529" i="17" s="1"/>
  <c r="I512" i="17"/>
  <c r="J512" i="17" s="1"/>
  <c r="H512" i="17"/>
  <c r="L523" i="17" s="1"/>
  <c r="H511" i="17"/>
  <c r="L522" i="17" s="1"/>
  <c r="H510" i="17"/>
  <c r="I510" i="17" s="1"/>
  <c r="J510" i="17" s="1"/>
  <c r="H509" i="17"/>
  <c r="K509" i="17" s="1"/>
  <c r="H508" i="17"/>
  <c r="H513" i="17" s="1"/>
  <c r="I514" i="17" s="1"/>
  <c r="AD33" i="17" s="1"/>
  <c r="J503" i="17"/>
  <c r="D504" i="17" s="1"/>
  <c r="N495" i="17"/>
  <c r="O494" i="17" s="1"/>
  <c r="O492" i="17"/>
  <c r="O490" i="17"/>
  <c r="D485" i="17"/>
  <c r="D486" i="17" s="1"/>
  <c r="P484" i="17"/>
  <c r="O484" i="17"/>
  <c r="G484" i="17"/>
  <c r="G500" i="17" s="1"/>
  <c r="F484" i="17"/>
  <c r="F500" i="17" s="1"/>
  <c r="E484" i="17"/>
  <c r="E500" i="17" s="1"/>
  <c r="D484" i="17"/>
  <c r="D500" i="17" s="1"/>
  <c r="C484" i="17"/>
  <c r="C500" i="17" s="1"/>
  <c r="H483" i="17"/>
  <c r="I483" i="17" s="1"/>
  <c r="J483" i="17" s="1"/>
  <c r="H482" i="17"/>
  <c r="H481" i="17"/>
  <c r="H480" i="17"/>
  <c r="I480" i="17" s="1"/>
  <c r="J480" i="17" s="1"/>
  <c r="H479" i="17"/>
  <c r="H484" i="17" s="1"/>
  <c r="I485" i="17" s="1"/>
  <c r="J474" i="17"/>
  <c r="F475" i="17" s="1"/>
  <c r="N466" i="17"/>
  <c r="O465" i="17" s="1"/>
  <c r="P455" i="17"/>
  <c r="O455" i="17"/>
  <c r="G455" i="17"/>
  <c r="G471" i="17" s="1"/>
  <c r="F455" i="17"/>
  <c r="F471" i="17" s="1"/>
  <c r="E455" i="17"/>
  <c r="E471" i="17" s="1"/>
  <c r="D455" i="17"/>
  <c r="D471" i="17" s="1"/>
  <c r="C455" i="17"/>
  <c r="C471" i="17" s="1"/>
  <c r="H454" i="17"/>
  <c r="I454" i="17" s="1"/>
  <c r="J454" i="17" s="1"/>
  <c r="H453" i="17"/>
  <c r="H452" i="17"/>
  <c r="H455" i="17" s="1"/>
  <c r="I456" i="17" s="1"/>
  <c r="AD31" i="17" s="1"/>
  <c r="I451" i="17"/>
  <c r="J451" i="17" s="1"/>
  <c r="H451" i="17"/>
  <c r="L462" i="17" s="1"/>
  <c r="K450" i="17"/>
  <c r="H450" i="17"/>
  <c r="L461" i="17" s="1"/>
  <c r="J445" i="17"/>
  <c r="G446" i="17" s="1"/>
  <c r="N437" i="17"/>
  <c r="AA163" i="17" s="1"/>
  <c r="P426" i="17"/>
  <c r="O426" i="17"/>
  <c r="G426" i="17"/>
  <c r="G427" i="17" s="1"/>
  <c r="G428" i="17" s="1"/>
  <c r="F426" i="17"/>
  <c r="F442" i="17" s="1"/>
  <c r="E426" i="17"/>
  <c r="E442" i="17" s="1"/>
  <c r="D426" i="17"/>
  <c r="D442" i="17" s="1"/>
  <c r="C426" i="17"/>
  <c r="K421" i="17" s="1"/>
  <c r="H425" i="17"/>
  <c r="H424" i="17"/>
  <c r="L435" i="17" s="1"/>
  <c r="H423" i="17"/>
  <c r="L434" i="17" s="1"/>
  <c r="H422" i="17"/>
  <c r="L433" i="17" s="1"/>
  <c r="H421" i="17"/>
  <c r="L432" i="17" s="1"/>
  <c r="J416" i="17"/>
  <c r="N408" i="17"/>
  <c r="O406" i="17" s="1"/>
  <c r="L405" i="17"/>
  <c r="O403" i="17"/>
  <c r="P397" i="17"/>
  <c r="O397" i="17"/>
  <c r="G397" i="17"/>
  <c r="G413" i="17" s="1"/>
  <c r="F397" i="17"/>
  <c r="F398" i="17" s="1"/>
  <c r="E397" i="17"/>
  <c r="E413" i="17" s="1"/>
  <c r="D397" i="17"/>
  <c r="D413" i="17" s="1"/>
  <c r="C397" i="17"/>
  <c r="H396" i="17"/>
  <c r="K396" i="17" s="1"/>
  <c r="H395" i="17"/>
  <c r="I395" i="17" s="1"/>
  <c r="J395" i="17" s="1"/>
  <c r="K394" i="17"/>
  <c r="H394" i="17"/>
  <c r="I394" i="17" s="1"/>
  <c r="J394" i="17" s="1"/>
  <c r="H393" i="17"/>
  <c r="K393" i="17" s="1"/>
  <c r="H392" i="17"/>
  <c r="K392" i="17" s="1"/>
  <c r="J387" i="17"/>
  <c r="N379" i="17"/>
  <c r="AA143" i="17" s="1"/>
  <c r="C369" i="17"/>
  <c r="C370" i="17" s="1"/>
  <c r="P368" i="17"/>
  <c r="O368" i="17"/>
  <c r="G368" i="17"/>
  <c r="F368" i="17"/>
  <c r="E368" i="17"/>
  <c r="E384" i="17" s="1"/>
  <c r="D368" i="17"/>
  <c r="D384" i="17" s="1"/>
  <c r="C368" i="17"/>
  <c r="C384" i="17" s="1"/>
  <c r="H367" i="17"/>
  <c r="L378" i="17" s="1"/>
  <c r="H366" i="17"/>
  <c r="L377" i="17" s="1"/>
  <c r="H365" i="17"/>
  <c r="L376" i="17" s="1"/>
  <c r="H364" i="17"/>
  <c r="H363" i="17"/>
  <c r="L374" i="17" s="1"/>
  <c r="J358" i="17"/>
  <c r="G359" i="17" s="1"/>
  <c r="N350" i="17"/>
  <c r="O349" i="17" s="1"/>
  <c r="O348" i="17"/>
  <c r="O345" i="17"/>
  <c r="P339" i="17"/>
  <c r="O339" i="17"/>
  <c r="G339" i="17"/>
  <c r="G340" i="17" s="1"/>
  <c r="F339" i="17"/>
  <c r="E339" i="17"/>
  <c r="E340" i="17" s="1"/>
  <c r="D339" i="17"/>
  <c r="D340" i="17" s="1"/>
  <c r="D341" i="17" s="1"/>
  <c r="C339" i="17"/>
  <c r="C355" i="17" s="1"/>
  <c r="H338" i="17"/>
  <c r="K338" i="17" s="1"/>
  <c r="H337" i="17"/>
  <c r="H336" i="17"/>
  <c r="K336" i="17" s="1"/>
  <c r="H335" i="17"/>
  <c r="K334" i="17"/>
  <c r="H334" i="17"/>
  <c r="I334" i="17" s="1"/>
  <c r="J334" i="17" s="1"/>
  <c r="J329" i="17"/>
  <c r="G330" i="17" s="1"/>
  <c r="D326" i="17"/>
  <c r="N321" i="17"/>
  <c r="P310" i="17"/>
  <c r="O310" i="17"/>
  <c r="G310" i="17"/>
  <c r="G311" i="17" s="1"/>
  <c r="F310" i="17"/>
  <c r="F311" i="17" s="1"/>
  <c r="E310" i="17"/>
  <c r="D310" i="17"/>
  <c r="D311" i="17" s="1"/>
  <c r="C310" i="17"/>
  <c r="C311" i="17" s="1"/>
  <c r="H309" i="17"/>
  <c r="I309" i="17" s="1"/>
  <c r="J309" i="17" s="1"/>
  <c r="H308" i="17"/>
  <c r="H307" i="17"/>
  <c r="H306" i="17"/>
  <c r="I306" i="17" s="1"/>
  <c r="J306" i="17" s="1"/>
  <c r="I305" i="17"/>
  <c r="J305" i="17" s="1"/>
  <c r="H305" i="17"/>
  <c r="L316" i="17" s="1"/>
  <c r="J300" i="17"/>
  <c r="G301" i="17" s="1"/>
  <c r="N292" i="17"/>
  <c r="O291" i="17" s="1"/>
  <c r="G291" i="17" s="1"/>
  <c r="P281" i="17"/>
  <c r="O281" i="17"/>
  <c r="G281" i="17"/>
  <c r="F281" i="17"/>
  <c r="F297" i="17" s="1"/>
  <c r="E281" i="17"/>
  <c r="E297" i="17" s="1"/>
  <c r="D281" i="17"/>
  <c r="D282" i="17" s="1"/>
  <c r="C281" i="17"/>
  <c r="C282" i="17" s="1"/>
  <c r="H280" i="17"/>
  <c r="L291" i="17" s="1"/>
  <c r="H279" i="17"/>
  <c r="L290" i="17" s="1"/>
  <c r="I278" i="17"/>
  <c r="J278" i="17" s="1"/>
  <c r="H278" i="17"/>
  <c r="L289" i="17" s="1"/>
  <c r="H277" i="17"/>
  <c r="I277" i="17" s="1"/>
  <c r="J277" i="17" s="1"/>
  <c r="H276" i="17"/>
  <c r="K276" i="17" s="1"/>
  <c r="J271" i="17"/>
  <c r="G272" i="17" s="1"/>
  <c r="BH263" i="17"/>
  <c r="N263" i="17"/>
  <c r="O259" i="17" s="1"/>
  <c r="BH262" i="17"/>
  <c r="BH261" i="17"/>
  <c r="BH260" i="17"/>
  <c r="O260" i="17"/>
  <c r="BH259" i="17"/>
  <c r="BH258" i="17"/>
  <c r="BH257" i="17"/>
  <c r="BH256" i="17"/>
  <c r="BH255" i="17"/>
  <c r="BH254" i="17"/>
  <c r="BH253" i="17"/>
  <c r="F253" i="17"/>
  <c r="F254" i="17" s="1"/>
  <c r="BH252" i="17"/>
  <c r="P252" i="17"/>
  <c r="O252" i="17"/>
  <c r="G252" i="17"/>
  <c r="G268" i="17" s="1"/>
  <c r="F252" i="17"/>
  <c r="F268" i="17" s="1"/>
  <c r="E252" i="17"/>
  <c r="E268" i="17" s="1"/>
  <c r="D252" i="17"/>
  <c r="D253" i="17" s="1"/>
  <c r="C252" i="17"/>
  <c r="C268" i="17" s="1"/>
  <c r="BH251" i="17"/>
  <c r="H251" i="17"/>
  <c r="L262" i="17" s="1"/>
  <c r="BH250" i="17"/>
  <c r="I250" i="17"/>
  <c r="J250" i="17" s="1"/>
  <c r="H250" i="17"/>
  <c r="L261" i="17" s="1"/>
  <c r="BH249" i="17"/>
  <c r="H249" i="17"/>
  <c r="L260" i="17" s="1"/>
  <c r="BH248" i="17"/>
  <c r="H248" i="17"/>
  <c r="L259" i="17" s="1"/>
  <c r="BH247" i="17"/>
  <c r="H247" i="17"/>
  <c r="L258" i="17" s="1"/>
  <c r="BH246" i="17"/>
  <c r="BH245" i="17"/>
  <c r="BH244" i="17"/>
  <c r="BH243" i="17"/>
  <c r="BH242" i="17"/>
  <c r="J242" i="17"/>
  <c r="D243" i="17" s="1"/>
  <c r="BH241" i="17"/>
  <c r="BH240" i="17"/>
  <c r="BH239" i="17"/>
  <c r="BH238" i="17"/>
  <c r="BH237" i="17"/>
  <c r="BH236" i="17"/>
  <c r="BH235" i="17"/>
  <c r="BH234" i="17"/>
  <c r="N234" i="17"/>
  <c r="O232" i="17" s="1"/>
  <c r="BH233" i="17"/>
  <c r="O233" i="17"/>
  <c r="BH232" i="17"/>
  <c r="BH231" i="17"/>
  <c r="BH230" i="17"/>
  <c r="BH229" i="17"/>
  <c r="O229" i="17"/>
  <c r="BH228" i="17"/>
  <c r="BH227" i="17"/>
  <c r="BH226" i="17"/>
  <c r="BH225" i="17"/>
  <c r="BH224" i="17"/>
  <c r="BH223" i="17"/>
  <c r="P223" i="17"/>
  <c r="O223" i="17"/>
  <c r="G223" i="17"/>
  <c r="G224" i="17" s="1"/>
  <c r="F223" i="17"/>
  <c r="F224" i="17" s="1"/>
  <c r="E223" i="17"/>
  <c r="E224" i="17" s="1"/>
  <c r="E225" i="17" s="1"/>
  <c r="D223" i="17"/>
  <c r="C223" i="17"/>
  <c r="C239" i="17" s="1"/>
  <c r="BH222" i="17"/>
  <c r="K222" i="17"/>
  <c r="H222" i="17"/>
  <c r="I222" i="17" s="1"/>
  <c r="J222" i="17" s="1"/>
  <c r="BH221" i="17"/>
  <c r="H221" i="17"/>
  <c r="L232" i="17" s="1"/>
  <c r="BH220" i="17"/>
  <c r="H220" i="17"/>
  <c r="BH219" i="17"/>
  <c r="H219" i="17"/>
  <c r="K219" i="17" s="1"/>
  <c r="BH218" i="17"/>
  <c r="I218" i="17"/>
  <c r="H218" i="17"/>
  <c r="BH217" i="17"/>
  <c r="BH216" i="17"/>
  <c r="BH215" i="17"/>
  <c r="BH214" i="17"/>
  <c r="BH213" i="17"/>
  <c r="AA213" i="17"/>
  <c r="X213" i="17"/>
  <c r="W213" i="17"/>
  <c r="V213" i="17"/>
  <c r="U213" i="17"/>
  <c r="T213" i="17"/>
  <c r="J213" i="17"/>
  <c r="G214" i="17" s="1"/>
  <c r="BH212" i="17"/>
  <c r="BH211" i="17"/>
  <c r="BH210" i="17"/>
  <c r="BH209" i="17"/>
  <c r="BH208" i="17"/>
  <c r="BH207" i="17"/>
  <c r="BH206" i="17"/>
  <c r="BH205" i="17"/>
  <c r="N205" i="17"/>
  <c r="O204" i="17" s="1"/>
  <c r="BH204" i="17"/>
  <c r="BH203" i="17"/>
  <c r="X203" i="17"/>
  <c r="W203" i="17"/>
  <c r="V203" i="17"/>
  <c r="U203" i="17"/>
  <c r="T203" i="17"/>
  <c r="O203" i="17"/>
  <c r="BH202" i="17"/>
  <c r="BH201" i="17"/>
  <c r="BH200" i="17"/>
  <c r="BH199" i="17"/>
  <c r="BH198" i="17"/>
  <c r="BH197" i="17"/>
  <c r="BH196" i="17"/>
  <c r="BH195" i="17"/>
  <c r="D195" i="17"/>
  <c r="BH194" i="17"/>
  <c r="P194" i="17"/>
  <c r="O194" i="17"/>
  <c r="G194" i="17"/>
  <c r="G210" i="17" s="1"/>
  <c r="F194" i="17"/>
  <c r="F210" i="17" s="1"/>
  <c r="E194" i="17"/>
  <c r="E210" i="17" s="1"/>
  <c r="D194" i="17"/>
  <c r="D210" i="17" s="1"/>
  <c r="C194" i="17"/>
  <c r="C195" i="17" s="1"/>
  <c r="BH193" i="17"/>
  <c r="AA193" i="17"/>
  <c r="X193" i="17"/>
  <c r="W193" i="17"/>
  <c r="V193" i="17"/>
  <c r="U193" i="17"/>
  <c r="T193" i="17"/>
  <c r="I193" i="17"/>
  <c r="J193" i="17" s="1"/>
  <c r="H193" i="17"/>
  <c r="L204" i="17" s="1"/>
  <c r="BH192" i="17"/>
  <c r="H192" i="17"/>
  <c r="BH191" i="17"/>
  <c r="H191" i="17"/>
  <c r="K191" i="17" s="1"/>
  <c r="BH190" i="17"/>
  <c r="H190" i="17"/>
  <c r="BH189" i="17"/>
  <c r="H189" i="17"/>
  <c r="BH188" i="17"/>
  <c r="BH187" i="17"/>
  <c r="BH186" i="17"/>
  <c r="BH185" i="17"/>
  <c r="BH184" i="17"/>
  <c r="J184" i="17"/>
  <c r="C185" i="17" s="1"/>
  <c r="BH183" i="17"/>
  <c r="X183" i="17"/>
  <c r="W183" i="17"/>
  <c r="V183" i="17"/>
  <c r="U183" i="17"/>
  <c r="T183" i="17"/>
  <c r="BH182" i="17"/>
  <c r="BH181" i="17"/>
  <c r="BH180" i="17"/>
  <c r="BH179" i="17"/>
  <c r="BH178" i="17"/>
  <c r="BH177" i="17"/>
  <c r="BH176" i="17"/>
  <c r="N176" i="17"/>
  <c r="AA73" i="17" s="1"/>
  <c r="BH175" i="17"/>
  <c r="BH174" i="17"/>
  <c r="BH173" i="17"/>
  <c r="AA173" i="17"/>
  <c r="X173" i="17"/>
  <c r="W173" i="17"/>
  <c r="V173" i="17"/>
  <c r="U173" i="17"/>
  <c r="T173" i="17"/>
  <c r="O173" i="17"/>
  <c r="BH172" i="17"/>
  <c r="BH171" i="17"/>
  <c r="BH170" i="17"/>
  <c r="BH169" i="17"/>
  <c r="BH168" i="17"/>
  <c r="BH167" i="17"/>
  <c r="BH166" i="17"/>
  <c r="BH165" i="17"/>
  <c r="P165" i="17"/>
  <c r="O165" i="17"/>
  <c r="G165" i="17"/>
  <c r="G181" i="17" s="1"/>
  <c r="F165" i="17"/>
  <c r="F181" i="17" s="1"/>
  <c r="E165" i="17"/>
  <c r="E181" i="17" s="1"/>
  <c r="D165" i="17"/>
  <c r="D181" i="17" s="1"/>
  <c r="C165" i="17"/>
  <c r="C181" i="17" s="1"/>
  <c r="BH164" i="17"/>
  <c r="H164" i="17"/>
  <c r="L175" i="17" s="1"/>
  <c r="BH163" i="17"/>
  <c r="X163" i="17"/>
  <c r="W163" i="17"/>
  <c r="V163" i="17"/>
  <c r="U163" i="17"/>
  <c r="T163" i="17"/>
  <c r="H163" i="17"/>
  <c r="K163" i="17" s="1"/>
  <c r="BH162" i="17"/>
  <c r="K162" i="17"/>
  <c r="H162" i="17"/>
  <c r="L173" i="17" s="1"/>
  <c r="BH161" i="17"/>
  <c r="H161" i="17"/>
  <c r="L172" i="17" s="1"/>
  <c r="BH160" i="17"/>
  <c r="H160" i="17"/>
  <c r="BH159" i="17"/>
  <c r="BH158" i="17"/>
  <c r="BH157" i="17"/>
  <c r="BH156" i="17"/>
  <c r="BH155" i="17"/>
  <c r="J155" i="17"/>
  <c r="G156" i="17" s="1"/>
  <c r="BH154" i="17"/>
  <c r="BH153" i="17"/>
  <c r="X153" i="17"/>
  <c r="W153" i="17"/>
  <c r="V153" i="17"/>
  <c r="U153" i="17"/>
  <c r="T153" i="17"/>
  <c r="BH152" i="17"/>
  <c r="BH151" i="17"/>
  <c r="BH150" i="17"/>
  <c r="BH149" i="17"/>
  <c r="BH148" i="17"/>
  <c r="BH147" i="17"/>
  <c r="N147" i="17"/>
  <c r="O142" i="17" s="1"/>
  <c r="BH146" i="17"/>
  <c r="BH145" i="17"/>
  <c r="BH144" i="17"/>
  <c r="O144" i="17"/>
  <c r="BH143" i="17"/>
  <c r="X143" i="17"/>
  <c r="W143" i="17"/>
  <c r="V143" i="17"/>
  <c r="U143" i="17"/>
  <c r="T143" i="17"/>
  <c r="O143" i="17"/>
  <c r="BH142" i="17"/>
  <c r="BH141" i="17"/>
  <c r="BH140" i="17"/>
  <c r="BH139" i="17"/>
  <c r="BH138" i="17"/>
  <c r="BH137" i="17"/>
  <c r="BH136" i="17"/>
  <c r="P136" i="17"/>
  <c r="O136" i="17"/>
  <c r="G136" i="17"/>
  <c r="G137" i="17" s="1"/>
  <c r="F136" i="17"/>
  <c r="F137" i="17" s="1"/>
  <c r="E136" i="17"/>
  <c r="D136" i="17"/>
  <c r="D137" i="17" s="1"/>
  <c r="C136" i="17"/>
  <c r="C137" i="17" s="1"/>
  <c r="BH135" i="17"/>
  <c r="AP135" i="17"/>
  <c r="AO135" i="17"/>
  <c r="AN135" i="17"/>
  <c r="AM135" i="17"/>
  <c r="AL135" i="17"/>
  <c r="H135" i="17"/>
  <c r="L146" i="17" s="1"/>
  <c r="BH134" i="17"/>
  <c r="AP134" i="17"/>
  <c r="AO134" i="17"/>
  <c r="AN134" i="17"/>
  <c r="AM134" i="17"/>
  <c r="AL134" i="17"/>
  <c r="I134" i="17"/>
  <c r="J134" i="17" s="1"/>
  <c r="H134" i="17"/>
  <c r="K134" i="17" s="1"/>
  <c r="BH133" i="17"/>
  <c r="X133" i="17"/>
  <c r="W133" i="17"/>
  <c r="V133" i="17"/>
  <c r="U133" i="17"/>
  <c r="T133" i="17"/>
  <c r="I133" i="17"/>
  <c r="J133" i="17" s="1"/>
  <c r="H133" i="17"/>
  <c r="BH132" i="17"/>
  <c r="AS132" i="17"/>
  <c r="AP133" i="17" s="1"/>
  <c r="H132" i="17"/>
  <c r="L143" i="17" s="1"/>
  <c r="BH131" i="17"/>
  <c r="H131" i="17"/>
  <c r="L142" i="17" s="1"/>
  <c r="BH130" i="17"/>
  <c r="AP130" i="17"/>
  <c r="AO130" i="17"/>
  <c r="AN130" i="17"/>
  <c r="AM130" i="17"/>
  <c r="AL130" i="17"/>
  <c r="BH129" i="17"/>
  <c r="AP129" i="17"/>
  <c r="AO129" i="17"/>
  <c r="AN129" i="17"/>
  <c r="AM129" i="17"/>
  <c r="AL129" i="17"/>
  <c r="BH128" i="17"/>
  <c r="BH127" i="17"/>
  <c r="AS127" i="17"/>
  <c r="AP128" i="17" s="1"/>
  <c r="BH126" i="17"/>
  <c r="J126" i="17"/>
  <c r="F127" i="17" s="1"/>
  <c r="BH125" i="17"/>
  <c r="BH124" i="17"/>
  <c r="BH123" i="17"/>
  <c r="AP123" i="17"/>
  <c r="AA123" i="17"/>
  <c r="X123" i="17"/>
  <c r="W123" i="17"/>
  <c r="V123" i="17"/>
  <c r="U123" i="17"/>
  <c r="T123" i="17"/>
  <c r="BH122" i="17"/>
  <c r="AS122" i="17"/>
  <c r="AO123" i="17" s="1"/>
  <c r="BH121" i="17"/>
  <c r="BH120" i="17"/>
  <c r="BH119" i="17"/>
  <c r="BH118" i="17"/>
  <c r="AP116" i="17"/>
  <c r="AO116" i="17"/>
  <c r="AN116" i="17"/>
  <c r="AM116" i="17"/>
  <c r="AL116" i="17"/>
  <c r="N118" i="17"/>
  <c r="O117" i="17" s="1"/>
  <c r="E117" i="17" s="1"/>
  <c r="BH117" i="17"/>
  <c r="BH116" i="17"/>
  <c r="BH115" i="17"/>
  <c r="O115" i="17"/>
  <c r="BH114" i="17"/>
  <c r="O114" i="17"/>
  <c r="BH113" i="17"/>
  <c r="X113" i="17"/>
  <c r="W113" i="17"/>
  <c r="V113" i="17"/>
  <c r="U113" i="17"/>
  <c r="T113" i="17"/>
  <c r="BH112" i="17"/>
  <c r="BH111" i="17"/>
  <c r="BH110" i="17"/>
  <c r="BH109" i="17"/>
  <c r="BH108" i="17"/>
  <c r="BH107" i="17"/>
  <c r="P107" i="17"/>
  <c r="O107" i="17"/>
  <c r="G107" i="17"/>
  <c r="G108" i="17" s="1"/>
  <c r="F107" i="17"/>
  <c r="F123" i="17" s="1"/>
  <c r="E107" i="17"/>
  <c r="E123" i="17" s="1"/>
  <c r="D107" i="17"/>
  <c r="D123" i="17" s="1"/>
  <c r="C107" i="17"/>
  <c r="C123" i="17" s="1"/>
  <c r="BH106" i="17"/>
  <c r="H106" i="17"/>
  <c r="L117" i="17" s="1"/>
  <c r="D117" i="17" s="1"/>
  <c r="BH105" i="17"/>
  <c r="H105" i="17"/>
  <c r="BH104" i="17"/>
  <c r="H104" i="17"/>
  <c r="BH103" i="17"/>
  <c r="X103" i="17"/>
  <c r="W103" i="17"/>
  <c r="V103" i="17"/>
  <c r="U103" i="17"/>
  <c r="T103" i="17"/>
  <c r="H103" i="17"/>
  <c r="L114" i="17" s="1"/>
  <c r="BH102" i="17"/>
  <c r="H102" i="17"/>
  <c r="BH101" i="17"/>
  <c r="BH100" i="17"/>
  <c r="BH99" i="17"/>
  <c r="AW99" i="17"/>
  <c r="BH98" i="17"/>
  <c r="BH97" i="17"/>
  <c r="J97" i="17"/>
  <c r="G98" i="17" s="1"/>
  <c r="BH96" i="17"/>
  <c r="BH95" i="17"/>
  <c r="AX95" i="17"/>
  <c r="BH94" i="17"/>
  <c r="BH93" i="17"/>
  <c r="AA93" i="17"/>
  <c r="X93" i="17"/>
  <c r="W93" i="17"/>
  <c r="V93" i="17"/>
  <c r="U93" i="17"/>
  <c r="T93" i="17"/>
  <c r="BH92" i="17"/>
  <c r="BH91" i="17"/>
  <c r="BH90" i="17"/>
  <c r="BH89" i="17"/>
  <c r="N89" i="17"/>
  <c r="O87" i="17" s="1"/>
  <c r="BH88" i="17"/>
  <c r="AP88" i="17"/>
  <c r="AP104" i="17" s="1"/>
  <c r="AO88" i="17"/>
  <c r="AO104" i="17" s="1"/>
  <c r="AN88" i="17"/>
  <c r="AM88" i="17"/>
  <c r="AM104" i="17" s="1"/>
  <c r="AL88" i="17"/>
  <c r="AL104" i="17" s="1"/>
  <c r="BH87" i="17"/>
  <c r="AQ87" i="17"/>
  <c r="AT87" i="17" s="1"/>
  <c r="BH86" i="17"/>
  <c r="AQ86" i="17"/>
  <c r="AT86" i="17" s="1"/>
  <c r="BH85" i="17"/>
  <c r="AQ85" i="17"/>
  <c r="AR85" i="17" s="1"/>
  <c r="AS85" i="17" s="1"/>
  <c r="BH84" i="17"/>
  <c r="AQ84" i="17"/>
  <c r="AU95" i="17" s="1"/>
  <c r="BH83" i="17"/>
  <c r="AQ83" i="17"/>
  <c r="AT83" i="17" s="1"/>
  <c r="AA83" i="17"/>
  <c r="X83" i="17"/>
  <c r="W83" i="17"/>
  <c r="V83" i="17"/>
  <c r="U83" i="17"/>
  <c r="T83" i="17"/>
  <c r="BH82" i="17"/>
  <c r="BH81" i="17"/>
  <c r="BH80" i="17"/>
  <c r="BH79" i="17"/>
  <c r="BH78" i="17"/>
  <c r="P78" i="17"/>
  <c r="O78" i="17"/>
  <c r="G78" i="17"/>
  <c r="G94" i="17" s="1"/>
  <c r="F78" i="17"/>
  <c r="F94" i="17" s="1"/>
  <c r="E78" i="17"/>
  <c r="D78" i="17"/>
  <c r="D94" i="17" s="1"/>
  <c r="C78" i="17"/>
  <c r="C94" i="17" s="1"/>
  <c r="BH77" i="17"/>
  <c r="H77" i="17"/>
  <c r="L88" i="17" s="1"/>
  <c r="BH76" i="17"/>
  <c r="H76" i="17"/>
  <c r="K76" i="17" s="1"/>
  <c r="BH75" i="17"/>
  <c r="I75" i="17"/>
  <c r="J75" i="17" s="1"/>
  <c r="H75" i="17"/>
  <c r="L86" i="17" s="1"/>
  <c r="BH74" i="17"/>
  <c r="H74" i="17"/>
  <c r="I74" i="17" s="1"/>
  <c r="BH73" i="17"/>
  <c r="X73" i="17"/>
  <c r="W73" i="17"/>
  <c r="V73" i="17"/>
  <c r="U73" i="17"/>
  <c r="T73" i="17"/>
  <c r="H73" i="17"/>
  <c r="H78" i="17" s="1"/>
  <c r="I79" i="17" s="1"/>
  <c r="AD18" i="17" s="1"/>
  <c r="BH72" i="17"/>
  <c r="BH71" i="17"/>
  <c r="BH70" i="17"/>
  <c r="BH69" i="17"/>
  <c r="BL68" i="17"/>
  <c r="BH68" i="17"/>
  <c r="J68" i="17"/>
  <c r="E69" i="17" s="1"/>
  <c r="BL67" i="17"/>
  <c r="BH67" i="17"/>
  <c r="BH66" i="17"/>
  <c r="BH65" i="17"/>
  <c r="BH64" i="17"/>
  <c r="BL63" i="17"/>
  <c r="X63" i="17"/>
  <c r="W63" i="17"/>
  <c r="V63" i="17"/>
  <c r="U63" i="17"/>
  <c r="T63" i="17"/>
  <c r="BK61" i="17"/>
  <c r="N60" i="17"/>
  <c r="O59" i="17" s="1"/>
  <c r="L59" i="17"/>
  <c r="BH58" i="17"/>
  <c r="BH57" i="17"/>
  <c r="BH56" i="17"/>
  <c r="BH55" i="17"/>
  <c r="BH54" i="17"/>
  <c r="BH53" i="17"/>
  <c r="AA53" i="17"/>
  <c r="X53" i="17"/>
  <c r="W53" i="17"/>
  <c r="V53" i="17"/>
  <c r="U53" i="17"/>
  <c r="T53" i="17"/>
  <c r="BH52" i="17"/>
  <c r="BH51" i="17"/>
  <c r="BH50" i="17"/>
  <c r="C50" i="17"/>
  <c r="C51" i="17" s="1"/>
  <c r="BH49" i="17"/>
  <c r="P49" i="17"/>
  <c r="O49" i="17"/>
  <c r="G49" i="17"/>
  <c r="G65" i="17" s="1"/>
  <c r="F49" i="17"/>
  <c r="E49" i="17"/>
  <c r="E65" i="17" s="1"/>
  <c r="D49" i="17"/>
  <c r="C49" i="17"/>
  <c r="C65" i="17" s="1"/>
  <c r="BH48" i="17"/>
  <c r="I48" i="17"/>
  <c r="J48" i="17" s="1"/>
  <c r="H48" i="17"/>
  <c r="K48" i="17" s="1"/>
  <c r="BH47" i="17"/>
  <c r="H47" i="17"/>
  <c r="L58" i="17" s="1"/>
  <c r="BH46" i="17"/>
  <c r="H46" i="17"/>
  <c r="L57" i="17" s="1"/>
  <c r="BH45" i="17"/>
  <c r="H45" i="17"/>
  <c r="L56" i="17" s="1"/>
  <c r="BH44" i="17"/>
  <c r="H44" i="17"/>
  <c r="L55" i="17" s="1"/>
  <c r="BL43" i="17"/>
  <c r="BH43" i="17"/>
  <c r="X43" i="17"/>
  <c r="W43" i="17"/>
  <c r="V43" i="17"/>
  <c r="U43" i="17"/>
  <c r="T43" i="17"/>
  <c r="BL42" i="17"/>
  <c r="BH42" i="17"/>
  <c r="BH41" i="17"/>
  <c r="BH40" i="17"/>
  <c r="C40" i="17"/>
  <c r="BH39" i="17"/>
  <c r="J39" i="17"/>
  <c r="D40" i="17" s="1"/>
  <c r="BL38" i="17"/>
  <c r="BK36" i="17"/>
  <c r="X33" i="17"/>
  <c r="W33" i="17"/>
  <c r="V33" i="17"/>
  <c r="U33" i="17"/>
  <c r="T33" i="17"/>
  <c r="AD32" i="17"/>
  <c r="N31" i="17"/>
  <c r="O30" i="17" s="1"/>
  <c r="AA23" i="17"/>
  <c r="X23" i="17"/>
  <c r="W23" i="17"/>
  <c r="V23" i="17"/>
  <c r="U23" i="17"/>
  <c r="T23" i="17"/>
  <c r="C21" i="17"/>
  <c r="C22" i="17" s="1"/>
  <c r="P20" i="17"/>
  <c r="O20" i="17"/>
  <c r="G20" i="17"/>
  <c r="G36" i="17" s="1"/>
  <c r="F20" i="17"/>
  <c r="F36" i="17" s="1"/>
  <c r="E20" i="17"/>
  <c r="E36" i="17" s="1"/>
  <c r="D20" i="17"/>
  <c r="D36" i="17" s="1"/>
  <c r="C20" i="17"/>
  <c r="C36" i="17" s="1"/>
  <c r="H19" i="17"/>
  <c r="I19" i="17" s="1"/>
  <c r="J19" i="17" s="1"/>
  <c r="H18" i="17"/>
  <c r="K17" i="17"/>
  <c r="H17" i="17"/>
  <c r="I17" i="17" s="1"/>
  <c r="J17" i="17" s="1"/>
  <c r="H16" i="17"/>
  <c r="L27" i="17" s="1"/>
  <c r="K15" i="17"/>
  <c r="H15" i="17"/>
  <c r="I15" i="17" s="1"/>
  <c r="J10" i="17"/>
  <c r="I10" i="17"/>
  <c r="K9" i="17"/>
  <c r="B9" i="17"/>
  <c r="F9" i="17"/>
  <c r="C5" i="17"/>
  <c r="E5" i="17" s="1"/>
  <c r="C4" i="17"/>
  <c r="E4" i="17" s="1"/>
  <c r="AN118" i="21" l="1"/>
  <c r="F304" i="27" s="1"/>
  <c r="F295" i="27"/>
  <c r="AO118" i="21"/>
  <c r="G304" i="27" s="1"/>
  <c r="G295" i="27"/>
  <c r="AD276" i="34"/>
  <c r="AK275" i="34"/>
  <c r="AL453" i="34"/>
  <c r="AL26" i="34"/>
  <c r="AL440" i="34" s="1"/>
  <c r="AD316" i="34" s="1"/>
  <c r="AH316" i="34" s="1"/>
  <c r="AD76" i="34"/>
  <c r="AI371" i="34" s="1"/>
  <c r="AK75" i="34"/>
  <c r="AL50" i="34"/>
  <c r="AF51" i="34"/>
  <c r="AL460" i="34"/>
  <c r="AL201" i="34"/>
  <c r="AL447" i="34" s="1"/>
  <c r="AD322" i="34" s="1"/>
  <c r="AH321" i="34" s="1"/>
  <c r="AD125" i="34"/>
  <c r="AI124" i="34"/>
  <c r="AF126" i="34"/>
  <c r="AL125" i="34"/>
  <c r="AD50" i="34"/>
  <c r="AI49" i="34"/>
  <c r="AL276" i="34"/>
  <c r="AL450" i="34" s="1"/>
  <c r="AD325" i="34" s="1"/>
  <c r="AH323" i="34" s="1"/>
  <c r="AL463" i="34"/>
  <c r="AK225" i="34"/>
  <c r="AD226" i="34"/>
  <c r="AI377" i="34" s="1"/>
  <c r="AD26" i="34"/>
  <c r="AK25" i="34"/>
  <c r="AL461" i="34"/>
  <c r="AL226" i="34"/>
  <c r="AL448" i="34" s="1"/>
  <c r="AD323" i="34" s="1"/>
  <c r="AL456" i="34"/>
  <c r="AL101" i="34"/>
  <c r="AL443" i="34" s="1"/>
  <c r="AD319" i="34" s="1"/>
  <c r="AH318" i="34" s="1"/>
  <c r="AK150" i="34"/>
  <c r="AD151" i="34"/>
  <c r="AD101" i="34"/>
  <c r="AI372" i="34" s="1"/>
  <c r="AK100" i="34"/>
  <c r="AK200" i="34"/>
  <c r="AD201" i="34"/>
  <c r="AI376" i="34" s="1"/>
  <c r="AL462" i="34"/>
  <c r="AL251" i="34"/>
  <c r="AL449" i="34" s="1"/>
  <c r="AD324" i="34" s="1"/>
  <c r="AH322" i="34" s="1"/>
  <c r="AL458" i="34"/>
  <c r="AL151" i="34"/>
  <c r="AL445" i="34" s="1"/>
  <c r="AL455" i="34"/>
  <c r="AL76" i="34"/>
  <c r="AL442" i="34" s="1"/>
  <c r="AD318" i="34" s="1"/>
  <c r="AD176" i="34"/>
  <c r="AK175" i="34"/>
  <c r="AL459" i="34"/>
  <c r="AL176" i="34"/>
  <c r="AL446" i="34" s="1"/>
  <c r="AD321" i="34" s="1"/>
  <c r="AH320" i="34" s="1"/>
  <c r="AD251" i="34"/>
  <c r="AI378" i="34" s="1"/>
  <c r="AK250" i="34"/>
  <c r="Y276" i="34"/>
  <c r="Y450" i="34" s="1"/>
  <c r="Q325" i="34" s="1"/>
  <c r="U323" i="34" s="1"/>
  <c r="Y463" i="34"/>
  <c r="L276" i="34"/>
  <c r="L450" i="34" s="1"/>
  <c r="D325" i="34" s="1"/>
  <c r="H323" i="34" s="1"/>
  <c r="L463" i="34"/>
  <c r="X76" i="34"/>
  <c r="X442" i="34" s="1"/>
  <c r="X251" i="34"/>
  <c r="X449" i="34" s="1"/>
  <c r="AM373" i="34"/>
  <c r="AM386" i="34"/>
  <c r="AI379" i="34"/>
  <c r="AI392" i="34"/>
  <c r="Y26" i="34"/>
  <c r="Y440" i="34" s="1"/>
  <c r="Q316" i="34" s="1"/>
  <c r="U316" i="34" s="1"/>
  <c r="K76" i="34"/>
  <c r="K442" i="34" s="1"/>
  <c r="K455" i="34"/>
  <c r="Y76" i="34"/>
  <c r="Y442" i="34" s="1"/>
  <c r="Q318" i="34" s="1"/>
  <c r="I392" i="34"/>
  <c r="D276" i="34"/>
  <c r="I379" i="34" s="1"/>
  <c r="K275" i="34"/>
  <c r="L151" i="34"/>
  <c r="L445" i="34" s="1"/>
  <c r="L226" i="34"/>
  <c r="L448" i="34" s="1"/>
  <c r="D323" i="34" s="1"/>
  <c r="L126" i="34"/>
  <c r="L444" i="34" s="1"/>
  <c r="D320" i="34" s="1"/>
  <c r="H319" i="34" s="1"/>
  <c r="L26" i="34"/>
  <c r="AI369" i="34"/>
  <c r="AI382" i="34"/>
  <c r="AI374" i="34"/>
  <c r="AI387" i="34"/>
  <c r="Q201" i="34"/>
  <c r="V376" i="34" s="1"/>
  <c r="V389" i="34"/>
  <c r="X200" i="34"/>
  <c r="X460" i="34" s="1"/>
  <c r="V387" i="34"/>
  <c r="Q151" i="34"/>
  <c r="V374" i="34" s="1"/>
  <c r="X150" i="34"/>
  <c r="X458" i="34" s="1"/>
  <c r="Y201" i="34"/>
  <c r="Y447" i="34" s="1"/>
  <c r="Q322" i="34" s="1"/>
  <c r="U321" i="34" s="1"/>
  <c r="L76" i="34"/>
  <c r="L442" i="34" s="1"/>
  <c r="D318" i="34" s="1"/>
  <c r="Y126" i="34"/>
  <c r="Y444" i="34" s="1"/>
  <c r="Q320" i="34" s="1"/>
  <c r="U319" i="34" s="1"/>
  <c r="Y151" i="34"/>
  <c r="Y445" i="34" s="1"/>
  <c r="Y101" i="34"/>
  <c r="Y443" i="34" s="1"/>
  <c r="Q319" i="34" s="1"/>
  <c r="U318" i="34" s="1"/>
  <c r="V386" i="34"/>
  <c r="Q126" i="34"/>
  <c r="V373" i="34" s="1"/>
  <c r="X125" i="34"/>
  <c r="X457" i="34" s="1"/>
  <c r="AI384" i="34"/>
  <c r="AI375" i="34"/>
  <c r="AI388" i="34"/>
  <c r="V392" i="34"/>
  <c r="X275" i="34"/>
  <c r="Q276" i="34"/>
  <c r="V379" i="34" s="1"/>
  <c r="D151" i="34"/>
  <c r="I374" i="34" s="1"/>
  <c r="K150" i="34"/>
  <c r="I387" i="34"/>
  <c r="V390" i="34"/>
  <c r="Q226" i="34"/>
  <c r="V377" i="34" s="1"/>
  <c r="X225" i="34"/>
  <c r="X461" i="34" s="1"/>
  <c r="AK373" i="34"/>
  <c r="AK386" i="34"/>
  <c r="I391" i="34"/>
  <c r="K250" i="34"/>
  <c r="K462" i="34" s="1"/>
  <c r="D251" i="34"/>
  <c r="I378" i="34" s="1"/>
  <c r="L251" i="34"/>
  <c r="L449" i="34" s="1"/>
  <c r="D324" i="34" s="1"/>
  <c r="H322" i="34" s="1"/>
  <c r="V383" i="34"/>
  <c r="Q51" i="34"/>
  <c r="V370" i="34" s="1"/>
  <c r="X50" i="34"/>
  <c r="X454" i="34" s="1"/>
  <c r="I383" i="34"/>
  <c r="D51" i="34"/>
  <c r="I370" i="34" s="1"/>
  <c r="K50" i="34"/>
  <c r="AI385" i="34"/>
  <c r="AI389" i="34"/>
  <c r="K453" i="34"/>
  <c r="K26" i="34"/>
  <c r="K440" i="34" s="1"/>
  <c r="V385" i="34"/>
  <c r="Q101" i="34"/>
  <c r="V372" i="34" s="1"/>
  <c r="X100" i="34"/>
  <c r="X456" i="34" s="1"/>
  <c r="AL370" i="34"/>
  <c r="AL383" i="34"/>
  <c r="AJ370" i="34"/>
  <c r="AJ383" i="34"/>
  <c r="D226" i="34"/>
  <c r="I377" i="34" s="1"/>
  <c r="K225" i="34"/>
  <c r="K461" i="34" s="1"/>
  <c r="I390" i="34"/>
  <c r="Y251" i="34"/>
  <c r="Y449" i="34" s="1"/>
  <c r="Q324" i="34" s="1"/>
  <c r="U322" i="34" s="1"/>
  <c r="K101" i="34"/>
  <c r="K443" i="34" s="1"/>
  <c r="K456" i="34"/>
  <c r="I386" i="34"/>
  <c r="D126" i="34"/>
  <c r="I373" i="34" s="1"/>
  <c r="K125" i="34"/>
  <c r="X26" i="34"/>
  <c r="X440" i="34" s="1"/>
  <c r="AI390" i="34"/>
  <c r="Y176" i="34"/>
  <c r="Y446" i="34" s="1"/>
  <c r="Q321" i="34" s="1"/>
  <c r="U320" i="34" s="1"/>
  <c r="T26" i="34"/>
  <c r="Y369" i="34" s="1"/>
  <c r="Y382" i="34"/>
  <c r="AM370" i="34"/>
  <c r="AM383" i="34"/>
  <c r="AJ373" i="34"/>
  <c r="AJ386" i="34"/>
  <c r="Q176" i="34"/>
  <c r="V375" i="34" s="1"/>
  <c r="V388" i="34"/>
  <c r="X175" i="34"/>
  <c r="X459" i="34" s="1"/>
  <c r="I388" i="34"/>
  <c r="D176" i="34"/>
  <c r="I375" i="34" s="1"/>
  <c r="K175" i="34"/>
  <c r="K459" i="34" s="1"/>
  <c r="Y226" i="34"/>
  <c r="Y448" i="34" s="1"/>
  <c r="Q323" i="34" s="1"/>
  <c r="L51" i="34"/>
  <c r="L441" i="34" s="1"/>
  <c r="D317" i="34" s="1"/>
  <c r="H317" i="34" s="1"/>
  <c r="Y51" i="34"/>
  <c r="Y441" i="34" s="1"/>
  <c r="Q317" i="34" s="1"/>
  <c r="U317" i="34" s="1"/>
  <c r="AK370" i="34"/>
  <c r="AK383" i="34"/>
  <c r="AL373" i="34"/>
  <c r="AL386" i="34"/>
  <c r="AI391" i="34"/>
  <c r="L176" i="34"/>
  <c r="L446" i="34" s="1"/>
  <c r="D321" i="34" s="1"/>
  <c r="H320" i="34" s="1"/>
  <c r="T76" i="34"/>
  <c r="Y371" i="34" s="1"/>
  <c r="Y384" i="34"/>
  <c r="T251" i="34"/>
  <c r="Y378" i="34" s="1"/>
  <c r="Y391" i="34"/>
  <c r="L101" i="34"/>
  <c r="L443" i="34" s="1"/>
  <c r="D319" i="34" s="1"/>
  <c r="H318" i="34" s="1"/>
  <c r="R305" i="34"/>
  <c r="U305" i="34" s="1"/>
  <c r="R309" i="34"/>
  <c r="U308" i="34" s="1"/>
  <c r="R310" i="34"/>
  <c r="U309" i="34" s="1"/>
  <c r="R308" i="34"/>
  <c r="U307" i="34" s="1"/>
  <c r="AE306" i="34"/>
  <c r="AH306" i="34" s="1"/>
  <c r="AE308" i="34"/>
  <c r="AH307" i="34" s="1"/>
  <c r="AE310" i="34"/>
  <c r="AH309" i="34" s="1"/>
  <c r="R307" i="34"/>
  <c r="R306" i="34"/>
  <c r="U306" i="34" s="1"/>
  <c r="R311" i="34"/>
  <c r="U310" i="34" s="1"/>
  <c r="AE312" i="34"/>
  <c r="AH311" i="34" s="1"/>
  <c r="AE311" i="34"/>
  <c r="AH310" i="34" s="1"/>
  <c r="AE309" i="34"/>
  <c r="AH308" i="34" s="1"/>
  <c r="AE305" i="34"/>
  <c r="AH305" i="34" s="1"/>
  <c r="F582" i="26"/>
  <c r="W206" i="26" s="1"/>
  <c r="W214" i="26" s="1"/>
  <c r="W250" i="26" s="1"/>
  <c r="H551" i="26"/>
  <c r="F496" i="26"/>
  <c r="W177" i="26" s="1"/>
  <c r="W185" i="26" s="1"/>
  <c r="C437" i="26"/>
  <c r="T156" i="26" s="1"/>
  <c r="T164" i="26" s="1"/>
  <c r="G438" i="26"/>
  <c r="X157" i="26" s="1"/>
  <c r="X165" i="26" s="1"/>
  <c r="E437" i="26"/>
  <c r="E350" i="26"/>
  <c r="V126" i="26" s="1"/>
  <c r="V134" i="26" s="1"/>
  <c r="V242" i="26" s="1"/>
  <c r="H317" i="26"/>
  <c r="I317" i="26" s="1"/>
  <c r="H261" i="26"/>
  <c r="D263" i="26"/>
  <c r="U96" i="26" s="1"/>
  <c r="U104" i="26" s="1"/>
  <c r="U239" i="26" s="1"/>
  <c r="F263" i="26"/>
  <c r="W96" i="26" s="1"/>
  <c r="W104" i="26" s="1"/>
  <c r="W239" i="26" s="1"/>
  <c r="G264" i="26"/>
  <c r="X97" i="26" s="1"/>
  <c r="X105" i="26" s="1"/>
  <c r="F235" i="26"/>
  <c r="W87" i="26" s="1"/>
  <c r="W95" i="26" s="1"/>
  <c r="D234" i="26"/>
  <c r="G205" i="26"/>
  <c r="X76" i="26" s="1"/>
  <c r="X84" i="26" s="1"/>
  <c r="X237" i="26" s="1"/>
  <c r="F176" i="26"/>
  <c r="F178" i="26" s="1"/>
  <c r="G177" i="26"/>
  <c r="X67" i="26" s="1"/>
  <c r="X75" i="26" s="1"/>
  <c r="C118" i="26"/>
  <c r="T46" i="26" s="1"/>
  <c r="T54" i="26" s="1"/>
  <c r="D119" i="26"/>
  <c r="U47" i="26" s="1"/>
  <c r="U55" i="26" s="1"/>
  <c r="K87" i="26"/>
  <c r="P87" i="26" s="1"/>
  <c r="W40" i="26"/>
  <c r="E89" i="26"/>
  <c r="E91" i="26" s="1"/>
  <c r="C583" i="26"/>
  <c r="T207" i="26" s="1"/>
  <c r="T215" i="26" s="1"/>
  <c r="D582" i="26"/>
  <c r="U206" i="26" s="1"/>
  <c r="U214" i="26" s="1"/>
  <c r="U250" i="26" s="1"/>
  <c r="E582" i="26"/>
  <c r="V206" i="26" s="1"/>
  <c r="V214" i="26" s="1"/>
  <c r="V250" i="26" s="1"/>
  <c r="G554" i="26"/>
  <c r="X197" i="26" s="1"/>
  <c r="X205" i="26" s="1"/>
  <c r="F554" i="26"/>
  <c r="W197" i="26" s="1"/>
  <c r="W205" i="26" s="1"/>
  <c r="E554" i="26"/>
  <c r="V197" i="26" s="1"/>
  <c r="V205" i="26" s="1"/>
  <c r="V156" i="26"/>
  <c r="V164" i="26" s="1"/>
  <c r="V245" i="26" s="1"/>
  <c r="E439" i="26"/>
  <c r="E441" i="26" s="1"/>
  <c r="C438" i="26"/>
  <c r="T157" i="26" s="1"/>
  <c r="T165" i="26" s="1"/>
  <c r="F438" i="26"/>
  <c r="W157" i="26" s="1"/>
  <c r="W165" i="26" s="1"/>
  <c r="H405" i="26"/>
  <c r="F350" i="26"/>
  <c r="W126" i="26" s="1"/>
  <c r="W134" i="26" s="1"/>
  <c r="W242" i="26" s="1"/>
  <c r="C350" i="26"/>
  <c r="T126" i="26" s="1"/>
  <c r="T134" i="26" s="1"/>
  <c r="H346" i="26"/>
  <c r="H290" i="26"/>
  <c r="I290" i="26" s="1"/>
  <c r="G293" i="26"/>
  <c r="X107" i="26" s="1"/>
  <c r="X115" i="26" s="1"/>
  <c r="H291" i="26"/>
  <c r="H259" i="26"/>
  <c r="I259" i="26" s="1"/>
  <c r="E264" i="26"/>
  <c r="V97" i="26" s="1"/>
  <c r="V105" i="26" s="1"/>
  <c r="F206" i="26"/>
  <c r="W77" i="26" s="1"/>
  <c r="W85" i="26" s="1"/>
  <c r="D206" i="26"/>
  <c r="U77" i="26" s="1"/>
  <c r="U85" i="26" s="1"/>
  <c r="V70" i="26"/>
  <c r="F177" i="26"/>
  <c r="W67" i="26" s="1"/>
  <c r="W75" i="26" s="1"/>
  <c r="E177" i="26"/>
  <c r="V67" i="26" s="1"/>
  <c r="V75" i="26" s="1"/>
  <c r="D176" i="26"/>
  <c r="T285" i="26"/>
  <c r="T286" i="26" s="1"/>
  <c r="H85" i="26"/>
  <c r="T225" i="26"/>
  <c r="T284" i="26"/>
  <c r="G91" i="26"/>
  <c r="G96" i="26" s="1"/>
  <c r="E61" i="26"/>
  <c r="V27" i="26" s="1"/>
  <c r="V35" i="26" s="1"/>
  <c r="G60" i="26"/>
  <c r="X26" i="26" s="1"/>
  <c r="X34" i="26" s="1"/>
  <c r="X232" i="26" s="1"/>
  <c r="C62" i="26"/>
  <c r="C64" i="26" s="1"/>
  <c r="D61" i="26"/>
  <c r="U27" i="26" s="1"/>
  <c r="U35" i="26" s="1"/>
  <c r="F60" i="26"/>
  <c r="W26" i="26" s="1"/>
  <c r="W34" i="26" s="1"/>
  <c r="W232" i="26" s="1"/>
  <c r="E33" i="26"/>
  <c r="E35" i="26" s="1"/>
  <c r="X285" i="26"/>
  <c r="X286" i="26" s="1"/>
  <c r="H31" i="26"/>
  <c r="I32" i="26" s="1"/>
  <c r="AE16" i="26" s="1"/>
  <c r="K289" i="26"/>
  <c r="J289" i="26"/>
  <c r="V111" i="26" s="1"/>
  <c r="V110" i="26"/>
  <c r="P289" i="26"/>
  <c r="G207" i="26"/>
  <c r="U116" i="26"/>
  <c r="U124" i="26" s="1"/>
  <c r="U241" i="26" s="1"/>
  <c r="D323" i="26"/>
  <c r="AS97" i="26"/>
  <c r="AO114" i="26" s="1"/>
  <c r="AO113" i="26"/>
  <c r="AT97" i="26"/>
  <c r="AY97" i="26"/>
  <c r="U196" i="26"/>
  <c r="U204" i="26" s="1"/>
  <c r="U249" i="26" s="1"/>
  <c r="D555" i="26"/>
  <c r="K113" i="26"/>
  <c r="P113" i="26" s="1"/>
  <c r="J113" i="26"/>
  <c r="T51" i="26" s="1"/>
  <c r="T50" i="26"/>
  <c r="K316" i="26"/>
  <c r="P316" i="26" s="1"/>
  <c r="J316" i="26"/>
  <c r="T121" i="26" s="1"/>
  <c r="T120" i="26"/>
  <c r="V116" i="26"/>
  <c r="V124" i="26" s="1"/>
  <c r="V241" i="26" s="1"/>
  <c r="E323" i="26"/>
  <c r="X126" i="26"/>
  <c r="X134" i="26" s="1"/>
  <c r="X242" i="26" s="1"/>
  <c r="G352" i="26"/>
  <c r="K434" i="26"/>
  <c r="P434" i="26" s="1"/>
  <c r="J434" i="26"/>
  <c r="V161" i="26" s="1"/>
  <c r="V160" i="26"/>
  <c r="K349" i="26"/>
  <c r="P349" i="26" s="1"/>
  <c r="J349" i="26"/>
  <c r="X131" i="26" s="1"/>
  <c r="X130" i="26"/>
  <c r="K345" i="26"/>
  <c r="P345" i="26" s="1"/>
  <c r="J345" i="26"/>
  <c r="T131" i="26" s="1"/>
  <c r="T130" i="26"/>
  <c r="W106" i="26"/>
  <c r="W114" i="26" s="1"/>
  <c r="W240" i="26" s="1"/>
  <c r="F294" i="26"/>
  <c r="X116" i="26"/>
  <c r="X124" i="26" s="1"/>
  <c r="X241" i="26" s="1"/>
  <c r="G323" i="26"/>
  <c r="W66" i="26"/>
  <c r="W74" i="26" s="1"/>
  <c r="W236" i="26" s="1"/>
  <c r="T86" i="26"/>
  <c r="T94" i="26" s="1"/>
  <c r="C236" i="26"/>
  <c r="K258" i="26"/>
  <c r="P258" i="26" s="1"/>
  <c r="J258" i="26"/>
  <c r="T101" i="26" s="1"/>
  <c r="T100" i="26"/>
  <c r="K579" i="26"/>
  <c r="P579" i="26" s="1"/>
  <c r="J579" i="26"/>
  <c r="V211" i="26" s="1"/>
  <c r="V210" i="26"/>
  <c r="J27" i="26"/>
  <c r="U21" i="26" s="1"/>
  <c r="U20" i="26"/>
  <c r="K27" i="26"/>
  <c r="P27" i="26" s="1"/>
  <c r="T116" i="26"/>
  <c r="T124" i="26" s="1"/>
  <c r="C323" i="26"/>
  <c r="K290" i="26"/>
  <c r="P290" i="26" s="1"/>
  <c r="J290" i="26"/>
  <c r="W111" i="26" s="1"/>
  <c r="W110" i="26"/>
  <c r="V36" i="26"/>
  <c r="V44" i="26" s="1"/>
  <c r="V233" i="26" s="1"/>
  <c r="K58" i="26"/>
  <c r="J58" i="26"/>
  <c r="W31" i="26" s="1"/>
  <c r="W30" i="26"/>
  <c r="P58" i="26"/>
  <c r="K463" i="26"/>
  <c r="P463" i="26" s="1"/>
  <c r="J463" i="26"/>
  <c r="V171" i="26" s="1"/>
  <c r="V170" i="26"/>
  <c r="J29" i="26"/>
  <c r="W21" i="26" s="1"/>
  <c r="K29" i="26"/>
  <c r="P29" i="26" s="1"/>
  <c r="W20" i="26"/>
  <c r="K522" i="26"/>
  <c r="P522" i="26" s="1"/>
  <c r="J522" i="26"/>
  <c r="W191" i="26" s="1"/>
  <c r="W190" i="26"/>
  <c r="K523" i="26"/>
  <c r="P523" i="26" s="1"/>
  <c r="J523" i="26"/>
  <c r="X191" i="26" s="1"/>
  <c r="X190" i="26"/>
  <c r="U156" i="26"/>
  <c r="U164" i="26" s="1"/>
  <c r="U245" i="26" s="1"/>
  <c r="D439" i="26"/>
  <c r="H202" i="26"/>
  <c r="E352" i="26"/>
  <c r="X16" i="26"/>
  <c r="G33" i="26"/>
  <c r="H404" i="26"/>
  <c r="I404" i="26" s="1"/>
  <c r="D120" i="26"/>
  <c r="D292" i="26"/>
  <c r="U106" i="26" s="1"/>
  <c r="U114" i="26" s="1"/>
  <c r="U240" i="26" s="1"/>
  <c r="F555" i="26"/>
  <c r="I551" i="26"/>
  <c r="I405" i="26"/>
  <c r="D90" i="26"/>
  <c r="U37" i="26" s="1"/>
  <c r="U45" i="26" s="1"/>
  <c r="D524" i="26"/>
  <c r="U186" i="26" s="1"/>
  <c r="U194" i="26" s="1"/>
  <c r="U248" i="26" s="1"/>
  <c r="D525" i="26"/>
  <c r="U187" i="26" s="1"/>
  <c r="U195" i="26" s="1"/>
  <c r="H521" i="26"/>
  <c r="C33" i="26"/>
  <c r="AO99" i="26"/>
  <c r="AO110" i="26"/>
  <c r="K86" i="26"/>
  <c r="V40" i="26"/>
  <c r="J86" i="26"/>
  <c r="V41" i="26" s="1"/>
  <c r="P86" i="26"/>
  <c r="D322" i="26"/>
  <c r="U117" i="26" s="1"/>
  <c r="U125" i="26" s="1"/>
  <c r="F264" i="26"/>
  <c r="W97" i="26" s="1"/>
  <c r="W105" i="26" s="1"/>
  <c r="K580" i="26"/>
  <c r="P580" i="26" s="1"/>
  <c r="J580" i="26"/>
  <c r="W211" i="26" s="1"/>
  <c r="W210" i="26"/>
  <c r="E205" i="26"/>
  <c r="V76" i="26" s="1"/>
  <c r="V84" i="26" s="1"/>
  <c r="V237" i="26" s="1"/>
  <c r="F352" i="26"/>
  <c r="E379" i="26"/>
  <c r="V136" i="26" s="1"/>
  <c r="V144" i="26" s="1"/>
  <c r="V243" i="26" s="1"/>
  <c r="E380" i="26"/>
  <c r="V137" i="26" s="1"/>
  <c r="V145" i="26" s="1"/>
  <c r="D554" i="26"/>
  <c r="U197" i="26" s="1"/>
  <c r="U205" i="26" s="1"/>
  <c r="G408" i="26"/>
  <c r="G409" i="26"/>
  <c r="X147" i="26" s="1"/>
  <c r="X155" i="26" s="1"/>
  <c r="H578" i="26"/>
  <c r="I578" i="26" s="1"/>
  <c r="F293" i="26"/>
  <c r="W107" i="26" s="1"/>
  <c r="W115" i="26" s="1"/>
  <c r="E322" i="26"/>
  <c r="V117" i="26" s="1"/>
  <c r="V125" i="26" s="1"/>
  <c r="I202" i="26"/>
  <c r="W225" i="26"/>
  <c r="W285" i="26"/>
  <c r="W286" i="26" s="1"/>
  <c r="W284" i="26"/>
  <c r="V24" i="26"/>
  <c r="K406" i="26"/>
  <c r="P406" i="26" s="1"/>
  <c r="J406" i="26"/>
  <c r="W151" i="26" s="1"/>
  <c r="W150" i="26"/>
  <c r="C524" i="26"/>
  <c r="T186" i="26" s="1"/>
  <c r="T194" i="26" s="1"/>
  <c r="H519" i="26"/>
  <c r="I519" i="26"/>
  <c r="C525" i="26"/>
  <c r="T187" i="26" s="1"/>
  <c r="T195" i="26" s="1"/>
  <c r="I26" i="26"/>
  <c r="AN110" i="26"/>
  <c r="AN99" i="26"/>
  <c r="AN109" i="26" s="1"/>
  <c r="AN117" i="26" s="1"/>
  <c r="J377" i="26"/>
  <c r="W141" i="26" s="1"/>
  <c r="K377" i="26"/>
  <c r="P377" i="26" s="1"/>
  <c r="W140" i="26"/>
  <c r="F495" i="26"/>
  <c r="U25" i="26"/>
  <c r="G236" i="26"/>
  <c r="C553" i="26"/>
  <c r="J378" i="26"/>
  <c r="X141" i="26" s="1"/>
  <c r="K378" i="26"/>
  <c r="P378" i="26" s="1"/>
  <c r="X140" i="26"/>
  <c r="F408" i="26"/>
  <c r="F409" i="26"/>
  <c r="W147" i="26" s="1"/>
  <c r="W155" i="26" s="1"/>
  <c r="E206" i="26"/>
  <c r="V77" i="26" s="1"/>
  <c r="V85" i="26" s="1"/>
  <c r="D265" i="26"/>
  <c r="D33" i="26"/>
  <c r="H115" i="26"/>
  <c r="I115" i="26" s="1"/>
  <c r="C119" i="26"/>
  <c r="T47" i="26" s="1"/>
  <c r="T55" i="26" s="1"/>
  <c r="J231" i="26"/>
  <c r="V91" i="26" s="1"/>
  <c r="K231" i="26"/>
  <c r="P231" i="26" s="1"/>
  <c r="V90" i="26"/>
  <c r="J174" i="26"/>
  <c r="W71" i="26" s="1"/>
  <c r="K174" i="26"/>
  <c r="P174" i="26" s="1"/>
  <c r="W70" i="26"/>
  <c r="V66" i="26"/>
  <c r="V74" i="26" s="1"/>
  <c r="V236" i="26" s="1"/>
  <c r="E178" i="26"/>
  <c r="H403" i="26"/>
  <c r="I403" i="26" s="1"/>
  <c r="C408" i="26"/>
  <c r="T146" i="26" s="1"/>
  <c r="T154" i="26" s="1"/>
  <c r="C409" i="26"/>
  <c r="T147" i="26" s="1"/>
  <c r="T155" i="26" s="1"/>
  <c r="F89" i="26"/>
  <c r="K493" i="26"/>
  <c r="P493" i="26" s="1"/>
  <c r="J493" i="26"/>
  <c r="W181" i="26" s="1"/>
  <c r="W180" i="26"/>
  <c r="F524" i="26"/>
  <c r="F525" i="26"/>
  <c r="W187" i="26" s="1"/>
  <c r="W195" i="26" s="1"/>
  <c r="T25" i="26"/>
  <c r="AP99" i="26"/>
  <c r="AP110" i="26"/>
  <c r="G120" i="26"/>
  <c r="E60" i="26"/>
  <c r="V26" i="26" s="1"/>
  <c r="V34" i="26" s="1"/>
  <c r="V232" i="26" s="1"/>
  <c r="H56" i="26"/>
  <c r="I56" i="26" s="1"/>
  <c r="D352" i="26"/>
  <c r="I346" i="26"/>
  <c r="E408" i="26"/>
  <c r="V146" i="26" s="1"/>
  <c r="V154" i="26" s="1"/>
  <c r="V244" i="26" s="1"/>
  <c r="E409" i="26"/>
  <c r="V147" i="26" s="1"/>
  <c r="V155" i="26" s="1"/>
  <c r="C147" i="26"/>
  <c r="T56" i="26" s="1"/>
  <c r="T64" i="26" s="1"/>
  <c r="H142" i="26"/>
  <c r="C148" i="26"/>
  <c r="T57" i="26" s="1"/>
  <c r="T65" i="26" s="1"/>
  <c r="F61" i="26"/>
  <c r="W27" i="26" s="1"/>
  <c r="W35" i="26" s="1"/>
  <c r="C263" i="26"/>
  <c r="H436" i="26"/>
  <c r="I436" i="26" s="1"/>
  <c r="F583" i="26"/>
  <c r="W207" i="26" s="1"/>
  <c r="W215" i="26" s="1"/>
  <c r="V158" i="26"/>
  <c r="F265" i="26"/>
  <c r="I261" i="26"/>
  <c r="H319" i="26"/>
  <c r="H321" i="26" s="1"/>
  <c r="I322" i="26" s="1"/>
  <c r="AE26" i="26" s="1"/>
  <c r="E524" i="26"/>
  <c r="V186" i="26" s="1"/>
  <c r="V194" i="26" s="1"/>
  <c r="V248" i="26" s="1"/>
  <c r="E525" i="26"/>
  <c r="V187" i="26" s="1"/>
  <c r="V195" i="26" s="1"/>
  <c r="I521" i="26"/>
  <c r="T24" i="26"/>
  <c r="T234" i="26"/>
  <c r="E263" i="26"/>
  <c r="V96" i="26" s="1"/>
  <c r="V104" i="26" s="1"/>
  <c r="V239" i="26" s="1"/>
  <c r="C176" i="26"/>
  <c r="AQ95" i="26"/>
  <c r="AR95" i="26" s="1"/>
  <c r="K548" i="26"/>
  <c r="P548" i="26" s="1"/>
  <c r="J548" i="26"/>
  <c r="T201" i="26" s="1"/>
  <c r="T200" i="26"/>
  <c r="AQ96" i="26"/>
  <c r="AR96" i="26" s="1"/>
  <c r="E553" i="26"/>
  <c r="D147" i="26"/>
  <c r="D148" i="26"/>
  <c r="U57" i="26" s="1"/>
  <c r="U65" i="26" s="1"/>
  <c r="G206" i="26"/>
  <c r="X77" i="26" s="1"/>
  <c r="X85" i="26" s="1"/>
  <c r="E118" i="26"/>
  <c r="V46" i="26" s="1"/>
  <c r="V54" i="26" s="1"/>
  <c r="V234" i="26" s="1"/>
  <c r="E119" i="26"/>
  <c r="V47" i="26" s="1"/>
  <c r="V55" i="26" s="1"/>
  <c r="E234" i="26"/>
  <c r="G524" i="26"/>
  <c r="G525" i="26"/>
  <c r="X187" i="26" s="1"/>
  <c r="X195" i="26" s="1"/>
  <c r="C554" i="26"/>
  <c r="T197" i="26" s="1"/>
  <c r="T205" i="26" s="1"/>
  <c r="H144" i="26"/>
  <c r="I144" i="26" s="1"/>
  <c r="G439" i="26"/>
  <c r="C91" i="26"/>
  <c r="C582" i="26"/>
  <c r="T206" i="26" s="1"/>
  <c r="T214" i="26" s="1"/>
  <c r="H577" i="26"/>
  <c r="K28" i="26"/>
  <c r="P28" i="26" s="1"/>
  <c r="J28" i="26"/>
  <c r="V21" i="26" s="1"/>
  <c r="V20" i="26"/>
  <c r="C439" i="26"/>
  <c r="G466" i="26"/>
  <c r="G467" i="26"/>
  <c r="X167" i="26" s="1"/>
  <c r="X175" i="26" s="1"/>
  <c r="C120" i="26"/>
  <c r="G351" i="26"/>
  <c r="X127" i="26" s="1"/>
  <c r="X135" i="26" s="1"/>
  <c r="D264" i="26"/>
  <c r="U97" i="26" s="1"/>
  <c r="U105" i="26" s="1"/>
  <c r="C497" i="26"/>
  <c r="I175" i="26"/>
  <c r="G178" i="26"/>
  <c r="I291" i="26"/>
  <c r="G147" i="26"/>
  <c r="G148" i="26"/>
  <c r="X57" i="26" s="1"/>
  <c r="X65" i="26" s="1"/>
  <c r="H581" i="26"/>
  <c r="I581" i="26" s="1"/>
  <c r="C322" i="26"/>
  <c r="T117" i="26" s="1"/>
  <c r="T125" i="26" s="1"/>
  <c r="T242" i="26"/>
  <c r="T233" i="26"/>
  <c r="G582" i="26"/>
  <c r="X206" i="26" s="1"/>
  <c r="X214" i="26" s="1"/>
  <c r="X250" i="26" s="1"/>
  <c r="H88" i="26"/>
  <c r="I88" i="26" s="1"/>
  <c r="T245" i="26"/>
  <c r="U24" i="26"/>
  <c r="J232" i="26"/>
  <c r="W91" i="26" s="1"/>
  <c r="K232" i="26"/>
  <c r="P232" i="26" s="1"/>
  <c r="W90" i="26"/>
  <c r="H461" i="26"/>
  <c r="C466" i="26"/>
  <c r="T166" i="26" s="1"/>
  <c r="T174" i="26" s="1"/>
  <c r="C467" i="26"/>
  <c r="T167" i="26" s="1"/>
  <c r="T175" i="26" s="1"/>
  <c r="J30" i="26"/>
  <c r="X21" i="26" s="1"/>
  <c r="K30" i="26"/>
  <c r="P30" i="26" s="1"/>
  <c r="X20" i="26"/>
  <c r="K490" i="26"/>
  <c r="P490" i="26" s="1"/>
  <c r="J490" i="26"/>
  <c r="T181" i="26" s="1"/>
  <c r="T180" i="26"/>
  <c r="K465" i="26"/>
  <c r="P465" i="26" s="1"/>
  <c r="J465" i="26"/>
  <c r="X171" i="26" s="1"/>
  <c r="X170" i="26"/>
  <c r="H55" i="26"/>
  <c r="I435" i="26"/>
  <c r="F321" i="26"/>
  <c r="W116" i="26" s="1"/>
  <c r="W124" i="26" s="1"/>
  <c r="W241" i="26" s="1"/>
  <c r="E147" i="26"/>
  <c r="V56" i="26" s="1"/>
  <c r="V64" i="26" s="1"/>
  <c r="V235" i="26" s="1"/>
  <c r="E148" i="26"/>
  <c r="V57" i="26" s="1"/>
  <c r="V65" i="26" s="1"/>
  <c r="E497" i="26"/>
  <c r="E496" i="26"/>
  <c r="V177" i="26" s="1"/>
  <c r="V185" i="26" s="1"/>
  <c r="K550" i="26"/>
  <c r="P550" i="26" s="1"/>
  <c r="J550" i="26"/>
  <c r="V201" i="26" s="1"/>
  <c r="V200" i="26"/>
  <c r="E149" i="26"/>
  <c r="E583" i="26"/>
  <c r="V207" i="26" s="1"/>
  <c r="V215" i="26" s="1"/>
  <c r="T232" i="26"/>
  <c r="C90" i="26"/>
  <c r="T37" i="26" s="1"/>
  <c r="T45" i="26" s="1"/>
  <c r="K320" i="26"/>
  <c r="P320" i="26" s="1"/>
  <c r="J320" i="26"/>
  <c r="X121" i="26" s="1"/>
  <c r="X120" i="26"/>
  <c r="K287" i="26"/>
  <c r="P287" i="26" s="1"/>
  <c r="J287" i="26"/>
  <c r="T111" i="26" s="1"/>
  <c r="T110" i="26"/>
  <c r="D466" i="26"/>
  <c r="U166" i="26" s="1"/>
  <c r="U174" i="26" s="1"/>
  <c r="U246" i="26" s="1"/>
  <c r="D467" i="26"/>
  <c r="U167" i="26" s="1"/>
  <c r="U175" i="26" s="1"/>
  <c r="E90" i="26"/>
  <c r="V37" i="26" s="1"/>
  <c r="V45" i="26" s="1"/>
  <c r="G263" i="26"/>
  <c r="X96" i="26" s="1"/>
  <c r="X104" i="26" s="1"/>
  <c r="X239" i="26" s="1"/>
  <c r="T247" i="26"/>
  <c r="D438" i="26"/>
  <c r="U157" i="26" s="1"/>
  <c r="U165" i="26" s="1"/>
  <c r="H435" i="26"/>
  <c r="H117" i="26"/>
  <c r="H118" i="26" s="1"/>
  <c r="I119" i="26" s="1"/>
  <c r="AE19" i="26" s="1"/>
  <c r="H57" i="26"/>
  <c r="I57" i="26" s="1"/>
  <c r="F147" i="26"/>
  <c r="W56" i="26" s="1"/>
  <c r="W64" i="26" s="1"/>
  <c r="W235" i="26" s="1"/>
  <c r="F148" i="26"/>
  <c r="W57" i="26" s="1"/>
  <c r="W65" i="26" s="1"/>
  <c r="G495" i="26"/>
  <c r="X176" i="26" s="1"/>
  <c r="X184" i="26" s="1"/>
  <c r="X247" i="26" s="1"/>
  <c r="G496" i="26"/>
  <c r="X177" i="26" s="1"/>
  <c r="X185" i="26" s="1"/>
  <c r="C235" i="26"/>
  <c r="T87" i="26" s="1"/>
  <c r="T95" i="26" s="1"/>
  <c r="H288" i="26"/>
  <c r="H292" i="26" s="1"/>
  <c r="I293" i="26" s="1"/>
  <c r="AE25" i="26" s="1"/>
  <c r="H376" i="26"/>
  <c r="I376" i="26" s="1"/>
  <c r="J432" i="26"/>
  <c r="T161" i="26" s="1"/>
  <c r="K432" i="26"/>
  <c r="P432" i="26" s="1"/>
  <c r="T160" i="26"/>
  <c r="C292" i="26"/>
  <c r="E466" i="26"/>
  <c r="E467" i="26"/>
  <c r="V167" i="26" s="1"/>
  <c r="V175" i="26" s="1"/>
  <c r="AT98" i="26"/>
  <c r="AY98" i="26" s="1"/>
  <c r="AS98" i="26"/>
  <c r="AP114" i="26" s="1"/>
  <c r="AP113" i="26"/>
  <c r="G265" i="26"/>
  <c r="F379" i="26"/>
  <c r="F380" i="26"/>
  <c r="W137" i="26" s="1"/>
  <c r="W145" i="26" s="1"/>
  <c r="X225" i="26"/>
  <c r="D497" i="26"/>
  <c r="U176" i="26"/>
  <c r="U184" i="26" s="1"/>
  <c r="U247" i="26" s="1"/>
  <c r="C205" i="26"/>
  <c r="T76" i="26" s="1"/>
  <c r="T84" i="26" s="1"/>
  <c r="I200" i="26"/>
  <c r="H200" i="26"/>
  <c r="H492" i="26"/>
  <c r="H495" i="26" s="1"/>
  <c r="I496" i="26" s="1"/>
  <c r="AE32" i="26" s="1"/>
  <c r="D60" i="26"/>
  <c r="U26" i="26" s="1"/>
  <c r="U34" i="26" s="1"/>
  <c r="U232" i="26" s="1"/>
  <c r="K549" i="26"/>
  <c r="J549" i="26"/>
  <c r="U201" i="26" s="1"/>
  <c r="U200" i="26"/>
  <c r="P549" i="26"/>
  <c r="J114" i="26"/>
  <c r="U51" i="26" s="1"/>
  <c r="U50" i="26"/>
  <c r="P114" i="26"/>
  <c r="K114" i="26"/>
  <c r="W25" i="26"/>
  <c r="G583" i="26"/>
  <c r="X207" i="26" s="1"/>
  <c r="X215" i="26" s="1"/>
  <c r="T40" i="26"/>
  <c r="J84" i="26"/>
  <c r="T41" i="26" s="1"/>
  <c r="K84" i="26"/>
  <c r="P84" i="26" s="1"/>
  <c r="D294" i="26"/>
  <c r="I288" i="26"/>
  <c r="H201" i="26"/>
  <c r="I201" i="26" s="1"/>
  <c r="J230" i="26"/>
  <c r="U91" i="26" s="1"/>
  <c r="K230" i="26"/>
  <c r="P230" i="26" s="1"/>
  <c r="U90" i="26"/>
  <c r="H176" i="26"/>
  <c r="I177" i="26" s="1"/>
  <c r="AE21" i="26" s="1"/>
  <c r="I171" i="26"/>
  <c r="F466" i="26"/>
  <c r="F467" i="26"/>
  <c r="W167" i="26" s="1"/>
  <c r="W175" i="26" s="1"/>
  <c r="H262" i="26"/>
  <c r="I262" i="26" s="1"/>
  <c r="C264" i="26"/>
  <c r="T97" i="26" s="1"/>
  <c r="T105" i="26" s="1"/>
  <c r="K172" i="26"/>
  <c r="P172" i="26" s="1"/>
  <c r="J172" i="26"/>
  <c r="U71" i="26" s="1"/>
  <c r="U70" i="26"/>
  <c r="H348" i="26"/>
  <c r="H350" i="26" s="1"/>
  <c r="I351" i="26" s="1"/>
  <c r="AE27" i="26" s="1"/>
  <c r="G379" i="26"/>
  <c r="G380" i="26"/>
  <c r="X137" i="26" s="1"/>
  <c r="X145" i="26" s="1"/>
  <c r="K464" i="26"/>
  <c r="P464" i="26" s="1"/>
  <c r="J464" i="26"/>
  <c r="W171" i="26" s="1"/>
  <c r="W170" i="26"/>
  <c r="X284" i="26"/>
  <c r="F205" i="26"/>
  <c r="W76" i="26" s="1"/>
  <c r="W84" i="26" s="1"/>
  <c r="W237" i="26" s="1"/>
  <c r="H260" i="26"/>
  <c r="H494" i="26"/>
  <c r="I494" i="26" s="1"/>
  <c r="C61" i="26"/>
  <c r="T27" i="26" s="1"/>
  <c r="T35" i="26" s="1"/>
  <c r="H520" i="26"/>
  <c r="I520" i="26" s="1"/>
  <c r="G119" i="26"/>
  <c r="X47" i="26" s="1"/>
  <c r="X55" i="26" s="1"/>
  <c r="AM110" i="26"/>
  <c r="AM99" i="26"/>
  <c r="I85" i="26"/>
  <c r="W24" i="26"/>
  <c r="H462" i="26"/>
  <c r="I462" i="26" s="1"/>
  <c r="U225" i="26"/>
  <c r="U285" i="26"/>
  <c r="U286" i="26" s="1"/>
  <c r="U284" i="26"/>
  <c r="H145" i="26"/>
  <c r="I145" i="26" s="1"/>
  <c r="G322" i="26"/>
  <c r="X117" i="26" s="1"/>
  <c r="X125" i="26" s="1"/>
  <c r="H552" i="26"/>
  <c r="H553" i="26" s="1"/>
  <c r="I554" i="26" s="1"/>
  <c r="AE34" i="26" s="1"/>
  <c r="H374" i="26"/>
  <c r="H379" i="26" s="1"/>
  <c r="I380" i="26" s="1"/>
  <c r="AE28" i="26" s="1"/>
  <c r="C379" i="26"/>
  <c r="T136" i="26" s="1"/>
  <c r="T144" i="26" s="1"/>
  <c r="C380" i="26"/>
  <c r="T137" i="26" s="1"/>
  <c r="T145" i="26" s="1"/>
  <c r="D205" i="26"/>
  <c r="K375" i="26"/>
  <c r="P375" i="26" s="1"/>
  <c r="J375" i="26"/>
  <c r="U141" i="26" s="1"/>
  <c r="U140" i="26"/>
  <c r="C177" i="26"/>
  <c r="T67" i="26" s="1"/>
  <c r="T75" i="26" s="1"/>
  <c r="F33" i="26"/>
  <c r="G61" i="26"/>
  <c r="X27" i="26" s="1"/>
  <c r="X35" i="26" s="1"/>
  <c r="J229" i="26"/>
  <c r="T91" i="26" s="1"/>
  <c r="K229" i="26"/>
  <c r="P229" i="26" s="1"/>
  <c r="T90" i="26"/>
  <c r="J59" i="26"/>
  <c r="X31" i="26" s="1"/>
  <c r="X30" i="26"/>
  <c r="K59" i="26"/>
  <c r="P59" i="26" s="1"/>
  <c r="K347" i="26"/>
  <c r="J347" i="26"/>
  <c r="V131" i="26" s="1"/>
  <c r="V130" i="26"/>
  <c r="P347" i="26"/>
  <c r="X25" i="26"/>
  <c r="E292" i="26"/>
  <c r="F322" i="26"/>
  <c r="W117" i="26" s="1"/>
  <c r="W125" i="26" s="1"/>
  <c r="K433" i="26"/>
  <c r="P433" i="26" s="1"/>
  <c r="J433" i="26"/>
  <c r="U161" i="26" s="1"/>
  <c r="U160" i="26"/>
  <c r="J116" i="26"/>
  <c r="W51" i="26" s="1"/>
  <c r="K116" i="26"/>
  <c r="P116" i="26" s="1"/>
  <c r="W50" i="26"/>
  <c r="D89" i="26"/>
  <c r="U36" i="26" s="1"/>
  <c r="U44" i="26" s="1"/>
  <c r="U233" i="26" s="1"/>
  <c r="F437" i="26"/>
  <c r="W156" i="26" s="1"/>
  <c r="W164" i="26" s="1"/>
  <c r="W245" i="26" s="1"/>
  <c r="K318" i="26"/>
  <c r="P318" i="26" s="1"/>
  <c r="J318" i="26"/>
  <c r="V121" i="26" s="1"/>
  <c r="V120" i="26"/>
  <c r="AL99" i="26"/>
  <c r="AL109" i="26" s="1"/>
  <c r="AL117" i="26" s="1"/>
  <c r="AQ94" i="26"/>
  <c r="AL110" i="26"/>
  <c r="F118" i="26"/>
  <c r="H203" i="26"/>
  <c r="I203" i="26" s="1"/>
  <c r="G555" i="26"/>
  <c r="K204" i="26"/>
  <c r="P204" i="26" s="1"/>
  <c r="J204" i="26"/>
  <c r="X81" i="26" s="1"/>
  <c r="X80" i="26"/>
  <c r="H233" i="26"/>
  <c r="H234" i="26" s="1"/>
  <c r="I235" i="26" s="1"/>
  <c r="AE23" i="26" s="1"/>
  <c r="D379" i="26"/>
  <c r="D380" i="26"/>
  <c r="U137" i="26" s="1"/>
  <c r="U145" i="26" s="1"/>
  <c r="D408" i="26"/>
  <c r="U146" i="26" s="1"/>
  <c r="U154" i="26" s="1"/>
  <c r="U244" i="26" s="1"/>
  <c r="D409" i="26"/>
  <c r="U147" i="26" s="1"/>
  <c r="U155" i="26" s="1"/>
  <c r="V225" i="26"/>
  <c r="C206" i="26"/>
  <c r="T77" i="26" s="1"/>
  <c r="T85" i="26" s="1"/>
  <c r="G292" i="26"/>
  <c r="X106" i="26" s="1"/>
  <c r="X114" i="26" s="1"/>
  <c r="X240" i="26" s="1"/>
  <c r="F234" i="26"/>
  <c r="D293" i="26"/>
  <c r="U107" i="26" s="1"/>
  <c r="U115" i="26" s="1"/>
  <c r="C293" i="26"/>
  <c r="T107" i="26" s="1"/>
  <c r="T115" i="26" s="1"/>
  <c r="AP110" i="25"/>
  <c r="AL110" i="25"/>
  <c r="AM110" i="25"/>
  <c r="G582" i="25"/>
  <c r="G584" i="25" s="1"/>
  <c r="K548" i="25"/>
  <c r="P548" i="25" s="1"/>
  <c r="F554" i="25"/>
  <c r="W197" i="25" s="1"/>
  <c r="W205" i="25" s="1"/>
  <c r="G524" i="25"/>
  <c r="X186" i="25" s="1"/>
  <c r="X194" i="25" s="1"/>
  <c r="X248" i="25" s="1"/>
  <c r="G468" i="25"/>
  <c r="G470" i="25" s="1"/>
  <c r="D438" i="25"/>
  <c r="U157" i="25" s="1"/>
  <c r="U165" i="25" s="1"/>
  <c r="G408" i="25"/>
  <c r="X146" i="25" s="1"/>
  <c r="X154" i="25" s="1"/>
  <c r="X244" i="25" s="1"/>
  <c r="C409" i="25"/>
  <c r="T147" i="25" s="1"/>
  <c r="T155" i="25" s="1"/>
  <c r="C351" i="25"/>
  <c r="T127" i="25" s="1"/>
  <c r="T135" i="25" s="1"/>
  <c r="G351" i="25"/>
  <c r="X127" i="25" s="1"/>
  <c r="X135" i="25" s="1"/>
  <c r="C322" i="25"/>
  <c r="T117" i="25" s="1"/>
  <c r="T125" i="25" s="1"/>
  <c r="E321" i="25"/>
  <c r="V116" i="25" s="1"/>
  <c r="V124" i="25" s="1"/>
  <c r="V241" i="25" s="1"/>
  <c r="D265" i="25"/>
  <c r="H258" i="25"/>
  <c r="H259" i="25"/>
  <c r="I259" i="25" s="1"/>
  <c r="U100" i="25" s="1"/>
  <c r="H231" i="25"/>
  <c r="E234" i="25"/>
  <c r="V86" i="25" s="1"/>
  <c r="V94" i="25" s="1"/>
  <c r="V238" i="25" s="1"/>
  <c r="H172" i="25"/>
  <c r="I172" i="25" s="1"/>
  <c r="F119" i="25"/>
  <c r="W47" i="25" s="1"/>
  <c r="W55" i="25" s="1"/>
  <c r="G60" i="25"/>
  <c r="X26" i="25" s="1"/>
  <c r="X34" i="25" s="1"/>
  <c r="X232" i="25" s="1"/>
  <c r="G31" i="25"/>
  <c r="X16" i="25" s="1"/>
  <c r="X24" i="25" s="1"/>
  <c r="E31" i="25"/>
  <c r="V16" i="25" s="1"/>
  <c r="V24" i="25" s="1"/>
  <c r="F31" i="25"/>
  <c r="W16" i="25" s="1"/>
  <c r="W24" i="25" s="1"/>
  <c r="F553" i="25"/>
  <c r="C525" i="25"/>
  <c r="T187" i="25" s="1"/>
  <c r="T195" i="25" s="1"/>
  <c r="H523" i="25"/>
  <c r="I523" i="25" s="1"/>
  <c r="K523" i="25" s="1"/>
  <c r="P523" i="25" s="1"/>
  <c r="H521" i="25"/>
  <c r="I521" i="25" s="1"/>
  <c r="G496" i="25"/>
  <c r="X177" i="25" s="1"/>
  <c r="X185" i="25" s="1"/>
  <c r="D495" i="25"/>
  <c r="U176" i="25" s="1"/>
  <c r="U184" i="25" s="1"/>
  <c r="U247" i="25" s="1"/>
  <c r="E495" i="25"/>
  <c r="V176" i="25" s="1"/>
  <c r="V184" i="25" s="1"/>
  <c r="V247" i="25" s="1"/>
  <c r="F495" i="25"/>
  <c r="W176" i="25" s="1"/>
  <c r="W184" i="25" s="1"/>
  <c r="W247" i="25" s="1"/>
  <c r="F439" i="25"/>
  <c r="W158" i="25" s="1"/>
  <c r="D437" i="25"/>
  <c r="U156" i="25" s="1"/>
  <c r="U164" i="25" s="1"/>
  <c r="U245" i="25" s="1"/>
  <c r="H436" i="25"/>
  <c r="I436" i="25" s="1"/>
  <c r="D408" i="25"/>
  <c r="U146" i="25" s="1"/>
  <c r="U154" i="25" s="1"/>
  <c r="U244" i="25" s="1"/>
  <c r="F408" i="25"/>
  <c r="W146" i="25" s="1"/>
  <c r="W154" i="25" s="1"/>
  <c r="W244" i="25" s="1"/>
  <c r="E409" i="25"/>
  <c r="V147" i="25" s="1"/>
  <c r="V155" i="25" s="1"/>
  <c r="H407" i="25"/>
  <c r="I407" i="25" s="1"/>
  <c r="J407" i="25" s="1"/>
  <c r="X151" i="25" s="1"/>
  <c r="G380" i="25"/>
  <c r="X137" i="25" s="1"/>
  <c r="X145" i="25" s="1"/>
  <c r="F379" i="25"/>
  <c r="W136" i="25" s="1"/>
  <c r="W144" i="25" s="1"/>
  <c r="W243" i="25" s="1"/>
  <c r="F351" i="25"/>
  <c r="W127" i="25" s="1"/>
  <c r="W135" i="25" s="1"/>
  <c r="D351" i="25"/>
  <c r="U127" i="25" s="1"/>
  <c r="U135" i="25" s="1"/>
  <c r="E351" i="25"/>
  <c r="V127" i="25" s="1"/>
  <c r="V135" i="25" s="1"/>
  <c r="E322" i="25"/>
  <c r="V117" i="25" s="1"/>
  <c r="V125" i="25" s="1"/>
  <c r="F321" i="25"/>
  <c r="W116" i="25" s="1"/>
  <c r="W124" i="25" s="1"/>
  <c r="W241" i="25" s="1"/>
  <c r="G322" i="25"/>
  <c r="X117" i="25" s="1"/>
  <c r="X125" i="25" s="1"/>
  <c r="H320" i="25"/>
  <c r="I320" i="25" s="1"/>
  <c r="F294" i="25"/>
  <c r="F296" i="25" s="1"/>
  <c r="E294" i="25"/>
  <c r="G294" i="25"/>
  <c r="G299" i="25" s="1"/>
  <c r="C265" i="25"/>
  <c r="C270" i="25" s="1"/>
  <c r="E265" i="25"/>
  <c r="E267" i="25" s="1"/>
  <c r="F235" i="25"/>
  <c r="W87" i="25" s="1"/>
  <c r="W95" i="25" s="1"/>
  <c r="F206" i="25"/>
  <c r="W77" i="25" s="1"/>
  <c r="W85" i="25" s="1"/>
  <c r="G205" i="25"/>
  <c r="X76" i="25" s="1"/>
  <c r="X84" i="25" s="1"/>
  <c r="X237" i="25" s="1"/>
  <c r="E119" i="25"/>
  <c r="V47" i="25" s="1"/>
  <c r="V55" i="25" s="1"/>
  <c r="D119" i="25"/>
  <c r="U47" i="25" s="1"/>
  <c r="U55" i="25" s="1"/>
  <c r="H86" i="25"/>
  <c r="I86" i="25" s="1"/>
  <c r="J58" i="25"/>
  <c r="W31" i="25" s="1"/>
  <c r="W30" i="25"/>
  <c r="K58" i="25"/>
  <c r="P58" i="25" s="1"/>
  <c r="D32" i="25"/>
  <c r="U17" i="25" s="1"/>
  <c r="U25" i="25" s="1"/>
  <c r="G32" i="25"/>
  <c r="X17" i="25" s="1"/>
  <c r="X25" i="25" s="1"/>
  <c r="F32" i="25"/>
  <c r="W17" i="25" s="1"/>
  <c r="D31" i="25"/>
  <c r="U16" i="25" s="1"/>
  <c r="K522" i="25"/>
  <c r="P522" i="25" s="1"/>
  <c r="J522" i="25"/>
  <c r="W191" i="25" s="1"/>
  <c r="W190" i="25"/>
  <c r="X136" i="25"/>
  <c r="X144" i="25" s="1"/>
  <c r="X243" i="25" s="1"/>
  <c r="G381" i="25"/>
  <c r="J291" i="25"/>
  <c r="X111" i="25" s="1"/>
  <c r="X110" i="25"/>
  <c r="K291" i="25"/>
  <c r="P291" i="25"/>
  <c r="W196" i="25"/>
  <c r="W204" i="25" s="1"/>
  <c r="W249" i="25" s="1"/>
  <c r="F555" i="25"/>
  <c r="K232" i="25"/>
  <c r="P232" i="25" s="1"/>
  <c r="J232" i="25"/>
  <c r="W91" i="25" s="1"/>
  <c r="W90" i="25"/>
  <c r="K465" i="25"/>
  <c r="J465" i="25"/>
  <c r="X171" i="25" s="1"/>
  <c r="P465" i="25"/>
  <c r="X170" i="25"/>
  <c r="K404" i="25"/>
  <c r="P404" i="25" s="1"/>
  <c r="J404" i="25"/>
  <c r="U151" i="25" s="1"/>
  <c r="U150" i="25"/>
  <c r="V231" i="25"/>
  <c r="W25" i="25"/>
  <c r="K579" i="25"/>
  <c r="P579" i="25" s="1"/>
  <c r="J579" i="25"/>
  <c r="V211" i="25" s="1"/>
  <c r="V210" i="25"/>
  <c r="W231" i="25"/>
  <c r="K405" i="25"/>
  <c r="P405" i="25" s="1"/>
  <c r="J405" i="25"/>
  <c r="V151" i="25" s="1"/>
  <c r="V150" i="25"/>
  <c r="J433" i="25"/>
  <c r="U161" i="25" s="1"/>
  <c r="K433" i="25"/>
  <c r="P433" i="25" s="1"/>
  <c r="U160" i="25"/>
  <c r="K203" i="25"/>
  <c r="P203" i="25" s="1"/>
  <c r="J203" i="25"/>
  <c r="W81" i="25" s="1"/>
  <c r="W80" i="25"/>
  <c r="J233" i="25"/>
  <c r="X91" i="25" s="1"/>
  <c r="K233" i="25"/>
  <c r="X90" i="25"/>
  <c r="P233" i="25"/>
  <c r="X206" i="25"/>
  <c r="X214" i="25" s="1"/>
  <c r="X250" i="25" s="1"/>
  <c r="J523" i="25"/>
  <c r="X191" i="25" s="1"/>
  <c r="X190" i="25"/>
  <c r="K144" i="25"/>
  <c r="P144" i="25" s="1"/>
  <c r="J144" i="25"/>
  <c r="V61" i="25" s="1"/>
  <c r="V60" i="25"/>
  <c r="K262" i="25"/>
  <c r="J262" i="25"/>
  <c r="X101" i="25" s="1"/>
  <c r="P262" i="25"/>
  <c r="X100" i="25"/>
  <c r="K407" i="25"/>
  <c r="P407" i="25" s="1"/>
  <c r="X150" i="25"/>
  <c r="K520" i="25"/>
  <c r="P520" i="25" s="1"/>
  <c r="J520" i="25"/>
  <c r="U191" i="25" s="1"/>
  <c r="U190" i="25"/>
  <c r="K200" i="25"/>
  <c r="P200" i="25" s="1"/>
  <c r="J200" i="25"/>
  <c r="T81" i="25" s="1"/>
  <c r="T80" i="25"/>
  <c r="K551" i="25"/>
  <c r="P551" i="25" s="1"/>
  <c r="J551" i="25"/>
  <c r="W201" i="25" s="1"/>
  <c r="W200" i="25"/>
  <c r="K290" i="25"/>
  <c r="P290" i="25" s="1"/>
  <c r="J290" i="25"/>
  <c r="W111" i="25" s="1"/>
  <c r="W110" i="25"/>
  <c r="E32" i="25"/>
  <c r="V17" i="25" s="1"/>
  <c r="E299" i="25"/>
  <c r="E296" i="25"/>
  <c r="V108" i="25"/>
  <c r="E298" i="25"/>
  <c r="E295" i="25" s="1"/>
  <c r="V109" i="25" s="1"/>
  <c r="T166" i="25"/>
  <c r="T174" i="25" s="1"/>
  <c r="C468" i="25"/>
  <c r="K201" i="25"/>
  <c r="P201" i="25" s="1"/>
  <c r="J201" i="25"/>
  <c r="U81" i="25" s="1"/>
  <c r="U80" i="25"/>
  <c r="H57" i="25"/>
  <c r="K143" i="25"/>
  <c r="P143" i="25" s="1"/>
  <c r="J143" i="25"/>
  <c r="U61" i="25" s="1"/>
  <c r="U60" i="25"/>
  <c r="K26" i="25"/>
  <c r="P26" i="25" s="1"/>
  <c r="J26" i="25"/>
  <c r="T21" i="25" s="1"/>
  <c r="T20" i="25"/>
  <c r="H202" i="25"/>
  <c r="I202" i="25" s="1"/>
  <c r="C206" i="25"/>
  <c r="T77" i="25" s="1"/>
  <c r="T85" i="25" s="1"/>
  <c r="W284" i="25"/>
  <c r="W225" i="25"/>
  <c r="W285" i="25"/>
  <c r="W286" i="25" s="1"/>
  <c r="K88" i="25"/>
  <c r="P88" i="25" s="1"/>
  <c r="X40" i="25"/>
  <c r="J88" i="25"/>
  <c r="X41" i="25" s="1"/>
  <c r="H346" i="25"/>
  <c r="C90" i="25"/>
  <c r="T37" i="25" s="1"/>
  <c r="T45" i="25" s="1"/>
  <c r="H84" i="25"/>
  <c r="H89" i="25" s="1"/>
  <c r="I90" i="25" s="1"/>
  <c r="AE18" i="25" s="1"/>
  <c r="C89" i="25"/>
  <c r="T36" i="25" s="1"/>
  <c r="T44" i="25" s="1"/>
  <c r="E148" i="25"/>
  <c r="V57" i="25" s="1"/>
  <c r="V65" i="25" s="1"/>
  <c r="E147" i="25"/>
  <c r="F496" i="25"/>
  <c r="W177" i="25" s="1"/>
  <c r="W185" i="25" s="1"/>
  <c r="H230" i="25"/>
  <c r="I230" i="25" s="1"/>
  <c r="C235" i="25"/>
  <c r="T87" i="25" s="1"/>
  <c r="T95" i="25" s="1"/>
  <c r="I494" i="25"/>
  <c r="F524" i="25"/>
  <c r="U285" i="25"/>
  <c r="U286" i="25" s="1"/>
  <c r="U284" i="25"/>
  <c r="U225" i="25"/>
  <c r="H115" i="25"/>
  <c r="I115" i="25" s="1"/>
  <c r="D207" i="25"/>
  <c r="I114" i="25"/>
  <c r="D468" i="25"/>
  <c r="AN99" i="25"/>
  <c r="AN109" i="25" s="1"/>
  <c r="AN117" i="25" s="1"/>
  <c r="C294" i="25"/>
  <c r="C408" i="25"/>
  <c r="T146" i="25" s="1"/>
  <c r="T154" i="25" s="1"/>
  <c r="H403" i="25"/>
  <c r="D439" i="25"/>
  <c r="H493" i="25"/>
  <c r="I493" i="25" s="1"/>
  <c r="I347" i="25"/>
  <c r="C176" i="25"/>
  <c r="T66" i="25" s="1"/>
  <c r="T74" i="25" s="1"/>
  <c r="C177" i="25"/>
  <c r="T67" i="25" s="1"/>
  <c r="T75" i="25" s="1"/>
  <c r="H171" i="25"/>
  <c r="H176" i="25" s="1"/>
  <c r="I177" i="25" s="1"/>
  <c r="AE21" i="25" s="1"/>
  <c r="K261" i="25"/>
  <c r="J261" i="25"/>
  <c r="W101" i="25" s="1"/>
  <c r="P261" i="25"/>
  <c r="W100" i="25"/>
  <c r="E497" i="25"/>
  <c r="I492" i="25"/>
  <c r="D89" i="25"/>
  <c r="D90" i="25"/>
  <c r="U37" i="25" s="1"/>
  <c r="U45" i="25" s="1"/>
  <c r="D321" i="25"/>
  <c r="U116" i="25" s="1"/>
  <c r="U124" i="25" s="1"/>
  <c r="U241" i="25" s="1"/>
  <c r="H437" i="25"/>
  <c r="I438" i="25" s="1"/>
  <c r="AE30" i="25" s="1"/>
  <c r="F234" i="25"/>
  <c r="K174" i="25"/>
  <c r="P174" i="25" s="1"/>
  <c r="J174" i="25"/>
  <c r="W71" i="25" s="1"/>
  <c r="W70" i="25"/>
  <c r="K435" i="25"/>
  <c r="J435" i="25"/>
  <c r="W161" i="25" s="1"/>
  <c r="W160" i="25"/>
  <c r="P435" i="25"/>
  <c r="D553" i="25"/>
  <c r="D554" i="25"/>
  <c r="U197" i="25" s="1"/>
  <c r="U205" i="25" s="1"/>
  <c r="J289" i="25"/>
  <c r="V111" i="25" s="1"/>
  <c r="K289" i="25"/>
  <c r="P289" i="25" s="1"/>
  <c r="V110" i="25"/>
  <c r="J56" i="25"/>
  <c r="U31" i="25" s="1"/>
  <c r="K56" i="25"/>
  <c r="P56" i="25" s="1"/>
  <c r="U30" i="25"/>
  <c r="D524" i="25"/>
  <c r="I57" i="25"/>
  <c r="G206" i="25"/>
  <c r="X77" i="25" s="1"/>
  <c r="X85" i="25" s="1"/>
  <c r="K464" i="25"/>
  <c r="P464" i="25" s="1"/>
  <c r="J464" i="25"/>
  <c r="W171" i="25" s="1"/>
  <c r="W170" i="25"/>
  <c r="J462" i="25"/>
  <c r="U171" i="25" s="1"/>
  <c r="K462" i="25"/>
  <c r="P462" i="25" s="1"/>
  <c r="U170" i="25"/>
  <c r="V285" i="25"/>
  <c r="V286" i="25" s="1"/>
  <c r="V284" i="25"/>
  <c r="V225" i="25"/>
  <c r="D60" i="25"/>
  <c r="I146" i="25"/>
  <c r="H319" i="25"/>
  <c r="I319" i="25" s="1"/>
  <c r="D176" i="25"/>
  <c r="D177" i="25"/>
  <c r="U67" i="25" s="1"/>
  <c r="U75" i="25" s="1"/>
  <c r="F265" i="25"/>
  <c r="C438" i="25"/>
  <c r="T157" i="25" s="1"/>
  <c r="T165" i="25" s="1"/>
  <c r="E89" i="25"/>
  <c r="E90" i="25"/>
  <c r="V37" i="25" s="1"/>
  <c r="V45" i="25" s="1"/>
  <c r="I432" i="25"/>
  <c r="C321" i="25"/>
  <c r="T116" i="25" s="1"/>
  <c r="T124" i="25" s="1"/>
  <c r="H316" i="25"/>
  <c r="I316" i="25" s="1"/>
  <c r="D380" i="25"/>
  <c r="U137" i="25" s="1"/>
  <c r="U145" i="25" s="1"/>
  <c r="G495" i="25"/>
  <c r="X176" i="25" s="1"/>
  <c r="X184" i="25" s="1"/>
  <c r="X247" i="25" s="1"/>
  <c r="H142" i="25"/>
  <c r="H147" i="25" s="1"/>
  <c r="I148" i="25" s="1"/>
  <c r="AE20" i="25" s="1"/>
  <c r="C147" i="25"/>
  <c r="T56" i="25" s="1"/>
  <c r="T64" i="25" s="1"/>
  <c r="C148" i="25"/>
  <c r="T57" i="25" s="1"/>
  <c r="T65" i="25" s="1"/>
  <c r="C495" i="25"/>
  <c r="T176" i="25" s="1"/>
  <c r="T184" i="25" s="1"/>
  <c r="H490" i="25"/>
  <c r="I490" i="25" s="1"/>
  <c r="H317" i="25"/>
  <c r="I317" i="25" s="1"/>
  <c r="E524" i="25"/>
  <c r="V186" i="25" s="1"/>
  <c r="V194" i="25" s="1"/>
  <c r="V248" i="25" s="1"/>
  <c r="D270" i="25"/>
  <c r="D267" i="25"/>
  <c r="U98" i="25"/>
  <c r="D269" i="25"/>
  <c r="D235" i="25"/>
  <c r="U87" i="25" s="1"/>
  <c r="U95" i="25" s="1"/>
  <c r="F470" i="25"/>
  <c r="F473" i="25"/>
  <c r="W168" i="25"/>
  <c r="F472" i="25"/>
  <c r="G235" i="25"/>
  <c r="X87" i="25" s="1"/>
  <c r="X95" i="25" s="1"/>
  <c r="G234" i="25"/>
  <c r="K378" i="25"/>
  <c r="P378" i="25" s="1"/>
  <c r="J378" i="25"/>
  <c r="X141" i="25" s="1"/>
  <c r="X140" i="25"/>
  <c r="D525" i="25"/>
  <c r="U187" i="25" s="1"/>
  <c r="U195" i="25" s="1"/>
  <c r="AP99" i="25"/>
  <c r="C60" i="25"/>
  <c r="T26" i="25" s="1"/>
  <c r="T34" i="25" s="1"/>
  <c r="H55" i="25"/>
  <c r="H60" i="25" s="1"/>
  <c r="I61" i="25" s="1"/>
  <c r="AE17" i="25" s="1"/>
  <c r="I577" i="25"/>
  <c r="C118" i="25"/>
  <c r="T46" i="25" s="1"/>
  <c r="T54" i="25" s="1"/>
  <c r="H113" i="25"/>
  <c r="H318" i="25"/>
  <c r="I318" i="25" s="1"/>
  <c r="E176" i="25"/>
  <c r="E177" i="25"/>
  <c r="V67" i="25" s="1"/>
  <c r="V75" i="25" s="1"/>
  <c r="F497" i="25"/>
  <c r="AN110" i="25"/>
  <c r="I258" i="25"/>
  <c r="H292" i="25"/>
  <c r="I293" i="25" s="1"/>
  <c r="AE25" i="25" s="1"/>
  <c r="C524" i="25"/>
  <c r="T186" i="25" s="1"/>
  <c r="T194" i="25" s="1"/>
  <c r="H519" i="25"/>
  <c r="H406" i="25"/>
  <c r="I406" i="25" s="1"/>
  <c r="K259" i="25"/>
  <c r="P259" i="25" s="1"/>
  <c r="J259" i="25"/>
  <c r="U101" i="25" s="1"/>
  <c r="D322" i="25"/>
  <c r="U117" i="25" s="1"/>
  <c r="U125" i="25" s="1"/>
  <c r="AO99" i="25"/>
  <c r="AO109" i="25" s="1"/>
  <c r="AO117" i="25" s="1"/>
  <c r="D234" i="25"/>
  <c r="U86" i="25" s="1"/>
  <c r="U94" i="25" s="1"/>
  <c r="U238" i="25" s="1"/>
  <c r="E525" i="25"/>
  <c r="V187" i="25" s="1"/>
  <c r="V195" i="25" s="1"/>
  <c r="G62" i="25"/>
  <c r="E60" i="25"/>
  <c r="V26" i="25" s="1"/>
  <c r="V34" i="25" s="1"/>
  <c r="V232" i="25" s="1"/>
  <c r="E206" i="25"/>
  <c r="V77" i="25" s="1"/>
  <c r="V85" i="25" s="1"/>
  <c r="H580" i="25"/>
  <c r="H582" i="25" s="1"/>
  <c r="I583" i="25" s="1"/>
  <c r="AE35" i="25" s="1"/>
  <c r="C583" i="25"/>
  <c r="T207" i="25" s="1"/>
  <c r="T215" i="25" s="1"/>
  <c r="D118" i="25"/>
  <c r="U46" i="25" s="1"/>
  <c r="U54" i="25" s="1"/>
  <c r="U234" i="25" s="1"/>
  <c r="F176" i="25"/>
  <c r="F177" i="25"/>
  <c r="W67" i="25" s="1"/>
  <c r="W75" i="25" s="1"/>
  <c r="K581" i="25"/>
  <c r="P581" i="25" s="1"/>
  <c r="J581" i="25"/>
  <c r="X211" i="25" s="1"/>
  <c r="X210" i="25"/>
  <c r="E439" i="25"/>
  <c r="T240" i="25"/>
  <c r="U40" i="25"/>
  <c r="K85" i="25"/>
  <c r="P85" i="25" s="1"/>
  <c r="J85" i="25"/>
  <c r="U41" i="25" s="1"/>
  <c r="AQ94" i="25"/>
  <c r="AL99" i="25"/>
  <c r="AL109" i="25" s="1"/>
  <c r="AL117" i="25" s="1"/>
  <c r="G89" i="25"/>
  <c r="G90" i="25"/>
  <c r="X37" i="25" s="1"/>
  <c r="X45" i="25" s="1"/>
  <c r="E270" i="25"/>
  <c r="K578" i="25"/>
  <c r="P578" i="25" s="1"/>
  <c r="J578" i="25"/>
  <c r="U211" i="25" s="1"/>
  <c r="U210" i="25"/>
  <c r="E379" i="25"/>
  <c r="T24" i="25"/>
  <c r="H117" i="25"/>
  <c r="I117" i="25" s="1"/>
  <c r="K59" i="25"/>
  <c r="P59" i="25" s="1"/>
  <c r="J59" i="25"/>
  <c r="X31" i="25" s="1"/>
  <c r="X30" i="25"/>
  <c r="F60" i="25"/>
  <c r="E205" i="25"/>
  <c r="V76" i="25" s="1"/>
  <c r="V84" i="25" s="1"/>
  <c r="V237" i="25" s="1"/>
  <c r="D582" i="25"/>
  <c r="D583" i="25"/>
  <c r="U207" i="25" s="1"/>
  <c r="U215" i="25" s="1"/>
  <c r="AM99" i="25"/>
  <c r="AM109" i="25" s="1"/>
  <c r="AM117" i="25" s="1"/>
  <c r="G118" i="25"/>
  <c r="X46" i="25" s="1"/>
  <c r="X54" i="25" s="1"/>
  <c r="X234" i="25" s="1"/>
  <c r="D350" i="25"/>
  <c r="U126" i="25" s="1"/>
  <c r="U134" i="25" s="1"/>
  <c r="U242" i="25" s="1"/>
  <c r="AQ97" i="25"/>
  <c r="AR97" i="25" s="1"/>
  <c r="G176" i="25"/>
  <c r="G177" i="25"/>
  <c r="X67" i="25" s="1"/>
  <c r="X75" i="25" s="1"/>
  <c r="K229" i="25"/>
  <c r="P229" i="25" s="1"/>
  <c r="J229" i="25"/>
  <c r="T91" i="25" s="1"/>
  <c r="T90" i="25"/>
  <c r="E584" i="25"/>
  <c r="H348" i="25"/>
  <c r="I348" i="25" s="1"/>
  <c r="AO110" i="25"/>
  <c r="F381" i="25"/>
  <c r="T245" i="25"/>
  <c r="AA164" i="25"/>
  <c r="C439" i="25"/>
  <c r="K374" i="25"/>
  <c r="P374" i="25" s="1"/>
  <c r="J374" i="25"/>
  <c r="T141" i="25" s="1"/>
  <c r="T140" i="25"/>
  <c r="K260" i="25"/>
  <c r="J260" i="25"/>
  <c r="V101" i="25" s="1"/>
  <c r="P260" i="25"/>
  <c r="V100" i="25"/>
  <c r="F409" i="25"/>
  <c r="W147" i="25" s="1"/>
  <c r="W155" i="25" s="1"/>
  <c r="X168" i="25"/>
  <c r="H29" i="25"/>
  <c r="I29" i="25" s="1"/>
  <c r="E118" i="25"/>
  <c r="V46" i="25" s="1"/>
  <c r="V54" i="25" s="1"/>
  <c r="V234" i="25" s="1"/>
  <c r="D33" i="25"/>
  <c r="E350" i="25"/>
  <c r="V126" i="25" s="1"/>
  <c r="V134" i="25" s="1"/>
  <c r="V242" i="25" s="1"/>
  <c r="J173" i="25"/>
  <c r="V71" i="25" s="1"/>
  <c r="K173" i="25"/>
  <c r="P173" i="25" s="1"/>
  <c r="V70" i="25"/>
  <c r="H234" i="25"/>
  <c r="I235" i="25" s="1"/>
  <c r="AE23" i="25" s="1"/>
  <c r="K145" i="25"/>
  <c r="P145" i="25" s="1"/>
  <c r="J145" i="25"/>
  <c r="W61" i="25" s="1"/>
  <c r="W60" i="25"/>
  <c r="K377" i="25"/>
  <c r="P377" i="25" s="1"/>
  <c r="J377" i="25"/>
  <c r="W141" i="25" s="1"/>
  <c r="W140" i="25"/>
  <c r="F438" i="25"/>
  <c r="W157" i="25" s="1"/>
  <c r="W165" i="25" s="1"/>
  <c r="G526" i="25"/>
  <c r="F89" i="25"/>
  <c r="F90" i="25"/>
  <c r="W37" i="25" s="1"/>
  <c r="W45" i="25" s="1"/>
  <c r="F441" i="25"/>
  <c r="F443" i="25"/>
  <c r="D148" i="25"/>
  <c r="U57" i="25" s="1"/>
  <c r="U65" i="25" s="1"/>
  <c r="D147" i="25"/>
  <c r="F410" i="25"/>
  <c r="U106" i="25"/>
  <c r="U114" i="25" s="1"/>
  <c r="U240" i="25" s="1"/>
  <c r="D294" i="25"/>
  <c r="T206" i="25"/>
  <c r="T214" i="25" s="1"/>
  <c r="C584" i="25"/>
  <c r="T239" i="25"/>
  <c r="AA104" i="25"/>
  <c r="G321" i="25"/>
  <c r="X116" i="25" s="1"/>
  <c r="X124" i="25" s="1"/>
  <c r="X241" i="25" s="1"/>
  <c r="U24" i="25"/>
  <c r="K376" i="25"/>
  <c r="P376" i="25" s="1"/>
  <c r="J376" i="25"/>
  <c r="V141" i="25" s="1"/>
  <c r="V140" i="25"/>
  <c r="G409" i="25"/>
  <c r="X147" i="25" s="1"/>
  <c r="X155" i="25" s="1"/>
  <c r="X284" i="25"/>
  <c r="X225" i="25"/>
  <c r="X285" i="25"/>
  <c r="X286" i="25" s="1"/>
  <c r="F584" i="25"/>
  <c r="I580" i="25"/>
  <c r="F583" i="25"/>
  <c r="W207" i="25" s="1"/>
  <c r="W215" i="25" s="1"/>
  <c r="F118" i="25"/>
  <c r="W46" i="25" s="1"/>
  <c r="W54" i="25" s="1"/>
  <c r="W234" i="25" s="1"/>
  <c r="U20" i="25"/>
  <c r="K27" i="25"/>
  <c r="P27" i="25" s="1"/>
  <c r="J27" i="25"/>
  <c r="U21" i="25" s="1"/>
  <c r="F350" i="25"/>
  <c r="W126" i="25" s="1"/>
  <c r="W134" i="25" s="1"/>
  <c r="W242" i="25" s="1"/>
  <c r="H116" i="25"/>
  <c r="I116" i="25" s="1"/>
  <c r="J87" i="25"/>
  <c r="W41" i="25" s="1"/>
  <c r="W40" i="25"/>
  <c r="K87" i="25"/>
  <c r="P87" i="25" s="1"/>
  <c r="I231" i="25"/>
  <c r="E236" i="25"/>
  <c r="H552" i="25"/>
  <c r="I552" i="25" s="1"/>
  <c r="F207" i="25"/>
  <c r="G265" i="25"/>
  <c r="G438" i="25"/>
  <c r="X157" i="25" s="1"/>
  <c r="X165" i="25" s="1"/>
  <c r="E554" i="25"/>
  <c r="V197" i="25" s="1"/>
  <c r="V205" i="25" s="1"/>
  <c r="E553" i="25"/>
  <c r="V196" i="25" s="1"/>
  <c r="V204" i="25" s="1"/>
  <c r="V249" i="25" s="1"/>
  <c r="E33" i="25"/>
  <c r="D409" i="25"/>
  <c r="U147" i="25" s="1"/>
  <c r="U155" i="25" s="1"/>
  <c r="G296" i="25"/>
  <c r="G298" i="25"/>
  <c r="D379" i="25"/>
  <c r="U136" i="25" s="1"/>
  <c r="U144" i="25" s="1"/>
  <c r="U243" i="25" s="1"/>
  <c r="E61" i="25"/>
  <c r="V27" i="25" s="1"/>
  <c r="V35" i="25" s="1"/>
  <c r="C381" i="25"/>
  <c r="G33" i="25"/>
  <c r="D497" i="25"/>
  <c r="E468" i="25"/>
  <c r="AQ98" i="25"/>
  <c r="AR98" i="25" s="1"/>
  <c r="I287" i="25"/>
  <c r="G525" i="25"/>
  <c r="X187" i="25" s="1"/>
  <c r="X195" i="25" s="1"/>
  <c r="D410" i="25"/>
  <c r="K549" i="25"/>
  <c r="P549" i="25" s="1"/>
  <c r="J549" i="25"/>
  <c r="U201" i="25" s="1"/>
  <c r="U200" i="25"/>
  <c r="G350" i="25"/>
  <c r="X126" i="25" s="1"/>
  <c r="X134" i="25" s="1"/>
  <c r="X242" i="25" s="1"/>
  <c r="AQ96" i="25"/>
  <c r="AR96" i="25" s="1"/>
  <c r="C205" i="25"/>
  <c r="C234" i="25"/>
  <c r="T225" i="25"/>
  <c r="T285" i="25"/>
  <c r="T286" i="25" s="1"/>
  <c r="T284" i="25"/>
  <c r="G147" i="25"/>
  <c r="X56" i="25" s="1"/>
  <c r="X64" i="25" s="1"/>
  <c r="X235" i="25" s="1"/>
  <c r="G148" i="25"/>
  <c r="X57" i="25" s="1"/>
  <c r="X65" i="25" s="1"/>
  <c r="H466" i="25"/>
  <c r="I467" i="25" s="1"/>
  <c r="AE31" i="25" s="1"/>
  <c r="I461" i="25"/>
  <c r="C496" i="25"/>
  <c r="T177" i="25" s="1"/>
  <c r="T185" i="25" s="1"/>
  <c r="H434" i="25"/>
  <c r="F444" i="25" s="1"/>
  <c r="G553" i="25"/>
  <c r="X196" i="25" s="1"/>
  <c r="X204" i="25" s="1"/>
  <c r="X249" i="25" s="1"/>
  <c r="G554" i="25"/>
  <c r="X197" i="25" s="1"/>
  <c r="X205" i="25" s="1"/>
  <c r="G437" i="25"/>
  <c r="X156" i="25" s="1"/>
  <c r="X164" i="25" s="1"/>
  <c r="X245" i="25" s="1"/>
  <c r="T243" i="25"/>
  <c r="C267" i="25"/>
  <c r="H30" i="25"/>
  <c r="H375" i="25"/>
  <c r="I375" i="25" s="1"/>
  <c r="C380" i="25"/>
  <c r="T137" i="25" s="1"/>
  <c r="T145" i="25" s="1"/>
  <c r="K491" i="25"/>
  <c r="J491" i="25"/>
  <c r="U181" i="25" s="1"/>
  <c r="U180" i="25"/>
  <c r="P491" i="25"/>
  <c r="AQ95" i="25"/>
  <c r="AR95" i="25" s="1"/>
  <c r="K463" i="25"/>
  <c r="P463" i="25" s="1"/>
  <c r="J463" i="25"/>
  <c r="V171" i="25" s="1"/>
  <c r="V170" i="25"/>
  <c r="C33" i="25"/>
  <c r="H28" i="25"/>
  <c r="I28" i="25" s="1"/>
  <c r="H204" i="25"/>
  <c r="I204" i="25" s="1"/>
  <c r="E323" i="25"/>
  <c r="E408" i="25"/>
  <c r="F33" i="25"/>
  <c r="H349" i="25"/>
  <c r="I349" i="25" s="1"/>
  <c r="C350" i="25"/>
  <c r="T126" i="25" s="1"/>
  <c r="T134" i="25" s="1"/>
  <c r="H345" i="25"/>
  <c r="C352" i="25"/>
  <c r="I346" i="25"/>
  <c r="F147" i="25"/>
  <c r="F148" i="25"/>
  <c r="W57" i="25" s="1"/>
  <c r="W65" i="25" s="1"/>
  <c r="D496" i="25"/>
  <c r="U177" i="25" s="1"/>
  <c r="U185" i="25" s="1"/>
  <c r="H550" i="25"/>
  <c r="I550" i="25" s="1"/>
  <c r="C553" i="25"/>
  <c r="C554" i="25"/>
  <c r="T197" i="25" s="1"/>
  <c r="T205" i="25" s="1"/>
  <c r="C32" i="25"/>
  <c r="T17" i="25" s="1"/>
  <c r="E438" i="25"/>
  <c r="V157" i="25" s="1"/>
  <c r="V165" i="25" s="1"/>
  <c r="G584" i="24"/>
  <c r="H548" i="24"/>
  <c r="I548" i="24" s="1"/>
  <c r="E555" i="24"/>
  <c r="E560" i="24" s="1"/>
  <c r="C466" i="24"/>
  <c r="T166" i="24" s="1"/>
  <c r="T174" i="24" s="1"/>
  <c r="D439" i="24"/>
  <c r="D444" i="24" s="1"/>
  <c r="E379" i="24"/>
  <c r="V136" i="24" s="1"/>
  <c r="V144" i="24" s="1"/>
  <c r="V243" i="24" s="1"/>
  <c r="D379" i="24"/>
  <c r="U136" i="24" s="1"/>
  <c r="U144" i="24" s="1"/>
  <c r="U243" i="24" s="1"/>
  <c r="C379" i="24"/>
  <c r="T136" i="24" s="1"/>
  <c r="T144" i="24" s="1"/>
  <c r="J349" i="24"/>
  <c r="X131" i="24" s="1"/>
  <c r="C350" i="24"/>
  <c r="T126" i="24" s="1"/>
  <c r="T134" i="24" s="1"/>
  <c r="E350" i="24"/>
  <c r="V126" i="24" s="1"/>
  <c r="V134" i="24" s="1"/>
  <c r="V242" i="24" s="1"/>
  <c r="D322" i="24"/>
  <c r="U117" i="24" s="1"/>
  <c r="U125" i="24" s="1"/>
  <c r="F265" i="24"/>
  <c r="F267" i="24" s="1"/>
  <c r="H203" i="24"/>
  <c r="I203" i="24" s="1"/>
  <c r="J203" i="24" s="1"/>
  <c r="W81" i="24" s="1"/>
  <c r="F206" i="24"/>
  <c r="W77" i="24" s="1"/>
  <c r="W85" i="24" s="1"/>
  <c r="G205" i="24"/>
  <c r="X76" i="24" s="1"/>
  <c r="X84" i="24" s="1"/>
  <c r="X237" i="24" s="1"/>
  <c r="H174" i="24"/>
  <c r="G148" i="24"/>
  <c r="X57" i="24" s="1"/>
  <c r="X65" i="24" s="1"/>
  <c r="H114" i="24"/>
  <c r="D119" i="24"/>
  <c r="U47" i="24" s="1"/>
  <c r="U55" i="24" s="1"/>
  <c r="G118" i="24"/>
  <c r="X46" i="24" s="1"/>
  <c r="X54" i="24" s="1"/>
  <c r="X234" i="24" s="1"/>
  <c r="G90" i="24"/>
  <c r="X37" i="24" s="1"/>
  <c r="X45" i="24" s="1"/>
  <c r="F90" i="24"/>
  <c r="W37" i="24" s="1"/>
  <c r="W45" i="24" s="1"/>
  <c r="E90" i="24"/>
  <c r="V37" i="24" s="1"/>
  <c r="V45" i="24" s="1"/>
  <c r="E62" i="24"/>
  <c r="T30" i="24"/>
  <c r="H582" i="24"/>
  <c r="I583" i="24" s="1"/>
  <c r="AE35" i="24" s="1"/>
  <c r="D555" i="24"/>
  <c r="D524" i="24"/>
  <c r="U186" i="24" s="1"/>
  <c r="U194" i="24" s="1"/>
  <c r="U248" i="24" s="1"/>
  <c r="H521" i="24"/>
  <c r="F495" i="24"/>
  <c r="W176" i="24" s="1"/>
  <c r="W184" i="24" s="1"/>
  <c r="W247" i="24" s="1"/>
  <c r="G495" i="24"/>
  <c r="X176" i="24" s="1"/>
  <c r="X184" i="24" s="1"/>
  <c r="X247" i="24" s="1"/>
  <c r="F379" i="24"/>
  <c r="W136" i="24" s="1"/>
  <c r="W144" i="24" s="1"/>
  <c r="W243" i="24" s="1"/>
  <c r="G322" i="24"/>
  <c r="X117" i="24" s="1"/>
  <c r="X125" i="24" s="1"/>
  <c r="H318" i="24"/>
  <c r="I318" i="24" s="1"/>
  <c r="J318" i="24" s="1"/>
  <c r="V121" i="24" s="1"/>
  <c r="F322" i="24"/>
  <c r="W117" i="24" s="1"/>
  <c r="W125" i="24" s="1"/>
  <c r="H319" i="24"/>
  <c r="H291" i="24"/>
  <c r="I291" i="24" s="1"/>
  <c r="G292" i="24"/>
  <c r="X106" i="24" s="1"/>
  <c r="X114" i="24" s="1"/>
  <c r="X240" i="24" s="1"/>
  <c r="D264" i="24"/>
  <c r="U97" i="24" s="1"/>
  <c r="U105" i="24" s="1"/>
  <c r="G263" i="24"/>
  <c r="X96" i="24" s="1"/>
  <c r="X104" i="24" s="1"/>
  <c r="X239" i="24" s="1"/>
  <c r="G206" i="24"/>
  <c r="X77" i="24" s="1"/>
  <c r="X85" i="24" s="1"/>
  <c r="E206" i="24"/>
  <c r="V77" i="24" s="1"/>
  <c r="V85" i="24" s="1"/>
  <c r="D206" i="24"/>
  <c r="U77" i="24" s="1"/>
  <c r="U85" i="24" s="1"/>
  <c r="I175" i="24"/>
  <c r="H146" i="24"/>
  <c r="I146" i="24" s="1"/>
  <c r="E148" i="24"/>
  <c r="V57" i="24" s="1"/>
  <c r="V65" i="24" s="1"/>
  <c r="F119" i="24"/>
  <c r="W47" i="24" s="1"/>
  <c r="W55" i="24" s="1"/>
  <c r="X284" i="24"/>
  <c r="E119" i="24"/>
  <c r="V47" i="24" s="1"/>
  <c r="V55" i="24" s="1"/>
  <c r="W285" i="24"/>
  <c r="W286" i="24" s="1"/>
  <c r="D31" i="24"/>
  <c r="U16" i="24" s="1"/>
  <c r="U24" i="24" s="1"/>
  <c r="H27" i="24"/>
  <c r="G31" i="24"/>
  <c r="X16" i="24" s="1"/>
  <c r="C32" i="24"/>
  <c r="T17" i="24" s="1"/>
  <c r="T25" i="24" s="1"/>
  <c r="K113" i="24"/>
  <c r="P113" i="24" s="1"/>
  <c r="J113" i="24"/>
  <c r="T51" i="24" s="1"/>
  <c r="T50" i="24"/>
  <c r="V36" i="24"/>
  <c r="V44" i="24" s="1"/>
  <c r="V233" i="24" s="1"/>
  <c r="E91" i="24"/>
  <c r="K436" i="24"/>
  <c r="P436" i="24" s="1"/>
  <c r="J436" i="24"/>
  <c r="X161" i="24" s="1"/>
  <c r="X160" i="24"/>
  <c r="W25" i="24"/>
  <c r="T36" i="24"/>
  <c r="T44" i="24" s="1"/>
  <c r="C91" i="24"/>
  <c r="K230" i="24"/>
  <c r="P230" i="24" s="1"/>
  <c r="J230" i="24"/>
  <c r="U91" i="24" s="1"/>
  <c r="U90" i="24"/>
  <c r="K318" i="24"/>
  <c r="K317" i="24"/>
  <c r="P317" i="24" s="1"/>
  <c r="J317" i="24"/>
  <c r="U121" i="24" s="1"/>
  <c r="U120" i="24"/>
  <c r="K287" i="24"/>
  <c r="P287" i="24" s="1"/>
  <c r="J287" i="24"/>
  <c r="T111" i="24" s="1"/>
  <c r="T110" i="24"/>
  <c r="W56" i="24"/>
  <c r="W64" i="24" s="1"/>
  <c r="W235" i="24" s="1"/>
  <c r="F149" i="24"/>
  <c r="K465" i="24"/>
  <c r="P465" i="24" s="1"/>
  <c r="J465" i="24"/>
  <c r="X171" i="24" s="1"/>
  <c r="X170" i="24"/>
  <c r="X36" i="24"/>
  <c r="X44" i="24" s="1"/>
  <c r="X233" i="24" s="1"/>
  <c r="G91" i="24"/>
  <c r="K580" i="24"/>
  <c r="P580" i="24" s="1"/>
  <c r="J580" i="24"/>
  <c r="W211" i="24" s="1"/>
  <c r="W210" i="24"/>
  <c r="T46" i="24"/>
  <c r="T54" i="24" s="1"/>
  <c r="C120" i="24"/>
  <c r="U76" i="24"/>
  <c r="U84" i="24" s="1"/>
  <c r="U237" i="24" s="1"/>
  <c r="D207" i="24"/>
  <c r="K115" i="24"/>
  <c r="P115" i="24" s="1"/>
  <c r="J115" i="24"/>
  <c r="V51" i="24" s="1"/>
  <c r="V50" i="24"/>
  <c r="T40" i="24"/>
  <c r="K84" i="24"/>
  <c r="P84" i="24" s="1"/>
  <c r="J84" i="24"/>
  <c r="T41" i="24" s="1"/>
  <c r="J145" i="24"/>
  <c r="W61" i="24" s="1"/>
  <c r="K145" i="24"/>
  <c r="P145" i="24" s="1"/>
  <c r="W60" i="24"/>
  <c r="V166" i="24"/>
  <c r="V174" i="24" s="1"/>
  <c r="V246" i="24" s="1"/>
  <c r="E468" i="24"/>
  <c r="K232" i="24"/>
  <c r="P232" i="24" s="1"/>
  <c r="J232" i="24"/>
  <c r="W91" i="24" s="1"/>
  <c r="W90" i="24"/>
  <c r="K203" i="24"/>
  <c r="H144" i="24"/>
  <c r="T246" i="24"/>
  <c r="E147" i="24"/>
  <c r="V56" i="24" s="1"/>
  <c r="V64" i="24" s="1"/>
  <c r="V235" i="24" s="1"/>
  <c r="C439" i="24"/>
  <c r="I577" i="24"/>
  <c r="E351" i="24"/>
  <c r="V127" i="24" s="1"/>
  <c r="V135" i="24" s="1"/>
  <c r="D441" i="24"/>
  <c r="U158" i="24"/>
  <c r="H28" i="24"/>
  <c r="C381" i="24"/>
  <c r="G207" i="24"/>
  <c r="G466" i="24"/>
  <c r="AQ98" i="24"/>
  <c r="AR98" i="24" s="1"/>
  <c r="G379" i="24"/>
  <c r="X136" i="24" s="1"/>
  <c r="X144" i="24" s="1"/>
  <c r="X243" i="24" s="1"/>
  <c r="I319" i="24"/>
  <c r="E497" i="24"/>
  <c r="I492" i="24"/>
  <c r="I27" i="24"/>
  <c r="E467" i="24"/>
  <c r="V167" i="24" s="1"/>
  <c r="V175" i="24" s="1"/>
  <c r="AM99" i="24"/>
  <c r="AM109" i="24" s="1"/>
  <c r="AM117" i="24" s="1"/>
  <c r="AM110" i="24"/>
  <c r="D263" i="24"/>
  <c r="U96" i="24" s="1"/>
  <c r="U104" i="24" s="1"/>
  <c r="U239" i="24" s="1"/>
  <c r="E381" i="24"/>
  <c r="E380" i="24"/>
  <c r="V137" i="24" s="1"/>
  <c r="V145" i="24" s="1"/>
  <c r="K407" i="24"/>
  <c r="P407" i="24" s="1"/>
  <c r="J407" i="24"/>
  <c r="X151" i="24" s="1"/>
  <c r="X150" i="24"/>
  <c r="T245" i="24"/>
  <c r="AA164" i="24"/>
  <c r="T243" i="24"/>
  <c r="AQ94" i="24"/>
  <c r="AR94" i="24" s="1"/>
  <c r="AL99" i="24"/>
  <c r="AL109" i="24" s="1"/>
  <c r="AL117" i="24" s="1"/>
  <c r="AL110" i="24"/>
  <c r="T26" i="24"/>
  <c r="T34" i="24" s="1"/>
  <c r="C62" i="24"/>
  <c r="K288" i="24"/>
  <c r="J288" i="24"/>
  <c r="U111" i="24" s="1"/>
  <c r="U110" i="24"/>
  <c r="P288" i="24"/>
  <c r="H406" i="24"/>
  <c r="I406" i="24" s="1"/>
  <c r="K233" i="24"/>
  <c r="P233" i="24" s="1"/>
  <c r="J233" i="24"/>
  <c r="X91" i="24" s="1"/>
  <c r="X90" i="24"/>
  <c r="H553" i="24"/>
  <c r="I554" i="24" s="1"/>
  <c r="AE34" i="24" s="1"/>
  <c r="H437" i="24"/>
  <c r="I438" i="24" s="1"/>
  <c r="AE30" i="24" s="1"/>
  <c r="D352" i="24"/>
  <c r="K433" i="24"/>
  <c r="P433" i="24" s="1"/>
  <c r="J433" i="24"/>
  <c r="U161" i="24" s="1"/>
  <c r="U160" i="24"/>
  <c r="F89" i="24"/>
  <c r="H316" i="24"/>
  <c r="I316" i="24" s="1"/>
  <c r="C321" i="24"/>
  <c r="T116" i="24" s="1"/>
  <c r="T124" i="24" s="1"/>
  <c r="G264" i="24"/>
  <c r="X97" i="24" s="1"/>
  <c r="X105" i="24" s="1"/>
  <c r="K463" i="24"/>
  <c r="P463" i="24" s="1"/>
  <c r="J463" i="24"/>
  <c r="V171" i="24" s="1"/>
  <c r="V170" i="24"/>
  <c r="C90" i="24"/>
  <c r="T37" i="24" s="1"/>
  <c r="T45" i="24" s="1"/>
  <c r="F148" i="24"/>
  <c r="W57" i="24" s="1"/>
  <c r="W65" i="24" s="1"/>
  <c r="H204" i="24"/>
  <c r="I204" i="24" s="1"/>
  <c r="I493" i="24"/>
  <c r="F497" i="24"/>
  <c r="G32" i="24"/>
  <c r="X17" i="24" s="1"/>
  <c r="AQ95" i="24"/>
  <c r="AR95" i="24" s="1"/>
  <c r="AN99" i="24"/>
  <c r="AN109" i="24" s="1"/>
  <c r="AN117" i="24" s="1"/>
  <c r="AN110" i="24"/>
  <c r="F205" i="24"/>
  <c r="T240" i="24"/>
  <c r="C205" i="24"/>
  <c r="T76" i="24" s="1"/>
  <c r="T84" i="24" s="1"/>
  <c r="H200" i="24"/>
  <c r="I200" i="24" s="1"/>
  <c r="C468" i="24"/>
  <c r="H490" i="24"/>
  <c r="C495" i="24"/>
  <c r="T176" i="24" s="1"/>
  <c r="T184" i="24" s="1"/>
  <c r="I490" i="24"/>
  <c r="E118" i="24"/>
  <c r="K435" i="24"/>
  <c r="P435" i="24" s="1"/>
  <c r="J435" i="24"/>
  <c r="W161" i="24" s="1"/>
  <c r="W160" i="24"/>
  <c r="G439" i="24"/>
  <c r="F408" i="24"/>
  <c r="W146" i="24" s="1"/>
  <c r="W154" i="24" s="1"/>
  <c r="W244" i="24" s="1"/>
  <c r="F409" i="24"/>
  <c r="W147" i="24" s="1"/>
  <c r="W155" i="24" s="1"/>
  <c r="X24" i="24"/>
  <c r="H259" i="24"/>
  <c r="I259" i="24" s="1"/>
  <c r="I432" i="24"/>
  <c r="AQ96" i="24"/>
  <c r="AR96" i="24" s="1"/>
  <c r="H289" i="24"/>
  <c r="C293" i="24"/>
  <c r="T107" i="24" s="1"/>
  <c r="T115" i="24" s="1"/>
  <c r="H377" i="24"/>
  <c r="I377" i="24" s="1"/>
  <c r="D321" i="24"/>
  <c r="G147" i="24"/>
  <c r="X56" i="24" s="1"/>
  <c r="X64" i="24" s="1"/>
  <c r="X235" i="24" s="1"/>
  <c r="T284" i="24"/>
  <c r="T285" i="24"/>
  <c r="T286" i="24" s="1"/>
  <c r="T225" i="24"/>
  <c r="AQ97" i="24"/>
  <c r="AR97" i="24" s="1"/>
  <c r="G497" i="24"/>
  <c r="AO110" i="24"/>
  <c r="AO99" i="24"/>
  <c r="AO109" i="24" s="1"/>
  <c r="AO117" i="24" s="1"/>
  <c r="V285" i="24"/>
  <c r="V286" i="24" s="1"/>
  <c r="V284" i="24"/>
  <c r="V225" i="24"/>
  <c r="F31" i="24"/>
  <c r="W16" i="24" s="1"/>
  <c r="H464" i="24"/>
  <c r="H466" i="24" s="1"/>
  <c r="I467" i="24" s="1"/>
  <c r="AE31" i="24" s="1"/>
  <c r="D495" i="24"/>
  <c r="U176" i="24" s="1"/>
  <c r="U184" i="24" s="1"/>
  <c r="U247" i="24" s="1"/>
  <c r="F444" i="24"/>
  <c r="F441" i="24"/>
  <c r="W158" i="24"/>
  <c r="F443" i="24"/>
  <c r="G408" i="24"/>
  <c r="G409" i="24"/>
  <c r="X147" i="24" s="1"/>
  <c r="X155" i="24" s="1"/>
  <c r="H85" i="24"/>
  <c r="H89" i="24" s="1"/>
  <c r="I90" i="24" s="1"/>
  <c r="AE18" i="24" s="1"/>
  <c r="D292" i="24"/>
  <c r="D293" i="24"/>
  <c r="U107" i="24" s="1"/>
  <c r="U115" i="24" s="1"/>
  <c r="F381" i="24"/>
  <c r="E321" i="24"/>
  <c r="G524" i="24"/>
  <c r="G525" i="24"/>
  <c r="X187" i="24" s="1"/>
  <c r="X195" i="24" s="1"/>
  <c r="D62" i="24"/>
  <c r="F584" i="24"/>
  <c r="AP99" i="24"/>
  <c r="AP109" i="24" s="1"/>
  <c r="AP117" i="24" s="1"/>
  <c r="AP110" i="24"/>
  <c r="G234" i="24"/>
  <c r="G235" i="24"/>
  <c r="X87" i="24" s="1"/>
  <c r="X95" i="24" s="1"/>
  <c r="K461" i="24"/>
  <c r="J461" i="24"/>
  <c r="T171" i="24" s="1"/>
  <c r="T170" i="24"/>
  <c r="P461" i="24"/>
  <c r="K552" i="24"/>
  <c r="P552" i="24" s="1"/>
  <c r="J552" i="24"/>
  <c r="X201" i="24" s="1"/>
  <c r="X200" i="24"/>
  <c r="C408" i="24"/>
  <c r="T146" i="24" s="1"/>
  <c r="T154" i="24" s="1"/>
  <c r="H403" i="24"/>
  <c r="C409" i="24"/>
  <c r="T147" i="24" s="1"/>
  <c r="T155" i="24" s="1"/>
  <c r="D91" i="24"/>
  <c r="AN101" i="24"/>
  <c r="E292" i="24"/>
  <c r="V106" i="24" s="1"/>
  <c r="V114" i="24" s="1"/>
  <c r="V240" i="24" s="1"/>
  <c r="T196" i="24"/>
  <c r="T204" i="24" s="1"/>
  <c r="C555" i="24"/>
  <c r="K30" i="24"/>
  <c r="P30" i="24" s="1"/>
  <c r="J30" i="24"/>
  <c r="X21" i="24" s="1"/>
  <c r="X20" i="24"/>
  <c r="H201" i="24"/>
  <c r="I201" i="24" s="1"/>
  <c r="F321" i="24"/>
  <c r="W116" i="24" s="1"/>
  <c r="W124" i="24" s="1"/>
  <c r="W241" i="24" s="1"/>
  <c r="C263" i="24"/>
  <c r="T96" i="24" s="1"/>
  <c r="T104" i="24" s="1"/>
  <c r="H258" i="24"/>
  <c r="F524" i="24"/>
  <c r="W186" i="24" s="1"/>
  <c r="W194" i="24" s="1"/>
  <c r="W248" i="24" s="1"/>
  <c r="F525" i="24"/>
  <c r="W187" i="24" s="1"/>
  <c r="W195" i="24" s="1"/>
  <c r="E439" i="24"/>
  <c r="I56" i="24"/>
  <c r="H320" i="24"/>
  <c r="C496" i="24"/>
  <c r="T177" i="24" s="1"/>
  <c r="T185" i="24" s="1"/>
  <c r="H260" i="24"/>
  <c r="I260" i="24" s="1"/>
  <c r="D466" i="24"/>
  <c r="U284" i="24"/>
  <c r="U225" i="24"/>
  <c r="U285" i="24"/>
  <c r="U286" i="24" s="1"/>
  <c r="E31" i="24"/>
  <c r="V16" i="24" s="1"/>
  <c r="K550" i="24"/>
  <c r="P550" i="24" s="1"/>
  <c r="J550" i="24"/>
  <c r="V201" i="24" s="1"/>
  <c r="V200" i="24"/>
  <c r="G557" i="24"/>
  <c r="X198" i="24"/>
  <c r="G559" i="24"/>
  <c r="D408" i="24"/>
  <c r="U146" i="24" s="1"/>
  <c r="U154" i="24" s="1"/>
  <c r="U244" i="24" s="1"/>
  <c r="D409" i="24"/>
  <c r="U147" i="24" s="1"/>
  <c r="U155" i="24" s="1"/>
  <c r="K172" i="24"/>
  <c r="P172" i="24" s="1"/>
  <c r="J172" i="24"/>
  <c r="U71" i="24" s="1"/>
  <c r="U70" i="24"/>
  <c r="E352" i="24"/>
  <c r="K581" i="24"/>
  <c r="P581" i="24" s="1"/>
  <c r="J581" i="24"/>
  <c r="X211" i="24" s="1"/>
  <c r="X210" i="24"/>
  <c r="G33" i="24"/>
  <c r="H202" i="24"/>
  <c r="I202" i="24" s="1"/>
  <c r="G321" i="24"/>
  <c r="X116" i="24" s="1"/>
  <c r="X124" i="24" s="1"/>
  <c r="X241" i="24" s="1"/>
  <c r="H520" i="24"/>
  <c r="I520" i="24" s="1"/>
  <c r="C524" i="24"/>
  <c r="C525" i="24"/>
  <c r="T187" i="24" s="1"/>
  <c r="T195" i="24" s="1"/>
  <c r="K86" i="24"/>
  <c r="J86" i="24"/>
  <c r="V41" i="24" s="1"/>
  <c r="P86" i="24"/>
  <c r="V40" i="24"/>
  <c r="F526" i="24"/>
  <c r="H117" i="24"/>
  <c r="I117" i="24" s="1"/>
  <c r="E265" i="24"/>
  <c r="K434" i="24"/>
  <c r="P434" i="24" s="1"/>
  <c r="J434" i="24"/>
  <c r="V161" i="24" s="1"/>
  <c r="V160" i="24"/>
  <c r="D32" i="24"/>
  <c r="U17" i="24" s="1"/>
  <c r="D496" i="24"/>
  <c r="U177" i="24" s="1"/>
  <c r="U185" i="24" s="1"/>
  <c r="J88" i="24"/>
  <c r="X41" i="24" s="1"/>
  <c r="K88" i="24"/>
  <c r="P88" i="24" s="1"/>
  <c r="X40" i="24"/>
  <c r="F468" i="24"/>
  <c r="F467" i="24"/>
  <c r="W167" i="24" s="1"/>
  <c r="W175" i="24" s="1"/>
  <c r="W225" i="24"/>
  <c r="E584" i="24"/>
  <c r="E408" i="24"/>
  <c r="V146" i="24" s="1"/>
  <c r="V154" i="24" s="1"/>
  <c r="V244" i="24" s="1"/>
  <c r="E409" i="24"/>
  <c r="V147" i="24" s="1"/>
  <c r="V155" i="24" s="1"/>
  <c r="F120" i="24"/>
  <c r="K347" i="24"/>
  <c r="P347" i="24" s="1"/>
  <c r="J347" i="24"/>
  <c r="V131" i="24" s="1"/>
  <c r="V130" i="24"/>
  <c r="G589" i="24"/>
  <c r="G586" i="24"/>
  <c r="X208" i="24"/>
  <c r="G588" i="24"/>
  <c r="F292" i="24"/>
  <c r="E32" i="24"/>
  <c r="V17" i="24" s="1"/>
  <c r="F176" i="24"/>
  <c r="W66" i="24" s="1"/>
  <c r="W74" i="24" s="1"/>
  <c r="W236" i="24" s="1"/>
  <c r="F177" i="24"/>
  <c r="W67" i="24" s="1"/>
  <c r="W75" i="24" s="1"/>
  <c r="E496" i="24"/>
  <c r="V177" i="24" s="1"/>
  <c r="V185" i="24" s="1"/>
  <c r="E205" i="24"/>
  <c r="V76" i="24" s="1"/>
  <c r="V84" i="24" s="1"/>
  <c r="V237" i="24" s="1"/>
  <c r="G293" i="24"/>
  <c r="X107" i="24" s="1"/>
  <c r="X115" i="24" s="1"/>
  <c r="K58" i="24"/>
  <c r="P58" i="24" s="1"/>
  <c r="J58" i="24"/>
  <c r="W31" i="24" s="1"/>
  <c r="W30" i="24"/>
  <c r="C294" i="24"/>
  <c r="H262" i="24"/>
  <c r="I262" i="24" s="1"/>
  <c r="H404" i="24"/>
  <c r="I404" i="24" s="1"/>
  <c r="W284" i="24"/>
  <c r="K579" i="24"/>
  <c r="P579" i="24" s="1"/>
  <c r="J579" i="24"/>
  <c r="V211" i="24" s="1"/>
  <c r="V210" i="24"/>
  <c r="H229" i="24"/>
  <c r="H234" i="24" s="1"/>
  <c r="I235" i="24" s="1"/>
  <c r="AE23" i="24" s="1"/>
  <c r="C234" i="24"/>
  <c r="T86" i="24" s="1"/>
  <c r="T94" i="24" s="1"/>
  <c r="C235" i="24"/>
  <c r="T87" i="24" s="1"/>
  <c r="T95" i="24" s="1"/>
  <c r="I521" i="24"/>
  <c r="C147" i="24"/>
  <c r="H376" i="24"/>
  <c r="I376" i="24" s="1"/>
  <c r="C380" i="24"/>
  <c r="T137" i="24" s="1"/>
  <c r="T145" i="24" s="1"/>
  <c r="H348" i="24"/>
  <c r="E525" i="24"/>
  <c r="V187" i="24" s="1"/>
  <c r="V195" i="24" s="1"/>
  <c r="E524" i="24"/>
  <c r="V186" i="24" s="1"/>
  <c r="V194" i="24" s="1"/>
  <c r="V248" i="24" s="1"/>
  <c r="K87" i="24"/>
  <c r="P87" i="24" s="1"/>
  <c r="J87" i="24"/>
  <c r="W41" i="24" s="1"/>
  <c r="W40" i="24"/>
  <c r="K290" i="24"/>
  <c r="P290" i="24" s="1"/>
  <c r="J290" i="24"/>
  <c r="W111" i="24" s="1"/>
  <c r="W110" i="24"/>
  <c r="H522" i="24"/>
  <c r="I522" i="24" s="1"/>
  <c r="I114" i="24"/>
  <c r="K231" i="24"/>
  <c r="P231" i="24" s="1"/>
  <c r="J231" i="24"/>
  <c r="V91" i="24" s="1"/>
  <c r="V90" i="24"/>
  <c r="H405" i="24"/>
  <c r="I405" i="24" s="1"/>
  <c r="E176" i="24"/>
  <c r="E177" i="24"/>
  <c r="V67" i="24" s="1"/>
  <c r="V75" i="24" s="1"/>
  <c r="K551" i="24"/>
  <c r="P551" i="24" s="1"/>
  <c r="J551" i="24"/>
  <c r="W201" i="24" s="1"/>
  <c r="W200" i="24"/>
  <c r="K345" i="24"/>
  <c r="P345" i="24" s="1"/>
  <c r="J345" i="24"/>
  <c r="T131" i="24" s="1"/>
  <c r="T130" i="24"/>
  <c r="E293" i="24"/>
  <c r="V107" i="24" s="1"/>
  <c r="V115" i="24" s="1"/>
  <c r="I144" i="24"/>
  <c r="D351" i="24"/>
  <c r="U127" i="24" s="1"/>
  <c r="U135" i="24" s="1"/>
  <c r="G265" i="24"/>
  <c r="P523" i="24"/>
  <c r="K523" i="24"/>
  <c r="J523" i="24"/>
  <c r="X191" i="24" s="1"/>
  <c r="X190" i="24"/>
  <c r="H116" i="24"/>
  <c r="I116" i="24" s="1"/>
  <c r="D234" i="24"/>
  <c r="D235" i="24"/>
  <c r="U87" i="24" s="1"/>
  <c r="U95" i="24" s="1"/>
  <c r="C322" i="24"/>
  <c r="T117" i="24" s="1"/>
  <c r="T125" i="24" s="1"/>
  <c r="T250" i="24"/>
  <c r="AA214" i="24"/>
  <c r="C31" i="24"/>
  <c r="T16" i="24" s="1"/>
  <c r="H26" i="24"/>
  <c r="C33" i="24"/>
  <c r="F178" i="24"/>
  <c r="I174" i="24"/>
  <c r="D380" i="24"/>
  <c r="U137" i="24" s="1"/>
  <c r="U145" i="24" s="1"/>
  <c r="X285" i="24"/>
  <c r="X286" i="24" s="1"/>
  <c r="I348" i="24"/>
  <c r="C119" i="24"/>
  <c r="T47" i="24" s="1"/>
  <c r="T55" i="24" s="1"/>
  <c r="G120" i="24"/>
  <c r="P173" i="24"/>
  <c r="K173" i="24"/>
  <c r="J173" i="24"/>
  <c r="V71" i="24" s="1"/>
  <c r="V70" i="24"/>
  <c r="G176" i="24"/>
  <c r="G177" i="24"/>
  <c r="X67" i="24" s="1"/>
  <c r="X75" i="24" s="1"/>
  <c r="G323" i="24"/>
  <c r="I320" i="24"/>
  <c r="F560" i="24"/>
  <c r="F557" i="24"/>
  <c r="W198" i="24"/>
  <c r="F559" i="24"/>
  <c r="F496" i="24"/>
  <c r="W177" i="24" s="1"/>
  <c r="W185" i="24" s="1"/>
  <c r="D584" i="24"/>
  <c r="D118" i="24"/>
  <c r="U46" i="24" s="1"/>
  <c r="U54" i="24" s="1"/>
  <c r="U234" i="24" s="1"/>
  <c r="E64" i="24"/>
  <c r="E67" i="24"/>
  <c r="V28" i="24"/>
  <c r="E66" i="24"/>
  <c r="U231" i="24"/>
  <c r="E234" i="24"/>
  <c r="E235" i="24"/>
  <c r="V87" i="24" s="1"/>
  <c r="V95" i="24" s="1"/>
  <c r="H346" i="24"/>
  <c r="I346" i="24" s="1"/>
  <c r="C351" i="24"/>
  <c r="T127" i="24" s="1"/>
  <c r="T135" i="24" s="1"/>
  <c r="X225" i="24"/>
  <c r="K462" i="24"/>
  <c r="P462" i="24" s="1"/>
  <c r="J462" i="24"/>
  <c r="U171" i="24" s="1"/>
  <c r="U170" i="24"/>
  <c r="H29" i="24"/>
  <c r="I29" i="24" s="1"/>
  <c r="I28" i="24"/>
  <c r="E33" i="24"/>
  <c r="I374" i="24"/>
  <c r="D560" i="24"/>
  <c r="D557" i="24"/>
  <c r="D559" i="24"/>
  <c r="U198" i="24"/>
  <c r="H261" i="24"/>
  <c r="I261" i="24" s="1"/>
  <c r="F269" i="24" s="1"/>
  <c r="C176" i="24"/>
  <c r="T66" i="24" s="1"/>
  <c r="T74" i="24" s="1"/>
  <c r="H171" i="24"/>
  <c r="H176" i="24" s="1"/>
  <c r="I177" i="24" s="1"/>
  <c r="AE21" i="24" s="1"/>
  <c r="C177" i="24"/>
  <c r="T67" i="24" s="1"/>
  <c r="T75" i="24" s="1"/>
  <c r="H378" i="24"/>
  <c r="I378" i="24" s="1"/>
  <c r="K375" i="24"/>
  <c r="P375" i="24" s="1"/>
  <c r="J375" i="24"/>
  <c r="U141" i="24" s="1"/>
  <c r="U140" i="24"/>
  <c r="K578" i="24"/>
  <c r="P578" i="24" s="1"/>
  <c r="J578" i="24"/>
  <c r="U211" i="24" s="1"/>
  <c r="U210" i="24"/>
  <c r="K59" i="24"/>
  <c r="P59" i="24" s="1"/>
  <c r="J59" i="24"/>
  <c r="X31" i="24" s="1"/>
  <c r="X30" i="24"/>
  <c r="D525" i="24"/>
  <c r="U187" i="24" s="1"/>
  <c r="U195" i="24" s="1"/>
  <c r="G350" i="24"/>
  <c r="G351" i="24"/>
  <c r="X127" i="24" s="1"/>
  <c r="X135" i="24" s="1"/>
  <c r="D147" i="24"/>
  <c r="U56" i="24" s="1"/>
  <c r="U64" i="24" s="1"/>
  <c r="U235" i="24" s="1"/>
  <c r="D148" i="24"/>
  <c r="U57" i="24" s="1"/>
  <c r="U65" i="24" s="1"/>
  <c r="J57" i="24"/>
  <c r="V31" i="24" s="1"/>
  <c r="V30" i="24"/>
  <c r="K57" i="24"/>
  <c r="P57" i="24" s="1"/>
  <c r="F234" i="24"/>
  <c r="F235" i="24"/>
  <c r="W87" i="24" s="1"/>
  <c r="W95" i="24" s="1"/>
  <c r="C584" i="24"/>
  <c r="C148" i="24"/>
  <c r="T57" i="24" s="1"/>
  <c r="T65" i="24" s="1"/>
  <c r="I142" i="24"/>
  <c r="F350" i="24"/>
  <c r="W126" i="24" s="1"/>
  <c r="W134" i="24" s="1"/>
  <c r="W242" i="24" s="1"/>
  <c r="F351" i="24"/>
  <c r="W127" i="24" s="1"/>
  <c r="W135" i="24" s="1"/>
  <c r="C264" i="24"/>
  <c r="T97" i="24" s="1"/>
  <c r="T105" i="24" s="1"/>
  <c r="H143" i="24"/>
  <c r="I143" i="24" s="1"/>
  <c r="K549" i="24"/>
  <c r="P549" i="24" s="1"/>
  <c r="J549" i="24"/>
  <c r="U201" i="24" s="1"/>
  <c r="U200" i="24"/>
  <c r="H491" i="24"/>
  <c r="I491" i="24" s="1"/>
  <c r="D176" i="24"/>
  <c r="D177" i="24"/>
  <c r="U67" i="24" s="1"/>
  <c r="U75" i="24" s="1"/>
  <c r="H492" i="24"/>
  <c r="G496" i="24"/>
  <c r="X177" i="24" s="1"/>
  <c r="X185" i="24" s="1"/>
  <c r="F62" i="24"/>
  <c r="D381" i="24"/>
  <c r="H494" i="24"/>
  <c r="I494" i="24" s="1"/>
  <c r="G62" i="24"/>
  <c r="G582" i="23"/>
  <c r="X206" i="23" s="1"/>
  <c r="X214" i="23" s="1"/>
  <c r="X250" i="23" s="1"/>
  <c r="F583" i="23"/>
  <c r="W207" i="23" s="1"/>
  <c r="W215" i="23" s="1"/>
  <c r="E524" i="23"/>
  <c r="V186" i="23" s="1"/>
  <c r="V194" i="23" s="1"/>
  <c r="V248" i="23" s="1"/>
  <c r="C524" i="23"/>
  <c r="C526" i="23" s="1"/>
  <c r="E496" i="23"/>
  <c r="V177" i="23" s="1"/>
  <c r="V185" i="23" s="1"/>
  <c r="C438" i="23"/>
  <c r="T157" i="23" s="1"/>
  <c r="T165" i="23" s="1"/>
  <c r="H435" i="23"/>
  <c r="F438" i="23"/>
  <c r="W157" i="23" s="1"/>
  <c r="W165" i="23" s="1"/>
  <c r="G438" i="23"/>
  <c r="X157" i="23" s="1"/>
  <c r="X165" i="23" s="1"/>
  <c r="D409" i="23"/>
  <c r="U147" i="23" s="1"/>
  <c r="U155" i="23" s="1"/>
  <c r="H377" i="23"/>
  <c r="F380" i="23"/>
  <c r="W137" i="23" s="1"/>
  <c r="W145" i="23" s="1"/>
  <c r="G321" i="23"/>
  <c r="X116" i="23" s="1"/>
  <c r="X124" i="23" s="1"/>
  <c r="X241" i="23" s="1"/>
  <c r="J290" i="23"/>
  <c r="W111" i="23" s="1"/>
  <c r="W110" i="23"/>
  <c r="E292" i="23"/>
  <c r="V106" i="23" s="1"/>
  <c r="V114" i="23" s="1"/>
  <c r="V240" i="23" s="1"/>
  <c r="T100" i="23"/>
  <c r="F265" i="23"/>
  <c r="F267" i="23" s="1"/>
  <c r="G234" i="23"/>
  <c r="G236" i="23" s="1"/>
  <c r="E235" i="23"/>
  <c r="V87" i="23" s="1"/>
  <c r="V95" i="23" s="1"/>
  <c r="H172" i="23"/>
  <c r="D147" i="23"/>
  <c r="U56" i="23" s="1"/>
  <c r="U64" i="23" s="1"/>
  <c r="U235" i="23" s="1"/>
  <c r="C148" i="23"/>
  <c r="T57" i="23" s="1"/>
  <c r="T65" i="23" s="1"/>
  <c r="D118" i="23"/>
  <c r="U46" i="23" s="1"/>
  <c r="U54" i="23" s="1"/>
  <c r="U234" i="23" s="1"/>
  <c r="E119" i="23"/>
  <c r="V47" i="23" s="1"/>
  <c r="V55" i="23" s="1"/>
  <c r="F118" i="23"/>
  <c r="W46" i="23" s="1"/>
  <c r="W54" i="23" s="1"/>
  <c r="W234" i="23" s="1"/>
  <c r="C90" i="23"/>
  <c r="T37" i="23" s="1"/>
  <c r="T45" i="23" s="1"/>
  <c r="E90" i="23"/>
  <c r="V37" i="23" s="1"/>
  <c r="V45" i="23" s="1"/>
  <c r="D89" i="23"/>
  <c r="U36" i="23" s="1"/>
  <c r="U44" i="23" s="1"/>
  <c r="U233" i="23" s="1"/>
  <c r="E61" i="23"/>
  <c r="V27" i="23" s="1"/>
  <c r="V35" i="23" s="1"/>
  <c r="H57" i="23"/>
  <c r="I57" i="23" s="1"/>
  <c r="D60" i="23"/>
  <c r="F61" i="23"/>
  <c r="W27" i="23" s="1"/>
  <c r="W35" i="23" s="1"/>
  <c r="H27" i="23"/>
  <c r="H580" i="23"/>
  <c r="I580" i="23" s="1"/>
  <c r="C583" i="23"/>
  <c r="T207" i="23" s="1"/>
  <c r="T215" i="23" s="1"/>
  <c r="H549" i="23"/>
  <c r="I549" i="23" s="1"/>
  <c r="G525" i="23"/>
  <c r="X187" i="23" s="1"/>
  <c r="X195" i="23" s="1"/>
  <c r="E525" i="23"/>
  <c r="V187" i="23" s="1"/>
  <c r="V195" i="23" s="1"/>
  <c r="F525" i="23"/>
  <c r="W187" i="23" s="1"/>
  <c r="W195" i="23" s="1"/>
  <c r="G496" i="23"/>
  <c r="X177" i="23" s="1"/>
  <c r="X185" i="23" s="1"/>
  <c r="G495" i="23"/>
  <c r="X176" i="23" s="1"/>
  <c r="X184" i="23" s="1"/>
  <c r="X247" i="23" s="1"/>
  <c r="F495" i="23"/>
  <c r="W176" i="23" s="1"/>
  <c r="W184" i="23" s="1"/>
  <c r="W247" i="23" s="1"/>
  <c r="C495" i="23"/>
  <c r="T176" i="23" s="1"/>
  <c r="T184" i="23" s="1"/>
  <c r="C437" i="23"/>
  <c r="T156" i="23" s="1"/>
  <c r="T164" i="23" s="1"/>
  <c r="T245" i="23" s="1"/>
  <c r="H432" i="23"/>
  <c r="F437" i="23"/>
  <c r="W156" i="23" s="1"/>
  <c r="W164" i="23" s="1"/>
  <c r="W245" i="23" s="1"/>
  <c r="G437" i="23"/>
  <c r="X156" i="23" s="1"/>
  <c r="X164" i="23" s="1"/>
  <c r="X245" i="23" s="1"/>
  <c r="C408" i="23"/>
  <c r="T146" i="23" s="1"/>
  <c r="T154" i="23" s="1"/>
  <c r="C380" i="23"/>
  <c r="T137" i="23" s="1"/>
  <c r="T145" i="23" s="1"/>
  <c r="F379" i="23"/>
  <c r="W136" i="23" s="1"/>
  <c r="W144" i="23" s="1"/>
  <c r="W243" i="23" s="1"/>
  <c r="V130" i="23"/>
  <c r="K347" i="23"/>
  <c r="P347" i="23" s="1"/>
  <c r="J347" i="23"/>
  <c r="V131" i="23" s="1"/>
  <c r="F351" i="23"/>
  <c r="W127" i="23" s="1"/>
  <c r="W135" i="23" s="1"/>
  <c r="G351" i="23"/>
  <c r="X127" i="23" s="1"/>
  <c r="X135" i="23" s="1"/>
  <c r="C350" i="23"/>
  <c r="T126" i="23" s="1"/>
  <c r="T134" i="23" s="1"/>
  <c r="H321" i="23"/>
  <c r="I322" i="23" s="1"/>
  <c r="AE26" i="23" s="1"/>
  <c r="H320" i="23"/>
  <c r="X106" i="23"/>
  <c r="X114" i="23" s="1"/>
  <c r="X240" i="23" s="1"/>
  <c r="G294" i="23"/>
  <c r="E294" i="23"/>
  <c r="K290" i="23"/>
  <c r="P290" i="23" s="1"/>
  <c r="T225" i="23"/>
  <c r="G235" i="23"/>
  <c r="X87" i="23" s="1"/>
  <c r="X95" i="23" s="1"/>
  <c r="E234" i="23"/>
  <c r="H204" i="23"/>
  <c r="I204" i="23" s="1"/>
  <c r="U225" i="23"/>
  <c r="H146" i="23"/>
  <c r="F147" i="23"/>
  <c r="W56" i="23" s="1"/>
  <c r="W64" i="23" s="1"/>
  <c r="W235" i="23" s="1"/>
  <c r="H144" i="23"/>
  <c r="I144" i="23" s="1"/>
  <c r="H117" i="23"/>
  <c r="G119" i="23"/>
  <c r="X47" i="23" s="1"/>
  <c r="X55" i="23" s="1"/>
  <c r="D119" i="23"/>
  <c r="U47" i="23" s="1"/>
  <c r="U55" i="23" s="1"/>
  <c r="T284" i="23"/>
  <c r="V285" i="23"/>
  <c r="V286" i="23" s="1"/>
  <c r="G118" i="23"/>
  <c r="X46" i="23" s="1"/>
  <c r="X54" i="23" s="1"/>
  <c r="X234" i="23" s="1"/>
  <c r="W284" i="23"/>
  <c r="E118" i="23"/>
  <c r="V46" i="23" s="1"/>
  <c r="V54" i="23" s="1"/>
  <c r="V234" i="23" s="1"/>
  <c r="F119" i="23"/>
  <c r="W47" i="23" s="1"/>
  <c r="W55" i="23" s="1"/>
  <c r="X225" i="23"/>
  <c r="U26" i="23"/>
  <c r="U34" i="23" s="1"/>
  <c r="U232" i="23" s="1"/>
  <c r="D62" i="23"/>
  <c r="U28" i="23" s="1"/>
  <c r="E60" i="23"/>
  <c r="V26" i="23" s="1"/>
  <c r="V34" i="23" s="1"/>
  <c r="V232" i="23" s="1"/>
  <c r="D61" i="23"/>
  <c r="U27" i="23" s="1"/>
  <c r="U35" i="23" s="1"/>
  <c r="T285" i="23"/>
  <c r="T286" i="23" s="1"/>
  <c r="K145" i="23"/>
  <c r="J145" i="23"/>
  <c r="W61" i="23" s="1"/>
  <c r="W60" i="23"/>
  <c r="P145" i="23"/>
  <c r="K349" i="23"/>
  <c r="P349" i="23" s="1"/>
  <c r="J349" i="23"/>
  <c r="X131" i="23" s="1"/>
  <c r="X130" i="23"/>
  <c r="U186" i="23"/>
  <c r="U194" i="23" s="1"/>
  <c r="U248" i="23" s="1"/>
  <c r="D526" i="23"/>
  <c r="V86" i="23"/>
  <c r="V94" i="23" s="1"/>
  <c r="V238" i="23" s="1"/>
  <c r="E236" i="23"/>
  <c r="J317" i="23"/>
  <c r="U121" i="23" s="1"/>
  <c r="K317" i="23"/>
  <c r="P317" i="23" s="1"/>
  <c r="U120" i="23"/>
  <c r="K374" i="23"/>
  <c r="P374" i="23" s="1"/>
  <c r="J374" i="23"/>
  <c r="T141" i="23" s="1"/>
  <c r="T140" i="23"/>
  <c r="J463" i="23"/>
  <c r="V171" i="23" s="1"/>
  <c r="V170" i="23"/>
  <c r="K463" i="23"/>
  <c r="P463" i="23" s="1"/>
  <c r="K404" i="23"/>
  <c r="P404" i="23" s="1"/>
  <c r="J404" i="23"/>
  <c r="U151" i="23" s="1"/>
  <c r="U150" i="23"/>
  <c r="C497" i="23"/>
  <c r="K30" i="23"/>
  <c r="P30" i="23" s="1"/>
  <c r="J30" i="23"/>
  <c r="X21" i="23" s="1"/>
  <c r="X20" i="23"/>
  <c r="K175" i="23"/>
  <c r="J175" i="23"/>
  <c r="X71" i="23" s="1"/>
  <c r="X70" i="23"/>
  <c r="P175" i="23"/>
  <c r="U156" i="23"/>
  <c r="U164" i="23" s="1"/>
  <c r="U245" i="23" s="1"/>
  <c r="D439" i="23"/>
  <c r="K288" i="23"/>
  <c r="P288" i="23" s="1"/>
  <c r="J288" i="23"/>
  <c r="U111" i="23" s="1"/>
  <c r="U110" i="23"/>
  <c r="J520" i="23"/>
  <c r="U191" i="23" s="1"/>
  <c r="K520" i="23"/>
  <c r="P520" i="23" s="1"/>
  <c r="U190" i="23"/>
  <c r="X86" i="23"/>
  <c r="X94" i="23" s="1"/>
  <c r="X238" i="23" s="1"/>
  <c r="K233" i="23"/>
  <c r="P233" i="23" s="1"/>
  <c r="J233" i="23"/>
  <c r="X91" i="23" s="1"/>
  <c r="X90" i="23"/>
  <c r="C410" i="23"/>
  <c r="K464" i="23"/>
  <c r="P464" i="23" s="1"/>
  <c r="J464" i="23"/>
  <c r="W171" i="23" s="1"/>
  <c r="W170" i="23"/>
  <c r="K202" i="23"/>
  <c r="P202" i="23" s="1"/>
  <c r="J202" i="23"/>
  <c r="V81" i="23" s="1"/>
  <c r="V80" i="23"/>
  <c r="K56" i="23"/>
  <c r="J56" i="23"/>
  <c r="U31" i="23" s="1"/>
  <c r="U30" i="23"/>
  <c r="P56" i="23"/>
  <c r="D351" i="23"/>
  <c r="U127" i="23" s="1"/>
  <c r="U135" i="23" s="1"/>
  <c r="G497" i="23"/>
  <c r="AL99" i="23"/>
  <c r="AL109" i="23" s="1"/>
  <c r="AL117" i="23" s="1"/>
  <c r="AQ94" i="23"/>
  <c r="AL110" i="23"/>
  <c r="J319" i="23"/>
  <c r="W121" i="23" s="1"/>
  <c r="W120" i="23"/>
  <c r="K319" i="23"/>
  <c r="P319" i="23" s="1"/>
  <c r="F524" i="23"/>
  <c r="W186" i="23" s="1"/>
  <c r="W194" i="23" s="1"/>
  <c r="W248" i="23" s="1"/>
  <c r="G90" i="23"/>
  <c r="X37" i="23" s="1"/>
  <c r="X45" i="23" s="1"/>
  <c r="I316" i="23"/>
  <c r="H519" i="23"/>
  <c r="V225" i="23"/>
  <c r="C236" i="23"/>
  <c r="I172" i="23"/>
  <c r="G583" i="23"/>
  <c r="X207" i="23" s="1"/>
  <c r="X215" i="23" s="1"/>
  <c r="J465" i="23"/>
  <c r="X171" i="23" s="1"/>
  <c r="K465" i="23"/>
  <c r="X170" i="23"/>
  <c r="P465" i="23"/>
  <c r="H114" i="23"/>
  <c r="C119" i="23"/>
  <c r="T47" i="23" s="1"/>
  <c r="T55" i="23" s="1"/>
  <c r="H230" i="23"/>
  <c r="I230" i="23" s="1"/>
  <c r="E263" i="23"/>
  <c r="E296" i="23"/>
  <c r="E299" i="23"/>
  <c r="V108" i="23"/>
  <c r="E298" i="23"/>
  <c r="H491" i="23"/>
  <c r="I491" i="23" s="1"/>
  <c r="C379" i="23"/>
  <c r="AN99" i="23"/>
  <c r="AN109" i="23" s="1"/>
  <c r="AN117" i="23" s="1"/>
  <c r="AN110" i="23"/>
  <c r="G299" i="23"/>
  <c r="G296" i="23"/>
  <c r="X108" i="23"/>
  <c r="G298" i="23"/>
  <c r="G295" i="23" s="1"/>
  <c r="X109" i="23" s="1"/>
  <c r="H348" i="23"/>
  <c r="V284" i="23"/>
  <c r="H174" i="23"/>
  <c r="E350" i="23"/>
  <c r="H406" i="23"/>
  <c r="I406" i="23" s="1"/>
  <c r="H58" i="23"/>
  <c r="I58" i="23" s="1"/>
  <c r="H86" i="23"/>
  <c r="I86" i="23" s="1"/>
  <c r="AQ96" i="23"/>
  <c r="AR96" i="23" s="1"/>
  <c r="I114" i="23"/>
  <c r="E321" i="23"/>
  <c r="E322" i="23"/>
  <c r="V117" i="23" s="1"/>
  <c r="V125" i="23" s="1"/>
  <c r="I146" i="23"/>
  <c r="K578" i="23"/>
  <c r="P578" i="23" s="1"/>
  <c r="J578" i="23"/>
  <c r="U211" i="23" s="1"/>
  <c r="U210" i="23"/>
  <c r="T238" i="23"/>
  <c r="I117" i="23"/>
  <c r="G120" i="23"/>
  <c r="K433" i="23"/>
  <c r="P433" i="23" s="1"/>
  <c r="J433" i="23"/>
  <c r="U161" i="23" s="1"/>
  <c r="U160" i="23"/>
  <c r="H405" i="23"/>
  <c r="H28" i="23"/>
  <c r="I28" i="23" s="1"/>
  <c r="K551" i="23"/>
  <c r="P551" i="23" s="1"/>
  <c r="J551" i="23"/>
  <c r="W201" i="23" s="1"/>
  <c r="W200" i="23"/>
  <c r="H376" i="23"/>
  <c r="I376" i="23" s="1"/>
  <c r="E147" i="23"/>
  <c r="V56" i="23" s="1"/>
  <c r="V64" i="23" s="1"/>
  <c r="V235" i="23" s="1"/>
  <c r="H116" i="23"/>
  <c r="I116" i="23" s="1"/>
  <c r="I262" i="23"/>
  <c r="G263" i="23"/>
  <c r="X96" i="23" s="1"/>
  <c r="X104" i="23" s="1"/>
  <c r="X239" i="23" s="1"/>
  <c r="H87" i="23"/>
  <c r="I87" i="23" s="1"/>
  <c r="I174" i="23"/>
  <c r="I490" i="23"/>
  <c r="I229" i="23"/>
  <c r="H85" i="23"/>
  <c r="I85" i="23" s="1"/>
  <c r="K318" i="23"/>
  <c r="P318" i="23" s="1"/>
  <c r="J318" i="23"/>
  <c r="V121" i="23" s="1"/>
  <c r="V120" i="23"/>
  <c r="F322" i="23"/>
  <c r="W117" i="23" s="1"/>
  <c r="W125" i="23" s="1"/>
  <c r="F321" i="23"/>
  <c r="AM113" i="23"/>
  <c r="AS95" i="23"/>
  <c r="AM114" i="23" s="1"/>
  <c r="AT95" i="23"/>
  <c r="AY95" i="23" s="1"/>
  <c r="K203" i="23"/>
  <c r="P203" i="23" s="1"/>
  <c r="J203" i="23"/>
  <c r="W81" i="23" s="1"/>
  <c r="W80" i="23"/>
  <c r="K259" i="23"/>
  <c r="P259" i="23" s="1"/>
  <c r="J259" i="23"/>
  <c r="U101" i="23" s="1"/>
  <c r="U100" i="23"/>
  <c r="J201" i="23"/>
  <c r="U81" i="23" s="1"/>
  <c r="K201" i="23"/>
  <c r="P201" i="23" s="1"/>
  <c r="U80" i="23"/>
  <c r="D205" i="23"/>
  <c r="D206" i="23"/>
  <c r="U77" i="23" s="1"/>
  <c r="U85" i="23" s="1"/>
  <c r="F408" i="23"/>
  <c r="W146" i="23" s="1"/>
  <c r="W154" i="23" s="1"/>
  <c r="W244" i="23" s="1"/>
  <c r="E381" i="23"/>
  <c r="F120" i="23"/>
  <c r="D91" i="23"/>
  <c r="E176" i="23"/>
  <c r="E177" i="23"/>
  <c r="V67" i="23" s="1"/>
  <c r="V75" i="23" s="1"/>
  <c r="H346" i="23"/>
  <c r="C351" i="23"/>
  <c r="T127" i="23" s="1"/>
  <c r="T135" i="23" s="1"/>
  <c r="K260" i="23"/>
  <c r="P260" i="23" s="1"/>
  <c r="J260" i="23"/>
  <c r="V101" i="23" s="1"/>
  <c r="V100" i="23"/>
  <c r="W106" i="23"/>
  <c r="W114" i="23" s="1"/>
  <c r="W240" i="23" s="1"/>
  <c r="F294" i="23"/>
  <c r="H522" i="23"/>
  <c r="I522" i="23" s="1"/>
  <c r="H523" i="23"/>
  <c r="I523" i="23" s="1"/>
  <c r="D497" i="23"/>
  <c r="U284" i="23"/>
  <c r="F496" i="23"/>
  <c r="W177" i="23" s="1"/>
  <c r="W185" i="23" s="1"/>
  <c r="H375" i="23"/>
  <c r="I375" i="23" s="1"/>
  <c r="E495" i="23"/>
  <c r="H143" i="23"/>
  <c r="I143" i="23" s="1"/>
  <c r="D496" i="23"/>
  <c r="U177" i="23" s="1"/>
  <c r="U185" i="23" s="1"/>
  <c r="E206" i="23"/>
  <c r="V77" i="23" s="1"/>
  <c r="V85" i="23" s="1"/>
  <c r="E205" i="23"/>
  <c r="C525" i="23"/>
  <c r="T187" i="23" s="1"/>
  <c r="T195" i="23" s="1"/>
  <c r="H403" i="23"/>
  <c r="F352" i="23"/>
  <c r="I348" i="23"/>
  <c r="H29" i="23"/>
  <c r="I29" i="23" s="1"/>
  <c r="H552" i="23"/>
  <c r="I552" i="23" s="1"/>
  <c r="C294" i="23"/>
  <c r="D408" i="23"/>
  <c r="F62" i="23"/>
  <c r="H461" i="23"/>
  <c r="H466" i="23" s="1"/>
  <c r="I467" i="23" s="1"/>
  <c r="AE31" i="23" s="1"/>
  <c r="I461" i="23"/>
  <c r="C466" i="23"/>
  <c r="T166" i="23" s="1"/>
  <c r="T174" i="23" s="1"/>
  <c r="C467" i="23"/>
  <c r="T167" i="23" s="1"/>
  <c r="T175" i="23" s="1"/>
  <c r="D176" i="23"/>
  <c r="U66" i="23" s="1"/>
  <c r="U74" i="23" s="1"/>
  <c r="U236" i="23" s="1"/>
  <c r="D177" i="23"/>
  <c r="U67" i="23" s="1"/>
  <c r="U75" i="23" s="1"/>
  <c r="D263" i="23"/>
  <c r="U285" i="23"/>
  <c r="U286" i="23" s="1"/>
  <c r="E62" i="23"/>
  <c r="D381" i="23"/>
  <c r="D380" i="23"/>
  <c r="U137" i="23" s="1"/>
  <c r="U145" i="23" s="1"/>
  <c r="D379" i="23"/>
  <c r="U136" i="23" s="1"/>
  <c r="U144" i="23" s="1"/>
  <c r="U243" i="23" s="1"/>
  <c r="I405" i="23"/>
  <c r="F205" i="23"/>
  <c r="F206" i="23"/>
  <c r="W77" i="23" s="1"/>
  <c r="W85" i="23" s="1"/>
  <c r="D525" i="23"/>
  <c r="U187" i="23" s="1"/>
  <c r="U195" i="23" s="1"/>
  <c r="K550" i="23"/>
  <c r="P550" i="23" s="1"/>
  <c r="J550" i="23"/>
  <c r="V201" i="23" s="1"/>
  <c r="V200" i="23"/>
  <c r="I377" i="23"/>
  <c r="F381" i="23"/>
  <c r="T240" i="23"/>
  <c r="E467" i="23"/>
  <c r="V167" i="23" s="1"/>
  <c r="V175" i="23" s="1"/>
  <c r="E466" i="23"/>
  <c r="D31" i="23"/>
  <c r="U16" i="23" s="1"/>
  <c r="D32" i="23"/>
  <c r="U17" i="23" s="1"/>
  <c r="I320" i="23"/>
  <c r="G323" i="23"/>
  <c r="F176" i="23"/>
  <c r="W66" i="23" s="1"/>
  <c r="W74" i="23" s="1"/>
  <c r="W236" i="23" s="1"/>
  <c r="F177" i="23"/>
  <c r="W67" i="23" s="1"/>
  <c r="W75" i="23" s="1"/>
  <c r="E554" i="23"/>
  <c r="V197" i="23" s="1"/>
  <c r="V205" i="23" s="1"/>
  <c r="E553" i="23"/>
  <c r="AP99" i="23"/>
  <c r="AP110" i="23"/>
  <c r="K289" i="23"/>
  <c r="P289" i="23" s="1"/>
  <c r="J289" i="23"/>
  <c r="V111" i="23" s="1"/>
  <c r="V110" i="23"/>
  <c r="F89" i="23"/>
  <c r="W36" i="23" s="1"/>
  <c r="W44" i="23" s="1"/>
  <c r="W233" i="23" s="1"/>
  <c r="D350" i="23"/>
  <c r="U126" i="23" s="1"/>
  <c r="U134" i="23" s="1"/>
  <c r="U242" i="23" s="1"/>
  <c r="F526" i="23"/>
  <c r="I407" i="23"/>
  <c r="AQ97" i="23"/>
  <c r="AR97" i="23" s="1"/>
  <c r="G380" i="23"/>
  <c r="X137" i="23" s="1"/>
  <c r="X145" i="23" s="1"/>
  <c r="G379" i="23"/>
  <c r="G205" i="23"/>
  <c r="X76" i="23" s="1"/>
  <c r="X84" i="23" s="1"/>
  <c r="X237" i="23" s="1"/>
  <c r="G206" i="23"/>
  <c r="X77" i="23" s="1"/>
  <c r="X85" i="23" s="1"/>
  <c r="I27" i="23"/>
  <c r="F90" i="23"/>
  <c r="W37" i="23" s="1"/>
  <c r="W45" i="23" s="1"/>
  <c r="I345" i="23"/>
  <c r="C264" i="23"/>
  <c r="T97" i="23" s="1"/>
  <c r="T105" i="23" s="1"/>
  <c r="H494" i="23"/>
  <c r="I494" i="23" s="1"/>
  <c r="D148" i="23"/>
  <c r="U57" i="23" s="1"/>
  <c r="U65" i="23" s="1"/>
  <c r="F553" i="23"/>
  <c r="F554" i="23"/>
  <c r="W197" i="23" s="1"/>
  <c r="W205" i="23" s="1"/>
  <c r="H292" i="23"/>
  <c r="I293" i="23" s="1"/>
  <c r="AE25" i="23" s="1"/>
  <c r="I113" i="23"/>
  <c r="H577" i="23"/>
  <c r="C584" i="23"/>
  <c r="C582" i="23"/>
  <c r="T206" i="23" s="1"/>
  <c r="T214" i="23" s="1"/>
  <c r="D466" i="23"/>
  <c r="D467" i="23"/>
  <c r="U167" i="23" s="1"/>
  <c r="U175" i="23" s="1"/>
  <c r="E31" i="23"/>
  <c r="V16" i="23" s="1"/>
  <c r="E32" i="23"/>
  <c r="V17" i="23" s="1"/>
  <c r="D294" i="23"/>
  <c r="I435" i="23"/>
  <c r="F439" i="23"/>
  <c r="G176" i="23"/>
  <c r="G177" i="23"/>
  <c r="X67" i="23" s="1"/>
  <c r="X75" i="23" s="1"/>
  <c r="F270" i="23"/>
  <c r="W98" i="23"/>
  <c r="F269" i="23"/>
  <c r="AO99" i="23"/>
  <c r="AO109" i="23" s="1"/>
  <c r="AO117" i="23" s="1"/>
  <c r="AO110" i="23"/>
  <c r="H581" i="23"/>
  <c r="I581" i="23" s="1"/>
  <c r="E89" i="23"/>
  <c r="V36" i="23" s="1"/>
  <c r="V44" i="23" s="1"/>
  <c r="V233" i="23" s="1"/>
  <c r="H263" i="23"/>
  <c r="I264" i="23" s="1"/>
  <c r="AE24" i="23" s="1"/>
  <c r="G524" i="23"/>
  <c r="X186" i="23" s="1"/>
  <c r="X194" i="23" s="1"/>
  <c r="X248" i="23" s="1"/>
  <c r="J291" i="23"/>
  <c r="X111" i="23" s="1"/>
  <c r="X110" i="23"/>
  <c r="K291" i="23"/>
  <c r="P291" i="23"/>
  <c r="G61" i="23"/>
  <c r="X27" i="23" s="1"/>
  <c r="X35" i="23" s="1"/>
  <c r="G60" i="23"/>
  <c r="E380" i="23"/>
  <c r="V137" i="23" s="1"/>
  <c r="V145" i="23" s="1"/>
  <c r="H232" i="23"/>
  <c r="I232" i="23" s="1"/>
  <c r="C205" i="23"/>
  <c r="T76" i="23" s="1"/>
  <c r="T84" i="23" s="1"/>
  <c r="H200" i="23"/>
  <c r="C206" i="23"/>
  <c r="T77" i="23" s="1"/>
  <c r="T85" i="23" s="1"/>
  <c r="D90" i="23"/>
  <c r="U37" i="23" s="1"/>
  <c r="U45" i="23" s="1"/>
  <c r="C322" i="23"/>
  <c r="T117" i="23" s="1"/>
  <c r="T125" i="23" s="1"/>
  <c r="K173" i="23"/>
  <c r="P173" i="23" s="1"/>
  <c r="J173" i="23"/>
  <c r="V71" i="23" s="1"/>
  <c r="V70" i="23"/>
  <c r="E148" i="23"/>
  <c r="V57" i="23" s="1"/>
  <c r="V65" i="23" s="1"/>
  <c r="C409" i="23"/>
  <c r="T147" i="23" s="1"/>
  <c r="T155" i="23" s="1"/>
  <c r="H521" i="23"/>
  <c r="I55" i="23"/>
  <c r="J231" i="23"/>
  <c r="V91" i="23" s="1"/>
  <c r="K231" i="23"/>
  <c r="P231" i="23" s="1"/>
  <c r="V90" i="23"/>
  <c r="G553" i="23"/>
  <c r="X196" i="23" s="1"/>
  <c r="X204" i="23" s="1"/>
  <c r="X249" i="23" s="1"/>
  <c r="G554" i="23"/>
  <c r="X197" i="23" s="1"/>
  <c r="X205" i="23" s="1"/>
  <c r="I287" i="23"/>
  <c r="C118" i="23"/>
  <c r="J462" i="23"/>
  <c r="U171" i="23" s="1"/>
  <c r="K462" i="23"/>
  <c r="P462" i="23" s="1"/>
  <c r="U170" i="23"/>
  <c r="D582" i="23"/>
  <c r="F467" i="23"/>
  <c r="W167" i="23" s="1"/>
  <c r="W175" i="23" s="1"/>
  <c r="F466" i="23"/>
  <c r="F31" i="23"/>
  <c r="W16" i="23" s="1"/>
  <c r="F32" i="23"/>
  <c r="W17" i="23" s="1"/>
  <c r="H434" i="23"/>
  <c r="H171" i="23"/>
  <c r="H176" i="23" s="1"/>
  <c r="I177" i="23" s="1"/>
  <c r="AE21" i="23" s="1"/>
  <c r="C176" i="23"/>
  <c r="T66" i="23" s="1"/>
  <c r="T74" i="23" s="1"/>
  <c r="C177" i="23"/>
  <c r="T67" i="23" s="1"/>
  <c r="T75" i="23" s="1"/>
  <c r="D323" i="23"/>
  <c r="E408" i="23"/>
  <c r="V146" i="23" s="1"/>
  <c r="V154" i="23" s="1"/>
  <c r="V244" i="23" s="1"/>
  <c r="H436" i="23"/>
  <c r="I436" i="23" s="1"/>
  <c r="I432" i="23"/>
  <c r="C61" i="23"/>
  <c r="T27" i="23" s="1"/>
  <c r="T35" i="23" s="1"/>
  <c r="G350" i="23"/>
  <c r="G147" i="23"/>
  <c r="X56" i="23" s="1"/>
  <c r="X64" i="23" s="1"/>
  <c r="X235" i="23" s="1"/>
  <c r="G408" i="23"/>
  <c r="X146" i="23" s="1"/>
  <c r="X154" i="23" s="1"/>
  <c r="X244" i="23" s="1"/>
  <c r="G91" i="23"/>
  <c r="I88" i="23"/>
  <c r="F148" i="23"/>
  <c r="W57" i="23" s="1"/>
  <c r="W65" i="23" s="1"/>
  <c r="G409" i="23"/>
  <c r="X147" i="23" s="1"/>
  <c r="X155" i="23" s="1"/>
  <c r="H579" i="23"/>
  <c r="I579" i="23" s="1"/>
  <c r="E149" i="23"/>
  <c r="D553" i="23"/>
  <c r="U196" i="23" s="1"/>
  <c r="U204" i="23" s="1"/>
  <c r="U249" i="23" s="1"/>
  <c r="D554" i="23"/>
  <c r="U197" i="23" s="1"/>
  <c r="U205" i="23" s="1"/>
  <c r="W225" i="23"/>
  <c r="AT98" i="23"/>
  <c r="AY98" i="23" s="1"/>
  <c r="AP113" i="23"/>
  <c r="AS98" i="23"/>
  <c r="AP114" i="23" s="1"/>
  <c r="E582" i="23"/>
  <c r="V206" i="23" s="1"/>
  <c r="V214" i="23" s="1"/>
  <c r="V250" i="23" s="1"/>
  <c r="G466" i="23"/>
  <c r="G467" i="23"/>
  <c r="X167" i="23" s="1"/>
  <c r="X175" i="23" s="1"/>
  <c r="C31" i="23"/>
  <c r="T16" i="23" s="1"/>
  <c r="H26" i="23"/>
  <c r="I26" i="23" s="1"/>
  <c r="C32" i="23"/>
  <c r="T17" i="23" s="1"/>
  <c r="D438" i="23"/>
  <c r="U157" i="23" s="1"/>
  <c r="U165" i="23" s="1"/>
  <c r="E438" i="23"/>
  <c r="V157" i="23" s="1"/>
  <c r="V165" i="23" s="1"/>
  <c r="X30" i="23"/>
  <c r="K59" i="23"/>
  <c r="P59" i="23" s="1"/>
  <c r="J59" i="23"/>
  <c r="X31" i="23" s="1"/>
  <c r="C89" i="23"/>
  <c r="T36" i="23" s="1"/>
  <c r="T44" i="23" s="1"/>
  <c r="H84" i="23"/>
  <c r="H492" i="23"/>
  <c r="I492" i="23" s="1"/>
  <c r="C439" i="23"/>
  <c r="C147" i="23"/>
  <c r="T56" i="23" s="1"/>
  <c r="T64" i="23" s="1"/>
  <c r="H142" i="23"/>
  <c r="F497" i="23"/>
  <c r="C263" i="23"/>
  <c r="K261" i="23"/>
  <c r="P261" i="23" s="1"/>
  <c r="J261" i="23"/>
  <c r="W101" i="23" s="1"/>
  <c r="W100" i="23"/>
  <c r="AM99" i="23"/>
  <c r="AM110" i="23"/>
  <c r="C235" i="23"/>
  <c r="T87" i="23" s="1"/>
  <c r="T95" i="23" s="1"/>
  <c r="C321" i="23"/>
  <c r="H115" i="23"/>
  <c r="I115" i="23" s="1"/>
  <c r="G148" i="23"/>
  <c r="X57" i="23" s="1"/>
  <c r="X65" i="23" s="1"/>
  <c r="E409" i="23"/>
  <c r="V147" i="23" s="1"/>
  <c r="V155" i="23" s="1"/>
  <c r="E526" i="23"/>
  <c r="C60" i="23"/>
  <c r="G264" i="23"/>
  <c r="X97" i="23" s="1"/>
  <c r="X105" i="23" s="1"/>
  <c r="H548" i="23"/>
  <c r="I548" i="23" s="1"/>
  <c r="C553" i="23"/>
  <c r="T196" i="23" s="1"/>
  <c r="T204" i="23" s="1"/>
  <c r="C554" i="23"/>
  <c r="T197" i="23" s="1"/>
  <c r="T205" i="23" s="1"/>
  <c r="D234" i="23"/>
  <c r="U86" i="23" s="1"/>
  <c r="U94" i="23" s="1"/>
  <c r="U238" i="23" s="1"/>
  <c r="E120" i="23"/>
  <c r="K378" i="23"/>
  <c r="P378" i="23" s="1"/>
  <c r="J378" i="23"/>
  <c r="X141" i="23" s="1"/>
  <c r="X140" i="23"/>
  <c r="F582" i="23"/>
  <c r="W206" i="23" s="1"/>
  <c r="W214" i="23" s="1"/>
  <c r="W250" i="23" s="1"/>
  <c r="G31" i="23"/>
  <c r="G32" i="23"/>
  <c r="X17" i="23" s="1"/>
  <c r="F234" i="23"/>
  <c r="W86" i="23" s="1"/>
  <c r="W94" i="23" s="1"/>
  <c r="W238" i="23" s="1"/>
  <c r="E439" i="23"/>
  <c r="H493" i="23"/>
  <c r="I493" i="23" s="1"/>
  <c r="C496" i="23"/>
  <c r="T177" i="23" s="1"/>
  <c r="T185" i="23" s="1"/>
  <c r="AL110" i="21"/>
  <c r="AP101" i="21"/>
  <c r="F583" i="21"/>
  <c r="W207" i="21" s="1"/>
  <c r="W215" i="21" s="1"/>
  <c r="G553" i="21"/>
  <c r="E496" i="21"/>
  <c r="V177" i="21" s="1"/>
  <c r="V185" i="21" s="1"/>
  <c r="D497" i="21"/>
  <c r="G467" i="21"/>
  <c r="X167" i="21" s="1"/>
  <c r="X175" i="21" s="1"/>
  <c r="H405" i="21"/>
  <c r="X130" i="21"/>
  <c r="K349" i="21"/>
  <c r="P349" i="21" s="1"/>
  <c r="H348" i="21"/>
  <c r="I348" i="21" s="1"/>
  <c r="F322" i="21"/>
  <c r="W117" i="21" s="1"/>
  <c r="W125" i="21" s="1"/>
  <c r="E321" i="21"/>
  <c r="V116" i="21" s="1"/>
  <c r="V124" i="21" s="1"/>
  <c r="V241" i="21" s="1"/>
  <c r="H319" i="21"/>
  <c r="F234" i="21"/>
  <c r="W86" i="21" s="1"/>
  <c r="W94" i="21" s="1"/>
  <c r="W238" i="21" s="1"/>
  <c r="H175" i="21"/>
  <c r="D176" i="21"/>
  <c r="U66" i="21" s="1"/>
  <c r="U74" i="21" s="1"/>
  <c r="U236" i="21" s="1"/>
  <c r="C147" i="21"/>
  <c r="T56" i="21" s="1"/>
  <c r="T64" i="21" s="1"/>
  <c r="F148" i="21"/>
  <c r="W57" i="21" s="1"/>
  <c r="W65" i="21" s="1"/>
  <c r="D147" i="21"/>
  <c r="U56" i="21" s="1"/>
  <c r="U64" i="21" s="1"/>
  <c r="U235" i="21" s="1"/>
  <c r="E148" i="21"/>
  <c r="V57" i="21" s="1"/>
  <c r="V65" i="21" s="1"/>
  <c r="H88" i="21"/>
  <c r="I88" i="21" s="1"/>
  <c r="H86" i="21"/>
  <c r="F60" i="21"/>
  <c r="W26" i="21" s="1"/>
  <c r="W34" i="21" s="1"/>
  <c r="W232" i="21" s="1"/>
  <c r="E60" i="21"/>
  <c r="G60" i="21"/>
  <c r="X26" i="21" s="1"/>
  <c r="X34" i="21" s="1"/>
  <c r="X232" i="21" s="1"/>
  <c r="D60" i="21"/>
  <c r="U26" i="21" s="1"/>
  <c r="U34" i="21" s="1"/>
  <c r="U232" i="21" s="1"/>
  <c r="E32" i="21"/>
  <c r="V17" i="21" s="1"/>
  <c r="G32" i="21"/>
  <c r="X17" i="21" s="1"/>
  <c r="C583" i="21"/>
  <c r="T207" i="21" s="1"/>
  <c r="T215" i="21" s="1"/>
  <c r="H579" i="21"/>
  <c r="I579" i="21" s="1"/>
  <c r="D583" i="21"/>
  <c r="U207" i="21" s="1"/>
  <c r="U215" i="21" s="1"/>
  <c r="E554" i="21"/>
  <c r="V197" i="21" s="1"/>
  <c r="V205" i="21" s="1"/>
  <c r="H551" i="21"/>
  <c r="C554" i="21"/>
  <c r="T197" i="21" s="1"/>
  <c r="T205" i="21" s="1"/>
  <c r="D553" i="21"/>
  <c r="U196" i="21" s="1"/>
  <c r="U204" i="21" s="1"/>
  <c r="U249" i="21" s="1"/>
  <c r="H521" i="21"/>
  <c r="I521" i="21" s="1"/>
  <c r="D496" i="21"/>
  <c r="U177" i="21" s="1"/>
  <c r="U185" i="21" s="1"/>
  <c r="F495" i="21"/>
  <c r="W176" i="21" s="1"/>
  <c r="W184" i="21" s="1"/>
  <c r="W247" i="21" s="1"/>
  <c r="E497" i="21"/>
  <c r="E502" i="21" s="1"/>
  <c r="H490" i="21"/>
  <c r="H495" i="21" s="1"/>
  <c r="I496" i="21" s="1"/>
  <c r="AE32" i="21" s="1"/>
  <c r="I490" i="21"/>
  <c r="G497" i="21"/>
  <c r="G502" i="21" s="1"/>
  <c r="E467" i="21"/>
  <c r="V167" i="21" s="1"/>
  <c r="V175" i="21" s="1"/>
  <c r="H464" i="21"/>
  <c r="I464" i="21" s="1"/>
  <c r="E466" i="21"/>
  <c r="V166" i="21" s="1"/>
  <c r="V174" i="21" s="1"/>
  <c r="V246" i="21" s="1"/>
  <c r="F467" i="21"/>
  <c r="W167" i="21" s="1"/>
  <c r="W175" i="21" s="1"/>
  <c r="D437" i="21"/>
  <c r="U156" i="21" s="1"/>
  <c r="U164" i="21" s="1"/>
  <c r="U245" i="21" s="1"/>
  <c r="E437" i="21"/>
  <c r="V156" i="21" s="1"/>
  <c r="V164" i="21" s="1"/>
  <c r="V245" i="21" s="1"/>
  <c r="G438" i="21"/>
  <c r="X157" i="21" s="1"/>
  <c r="X165" i="21" s="1"/>
  <c r="D409" i="21"/>
  <c r="U147" i="21" s="1"/>
  <c r="U155" i="21" s="1"/>
  <c r="D321" i="21"/>
  <c r="U116" i="21" s="1"/>
  <c r="U124" i="21" s="1"/>
  <c r="U241" i="21" s="1"/>
  <c r="G321" i="21"/>
  <c r="X116" i="21" s="1"/>
  <c r="X124" i="21" s="1"/>
  <c r="X241" i="21" s="1"/>
  <c r="C322" i="21"/>
  <c r="T117" i="21" s="1"/>
  <c r="T125" i="21" s="1"/>
  <c r="H291" i="21"/>
  <c r="H260" i="21"/>
  <c r="I260" i="21" s="1"/>
  <c r="J260" i="21" s="1"/>
  <c r="V101" i="21" s="1"/>
  <c r="H232" i="21"/>
  <c r="I232" i="21" s="1"/>
  <c r="E235" i="21"/>
  <c r="V87" i="21" s="1"/>
  <c r="V95" i="21" s="1"/>
  <c r="F235" i="21"/>
  <c r="W87" i="21" s="1"/>
  <c r="W95" i="21" s="1"/>
  <c r="H233" i="21"/>
  <c r="G234" i="21"/>
  <c r="X86" i="21" s="1"/>
  <c r="X94" i="21" s="1"/>
  <c r="X238" i="21" s="1"/>
  <c r="E205" i="21"/>
  <c r="V76" i="21" s="1"/>
  <c r="V84" i="21" s="1"/>
  <c r="V237" i="21" s="1"/>
  <c r="C206" i="21"/>
  <c r="T77" i="21" s="1"/>
  <c r="T85" i="21" s="1"/>
  <c r="F207" i="21"/>
  <c r="F211" i="21" s="1"/>
  <c r="D206" i="21"/>
  <c r="U77" i="21" s="1"/>
  <c r="U85" i="21" s="1"/>
  <c r="H173" i="21"/>
  <c r="E177" i="21"/>
  <c r="V67" i="21" s="1"/>
  <c r="V75" i="21" s="1"/>
  <c r="G176" i="21"/>
  <c r="X66" i="21" s="1"/>
  <c r="X74" i="21" s="1"/>
  <c r="X236" i="21" s="1"/>
  <c r="F147" i="21"/>
  <c r="W56" i="21" s="1"/>
  <c r="W64" i="21" s="1"/>
  <c r="W235" i="21" s="1"/>
  <c r="G148" i="21"/>
  <c r="X57" i="21" s="1"/>
  <c r="X65" i="21" s="1"/>
  <c r="D148" i="21"/>
  <c r="U57" i="21" s="1"/>
  <c r="U65" i="21" s="1"/>
  <c r="V285" i="21"/>
  <c r="V286" i="21" s="1"/>
  <c r="C60" i="21"/>
  <c r="T26" i="21" s="1"/>
  <c r="T34" i="21" s="1"/>
  <c r="F31" i="21"/>
  <c r="W16" i="21" s="1"/>
  <c r="W24" i="21" s="1"/>
  <c r="C32" i="21"/>
  <c r="T17" i="21" s="1"/>
  <c r="T25" i="21" s="1"/>
  <c r="K59" i="21"/>
  <c r="P59" i="21" s="1"/>
  <c r="X30" i="21"/>
  <c r="J59" i="21"/>
  <c r="X31" i="21" s="1"/>
  <c r="K290" i="21"/>
  <c r="P290" i="21" s="1"/>
  <c r="J290" i="21"/>
  <c r="W111" i="21" s="1"/>
  <c r="W110" i="21"/>
  <c r="U40" i="21"/>
  <c r="K85" i="21"/>
  <c r="P85" i="21" s="1"/>
  <c r="J85" i="21"/>
  <c r="U41" i="21" s="1"/>
  <c r="K579" i="21"/>
  <c r="P579" i="21" s="1"/>
  <c r="J579" i="21"/>
  <c r="V211" i="21" s="1"/>
  <c r="V210" i="21"/>
  <c r="V26" i="21"/>
  <c r="V34" i="21" s="1"/>
  <c r="V232" i="21" s="1"/>
  <c r="E62" i="21"/>
  <c r="K288" i="21"/>
  <c r="P288" i="21" s="1"/>
  <c r="J288" i="21"/>
  <c r="U111" i="21" s="1"/>
  <c r="U110" i="21"/>
  <c r="T16" i="21"/>
  <c r="C33" i="21"/>
  <c r="K29" i="21"/>
  <c r="P29" i="21" s="1"/>
  <c r="J29" i="21"/>
  <c r="W21" i="21" s="1"/>
  <c r="W20" i="21"/>
  <c r="J204" i="21"/>
  <c r="X81" i="21" s="1"/>
  <c r="K204" i="21"/>
  <c r="P204" i="21" s="1"/>
  <c r="X80" i="21"/>
  <c r="V24" i="21"/>
  <c r="C149" i="21"/>
  <c r="J552" i="21"/>
  <c r="X201" i="21" s="1"/>
  <c r="K552" i="21"/>
  <c r="X200" i="21"/>
  <c r="P552" i="21"/>
  <c r="K114" i="21"/>
  <c r="P114" i="21" s="1"/>
  <c r="J114" i="21"/>
  <c r="U51" i="21" s="1"/>
  <c r="U50" i="21"/>
  <c r="X76" i="21"/>
  <c r="X84" i="21" s="1"/>
  <c r="X237" i="21" s="1"/>
  <c r="G207" i="21"/>
  <c r="W25" i="21"/>
  <c r="D149" i="21"/>
  <c r="K433" i="21"/>
  <c r="P433" i="21" s="1"/>
  <c r="J433" i="21"/>
  <c r="U161" i="21" s="1"/>
  <c r="U160" i="21"/>
  <c r="X196" i="21"/>
  <c r="X204" i="21" s="1"/>
  <c r="X249" i="21" s="1"/>
  <c r="G555" i="21"/>
  <c r="E439" i="21"/>
  <c r="U76" i="21"/>
  <c r="U84" i="21" s="1"/>
  <c r="U237" i="21" s="1"/>
  <c r="D207" i="21"/>
  <c r="K377" i="21"/>
  <c r="P377" i="21" s="1"/>
  <c r="J377" i="21"/>
  <c r="W141" i="21" s="1"/>
  <c r="W140" i="21"/>
  <c r="G62" i="21"/>
  <c r="K201" i="21"/>
  <c r="P201" i="21" s="1"/>
  <c r="J201" i="21"/>
  <c r="U81" i="21" s="1"/>
  <c r="U80" i="21"/>
  <c r="K434" i="21"/>
  <c r="P434" i="21" s="1"/>
  <c r="J434" i="21"/>
  <c r="V161" i="21" s="1"/>
  <c r="V160" i="21"/>
  <c r="C62" i="21"/>
  <c r="D439" i="21"/>
  <c r="J406" i="21"/>
  <c r="W151" i="21" s="1"/>
  <c r="K406" i="21"/>
  <c r="P406" i="21" s="1"/>
  <c r="W150" i="21"/>
  <c r="U25" i="21"/>
  <c r="G524" i="21"/>
  <c r="G525" i="21"/>
  <c r="X187" i="21" s="1"/>
  <c r="X195" i="21" s="1"/>
  <c r="E61" i="21"/>
  <c r="V27" i="21" s="1"/>
  <c r="V35" i="21" s="1"/>
  <c r="K345" i="21"/>
  <c r="P345" i="21" s="1"/>
  <c r="J345" i="21"/>
  <c r="T131" i="21" s="1"/>
  <c r="T130" i="21"/>
  <c r="H287" i="21"/>
  <c r="I287" i="21" s="1"/>
  <c r="C292" i="21"/>
  <c r="T106" i="21" s="1"/>
  <c r="T114" i="21" s="1"/>
  <c r="C293" i="21"/>
  <c r="T107" i="21" s="1"/>
  <c r="T115" i="21" s="1"/>
  <c r="K260" i="21"/>
  <c r="P260" i="21" s="1"/>
  <c r="V100" i="21"/>
  <c r="H318" i="21"/>
  <c r="I318" i="21" s="1"/>
  <c r="T285" i="21"/>
  <c r="T286" i="21" s="1"/>
  <c r="T284" i="21"/>
  <c r="T225" i="21"/>
  <c r="H436" i="21"/>
  <c r="H117" i="21"/>
  <c r="I117" i="21" s="1"/>
  <c r="F236" i="21"/>
  <c r="E582" i="21"/>
  <c r="H230" i="21"/>
  <c r="I230" i="21" s="1"/>
  <c r="F466" i="21"/>
  <c r="W166" i="21" s="1"/>
  <c r="W174" i="21" s="1"/>
  <c r="W246" i="21" s="1"/>
  <c r="H289" i="21"/>
  <c r="I289" i="21" s="1"/>
  <c r="G61" i="21"/>
  <c r="X27" i="21" s="1"/>
  <c r="X35" i="21" s="1"/>
  <c r="D292" i="21"/>
  <c r="D293" i="21"/>
  <c r="U107" i="21" s="1"/>
  <c r="U115" i="21" s="1"/>
  <c r="AM110" i="21"/>
  <c r="K57" i="21"/>
  <c r="P57" i="21" s="1"/>
  <c r="J57" i="21"/>
  <c r="V31" i="21" s="1"/>
  <c r="V30" i="21"/>
  <c r="D234" i="21"/>
  <c r="U86" i="21" s="1"/>
  <c r="U94" i="21" s="1"/>
  <c r="U238" i="21" s="1"/>
  <c r="D62" i="21"/>
  <c r="G235" i="21"/>
  <c r="X87" i="21" s="1"/>
  <c r="X95" i="21" s="1"/>
  <c r="I550" i="21"/>
  <c r="E147" i="21"/>
  <c r="V56" i="21" s="1"/>
  <c r="V64" i="21" s="1"/>
  <c r="V235" i="21" s="1"/>
  <c r="I319" i="21"/>
  <c r="D322" i="21"/>
  <c r="U117" i="21" s="1"/>
  <c r="U125" i="21" s="1"/>
  <c r="C177" i="21"/>
  <c r="T67" i="21" s="1"/>
  <c r="T75" i="21" s="1"/>
  <c r="F582" i="21"/>
  <c r="W206" i="21" s="1"/>
  <c r="W214" i="21" s="1"/>
  <c r="W250" i="21" s="1"/>
  <c r="K261" i="21"/>
  <c r="J261" i="21"/>
  <c r="W101" i="21" s="1"/>
  <c r="P261" i="21"/>
  <c r="W100" i="21"/>
  <c r="I405" i="21"/>
  <c r="E553" i="21"/>
  <c r="V196" i="21" s="1"/>
  <c r="V204" i="21" s="1"/>
  <c r="V249" i="21" s="1"/>
  <c r="T176" i="21"/>
  <c r="T184" i="21" s="1"/>
  <c r="C497" i="21"/>
  <c r="C352" i="21"/>
  <c r="F149" i="21"/>
  <c r="E292" i="21"/>
  <c r="V106" i="21" s="1"/>
  <c r="V114" i="21" s="1"/>
  <c r="V240" i="21" s="1"/>
  <c r="E293" i="21"/>
  <c r="V107" i="21" s="1"/>
  <c r="V115" i="21" s="1"/>
  <c r="F176" i="21"/>
  <c r="W66" i="21" s="1"/>
  <c r="W74" i="21" s="1"/>
  <c r="W236" i="21" s="1"/>
  <c r="H578" i="21"/>
  <c r="I578" i="21" s="1"/>
  <c r="H144" i="21"/>
  <c r="C148" i="21"/>
  <c r="T57" i="21" s="1"/>
  <c r="T65" i="21" s="1"/>
  <c r="E322" i="21"/>
  <c r="V117" i="21" s="1"/>
  <c r="V125" i="21" s="1"/>
  <c r="G582" i="21"/>
  <c r="X206" i="21" s="1"/>
  <c r="X214" i="21" s="1"/>
  <c r="X250" i="21" s="1"/>
  <c r="E438" i="21"/>
  <c r="V157" i="21" s="1"/>
  <c r="V165" i="21" s="1"/>
  <c r="H407" i="21"/>
  <c r="I407" i="21" s="1"/>
  <c r="K26" i="21"/>
  <c r="P26" i="21" s="1"/>
  <c r="J26" i="21"/>
  <c r="T21" i="21" s="1"/>
  <c r="T20" i="21"/>
  <c r="T242" i="21"/>
  <c r="AA134" i="21"/>
  <c r="H549" i="21"/>
  <c r="H553" i="21" s="1"/>
  <c r="I554" i="21" s="1"/>
  <c r="AE34" i="21" s="1"/>
  <c r="G292" i="21"/>
  <c r="X106" i="21" s="1"/>
  <c r="X114" i="21" s="1"/>
  <c r="X240" i="21" s="1"/>
  <c r="G293" i="21"/>
  <c r="X107" i="21" s="1"/>
  <c r="X115" i="21" s="1"/>
  <c r="H435" i="21"/>
  <c r="I435" i="21" s="1"/>
  <c r="I462" i="21"/>
  <c r="H258" i="21"/>
  <c r="H263" i="21" s="1"/>
  <c r="I264" i="21" s="1"/>
  <c r="AE24" i="21" s="1"/>
  <c r="C263" i="21"/>
  <c r="T96" i="21" s="1"/>
  <c r="T104" i="21" s="1"/>
  <c r="C264" i="21"/>
  <c r="T97" i="21" s="1"/>
  <c r="T105" i="21" s="1"/>
  <c r="W40" i="21"/>
  <c r="J87" i="21"/>
  <c r="W41" i="21" s="1"/>
  <c r="K87" i="21"/>
  <c r="P87" i="21" s="1"/>
  <c r="G120" i="21"/>
  <c r="AP103" i="21"/>
  <c r="AP111" i="21"/>
  <c r="K320" i="21"/>
  <c r="P320" i="21" s="1"/>
  <c r="J320" i="21"/>
  <c r="X121" i="21" s="1"/>
  <c r="X120" i="21"/>
  <c r="K520" i="21"/>
  <c r="P520" i="21" s="1"/>
  <c r="J520" i="21"/>
  <c r="U191" i="21" s="1"/>
  <c r="U190" i="21"/>
  <c r="X16" i="21"/>
  <c r="G33" i="21"/>
  <c r="K203" i="21"/>
  <c r="P203" i="21" s="1"/>
  <c r="J203" i="21"/>
  <c r="W81" i="21" s="1"/>
  <c r="W80" i="21"/>
  <c r="J143" i="21"/>
  <c r="U61" i="21" s="1"/>
  <c r="U60" i="21"/>
  <c r="K143" i="21"/>
  <c r="P143" i="21" s="1"/>
  <c r="G437" i="21"/>
  <c r="X156" i="21" s="1"/>
  <c r="X164" i="21" s="1"/>
  <c r="X245" i="21" s="1"/>
  <c r="K346" i="21"/>
  <c r="J346" i="21"/>
  <c r="U131" i="21" s="1"/>
  <c r="P346" i="21"/>
  <c r="U130" i="21"/>
  <c r="K548" i="21"/>
  <c r="P548" i="21" s="1"/>
  <c r="J548" i="21"/>
  <c r="T201" i="21" s="1"/>
  <c r="T200" i="21"/>
  <c r="D263" i="21"/>
  <c r="U96" i="21" s="1"/>
  <c r="U104" i="21" s="1"/>
  <c r="U239" i="21" s="1"/>
  <c r="D264" i="21"/>
  <c r="U97" i="21" s="1"/>
  <c r="U105" i="21" s="1"/>
  <c r="J494" i="21"/>
  <c r="X181" i="21" s="1"/>
  <c r="K494" i="21"/>
  <c r="P494" i="21" s="1"/>
  <c r="X180" i="21"/>
  <c r="U225" i="21"/>
  <c r="U285" i="21"/>
  <c r="U286" i="21" s="1"/>
  <c r="U284" i="21"/>
  <c r="AP113" i="21"/>
  <c r="AT98" i="21"/>
  <c r="AY98" i="21" s="1"/>
  <c r="AS98" i="21"/>
  <c r="AP114" i="21" s="1"/>
  <c r="X25" i="21"/>
  <c r="F209" i="21"/>
  <c r="W78" i="21"/>
  <c r="D178" i="21"/>
  <c r="G147" i="21"/>
  <c r="X56" i="21" s="1"/>
  <c r="X64" i="21" s="1"/>
  <c r="X235" i="21" s="1"/>
  <c r="V25" i="21"/>
  <c r="H58" i="21"/>
  <c r="I58" i="21" s="1"/>
  <c r="C438" i="21"/>
  <c r="T157" i="21" s="1"/>
  <c r="T165" i="21" s="1"/>
  <c r="D31" i="21"/>
  <c r="C61" i="21"/>
  <c r="T27" i="21" s="1"/>
  <c r="T35" i="21" s="1"/>
  <c r="W285" i="21"/>
  <c r="W286" i="21" s="1"/>
  <c r="W284" i="21"/>
  <c r="W225" i="21"/>
  <c r="G408" i="21"/>
  <c r="X146" i="21" s="1"/>
  <c r="X154" i="21" s="1"/>
  <c r="X244" i="21" s="1"/>
  <c r="D354" i="21"/>
  <c r="D356" i="21"/>
  <c r="D357" i="21"/>
  <c r="U128" i="21"/>
  <c r="I142" i="21"/>
  <c r="C379" i="21"/>
  <c r="T136" i="21" s="1"/>
  <c r="T144" i="21" s="1"/>
  <c r="H374" i="21"/>
  <c r="H379" i="21" s="1"/>
  <c r="I380" i="21" s="1"/>
  <c r="AE28" i="21" s="1"/>
  <c r="C380" i="21"/>
  <c r="T137" i="21" s="1"/>
  <c r="T145" i="21" s="1"/>
  <c r="F438" i="21"/>
  <c r="W157" i="21" s="1"/>
  <c r="W165" i="21" s="1"/>
  <c r="D177" i="21"/>
  <c r="U67" i="21" s="1"/>
  <c r="U75" i="21" s="1"/>
  <c r="K347" i="21"/>
  <c r="P347" i="21" s="1"/>
  <c r="J347" i="21"/>
  <c r="V131" i="21" s="1"/>
  <c r="V130" i="21"/>
  <c r="J348" i="21"/>
  <c r="W131" i="21" s="1"/>
  <c r="K348" i="21"/>
  <c r="P348" i="21" s="1"/>
  <c r="W130" i="21"/>
  <c r="K376" i="21"/>
  <c r="P376" i="21" s="1"/>
  <c r="J376" i="21"/>
  <c r="V141" i="21" s="1"/>
  <c r="V140" i="21"/>
  <c r="E263" i="21"/>
  <c r="E264" i="21"/>
  <c r="V97" i="21" s="1"/>
  <c r="V105" i="21" s="1"/>
  <c r="G501" i="21"/>
  <c r="G499" i="21"/>
  <c r="X178" i="21"/>
  <c r="D118" i="21"/>
  <c r="D119" i="21"/>
  <c r="U47" i="21" s="1"/>
  <c r="U55" i="21" s="1"/>
  <c r="V225" i="21"/>
  <c r="AL99" i="21"/>
  <c r="AL109" i="21" s="1"/>
  <c r="AL117" i="21" s="1"/>
  <c r="AQ94" i="21"/>
  <c r="H259" i="21"/>
  <c r="I259" i="21" s="1"/>
  <c r="F553" i="21"/>
  <c r="W196" i="21" s="1"/>
  <c r="W204" i="21" s="1"/>
  <c r="W249" i="21" s="1"/>
  <c r="F177" i="21"/>
  <c r="W67" i="21" s="1"/>
  <c r="W75" i="21" s="1"/>
  <c r="K231" i="21"/>
  <c r="P231" i="21" s="1"/>
  <c r="J231" i="21"/>
  <c r="V91" i="21" s="1"/>
  <c r="V90" i="21"/>
  <c r="I171" i="21"/>
  <c r="J378" i="21"/>
  <c r="X141" i="21" s="1"/>
  <c r="K378" i="21"/>
  <c r="P378" i="21" s="1"/>
  <c r="X140" i="21"/>
  <c r="H146" i="21"/>
  <c r="I146" i="21" s="1"/>
  <c r="H522" i="21"/>
  <c r="I522" i="21" s="1"/>
  <c r="I86" i="21"/>
  <c r="E379" i="21"/>
  <c r="E380" i="21"/>
  <c r="V137" i="21" s="1"/>
  <c r="V145" i="21" s="1"/>
  <c r="C408" i="21"/>
  <c r="T146" i="21" s="1"/>
  <c r="T154" i="21" s="1"/>
  <c r="H403" i="21"/>
  <c r="E357" i="21"/>
  <c r="E354" i="21"/>
  <c r="V128" i="21"/>
  <c r="E356" i="21"/>
  <c r="J116" i="21"/>
  <c r="W51" i="21" s="1"/>
  <c r="K116" i="21"/>
  <c r="P116" i="21" s="1"/>
  <c r="W50" i="21"/>
  <c r="F357" i="21"/>
  <c r="F354" i="21"/>
  <c r="W128" i="21"/>
  <c r="F356" i="21"/>
  <c r="F353" i="21" s="1"/>
  <c r="W129" i="21" s="1"/>
  <c r="H202" i="21"/>
  <c r="I202" i="21" s="1"/>
  <c r="F263" i="21"/>
  <c r="F264" i="21"/>
  <c r="W97" i="21" s="1"/>
  <c r="W105" i="21" s="1"/>
  <c r="J493" i="21"/>
  <c r="W181" i="21" s="1"/>
  <c r="K493" i="21"/>
  <c r="P493" i="21" s="1"/>
  <c r="W180" i="21"/>
  <c r="H55" i="21"/>
  <c r="G322" i="21"/>
  <c r="X117" i="21" s="1"/>
  <c r="X125" i="21" s="1"/>
  <c r="C437" i="21"/>
  <c r="G118" i="21"/>
  <c r="X46" i="21" s="1"/>
  <c r="X54" i="21" s="1"/>
  <c r="X234" i="21" s="1"/>
  <c r="G119" i="21"/>
  <c r="X47" i="21" s="1"/>
  <c r="X55" i="21" s="1"/>
  <c r="J492" i="21"/>
  <c r="V181" i="21" s="1"/>
  <c r="K492" i="21"/>
  <c r="P492" i="21" s="1"/>
  <c r="V180" i="21"/>
  <c r="V284" i="21"/>
  <c r="AM99" i="21"/>
  <c r="AM109" i="21" s="1"/>
  <c r="AM117" i="21" s="1"/>
  <c r="E583" i="21"/>
  <c r="V207" i="21" s="1"/>
  <c r="V215" i="21" s="1"/>
  <c r="G177" i="21"/>
  <c r="X67" i="21" s="1"/>
  <c r="X75" i="21" s="1"/>
  <c r="F62" i="21"/>
  <c r="C205" i="21"/>
  <c r="D466" i="21"/>
  <c r="U166" i="21" s="1"/>
  <c r="U174" i="21" s="1"/>
  <c r="U246" i="21" s="1"/>
  <c r="D379" i="21"/>
  <c r="D380" i="21"/>
  <c r="U137" i="21" s="1"/>
  <c r="U145" i="21" s="1"/>
  <c r="F89" i="21"/>
  <c r="F90" i="21"/>
  <c r="W37" i="21" s="1"/>
  <c r="W45" i="21" s="1"/>
  <c r="C553" i="21"/>
  <c r="I175" i="21"/>
  <c r="G178" i="21"/>
  <c r="G263" i="21"/>
  <c r="G264" i="21"/>
  <c r="X97" i="21" s="1"/>
  <c r="X105" i="21" s="1"/>
  <c r="I291" i="21"/>
  <c r="D499" i="21"/>
  <c r="D502" i="21"/>
  <c r="U178" i="21"/>
  <c r="D501" i="21"/>
  <c r="C118" i="21"/>
  <c r="T46" i="21" s="1"/>
  <c r="T54" i="21" s="1"/>
  <c r="H113" i="21"/>
  <c r="C119" i="21"/>
  <c r="T47" i="21" s="1"/>
  <c r="T55" i="21" s="1"/>
  <c r="H172" i="21"/>
  <c r="H176" i="21" s="1"/>
  <c r="I177" i="21" s="1"/>
  <c r="AE21" i="21" s="1"/>
  <c r="C176" i="21"/>
  <c r="I551" i="21"/>
  <c r="H28" i="21"/>
  <c r="I28" i="21" s="1"/>
  <c r="AQ95" i="21"/>
  <c r="AR95" i="21" s="1"/>
  <c r="K262" i="21"/>
  <c r="P262" i="21" s="1"/>
  <c r="J262" i="21"/>
  <c r="X101" i="21" s="1"/>
  <c r="X100" i="21"/>
  <c r="D524" i="21"/>
  <c r="D525" i="21"/>
  <c r="U187" i="21" s="1"/>
  <c r="U195" i="21" s="1"/>
  <c r="H463" i="21"/>
  <c r="I463" i="21" s="1"/>
  <c r="K88" i="21"/>
  <c r="P88" i="21" s="1"/>
  <c r="J88" i="21"/>
  <c r="X41" i="21" s="1"/>
  <c r="X40" i="21"/>
  <c r="F379" i="21"/>
  <c r="F380" i="21"/>
  <c r="W137" i="21" s="1"/>
  <c r="W145" i="21" s="1"/>
  <c r="F408" i="21"/>
  <c r="D408" i="21"/>
  <c r="U146" i="21" s="1"/>
  <c r="U154" i="21" s="1"/>
  <c r="U244" i="21" s="1"/>
  <c r="E90" i="21"/>
  <c r="V37" i="21" s="1"/>
  <c r="V45" i="21" s="1"/>
  <c r="E89" i="21"/>
  <c r="V36" i="21" s="1"/>
  <c r="V44" i="21" s="1"/>
  <c r="V233" i="21" s="1"/>
  <c r="G206" i="21"/>
  <c r="X77" i="21" s="1"/>
  <c r="X85" i="21" s="1"/>
  <c r="H581" i="21"/>
  <c r="I432" i="21"/>
  <c r="E118" i="21"/>
  <c r="E119" i="21"/>
  <c r="V47" i="21" s="1"/>
  <c r="V55" i="21" s="1"/>
  <c r="F321" i="21"/>
  <c r="W116" i="21" s="1"/>
  <c r="W124" i="21" s="1"/>
  <c r="W241" i="21" s="1"/>
  <c r="G583" i="21"/>
  <c r="X207" i="21" s="1"/>
  <c r="X215" i="21" s="1"/>
  <c r="E33" i="21"/>
  <c r="E524" i="21"/>
  <c r="V186" i="21" s="1"/>
  <c r="V194" i="21" s="1"/>
  <c r="V248" i="21" s="1"/>
  <c r="E525" i="21"/>
  <c r="V187" i="21" s="1"/>
  <c r="V195" i="21" s="1"/>
  <c r="E468" i="21"/>
  <c r="I200" i="21"/>
  <c r="X20" i="21"/>
  <c r="K30" i="21"/>
  <c r="P30" i="21" s="1"/>
  <c r="J30" i="21"/>
  <c r="X21" i="21" s="1"/>
  <c r="I233" i="21"/>
  <c r="G379" i="21"/>
  <c r="G380" i="21"/>
  <c r="X137" i="21" s="1"/>
  <c r="X145" i="21" s="1"/>
  <c r="C409" i="21"/>
  <c r="T147" i="21" s="1"/>
  <c r="T155" i="21" s="1"/>
  <c r="AP110" i="21"/>
  <c r="G89" i="21"/>
  <c r="G90" i="21"/>
  <c r="X37" i="21" s="1"/>
  <c r="X45" i="21" s="1"/>
  <c r="K375" i="21"/>
  <c r="P375" i="21" s="1"/>
  <c r="J375" i="21"/>
  <c r="U141" i="21" s="1"/>
  <c r="U140" i="21"/>
  <c r="D235" i="21"/>
  <c r="U87" i="21" s="1"/>
  <c r="U95" i="21" s="1"/>
  <c r="E323" i="21"/>
  <c r="AT97" i="21"/>
  <c r="AY97" i="21" s="1"/>
  <c r="AS97" i="21"/>
  <c r="AO114" i="21" s="1"/>
  <c r="AO113" i="21"/>
  <c r="J491" i="21"/>
  <c r="U181" i="21" s="1"/>
  <c r="K491" i="21"/>
  <c r="P491" i="21" s="1"/>
  <c r="U180" i="21"/>
  <c r="AP105" i="21"/>
  <c r="G357" i="21"/>
  <c r="G354" i="21"/>
  <c r="G356" i="21"/>
  <c r="X128" i="21"/>
  <c r="C466" i="21"/>
  <c r="T166" i="21" s="1"/>
  <c r="T174" i="21" s="1"/>
  <c r="H461" i="21"/>
  <c r="AS96" i="21"/>
  <c r="AN114" i="21" s="1"/>
  <c r="AT96" i="21"/>
  <c r="AY96" i="21" s="1"/>
  <c r="AN113" i="21"/>
  <c r="F118" i="21"/>
  <c r="F119" i="21"/>
  <c r="W47" i="21" s="1"/>
  <c r="W55" i="21" s="1"/>
  <c r="X284" i="21"/>
  <c r="X225" i="21"/>
  <c r="X285" i="21"/>
  <c r="X286" i="21" s="1"/>
  <c r="H316" i="21"/>
  <c r="C524" i="21"/>
  <c r="T186" i="21" s="1"/>
  <c r="T194" i="21" s="1"/>
  <c r="H519" i="21"/>
  <c r="I519" i="21" s="1"/>
  <c r="C525" i="21"/>
  <c r="T187" i="21" s="1"/>
  <c r="T195" i="21" s="1"/>
  <c r="F61" i="21"/>
  <c r="W27" i="21" s="1"/>
  <c r="W35" i="21" s="1"/>
  <c r="E234" i="21"/>
  <c r="H465" i="21"/>
  <c r="I465" i="21" s="1"/>
  <c r="E408" i="21"/>
  <c r="V146" i="21" s="1"/>
  <c r="V154" i="21" s="1"/>
  <c r="V244" i="21" s="1"/>
  <c r="C89" i="21"/>
  <c r="T36" i="21" s="1"/>
  <c r="T44" i="21" s="1"/>
  <c r="H84" i="21"/>
  <c r="H89" i="21" s="1"/>
  <c r="I90" i="21" s="1"/>
  <c r="AE18" i="21" s="1"/>
  <c r="C90" i="21"/>
  <c r="T37" i="21" s="1"/>
  <c r="T45" i="21" s="1"/>
  <c r="H56" i="21"/>
  <c r="I56" i="21" s="1"/>
  <c r="I581" i="21"/>
  <c r="AO111" i="21"/>
  <c r="AO103" i="21"/>
  <c r="AO106" i="21"/>
  <c r="AO102" i="21" s="1"/>
  <c r="AO112" i="21" s="1"/>
  <c r="E176" i="21"/>
  <c r="V66" i="21" s="1"/>
  <c r="V74" i="21" s="1"/>
  <c r="V236" i="21" s="1"/>
  <c r="H462" i="21"/>
  <c r="E149" i="21"/>
  <c r="I144" i="21"/>
  <c r="G466" i="21"/>
  <c r="X166" i="21" s="1"/>
  <c r="X174" i="21" s="1"/>
  <c r="X246" i="21" s="1"/>
  <c r="AN101" i="21"/>
  <c r="K115" i="21"/>
  <c r="P115" i="21" s="1"/>
  <c r="J115" i="21"/>
  <c r="V51" i="21" s="1"/>
  <c r="V50" i="21"/>
  <c r="C582" i="21"/>
  <c r="T206" i="21" s="1"/>
  <c r="T214" i="21" s="1"/>
  <c r="H577" i="21"/>
  <c r="I577" i="21"/>
  <c r="I173" i="21"/>
  <c r="K523" i="21"/>
  <c r="P523" i="21" s="1"/>
  <c r="J523" i="21"/>
  <c r="X191" i="21" s="1"/>
  <c r="X190" i="21"/>
  <c r="H174" i="21"/>
  <c r="I174" i="21" s="1"/>
  <c r="F524" i="21"/>
  <c r="W186" i="21" s="1"/>
  <c r="W194" i="21" s="1"/>
  <c r="W248" i="21" s="1"/>
  <c r="F525" i="21"/>
  <c r="W187" i="21" s="1"/>
  <c r="W195" i="21" s="1"/>
  <c r="H145" i="21"/>
  <c r="I145" i="21" s="1"/>
  <c r="F292" i="21"/>
  <c r="F293" i="21"/>
  <c r="W107" i="21" s="1"/>
  <c r="W115" i="21" s="1"/>
  <c r="D554" i="21"/>
  <c r="U197" i="21" s="1"/>
  <c r="U205" i="21" s="1"/>
  <c r="D89" i="21"/>
  <c r="D90" i="21"/>
  <c r="U37" i="21" s="1"/>
  <c r="U45" i="21" s="1"/>
  <c r="C234" i="21"/>
  <c r="T86" i="21" s="1"/>
  <c r="T94" i="21" s="1"/>
  <c r="I229" i="21"/>
  <c r="C236" i="21"/>
  <c r="H229" i="21"/>
  <c r="C235" i="21"/>
  <c r="T87" i="21" s="1"/>
  <c r="T95" i="21" s="1"/>
  <c r="H317" i="21"/>
  <c r="I317" i="21" s="1"/>
  <c r="D467" i="21"/>
  <c r="U167" i="21" s="1"/>
  <c r="U175" i="21" s="1"/>
  <c r="D582" i="21"/>
  <c r="U206" i="21" s="1"/>
  <c r="U214" i="21" s="1"/>
  <c r="U250" i="21" s="1"/>
  <c r="I404" i="21"/>
  <c r="F437" i="21"/>
  <c r="W156" i="21" s="1"/>
  <c r="W164" i="21" s="1"/>
  <c r="W245" i="21" s="1"/>
  <c r="H580" i="21"/>
  <c r="I580" i="21" s="1"/>
  <c r="C321" i="21"/>
  <c r="AY98" i="20"/>
  <c r="G583" i="20"/>
  <c r="X207" i="20" s="1"/>
  <c r="X215" i="20" s="1"/>
  <c r="H552" i="20"/>
  <c r="F554" i="20"/>
  <c r="W197" i="20" s="1"/>
  <c r="W205" i="20" s="1"/>
  <c r="D524" i="20"/>
  <c r="U186" i="20" s="1"/>
  <c r="U194" i="20" s="1"/>
  <c r="U248" i="20" s="1"/>
  <c r="I494" i="20"/>
  <c r="J494" i="20" s="1"/>
  <c r="X181" i="20" s="1"/>
  <c r="D466" i="20"/>
  <c r="C467" i="20"/>
  <c r="T167" i="20" s="1"/>
  <c r="T175" i="20" s="1"/>
  <c r="F467" i="20"/>
  <c r="W167" i="20" s="1"/>
  <c r="W175" i="20" s="1"/>
  <c r="D437" i="20"/>
  <c r="D439" i="20" s="1"/>
  <c r="C438" i="20"/>
  <c r="T157" i="20" s="1"/>
  <c r="T165" i="20" s="1"/>
  <c r="E437" i="20"/>
  <c r="V156" i="20" s="1"/>
  <c r="V164" i="20" s="1"/>
  <c r="V245" i="20" s="1"/>
  <c r="G438" i="20"/>
  <c r="X157" i="20" s="1"/>
  <c r="X165" i="20" s="1"/>
  <c r="F380" i="20"/>
  <c r="W137" i="20" s="1"/>
  <c r="W145" i="20" s="1"/>
  <c r="E379" i="20"/>
  <c r="V136" i="20" s="1"/>
  <c r="V144" i="20" s="1"/>
  <c r="V243" i="20" s="1"/>
  <c r="E321" i="20"/>
  <c r="V116" i="20" s="1"/>
  <c r="V124" i="20" s="1"/>
  <c r="V241" i="20" s="1"/>
  <c r="G148" i="20"/>
  <c r="X57" i="20" s="1"/>
  <c r="X65" i="20" s="1"/>
  <c r="H85" i="20"/>
  <c r="D60" i="20"/>
  <c r="U26" i="20" s="1"/>
  <c r="U34" i="20" s="1"/>
  <c r="U232" i="20" s="1"/>
  <c r="H57" i="20"/>
  <c r="F61" i="20"/>
  <c r="W27" i="20" s="1"/>
  <c r="W35" i="20" s="1"/>
  <c r="F582" i="20"/>
  <c r="W206" i="20" s="1"/>
  <c r="W214" i="20" s="1"/>
  <c r="W250" i="20" s="1"/>
  <c r="H549" i="20"/>
  <c r="H551" i="20"/>
  <c r="I551" i="20" s="1"/>
  <c r="H520" i="20"/>
  <c r="I520" i="20" s="1"/>
  <c r="K520" i="20" s="1"/>
  <c r="P520" i="20" s="1"/>
  <c r="H493" i="20"/>
  <c r="I493" i="20" s="1"/>
  <c r="U166" i="20"/>
  <c r="U174" i="20" s="1"/>
  <c r="U246" i="20" s="1"/>
  <c r="D468" i="20"/>
  <c r="D473" i="20" s="1"/>
  <c r="W166" i="20"/>
  <c r="W174" i="20" s="1"/>
  <c r="W246" i="20" s="1"/>
  <c r="F468" i="20"/>
  <c r="F470" i="20" s="1"/>
  <c r="C466" i="20"/>
  <c r="T166" i="20" s="1"/>
  <c r="T174" i="20" s="1"/>
  <c r="T246" i="20" s="1"/>
  <c r="D467" i="20"/>
  <c r="U167" i="20" s="1"/>
  <c r="U175" i="20" s="1"/>
  <c r="G437" i="20"/>
  <c r="X156" i="20" s="1"/>
  <c r="X164" i="20" s="1"/>
  <c r="X245" i="20" s="1"/>
  <c r="H434" i="20"/>
  <c r="G409" i="20"/>
  <c r="X147" i="20" s="1"/>
  <c r="X155" i="20" s="1"/>
  <c r="E408" i="20"/>
  <c r="V146" i="20" s="1"/>
  <c r="V154" i="20" s="1"/>
  <c r="V244" i="20" s="1"/>
  <c r="H405" i="20"/>
  <c r="D409" i="20"/>
  <c r="U147" i="20" s="1"/>
  <c r="U155" i="20" s="1"/>
  <c r="E380" i="20"/>
  <c r="V137" i="20" s="1"/>
  <c r="V145" i="20" s="1"/>
  <c r="G380" i="20"/>
  <c r="X137" i="20" s="1"/>
  <c r="X145" i="20" s="1"/>
  <c r="F379" i="20"/>
  <c r="W136" i="20" s="1"/>
  <c r="W144" i="20" s="1"/>
  <c r="W243" i="20" s="1"/>
  <c r="J349" i="20"/>
  <c r="X131" i="20" s="1"/>
  <c r="X130" i="20"/>
  <c r="K349" i="20"/>
  <c r="P349" i="20" s="1"/>
  <c r="H345" i="20"/>
  <c r="I345" i="20" s="1"/>
  <c r="E351" i="20"/>
  <c r="V127" i="20" s="1"/>
  <c r="V135" i="20" s="1"/>
  <c r="H261" i="20"/>
  <c r="E264" i="20"/>
  <c r="V97" i="20" s="1"/>
  <c r="V105" i="20" s="1"/>
  <c r="H232" i="20"/>
  <c r="D235" i="20"/>
  <c r="U87" i="20" s="1"/>
  <c r="U95" i="20" s="1"/>
  <c r="E235" i="20"/>
  <c r="V87" i="20" s="1"/>
  <c r="V95" i="20" s="1"/>
  <c r="H202" i="20"/>
  <c r="I202" i="20" s="1"/>
  <c r="G206" i="20"/>
  <c r="X77" i="20" s="1"/>
  <c r="X85" i="20" s="1"/>
  <c r="C206" i="20"/>
  <c r="T77" i="20" s="1"/>
  <c r="T85" i="20" s="1"/>
  <c r="F177" i="20"/>
  <c r="W67" i="20" s="1"/>
  <c r="W75" i="20" s="1"/>
  <c r="H171" i="20"/>
  <c r="I171" i="20" s="1"/>
  <c r="D178" i="20"/>
  <c r="D180" i="20" s="1"/>
  <c r="H172" i="20"/>
  <c r="I172" i="20" s="1"/>
  <c r="F148" i="20"/>
  <c r="W57" i="20" s="1"/>
  <c r="W65" i="20" s="1"/>
  <c r="F147" i="20"/>
  <c r="W56" i="20" s="1"/>
  <c r="W64" i="20" s="1"/>
  <c r="W235" i="20" s="1"/>
  <c r="G147" i="20"/>
  <c r="X56" i="20" s="1"/>
  <c r="X64" i="20" s="1"/>
  <c r="X235" i="20" s="1"/>
  <c r="H143" i="20"/>
  <c r="I143" i="20" s="1"/>
  <c r="G61" i="20"/>
  <c r="X27" i="20" s="1"/>
  <c r="X35" i="20" s="1"/>
  <c r="F60" i="20"/>
  <c r="W26" i="20" s="1"/>
  <c r="W34" i="20" s="1"/>
  <c r="W232" i="20" s="1"/>
  <c r="F31" i="20"/>
  <c r="W16" i="20" s="1"/>
  <c r="G31" i="20"/>
  <c r="X16" i="20" s="1"/>
  <c r="X24" i="20" s="1"/>
  <c r="C32" i="20"/>
  <c r="T17" i="20" s="1"/>
  <c r="E31" i="20"/>
  <c r="E33" i="20" s="1"/>
  <c r="E32" i="20"/>
  <c r="V17" i="20" s="1"/>
  <c r="V25" i="20" s="1"/>
  <c r="K492" i="20"/>
  <c r="P492" i="20" s="1"/>
  <c r="J492" i="20"/>
  <c r="V181" i="20" s="1"/>
  <c r="V180" i="20"/>
  <c r="J174" i="20"/>
  <c r="W71" i="20" s="1"/>
  <c r="K174" i="20"/>
  <c r="P174" i="20" s="1"/>
  <c r="W70" i="20"/>
  <c r="AS95" i="20"/>
  <c r="AM114" i="20" s="1"/>
  <c r="AM113" i="20"/>
  <c r="AT95" i="20"/>
  <c r="AY95" i="20" s="1"/>
  <c r="K231" i="20"/>
  <c r="J231" i="20"/>
  <c r="V91" i="20" s="1"/>
  <c r="V90" i="20"/>
  <c r="P231" i="20"/>
  <c r="K551" i="20"/>
  <c r="P551" i="20" s="1"/>
  <c r="J551" i="20"/>
  <c r="W201" i="20" s="1"/>
  <c r="W200" i="20"/>
  <c r="J462" i="20"/>
  <c r="U171" i="20" s="1"/>
  <c r="K462" i="20"/>
  <c r="U170" i="20"/>
  <c r="P462" i="20"/>
  <c r="U25" i="20"/>
  <c r="K378" i="20"/>
  <c r="P378" i="20" s="1"/>
  <c r="J378" i="20"/>
  <c r="X141" i="20" s="1"/>
  <c r="X140" i="20"/>
  <c r="X136" i="20"/>
  <c r="X144" i="20" s="1"/>
  <c r="X243" i="20" s="1"/>
  <c r="G381" i="20"/>
  <c r="K375" i="20"/>
  <c r="J375" i="20"/>
  <c r="U141" i="20" s="1"/>
  <c r="U140" i="20"/>
  <c r="P375" i="20"/>
  <c r="T25" i="20"/>
  <c r="C60" i="20"/>
  <c r="H578" i="20"/>
  <c r="C583" i="20"/>
  <c r="T207" i="20" s="1"/>
  <c r="T215" i="20" s="1"/>
  <c r="G524" i="20"/>
  <c r="T285" i="20"/>
  <c r="T286" i="20" s="1"/>
  <c r="T284" i="20"/>
  <c r="T225" i="20"/>
  <c r="J59" i="20"/>
  <c r="X31" i="20" s="1"/>
  <c r="K59" i="20"/>
  <c r="P59" i="20" s="1"/>
  <c r="X30" i="20"/>
  <c r="F350" i="20"/>
  <c r="W126" i="20" s="1"/>
  <c r="W134" i="20" s="1"/>
  <c r="W242" i="20" s="1"/>
  <c r="F351" i="20"/>
  <c r="W127" i="20" s="1"/>
  <c r="W135" i="20" s="1"/>
  <c r="X225" i="20"/>
  <c r="X285" i="20"/>
  <c r="X286" i="20" s="1"/>
  <c r="X284" i="20"/>
  <c r="G89" i="20"/>
  <c r="X36" i="20" s="1"/>
  <c r="X44" i="20" s="1"/>
  <c r="X233" i="20" s="1"/>
  <c r="G90" i="20"/>
  <c r="X37" i="20" s="1"/>
  <c r="X45" i="20" s="1"/>
  <c r="J58" i="20"/>
  <c r="W31" i="20" s="1"/>
  <c r="W30" i="20"/>
  <c r="K58" i="20"/>
  <c r="P58" i="20"/>
  <c r="C292" i="20"/>
  <c r="T106" i="20" s="1"/>
  <c r="T114" i="20" s="1"/>
  <c r="H287" i="20"/>
  <c r="I287" i="20" s="1"/>
  <c r="C293" i="20"/>
  <c r="T107" i="20" s="1"/>
  <c r="T115" i="20" s="1"/>
  <c r="C263" i="20"/>
  <c r="T96" i="20" s="1"/>
  <c r="T104" i="20" s="1"/>
  <c r="C265" i="20"/>
  <c r="H258" i="20"/>
  <c r="J464" i="20"/>
  <c r="W171" i="20" s="1"/>
  <c r="K464" i="20"/>
  <c r="P464" i="20" s="1"/>
  <c r="W170" i="20"/>
  <c r="V285" i="20"/>
  <c r="V286" i="20" s="1"/>
  <c r="V225" i="20"/>
  <c r="V284" i="20"/>
  <c r="G263" i="20"/>
  <c r="E118" i="20"/>
  <c r="V46" i="20" s="1"/>
  <c r="V54" i="20" s="1"/>
  <c r="V234" i="20" s="1"/>
  <c r="E119" i="20"/>
  <c r="V47" i="20" s="1"/>
  <c r="V55" i="20" s="1"/>
  <c r="U284" i="20"/>
  <c r="U225" i="20"/>
  <c r="U285" i="20"/>
  <c r="U286" i="20" s="1"/>
  <c r="G176" i="20"/>
  <c r="X66" i="20" s="1"/>
  <c r="X74" i="20" s="1"/>
  <c r="X236" i="20" s="1"/>
  <c r="G177" i="20"/>
  <c r="X67" i="20" s="1"/>
  <c r="X75" i="20" s="1"/>
  <c r="G235" i="20"/>
  <c r="X87" i="20" s="1"/>
  <c r="X95" i="20" s="1"/>
  <c r="C524" i="20"/>
  <c r="T186" i="20" s="1"/>
  <c r="T194" i="20" s="1"/>
  <c r="H519" i="20"/>
  <c r="V56" i="20"/>
  <c r="V64" i="20" s="1"/>
  <c r="V235" i="20" s="1"/>
  <c r="E149" i="20"/>
  <c r="H581" i="20"/>
  <c r="C408" i="20"/>
  <c r="T146" i="20" s="1"/>
  <c r="T154" i="20" s="1"/>
  <c r="H403" i="20"/>
  <c r="I403" i="20" s="1"/>
  <c r="H377" i="20"/>
  <c r="I377" i="20" s="1"/>
  <c r="G350" i="20"/>
  <c r="G351" i="20"/>
  <c r="X127" i="20" s="1"/>
  <c r="X135" i="20" s="1"/>
  <c r="K290" i="20"/>
  <c r="P290" i="20" s="1"/>
  <c r="J290" i="20"/>
  <c r="W111" i="20" s="1"/>
  <c r="W110" i="20"/>
  <c r="AR94" i="20"/>
  <c r="AL110" i="20"/>
  <c r="AQ94" i="20"/>
  <c r="AL99" i="20"/>
  <c r="AL109" i="20" s="1"/>
  <c r="AL117" i="20" s="1"/>
  <c r="F352" i="20"/>
  <c r="U156" i="20"/>
  <c r="U164" i="20" s="1"/>
  <c r="U245" i="20" s="1"/>
  <c r="D292" i="20"/>
  <c r="D293" i="20"/>
  <c r="U107" i="20" s="1"/>
  <c r="U115" i="20" s="1"/>
  <c r="E350" i="20"/>
  <c r="V126" i="20" s="1"/>
  <c r="V134" i="20" s="1"/>
  <c r="V242" i="20" s="1"/>
  <c r="F472" i="20"/>
  <c r="I85" i="20"/>
  <c r="H114" i="20"/>
  <c r="I114" i="20" s="1"/>
  <c r="C119" i="20"/>
  <c r="T47" i="20" s="1"/>
  <c r="T55" i="20" s="1"/>
  <c r="C118" i="20"/>
  <c r="K289" i="20"/>
  <c r="P289" i="20" s="1"/>
  <c r="J289" i="20"/>
  <c r="V111" i="20" s="1"/>
  <c r="V110" i="20"/>
  <c r="D177" i="20"/>
  <c r="U67" i="20" s="1"/>
  <c r="U75" i="20" s="1"/>
  <c r="K55" i="20"/>
  <c r="P55" i="20" s="1"/>
  <c r="J55" i="20"/>
  <c r="T31" i="20" s="1"/>
  <c r="T30" i="20"/>
  <c r="F583" i="20"/>
  <c r="W207" i="20" s="1"/>
  <c r="W215" i="20" s="1"/>
  <c r="G234" i="20"/>
  <c r="X86" i="20" s="1"/>
  <c r="X94" i="20" s="1"/>
  <c r="X238" i="20" s="1"/>
  <c r="D408" i="20"/>
  <c r="U146" i="20" s="1"/>
  <c r="U154" i="20" s="1"/>
  <c r="U244" i="20" s="1"/>
  <c r="G525" i="20"/>
  <c r="X187" i="20" s="1"/>
  <c r="X195" i="20" s="1"/>
  <c r="H347" i="20"/>
  <c r="C351" i="20"/>
  <c r="T127" i="20" s="1"/>
  <c r="T135" i="20" s="1"/>
  <c r="C350" i="20"/>
  <c r="W25" i="20"/>
  <c r="AM99" i="20"/>
  <c r="AM110" i="20"/>
  <c r="D148" i="20"/>
  <c r="U57" i="20" s="1"/>
  <c r="U65" i="20" s="1"/>
  <c r="E292" i="20"/>
  <c r="E293" i="20"/>
  <c r="V107" i="20" s="1"/>
  <c r="V115" i="20" s="1"/>
  <c r="I405" i="20"/>
  <c r="H204" i="20"/>
  <c r="I204" i="20" s="1"/>
  <c r="C264" i="20"/>
  <c r="T97" i="20" s="1"/>
  <c r="T105" i="20" s="1"/>
  <c r="D118" i="20"/>
  <c r="U46" i="20" s="1"/>
  <c r="U54" i="20" s="1"/>
  <c r="U234" i="20" s="1"/>
  <c r="D119" i="20"/>
  <c r="U47" i="20" s="1"/>
  <c r="U55" i="20" s="1"/>
  <c r="C437" i="20"/>
  <c r="E409" i="20"/>
  <c r="V147" i="20" s="1"/>
  <c r="V155" i="20" s="1"/>
  <c r="H259" i="20"/>
  <c r="I259" i="20" s="1"/>
  <c r="F176" i="20"/>
  <c r="I581" i="20"/>
  <c r="F381" i="20"/>
  <c r="D350" i="20"/>
  <c r="D351" i="20"/>
  <c r="U127" i="20" s="1"/>
  <c r="U135" i="20" s="1"/>
  <c r="E553" i="20"/>
  <c r="V196" i="20" s="1"/>
  <c r="V204" i="20" s="1"/>
  <c r="V249" i="20" s="1"/>
  <c r="H319" i="20"/>
  <c r="I319" i="20" s="1"/>
  <c r="F236" i="20"/>
  <c r="I232" i="20"/>
  <c r="F235" i="20"/>
  <c r="W87" i="20" s="1"/>
  <c r="W95" i="20" s="1"/>
  <c r="AN99" i="20"/>
  <c r="AN110" i="20"/>
  <c r="K494" i="20"/>
  <c r="P494" i="20" s="1"/>
  <c r="H348" i="20"/>
  <c r="I348" i="20" s="1"/>
  <c r="E148" i="20"/>
  <c r="V57" i="20" s="1"/>
  <c r="V65" i="20" s="1"/>
  <c r="G292" i="20"/>
  <c r="X106" i="20" s="1"/>
  <c r="X114" i="20" s="1"/>
  <c r="X240" i="20" s="1"/>
  <c r="G293" i="20"/>
  <c r="X107" i="20" s="1"/>
  <c r="X115" i="20" s="1"/>
  <c r="H522" i="20"/>
  <c r="I522" i="20" s="1"/>
  <c r="G60" i="20"/>
  <c r="D379" i="20"/>
  <c r="G553" i="20"/>
  <c r="X196" i="20" s="1"/>
  <c r="X204" i="20" s="1"/>
  <c r="X249" i="20" s="1"/>
  <c r="C31" i="20"/>
  <c r="E236" i="20"/>
  <c r="I552" i="20"/>
  <c r="G554" i="20"/>
  <c r="X197" i="20" s="1"/>
  <c r="X205" i="20" s="1"/>
  <c r="I116" i="20"/>
  <c r="K113" i="20"/>
  <c r="P113" i="20" s="1"/>
  <c r="J113" i="20"/>
  <c r="T51" i="20" s="1"/>
  <c r="T50" i="20"/>
  <c r="AO99" i="20"/>
  <c r="AO109" i="20" s="1"/>
  <c r="AO117" i="20" s="1"/>
  <c r="AO110" i="20"/>
  <c r="H27" i="20"/>
  <c r="I27" i="20" s="1"/>
  <c r="J523" i="20"/>
  <c r="X191" i="20" s="1"/>
  <c r="K523" i="20"/>
  <c r="P523" i="20" s="1"/>
  <c r="X190" i="20"/>
  <c r="K288" i="20"/>
  <c r="J288" i="20"/>
  <c r="U111" i="20" s="1"/>
  <c r="U110" i="20"/>
  <c r="P288" i="20"/>
  <c r="E205" i="20"/>
  <c r="V76" i="20" s="1"/>
  <c r="V84" i="20" s="1"/>
  <c r="V237" i="20" s="1"/>
  <c r="I434" i="20"/>
  <c r="E439" i="20"/>
  <c r="E438" i="20"/>
  <c r="V157" i="20" s="1"/>
  <c r="V165" i="20" s="1"/>
  <c r="H145" i="20"/>
  <c r="J433" i="20"/>
  <c r="U161" i="20" s="1"/>
  <c r="K433" i="20"/>
  <c r="P433" i="20" s="1"/>
  <c r="U160" i="20"/>
  <c r="K346" i="20"/>
  <c r="P346" i="20" s="1"/>
  <c r="J346" i="20"/>
  <c r="U131" i="20" s="1"/>
  <c r="U130" i="20"/>
  <c r="J432" i="20"/>
  <c r="T161" i="20" s="1"/>
  <c r="K432" i="20"/>
  <c r="P432" i="20" s="1"/>
  <c r="T160" i="20"/>
  <c r="C147" i="20"/>
  <c r="D263" i="20"/>
  <c r="U96" i="20" s="1"/>
  <c r="U104" i="20" s="1"/>
  <c r="U239" i="20" s="1"/>
  <c r="C148" i="20"/>
  <c r="T57" i="20" s="1"/>
  <c r="T65" i="20" s="1"/>
  <c r="C321" i="20"/>
  <c r="T116" i="20" s="1"/>
  <c r="T124" i="20" s="1"/>
  <c r="H316" i="20"/>
  <c r="I316" i="20" s="1"/>
  <c r="H579" i="20"/>
  <c r="I579" i="20" s="1"/>
  <c r="K201" i="20"/>
  <c r="P201" i="20" s="1"/>
  <c r="J201" i="20"/>
  <c r="U81" i="20" s="1"/>
  <c r="U80" i="20"/>
  <c r="C582" i="20"/>
  <c r="D234" i="20"/>
  <c r="C322" i="20"/>
  <c r="T117" i="20" s="1"/>
  <c r="T125" i="20" s="1"/>
  <c r="AP110" i="20"/>
  <c r="AP99" i="20"/>
  <c r="K262" i="20"/>
  <c r="P262" i="20" s="1"/>
  <c r="J262" i="20"/>
  <c r="X101" i="20" s="1"/>
  <c r="X100" i="20"/>
  <c r="C495" i="20"/>
  <c r="T176" i="20" s="1"/>
  <c r="T184" i="20" s="1"/>
  <c r="H490" i="20"/>
  <c r="C496" i="20"/>
  <c r="T177" i="20" s="1"/>
  <c r="T185" i="20" s="1"/>
  <c r="F205" i="20"/>
  <c r="W76" i="20" s="1"/>
  <c r="W84" i="20" s="1"/>
  <c r="W237" i="20" s="1"/>
  <c r="I26" i="20"/>
  <c r="H491" i="20"/>
  <c r="I491" i="20" s="1"/>
  <c r="C380" i="20"/>
  <c r="T137" i="20" s="1"/>
  <c r="T145" i="20" s="1"/>
  <c r="H406" i="20"/>
  <c r="I406" i="20" s="1"/>
  <c r="D321" i="20"/>
  <c r="U116" i="20" s="1"/>
  <c r="U124" i="20" s="1"/>
  <c r="U241" i="20" s="1"/>
  <c r="H115" i="20"/>
  <c r="G582" i="20"/>
  <c r="X206" i="20" s="1"/>
  <c r="X214" i="20" s="1"/>
  <c r="X250" i="20" s="1"/>
  <c r="H291" i="20"/>
  <c r="I291" i="20" s="1"/>
  <c r="D322" i="20"/>
  <c r="U117" i="20" s="1"/>
  <c r="U125" i="20" s="1"/>
  <c r="H87" i="20"/>
  <c r="I87" i="20" s="1"/>
  <c r="D495" i="20"/>
  <c r="U176" i="20" s="1"/>
  <c r="U184" i="20" s="1"/>
  <c r="U247" i="20" s="1"/>
  <c r="D496" i="20"/>
  <c r="U177" i="20" s="1"/>
  <c r="U185" i="20" s="1"/>
  <c r="H56" i="20"/>
  <c r="H60" i="20" s="1"/>
  <c r="I61" i="20" s="1"/>
  <c r="AE17" i="20" s="1"/>
  <c r="C61" i="20"/>
  <c r="T27" i="20" s="1"/>
  <c r="T35" i="20" s="1"/>
  <c r="D553" i="20"/>
  <c r="U196" i="20" s="1"/>
  <c r="U204" i="20" s="1"/>
  <c r="U249" i="20" s="1"/>
  <c r="G205" i="20"/>
  <c r="X76" i="20" s="1"/>
  <c r="X84" i="20" s="1"/>
  <c r="X237" i="20" s="1"/>
  <c r="F437" i="20"/>
  <c r="W156" i="20" s="1"/>
  <c r="W164" i="20" s="1"/>
  <c r="W245" i="20" s="1"/>
  <c r="F438" i="20"/>
  <c r="W157" i="20" s="1"/>
  <c r="W165" i="20" s="1"/>
  <c r="I57" i="20"/>
  <c r="E62" i="20"/>
  <c r="H318" i="20"/>
  <c r="I318" i="20" s="1"/>
  <c r="AQ97" i="20"/>
  <c r="AR97" i="20" s="1"/>
  <c r="C379" i="20"/>
  <c r="T136" i="20" s="1"/>
  <c r="T144" i="20" s="1"/>
  <c r="H374" i="20"/>
  <c r="I374" i="20" s="1"/>
  <c r="I260" i="20"/>
  <c r="D497" i="20"/>
  <c r="E322" i="20"/>
  <c r="V117" i="20" s="1"/>
  <c r="V125" i="20" s="1"/>
  <c r="U68" i="20"/>
  <c r="V20" i="20"/>
  <c r="K28" i="20"/>
  <c r="P28" i="20" s="1"/>
  <c r="J28" i="20"/>
  <c r="V21" i="20" s="1"/>
  <c r="K230" i="20"/>
  <c r="P230" i="20" s="1"/>
  <c r="J230" i="20"/>
  <c r="U91" i="20" s="1"/>
  <c r="U90" i="20"/>
  <c r="E495" i="20"/>
  <c r="E496" i="20"/>
  <c r="V177" i="20" s="1"/>
  <c r="V185" i="20" s="1"/>
  <c r="I200" i="20"/>
  <c r="C205" i="20"/>
  <c r="T76" i="20" s="1"/>
  <c r="T84" i="20" s="1"/>
  <c r="H200" i="20"/>
  <c r="E467" i="20"/>
  <c r="V167" i="20" s="1"/>
  <c r="V175" i="20" s="1"/>
  <c r="E466" i="20"/>
  <c r="H86" i="20"/>
  <c r="I86" i="20" s="1"/>
  <c r="H521" i="20"/>
  <c r="I521" i="20" s="1"/>
  <c r="H435" i="20"/>
  <c r="I435" i="20" s="1"/>
  <c r="I142" i="20"/>
  <c r="H233" i="20"/>
  <c r="I233" i="20" s="1"/>
  <c r="K144" i="20"/>
  <c r="P144" i="20" s="1"/>
  <c r="J144" i="20"/>
  <c r="V61" i="20" s="1"/>
  <c r="V60" i="20"/>
  <c r="F321" i="20"/>
  <c r="W116" i="20" s="1"/>
  <c r="W124" i="20" s="1"/>
  <c r="W241" i="20" s="1"/>
  <c r="H203" i="20"/>
  <c r="I203" i="20" s="1"/>
  <c r="H404" i="20"/>
  <c r="I404" i="20" s="1"/>
  <c r="C525" i="20"/>
  <c r="T187" i="20" s="1"/>
  <c r="T195" i="20" s="1"/>
  <c r="I549" i="20"/>
  <c r="E89" i="20"/>
  <c r="V36" i="20" s="1"/>
  <c r="V44" i="20" s="1"/>
  <c r="V233" i="20" s="1"/>
  <c r="E90" i="20"/>
  <c r="V37" i="20" s="1"/>
  <c r="V45" i="20" s="1"/>
  <c r="H436" i="20"/>
  <c r="I436" i="20" s="1"/>
  <c r="E206" i="20"/>
  <c r="V77" i="20" s="1"/>
  <c r="V85" i="20" s="1"/>
  <c r="F495" i="20"/>
  <c r="W176" i="20" s="1"/>
  <c r="W184" i="20" s="1"/>
  <c r="W247" i="20" s="1"/>
  <c r="F496" i="20"/>
  <c r="W177" i="20" s="1"/>
  <c r="W185" i="20" s="1"/>
  <c r="D62" i="20"/>
  <c r="D61" i="20"/>
  <c r="U27" i="20" s="1"/>
  <c r="U35" i="20" s="1"/>
  <c r="C234" i="20"/>
  <c r="D205" i="20"/>
  <c r="H465" i="20"/>
  <c r="H466" i="20" s="1"/>
  <c r="I467" i="20" s="1"/>
  <c r="AE31" i="20" s="1"/>
  <c r="G264" i="20"/>
  <c r="X97" i="20" s="1"/>
  <c r="X105" i="20" s="1"/>
  <c r="D147" i="20"/>
  <c r="U56" i="20" s="1"/>
  <c r="U64" i="20" s="1"/>
  <c r="U235" i="20" s="1"/>
  <c r="D554" i="20"/>
  <c r="U197" i="20" s="1"/>
  <c r="U205" i="20" s="1"/>
  <c r="G321" i="20"/>
  <c r="H88" i="20"/>
  <c r="I88" i="20" s="1"/>
  <c r="I577" i="20"/>
  <c r="D525" i="20"/>
  <c r="U187" i="20" s="1"/>
  <c r="U195" i="20" s="1"/>
  <c r="F322" i="20"/>
  <c r="W117" i="20" s="1"/>
  <c r="W125" i="20" s="1"/>
  <c r="H84" i="20"/>
  <c r="C89" i="20"/>
  <c r="T36" i="20" s="1"/>
  <c r="T44" i="20" s="1"/>
  <c r="C90" i="20"/>
  <c r="T37" i="20" s="1"/>
  <c r="T45" i="20" s="1"/>
  <c r="G32" i="20"/>
  <c r="X17" i="20" s="1"/>
  <c r="H117" i="20"/>
  <c r="I117" i="20" s="1"/>
  <c r="F206" i="20"/>
  <c r="W77" i="20" s="1"/>
  <c r="W85" i="20" s="1"/>
  <c r="G495" i="20"/>
  <c r="G496" i="20"/>
  <c r="X177" i="20" s="1"/>
  <c r="X185" i="20" s="1"/>
  <c r="H580" i="20"/>
  <c r="E263" i="20"/>
  <c r="V96" i="20" s="1"/>
  <c r="V104" i="20" s="1"/>
  <c r="V239" i="20" s="1"/>
  <c r="H173" i="20"/>
  <c r="C176" i="20"/>
  <c r="C177" i="20"/>
  <c r="T67" i="20" s="1"/>
  <c r="T75" i="20" s="1"/>
  <c r="C409" i="20"/>
  <c r="T147" i="20" s="1"/>
  <c r="T155" i="20" s="1"/>
  <c r="E554" i="20"/>
  <c r="V197" i="20" s="1"/>
  <c r="V205" i="20" s="1"/>
  <c r="I578" i="20"/>
  <c r="E524" i="20"/>
  <c r="I115" i="20"/>
  <c r="F265" i="20"/>
  <c r="I261" i="20"/>
  <c r="F408" i="20"/>
  <c r="W146" i="20" s="1"/>
  <c r="W154" i="20" s="1"/>
  <c r="W244" i="20" s="1"/>
  <c r="E525" i="20"/>
  <c r="V187" i="20" s="1"/>
  <c r="V195" i="20" s="1"/>
  <c r="E582" i="20"/>
  <c r="V206" i="20" s="1"/>
  <c r="V214" i="20" s="1"/>
  <c r="V250" i="20" s="1"/>
  <c r="H175" i="20"/>
  <c r="I175" i="20" s="1"/>
  <c r="D89" i="20"/>
  <c r="U36" i="20" s="1"/>
  <c r="U44" i="20" s="1"/>
  <c r="U233" i="20" s="1"/>
  <c r="D90" i="20"/>
  <c r="U37" i="20" s="1"/>
  <c r="U45" i="20" s="1"/>
  <c r="K320" i="20"/>
  <c r="P320" i="20" s="1"/>
  <c r="J320" i="20"/>
  <c r="X121" i="20" s="1"/>
  <c r="X120" i="20"/>
  <c r="E381" i="20"/>
  <c r="K29" i="20"/>
  <c r="P29" i="20" s="1"/>
  <c r="J29" i="20"/>
  <c r="W21" i="20" s="1"/>
  <c r="W20" i="20"/>
  <c r="H234" i="20"/>
  <c r="I235" i="20" s="1"/>
  <c r="AE23" i="20" s="1"/>
  <c r="G468" i="20"/>
  <c r="I465" i="20"/>
  <c r="D31" i="20"/>
  <c r="U16" i="20" s="1"/>
  <c r="F119" i="20"/>
  <c r="W47" i="20" s="1"/>
  <c r="W55" i="20" s="1"/>
  <c r="F118" i="20"/>
  <c r="W46" i="20" s="1"/>
  <c r="W54" i="20" s="1"/>
  <c r="W234" i="20" s="1"/>
  <c r="H550" i="20"/>
  <c r="I550" i="20" s="1"/>
  <c r="G149" i="20"/>
  <c r="E178" i="20"/>
  <c r="E177" i="20"/>
  <c r="V67" i="20" s="1"/>
  <c r="V75" i="20" s="1"/>
  <c r="H548" i="20"/>
  <c r="I548" i="20" s="1"/>
  <c r="C553" i="20"/>
  <c r="T196" i="20" s="1"/>
  <c r="T204" i="20" s="1"/>
  <c r="C235" i="20"/>
  <c r="T87" i="20" s="1"/>
  <c r="T95" i="20" s="1"/>
  <c r="E583" i="20"/>
  <c r="V207" i="20" s="1"/>
  <c r="V215" i="20" s="1"/>
  <c r="H30" i="20"/>
  <c r="I30" i="20" s="1"/>
  <c r="F524" i="20"/>
  <c r="W186" i="20" s="1"/>
  <c r="W194" i="20" s="1"/>
  <c r="W248" i="20" s="1"/>
  <c r="AN113" i="20"/>
  <c r="AT96" i="20"/>
  <c r="AY96" i="20" s="1"/>
  <c r="AS96" i="20"/>
  <c r="AN114" i="20" s="1"/>
  <c r="G408" i="20"/>
  <c r="I347" i="20"/>
  <c r="I461" i="20"/>
  <c r="G322" i="20"/>
  <c r="X117" i="20" s="1"/>
  <c r="X125" i="20" s="1"/>
  <c r="F89" i="20"/>
  <c r="F90" i="20"/>
  <c r="W37" i="20" s="1"/>
  <c r="W45" i="20" s="1"/>
  <c r="F292" i="20"/>
  <c r="F293" i="20"/>
  <c r="W107" i="20" s="1"/>
  <c r="W115" i="20" s="1"/>
  <c r="I229" i="20"/>
  <c r="H317" i="20"/>
  <c r="I317" i="20" s="1"/>
  <c r="H376" i="20"/>
  <c r="I376" i="20" s="1"/>
  <c r="F263" i="20"/>
  <c r="W96" i="20" s="1"/>
  <c r="W104" i="20" s="1"/>
  <c r="W239" i="20" s="1"/>
  <c r="G119" i="20"/>
  <c r="X47" i="20" s="1"/>
  <c r="X55" i="20" s="1"/>
  <c r="G118" i="20"/>
  <c r="X46" i="20" s="1"/>
  <c r="X54" i="20" s="1"/>
  <c r="X234" i="20" s="1"/>
  <c r="H146" i="20"/>
  <c r="I146" i="20" s="1"/>
  <c r="F553" i="20"/>
  <c r="F409" i="20"/>
  <c r="W147" i="20" s="1"/>
  <c r="W155" i="20" s="1"/>
  <c r="W285" i="20"/>
  <c r="W286" i="20" s="1"/>
  <c r="W225" i="20"/>
  <c r="W284" i="20"/>
  <c r="D582" i="20"/>
  <c r="U206" i="20" s="1"/>
  <c r="U214" i="20" s="1"/>
  <c r="U250" i="20" s="1"/>
  <c r="G467" i="20"/>
  <c r="X167" i="20" s="1"/>
  <c r="X175" i="20" s="1"/>
  <c r="D504" i="18"/>
  <c r="F504" i="18"/>
  <c r="G504" i="18"/>
  <c r="F417" i="18"/>
  <c r="G301" i="18"/>
  <c r="E301" i="18"/>
  <c r="F243" i="18"/>
  <c r="C156" i="18"/>
  <c r="E127" i="18"/>
  <c r="O549" i="18"/>
  <c r="AA203" i="18"/>
  <c r="O403" i="18"/>
  <c r="G405" i="18"/>
  <c r="O345" i="18"/>
  <c r="O346" i="18"/>
  <c r="O347" i="18"/>
  <c r="G347" i="18" s="1"/>
  <c r="O348" i="18"/>
  <c r="E348" i="18" s="1"/>
  <c r="O349" i="18"/>
  <c r="D349" i="18" s="1"/>
  <c r="AA113" i="18"/>
  <c r="O287" i="18"/>
  <c r="O142" i="18"/>
  <c r="AA53" i="18"/>
  <c r="O87" i="18"/>
  <c r="AA43" i="18"/>
  <c r="O84" i="18"/>
  <c r="O89" i="18" s="1"/>
  <c r="C88" i="18"/>
  <c r="O85" i="18"/>
  <c r="D58" i="18"/>
  <c r="AN123" i="17"/>
  <c r="AM123" i="17"/>
  <c r="E475" i="17"/>
  <c r="D446" i="17"/>
  <c r="C330" i="17"/>
  <c r="C214" i="17"/>
  <c r="G127" i="17"/>
  <c r="C127" i="17"/>
  <c r="D127" i="17"/>
  <c r="E127" i="17"/>
  <c r="F552" i="17"/>
  <c r="AA203" i="17"/>
  <c r="O549" i="17"/>
  <c r="O523" i="17"/>
  <c r="D523" i="17" s="1"/>
  <c r="AA183" i="17"/>
  <c r="O491" i="17"/>
  <c r="O493" i="17"/>
  <c r="O495" i="17" s="1"/>
  <c r="O433" i="17"/>
  <c r="D433" i="17" s="1"/>
  <c r="AA133" i="17"/>
  <c r="O346" i="17"/>
  <c r="AA113" i="17"/>
  <c r="F291" i="17"/>
  <c r="G261" i="17"/>
  <c r="O261" i="17"/>
  <c r="E261" i="17" s="1"/>
  <c r="O262" i="17"/>
  <c r="AA103" i="17"/>
  <c r="O258" i="17"/>
  <c r="C258" i="17" s="1"/>
  <c r="O171" i="17"/>
  <c r="O172" i="17"/>
  <c r="G172" i="17" s="1"/>
  <c r="O175" i="17"/>
  <c r="C175" i="17" s="1"/>
  <c r="O174" i="17"/>
  <c r="O145" i="17"/>
  <c r="O147" i="17" s="1"/>
  <c r="O146" i="17"/>
  <c r="C146" i="17" s="1"/>
  <c r="AA63" i="17"/>
  <c r="O116" i="17"/>
  <c r="O113" i="17"/>
  <c r="C56" i="17"/>
  <c r="G59" i="17"/>
  <c r="O55" i="17"/>
  <c r="F55" i="17" s="1"/>
  <c r="AA33" i="17"/>
  <c r="O56" i="17"/>
  <c r="F56" i="17" s="1"/>
  <c r="O57" i="17"/>
  <c r="O26" i="17"/>
  <c r="O27" i="17"/>
  <c r="O29" i="17"/>
  <c r="F399" i="17"/>
  <c r="N395" i="17"/>
  <c r="W152" i="17" s="1"/>
  <c r="F86" i="17"/>
  <c r="K45" i="17"/>
  <c r="O86" i="17"/>
  <c r="G86" i="17" s="1"/>
  <c r="C98" i="17"/>
  <c r="I162" i="17"/>
  <c r="J162" i="17" s="1"/>
  <c r="K164" i="17"/>
  <c r="E166" i="17"/>
  <c r="F214" i="17"/>
  <c r="O230" i="17"/>
  <c r="E253" i="17"/>
  <c r="E254" i="17" s="1"/>
  <c r="D272" i="17"/>
  <c r="O290" i="17"/>
  <c r="F290" i="17" s="1"/>
  <c r="C326" i="17"/>
  <c r="O347" i="17"/>
  <c r="O350" i="17" s="1"/>
  <c r="I365" i="17"/>
  <c r="J365" i="17" s="1"/>
  <c r="O378" i="17"/>
  <c r="C378" i="17" s="1"/>
  <c r="K395" i="17"/>
  <c r="G398" i="17"/>
  <c r="G399" i="17" s="1"/>
  <c r="O407" i="17"/>
  <c r="O432" i="17"/>
  <c r="C432" i="17" s="1"/>
  <c r="G475" i="17"/>
  <c r="E514" i="17"/>
  <c r="G533" i="17"/>
  <c r="O548" i="17"/>
  <c r="K567" i="17"/>
  <c r="K424" i="17"/>
  <c r="E40" i="17"/>
  <c r="E57" i="17"/>
  <c r="O84" i="17"/>
  <c r="AM89" i="17"/>
  <c r="AM90" i="17" s="1"/>
  <c r="F156" i="17"/>
  <c r="K193" i="17"/>
  <c r="I221" i="17"/>
  <c r="J221" i="17" s="1"/>
  <c r="O231" i="17"/>
  <c r="E239" i="17"/>
  <c r="I247" i="17"/>
  <c r="I276" i="17"/>
  <c r="J276" i="17" s="1"/>
  <c r="N305" i="17"/>
  <c r="T122" i="17" s="1"/>
  <c r="G326" i="17"/>
  <c r="L349" i="17"/>
  <c r="G349" i="17" s="1"/>
  <c r="K365" i="17"/>
  <c r="D369" i="17"/>
  <c r="D370" i="17" s="1"/>
  <c r="F413" i="17"/>
  <c r="K479" i="17"/>
  <c r="K512" i="17"/>
  <c r="O520" i="17"/>
  <c r="O524" i="17" s="1"/>
  <c r="O550" i="17"/>
  <c r="O553" i="17" s="1"/>
  <c r="C6" i="17"/>
  <c r="E6" i="17" s="1"/>
  <c r="K18" i="17"/>
  <c r="F40" i="17"/>
  <c r="AA43" i="17"/>
  <c r="I46" i="17"/>
  <c r="J46" i="17" s="1"/>
  <c r="AP89" i="17"/>
  <c r="AW87" i="17" s="1"/>
  <c r="AP115" i="17" s="1"/>
  <c r="K221" i="17"/>
  <c r="K247" i="17"/>
  <c r="C297" i="17"/>
  <c r="L404" i="17"/>
  <c r="O434" i="17"/>
  <c r="C434" i="17" s="1"/>
  <c r="E504" i="17"/>
  <c r="O521" i="17"/>
  <c r="O551" i="17"/>
  <c r="I568" i="17"/>
  <c r="J568" i="17" s="1"/>
  <c r="L26" i="17"/>
  <c r="G40" i="17"/>
  <c r="AT84" i="17"/>
  <c r="K104" i="17"/>
  <c r="AO128" i="17"/>
  <c r="O200" i="17"/>
  <c r="C224" i="17"/>
  <c r="C225" i="17" s="1"/>
  <c r="K277" i="17"/>
  <c r="I366" i="17"/>
  <c r="J366" i="17" s="1"/>
  <c r="O404" i="17"/>
  <c r="O435" i="17"/>
  <c r="E435" i="17" s="1"/>
  <c r="K480" i="17"/>
  <c r="F504" i="17"/>
  <c r="E552" i="17"/>
  <c r="K568" i="17"/>
  <c r="E572" i="17"/>
  <c r="K541" i="17"/>
  <c r="C7" i="17"/>
  <c r="E7" i="17" s="1"/>
  <c r="H223" i="17"/>
  <c r="I224" i="17" s="1"/>
  <c r="AD23" i="17" s="1"/>
  <c r="O374" i="17"/>
  <c r="D374" i="17" s="1"/>
  <c r="I393" i="17"/>
  <c r="J393" i="17" s="1"/>
  <c r="I421" i="17"/>
  <c r="J421" i="17" s="1"/>
  <c r="O436" i="17"/>
  <c r="K451" i="17"/>
  <c r="C456" i="17"/>
  <c r="C457" i="17" s="1"/>
  <c r="C485" i="17"/>
  <c r="G504" i="17"/>
  <c r="F572" i="17"/>
  <c r="K482" i="17"/>
  <c r="F21" i="17"/>
  <c r="F22" i="17" s="1"/>
  <c r="O28" i="17"/>
  <c r="I44" i="17"/>
  <c r="E50" i="17"/>
  <c r="E51" i="17" s="1"/>
  <c r="I73" i="17"/>
  <c r="J73" i="17" s="1"/>
  <c r="K75" i="17"/>
  <c r="AU96" i="17"/>
  <c r="C108" i="17"/>
  <c r="C109" i="17" s="1"/>
  <c r="K131" i="17"/>
  <c r="D185" i="17"/>
  <c r="E195" i="17"/>
  <c r="K218" i="17"/>
  <c r="O287" i="17"/>
  <c r="K335" i="17"/>
  <c r="E355" i="17"/>
  <c r="O405" i="17"/>
  <c r="G405" i="17" s="1"/>
  <c r="I422" i="17"/>
  <c r="J422" i="17" s="1"/>
  <c r="G442" i="17"/>
  <c r="K453" i="17"/>
  <c r="I540" i="17"/>
  <c r="J540" i="17" s="1"/>
  <c r="O577" i="17"/>
  <c r="F108" i="17"/>
  <c r="F109" i="17" s="1"/>
  <c r="AM133" i="17"/>
  <c r="L174" i="17"/>
  <c r="C174" i="17" s="1"/>
  <c r="E185" i="17"/>
  <c r="I191" i="17"/>
  <c r="J191" i="17" s="1"/>
  <c r="F195" i="17"/>
  <c r="E243" i="17"/>
  <c r="L288" i="17"/>
  <c r="K305" i="17"/>
  <c r="L345" i="17"/>
  <c r="G345" i="17" s="1"/>
  <c r="O376" i="17"/>
  <c r="C376" i="17" s="1"/>
  <c r="H397" i="17"/>
  <c r="I398" i="17" s="1"/>
  <c r="AD29" i="17" s="1"/>
  <c r="C475" i="17"/>
  <c r="K570" i="17"/>
  <c r="O88" i="17"/>
  <c r="G88" i="17" s="1"/>
  <c r="D355" i="17"/>
  <c r="I16" i="17"/>
  <c r="J16" i="17" s="1"/>
  <c r="BL39" i="17"/>
  <c r="D79" i="17"/>
  <c r="D80" i="17" s="1"/>
  <c r="I106" i="17"/>
  <c r="J106" i="17" s="1"/>
  <c r="AN133" i="17"/>
  <c r="AA153" i="17"/>
  <c r="F185" i="17"/>
  <c r="G195" i="17"/>
  <c r="I280" i="17"/>
  <c r="J280" i="17" s="1"/>
  <c r="O288" i="17"/>
  <c r="F288" i="17" s="1"/>
  <c r="I336" i="17"/>
  <c r="J336" i="17" s="1"/>
  <c r="K363" i="17"/>
  <c r="L406" i="17"/>
  <c r="G406" i="17" s="1"/>
  <c r="K422" i="17"/>
  <c r="C446" i="17"/>
  <c r="D475" i="17"/>
  <c r="K540" i="17"/>
  <c r="G562" i="17"/>
  <c r="E282" i="17"/>
  <c r="N278" i="17" s="1"/>
  <c r="V112" i="17" s="1"/>
  <c r="O375" i="17"/>
  <c r="G572" i="17"/>
  <c r="G573" i="17" s="1"/>
  <c r="K16" i="17"/>
  <c r="F79" i="17"/>
  <c r="F80" i="17" s="1"/>
  <c r="AU97" i="17"/>
  <c r="AP97" i="17" s="1"/>
  <c r="C166" i="17"/>
  <c r="C167" i="17" s="1"/>
  <c r="G185" i="17"/>
  <c r="O289" i="17"/>
  <c r="D289" i="17" s="1"/>
  <c r="L320" i="17"/>
  <c r="O377" i="17"/>
  <c r="G377" i="17" s="1"/>
  <c r="O85" i="17"/>
  <c r="C3" i="17"/>
  <c r="E3" i="17" s="1"/>
  <c r="I45" i="17"/>
  <c r="J45" i="17" s="1"/>
  <c r="D166" i="17"/>
  <c r="D167" i="17" s="1"/>
  <c r="D214" i="17"/>
  <c r="K220" i="17"/>
  <c r="K250" i="17"/>
  <c r="C253" i="17"/>
  <c r="C254" i="17" s="1"/>
  <c r="L347" i="17"/>
  <c r="L407" i="17"/>
  <c r="C407" i="17" s="1"/>
  <c r="K423" i="17"/>
  <c r="E446" i="17"/>
  <c r="I511" i="17"/>
  <c r="J511" i="17" s="1"/>
  <c r="D514" i="17"/>
  <c r="D515" i="17" s="1"/>
  <c r="F533" i="17"/>
  <c r="I541" i="17"/>
  <c r="J541" i="17" s="1"/>
  <c r="F543" i="17"/>
  <c r="F544" i="17" s="1"/>
  <c r="D399" i="18"/>
  <c r="N393" i="18"/>
  <c r="U152" i="18" s="1"/>
  <c r="G406" i="18"/>
  <c r="F406" i="18"/>
  <c r="E406" i="18"/>
  <c r="F127" i="18"/>
  <c r="K133" i="18"/>
  <c r="I221" i="18"/>
  <c r="J221" i="18" s="1"/>
  <c r="G224" i="18"/>
  <c r="K279" i="18"/>
  <c r="F330" i="18"/>
  <c r="G40" i="18"/>
  <c r="G50" i="18"/>
  <c r="G51" i="18" s="1"/>
  <c r="I76" i="18"/>
  <c r="N76" i="18" s="1"/>
  <c r="W42" i="18" s="1"/>
  <c r="AX97" i="18"/>
  <c r="AL97" i="18" s="1"/>
  <c r="H107" i="18"/>
  <c r="I108" i="18" s="1"/>
  <c r="AD19" i="18" s="1"/>
  <c r="I104" i="18"/>
  <c r="J104" i="18" s="1"/>
  <c r="G127" i="18"/>
  <c r="I134" i="18"/>
  <c r="J134" i="18" s="1"/>
  <c r="N279" i="18"/>
  <c r="W112" i="18" s="1"/>
  <c r="I305" i="18"/>
  <c r="J305" i="18" s="1"/>
  <c r="D471" i="18"/>
  <c r="G485" i="18"/>
  <c r="N483" i="18" s="1"/>
  <c r="X182" i="18" s="1"/>
  <c r="D533" i="18"/>
  <c r="I568" i="18"/>
  <c r="J568" i="18" s="1"/>
  <c r="H49" i="18"/>
  <c r="I50" i="18" s="1"/>
  <c r="AD17" i="18" s="1"/>
  <c r="K48" i="18"/>
  <c r="I102" i="18"/>
  <c r="J102" i="18" s="1"/>
  <c r="AL104" i="18"/>
  <c r="K103" i="18"/>
  <c r="L114" i="18"/>
  <c r="K134" i="18"/>
  <c r="L146" i="18"/>
  <c r="G146" i="18" s="1"/>
  <c r="I162" i="18"/>
  <c r="J162" i="18" s="1"/>
  <c r="I222" i="18"/>
  <c r="J222" i="18" s="1"/>
  <c r="K250" i="18"/>
  <c r="C268" i="18"/>
  <c r="K280" i="18"/>
  <c r="O289" i="18"/>
  <c r="O292" i="18" s="1"/>
  <c r="D311" i="18"/>
  <c r="D312" i="18" s="1"/>
  <c r="H339" i="18"/>
  <c r="I340" i="18" s="1"/>
  <c r="AD27" i="18" s="1"/>
  <c r="K335" i="18"/>
  <c r="D359" i="18"/>
  <c r="I393" i="18"/>
  <c r="J393" i="18" s="1"/>
  <c r="K482" i="18"/>
  <c r="I510" i="18"/>
  <c r="J510" i="18" s="1"/>
  <c r="D514" i="18"/>
  <c r="D515" i="18" s="1"/>
  <c r="F533" i="18"/>
  <c r="C550" i="18"/>
  <c r="F40" i="18"/>
  <c r="K44" i="18"/>
  <c r="C79" i="18"/>
  <c r="C80" i="18" s="1"/>
  <c r="C98" i="18"/>
  <c r="AA123" i="18"/>
  <c r="G137" i="18"/>
  <c r="G138" i="18" s="1"/>
  <c r="O146" i="18"/>
  <c r="K162" i="18"/>
  <c r="F185" i="18"/>
  <c r="C214" i="18"/>
  <c r="K222" i="18"/>
  <c r="K251" i="18"/>
  <c r="E268" i="18"/>
  <c r="O290" i="18"/>
  <c r="K307" i="18"/>
  <c r="E311" i="18"/>
  <c r="E312" i="18" s="1"/>
  <c r="E347" i="18"/>
  <c r="E359" i="18"/>
  <c r="L375" i="18"/>
  <c r="L404" i="18"/>
  <c r="D413" i="18"/>
  <c r="L435" i="18"/>
  <c r="K510" i="18"/>
  <c r="E514" i="18"/>
  <c r="AA23" i="18"/>
  <c r="O56" i="18"/>
  <c r="G56" i="18" s="1"/>
  <c r="K77" i="18"/>
  <c r="AA83" i="18"/>
  <c r="D98" i="18"/>
  <c r="O115" i="18"/>
  <c r="AM123" i="18"/>
  <c r="G185" i="18"/>
  <c r="F195" i="18"/>
  <c r="G214" i="18"/>
  <c r="F311" i="18"/>
  <c r="I335" i="18"/>
  <c r="J335" i="18" s="1"/>
  <c r="F347" i="18"/>
  <c r="G359" i="18"/>
  <c r="L378" i="18"/>
  <c r="I423" i="18"/>
  <c r="J423" i="18" s="1"/>
  <c r="O435" i="18"/>
  <c r="I452" i="18"/>
  <c r="J452" i="18" s="1"/>
  <c r="K511" i="18"/>
  <c r="O552" i="18"/>
  <c r="L581" i="18"/>
  <c r="C36" i="18"/>
  <c r="D69" i="18"/>
  <c r="G79" i="18"/>
  <c r="L87" i="18"/>
  <c r="E98" i="18"/>
  <c r="I105" i="18"/>
  <c r="J105" i="18" s="1"/>
  <c r="AO123" i="18"/>
  <c r="G195" i="18"/>
  <c r="G196" i="18" s="1"/>
  <c r="D272" i="18"/>
  <c r="D405" i="18"/>
  <c r="K452" i="18"/>
  <c r="G514" i="18"/>
  <c r="G515" i="18" s="1"/>
  <c r="H78" i="18"/>
  <c r="I79" i="18" s="1"/>
  <c r="AD18" i="18" s="1"/>
  <c r="K192" i="18"/>
  <c r="C3" i="18"/>
  <c r="E3" i="18" s="1"/>
  <c r="L27" i="18"/>
  <c r="O57" i="18"/>
  <c r="F98" i="18"/>
  <c r="O116" i="18"/>
  <c r="D116" i="18" s="1"/>
  <c r="AP123" i="18"/>
  <c r="C243" i="18"/>
  <c r="H281" i="18"/>
  <c r="I282" i="18" s="1"/>
  <c r="AD25" i="18" s="1"/>
  <c r="N366" i="18"/>
  <c r="W142" i="18" s="1"/>
  <c r="C384" i="18"/>
  <c r="C398" i="18"/>
  <c r="C399" i="18" s="1"/>
  <c r="G413" i="18"/>
  <c r="L520" i="18"/>
  <c r="N537" i="18"/>
  <c r="T202" i="18" s="1"/>
  <c r="G587" i="18"/>
  <c r="K15" i="18"/>
  <c r="E94" i="18"/>
  <c r="AM133" i="18"/>
  <c r="G320" i="18"/>
  <c r="L522" i="18"/>
  <c r="E522" i="18" s="1"/>
  <c r="O28" i="18"/>
  <c r="AN133" i="18"/>
  <c r="O29" i="18"/>
  <c r="F29" i="18" s="1"/>
  <c r="F65" i="18"/>
  <c r="I106" i="18"/>
  <c r="AO133" i="18"/>
  <c r="I364" i="18"/>
  <c r="J364" i="18" s="1"/>
  <c r="K395" i="18"/>
  <c r="D417" i="18"/>
  <c r="N424" i="18"/>
  <c r="W162" i="18" s="1"/>
  <c r="L30" i="18"/>
  <c r="C40" i="18"/>
  <c r="I47" i="18"/>
  <c r="J47" i="18" s="1"/>
  <c r="K106" i="18"/>
  <c r="E108" i="18"/>
  <c r="E109" i="18" s="1"/>
  <c r="C127" i="18"/>
  <c r="G144" i="18"/>
  <c r="AP133" i="18"/>
  <c r="K161" i="18"/>
  <c r="E166" i="18"/>
  <c r="E167" i="18" s="1"/>
  <c r="K220" i="18"/>
  <c r="D282" i="18"/>
  <c r="D283" i="18" s="1"/>
  <c r="I338" i="18"/>
  <c r="J338" i="18" s="1"/>
  <c r="D388" i="18"/>
  <c r="I481" i="18"/>
  <c r="J481" i="18" s="1"/>
  <c r="F51" i="18"/>
  <c r="N47" i="18"/>
  <c r="W32" i="18" s="1"/>
  <c r="C58" i="18"/>
  <c r="D94" i="18"/>
  <c r="D79" i="18"/>
  <c r="E80" i="18"/>
  <c r="BL64" i="18"/>
  <c r="G88" i="18"/>
  <c r="F88" i="18"/>
  <c r="E88" i="18"/>
  <c r="H88" i="18" s="1"/>
  <c r="E56" i="18"/>
  <c r="D56" i="18"/>
  <c r="C56" i="18"/>
  <c r="K74" i="18"/>
  <c r="AU95" i="18"/>
  <c r="AT84" i="18"/>
  <c r="AR84" i="18"/>
  <c r="F36" i="18"/>
  <c r="F21" i="18"/>
  <c r="E6" i="18"/>
  <c r="G58" i="18"/>
  <c r="F58" i="18"/>
  <c r="E58" i="18"/>
  <c r="D29" i="18"/>
  <c r="AN90" i="18"/>
  <c r="G87" i="18"/>
  <c r="F87" i="18"/>
  <c r="E87" i="18"/>
  <c r="D87" i="18"/>
  <c r="C87" i="18"/>
  <c r="G142" i="18"/>
  <c r="F142" i="18"/>
  <c r="E142" i="18"/>
  <c r="C142" i="18"/>
  <c r="D142" i="18"/>
  <c r="U287" i="18"/>
  <c r="U288" i="18"/>
  <c r="U289" i="18" s="1"/>
  <c r="U226" i="18"/>
  <c r="G86" i="18"/>
  <c r="F86" i="18"/>
  <c r="E86" i="18"/>
  <c r="D86" i="18"/>
  <c r="V287" i="18"/>
  <c r="V288" i="18"/>
  <c r="V289" i="18" s="1"/>
  <c r="V226" i="18"/>
  <c r="C86" i="18"/>
  <c r="BL39" i="18"/>
  <c r="W287" i="18"/>
  <c r="W288" i="18"/>
  <c r="W289" i="18" s="1"/>
  <c r="W226" i="18"/>
  <c r="L28" i="18"/>
  <c r="L59" i="18"/>
  <c r="AQ88" i="18"/>
  <c r="AR89" i="18" s="1"/>
  <c r="X287" i="18"/>
  <c r="X288" i="18"/>
  <c r="X289" i="18" s="1"/>
  <c r="X226" i="18"/>
  <c r="O59" i="18"/>
  <c r="I77" i="18"/>
  <c r="J77" i="18" s="1"/>
  <c r="AR83" i="18"/>
  <c r="D21" i="18"/>
  <c r="I44" i="18"/>
  <c r="J44" i="18" s="1"/>
  <c r="L57" i="18"/>
  <c r="BI162" i="18"/>
  <c r="BI163" i="18"/>
  <c r="G80" i="18"/>
  <c r="L84" i="18"/>
  <c r="C116" i="18"/>
  <c r="D123" i="18"/>
  <c r="D108" i="18"/>
  <c r="K131" i="18"/>
  <c r="I131" i="18"/>
  <c r="L55" i="18"/>
  <c r="BI58" i="18"/>
  <c r="AR85" i="18"/>
  <c r="AS85" i="18" s="1"/>
  <c r="AP104" i="18"/>
  <c r="AP89" i="18"/>
  <c r="C109" i="18"/>
  <c r="N102" i="18"/>
  <c r="T52" i="18" s="1"/>
  <c r="F9" i="18"/>
  <c r="I18" i="18"/>
  <c r="J18" i="18" s="1"/>
  <c r="H20" i="18"/>
  <c r="I21" i="18" s="1"/>
  <c r="AD16" i="18" s="1"/>
  <c r="G21" i="18"/>
  <c r="O27" i="18"/>
  <c r="E27" i="18" s="1"/>
  <c r="O30" i="18"/>
  <c r="I45" i="18"/>
  <c r="J45" i="18" s="1"/>
  <c r="C50" i="18"/>
  <c r="D51" i="18"/>
  <c r="O55" i="18"/>
  <c r="C69" i="18"/>
  <c r="I75" i="18"/>
  <c r="J75" i="18" s="1"/>
  <c r="AR86" i="18"/>
  <c r="AS86" i="18" s="1"/>
  <c r="AU98" i="18"/>
  <c r="AR87" i="18"/>
  <c r="AS87" i="18" s="1"/>
  <c r="F108" i="18"/>
  <c r="F123" i="18"/>
  <c r="AT85" i="18"/>
  <c r="AU94" i="18"/>
  <c r="C195" i="18"/>
  <c r="C210" i="18"/>
  <c r="K189" i="18"/>
  <c r="L229" i="18"/>
  <c r="K218" i="18"/>
  <c r="I218" i="18"/>
  <c r="J218" i="18" s="1"/>
  <c r="H223" i="18"/>
  <c r="I224" i="18" s="1"/>
  <c r="AD23" i="18" s="1"/>
  <c r="I15" i="18"/>
  <c r="I17" i="18"/>
  <c r="K18" i="18"/>
  <c r="L26" i="18"/>
  <c r="K45" i="18"/>
  <c r="I46" i="18"/>
  <c r="J46" i="18" s="1"/>
  <c r="I48" i="18"/>
  <c r="E69" i="18"/>
  <c r="I73" i="18"/>
  <c r="K75" i="18"/>
  <c r="L85" i="18"/>
  <c r="AT86" i="18"/>
  <c r="AN104" i="18"/>
  <c r="AA33" i="18"/>
  <c r="F69" i="18"/>
  <c r="G116" i="18"/>
  <c r="H136" i="18"/>
  <c r="I137" i="18" s="1"/>
  <c r="AD20" i="18" s="1"/>
  <c r="T287" i="18"/>
  <c r="T288" i="18"/>
  <c r="T289" i="18" s="1"/>
  <c r="T226" i="18"/>
  <c r="AO89" i="18"/>
  <c r="AX94" i="18"/>
  <c r="K105" i="18"/>
  <c r="F114" i="18"/>
  <c r="O147" i="18"/>
  <c r="AX95" i="18"/>
  <c r="K102" i="18"/>
  <c r="L113" i="18"/>
  <c r="G114" i="18"/>
  <c r="F144" i="18"/>
  <c r="F224" i="18"/>
  <c r="F239" i="18"/>
  <c r="AX96" i="18"/>
  <c r="O113" i="18"/>
  <c r="O117" i="18"/>
  <c r="AS116" i="18"/>
  <c r="L115" i="18"/>
  <c r="K132" i="18"/>
  <c r="I132" i="18"/>
  <c r="J132" i="18" s="1"/>
  <c r="G145" i="18"/>
  <c r="E145" i="18"/>
  <c r="D145" i="18"/>
  <c r="C145" i="18"/>
  <c r="F145" i="18"/>
  <c r="E173" i="18"/>
  <c r="C173" i="18"/>
  <c r="O490" i="18"/>
  <c r="O491" i="18"/>
  <c r="F491" i="18" s="1"/>
  <c r="O494" i="18"/>
  <c r="O493" i="18"/>
  <c r="O492" i="18"/>
  <c r="C492" i="18" s="1"/>
  <c r="AA183" i="18"/>
  <c r="D137" i="18"/>
  <c r="D152" i="18"/>
  <c r="E144" i="18"/>
  <c r="D144" i="18"/>
  <c r="N134" i="18"/>
  <c r="W62" i="18" s="1"/>
  <c r="E138" i="18"/>
  <c r="N133" i="18"/>
  <c r="V62" i="18" s="1"/>
  <c r="O174" i="18"/>
  <c r="O171" i="18"/>
  <c r="O175" i="18"/>
  <c r="O173" i="18"/>
  <c r="F173" i="18" s="1"/>
  <c r="O172" i="18"/>
  <c r="E172" i="18" s="1"/>
  <c r="C114" i="18"/>
  <c r="N135" i="18"/>
  <c r="X62" i="18" s="1"/>
  <c r="L143" i="18"/>
  <c r="F146" i="18"/>
  <c r="AP128" i="18"/>
  <c r="AN128" i="18"/>
  <c r="AL128" i="18"/>
  <c r="AO128" i="18"/>
  <c r="C152" i="18"/>
  <c r="L174" i="18"/>
  <c r="K163" i="18"/>
  <c r="I163" i="18"/>
  <c r="J163" i="18" s="1"/>
  <c r="G200" i="18"/>
  <c r="E200" i="18"/>
  <c r="D200" i="18"/>
  <c r="C200" i="18"/>
  <c r="C146" i="18"/>
  <c r="K160" i="18"/>
  <c r="F167" i="18"/>
  <c r="E196" i="18"/>
  <c r="D146" i="18"/>
  <c r="C166" i="18"/>
  <c r="C181" i="18"/>
  <c r="G166" i="18"/>
  <c r="K190" i="18"/>
  <c r="I190" i="18"/>
  <c r="J190" i="18" s="1"/>
  <c r="L201" i="18"/>
  <c r="D348" i="18"/>
  <c r="C348" i="18"/>
  <c r="G348" i="18"/>
  <c r="F348" i="18"/>
  <c r="E146" i="18"/>
  <c r="F233" i="18"/>
  <c r="L202" i="18"/>
  <c r="K191" i="18"/>
  <c r="I191" i="18"/>
  <c r="J191" i="18" s="1"/>
  <c r="D558" i="18"/>
  <c r="D543" i="18"/>
  <c r="AL123" i="18"/>
  <c r="F152" i="18"/>
  <c r="D156" i="18"/>
  <c r="H165" i="18"/>
  <c r="I166" i="18" s="1"/>
  <c r="AD21" i="18" s="1"/>
  <c r="L171" i="18"/>
  <c r="G225" i="18"/>
  <c r="F156" i="18"/>
  <c r="D172" i="18"/>
  <c r="C172" i="18"/>
  <c r="O202" i="18"/>
  <c r="O204" i="18"/>
  <c r="E204" i="18" s="1"/>
  <c r="O203" i="18"/>
  <c r="N218" i="18"/>
  <c r="T92" i="18" s="1"/>
  <c r="C225" i="18"/>
  <c r="G156" i="18"/>
  <c r="K164" i="18"/>
  <c r="I164" i="18"/>
  <c r="J164" i="18" s="1"/>
  <c r="L175" i="18"/>
  <c r="N220" i="18"/>
  <c r="V92" i="18" s="1"/>
  <c r="D225" i="18"/>
  <c r="N219" i="18"/>
  <c r="U92" i="18" s="1"/>
  <c r="C254" i="18"/>
  <c r="D210" i="18"/>
  <c r="C239" i="18"/>
  <c r="N248" i="18"/>
  <c r="U102" i="18" s="1"/>
  <c r="I306" i="18"/>
  <c r="J306" i="18" s="1"/>
  <c r="K306" i="18"/>
  <c r="L317" i="18"/>
  <c r="G384" i="18"/>
  <c r="K367" i="18"/>
  <c r="G369" i="18"/>
  <c r="I193" i="18"/>
  <c r="L203" i="18"/>
  <c r="E210" i="18"/>
  <c r="D214" i="18"/>
  <c r="D239" i="18"/>
  <c r="G346" i="18"/>
  <c r="D436" i="18"/>
  <c r="C436" i="18"/>
  <c r="F436" i="18"/>
  <c r="E436" i="18"/>
  <c r="G436" i="18"/>
  <c r="E214" i="18"/>
  <c r="K249" i="18"/>
  <c r="F253" i="18"/>
  <c r="F268" i="18"/>
  <c r="K365" i="18"/>
  <c r="I365" i="18"/>
  <c r="H368" i="18"/>
  <c r="I369" i="18" s="1"/>
  <c r="AD28" i="18" s="1"/>
  <c r="L376" i="18"/>
  <c r="K193" i="18"/>
  <c r="L231" i="18"/>
  <c r="L232" i="18"/>
  <c r="N249" i="18"/>
  <c r="V102" i="18" s="1"/>
  <c r="D268" i="18"/>
  <c r="H252" i="18"/>
  <c r="I253" i="18" s="1"/>
  <c r="AD24" i="18" s="1"/>
  <c r="L258" i="18"/>
  <c r="I247" i="18"/>
  <c r="J247" i="18" s="1"/>
  <c r="D491" i="18"/>
  <c r="C491" i="18"/>
  <c r="E491" i="18"/>
  <c r="C185" i="18"/>
  <c r="D233" i="18"/>
  <c r="O233" i="18"/>
  <c r="O232" i="18"/>
  <c r="K247" i="18"/>
  <c r="D341" i="18"/>
  <c r="N335" i="18"/>
  <c r="U132" i="18" s="1"/>
  <c r="D185" i="18"/>
  <c r="E233" i="18"/>
  <c r="L259" i="18"/>
  <c r="K248" i="18"/>
  <c r="D254" i="18"/>
  <c r="O262" i="18"/>
  <c r="O261" i="18"/>
  <c r="O260" i="18"/>
  <c r="O259" i="18"/>
  <c r="O258" i="18"/>
  <c r="L288" i="18"/>
  <c r="I277" i="18"/>
  <c r="J277" i="18" s="1"/>
  <c r="O230" i="18"/>
  <c r="I248" i="18"/>
  <c r="J248" i="18" s="1"/>
  <c r="G254" i="18"/>
  <c r="G260" i="18"/>
  <c r="K277" i="18"/>
  <c r="J451" i="18"/>
  <c r="N451" i="18"/>
  <c r="U172" i="18" s="1"/>
  <c r="O461" i="18"/>
  <c r="O462" i="18"/>
  <c r="O465" i="18"/>
  <c r="O463" i="18"/>
  <c r="D463" i="18" s="1"/>
  <c r="O464" i="18"/>
  <c r="G464" i="18" s="1"/>
  <c r="L289" i="18"/>
  <c r="K278" i="18"/>
  <c r="G326" i="18"/>
  <c r="G311" i="18"/>
  <c r="N363" i="18"/>
  <c r="T142" i="18" s="1"/>
  <c r="J363" i="18"/>
  <c r="H310" i="18"/>
  <c r="I311" i="18" s="1"/>
  <c r="AD26" i="18" s="1"/>
  <c r="K308" i="18"/>
  <c r="I308" i="18"/>
  <c r="J308" i="18" s="1"/>
  <c r="E407" i="18"/>
  <c r="D407" i="18"/>
  <c r="C407" i="18"/>
  <c r="G407" i="18"/>
  <c r="F407" i="18"/>
  <c r="L433" i="18"/>
  <c r="K422" i="18"/>
  <c r="I422" i="18"/>
  <c r="C442" i="18"/>
  <c r="C427" i="18"/>
  <c r="E446" i="18"/>
  <c r="F446" i="18"/>
  <c r="D446" i="18"/>
  <c r="C446" i="18"/>
  <c r="L465" i="18"/>
  <c r="K454" i="18"/>
  <c r="F475" i="18"/>
  <c r="G475" i="18"/>
  <c r="E475" i="18"/>
  <c r="L345" i="18"/>
  <c r="K334" i="18"/>
  <c r="O374" i="18"/>
  <c r="O378" i="18"/>
  <c r="E378" i="18" s="1"/>
  <c r="O375" i="18"/>
  <c r="C375" i="18" s="1"/>
  <c r="O376" i="18"/>
  <c r="N454" i="18"/>
  <c r="X172" i="18" s="1"/>
  <c r="C463" i="18"/>
  <c r="L494" i="18"/>
  <c r="K483" i="18"/>
  <c r="I483" i="18"/>
  <c r="J483" i="18" s="1"/>
  <c r="O523" i="18"/>
  <c r="O522" i="18"/>
  <c r="O521" i="18"/>
  <c r="D521" i="18" s="1"/>
  <c r="O520" i="18"/>
  <c r="C520" i="18" s="1"/>
  <c r="O519" i="18"/>
  <c r="I540" i="18"/>
  <c r="J540" i="18" s="1"/>
  <c r="L551" i="18"/>
  <c r="K540" i="18"/>
  <c r="L261" i="18"/>
  <c r="N305" i="18"/>
  <c r="T122" i="18" s="1"/>
  <c r="I334" i="18"/>
  <c r="C405" i="18"/>
  <c r="F405" i="18"/>
  <c r="E405" i="18"/>
  <c r="O408" i="18"/>
  <c r="K450" i="18"/>
  <c r="L461" i="18"/>
  <c r="I450" i="18"/>
  <c r="J450" i="18" s="1"/>
  <c r="H455" i="18"/>
  <c r="I456" i="18" s="1"/>
  <c r="AD31" i="18" s="1"/>
  <c r="G457" i="18"/>
  <c r="D475" i="18"/>
  <c r="D548" i="18"/>
  <c r="C548" i="18"/>
  <c r="G548" i="18"/>
  <c r="F548" i="18"/>
  <c r="G268" i="18"/>
  <c r="C272" i="18"/>
  <c r="L287" i="18"/>
  <c r="K305" i="18"/>
  <c r="I309" i="18"/>
  <c r="J309" i="18" s="1"/>
  <c r="L462" i="18"/>
  <c r="K451" i="18"/>
  <c r="L490" i="18"/>
  <c r="K479" i="18"/>
  <c r="I479" i="18"/>
  <c r="J479" i="18" s="1"/>
  <c r="H484" i="18"/>
  <c r="I485" i="18" s="1"/>
  <c r="AD32" i="18" s="1"/>
  <c r="D500" i="18"/>
  <c r="K480" i="18"/>
  <c r="D485" i="18"/>
  <c r="L523" i="18"/>
  <c r="K512" i="18"/>
  <c r="I512" i="18"/>
  <c r="C260" i="18"/>
  <c r="E272" i="18"/>
  <c r="F312" i="18"/>
  <c r="C320" i="18"/>
  <c r="E341" i="18"/>
  <c r="H426" i="18"/>
  <c r="I427" i="18" s="1"/>
  <c r="AD30" i="18" s="1"/>
  <c r="H513" i="18"/>
  <c r="I514" i="18" s="1"/>
  <c r="AD33" i="18" s="1"/>
  <c r="K508" i="18"/>
  <c r="L519" i="18"/>
  <c r="I508" i="18"/>
  <c r="J508" i="18" s="1"/>
  <c r="C515" i="18"/>
  <c r="D580" i="18"/>
  <c r="O579" i="18"/>
  <c r="O581" i="18"/>
  <c r="I251" i="18"/>
  <c r="J251" i="18" s="1"/>
  <c r="D260" i="18"/>
  <c r="D262" i="18"/>
  <c r="F272" i="18"/>
  <c r="K276" i="18"/>
  <c r="C282" i="18"/>
  <c r="N306" i="18"/>
  <c r="U122" i="18" s="1"/>
  <c r="D320" i="18"/>
  <c r="N338" i="18"/>
  <c r="X132" i="18" s="1"/>
  <c r="N337" i="18"/>
  <c r="W132" i="18" s="1"/>
  <c r="K366" i="18"/>
  <c r="L377" i="18"/>
  <c r="E260" i="18"/>
  <c r="E262" i="18"/>
  <c r="L290" i="18"/>
  <c r="C312" i="18"/>
  <c r="E320" i="18"/>
  <c r="D347" i="18"/>
  <c r="O377" i="18"/>
  <c r="D406" i="18"/>
  <c r="C406" i="18"/>
  <c r="O577" i="18"/>
  <c r="G577" i="18" s="1"/>
  <c r="I250" i="18"/>
  <c r="J250" i="18" s="1"/>
  <c r="F260" i="18"/>
  <c r="F262" i="18"/>
  <c r="I280" i="18"/>
  <c r="J280" i="18" s="1"/>
  <c r="E282" i="18"/>
  <c r="I307" i="18"/>
  <c r="L318" i="18"/>
  <c r="F320" i="18"/>
  <c r="I336" i="18"/>
  <c r="J336" i="18" s="1"/>
  <c r="I396" i="18"/>
  <c r="N394" i="18"/>
  <c r="V152" i="18" s="1"/>
  <c r="E399" i="18"/>
  <c r="K509" i="18"/>
  <c r="F577" i="18"/>
  <c r="O578" i="18"/>
  <c r="L291" i="18"/>
  <c r="D330" i="18"/>
  <c r="C330" i="18"/>
  <c r="F341" i="18"/>
  <c r="G404" i="18"/>
  <c r="E404" i="18"/>
  <c r="C404" i="18"/>
  <c r="C456" i="18"/>
  <c r="C485" i="18"/>
  <c r="G282" i="18"/>
  <c r="E330" i="18"/>
  <c r="K336" i="18"/>
  <c r="C374" i="18"/>
  <c r="K425" i="18"/>
  <c r="I425" i="18"/>
  <c r="J425" i="18" s="1"/>
  <c r="E463" i="18"/>
  <c r="K567" i="18"/>
  <c r="L578" i="18"/>
  <c r="E515" i="18"/>
  <c r="D572" i="18"/>
  <c r="D587" i="18"/>
  <c r="D355" i="18"/>
  <c r="N364" i="18"/>
  <c r="U142" i="18" s="1"/>
  <c r="C388" i="18"/>
  <c r="I394" i="18"/>
  <c r="J394" i="18" s="1"/>
  <c r="K421" i="18"/>
  <c r="L432" i="18"/>
  <c r="I421" i="18"/>
  <c r="J421" i="18" s="1"/>
  <c r="D493" i="18"/>
  <c r="H542" i="18"/>
  <c r="I543" i="18" s="1"/>
  <c r="AD34" i="18" s="1"/>
  <c r="E587" i="18"/>
  <c r="E572" i="18"/>
  <c r="I541" i="18"/>
  <c r="J541" i="18" s="1"/>
  <c r="K541" i="18"/>
  <c r="L552" i="18"/>
  <c r="F587" i="18"/>
  <c r="F572" i="18"/>
  <c r="E388" i="18"/>
  <c r="K394" i="18"/>
  <c r="K537" i="18"/>
  <c r="K568" i="18"/>
  <c r="N570" i="18"/>
  <c r="X212" i="18" s="1"/>
  <c r="G573" i="18"/>
  <c r="C587" i="18"/>
  <c r="O316" i="18"/>
  <c r="G316" i="18" s="1"/>
  <c r="O317" i="18"/>
  <c r="O318" i="18"/>
  <c r="O319" i="18"/>
  <c r="O432" i="18"/>
  <c r="O433" i="18"/>
  <c r="O434" i="18"/>
  <c r="G434" i="18" s="1"/>
  <c r="L549" i="18"/>
  <c r="K538" i="18"/>
  <c r="I538" i="18"/>
  <c r="J538" i="18" s="1"/>
  <c r="E558" i="18"/>
  <c r="E543" i="18"/>
  <c r="H571" i="18"/>
  <c r="I572" i="18" s="1"/>
  <c r="AD35" i="18" s="1"/>
  <c r="E580" i="18"/>
  <c r="C580" i="18"/>
  <c r="G580" i="18"/>
  <c r="F359" i="18"/>
  <c r="K392" i="18"/>
  <c r="L403" i="18"/>
  <c r="I392" i="18"/>
  <c r="J392" i="18" s="1"/>
  <c r="H397" i="18"/>
  <c r="I398" i="18" s="1"/>
  <c r="AD29" i="18" s="1"/>
  <c r="D550" i="18"/>
  <c r="F558" i="18"/>
  <c r="F543" i="18"/>
  <c r="F550" i="18"/>
  <c r="O551" i="18"/>
  <c r="C558" i="18"/>
  <c r="I566" i="18"/>
  <c r="J566" i="18" s="1"/>
  <c r="I569" i="18"/>
  <c r="J569" i="18" s="1"/>
  <c r="N395" i="18"/>
  <c r="W152" i="18" s="1"/>
  <c r="E428" i="18"/>
  <c r="N423" i="18"/>
  <c r="V162" i="18" s="1"/>
  <c r="G544" i="18"/>
  <c r="G550" i="18"/>
  <c r="G558" i="18"/>
  <c r="K569" i="18"/>
  <c r="N452" i="18"/>
  <c r="V172" i="18" s="1"/>
  <c r="N481" i="18"/>
  <c r="V182" i="18" s="1"/>
  <c r="F562" i="18"/>
  <c r="D562" i="18"/>
  <c r="E579" i="18"/>
  <c r="C579" i="18"/>
  <c r="G591" i="18"/>
  <c r="F591" i="18"/>
  <c r="E591" i="18"/>
  <c r="C493" i="18"/>
  <c r="C562" i="18"/>
  <c r="K570" i="18"/>
  <c r="C591" i="18"/>
  <c r="I482" i="18"/>
  <c r="J482" i="18" s="1"/>
  <c r="I511" i="18"/>
  <c r="E533" i="18"/>
  <c r="C533" i="18"/>
  <c r="E562" i="18"/>
  <c r="D591" i="18"/>
  <c r="J15" i="17"/>
  <c r="N15" i="17"/>
  <c r="T22" i="17" s="1"/>
  <c r="E27" i="17"/>
  <c r="G27" i="17"/>
  <c r="F27" i="17"/>
  <c r="D27" i="17"/>
  <c r="C27" i="17"/>
  <c r="U287" i="17"/>
  <c r="U288" i="17"/>
  <c r="U289" i="17" s="1"/>
  <c r="U226" i="17"/>
  <c r="V288" i="17"/>
  <c r="V289" i="17" s="1"/>
  <c r="V226" i="17"/>
  <c r="V287" i="17"/>
  <c r="L28" i="17"/>
  <c r="G55" i="17"/>
  <c r="E55" i="17"/>
  <c r="D55" i="17"/>
  <c r="G114" i="17"/>
  <c r="F114" i="17"/>
  <c r="E114" i="17"/>
  <c r="D114" i="17"/>
  <c r="C114" i="17"/>
  <c r="W288" i="17"/>
  <c r="W289" i="17" s="1"/>
  <c r="W226" i="17"/>
  <c r="W287" i="17"/>
  <c r="C26" i="17"/>
  <c r="T287" i="17"/>
  <c r="T288" i="17"/>
  <c r="T289" i="17" s="1"/>
  <c r="T226" i="17"/>
  <c r="X288" i="17"/>
  <c r="X289" i="17" s="1"/>
  <c r="X287" i="17"/>
  <c r="X226" i="17"/>
  <c r="L30" i="17"/>
  <c r="D21" i="17"/>
  <c r="AA288" i="17"/>
  <c r="AA287" i="17"/>
  <c r="E26" i="17"/>
  <c r="G56" i="17"/>
  <c r="E56" i="17"/>
  <c r="D56" i="17"/>
  <c r="D57" i="17"/>
  <c r="C57" i="17"/>
  <c r="G57" i="17"/>
  <c r="F57" i="17"/>
  <c r="D50" i="17"/>
  <c r="D65" i="17"/>
  <c r="J74" i="17"/>
  <c r="E21" i="17"/>
  <c r="F26" i="17"/>
  <c r="O31" i="17"/>
  <c r="K47" i="17"/>
  <c r="BL64" i="17"/>
  <c r="BI262" i="17" s="1"/>
  <c r="D69" i="17"/>
  <c r="C69" i="17"/>
  <c r="G69" i="17"/>
  <c r="F69" i="17"/>
  <c r="F65" i="17"/>
  <c r="F50" i="17"/>
  <c r="I18" i="17"/>
  <c r="J18" i="17" s="1"/>
  <c r="K19" i="17"/>
  <c r="H20" i="17"/>
  <c r="I21" i="17" s="1"/>
  <c r="AD16" i="17" s="1"/>
  <c r="G21" i="17"/>
  <c r="F59" i="17"/>
  <c r="L29" i="17"/>
  <c r="O58" i="17"/>
  <c r="G58" i="17" s="1"/>
  <c r="K74" i="17"/>
  <c r="C79" i="17"/>
  <c r="AU98" i="17"/>
  <c r="AR87" i="17"/>
  <c r="AS87" i="17" s="1"/>
  <c r="K46" i="17"/>
  <c r="I47" i="17"/>
  <c r="J47" i="17" s="1"/>
  <c r="H49" i="17"/>
  <c r="I50" i="17" s="1"/>
  <c r="AD17" i="17" s="1"/>
  <c r="G50" i="17"/>
  <c r="K73" i="17"/>
  <c r="L84" i="17"/>
  <c r="L85" i="17"/>
  <c r="G142" i="17"/>
  <c r="F142" i="17"/>
  <c r="E142" i="17"/>
  <c r="D142" i="17"/>
  <c r="C142" i="17"/>
  <c r="C86" i="17"/>
  <c r="L200" i="17"/>
  <c r="H194" i="17"/>
  <c r="I195" i="17" s="1"/>
  <c r="AD22" i="17" s="1"/>
  <c r="K189" i="17"/>
  <c r="I189" i="17"/>
  <c r="J189" i="17" s="1"/>
  <c r="BI57" i="17"/>
  <c r="G79" i="17"/>
  <c r="D86" i="17"/>
  <c r="AR86" i="17"/>
  <c r="AS86" i="17" s="1"/>
  <c r="K103" i="17"/>
  <c r="I103" i="17"/>
  <c r="J103" i="17" s="1"/>
  <c r="C117" i="17"/>
  <c r="G117" i="17"/>
  <c r="F117" i="17"/>
  <c r="E79" i="17"/>
  <c r="E94" i="17"/>
  <c r="AR83" i="17"/>
  <c r="AS83" i="17" s="1"/>
  <c r="AU94" i="17"/>
  <c r="C88" i="17"/>
  <c r="L116" i="17"/>
  <c r="K105" i="17"/>
  <c r="L171" i="17"/>
  <c r="K160" i="17"/>
  <c r="I160" i="17"/>
  <c r="H165" i="17"/>
  <c r="I166" i="17" s="1"/>
  <c r="AD21" i="17" s="1"/>
  <c r="I77" i="17"/>
  <c r="J77" i="17" s="1"/>
  <c r="D88" i="17"/>
  <c r="I105" i="17"/>
  <c r="L87" i="17"/>
  <c r="E88" i="17"/>
  <c r="AN104" i="17"/>
  <c r="AN89" i="17"/>
  <c r="H107" i="17"/>
  <c r="I108" i="17" s="1"/>
  <c r="AD19" i="17" s="1"/>
  <c r="L113" i="17"/>
  <c r="I102" i="17"/>
  <c r="J102" i="17" s="1"/>
  <c r="G109" i="17"/>
  <c r="N106" i="17"/>
  <c r="X52" i="17" s="1"/>
  <c r="C59" i="17"/>
  <c r="I76" i="17"/>
  <c r="K77" i="17"/>
  <c r="F88" i="17"/>
  <c r="O89" i="17"/>
  <c r="AS116" i="17"/>
  <c r="AX96" i="17"/>
  <c r="AP96" i="17" s="1"/>
  <c r="AX94" i="17"/>
  <c r="AX97" i="17"/>
  <c r="AL97" i="17" s="1"/>
  <c r="K102" i="17"/>
  <c r="D138" i="17"/>
  <c r="N132" i="17"/>
  <c r="U62" i="17" s="1"/>
  <c r="K44" i="17"/>
  <c r="BI58" i="17"/>
  <c r="D59" i="17"/>
  <c r="AX98" i="17"/>
  <c r="E137" i="17"/>
  <c r="E152" i="17"/>
  <c r="E59" i="17"/>
  <c r="AP95" i="17"/>
  <c r="AO95" i="17"/>
  <c r="AN95" i="17"/>
  <c r="AM95" i="17"/>
  <c r="AL95" i="17"/>
  <c r="E86" i="17"/>
  <c r="AQ88" i="17"/>
  <c r="AR89" i="17" s="1"/>
  <c r="AR84" i="17"/>
  <c r="AT85" i="17"/>
  <c r="AN97" i="17"/>
  <c r="AM97" i="17"/>
  <c r="F138" i="17"/>
  <c r="N134" i="17"/>
  <c r="W62" i="17" s="1"/>
  <c r="L115" i="17"/>
  <c r="K133" i="17"/>
  <c r="G146" i="17"/>
  <c r="F146" i="17"/>
  <c r="E146" i="17"/>
  <c r="G138" i="17"/>
  <c r="N135" i="17"/>
  <c r="X62" i="17" s="1"/>
  <c r="F172" i="17"/>
  <c r="D98" i="17"/>
  <c r="AL89" i="17"/>
  <c r="E98" i="17"/>
  <c r="K106" i="17"/>
  <c r="G173" i="17"/>
  <c r="F173" i="17"/>
  <c r="E173" i="17"/>
  <c r="D173" i="17"/>
  <c r="C173" i="17"/>
  <c r="E175" i="17"/>
  <c r="D175" i="17"/>
  <c r="F98" i="17"/>
  <c r="O118" i="17"/>
  <c r="D143" i="17"/>
  <c r="C143" i="17"/>
  <c r="G143" i="17"/>
  <c r="F143" i="17"/>
  <c r="L203" i="17"/>
  <c r="K192" i="17"/>
  <c r="I192" i="17"/>
  <c r="J192" i="17" s="1"/>
  <c r="D108" i="17"/>
  <c r="E143" i="17"/>
  <c r="O176" i="17"/>
  <c r="AO89" i="17"/>
  <c r="I104" i="17"/>
  <c r="J104" i="17" s="1"/>
  <c r="E108" i="17"/>
  <c r="G123" i="17"/>
  <c r="C138" i="17"/>
  <c r="G174" i="17"/>
  <c r="E174" i="17"/>
  <c r="AL133" i="17"/>
  <c r="L145" i="17"/>
  <c r="N192" i="17"/>
  <c r="W82" i="17" s="1"/>
  <c r="D239" i="17"/>
  <c r="D224" i="17"/>
  <c r="I161" i="17"/>
  <c r="J161" i="17" s="1"/>
  <c r="F166" i="17"/>
  <c r="N189" i="17"/>
  <c r="T82" i="17" s="1"/>
  <c r="C196" i="17"/>
  <c r="N193" i="17"/>
  <c r="X82" i="17" s="1"/>
  <c r="G196" i="17"/>
  <c r="H136" i="17"/>
  <c r="I137" i="17" s="1"/>
  <c r="AD20" i="17" s="1"/>
  <c r="C152" i="17"/>
  <c r="G166" i="17"/>
  <c r="E167" i="17"/>
  <c r="F225" i="17"/>
  <c r="N247" i="17"/>
  <c r="T102" i="17" s="1"/>
  <c r="J247" i="17"/>
  <c r="AL128" i="17"/>
  <c r="I132" i="17"/>
  <c r="J132" i="17" s="1"/>
  <c r="AO133" i="17"/>
  <c r="L144" i="17"/>
  <c r="D152" i="17"/>
  <c r="K161" i="17"/>
  <c r="I163" i="17"/>
  <c r="J163" i="17" s="1"/>
  <c r="C204" i="17"/>
  <c r="G204" i="17"/>
  <c r="F204" i="17"/>
  <c r="E204" i="17"/>
  <c r="F232" i="17"/>
  <c r="E232" i="17"/>
  <c r="D232" i="17"/>
  <c r="C232" i="17"/>
  <c r="G225" i="17"/>
  <c r="N222" i="17"/>
  <c r="X92" i="17" s="1"/>
  <c r="G232" i="17"/>
  <c r="G259" i="17"/>
  <c r="E259" i="17"/>
  <c r="D259" i="17"/>
  <c r="F259" i="17"/>
  <c r="C259" i="17"/>
  <c r="G341" i="17"/>
  <c r="AM128" i="17"/>
  <c r="I135" i="17"/>
  <c r="J135" i="17" s="1"/>
  <c r="C156" i="17"/>
  <c r="L201" i="17"/>
  <c r="K190" i="17"/>
  <c r="I190" i="17"/>
  <c r="J190" i="17" s="1"/>
  <c r="D204" i="17"/>
  <c r="D268" i="17"/>
  <c r="AL123" i="17"/>
  <c r="AN128" i="17"/>
  <c r="I131" i="17"/>
  <c r="J131" i="17" s="1"/>
  <c r="K132" i="17"/>
  <c r="F152" i="17"/>
  <c r="D156" i="17"/>
  <c r="I164" i="17"/>
  <c r="J164" i="17" s="1"/>
  <c r="H252" i="17"/>
  <c r="I253" i="17" s="1"/>
  <c r="AD24" i="17" s="1"/>
  <c r="K248" i="17"/>
  <c r="I248" i="17"/>
  <c r="J248" i="17" s="1"/>
  <c r="K135" i="17"/>
  <c r="G152" i="17"/>
  <c r="E156" i="17"/>
  <c r="N218" i="17"/>
  <c r="T92" i="17" s="1"/>
  <c r="J218" i="17"/>
  <c r="D254" i="17"/>
  <c r="D283" i="17"/>
  <c r="N277" i="17"/>
  <c r="U112" i="17" s="1"/>
  <c r="N190" i="17"/>
  <c r="U82" i="17" s="1"/>
  <c r="D196" i="17"/>
  <c r="O320" i="17"/>
  <c r="F320" i="17" s="1"/>
  <c r="O319" i="17"/>
  <c r="O318" i="17"/>
  <c r="O317" i="17"/>
  <c r="O316" i="17"/>
  <c r="E316" i="17" s="1"/>
  <c r="G384" i="17"/>
  <c r="G369" i="17"/>
  <c r="L233" i="17"/>
  <c r="F239" i="17"/>
  <c r="F243" i="17"/>
  <c r="E260" i="17"/>
  <c r="D260" i="17"/>
  <c r="D261" i="17"/>
  <c r="G290" i="17"/>
  <c r="C290" i="17"/>
  <c r="H310" i="17"/>
  <c r="I311" i="17" s="1"/>
  <c r="AD26" i="17" s="1"/>
  <c r="K308" i="17"/>
  <c r="L319" i="17"/>
  <c r="I308" i="17"/>
  <c r="J308" i="17" s="1"/>
  <c r="G239" i="17"/>
  <c r="G243" i="17"/>
  <c r="I249" i="17"/>
  <c r="J249" i="17" s="1"/>
  <c r="G253" i="17"/>
  <c r="G258" i="17"/>
  <c r="E376" i="17"/>
  <c r="G407" i="17"/>
  <c r="F407" i="17"/>
  <c r="E407" i="17"/>
  <c r="D407" i="17"/>
  <c r="L202" i="17"/>
  <c r="L229" i="17"/>
  <c r="G262" i="17"/>
  <c r="F262" i="17"/>
  <c r="D262" i="17"/>
  <c r="G297" i="17"/>
  <c r="G282" i="17"/>
  <c r="K280" i="17"/>
  <c r="F196" i="17"/>
  <c r="O202" i="17"/>
  <c r="K249" i="17"/>
  <c r="I251" i="17"/>
  <c r="J251" i="17" s="1"/>
  <c r="C260" i="17"/>
  <c r="N306" i="17"/>
  <c r="U122" i="17" s="1"/>
  <c r="D312" i="17"/>
  <c r="G435" i="17"/>
  <c r="F260" i="17"/>
  <c r="E311" i="17"/>
  <c r="E326" i="17"/>
  <c r="K337" i="17"/>
  <c r="L348" i="17"/>
  <c r="F377" i="17"/>
  <c r="E377" i="17"/>
  <c r="D377" i="17"/>
  <c r="C377" i="17"/>
  <c r="C210" i="17"/>
  <c r="L230" i="17"/>
  <c r="N250" i="17"/>
  <c r="W102" i="17" s="1"/>
  <c r="K251" i="17"/>
  <c r="G260" i="17"/>
  <c r="E283" i="17"/>
  <c r="F312" i="17"/>
  <c r="I337" i="17"/>
  <c r="J337" i="17" s="1"/>
  <c r="F404" i="17"/>
  <c r="E404" i="17"/>
  <c r="D404" i="17"/>
  <c r="O234" i="17"/>
  <c r="K279" i="17"/>
  <c r="H281" i="17"/>
  <c r="I282" i="17" s="1"/>
  <c r="AD25" i="17" s="1"/>
  <c r="I279" i="17"/>
  <c r="J279" i="17" s="1"/>
  <c r="F282" i="17"/>
  <c r="N309" i="17"/>
  <c r="X122" i="17" s="1"/>
  <c r="G312" i="17"/>
  <c r="K367" i="17"/>
  <c r="G417" i="17"/>
  <c r="F417" i="17"/>
  <c r="E417" i="17"/>
  <c r="D417" i="17"/>
  <c r="C417" i="17"/>
  <c r="O201" i="17"/>
  <c r="O205" i="17" s="1"/>
  <c r="I219" i="17"/>
  <c r="J219" i="17" s="1"/>
  <c r="E291" i="17"/>
  <c r="D291" i="17"/>
  <c r="C291" i="17"/>
  <c r="F374" i="17"/>
  <c r="E374" i="17"/>
  <c r="G378" i="17"/>
  <c r="F378" i="17"/>
  <c r="E378" i="17"/>
  <c r="D378" i="17"/>
  <c r="E214" i="17"/>
  <c r="I220" i="17"/>
  <c r="L231" i="17"/>
  <c r="D258" i="17"/>
  <c r="D264" i="17" s="1"/>
  <c r="U97" i="17" s="1"/>
  <c r="U105" i="17" s="1"/>
  <c r="C262" i="17"/>
  <c r="F289" i="17"/>
  <c r="K306" i="17"/>
  <c r="C435" i="17"/>
  <c r="C243" i="17"/>
  <c r="E258" i="17"/>
  <c r="E262" i="17"/>
  <c r="E341" i="17"/>
  <c r="F258" i="17"/>
  <c r="N276" i="17"/>
  <c r="T112" i="17" s="1"/>
  <c r="C283" i="17"/>
  <c r="K307" i="17"/>
  <c r="C312" i="17"/>
  <c r="G320" i="17"/>
  <c r="F340" i="17"/>
  <c r="F355" i="17"/>
  <c r="K364" i="17"/>
  <c r="H368" i="17"/>
  <c r="I369" i="17" s="1"/>
  <c r="AD28" i="17" s="1"/>
  <c r="I364" i="17"/>
  <c r="F384" i="17"/>
  <c r="F369" i="17"/>
  <c r="K366" i="17"/>
  <c r="L375" i="17"/>
  <c r="D297" i="17"/>
  <c r="L346" i="17"/>
  <c r="G388" i="17"/>
  <c r="F388" i="17"/>
  <c r="E388" i="17"/>
  <c r="D388" i="17"/>
  <c r="D551" i="17"/>
  <c r="C551" i="17"/>
  <c r="L317" i="17"/>
  <c r="L318" i="17"/>
  <c r="F326" i="17"/>
  <c r="I335" i="17"/>
  <c r="J335" i="17" s="1"/>
  <c r="H339" i="17"/>
  <c r="I340" i="17" s="1"/>
  <c r="AD27" i="17" s="1"/>
  <c r="G355" i="17"/>
  <c r="C359" i="17"/>
  <c r="C388" i="17"/>
  <c r="L436" i="17"/>
  <c r="K425" i="17"/>
  <c r="I425" i="17"/>
  <c r="J425" i="17" s="1"/>
  <c r="L521" i="17"/>
  <c r="K510" i="17"/>
  <c r="D580" i="17"/>
  <c r="E573" i="17"/>
  <c r="N568" i="17"/>
  <c r="V212" i="17" s="1"/>
  <c r="D359" i="17"/>
  <c r="F432" i="17"/>
  <c r="E432" i="17"/>
  <c r="D432" i="17"/>
  <c r="O437" i="17"/>
  <c r="F573" i="17"/>
  <c r="C301" i="17"/>
  <c r="D330" i="17"/>
  <c r="C345" i="17"/>
  <c r="E359" i="17"/>
  <c r="I367" i="17"/>
  <c r="J367" i="17" s="1"/>
  <c r="I392" i="17"/>
  <c r="J392" i="17" s="1"/>
  <c r="F405" i="17"/>
  <c r="E405" i="17"/>
  <c r="D405" i="17"/>
  <c r="C405" i="17"/>
  <c r="C522" i="17"/>
  <c r="G522" i="17"/>
  <c r="K278" i="17"/>
  <c r="D301" i="17"/>
  <c r="E330" i="17"/>
  <c r="I338" i="17"/>
  <c r="J338" i="17" s="1"/>
  <c r="C340" i="17"/>
  <c r="D345" i="17"/>
  <c r="D349" i="17"/>
  <c r="F359" i="17"/>
  <c r="G433" i="17"/>
  <c r="F433" i="17"/>
  <c r="E433" i="17"/>
  <c r="C433" i="17"/>
  <c r="C515" i="17"/>
  <c r="D552" i="17"/>
  <c r="C552" i="17"/>
  <c r="H552" i="17" s="1"/>
  <c r="I552" i="17" s="1"/>
  <c r="D544" i="17"/>
  <c r="C272" i="17"/>
  <c r="L287" i="17"/>
  <c r="E301" i="17"/>
  <c r="F330" i="17"/>
  <c r="E345" i="17"/>
  <c r="E349" i="17"/>
  <c r="E369" i="17"/>
  <c r="C413" i="17"/>
  <c r="C398" i="17"/>
  <c r="L465" i="17"/>
  <c r="K454" i="17"/>
  <c r="N480" i="17"/>
  <c r="U182" i="17" s="1"/>
  <c r="C523" i="17"/>
  <c r="G523" i="17"/>
  <c r="E544" i="17"/>
  <c r="N539" i="17"/>
  <c r="V202" i="17" s="1"/>
  <c r="H571" i="17"/>
  <c r="I572" i="17" s="1"/>
  <c r="AD35" i="17" s="1"/>
  <c r="L577" i="17"/>
  <c r="K566" i="17"/>
  <c r="N570" i="17"/>
  <c r="X212" i="17" s="1"/>
  <c r="F301" i="17"/>
  <c r="F345" i="17"/>
  <c r="F347" i="17"/>
  <c r="F349" i="17"/>
  <c r="L492" i="17"/>
  <c r="K481" i="17"/>
  <c r="I481" i="17"/>
  <c r="J481" i="17" s="1"/>
  <c r="C486" i="17"/>
  <c r="E515" i="17"/>
  <c r="N510" i="17"/>
  <c r="V192" i="17" s="1"/>
  <c r="C572" i="17"/>
  <c r="C587" i="17"/>
  <c r="E272" i="17"/>
  <c r="I307" i="17"/>
  <c r="J307" i="17" s="1"/>
  <c r="K309" i="17"/>
  <c r="I363" i="17"/>
  <c r="L403" i="17"/>
  <c r="F406" i="17"/>
  <c r="E406" i="17"/>
  <c r="C406" i="17"/>
  <c r="H426" i="17"/>
  <c r="I427" i="17" s="1"/>
  <c r="AD30" i="17" s="1"/>
  <c r="D522" i="17"/>
  <c r="H542" i="17"/>
  <c r="I543" i="17" s="1"/>
  <c r="AD34" i="17" s="1"/>
  <c r="L548" i="17"/>
  <c r="K537" i="17"/>
  <c r="I537" i="17"/>
  <c r="J537" i="17" s="1"/>
  <c r="E551" i="17"/>
  <c r="N567" i="17"/>
  <c r="U212" i="17" s="1"/>
  <c r="D573" i="17"/>
  <c r="F272" i="17"/>
  <c r="O408" i="17"/>
  <c r="G434" i="17"/>
  <c r="F434" i="17"/>
  <c r="D434" i="17"/>
  <c r="L494" i="17"/>
  <c r="K483" i="17"/>
  <c r="E522" i="17"/>
  <c r="F551" i="17"/>
  <c r="F522" i="17"/>
  <c r="L550" i="17"/>
  <c r="K539" i="17"/>
  <c r="C544" i="17"/>
  <c r="G551" i="17"/>
  <c r="C427" i="17"/>
  <c r="F446" i="17"/>
  <c r="D456" i="17"/>
  <c r="E485" i="17"/>
  <c r="F514" i="17"/>
  <c r="G543" i="17"/>
  <c r="I396" i="17"/>
  <c r="J396" i="17" s="1"/>
  <c r="D427" i="17"/>
  <c r="I452" i="17"/>
  <c r="J452" i="17" s="1"/>
  <c r="E456" i="17"/>
  <c r="F485" i="17"/>
  <c r="I508" i="17"/>
  <c r="J508" i="17" s="1"/>
  <c r="G514" i="17"/>
  <c r="C558" i="17"/>
  <c r="D587" i="17"/>
  <c r="D398" i="17"/>
  <c r="I423" i="17"/>
  <c r="J423" i="17" s="1"/>
  <c r="E427" i="17"/>
  <c r="F456" i="17"/>
  <c r="I479" i="17"/>
  <c r="J479" i="17" s="1"/>
  <c r="G485" i="17"/>
  <c r="I569" i="17"/>
  <c r="J569" i="17" s="1"/>
  <c r="E398" i="17"/>
  <c r="F427" i="17"/>
  <c r="I450" i="17"/>
  <c r="J450" i="17" s="1"/>
  <c r="K452" i="17"/>
  <c r="G456" i="17"/>
  <c r="K508" i="17"/>
  <c r="L578" i="17"/>
  <c r="L581" i="17"/>
  <c r="L549" i="17"/>
  <c r="O578" i="17"/>
  <c r="O579" i="17"/>
  <c r="C579" i="17" s="1"/>
  <c r="O580" i="17"/>
  <c r="C591" i="17"/>
  <c r="C442" i="17"/>
  <c r="I482" i="17"/>
  <c r="J482" i="17" s="1"/>
  <c r="L519" i="17"/>
  <c r="L520" i="17"/>
  <c r="F529" i="17"/>
  <c r="I538" i="17"/>
  <c r="J538" i="17" s="1"/>
  <c r="C562" i="17"/>
  <c r="D591" i="17"/>
  <c r="I453" i="17"/>
  <c r="J453" i="17" s="1"/>
  <c r="L490" i="17"/>
  <c r="L491" i="17"/>
  <c r="L493" i="17"/>
  <c r="I509" i="17"/>
  <c r="C533" i="17"/>
  <c r="D562" i="17"/>
  <c r="E591" i="17"/>
  <c r="I424" i="17"/>
  <c r="J424" i="17" s="1"/>
  <c r="L463" i="17"/>
  <c r="L464" i="17"/>
  <c r="C504" i="17"/>
  <c r="D533" i="17"/>
  <c r="E562" i="17"/>
  <c r="F591" i="17"/>
  <c r="O461" i="17"/>
  <c r="G461" i="17" s="1"/>
  <c r="O462" i="17"/>
  <c r="G462" i="17" s="1"/>
  <c r="O463" i="17"/>
  <c r="O464" i="17"/>
  <c r="AL118" i="26" l="1"/>
  <c r="D496" i="27" s="1"/>
  <c r="D487" i="27"/>
  <c r="AP118" i="26"/>
  <c r="H496" i="27" s="1"/>
  <c r="H487" i="27"/>
  <c r="AM118" i="26"/>
  <c r="E496" i="27" s="1"/>
  <c r="E487" i="27"/>
  <c r="AN118" i="26"/>
  <c r="F496" i="27" s="1"/>
  <c r="F487" i="27"/>
  <c r="AO118" i="26"/>
  <c r="G496" i="27" s="1"/>
  <c r="G487" i="27"/>
  <c r="AN118" i="25"/>
  <c r="F448" i="27" s="1"/>
  <c r="F439" i="27"/>
  <c r="AO118" i="25"/>
  <c r="G448" i="27" s="1"/>
  <c r="G439" i="27"/>
  <c r="AM118" i="25"/>
  <c r="E448" i="27" s="1"/>
  <c r="E439" i="27"/>
  <c r="AL118" i="25"/>
  <c r="D448" i="27" s="1"/>
  <c r="D439" i="27"/>
  <c r="AP118" i="25"/>
  <c r="H448" i="27" s="1"/>
  <c r="H439" i="27"/>
  <c r="AN118" i="24"/>
  <c r="F400" i="27" s="1"/>
  <c r="F391" i="27"/>
  <c r="AP118" i="24"/>
  <c r="H400" i="27" s="1"/>
  <c r="H391" i="27"/>
  <c r="AO118" i="24"/>
  <c r="G400" i="27" s="1"/>
  <c r="G391" i="27"/>
  <c r="AL118" i="24"/>
  <c r="D400" i="27" s="1"/>
  <c r="D391" i="27"/>
  <c r="AM118" i="24"/>
  <c r="E400" i="27" s="1"/>
  <c r="E391" i="27"/>
  <c r="AP118" i="23"/>
  <c r="H352" i="27" s="1"/>
  <c r="H343" i="27"/>
  <c r="AM118" i="23"/>
  <c r="E352" i="27" s="1"/>
  <c r="E343" i="27"/>
  <c r="AN118" i="23"/>
  <c r="F352" i="27" s="1"/>
  <c r="F343" i="27"/>
  <c r="AO118" i="23"/>
  <c r="G352" i="27" s="1"/>
  <c r="G343" i="27"/>
  <c r="AL118" i="23"/>
  <c r="D352" i="27" s="1"/>
  <c r="D343" i="27"/>
  <c r="AM118" i="21"/>
  <c r="E304" i="27" s="1"/>
  <c r="E295" i="27"/>
  <c r="AL118" i="21"/>
  <c r="D304" i="27" s="1"/>
  <c r="D295" i="27"/>
  <c r="AP118" i="21"/>
  <c r="H304" i="27" s="1"/>
  <c r="H295" i="27"/>
  <c r="G305" i="27"/>
  <c r="G306" i="27"/>
  <c r="F305" i="27"/>
  <c r="F306" i="27"/>
  <c r="AL118" i="20"/>
  <c r="D256" i="27" s="1"/>
  <c r="D247" i="27"/>
  <c r="AO118" i="20"/>
  <c r="G256" i="27" s="1"/>
  <c r="G247" i="27"/>
  <c r="AP118" i="20"/>
  <c r="H256" i="27" s="1"/>
  <c r="H247" i="27"/>
  <c r="AM118" i="20"/>
  <c r="E256" i="27" s="1"/>
  <c r="E247" i="27"/>
  <c r="AN118" i="20"/>
  <c r="F256" i="27" s="1"/>
  <c r="F247" i="27"/>
  <c r="AK453" i="34"/>
  <c r="AK26" i="34"/>
  <c r="AK440" i="34" s="1"/>
  <c r="AK460" i="34"/>
  <c r="AK201" i="34"/>
  <c r="AK447" i="34" s="1"/>
  <c r="AK461" i="34"/>
  <c r="AK226" i="34"/>
  <c r="AK448" i="34" s="1"/>
  <c r="AL454" i="34"/>
  <c r="AL51" i="34"/>
  <c r="AL441" i="34" s="1"/>
  <c r="AD317" i="34" s="1"/>
  <c r="AH317" i="34" s="1"/>
  <c r="AK456" i="34"/>
  <c r="AK101" i="34"/>
  <c r="AK443" i="34" s="1"/>
  <c r="AK455" i="34"/>
  <c r="AK76" i="34"/>
  <c r="AK442" i="34" s="1"/>
  <c r="AK459" i="34"/>
  <c r="AK176" i="34"/>
  <c r="AK446" i="34" s="1"/>
  <c r="AD126" i="34"/>
  <c r="AK125" i="34"/>
  <c r="AK458" i="34"/>
  <c r="AK151" i="34"/>
  <c r="AK445" i="34" s="1"/>
  <c r="AD51" i="34"/>
  <c r="AK50" i="34"/>
  <c r="AL457" i="34"/>
  <c r="AL126" i="34"/>
  <c r="AL444" i="34" s="1"/>
  <c r="AD320" i="34" s="1"/>
  <c r="AH319" i="34" s="1"/>
  <c r="AK276" i="34"/>
  <c r="AK450" i="34" s="1"/>
  <c r="AK463" i="34"/>
  <c r="AK462" i="34"/>
  <c r="AK251" i="34"/>
  <c r="AK449" i="34" s="1"/>
  <c r="X276" i="34"/>
  <c r="X450" i="34" s="1"/>
  <c r="X463" i="34"/>
  <c r="K276" i="34"/>
  <c r="K450" i="34" s="1"/>
  <c r="K463" i="34"/>
  <c r="K151" i="34"/>
  <c r="K445" i="34" s="1"/>
  <c r="K458" i="34"/>
  <c r="AI370" i="34"/>
  <c r="AI383" i="34"/>
  <c r="K176" i="34"/>
  <c r="K446" i="34" s="1"/>
  <c r="X201" i="34"/>
  <c r="X447" i="34" s="1"/>
  <c r="X151" i="34"/>
  <c r="X445" i="34" s="1"/>
  <c r="AI373" i="34"/>
  <c r="AI386" i="34"/>
  <c r="K226" i="34"/>
  <c r="K448" i="34" s="1"/>
  <c r="K251" i="34"/>
  <c r="K449" i="34" s="1"/>
  <c r="X176" i="34"/>
  <c r="X446" i="34" s="1"/>
  <c r="K51" i="34"/>
  <c r="K441" i="34" s="1"/>
  <c r="K454" i="34"/>
  <c r="K126" i="34"/>
  <c r="K444" i="34" s="1"/>
  <c r="K457" i="34"/>
  <c r="X226" i="34"/>
  <c r="X448" i="34" s="1"/>
  <c r="X126" i="34"/>
  <c r="X444" i="34" s="1"/>
  <c r="X101" i="34"/>
  <c r="X443" i="34" s="1"/>
  <c r="X51" i="34"/>
  <c r="X441" i="34" s="1"/>
  <c r="AQ99" i="26"/>
  <c r="AR100" i="26" s="1"/>
  <c r="F584" i="26"/>
  <c r="F589" i="26" s="1"/>
  <c r="D584" i="26"/>
  <c r="D586" i="26" s="1"/>
  <c r="D526" i="26"/>
  <c r="D528" i="26" s="1"/>
  <c r="E444" i="26"/>
  <c r="AA134" i="26"/>
  <c r="C352" i="26"/>
  <c r="F323" i="26"/>
  <c r="K317" i="26"/>
  <c r="J317" i="26"/>
  <c r="U121" i="26" s="1"/>
  <c r="U120" i="26"/>
  <c r="P317" i="26"/>
  <c r="H263" i="26"/>
  <c r="I264" i="26" s="1"/>
  <c r="AE24" i="26" s="1"/>
  <c r="U86" i="26"/>
  <c r="U94" i="26" s="1"/>
  <c r="U238" i="26" s="1"/>
  <c r="D236" i="26"/>
  <c r="I117" i="26"/>
  <c r="X38" i="26"/>
  <c r="G95" i="26"/>
  <c r="G92" i="26" s="1"/>
  <c r="X39" i="26" s="1"/>
  <c r="G93" i="26"/>
  <c r="G62" i="26"/>
  <c r="F62" i="26"/>
  <c r="AA34" i="26"/>
  <c r="D62" i="26"/>
  <c r="T28" i="26"/>
  <c r="C67" i="26"/>
  <c r="E38" i="26"/>
  <c r="E584" i="26"/>
  <c r="E589" i="26" s="1"/>
  <c r="H582" i="26"/>
  <c r="I583" i="26" s="1"/>
  <c r="AE35" i="26" s="1"/>
  <c r="H437" i="26"/>
  <c r="I438" i="26" s="1"/>
  <c r="AE30" i="26" s="1"/>
  <c r="E443" i="26"/>
  <c r="I374" i="26"/>
  <c r="E381" i="26"/>
  <c r="I319" i="26"/>
  <c r="F327" i="26" s="1"/>
  <c r="I233" i="26"/>
  <c r="H205" i="26"/>
  <c r="I206" i="26" s="1"/>
  <c r="AE22" i="26" s="1"/>
  <c r="C207" i="26"/>
  <c r="C209" i="26" s="1"/>
  <c r="U66" i="26"/>
  <c r="U74" i="26" s="1"/>
  <c r="U236" i="26" s="1"/>
  <c r="D178" i="26"/>
  <c r="H89" i="26"/>
  <c r="I90" i="26" s="1"/>
  <c r="AE18" i="26" s="1"/>
  <c r="V228" i="26"/>
  <c r="E37" i="26"/>
  <c r="V18" i="26"/>
  <c r="K581" i="26"/>
  <c r="P581" i="26" s="1"/>
  <c r="J581" i="26"/>
  <c r="X211" i="26" s="1"/>
  <c r="X210" i="26"/>
  <c r="K520" i="26"/>
  <c r="P520" i="26" s="1"/>
  <c r="J520" i="26"/>
  <c r="U191" i="26" s="1"/>
  <c r="U190" i="26"/>
  <c r="K462" i="26"/>
  <c r="P462" i="26" s="1"/>
  <c r="J462" i="26"/>
  <c r="U171" i="26" s="1"/>
  <c r="U170" i="26"/>
  <c r="J57" i="26"/>
  <c r="V31" i="26" s="1"/>
  <c r="K57" i="26"/>
  <c r="P57" i="26" s="1"/>
  <c r="V30" i="26"/>
  <c r="K494" i="26"/>
  <c r="P494" i="26" s="1"/>
  <c r="J494" i="26"/>
  <c r="X181" i="26" s="1"/>
  <c r="X180" i="26"/>
  <c r="K436" i="26"/>
  <c r="P436" i="26" s="1"/>
  <c r="J436" i="26"/>
  <c r="X161" i="26" s="1"/>
  <c r="X160" i="26"/>
  <c r="K404" i="26"/>
  <c r="J404" i="26"/>
  <c r="U151" i="26" s="1"/>
  <c r="P404" i="26"/>
  <c r="U150" i="26"/>
  <c r="K262" i="26"/>
  <c r="P262" i="26" s="1"/>
  <c r="J262" i="26"/>
  <c r="X101" i="26" s="1"/>
  <c r="X100" i="26"/>
  <c r="K145" i="26"/>
  <c r="P145" i="26" s="1"/>
  <c r="J145" i="26"/>
  <c r="W61" i="26" s="1"/>
  <c r="W282" i="26" s="1"/>
  <c r="W283" i="26" s="1"/>
  <c r="W60" i="26"/>
  <c r="W281" i="26" s="1"/>
  <c r="K144" i="26"/>
  <c r="P144" i="26" s="1"/>
  <c r="J144" i="26"/>
  <c r="V61" i="26" s="1"/>
  <c r="V60" i="26"/>
  <c r="G270" i="26"/>
  <c r="G267" i="26"/>
  <c r="X98" i="26"/>
  <c r="G269" i="26"/>
  <c r="E154" i="26"/>
  <c r="E151" i="26"/>
  <c r="E153" i="26"/>
  <c r="V58" i="26"/>
  <c r="K435" i="26"/>
  <c r="P435" i="26" s="1"/>
  <c r="J435" i="26"/>
  <c r="W161" i="26" s="1"/>
  <c r="W160" i="26"/>
  <c r="K175" i="26"/>
  <c r="P175" i="26" s="1"/>
  <c r="J175" i="26"/>
  <c r="X71" i="26" s="1"/>
  <c r="X70" i="26"/>
  <c r="T235" i="26"/>
  <c r="K117" i="26"/>
  <c r="P117" i="26" s="1"/>
  <c r="J117" i="26"/>
  <c r="X51" i="26" s="1"/>
  <c r="X50" i="26"/>
  <c r="W36" i="26"/>
  <c r="F91" i="26"/>
  <c r="K578" i="26"/>
  <c r="P578" i="26" s="1"/>
  <c r="J578" i="26"/>
  <c r="U211" i="26" s="1"/>
  <c r="U210" i="26"/>
  <c r="K233" i="26"/>
  <c r="J233" i="26"/>
  <c r="X91" i="26" s="1"/>
  <c r="E354" i="26"/>
  <c r="E357" i="26"/>
  <c r="V128" i="26"/>
  <c r="E356" i="26"/>
  <c r="E353" i="26" s="1"/>
  <c r="V129" i="26" s="1"/>
  <c r="F299" i="26"/>
  <c r="F296" i="26"/>
  <c r="W108" i="26"/>
  <c r="F298" i="26"/>
  <c r="W86" i="26"/>
  <c r="W94" i="26" s="1"/>
  <c r="W238" i="26" s="1"/>
  <c r="F236" i="26"/>
  <c r="D91" i="26"/>
  <c r="C357" i="26"/>
  <c r="C354" i="26"/>
  <c r="T128" i="26"/>
  <c r="C356" i="26"/>
  <c r="W28" i="26"/>
  <c r="F64" i="26"/>
  <c r="F67" i="26"/>
  <c r="F66" i="26"/>
  <c r="F63" i="26" s="1"/>
  <c r="W29" i="26" s="1"/>
  <c r="F439" i="26"/>
  <c r="K319" i="26"/>
  <c r="P319" i="26" s="1"/>
  <c r="J322" i="26" s="1"/>
  <c r="AF26" i="26" s="1"/>
  <c r="C499" i="26"/>
  <c r="C502" i="26"/>
  <c r="T178" i="26"/>
  <c r="C501" i="26"/>
  <c r="I577" i="26"/>
  <c r="D589" i="26"/>
  <c r="D588" i="26"/>
  <c r="G238" i="26"/>
  <c r="G241" i="26"/>
  <c r="X88" i="26"/>
  <c r="G240" i="26"/>
  <c r="V291" i="26"/>
  <c r="V292" i="26" s="1"/>
  <c r="V290" i="26"/>
  <c r="V231" i="26"/>
  <c r="X146" i="26"/>
  <c r="X154" i="26" s="1"/>
  <c r="X244" i="26" s="1"/>
  <c r="G410" i="26"/>
  <c r="K405" i="26"/>
  <c r="J405" i="26"/>
  <c r="V151" i="26" s="1"/>
  <c r="V150" i="26"/>
  <c r="P405" i="26"/>
  <c r="W228" i="26"/>
  <c r="D502" i="26"/>
  <c r="D499" i="26"/>
  <c r="U178" i="26"/>
  <c r="D501" i="26"/>
  <c r="H60" i="26"/>
  <c r="I61" i="26" s="1"/>
  <c r="AE17" i="26" s="1"/>
  <c r="I55" i="26"/>
  <c r="F328" i="26"/>
  <c r="F325" i="26"/>
  <c r="W118" i="26"/>
  <c r="X186" i="26"/>
  <c r="X194" i="26" s="1"/>
  <c r="X248" i="26" s="1"/>
  <c r="G526" i="26"/>
  <c r="T66" i="26"/>
  <c r="T74" i="26" s="1"/>
  <c r="C178" i="26"/>
  <c r="AP109" i="26"/>
  <c r="AP117" i="26" s="1"/>
  <c r="AP101" i="26"/>
  <c r="E62" i="26"/>
  <c r="D270" i="26"/>
  <c r="D267" i="26"/>
  <c r="U98" i="26"/>
  <c r="D269" i="26"/>
  <c r="U228" i="26"/>
  <c r="J26" i="26"/>
  <c r="T21" i="26" s="1"/>
  <c r="T20" i="26"/>
  <c r="K26" i="26"/>
  <c r="P26" i="26" s="1"/>
  <c r="J32" i="26" s="1"/>
  <c r="AF16" i="26" s="1"/>
  <c r="E410" i="26"/>
  <c r="G64" i="26"/>
  <c r="G67" i="26"/>
  <c r="X28" i="26"/>
  <c r="G66" i="26"/>
  <c r="D328" i="26"/>
  <c r="D325" i="26"/>
  <c r="U118" i="26"/>
  <c r="D327" i="26"/>
  <c r="D324" i="26" s="1"/>
  <c r="U119" i="26" s="1"/>
  <c r="G557" i="26"/>
  <c r="G560" i="26"/>
  <c r="X198" i="26"/>
  <c r="W220" i="26"/>
  <c r="U231" i="26"/>
  <c r="AA214" i="26"/>
  <c r="T250" i="26"/>
  <c r="U56" i="26"/>
  <c r="U64" i="26" s="1"/>
  <c r="U235" i="26" s="1"/>
  <c r="D149" i="26"/>
  <c r="K261" i="26"/>
  <c r="P261" i="26" s="1"/>
  <c r="J261" i="26"/>
  <c r="W101" i="26" s="1"/>
  <c r="W100" i="26"/>
  <c r="T228" i="26"/>
  <c r="K259" i="26"/>
  <c r="P259" i="26" s="1"/>
  <c r="J259" i="26"/>
  <c r="U101" i="26" s="1"/>
  <c r="U100" i="26"/>
  <c r="U220" i="26"/>
  <c r="V275" i="26"/>
  <c r="K551" i="26"/>
  <c r="J551" i="26"/>
  <c r="W201" i="26" s="1"/>
  <c r="W200" i="26"/>
  <c r="P551" i="26"/>
  <c r="G357" i="26"/>
  <c r="G354" i="26"/>
  <c r="X128" i="26"/>
  <c r="G356" i="26"/>
  <c r="I552" i="26"/>
  <c r="G559" i="26" s="1"/>
  <c r="G556" i="26" s="1"/>
  <c r="X199" i="26" s="1"/>
  <c r="V106" i="26"/>
  <c r="V114" i="26" s="1"/>
  <c r="V240" i="26" s="1"/>
  <c r="E294" i="26"/>
  <c r="D530" i="26"/>
  <c r="W276" i="26"/>
  <c r="W277" i="26" s="1"/>
  <c r="D241" i="26"/>
  <c r="T246" i="26"/>
  <c r="C125" i="26"/>
  <c r="C122" i="26"/>
  <c r="T48" i="26"/>
  <c r="C124" i="26"/>
  <c r="V196" i="26"/>
  <c r="V204" i="26" s="1"/>
  <c r="V249" i="26" s="1"/>
  <c r="E555" i="26"/>
  <c r="F270" i="26"/>
  <c r="F267" i="26"/>
  <c r="W98" i="26"/>
  <c r="F269" i="26"/>
  <c r="K346" i="26"/>
  <c r="P346" i="26" s="1"/>
  <c r="J346" i="26"/>
  <c r="U131" i="26" s="1"/>
  <c r="U130" i="26"/>
  <c r="T220" i="26"/>
  <c r="T244" i="26"/>
  <c r="U276" i="26"/>
  <c r="U277" i="26" s="1"/>
  <c r="K519" i="26"/>
  <c r="P519" i="26" s="1"/>
  <c r="J519" i="26"/>
  <c r="T191" i="26" s="1"/>
  <c r="T190" i="26"/>
  <c r="F557" i="26"/>
  <c r="F560" i="26"/>
  <c r="F559" i="26"/>
  <c r="W198" i="26"/>
  <c r="D444" i="26"/>
  <c r="D441" i="26"/>
  <c r="U158" i="26"/>
  <c r="D443" i="26"/>
  <c r="C328" i="26"/>
  <c r="C325" i="26"/>
  <c r="T118" i="26"/>
  <c r="C327" i="26"/>
  <c r="X228" i="26"/>
  <c r="U76" i="26"/>
  <c r="U84" i="26" s="1"/>
  <c r="U237" i="26" s="1"/>
  <c r="D207" i="26"/>
  <c r="K201" i="26"/>
  <c r="P201" i="26" s="1"/>
  <c r="J201" i="26"/>
  <c r="U81" i="26" s="1"/>
  <c r="U80" i="26"/>
  <c r="G497" i="26"/>
  <c r="W136" i="26"/>
  <c r="W144" i="26" s="1"/>
  <c r="W243" i="26" s="1"/>
  <c r="F381" i="26"/>
  <c r="H466" i="26"/>
  <c r="I467" i="26" s="1"/>
  <c r="AE31" i="26" s="1"/>
  <c r="U275" i="26"/>
  <c r="C584" i="26"/>
  <c r="D410" i="26"/>
  <c r="D357" i="26"/>
  <c r="D354" i="26"/>
  <c r="U128" i="26"/>
  <c r="D356" i="26"/>
  <c r="D353" i="26" s="1"/>
  <c r="U129" i="26" s="1"/>
  <c r="T276" i="26"/>
  <c r="T277" i="26" s="1"/>
  <c r="K403" i="26"/>
  <c r="P403" i="26" s="1"/>
  <c r="J403" i="26"/>
  <c r="T151" i="26" s="1"/>
  <c r="T150" i="26"/>
  <c r="W176" i="26"/>
  <c r="W184" i="26" s="1"/>
  <c r="W247" i="26" s="1"/>
  <c r="F497" i="26"/>
  <c r="H524" i="26"/>
  <c r="I525" i="26" s="1"/>
  <c r="AE33" i="26" s="1"/>
  <c r="I348" i="26"/>
  <c r="F356" i="26" s="1"/>
  <c r="T241" i="26"/>
  <c r="AA124" i="26"/>
  <c r="D560" i="26"/>
  <c r="D557" i="26"/>
  <c r="U198" i="26"/>
  <c r="D559" i="26"/>
  <c r="G212" i="26"/>
  <c r="G209" i="26"/>
  <c r="X78" i="26"/>
  <c r="G211" i="26"/>
  <c r="G208" i="26" s="1"/>
  <c r="X79" i="26" s="1"/>
  <c r="J85" i="26"/>
  <c r="U41" i="26" s="1"/>
  <c r="K85" i="26"/>
  <c r="P85" i="26" s="1"/>
  <c r="U40" i="26"/>
  <c r="W46" i="26"/>
  <c r="W54" i="26" s="1"/>
  <c r="W234" i="26" s="1"/>
  <c r="F120" i="26"/>
  <c r="X220" i="26"/>
  <c r="F149" i="26"/>
  <c r="K288" i="26"/>
  <c r="P288" i="26" s="1"/>
  <c r="J288" i="26"/>
  <c r="U111" i="26" s="1"/>
  <c r="U110" i="26"/>
  <c r="I461" i="26"/>
  <c r="AA164" i="26"/>
  <c r="X56" i="26"/>
  <c r="X64" i="26" s="1"/>
  <c r="X235" i="26" s="1"/>
  <c r="G149" i="26"/>
  <c r="X166" i="26"/>
  <c r="X174" i="26" s="1"/>
  <c r="X246" i="26" s="1"/>
  <c r="G468" i="26"/>
  <c r="C96" i="26"/>
  <c r="C93" i="26"/>
  <c r="T38" i="26"/>
  <c r="C95" i="26"/>
  <c r="G584" i="26"/>
  <c r="T291" i="26"/>
  <c r="T292" i="26" s="1"/>
  <c r="T290" i="26"/>
  <c r="T231" i="26"/>
  <c r="T96" i="26"/>
  <c r="T104" i="26" s="1"/>
  <c r="C265" i="26"/>
  <c r="H408" i="26"/>
  <c r="I409" i="26" s="1"/>
  <c r="AE29" i="26" s="1"/>
  <c r="W146" i="26"/>
  <c r="W154" i="26" s="1"/>
  <c r="W244" i="26" s="1"/>
  <c r="F410" i="26"/>
  <c r="F354" i="26"/>
  <c r="F357" i="26"/>
  <c r="W128" i="26"/>
  <c r="D122" i="26"/>
  <c r="D125" i="26"/>
  <c r="D124" i="26"/>
  <c r="D121" i="26" s="1"/>
  <c r="U49" i="26" s="1"/>
  <c r="U48" i="26"/>
  <c r="C241" i="26"/>
  <c r="C238" i="26"/>
  <c r="T88" i="26"/>
  <c r="C240" i="26"/>
  <c r="E328" i="26"/>
  <c r="E325" i="26"/>
  <c r="V118" i="26"/>
  <c r="E327" i="26"/>
  <c r="X276" i="26"/>
  <c r="X277" i="26" s="1"/>
  <c r="K374" i="26"/>
  <c r="P374" i="26" s="1"/>
  <c r="J374" i="26"/>
  <c r="T141" i="26" s="1"/>
  <c r="T140" i="26"/>
  <c r="K376" i="26"/>
  <c r="P376" i="26" s="1"/>
  <c r="J376" i="26"/>
  <c r="V141" i="26" s="1"/>
  <c r="V140" i="26"/>
  <c r="AM109" i="26"/>
  <c r="AM117" i="26" s="1"/>
  <c r="AM101" i="26"/>
  <c r="D296" i="26"/>
  <c r="D299" i="26"/>
  <c r="U108" i="26"/>
  <c r="D298" i="26"/>
  <c r="V166" i="26"/>
  <c r="V174" i="26" s="1"/>
  <c r="V246" i="26" s="1"/>
  <c r="E468" i="26"/>
  <c r="I492" i="26"/>
  <c r="E501" i="26" s="1"/>
  <c r="AT96" i="26"/>
  <c r="AY96" i="26" s="1"/>
  <c r="AS96" i="26"/>
  <c r="AN114" i="26" s="1"/>
  <c r="AN113" i="26"/>
  <c r="G441" i="26"/>
  <c r="G444" i="26"/>
  <c r="X158" i="26"/>
  <c r="G443" i="26"/>
  <c r="V86" i="26"/>
  <c r="V94" i="26" s="1"/>
  <c r="V238" i="26" s="1"/>
  <c r="E236" i="26"/>
  <c r="W186" i="26"/>
  <c r="W194" i="26" s="1"/>
  <c r="W248" i="26" s="1"/>
  <c r="F526" i="26"/>
  <c r="T248" i="26"/>
  <c r="K202" i="26"/>
  <c r="P202" i="26" s="1"/>
  <c r="J202" i="26"/>
  <c r="V81" i="26" s="1"/>
  <c r="V80" i="26"/>
  <c r="AO109" i="26"/>
  <c r="AO117" i="26" s="1"/>
  <c r="AO101" i="26"/>
  <c r="T238" i="26"/>
  <c r="V220" i="26"/>
  <c r="AR94" i="26"/>
  <c r="T243" i="26"/>
  <c r="E386" i="26"/>
  <c r="E383" i="26"/>
  <c r="V138" i="26"/>
  <c r="E385" i="26"/>
  <c r="T106" i="26"/>
  <c r="T114" i="26" s="1"/>
  <c r="C294" i="26"/>
  <c r="E502" i="26"/>
  <c r="E499" i="26"/>
  <c r="V178" i="26"/>
  <c r="C468" i="26"/>
  <c r="X40" i="26"/>
  <c r="K88" i="26"/>
  <c r="P88" i="26" s="1"/>
  <c r="J88" i="26"/>
  <c r="X41" i="26" s="1"/>
  <c r="X282" i="26" s="1"/>
  <c r="X283" i="26" s="1"/>
  <c r="AN101" i="26"/>
  <c r="C444" i="26"/>
  <c r="C441" i="26"/>
  <c r="T158" i="26"/>
  <c r="C443" i="26"/>
  <c r="T275" i="26"/>
  <c r="E265" i="26"/>
  <c r="C410" i="26"/>
  <c r="C526" i="26"/>
  <c r="E207" i="26"/>
  <c r="C35" i="26"/>
  <c r="C38" i="26"/>
  <c r="T18" i="26"/>
  <c r="C37" i="26"/>
  <c r="C34" i="26" s="1"/>
  <c r="T19" i="26" s="1"/>
  <c r="D468" i="26"/>
  <c r="F183" i="26"/>
  <c r="F180" i="26"/>
  <c r="W68" i="26"/>
  <c r="F182" i="26"/>
  <c r="V276" i="26"/>
  <c r="V277" i="26" s="1"/>
  <c r="U136" i="26"/>
  <c r="U144" i="26" s="1"/>
  <c r="U243" i="26" s="1"/>
  <c r="D381" i="26"/>
  <c r="AL101" i="26"/>
  <c r="K200" i="26"/>
  <c r="P200" i="26" s="1"/>
  <c r="J200" i="26"/>
  <c r="T81" i="26" s="1"/>
  <c r="T80" i="26"/>
  <c r="J291" i="26"/>
  <c r="X111" i="26" s="1"/>
  <c r="K291" i="26"/>
  <c r="P291" i="26" s="1"/>
  <c r="X110" i="26"/>
  <c r="K521" i="26"/>
  <c r="P521" i="26" s="1"/>
  <c r="J521" i="26"/>
  <c r="V191" i="26" s="1"/>
  <c r="V190" i="26"/>
  <c r="E440" i="26"/>
  <c r="V159" i="26" s="1"/>
  <c r="C149" i="26"/>
  <c r="I260" i="26"/>
  <c r="U30" i="26"/>
  <c r="U281" i="26" s="1"/>
  <c r="K56" i="26"/>
  <c r="P56" i="26" s="1"/>
  <c r="J56" i="26"/>
  <c r="U31" i="26" s="1"/>
  <c r="E93" i="26"/>
  <c r="E96" i="26"/>
  <c r="V38" i="26"/>
  <c r="E95" i="26"/>
  <c r="U282" i="26"/>
  <c r="U283" i="26" s="1"/>
  <c r="W231" i="26"/>
  <c r="W166" i="26"/>
  <c r="W174" i="26" s="1"/>
  <c r="W246" i="26" s="1"/>
  <c r="F468" i="26"/>
  <c r="G294" i="26"/>
  <c r="K115" i="26"/>
  <c r="P115" i="26" s="1"/>
  <c r="J119" i="26" s="1"/>
  <c r="AF19" i="26" s="1"/>
  <c r="J115" i="26"/>
  <c r="V51" i="26" s="1"/>
  <c r="V50" i="26"/>
  <c r="AS95" i="26"/>
  <c r="AM114" i="26" s="1"/>
  <c r="AM113" i="26"/>
  <c r="AT95" i="26"/>
  <c r="AY95" i="26" s="1"/>
  <c r="E526" i="26"/>
  <c r="H147" i="26"/>
  <c r="I148" i="26" s="1"/>
  <c r="AE20" i="26" s="1"/>
  <c r="D64" i="26"/>
  <c r="U28" i="26"/>
  <c r="D67" i="26"/>
  <c r="D66" i="26"/>
  <c r="D63" i="26" s="1"/>
  <c r="U29" i="26" s="1"/>
  <c r="J203" i="26"/>
  <c r="W81" i="26" s="1"/>
  <c r="K203" i="26"/>
  <c r="P203" i="26" s="1"/>
  <c r="W80" i="26"/>
  <c r="G35" i="26"/>
  <c r="X18" i="26"/>
  <c r="G38" i="26"/>
  <c r="G37" i="26"/>
  <c r="G328" i="26"/>
  <c r="G325" i="26"/>
  <c r="X118" i="26"/>
  <c r="G327" i="26"/>
  <c r="G324" i="26" s="1"/>
  <c r="X119" i="26" s="1"/>
  <c r="F38" i="26"/>
  <c r="F35" i="26"/>
  <c r="W18" i="26"/>
  <c r="F37" i="26"/>
  <c r="C381" i="26"/>
  <c r="X136" i="26"/>
  <c r="X144" i="26" s="1"/>
  <c r="X243" i="26" s="1"/>
  <c r="G381" i="26"/>
  <c r="J171" i="26"/>
  <c r="T71" i="26" s="1"/>
  <c r="K171" i="26"/>
  <c r="P171" i="26" s="1"/>
  <c r="T70" i="26"/>
  <c r="T237" i="26"/>
  <c r="AA84" i="26"/>
  <c r="G180" i="26"/>
  <c r="G183" i="26"/>
  <c r="X68" i="26"/>
  <c r="G182" i="26"/>
  <c r="E120" i="26"/>
  <c r="I142" i="26"/>
  <c r="G125" i="26"/>
  <c r="G122" i="26"/>
  <c r="X48" i="26"/>
  <c r="G124" i="26"/>
  <c r="E183" i="26"/>
  <c r="E180" i="26"/>
  <c r="V68" i="26"/>
  <c r="E182" i="26"/>
  <c r="D35" i="26"/>
  <c r="U18" i="26"/>
  <c r="D38" i="26"/>
  <c r="D37" i="26"/>
  <c r="T196" i="26"/>
  <c r="T204" i="26" s="1"/>
  <c r="C555" i="26"/>
  <c r="F207" i="26"/>
  <c r="X24" i="26"/>
  <c r="AA24" i="26" s="1"/>
  <c r="AO101" i="25"/>
  <c r="H524" i="25"/>
  <c r="I525" i="25" s="1"/>
  <c r="AE33" i="25" s="1"/>
  <c r="C526" i="25"/>
  <c r="C528" i="25" s="1"/>
  <c r="F469" i="25"/>
  <c r="W169" i="25" s="1"/>
  <c r="G472" i="25"/>
  <c r="G473" i="25"/>
  <c r="I434" i="25"/>
  <c r="K434" i="25" s="1"/>
  <c r="P434" i="25" s="1"/>
  <c r="C410" i="25"/>
  <c r="T148" i="25" s="1"/>
  <c r="G410" i="25"/>
  <c r="G415" i="25" s="1"/>
  <c r="H350" i="25"/>
  <c r="I351" i="25" s="1"/>
  <c r="AE27" i="25" s="1"/>
  <c r="F352" i="25"/>
  <c r="F323" i="25"/>
  <c r="F298" i="25"/>
  <c r="W108" i="25"/>
  <c r="F299" i="25"/>
  <c r="X108" i="25"/>
  <c r="E269" i="25"/>
  <c r="V98" i="25"/>
  <c r="H263" i="25"/>
  <c r="I264" i="25" s="1"/>
  <c r="AE24" i="25" s="1"/>
  <c r="G207" i="25"/>
  <c r="X78" i="25" s="1"/>
  <c r="I171" i="25"/>
  <c r="J171" i="25" s="1"/>
  <c r="T71" i="25" s="1"/>
  <c r="J172" i="25"/>
  <c r="U71" i="25" s="1"/>
  <c r="U70" i="25"/>
  <c r="K172" i="25"/>
  <c r="P172" i="25" s="1"/>
  <c r="H31" i="25"/>
  <c r="I32" i="25" s="1"/>
  <c r="AE16" i="25" s="1"/>
  <c r="H553" i="25"/>
  <c r="I554" i="25" s="1"/>
  <c r="AE34" i="25" s="1"/>
  <c r="E555" i="25"/>
  <c r="E559" i="25" s="1"/>
  <c r="F440" i="25"/>
  <c r="W159" i="25" s="1"/>
  <c r="H379" i="25"/>
  <c r="I380" i="25" s="1"/>
  <c r="AE28" i="25" s="1"/>
  <c r="D352" i="25"/>
  <c r="D357" i="25" s="1"/>
  <c r="G352" i="25"/>
  <c r="G357" i="25" s="1"/>
  <c r="G295" i="25"/>
  <c r="X109" i="25" s="1"/>
  <c r="C269" i="25"/>
  <c r="C266" i="25" s="1"/>
  <c r="T99" i="25" s="1"/>
  <c r="T98" i="25"/>
  <c r="H205" i="25"/>
  <c r="I206" i="25" s="1"/>
  <c r="AE22" i="25" s="1"/>
  <c r="I142" i="25"/>
  <c r="F120" i="25"/>
  <c r="W48" i="25" s="1"/>
  <c r="C120" i="25"/>
  <c r="I84" i="25"/>
  <c r="T40" i="25" s="1"/>
  <c r="K86" i="25"/>
  <c r="P86" i="25" s="1"/>
  <c r="V40" i="25"/>
  <c r="J86" i="25"/>
  <c r="V41" i="25" s="1"/>
  <c r="E62" i="25"/>
  <c r="E67" i="25" s="1"/>
  <c r="I55" i="25"/>
  <c r="T30" i="25" s="1"/>
  <c r="K375" i="25"/>
  <c r="J375" i="25"/>
  <c r="U141" i="25" s="1"/>
  <c r="P375" i="25"/>
  <c r="J380" i="25" s="1"/>
  <c r="AF28" i="25" s="1"/>
  <c r="U140" i="25"/>
  <c r="K116" i="25"/>
  <c r="P116" i="25" s="1"/>
  <c r="J116" i="25"/>
  <c r="W51" i="25" s="1"/>
  <c r="W50" i="25"/>
  <c r="K117" i="25"/>
  <c r="P117" i="25" s="1"/>
  <c r="J117" i="25"/>
  <c r="X51" i="25" s="1"/>
  <c r="X50" i="25"/>
  <c r="K202" i="25"/>
  <c r="P202" i="25" s="1"/>
  <c r="J202" i="25"/>
  <c r="V81" i="25" s="1"/>
  <c r="V80" i="25"/>
  <c r="K348" i="25"/>
  <c r="J348" i="25"/>
  <c r="W131" i="25" s="1"/>
  <c r="W130" i="25"/>
  <c r="P348" i="25"/>
  <c r="K318" i="25"/>
  <c r="P318" i="25" s="1"/>
  <c r="J318" i="25"/>
  <c r="V121" i="25" s="1"/>
  <c r="V120" i="25"/>
  <c r="AS96" i="25"/>
  <c r="AN114" i="25" s="1"/>
  <c r="AN113" i="25"/>
  <c r="AT96" i="25"/>
  <c r="AY96" i="25" s="1"/>
  <c r="K319" i="25"/>
  <c r="P319" i="25" s="1"/>
  <c r="J319" i="25"/>
  <c r="W121" i="25" s="1"/>
  <c r="W120" i="25"/>
  <c r="K230" i="25"/>
  <c r="P230" i="25" s="1"/>
  <c r="J230" i="25"/>
  <c r="U91" i="25" s="1"/>
  <c r="U90" i="25"/>
  <c r="K115" i="25"/>
  <c r="P115" i="25" s="1"/>
  <c r="J115" i="25"/>
  <c r="V51" i="25" s="1"/>
  <c r="V50" i="25"/>
  <c r="AM113" i="25"/>
  <c r="AT95" i="25"/>
  <c r="AY95" i="25" s="1"/>
  <c r="AS95" i="25"/>
  <c r="AM114" i="25" s="1"/>
  <c r="K317" i="25"/>
  <c r="P317" i="25" s="1"/>
  <c r="J317" i="25"/>
  <c r="U121" i="25" s="1"/>
  <c r="U120" i="25"/>
  <c r="J493" i="25"/>
  <c r="W181" i="25" s="1"/>
  <c r="K493" i="25"/>
  <c r="P493" i="25" s="1"/>
  <c r="W180" i="25"/>
  <c r="K550" i="25"/>
  <c r="P550" i="25" s="1"/>
  <c r="J550" i="25"/>
  <c r="V201" i="25" s="1"/>
  <c r="V200" i="25"/>
  <c r="C441" i="25"/>
  <c r="C444" i="25"/>
  <c r="T158" i="25"/>
  <c r="C443" i="25"/>
  <c r="V66" i="25"/>
  <c r="V74" i="25" s="1"/>
  <c r="V236" i="25" s="1"/>
  <c r="E178" i="25"/>
  <c r="C415" i="25"/>
  <c r="C412" i="25"/>
  <c r="I345" i="25"/>
  <c r="C356" i="25" s="1"/>
  <c r="D499" i="25"/>
  <c r="D502" i="25"/>
  <c r="U178" i="25"/>
  <c r="D501" i="25"/>
  <c r="D498" i="25" s="1"/>
  <c r="U179" i="25" s="1"/>
  <c r="E38" i="25"/>
  <c r="V18" i="25"/>
  <c r="E35" i="25"/>
  <c r="E37" i="25"/>
  <c r="K231" i="25"/>
  <c r="P231" i="25" s="1"/>
  <c r="J231" i="25"/>
  <c r="V91" i="25" s="1"/>
  <c r="V90" i="25"/>
  <c r="K580" i="25"/>
  <c r="P580" i="25" s="1"/>
  <c r="J580" i="25"/>
  <c r="W211" i="25" s="1"/>
  <c r="W210" i="25"/>
  <c r="K258" i="25"/>
  <c r="J258" i="25"/>
  <c r="T101" i="25" s="1"/>
  <c r="P258" i="25"/>
  <c r="J264" i="25" s="1"/>
  <c r="AF24" i="25" s="1"/>
  <c r="T100" i="25"/>
  <c r="T232" i="25"/>
  <c r="T247" i="25"/>
  <c r="AA184" i="25"/>
  <c r="V36" i="25"/>
  <c r="E91" i="25"/>
  <c r="E66" i="25"/>
  <c r="T236" i="25"/>
  <c r="C299" i="25"/>
  <c r="C296" i="25"/>
  <c r="C298" i="25"/>
  <c r="T108" i="25"/>
  <c r="C91" i="25"/>
  <c r="W276" i="25"/>
  <c r="W277" i="25" s="1"/>
  <c r="T276" i="25"/>
  <c r="T277" i="25" s="1"/>
  <c r="T220" i="25"/>
  <c r="T25" i="25"/>
  <c r="T228" i="25" s="1"/>
  <c r="K490" i="25"/>
  <c r="P490" i="25" s="1"/>
  <c r="J490" i="25"/>
  <c r="T181" i="25" s="1"/>
  <c r="T180" i="25"/>
  <c r="T233" i="25"/>
  <c r="C555" i="25"/>
  <c r="T196" i="25"/>
  <c r="T204" i="25" s="1"/>
  <c r="T242" i="25"/>
  <c r="AA134" i="25"/>
  <c r="I30" i="25"/>
  <c r="F589" i="25"/>
  <c r="F586" i="25"/>
  <c r="W208" i="25"/>
  <c r="F588" i="25"/>
  <c r="AO103" i="25"/>
  <c r="AO106" i="25"/>
  <c r="AO111" i="25"/>
  <c r="AO105" i="25"/>
  <c r="AA114" i="25"/>
  <c r="K436" i="25"/>
  <c r="P436" i="25" s="1"/>
  <c r="J436" i="25"/>
  <c r="X161" i="25" s="1"/>
  <c r="X160" i="25"/>
  <c r="D381" i="25"/>
  <c r="U186" i="25"/>
  <c r="U194" i="25" s="1"/>
  <c r="U248" i="25" s="1"/>
  <c r="D526" i="25"/>
  <c r="D555" i="25"/>
  <c r="U196" i="25"/>
  <c r="U204" i="25" s="1"/>
  <c r="U249" i="25" s="1"/>
  <c r="W220" i="25"/>
  <c r="E473" i="25"/>
  <c r="E470" i="25"/>
  <c r="E472" i="25"/>
  <c r="V168" i="25"/>
  <c r="K57" i="25"/>
  <c r="P57" i="25" s="1"/>
  <c r="J57" i="25"/>
  <c r="V31" i="25" s="1"/>
  <c r="V30" i="25"/>
  <c r="W228" i="25"/>
  <c r="G35" i="25"/>
  <c r="X18" i="25"/>
  <c r="G38" i="25"/>
  <c r="G37" i="25"/>
  <c r="G34" i="25" s="1"/>
  <c r="X19" i="25" s="1"/>
  <c r="C589" i="25"/>
  <c r="C586" i="25"/>
  <c r="T208" i="25"/>
  <c r="C588" i="25"/>
  <c r="AM101" i="25"/>
  <c r="F386" i="25"/>
  <c r="F383" i="25"/>
  <c r="W138" i="25"/>
  <c r="F385" i="25"/>
  <c r="F382" i="25" s="1"/>
  <c r="W139" i="25" s="1"/>
  <c r="G439" i="25"/>
  <c r="C62" i="25"/>
  <c r="C497" i="25"/>
  <c r="J320" i="25"/>
  <c r="X121" i="25" s="1"/>
  <c r="K320" i="25"/>
  <c r="P320" i="25" s="1"/>
  <c r="X120" i="25"/>
  <c r="U36" i="25"/>
  <c r="U44" i="25" s="1"/>
  <c r="U233" i="25" s="1"/>
  <c r="D91" i="25"/>
  <c r="C178" i="25"/>
  <c r="D473" i="25"/>
  <c r="D470" i="25"/>
  <c r="D472" i="25"/>
  <c r="U168" i="25"/>
  <c r="W186" i="25"/>
  <c r="W194" i="25" s="1"/>
  <c r="W248" i="25" s="1"/>
  <c r="F526" i="25"/>
  <c r="G589" i="25"/>
  <c r="G586" i="25"/>
  <c r="X208" i="25"/>
  <c r="G588" i="25"/>
  <c r="G386" i="25"/>
  <c r="G383" i="25"/>
  <c r="X138" i="25"/>
  <c r="G385" i="25"/>
  <c r="AO113" i="25"/>
  <c r="AT97" i="25"/>
  <c r="AY97" i="25" s="1"/>
  <c r="AS97" i="25"/>
  <c r="AO114" i="25" s="1"/>
  <c r="F35" i="25"/>
  <c r="F38" i="25"/>
  <c r="W18" i="25"/>
  <c r="F37" i="25"/>
  <c r="C386" i="25"/>
  <c r="C383" i="25"/>
  <c r="T138" i="25"/>
  <c r="C385" i="25"/>
  <c r="T250" i="25"/>
  <c r="F328" i="25"/>
  <c r="F325" i="25"/>
  <c r="W118" i="25"/>
  <c r="F327" i="25"/>
  <c r="T231" i="25"/>
  <c r="T291" i="25"/>
  <c r="T292" i="25" s="1"/>
  <c r="T290" i="25"/>
  <c r="AA24" i="25"/>
  <c r="X36" i="25"/>
  <c r="G91" i="25"/>
  <c r="E444" i="25"/>
  <c r="E441" i="25"/>
  <c r="E443" i="25"/>
  <c r="V158" i="25"/>
  <c r="H118" i="25"/>
  <c r="I119" i="25" s="1"/>
  <c r="AE19" i="25" s="1"/>
  <c r="AP109" i="25"/>
  <c r="AP117" i="25" s="1"/>
  <c r="AS117" i="25" s="1"/>
  <c r="AP101" i="25"/>
  <c r="G323" i="25"/>
  <c r="T275" i="25"/>
  <c r="K492" i="25"/>
  <c r="P492" i="25" s="1"/>
  <c r="J492" i="25"/>
  <c r="V181" i="25" s="1"/>
  <c r="V180" i="25"/>
  <c r="E352" i="25"/>
  <c r="K114" i="25"/>
  <c r="J114" i="25"/>
  <c r="U51" i="25" s="1"/>
  <c r="U50" i="25"/>
  <c r="U281" i="25" s="1"/>
  <c r="P114" i="25"/>
  <c r="K494" i="25"/>
  <c r="P494" i="25" s="1"/>
  <c r="J494" i="25"/>
  <c r="X181" i="25" s="1"/>
  <c r="X180" i="25"/>
  <c r="V220" i="25"/>
  <c r="V276" i="25"/>
  <c r="V277" i="25" s="1"/>
  <c r="V25" i="25"/>
  <c r="V228" i="25" s="1"/>
  <c r="D266" i="25"/>
  <c r="U99" i="25" s="1"/>
  <c r="C149" i="25"/>
  <c r="F270" i="25"/>
  <c r="F267" i="25"/>
  <c r="W98" i="25"/>
  <c r="F269" i="25"/>
  <c r="E499" i="25"/>
  <c r="E502" i="25"/>
  <c r="V178" i="25"/>
  <c r="E501" i="25"/>
  <c r="K347" i="25"/>
  <c r="P347" i="25" s="1"/>
  <c r="J347" i="25"/>
  <c r="V131" i="25" s="1"/>
  <c r="V130" i="25"/>
  <c r="D120" i="25"/>
  <c r="G497" i="25"/>
  <c r="X231" i="25"/>
  <c r="V146" i="25"/>
  <c r="V154" i="25" s="1"/>
  <c r="V244" i="25" s="1"/>
  <c r="E410" i="25"/>
  <c r="K204" i="25"/>
  <c r="P204" i="25" s="1"/>
  <c r="J204" i="25"/>
  <c r="X81" i="25" s="1"/>
  <c r="X80" i="25"/>
  <c r="K552" i="25"/>
  <c r="P552" i="25" s="1"/>
  <c r="J552" i="25"/>
  <c r="X201" i="25" s="1"/>
  <c r="X200" i="25"/>
  <c r="D35" i="25"/>
  <c r="U18" i="25"/>
  <c r="D38" i="25"/>
  <c r="D37" i="25"/>
  <c r="E589" i="25"/>
  <c r="E586" i="25"/>
  <c r="V208" i="25"/>
  <c r="E588" i="25"/>
  <c r="I519" i="25"/>
  <c r="C530" i="25" s="1"/>
  <c r="I113" i="25"/>
  <c r="C124" i="25" s="1"/>
  <c r="C121" i="25" s="1"/>
  <c r="T49" i="25" s="1"/>
  <c r="T235" i="25"/>
  <c r="K316" i="25"/>
  <c r="J316" i="25"/>
  <c r="T121" i="25" s="1"/>
  <c r="T120" i="25"/>
  <c r="P316" i="25"/>
  <c r="D212" i="25"/>
  <c r="D209" i="25"/>
  <c r="U78" i="25"/>
  <c r="D211" i="25"/>
  <c r="X228" i="25"/>
  <c r="K28" i="25"/>
  <c r="J28" i="25"/>
  <c r="V21" i="25" s="1"/>
  <c r="V20" i="25"/>
  <c r="P28" i="25"/>
  <c r="K29" i="25"/>
  <c r="P29" i="25" s="1"/>
  <c r="J29" i="25"/>
  <c r="W21" i="25" s="1"/>
  <c r="W20" i="25"/>
  <c r="D415" i="25"/>
  <c r="D412" i="25"/>
  <c r="U148" i="25"/>
  <c r="D414" i="25"/>
  <c r="V198" i="25"/>
  <c r="D299" i="25"/>
  <c r="D296" i="25"/>
  <c r="D298" i="25"/>
  <c r="U108" i="25"/>
  <c r="J434" i="25"/>
  <c r="V161" i="25" s="1"/>
  <c r="V160" i="25"/>
  <c r="W56" i="25"/>
  <c r="W64" i="25" s="1"/>
  <c r="W235" i="25" s="1"/>
  <c r="F149" i="25"/>
  <c r="T86" i="25"/>
  <c r="T94" i="25" s="1"/>
  <c r="C236" i="25"/>
  <c r="G209" i="25"/>
  <c r="G212" i="25"/>
  <c r="G211" i="25"/>
  <c r="G412" i="25"/>
  <c r="G555" i="25"/>
  <c r="AL101" i="25"/>
  <c r="T234" i="25"/>
  <c r="AA54" i="25"/>
  <c r="H321" i="25"/>
  <c r="I322" i="25" s="1"/>
  <c r="AE26" i="25" s="1"/>
  <c r="U66" i="25"/>
  <c r="U74" i="25" s="1"/>
  <c r="U236" i="25" s="1"/>
  <c r="D178" i="25"/>
  <c r="D444" i="25"/>
  <c r="D441" i="25"/>
  <c r="D443" i="25"/>
  <c r="U158" i="25"/>
  <c r="AN101" i="25"/>
  <c r="X276" i="25"/>
  <c r="X277" i="25" s="1"/>
  <c r="K461" i="25"/>
  <c r="P461" i="25" s="1"/>
  <c r="J467" i="25" s="1"/>
  <c r="AF31" i="25" s="1"/>
  <c r="J461" i="25"/>
  <c r="T171" i="25" s="1"/>
  <c r="T170" i="25"/>
  <c r="E238" i="25"/>
  <c r="E241" i="25"/>
  <c r="V88" i="25"/>
  <c r="E240" i="25"/>
  <c r="X66" i="25"/>
  <c r="X74" i="25" s="1"/>
  <c r="X236" i="25" s="1"/>
  <c r="G178" i="25"/>
  <c r="V136" i="25"/>
  <c r="V144" i="25" s="1"/>
  <c r="E381" i="25"/>
  <c r="U128" i="25"/>
  <c r="D356" i="25"/>
  <c r="E325" i="25"/>
  <c r="E328" i="25"/>
  <c r="V118" i="25"/>
  <c r="E327" i="25"/>
  <c r="T76" i="25"/>
  <c r="T84" i="25" s="1"/>
  <c r="C207" i="25"/>
  <c r="G270" i="25"/>
  <c r="G267" i="25"/>
  <c r="X98" i="25"/>
  <c r="G269" i="25"/>
  <c r="U282" i="25"/>
  <c r="U283" i="25" s="1"/>
  <c r="K406" i="25"/>
  <c r="P406" i="25" s="1"/>
  <c r="J406" i="25"/>
  <c r="W151" i="25" s="1"/>
  <c r="W150" i="25"/>
  <c r="G531" i="25"/>
  <c r="G528" i="25"/>
  <c r="X188" i="25"/>
  <c r="G530" i="25"/>
  <c r="G527" i="25" s="1"/>
  <c r="X189" i="25" s="1"/>
  <c r="U206" i="25"/>
  <c r="U214" i="25" s="1"/>
  <c r="U250" i="25" s="1"/>
  <c r="D584" i="25"/>
  <c r="AQ99" i="25"/>
  <c r="AR100" i="25" s="1"/>
  <c r="G120" i="25"/>
  <c r="T188" i="25"/>
  <c r="F357" i="25"/>
  <c r="F354" i="25"/>
  <c r="W128" i="25"/>
  <c r="F356" i="25"/>
  <c r="C122" i="25"/>
  <c r="C125" i="25"/>
  <c r="T48" i="25"/>
  <c r="K142" i="25"/>
  <c r="P142" i="25" s="1"/>
  <c r="J142" i="25"/>
  <c r="T61" i="25" s="1"/>
  <c r="T60" i="25"/>
  <c r="T241" i="25"/>
  <c r="AA124" i="25"/>
  <c r="H408" i="25"/>
  <c r="I409" i="25" s="1"/>
  <c r="AE29" i="25" s="1"/>
  <c r="C473" i="25"/>
  <c r="C470" i="25"/>
  <c r="T168" i="25"/>
  <c r="C472" i="25"/>
  <c r="X220" i="25"/>
  <c r="F560" i="25"/>
  <c r="F559" i="25"/>
  <c r="F557" i="25"/>
  <c r="W198" i="25"/>
  <c r="W36" i="25"/>
  <c r="W44" i="25" s="1"/>
  <c r="W233" i="25" s="1"/>
  <c r="F91" i="25"/>
  <c r="K346" i="25"/>
  <c r="P346" i="25" s="1"/>
  <c r="J346" i="25"/>
  <c r="U131" i="25" s="1"/>
  <c r="U130" i="25"/>
  <c r="F212" i="25"/>
  <c r="F209" i="25"/>
  <c r="F211" i="25"/>
  <c r="W78" i="25"/>
  <c r="F415" i="25"/>
  <c r="F412" i="25"/>
  <c r="W148" i="25"/>
  <c r="F414" i="25"/>
  <c r="F411" i="25" s="1"/>
  <c r="W149" i="25" s="1"/>
  <c r="G469" i="25"/>
  <c r="X169" i="25" s="1"/>
  <c r="AR94" i="25"/>
  <c r="T248" i="25"/>
  <c r="F502" i="25"/>
  <c r="F499" i="25"/>
  <c r="W178" i="25"/>
  <c r="F501" i="25"/>
  <c r="K577" i="25"/>
  <c r="J577" i="25"/>
  <c r="T211" i="25" s="1"/>
  <c r="T210" i="25"/>
  <c r="P577" i="25"/>
  <c r="K146" i="25"/>
  <c r="P146" i="25" s="1"/>
  <c r="J146" i="25"/>
  <c r="X61" i="25" s="1"/>
  <c r="X60" i="25"/>
  <c r="I403" i="25"/>
  <c r="C414" i="25" s="1"/>
  <c r="V56" i="25"/>
  <c r="V64" i="25" s="1"/>
  <c r="V235" i="25" s="1"/>
  <c r="E149" i="25"/>
  <c r="T246" i="25"/>
  <c r="AA174" i="25"/>
  <c r="U228" i="25"/>
  <c r="X28" i="25"/>
  <c r="G64" i="25"/>
  <c r="G67" i="25"/>
  <c r="G66" i="25"/>
  <c r="K287" i="25"/>
  <c r="P287" i="25" s="1"/>
  <c r="J293" i="25" s="1"/>
  <c r="AF25" i="25" s="1"/>
  <c r="T110" i="25"/>
  <c r="J287" i="25"/>
  <c r="T111" i="25" s="1"/>
  <c r="U56" i="25"/>
  <c r="U64" i="25" s="1"/>
  <c r="U235" i="25" s="1"/>
  <c r="D149" i="25"/>
  <c r="W26" i="25"/>
  <c r="F62" i="25"/>
  <c r="E266" i="25"/>
  <c r="V99" i="25" s="1"/>
  <c r="X86" i="25"/>
  <c r="X94" i="25" s="1"/>
  <c r="X238" i="25" s="1"/>
  <c r="G236" i="25"/>
  <c r="C323" i="25"/>
  <c r="G149" i="25"/>
  <c r="K171" i="25"/>
  <c r="P171" i="25" s="1"/>
  <c r="J177" i="25" s="1"/>
  <c r="AF21" i="25" s="1"/>
  <c r="D236" i="25"/>
  <c r="K521" i="25"/>
  <c r="J521" i="25"/>
  <c r="V191" i="25" s="1"/>
  <c r="V190" i="25"/>
  <c r="P521" i="25"/>
  <c r="E120" i="25"/>
  <c r="U276" i="25"/>
  <c r="U277" i="25" s="1"/>
  <c r="C357" i="25"/>
  <c r="C354" i="25"/>
  <c r="T128" i="25"/>
  <c r="C35" i="25"/>
  <c r="T18" i="25"/>
  <c r="C38" i="25"/>
  <c r="C37" i="25"/>
  <c r="K349" i="25"/>
  <c r="P349" i="25" s="1"/>
  <c r="J349" i="25"/>
  <c r="X131" i="25" s="1"/>
  <c r="X130" i="25"/>
  <c r="AP113" i="25"/>
  <c r="AT98" i="25"/>
  <c r="AY98" i="25" s="1"/>
  <c r="AS98" i="25"/>
  <c r="AP114" i="25" s="1"/>
  <c r="U231" i="25"/>
  <c r="W66" i="25"/>
  <c r="W74" i="25" s="1"/>
  <c r="W236" i="25" s="1"/>
  <c r="F178" i="25"/>
  <c r="E207" i="25"/>
  <c r="H495" i="25"/>
  <c r="I496" i="25" s="1"/>
  <c r="AE32" i="25" s="1"/>
  <c r="D323" i="25"/>
  <c r="J432" i="25"/>
  <c r="T161" i="25" s="1"/>
  <c r="K432" i="25"/>
  <c r="P432" i="25" s="1"/>
  <c r="T160" i="25"/>
  <c r="U26" i="25"/>
  <c r="D62" i="25"/>
  <c r="W86" i="25"/>
  <c r="W94" i="25" s="1"/>
  <c r="W238" i="25" s="1"/>
  <c r="F236" i="25"/>
  <c r="T244" i="25"/>
  <c r="AA154" i="25"/>
  <c r="F295" i="25"/>
  <c r="W109" i="25" s="1"/>
  <c r="E526" i="25"/>
  <c r="U220" i="25"/>
  <c r="AO101" i="24"/>
  <c r="AO111" i="24" s="1"/>
  <c r="AM101" i="24"/>
  <c r="G556" i="24"/>
  <c r="X199" i="24" s="1"/>
  <c r="V198" i="24"/>
  <c r="E559" i="24"/>
  <c r="G560" i="24"/>
  <c r="E557" i="24"/>
  <c r="D556" i="24"/>
  <c r="U199" i="24" s="1"/>
  <c r="I464" i="24"/>
  <c r="D443" i="24"/>
  <c r="D440" i="24" s="1"/>
  <c r="U159" i="24" s="1"/>
  <c r="E410" i="24"/>
  <c r="E415" i="24" s="1"/>
  <c r="D410" i="24"/>
  <c r="G381" i="24"/>
  <c r="X138" i="24" s="1"/>
  <c r="C352" i="24"/>
  <c r="T128" i="24" s="1"/>
  <c r="H292" i="24"/>
  <c r="I293" i="24" s="1"/>
  <c r="AE25" i="24" s="1"/>
  <c r="W98" i="24"/>
  <c r="P203" i="24"/>
  <c r="W80" i="24"/>
  <c r="E149" i="24"/>
  <c r="D33" i="24"/>
  <c r="U18" i="24" s="1"/>
  <c r="E556" i="24"/>
  <c r="V199" i="24" s="1"/>
  <c r="D526" i="24"/>
  <c r="H524" i="24"/>
  <c r="I525" i="24" s="1"/>
  <c r="AE33" i="24" s="1"/>
  <c r="AA144" i="24"/>
  <c r="P318" i="24"/>
  <c r="V120" i="24"/>
  <c r="E294" i="24"/>
  <c r="E299" i="24" s="1"/>
  <c r="I289" i="24"/>
  <c r="J289" i="24" s="1"/>
  <c r="V111" i="24" s="1"/>
  <c r="G294" i="24"/>
  <c r="G296" i="24" s="1"/>
  <c r="D265" i="24"/>
  <c r="H263" i="24"/>
  <c r="I264" i="24" s="1"/>
  <c r="AE24" i="24" s="1"/>
  <c r="C265" i="24"/>
  <c r="C236" i="24"/>
  <c r="T88" i="24" s="1"/>
  <c r="I229" i="24"/>
  <c r="K229" i="24" s="1"/>
  <c r="P229" i="24" s="1"/>
  <c r="J235" i="24" s="1"/>
  <c r="AF23" i="24" s="1"/>
  <c r="C207" i="24"/>
  <c r="C178" i="24"/>
  <c r="C180" i="24" s="1"/>
  <c r="J175" i="24"/>
  <c r="X71" i="24" s="1"/>
  <c r="X70" i="24"/>
  <c r="K175" i="24"/>
  <c r="P175" i="24" s="1"/>
  <c r="D120" i="24"/>
  <c r="D122" i="24" s="1"/>
  <c r="W276" i="24"/>
  <c r="W277" i="24" s="1"/>
  <c r="H118" i="24"/>
  <c r="I119" i="24" s="1"/>
  <c r="AE19" i="24" s="1"/>
  <c r="F33" i="24"/>
  <c r="F38" i="24" s="1"/>
  <c r="H31" i="24"/>
  <c r="I32" i="24" s="1"/>
  <c r="AE16" i="24" s="1"/>
  <c r="K405" i="24"/>
  <c r="P405" i="24" s="1"/>
  <c r="J405" i="24"/>
  <c r="V151" i="24" s="1"/>
  <c r="V150" i="24"/>
  <c r="K491" i="24"/>
  <c r="P491" i="24" s="1"/>
  <c r="J491" i="24"/>
  <c r="U181" i="24" s="1"/>
  <c r="U180" i="24"/>
  <c r="K406" i="24"/>
  <c r="P406" i="24" s="1"/>
  <c r="J406" i="24"/>
  <c r="W151" i="24" s="1"/>
  <c r="W150" i="24"/>
  <c r="J116" i="24"/>
  <c r="W51" i="24" s="1"/>
  <c r="W50" i="24"/>
  <c r="K116" i="24"/>
  <c r="P116" i="24" s="1"/>
  <c r="K202" i="24"/>
  <c r="P202" i="24" s="1"/>
  <c r="J202" i="24"/>
  <c r="V81" i="24" s="1"/>
  <c r="V80" i="24"/>
  <c r="K260" i="24"/>
  <c r="P260" i="24" s="1"/>
  <c r="J260" i="24"/>
  <c r="V101" i="24" s="1"/>
  <c r="V100" i="24"/>
  <c r="J143" i="24"/>
  <c r="U61" i="24" s="1"/>
  <c r="K143" i="24"/>
  <c r="P143" i="24" s="1"/>
  <c r="U60" i="24"/>
  <c r="K494" i="24"/>
  <c r="P494" i="24" s="1"/>
  <c r="J494" i="24"/>
  <c r="X181" i="24" s="1"/>
  <c r="X180" i="24"/>
  <c r="K376" i="24"/>
  <c r="P376" i="24" s="1"/>
  <c r="J376" i="24"/>
  <c r="V141" i="24" s="1"/>
  <c r="V140" i="24"/>
  <c r="K346" i="24"/>
  <c r="P346" i="24" s="1"/>
  <c r="J346" i="24"/>
  <c r="U131" i="24" s="1"/>
  <c r="U130" i="24"/>
  <c r="J29" i="24"/>
  <c r="W21" i="24" s="1"/>
  <c r="W20" i="24"/>
  <c r="K29" i="24"/>
  <c r="P29" i="24" s="1"/>
  <c r="AN113" i="24"/>
  <c r="AT96" i="24"/>
  <c r="AY96" i="24" s="1"/>
  <c r="AS96" i="24"/>
  <c r="AN114" i="24" s="1"/>
  <c r="K174" i="24"/>
  <c r="P174" i="24" s="1"/>
  <c r="J174" i="24"/>
  <c r="W71" i="24" s="1"/>
  <c r="W70" i="24"/>
  <c r="G67" i="24"/>
  <c r="X28" i="24"/>
  <c r="G64" i="24"/>
  <c r="G66" i="24"/>
  <c r="G63" i="24" s="1"/>
  <c r="X29" i="24" s="1"/>
  <c r="X126" i="24"/>
  <c r="X134" i="24" s="1"/>
  <c r="X242" i="24" s="1"/>
  <c r="G352" i="24"/>
  <c r="K378" i="24"/>
  <c r="P378" i="24" s="1"/>
  <c r="J378" i="24"/>
  <c r="X141" i="24" s="1"/>
  <c r="X140" i="24"/>
  <c r="G125" i="24"/>
  <c r="G122" i="24"/>
  <c r="X48" i="24"/>
  <c r="G124" i="24"/>
  <c r="C35" i="24"/>
  <c r="T18" i="24"/>
  <c r="C38" i="24"/>
  <c r="T90" i="24"/>
  <c r="D528" i="24"/>
  <c r="D531" i="24"/>
  <c r="U188" i="24"/>
  <c r="D530" i="24"/>
  <c r="K522" i="24"/>
  <c r="P522" i="24" s="1"/>
  <c r="J522" i="24"/>
  <c r="W191" i="24" s="1"/>
  <c r="W190" i="24"/>
  <c r="C267" i="24"/>
  <c r="C270" i="24"/>
  <c r="T98" i="24"/>
  <c r="U106" i="24"/>
  <c r="U114" i="24" s="1"/>
  <c r="D294" i="24"/>
  <c r="H495" i="24"/>
  <c r="I496" i="24" s="1"/>
  <c r="AE32" i="24" s="1"/>
  <c r="K316" i="24"/>
  <c r="P316" i="24" s="1"/>
  <c r="J316" i="24"/>
  <c r="T121" i="24" s="1"/>
  <c r="T120" i="24"/>
  <c r="C64" i="24"/>
  <c r="T28" i="24"/>
  <c r="C67" i="24"/>
  <c r="C66" i="24"/>
  <c r="D35" i="24"/>
  <c r="D38" i="24"/>
  <c r="D37" i="24"/>
  <c r="D34" i="24" s="1"/>
  <c r="U19" i="24" s="1"/>
  <c r="F410" i="24"/>
  <c r="T234" i="24"/>
  <c r="F154" i="24"/>
  <c r="F151" i="24"/>
  <c r="W58" i="24"/>
  <c r="F153" i="24"/>
  <c r="W220" i="24"/>
  <c r="G383" i="24"/>
  <c r="G386" i="24"/>
  <c r="G385" i="24"/>
  <c r="F531" i="24"/>
  <c r="F528" i="24"/>
  <c r="W188" i="24"/>
  <c r="F530" i="24"/>
  <c r="X276" i="24"/>
  <c r="X277" i="24" s="1"/>
  <c r="X220" i="24"/>
  <c r="X25" i="24"/>
  <c r="X228" i="24" s="1"/>
  <c r="T232" i="24"/>
  <c r="AA34" i="24"/>
  <c r="D386" i="24"/>
  <c r="D383" i="24"/>
  <c r="U138" i="24"/>
  <c r="D385" i="24"/>
  <c r="K259" i="24"/>
  <c r="P259" i="24" s="1"/>
  <c r="J259" i="24"/>
  <c r="U101" i="24" s="1"/>
  <c r="U100" i="24"/>
  <c r="E63" i="24"/>
  <c r="V29" i="24" s="1"/>
  <c r="H379" i="24"/>
  <c r="I380" i="24" s="1"/>
  <c r="AE28" i="24" s="1"/>
  <c r="T24" i="24"/>
  <c r="G267" i="24"/>
  <c r="G270" i="24"/>
  <c r="X98" i="24"/>
  <c r="G269" i="24"/>
  <c r="K114" i="24"/>
  <c r="P114" i="24" s="1"/>
  <c r="J114" i="24"/>
  <c r="U51" i="24" s="1"/>
  <c r="U50" i="24"/>
  <c r="W106" i="24"/>
  <c r="W114" i="24" s="1"/>
  <c r="W240" i="24" s="1"/>
  <c r="F294" i="24"/>
  <c r="AO113" i="24"/>
  <c r="AT97" i="24"/>
  <c r="AY97" i="24" s="1"/>
  <c r="AS97" i="24"/>
  <c r="AO114" i="24" s="1"/>
  <c r="K201" i="24"/>
  <c r="P201" i="24" s="1"/>
  <c r="J201" i="24"/>
  <c r="U81" i="24" s="1"/>
  <c r="U80" i="24"/>
  <c r="I85" i="24"/>
  <c r="F589" i="24"/>
  <c r="F586" i="24"/>
  <c r="W208" i="24"/>
  <c r="F588" i="24"/>
  <c r="U116" i="24"/>
  <c r="U124" i="24" s="1"/>
  <c r="U241" i="24" s="1"/>
  <c r="D323" i="24"/>
  <c r="G444" i="24"/>
  <c r="G441" i="24"/>
  <c r="X158" i="24"/>
  <c r="G443" i="24"/>
  <c r="H205" i="24"/>
  <c r="I206" i="24" s="1"/>
  <c r="AE22" i="24" s="1"/>
  <c r="F499" i="24"/>
  <c r="F502" i="24"/>
  <c r="W178" i="24"/>
  <c r="F501" i="24"/>
  <c r="C323" i="24"/>
  <c r="E499" i="24"/>
  <c r="E502" i="24"/>
  <c r="V178" i="24"/>
  <c r="E501" i="24"/>
  <c r="T228" i="24"/>
  <c r="K520" i="24"/>
  <c r="P520" i="24" s="1"/>
  <c r="J520" i="24"/>
  <c r="U191" i="24" s="1"/>
  <c r="U190" i="24"/>
  <c r="AN111" i="24"/>
  <c r="AN106" i="24"/>
  <c r="AN103" i="24"/>
  <c r="AN105" i="24"/>
  <c r="F67" i="24"/>
  <c r="F64" i="24"/>
  <c r="W28" i="24"/>
  <c r="F66" i="24"/>
  <c r="AT98" i="24"/>
  <c r="AS98" i="24"/>
  <c r="AP114" i="24" s="1"/>
  <c r="AP113" i="24"/>
  <c r="AY98" i="24"/>
  <c r="K320" i="24"/>
  <c r="P320" i="24" s="1"/>
  <c r="J320" i="24"/>
  <c r="X121" i="24" s="1"/>
  <c r="X120" i="24"/>
  <c r="D412" i="24"/>
  <c r="D415" i="24"/>
  <c r="U148" i="24"/>
  <c r="D414" i="24"/>
  <c r="U275" i="24"/>
  <c r="G585" i="24"/>
  <c r="X209" i="24" s="1"/>
  <c r="E589" i="24"/>
  <c r="E586" i="24"/>
  <c r="V208" i="24"/>
  <c r="E588" i="24"/>
  <c r="U276" i="24"/>
  <c r="U277" i="24" s="1"/>
  <c r="U220" i="24"/>
  <c r="U25" i="24"/>
  <c r="U228" i="24" s="1"/>
  <c r="J56" i="24"/>
  <c r="U31" i="24" s="1"/>
  <c r="K56" i="24"/>
  <c r="P56" i="24" s="1"/>
  <c r="J61" i="24" s="1"/>
  <c r="AF17" i="24" s="1"/>
  <c r="U30" i="24"/>
  <c r="D93" i="24"/>
  <c r="D96" i="24"/>
  <c r="U38" i="24"/>
  <c r="D67" i="24"/>
  <c r="D64" i="24"/>
  <c r="U28" i="24"/>
  <c r="D66" i="24"/>
  <c r="X146" i="24"/>
  <c r="X154" i="24" s="1"/>
  <c r="X244" i="24" s="1"/>
  <c r="G410" i="24"/>
  <c r="K493" i="24"/>
  <c r="P493" i="24" s="1"/>
  <c r="J493" i="24"/>
  <c r="W181" i="24" s="1"/>
  <c r="W180" i="24"/>
  <c r="T241" i="24"/>
  <c r="AS117" i="24"/>
  <c r="K319" i="24"/>
  <c r="P319" i="24" s="1"/>
  <c r="J319" i="24"/>
  <c r="W121" i="24" s="1"/>
  <c r="W120" i="24"/>
  <c r="T220" i="24"/>
  <c r="D267" i="24"/>
  <c r="D270" i="24"/>
  <c r="U98" i="24"/>
  <c r="D269" i="24"/>
  <c r="K117" i="24"/>
  <c r="P117" i="24" s="1"/>
  <c r="J117" i="24"/>
  <c r="X51" i="24" s="1"/>
  <c r="X50" i="24"/>
  <c r="X281" i="24" s="1"/>
  <c r="K262" i="24"/>
  <c r="J262" i="24"/>
  <c r="X101" i="24" s="1"/>
  <c r="X100" i="24"/>
  <c r="P262" i="24"/>
  <c r="C473" i="24"/>
  <c r="C470" i="24"/>
  <c r="T168" i="24"/>
  <c r="C472" i="24"/>
  <c r="K548" i="24"/>
  <c r="P548" i="24" s="1"/>
  <c r="J554" i="24" s="1"/>
  <c r="AF34" i="24" s="1"/>
  <c r="J548" i="24"/>
  <c r="T201" i="24" s="1"/>
  <c r="T200" i="24"/>
  <c r="K492" i="24"/>
  <c r="P492" i="24" s="1"/>
  <c r="J492" i="24"/>
  <c r="V181" i="24" s="1"/>
  <c r="V180" i="24"/>
  <c r="AP101" i="24"/>
  <c r="K374" i="24"/>
  <c r="P374" i="24" s="1"/>
  <c r="J374" i="24"/>
  <c r="T141" i="24" s="1"/>
  <c r="T140" i="24"/>
  <c r="G328" i="24"/>
  <c r="G325" i="24"/>
  <c r="X118" i="24"/>
  <c r="G327" i="24"/>
  <c r="K348" i="24"/>
  <c r="P348" i="24" s="1"/>
  <c r="J348" i="24"/>
  <c r="W131" i="24" s="1"/>
  <c r="W130" i="24"/>
  <c r="J404" i="24"/>
  <c r="U151" i="24" s="1"/>
  <c r="K404" i="24"/>
  <c r="U150" i="24"/>
  <c r="P404" i="24"/>
  <c r="E357" i="24"/>
  <c r="E354" i="24"/>
  <c r="V128" i="24"/>
  <c r="E356" i="24"/>
  <c r="E444" i="24"/>
  <c r="E441" i="24"/>
  <c r="E443" i="24"/>
  <c r="E440" i="24" s="1"/>
  <c r="V159" i="24" s="1"/>
  <c r="V158" i="24"/>
  <c r="K291" i="24"/>
  <c r="P291" i="24" s="1"/>
  <c r="J291" i="24"/>
  <c r="X111" i="24" s="1"/>
  <c r="X110" i="24"/>
  <c r="F440" i="24"/>
  <c r="W159" i="24" s="1"/>
  <c r="E207" i="24"/>
  <c r="T237" i="24"/>
  <c r="AA84" i="24"/>
  <c r="H321" i="24"/>
  <c r="I322" i="24" s="1"/>
  <c r="AE26" i="24" s="1"/>
  <c r="AL101" i="24"/>
  <c r="F323" i="24"/>
  <c r="E473" i="24"/>
  <c r="E470" i="24"/>
  <c r="V168" i="24"/>
  <c r="E472" i="24"/>
  <c r="T276" i="24"/>
  <c r="T277" i="24" s="1"/>
  <c r="E35" i="24"/>
  <c r="V18" i="24"/>
  <c r="E38" i="24"/>
  <c r="E37" i="24"/>
  <c r="H147" i="24"/>
  <c r="I148" i="24" s="1"/>
  <c r="AE20" i="24" s="1"/>
  <c r="F352" i="24"/>
  <c r="T56" i="24"/>
  <c r="T64" i="24" s="1"/>
  <c r="C149" i="24"/>
  <c r="H350" i="24"/>
  <c r="I351" i="24" s="1"/>
  <c r="AE27" i="24" s="1"/>
  <c r="C410" i="24"/>
  <c r="G299" i="24"/>
  <c r="C212" i="24"/>
  <c r="C209" i="24"/>
  <c r="T78" i="24"/>
  <c r="C211" i="24"/>
  <c r="W36" i="24"/>
  <c r="W44" i="24" s="1"/>
  <c r="W233" i="24" s="1"/>
  <c r="F91" i="24"/>
  <c r="AQ99" i="24"/>
  <c r="AR100" i="24" s="1"/>
  <c r="X275" i="24"/>
  <c r="K142" i="24"/>
  <c r="J142" i="24"/>
  <c r="T61" i="24" s="1"/>
  <c r="T60" i="24"/>
  <c r="P142" i="24"/>
  <c r="D497" i="24"/>
  <c r="I171" i="24"/>
  <c r="K28" i="24"/>
  <c r="P28" i="24" s="1"/>
  <c r="J28" i="24"/>
  <c r="V21" i="24" s="1"/>
  <c r="V20" i="24"/>
  <c r="X66" i="24"/>
  <c r="X74" i="24" s="1"/>
  <c r="X236" i="24" s="1"/>
  <c r="G178" i="24"/>
  <c r="K144" i="24"/>
  <c r="P144" i="24" s="1"/>
  <c r="J144" i="24"/>
  <c r="V61" i="24" s="1"/>
  <c r="V60" i="24"/>
  <c r="E526" i="24"/>
  <c r="K464" i="24"/>
  <c r="P464" i="24" s="1"/>
  <c r="J467" i="24" s="1"/>
  <c r="AF31" i="24" s="1"/>
  <c r="J464" i="24"/>
  <c r="W171" i="24" s="1"/>
  <c r="W170" i="24"/>
  <c r="H408" i="24"/>
  <c r="I409" i="24" s="1"/>
  <c r="AE29" i="24" s="1"/>
  <c r="G499" i="24"/>
  <c r="G502" i="24"/>
  <c r="X178" i="24"/>
  <c r="G501" i="24"/>
  <c r="J200" i="24"/>
  <c r="T81" i="24" s="1"/>
  <c r="K200" i="24"/>
  <c r="P200" i="24" s="1"/>
  <c r="T80" i="24"/>
  <c r="E383" i="24"/>
  <c r="E386" i="24"/>
  <c r="V138" i="24"/>
  <c r="E385" i="24"/>
  <c r="E382" i="24" s="1"/>
  <c r="V139" i="24" s="1"/>
  <c r="G93" i="24"/>
  <c r="G95" i="24"/>
  <c r="G96" i="24"/>
  <c r="X38" i="24"/>
  <c r="C357" i="24"/>
  <c r="C356" i="24"/>
  <c r="E93" i="24"/>
  <c r="E95" i="24"/>
  <c r="E96" i="24"/>
  <c r="V38" i="24"/>
  <c r="U66" i="24"/>
  <c r="U74" i="24" s="1"/>
  <c r="U236" i="24" s="1"/>
  <c r="D178" i="24"/>
  <c r="T236" i="24"/>
  <c r="V86" i="24"/>
  <c r="V94" i="24" s="1"/>
  <c r="V238" i="24" s="1"/>
  <c r="E236" i="24"/>
  <c r="U86" i="24"/>
  <c r="U94" i="24" s="1"/>
  <c r="U238" i="24" s="1"/>
  <c r="D236" i="24"/>
  <c r="E154" i="24"/>
  <c r="E151" i="24"/>
  <c r="V58" i="24"/>
  <c r="E153" i="24"/>
  <c r="V66" i="24"/>
  <c r="V74" i="24" s="1"/>
  <c r="V236" i="24" s="1"/>
  <c r="E178" i="24"/>
  <c r="K521" i="24"/>
  <c r="P521" i="24" s="1"/>
  <c r="J521" i="24"/>
  <c r="V191" i="24" s="1"/>
  <c r="V190" i="24"/>
  <c r="F473" i="24"/>
  <c r="F470" i="24"/>
  <c r="W168" i="24"/>
  <c r="F472" i="24"/>
  <c r="T186" i="24"/>
  <c r="T194" i="24" s="1"/>
  <c r="C526" i="24"/>
  <c r="V24" i="24"/>
  <c r="C560" i="24"/>
  <c r="C557" i="24"/>
  <c r="T198" i="24"/>
  <c r="C559" i="24"/>
  <c r="I403" i="24"/>
  <c r="X186" i="24"/>
  <c r="X194" i="24" s="1"/>
  <c r="X248" i="24" s="1"/>
  <c r="G526" i="24"/>
  <c r="AM106" i="24"/>
  <c r="AM111" i="24"/>
  <c r="AM103" i="24"/>
  <c r="AM105" i="24"/>
  <c r="V46" i="24"/>
  <c r="V54" i="24" s="1"/>
  <c r="V234" i="24" s="1"/>
  <c r="E120" i="24"/>
  <c r="AS94" i="24"/>
  <c r="AL114" i="24" s="1"/>
  <c r="AT94" i="24"/>
  <c r="AL113" i="24"/>
  <c r="X166" i="24"/>
  <c r="X174" i="24" s="1"/>
  <c r="X246" i="24" s="1"/>
  <c r="G468" i="24"/>
  <c r="K577" i="24"/>
  <c r="P577" i="24" s="1"/>
  <c r="J583" i="24" s="1"/>
  <c r="AF35" i="24" s="1"/>
  <c r="J577" i="24"/>
  <c r="T211" i="24" s="1"/>
  <c r="T210" i="24"/>
  <c r="F270" i="24"/>
  <c r="F266" i="24" s="1"/>
  <c r="W99" i="24" s="1"/>
  <c r="T242" i="24"/>
  <c r="D589" i="24"/>
  <c r="D586" i="24"/>
  <c r="U208" i="24"/>
  <c r="D588" i="24"/>
  <c r="E267" i="24"/>
  <c r="E270" i="24"/>
  <c r="V98" i="24"/>
  <c r="E269" i="24"/>
  <c r="AA204" i="24"/>
  <c r="T249" i="24"/>
  <c r="T244" i="24"/>
  <c r="V116" i="24"/>
  <c r="V124" i="24" s="1"/>
  <c r="V241" i="24" s="1"/>
  <c r="E323" i="24"/>
  <c r="AT95" i="24"/>
  <c r="AY95" i="24" s="1"/>
  <c r="AS95" i="24"/>
  <c r="AM114" i="24" s="1"/>
  <c r="AM113" i="24"/>
  <c r="K490" i="24"/>
  <c r="P490" i="24" s="1"/>
  <c r="J490" i="24"/>
  <c r="T181" i="24" s="1"/>
  <c r="T180" i="24"/>
  <c r="G212" i="24"/>
  <c r="G209" i="24"/>
  <c r="X78" i="24"/>
  <c r="G211" i="24"/>
  <c r="C444" i="24"/>
  <c r="C441" i="24"/>
  <c r="T158" i="24"/>
  <c r="C443" i="24"/>
  <c r="C589" i="24"/>
  <c r="C586" i="24"/>
  <c r="T208" i="24"/>
  <c r="C588" i="24"/>
  <c r="C585" i="24" s="1"/>
  <c r="T209" i="24" s="1"/>
  <c r="D149" i="24"/>
  <c r="E414" i="24"/>
  <c r="W68" i="24"/>
  <c r="F183" i="24"/>
  <c r="F180" i="24"/>
  <c r="F182" i="24"/>
  <c r="T238" i="24"/>
  <c r="I258" i="24"/>
  <c r="K377" i="24"/>
  <c r="P377" i="24" s="1"/>
  <c r="J377" i="24"/>
  <c r="W141" i="24" s="1"/>
  <c r="W140" i="24"/>
  <c r="K432" i="24"/>
  <c r="P432" i="24" s="1"/>
  <c r="J438" i="24" s="1"/>
  <c r="AF30" i="24" s="1"/>
  <c r="J432" i="24"/>
  <c r="T161" i="24" s="1"/>
  <c r="T160" i="24"/>
  <c r="T247" i="24"/>
  <c r="AA184" i="24"/>
  <c r="W76" i="24"/>
  <c r="W84" i="24" s="1"/>
  <c r="W237" i="24" s="1"/>
  <c r="F207" i="24"/>
  <c r="J204" i="24"/>
  <c r="X81" i="24" s="1"/>
  <c r="K204" i="24"/>
  <c r="P204" i="24" s="1"/>
  <c r="X80" i="24"/>
  <c r="D212" i="24"/>
  <c r="D209" i="24"/>
  <c r="U78" i="24"/>
  <c r="D211" i="24"/>
  <c r="C93" i="24"/>
  <c r="C96" i="24"/>
  <c r="T38" i="24"/>
  <c r="C95" i="24"/>
  <c r="K146" i="24"/>
  <c r="J146" i="24"/>
  <c r="X61" i="24" s="1"/>
  <c r="X60" i="24"/>
  <c r="P146" i="24"/>
  <c r="W86" i="24"/>
  <c r="W94" i="24" s="1"/>
  <c r="W238" i="24" s="1"/>
  <c r="F236" i="24"/>
  <c r="U291" i="24"/>
  <c r="U292" i="24" s="1"/>
  <c r="I26" i="24"/>
  <c r="C37" i="24" s="1"/>
  <c r="C241" i="24"/>
  <c r="C240" i="24"/>
  <c r="V276" i="24"/>
  <c r="V277" i="24" s="1"/>
  <c r="V220" i="24"/>
  <c r="V25" i="24"/>
  <c r="V228" i="24" s="1"/>
  <c r="T239" i="24"/>
  <c r="AA104" i="24"/>
  <c r="E296" i="24"/>
  <c r="F386" i="24"/>
  <c r="F383" i="24"/>
  <c r="W138" i="24"/>
  <c r="F385" i="24"/>
  <c r="W24" i="24"/>
  <c r="D357" i="24"/>
  <c r="D354" i="24"/>
  <c r="D356" i="24"/>
  <c r="U128" i="24"/>
  <c r="C386" i="24"/>
  <c r="C385" i="24"/>
  <c r="C383" i="24"/>
  <c r="T138" i="24"/>
  <c r="T233" i="24"/>
  <c r="G149" i="24"/>
  <c r="K261" i="24"/>
  <c r="P261" i="24" s="1"/>
  <c r="J261" i="24"/>
  <c r="W101" i="24" s="1"/>
  <c r="W100" i="24"/>
  <c r="U290" i="24"/>
  <c r="F556" i="24"/>
  <c r="W199" i="24" s="1"/>
  <c r="C296" i="24"/>
  <c r="C298" i="24"/>
  <c r="C299" i="24"/>
  <c r="T108" i="24"/>
  <c r="F122" i="24"/>
  <c r="F125" i="24"/>
  <c r="W48" i="24"/>
  <c r="F124" i="24"/>
  <c r="F121" i="24" s="1"/>
  <c r="W49" i="24" s="1"/>
  <c r="G38" i="24"/>
  <c r="G35" i="24"/>
  <c r="X18" i="24"/>
  <c r="G37" i="24"/>
  <c r="U166" i="24"/>
  <c r="U174" i="24" s="1"/>
  <c r="D468" i="24"/>
  <c r="X86" i="24"/>
  <c r="X94" i="24" s="1"/>
  <c r="X238" i="24" s="1"/>
  <c r="G236" i="24"/>
  <c r="X290" i="24"/>
  <c r="X231" i="24"/>
  <c r="X291" i="24"/>
  <c r="X292" i="24" s="1"/>
  <c r="C497" i="24"/>
  <c r="K27" i="24"/>
  <c r="J27" i="24"/>
  <c r="U21" i="24" s="1"/>
  <c r="U20" i="24"/>
  <c r="P27" i="24"/>
  <c r="C122" i="24"/>
  <c r="C125" i="24"/>
  <c r="T48" i="24"/>
  <c r="C124" i="24"/>
  <c r="W228" i="24"/>
  <c r="AN101" i="23"/>
  <c r="AN106" i="23" s="1"/>
  <c r="G584" i="23"/>
  <c r="H582" i="23"/>
  <c r="I583" i="23" s="1"/>
  <c r="AE35" i="23" s="1"/>
  <c r="C528" i="23"/>
  <c r="T188" i="23"/>
  <c r="T186" i="23"/>
  <c r="T194" i="23" s="1"/>
  <c r="AA194" i="23" s="1"/>
  <c r="C531" i="23"/>
  <c r="G439" i="23"/>
  <c r="C352" i="23"/>
  <c r="C357" i="23" s="1"/>
  <c r="H205" i="23"/>
  <c r="I206" i="23" s="1"/>
  <c r="AE22" i="23" s="1"/>
  <c r="D149" i="23"/>
  <c r="U58" i="23" s="1"/>
  <c r="D120" i="23"/>
  <c r="D122" i="23" s="1"/>
  <c r="D64" i="23"/>
  <c r="D33" i="23"/>
  <c r="G555" i="23"/>
  <c r="X198" i="23" s="1"/>
  <c r="I521" i="23"/>
  <c r="J521" i="23" s="1"/>
  <c r="V191" i="23" s="1"/>
  <c r="H437" i="23"/>
  <c r="I438" i="23" s="1"/>
  <c r="AE30" i="23" s="1"/>
  <c r="AA164" i="23"/>
  <c r="E410" i="23"/>
  <c r="E412" i="23" s="1"/>
  <c r="H350" i="23"/>
  <c r="I351" i="23" s="1"/>
  <c r="AE27" i="23" s="1"/>
  <c r="I346" i="23"/>
  <c r="K346" i="23" s="1"/>
  <c r="P346" i="23" s="1"/>
  <c r="AA114" i="23"/>
  <c r="E295" i="23"/>
  <c r="V109" i="23" s="1"/>
  <c r="C207" i="23"/>
  <c r="C212" i="23" s="1"/>
  <c r="G207" i="23"/>
  <c r="X78" i="23" s="1"/>
  <c r="I200" i="23"/>
  <c r="K200" i="23" s="1"/>
  <c r="P200" i="23" s="1"/>
  <c r="F178" i="23"/>
  <c r="F180" i="23" s="1"/>
  <c r="H147" i="23"/>
  <c r="I148" i="23" s="1"/>
  <c r="AE20" i="23" s="1"/>
  <c r="C149" i="23"/>
  <c r="C154" i="23" s="1"/>
  <c r="F149" i="23"/>
  <c r="F153" i="23" s="1"/>
  <c r="H118" i="23"/>
  <c r="I119" i="23" s="1"/>
  <c r="AE19" i="23" s="1"/>
  <c r="C91" i="23"/>
  <c r="T38" i="23" s="1"/>
  <c r="F91" i="23"/>
  <c r="W38" i="23" s="1"/>
  <c r="D66" i="23"/>
  <c r="C33" i="23"/>
  <c r="C38" i="23" s="1"/>
  <c r="K232" i="23"/>
  <c r="P232" i="23" s="1"/>
  <c r="J232" i="23"/>
  <c r="W91" i="23" s="1"/>
  <c r="W90" i="23"/>
  <c r="K548" i="23"/>
  <c r="P548" i="23" s="1"/>
  <c r="J548" i="23"/>
  <c r="T201" i="23" s="1"/>
  <c r="T200" i="23"/>
  <c r="K581" i="23"/>
  <c r="J581" i="23"/>
  <c r="X211" i="23" s="1"/>
  <c r="X210" i="23"/>
  <c r="P581" i="23"/>
  <c r="K406" i="23"/>
  <c r="J406" i="23"/>
  <c r="W151" i="23" s="1"/>
  <c r="W150" i="23"/>
  <c r="P406" i="23"/>
  <c r="K28" i="23"/>
  <c r="P28" i="23" s="1"/>
  <c r="J28" i="23"/>
  <c r="V21" i="23" s="1"/>
  <c r="V20" i="23"/>
  <c r="K376" i="23"/>
  <c r="P376" i="23" s="1"/>
  <c r="J376" i="23"/>
  <c r="V141" i="23" s="1"/>
  <c r="V140" i="23"/>
  <c r="K552" i="23"/>
  <c r="P552" i="23" s="1"/>
  <c r="J552" i="23"/>
  <c r="X201" i="23" s="1"/>
  <c r="X200" i="23"/>
  <c r="K375" i="23"/>
  <c r="J375" i="23"/>
  <c r="U141" i="23" s="1"/>
  <c r="U140" i="23"/>
  <c r="P375" i="23"/>
  <c r="K58" i="23"/>
  <c r="P58" i="23" s="1"/>
  <c r="J58" i="23"/>
  <c r="W31" i="23" s="1"/>
  <c r="W30" i="23"/>
  <c r="J29" i="23"/>
  <c r="W21" i="23" s="1"/>
  <c r="W20" i="23"/>
  <c r="K29" i="23"/>
  <c r="P29" i="23" s="1"/>
  <c r="J116" i="23"/>
  <c r="W51" i="23" s="1"/>
  <c r="K116" i="23"/>
  <c r="P116" i="23" s="1"/>
  <c r="W50" i="23"/>
  <c r="AN113" i="23"/>
  <c r="AT96" i="23"/>
  <c r="AY96" i="23" s="1"/>
  <c r="AS96" i="23"/>
  <c r="AN114" i="23" s="1"/>
  <c r="V40" i="23"/>
  <c r="K86" i="23"/>
  <c r="P86" i="23" s="1"/>
  <c r="J86" i="23"/>
  <c r="V41" i="23" s="1"/>
  <c r="K579" i="23"/>
  <c r="P579" i="23" s="1"/>
  <c r="J579" i="23"/>
  <c r="V211" i="23" s="1"/>
  <c r="V210" i="23"/>
  <c r="D35" i="23"/>
  <c r="D38" i="23"/>
  <c r="U18" i="23"/>
  <c r="D37" i="23"/>
  <c r="T246" i="23"/>
  <c r="AM109" i="23"/>
  <c r="AM117" i="23" s="1"/>
  <c r="AM101" i="23"/>
  <c r="T235" i="23"/>
  <c r="AA64" i="23"/>
  <c r="K432" i="23"/>
  <c r="P432" i="23" s="1"/>
  <c r="J432" i="23"/>
  <c r="T161" i="23" s="1"/>
  <c r="T160" i="23"/>
  <c r="C178" i="23"/>
  <c r="T46" i="23"/>
  <c r="T54" i="23" s="1"/>
  <c r="C120" i="23"/>
  <c r="E584" i="23"/>
  <c r="V276" i="23"/>
  <c r="V277" i="23" s="1"/>
  <c r="V220" i="23"/>
  <c r="V25" i="23"/>
  <c r="V228" i="23" s="1"/>
  <c r="G328" i="23"/>
  <c r="G325" i="23"/>
  <c r="G327" i="23"/>
  <c r="X118" i="23"/>
  <c r="K461" i="23"/>
  <c r="P461" i="23" s="1"/>
  <c r="J467" i="23" s="1"/>
  <c r="AF31" i="23" s="1"/>
  <c r="J461" i="23"/>
  <c r="T171" i="23" s="1"/>
  <c r="T170" i="23"/>
  <c r="U76" i="23"/>
  <c r="U84" i="23" s="1"/>
  <c r="U237" i="23" s="1"/>
  <c r="D207" i="23"/>
  <c r="W116" i="23"/>
  <c r="W124" i="23" s="1"/>
  <c r="W241" i="23" s="1"/>
  <c r="F323" i="23"/>
  <c r="H234" i="23"/>
  <c r="I235" i="23" s="1"/>
  <c r="AE23" i="23" s="1"/>
  <c r="X16" i="23"/>
  <c r="G33" i="23"/>
  <c r="T116" i="23"/>
  <c r="T124" i="23" s="1"/>
  <c r="C323" i="23"/>
  <c r="T236" i="23"/>
  <c r="J200" i="23"/>
  <c r="T81" i="23" s="1"/>
  <c r="D154" i="23"/>
  <c r="D151" i="23"/>
  <c r="V176" i="23"/>
  <c r="V184" i="23" s="1"/>
  <c r="V247" i="23" s="1"/>
  <c r="E497" i="23"/>
  <c r="K523" i="23"/>
  <c r="J523" i="23"/>
  <c r="X191" i="23" s="1"/>
  <c r="X190" i="23"/>
  <c r="P523" i="23"/>
  <c r="K316" i="23"/>
  <c r="P316" i="23" s="1"/>
  <c r="J316" i="23"/>
  <c r="T121" i="23" s="1"/>
  <c r="T120" i="23"/>
  <c r="K27" i="23"/>
  <c r="P27" i="23" s="1"/>
  <c r="J27" i="23"/>
  <c r="U21" i="23" s="1"/>
  <c r="U20" i="23"/>
  <c r="X166" i="23"/>
  <c r="X174" i="23" s="1"/>
  <c r="X246" i="23" s="1"/>
  <c r="G468" i="23"/>
  <c r="E154" i="23"/>
  <c r="E151" i="23"/>
  <c r="V58" i="23"/>
  <c r="E153" i="23"/>
  <c r="I171" i="23"/>
  <c r="E415" i="23"/>
  <c r="E414" i="23"/>
  <c r="W40" i="23"/>
  <c r="K87" i="23"/>
  <c r="P87" i="23" s="1"/>
  <c r="J87" i="23"/>
  <c r="W41" i="23" s="1"/>
  <c r="H379" i="23"/>
  <c r="I380" i="23" s="1"/>
  <c r="AE28" i="23" s="1"/>
  <c r="G502" i="23"/>
  <c r="G499" i="23"/>
  <c r="X178" i="23"/>
  <c r="G501" i="23"/>
  <c r="D531" i="23"/>
  <c r="D528" i="23"/>
  <c r="U188" i="23"/>
  <c r="D530" i="23"/>
  <c r="G212" i="23"/>
  <c r="G209" i="23"/>
  <c r="G211" i="23"/>
  <c r="C444" i="23"/>
  <c r="C441" i="23"/>
  <c r="T158" i="23"/>
  <c r="C443" i="23"/>
  <c r="J287" i="23"/>
  <c r="T111" i="23" s="1"/>
  <c r="K287" i="23"/>
  <c r="P287" i="23" s="1"/>
  <c r="J293" i="23" s="1"/>
  <c r="AF25" i="23" s="1"/>
  <c r="T110" i="23"/>
  <c r="X26" i="23"/>
  <c r="X34" i="23" s="1"/>
  <c r="X232" i="23" s="1"/>
  <c r="G62" i="23"/>
  <c r="V275" i="23"/>
  <c r="V24" i="23"/>
  <c r="W196" i="23"/>
  <c r="W204" i="23" s="1"/>
  <c r="W249" i="23" s="1"/>
  <c r="F555" i="23"/>
  <c r="K320" i="23"/>
  <c r="P320" i="23" s="1"/>
  <c r="J320" i="23"/>
  <c r="X121" i="23" s="1"/>
  <c r="X120" i="23"/>
  <c r="K348" i="23"/>
  <c r="J348" i="23"/>
  <c r="W131" i="23" s="1"/>
  <c r="W130" i="23"/>
  <c r="P348" i="23"/>
  <c r="K491" i="23"/>
  <c r="P491" i="23" s="1"/>
  <c r="J491" i="23"/>
  <c r="U181" i="23" s="1"/>
  <c r="U180" i="23"/>
  <c r="G265" i="23"/>
  <c r="J146" i="23"/>
  <c r="X61" i="23" s="1"/>
  <c r="X60" i="23"/>
  <c r="K146" i="23"/>
  <c r="P146" i="23" s="1"/>
  <c r="D352" i="23"/>
  <c r="T128" i="23"/>
  <c r="C499" i="23"/>
  <c r="C502" i="23"/>
  <c r="T178" i="23"/>
  <c r="C501" i="23"/>
  <c r="F444" i="23"/>
  <c r="F441" i="23"/>
  <c r="W158" i="23"/>
  <c r="F443" i="23"/>
  <c r="F528" i="23"/>
  <c r="F531" i="23"/>
  <c r="W188" i="23"/>
  <c r="F530" i="23"/>
  <c r="T244" i="23"/>
  <c r="H553" i="23"/>
  <c r="I554" i="23" s="1"/>
  <c r="AE34" i="23" s="1"/>
  <c r="K144" i="23"/>
  <c r="J144" i="23"/>
  <c r="V61" i="23" s="1"/>
  <c r="V60" i="23"/>
  <c r="P144" i="23"/>
  <c r="H60" i="23"/>
  <c r="I61" i="23" s="1"/>
  <c r="AE17" i="23" s="1"/>
  <c r="C468" i="23"/>
  <c r="D499" i="23"/>
  <c r="D502" i="23"/>
  <c r="U178" i="23"/>
  <c r="D501" i="23"/>
  <c r="G149" i="23"/>
  <c r="V126" i="23"/>
  <c r="V134" i="23" s="1"/>
  <c r="V242" i="23" s="1"/>
  <c r="E352" i="23"/>
  <c r="G238" i="23"/>
  <c r="G241" i="23"/>
  <c r="X88" i="23"/>
  <c r="G240" i="23"/>
  <c r="K115" i="23"/>
  <c r="P115" i="23" s="1"/>
  <c r="J115" i="23"/>
  <c r="V51" i="23" s="1"/>
  <c r="V50" i="23"/>
  <c r="T26" i="23"/>
  <c r="T34" i="23" s="1"/>
  <c r="C62" i="23"/>
  <c r="G444" i="23"/>
  <c r="G441" i="23"/>
  <c r="X158" i="23"/>
  <c r="G443" i="23"/>
  <c r="W220" i="23"/>
  <c r="W276" i="23"/>
  <c r="W277" i="23" s="1"/>
  <c r="W25" i="23"/>
  <c r="W228" i="23" s="1"/>
  <c r="F266" i="23"/>
  <c r="W99" i="23" s="1"/>
  <c r="U166" i="23"/>
  <c r="U174" i="23" s="1"/>
  <c r="U246" i="23" s="1"/>
  <c r="D468" i="23"/>
  <c r="K580" i="23"/>
  <c r="P580" i="23" s="1"/>
  <c r="J580" i="23"/>
  <c r="W211" i="23" s="1"/>
  <c r="W210" i="23"/>
  <c r="F236" i="23"/>
  <c r="U275" i="23"/>
  <c r="U24" i="23"/>
  <c r="H408" i="23"/>
  <c r="I409" i="23" s="1"/>
  <c r="AE29" i="23" s="1"/>
  <c r="I403" i="23"/>
  <c r="D96" i="23"/>
  <c r="U38" i="23"/>
  <c r="D93" i="23"/>
  <c r="D95" i="23"/>
  <c r="H495" i="23"/>
  <c r="I496" i="23" s="1"/>
  <c r="AE32" i="23" s="1"/>
  <c r="D555" i="23"/>
  <c r="V96" i="23"/>
  <c r="V104" i="23" s="1"/>
  <c r="V239" i="23" s="1"/>
  <c r="E265" i="23"/>
  <c r="D444" i="23"/>
  <c r="D441" i="23"/>
  <c r="U158" i="23"/>
  <c r="D443" i="23"/>
  <c r="K435" i="23"/>
  <c r="P435" i="23" s="1"/>
  <c r="J435" i="23"/>
  <c r="W161" i="23" s="1"/>
  <c r="W160" i="23"/>
  <c r="J113" i="23"/>
  <c r="T51" i="23" s="1"/>
  <c r="T50" i="23"/>
  <c r="K113" i="23"/>
  <c r="P113" i="23" s="1"/>
  <c r="J522" i="23"/>
  <c r="W191" i="23" s="1"/>
  <c r="K522" i="23"/>
  <c r="P522" i="23" s="1"/>
  <c r="W190" i="23"/>
  <c r="K377" i="23"/>
  <c r="P377" i="23" s="1"/>
  <c r="J377" i="23"/>
  <c r="W141" i="23" s="1"/>
  <c r="W140" i="23"/>
  <c r="K405" i="23"/>
  <c r="J405" i="23"/>
  <c r="V151" i="23" s="1"/>
  <c r="V150" i="23"/>
  <c r="P405" i="23"/>
  <c r="F93" i="23"/>
  <c r="F95" i="23"/>
  <c r="E91" i="23"/>
  <c r="U220" i="23"/>
  <c r="U276" i="23"/>
  <c r="U277" i="23" s="1"/>
  <c r="U25" i="23"/>
  <c r="U228" i="23" s="1"/>
  <c r="D383" i="23"/>
  <c r="D386" i="23"/>
  <c r="U138" i="23"/>
  <c r="D385" i="23"/>
  <c r="D382" i="23" s="1"/>
  <c r="U139" i="23" s="1"/>
  <c r="F357" i="23"/>
  <c r="F356" i="23"/>
  <c r="W128" i="23"/>
  <c r="F354" i="23"/>
  <c r="V66" i="23"/>
  <c r="V74" i="23" s="1"/>
  <c r="V236" i="23" s="1"/>
  <c r="E178" i="23"/>
  <c r="J262" i="23"/>
  <c r="X101" i="23" s="1"/>
  <c r="X100" i="23"/>
  <c r="K262" i="23"/>
  <c r="P262" i="23" s="1"/>
  <c r="J264" i="23" s="1"/>
  <c r="AF24" i="23" s="1"/>
  <c r="U130" i="23"/>
  <c r="E122" i="23"/>
  <c r="E125" i="23"/>
  <c r="V48" i="23"/>
  <c r="E124" i="23"/>
  <c r="V190" i="23"/>
  <c r="K492" i="23"/>
  <c r="P492" i="23" s="1"/>
  <c r="J492" i="23"/>
  <c r="V181" i="23" s="1"/>
  <c r="V180" i="23"/>
  <c r="T276" i="23"/>
  <c r="T277" i="23" s="1"/>
  <c r="T220" i="23"/>
  <c r="T25" i="23"/>
  <c r="T228" i="23" s="1"/>
  <c r="J88" i="23"/>
  <c r="X41" i="23" s="1"/>
  <c r="K88" i="23"/>
  <c r="P88" i="23" s="1"/>
  <c r="X40" i="23"/>
  <c r="D67" i="23"/>
  <c r="W275" i="23"/>
  <c r="W24" i="23"/>
  <c r="F151" i="23"/>
  <c r="W58" i="23"/>
  <c r="F584" i="23"/>
  <c r="X136" i="23"/>
  <c r="X144" i="23" s="1"/>
  <c r="X243" i="23" s="1"/>
  <c r="G381" i="23"/>
  <c r="V166" i="23"/>
  <c r="V174" i="23" s="1"/>
  <c r="V246" i="23" s="1"/>
  <c r="E468" i="23"/>
  <c r="K57" i="23"/>
  <c r="P57" i="23" s="1"/>
  <c r="V30" i="23"/>
  <c r="J57" i="23"/>
  <c r="V31" i="23" s="1"/>
  <c r="U40" i="23"/>
  <c r="K85" i="23"/>
  <c r="P85" i="23" s="1"/>
  <c r="J85" i="23"/>
  <c r="U41" i="23" s="1"/>
  <c r="V116" i="23"/>
  <c r="V124" i="23" s="1"/>
  <c r="V241" i="23" s="1"/>
  <c r="E323" i="23"/>
  <c r="K549" i="23"/>
  <c r="J549" i="23"/>
  <c r="U201" i="23" s="1"/>
  <c r="P549" i="23"/>
  <c r="U200" i="23"/>
  <c r="K172" i="23"/>
  <c r="P172" i="23" s="1"/>
  <c r="J172" i="23"/>
  <c r="U71" i="23" s="1"/>
  <c r="U70" i="23"/>
  <c r="I434" i="23"/>
  <c r="E443" i="23" s="1"/>
  <c r="E440" i="23" s="1"/>
  <c r="V159" i="23" s="1"/>
  <c r="E528" i="23"/>
  <c r="E531" i="23"/>
  <c r="V188" i="23"/>
  <c r="E530" i="23"/>
  <c r="E527" i="23" s="1"/>
  <c r="V189" i="23" s="1"/>
  <c r="T96" i="23"/>
  <c r="T104" i="23" s="1"/>
  <c r="C265" i="23"/>
  <c r="H31" i="23"/>
  <c r="I32" i="23" s="1"/>
  <c r="AE16" i="23" s="1"/>
  <c r="G96" i="23"/>
  <c r="G93" i="23"/>
  <c r="X38" i="23"/>
  <c r="G95" i="23"/>
  <c r="W166" i="23"/>
  <c r="W174" i="23" s="1"/>
  <c r="W246" i="23" s="1"/>
  <c r="F468" i="23"/>
  <c r="V28" i="23"/>
  <c r="E64" i="23"/>
  <c r="E67" i="23"/>
  <c r="E66" i="23"/>
  <c r="F64" i="23"/>
  <c r="F66" i="23"/>
  <c r="F67" i="23"/>
  <c r="W28" i="23"/>
  <c r="V76" i="23"/>
  <c r="V84" i="23" s="1"/>
  <c r="V237" i="23" s="1"/>
  <c r="E207" i="23"/>
  <c r="F299" i="23"/>
  <c r="F296" i="23"/>
  <c r="W108" i="23"/>
  <c r="F298" i="23"/>
  <c r="E33" i="23"/>
  <c r="G125" i="23"/>
  <c r="X48" i="23"/>
  <c r="G122" i="23"/>
  <c r="G124" i="23"/>
  <c r="D236" i="23"/>
  <c r="T136" i="23"/>
  <c r="T144" i="23" s="1"/>
  <c r="C381" i="23"/>
  <c r="G586" i="23"/>
  <c r="G589" i="23"/>
  <c r="X208" i="23"/>
  <c r="G588" i="23"/>
  <c r="D178" i="23"/>
  <c r="AQ99" i="23"/>
  <c r="AR100" i="23" s="1"/>
  <c r="I142" i="23"/>
  <c r="X126" i="23"/>
  <c r="X134" i="23" s="1"/>
  <c r="X242" i="23" s="1"/>
  <c r="G352" i="23"/>
  <c r="J494" i="23"/>
  <c r="X181" i="23" s="1"/>
  <c r="X180" i="23"/>
  <c r="K494" i="23"/>
  <c r="P494" i="23" s="1"/>
  <c r="D296" i="23"/>
  <c r="D299" i="23"/>
  <c r="D298" i="23"/>
  <c r="U108" i="23"/>
  <c r="K204" i="23"/>
  <c r="P204" i="23" s="1"/>
  <c r="J204" i="23"/>
  <c r="X81" i="23" s="1"/>
  <c r="X80" i="23"/>
  <c r="AA184" i="23"/>
  <c r="T247" i="23"/>
  <c r="E441" i="23"/>
  <c r="E444" i="23"/>
  <c r="V158" i="23"/>
  <c r="J493" i="23"/>
  <c r="W181" i="23" s="1"/>
  <c r="K493" i="23"/>
  <c r="P493" i="23" s="1"/>
  <c r="W180" i="23"/>
  <c r="H89" i="23"/>
  <c r="I90" i="23" s="1"/>
  <c r="AE18" i="23" s="1"/>
  <c r="T250" i="23"/>
  <c r="AP109" i="23"/>
  <c r="AP117" i="23" s="1"/>
  <c r="AS117" i="23" s="1"/>
  <c r="AP101" i="23"/>
  <c r="U146" i="23"/>
  <c r="U154" i="23" s="1"/>
  <c r="U244" i="23" s="1"/>
  <c r="D410" i="23"/>
  <c r="F125" i="23"/>
  <c r="F122" i="23"/>
  <c r="W48" i="23"/>
  <c r="F124" i="23"/>
  <c r="F121" i="23" s="1"/>
  <c r="W49" i="23" s="1"/>
  <c r="K117" i="23"/>
  <c r="J117" i="23"/>
  <c r="X51" i="23" s="1"/>
  <c r="X50" i="23"/>
  <c r="P117" i="23"/>
  <c r="J230" i="23"/>
  <c r="U91" i="23" s="1"/>
  <c r="K230" i="23"/>
  <c r="P230" i="23" s="1"/>
  <c r="U90" i="23"/>
  <c r="F33" i="23"/>
  <c r="C241" i="23"/>
  <c r="C238" i="23"/>
  <c r="T88" i="23"/>
  <c r="C240" i="23"/>
  <c r="AL101" i="23"/>
  <c r="T249" i="23"/>
  <c r="C93" i="23"/>
  <c r="K26" i="23"/>
  <c r="P26" i="23" s="1"/>
  <c r="T20" i="23"/>
  <c r="J26" i="23"/>
  <c r="T21" i="23" s="1"/>
  <c r="E383" i="23"/>
  <c r="E386" i="23"/>
  <c r="V138" i="23"/>
  <c r="E385" i="23"/>
  <c r="F183" i="23"/>
  <c r="F182" i="23"/>
  <c r="K174" i="23"/>
  <c r="J174" i="23"/>
  <c r="W71" i="23" s="1"/>
  <c r="W70" i="23"/>
  <c r="P174" i="23"/>
  <c r="AN111" i="23"/>
  <c r="K436" i="23"/>
  <c r="P436" i="23" s="1"/>
  <c r="J436" i="23"/>
  <c r="X161" i="23" s="1"/>
  <c r="X160" i="23"/>
  <c r="T242" i="23"/>
  <c r="F499" i="23"/>
  <c r="F502" i="23"/>
  <c r="W178" i="23"/>
  <c r="F501" i="23"/>
  <c r="I84" i="23"/>
  <c r="AO101" i="23"/>
  <c r="D328" i="23"/>
  <c r="D325" i="23"/>
  <c r="U118" i="23"/>
  <c r="D327" i="23"/>
  <c r="U206" i="23"/>
  <c r="U214" i="23" s="1"/>
  <c r="U250" i="23" s="1"/>
  <c r="D584" i="23"/>
  <c r="K55" i="23"/>
  <c r="P55" i="23" s="1"/>
  <c r="J55" i="23"/>
  <c r="T31" i="23" s="1"/>
  <c r="T30" i="23"/>
  <c r="C209" i="23"/>
  <c r="C211" i="23"/>
  <c r="C589" i="23"/>
  <c r="C586" i="23"/>
  <c r="T208" i="23"/>
  <c r="G410" i="23"/>
  <c r="W76" i="23"/>
  <c r="W84" i="23" s="1"/>
  <c r="W237" i="23" s="1"/>
  <c r="F207" i="23"/>
  <c r="U96" i="23"/>
  <c r="U104" i="23" s="1"/>
  <c r="U239" i="23" s="1"/>
  <c r="D265" i="23"/>
  <c r="J229" i="23"/>
  <c r="T91" i="23" s="1"/>
  <c r="K229" i="23"/>
  <c r="T90" i="23"/>
  <c r="P229" i="23"/>
  <c r="AA94" i="23"/>
  <c r="K114" i="23"/>
  <c r="P114" i="23" s="1"/>
  <c r="J114" i="23"/>
  <c r="U51" i="23" s="1"/>
  <c r="U50" i="23"/>
  <c r="AR94" i="23"/>
  <c r="F386" i="23"/>
  <c r="F383" i="23"/>
  <c r="W138" i="23"/>
  <c r="F385" i="23"/>
  <c r="X220" i="23"/>
  <c r="X276" i="23"/>
  <c r="X277" i="23" s="1"/>
  <c r="X25" i="23"/>
  <c r="X228" i="23" s="1"/>
  <c r="C555" i="23"/>
  <c r="T233" i="23"/>
  <c r="AA44" i="23"/>
  <c r="T24" i="23"/>
  <c r="AO113" i="23"/>
  <c r="AT97" i="23"/>
  <c r="AY97" i="23" s="1"/>
  <c r="AS97" i="23"/>
  <c r="AO114" i="23" s="1"/>
  <c r="T237" i="23"/>
  <c r="X66" i="23"/>
  <c r="X74" i="23" s="1"/>
  <c r="X236" i="23" s="1"/>
  <c r="G178" i="23"/>
  <c r="I577" i="23"/>
  <c r="K345" i="23"/>
  <c r="P345" i="23" s="1"/>
  <c r="J345" i="23"/>
  <c r="T131" i="23" s="1"/>
  <c r="T130" i="23"/>
  <c r="K407" i="23"/>
  <c r="P407" i="23" s="1"/>
  <c r="J407" i="23"/>
  <c r="X151" i="23" s="1"/>
  <c r="X150" i="23"/>
  <c r="V196" i="23"/>
  <c r="V204" i="23" s="1"/>
  <c r="V249" i="23" s="1"/>
  <c r="E555" i="23"/>
  <c r="K143" i="23"/>
  <c r="J143" i="23"/>
  <c r="U61" i="23" s="1"/>
  <c r="U60" i="23"/>
  <c r="P143" i="23"/>
  <c r="C299" i="23"/>
  <c r="C296" i="23"/>
  <c r="T108" i="23"/>
  <c r="C298" i="23"/>
  <c r="G526" i="23"/>
  <c r="J490" i="23"/>
  <c r="T181" i="23" s="1"/>
  <c r="K490" i="23"/>
  <c r="P490" i="23" s="1"/>
  <c r="T180" i="23"/>
  <c r="F410" i="23"/>
  <c r="H524" i="23"/>
  <c r="I525" i="23" s="1"/>
  <c r="AE33" i="23" s="1"/>
  <c r="I519" i="23"/>
  <c r="C415" i="23"/>
  <c r="C412" i="23"/>
  <c r="T148" i="23"/>
  <c r="C414" i="23"/>
  <c r="C411" i="23" s="1"/>
  <c r="T149" i="23" s="1"/>
  <c r="E238" i="23"/>
  <c r="E241" i="23"/>
  <c r="V88" i="23"/>
  <c r="E240" i="23"/>
  <c r="E237" i="23" s="1"/>
  <c r="V89" i="23" s="1"/>
  <c r="AS117" i="21"/>
  <c r="AQ99" i="21"/>
  <c r="AR100" i="21" s="1"/>
  <c r="AR94" i="21"/>
  <c r="C584" i="21"/>
  <c r="F584" i="21"/>
  <c r="D555" i="21"/>
  <c r="E501" i="21"/>
  <c r="V178" i="21"/>
  <c r="E499" i="21"/>
  <c r="F497" i="21"/>
  <c r="H437" i="21"/>
  <c r="I438" i="21" s="1"/>
  <c r="AE30" i="21" s="1"/>
  <c r="H350" i="21"/>
  <c r="I351" i="21" s="1"/>
  <c r="AE27" i="21" s="1"/>
  <c r="D323" i="21"/>
  <c r="G323" i="21"/>
  <c r="E294" i="21"/>
  <c r="I258" i="21"/>
  <c r="K258" i="21" s="1"/>
  <c r="P258" i="21" s="1"/>
  <c r="G236" i="21"/>
  <c r="E207" i="21"/>
  <c r="E178" i="21"/>
  <c r="E182" i="21" s="1"/>
  <c r="G149" i="21"/>
  <c r="G154" i="21" s="1"/>
  <c r="H118" i="21"/>
  <c r="I119" i="21" s="1"/>
  <c r="AE19" i="21" s="1"/>
  <c r="G584" i="21"/>
  <c r="G589" i="21" s="1"/>
  <c r="E555" i="21"/>
  <c r="E559" i="21" s="1"/>
  <c r="E556" i="21" s="1"/>
  <c r="V199" i="21" s="1"/>
  <c r="F555" i="21"/>
  <c r="F559" i="21" s="1"/>
  <c r="F556" i="21" s="1"/>
  <c r="W199" i="21" s="1"/>
  <c r="F526" i="21"/>
  <c r="F531" i="21" s="1"/>
  <c r="T180" i="21"/>
  <c r="J490" i="21"/>
  <c r="T181" i="21" s="1"/>
  <c r="K490" i="21"/>
  <c r="P490" i="21"/>
  <c r="J496" i="21" s="1"/>
  <c r="AF32" i="21" s="1"/>
  <c r="C468" i="21"/>
  <c r="C470" i="21" s="1"/>
  <c r="D468" i="21"/>
  <c r="D470" i="21" s="1"/>
  <c r="H408" i="21"/>
  <c r="I409" i="21" s="1"/>
  <c r="AE29" i="21" s="1"/>
  <c r="C381" i="21"/>
  <c r="C386" i="21" s="1"/>
  <c r="G353" i="21"/>
  <c r="X129" i="21" s="1"/>
  <c r="G294" i="21"/>
  <c r="G298" i="21" s="1"/>
  <c r="D265" i="21"/>
  <c r="D270" i="21" s="1"/>
  <c r="H234" i="21"/>
  <c r="I235" i="21" s="1"/>
  <c r="AE23" i="21" s="1"/>
  <c r="D236" i="21"/>
  <c r="D238" i="21" s="1"/>
  <c r="H147" i="21"/>
  <c r="I148" i="21" s="1"/>
  <c r="AE20" i="21" s="1"/>
  <c r="C120" i="21"/>
  <c r="T48" i="21" s="1"/>
  <c r="E91" i="21"/>
  <c r="V38" i="21" s="1"/>
  <c r="F33" i="21"/>
  <c r="W18" i="21" s="1"/>
  <c r="H31" i="21"/>
  <c r="I32" i="21" s="1"/>
  <c r="AE16" i="21" s="1"/>
  <c r="K58" i="21"/>
  <c r="P58" i="21" s="1"/>
  <c r="J58" i="21"/>
  <c r="W31" i="21" s="1"/>
  <c r="W30" i="21"/>
  <c r="K117" i="21"/>
  <c r="P117" i="21" s="1"/>
  <c r="J117" i="21"/>
  <c r="X51" i="21" s="1"/>
  <c r="X50" i="21"/>
  <c r="K202" i="21"/>
  <c r="P202" i="21" s="1"/>
  <c r="J202" i="21"/>
  <c r="V81" i="21" s="1"/>
  <c r="V80" i="21"/>
  <c r="J351" i="21"/>
  <c r="AF27" i="21" s="1"/>
  <c r="K56" i="21"/>
  <c r="P56" i="21" s="1"/>
  <c r="J56" i="21"/>
  <c r="U31" i="21" s="1"/>
  <c r="U30" i="21"/>
  <c r="K289" i="21"/>
  <c r="P289" i="21" s="1"/>
  <c r="J289" i="21"/>
  <c r="V111" i="21" s="1"/>
  <c r="V110" i="21"/>
  <c r="J145" i="21"/>
  <c r="W61" i="21" s="1"/>
  <c r="W60" i="21"/>
  <c r="K145" i="21"/>
  <c r="P145" i="21" s="1"/>
  <c r="J465" i="21"/>
  <c r="X171" i="21" s="1"/>
  <c r="K465" i="21"/>
  <c r="X170" i="21"/>
  <c r="P465" i="21"/>
  <c r="K463" i="21"/>
  <c r="P463" i="21" s="1"/>
  <c r="J463" i="21"/>
  <c r="V171" i="21" s="1"/>
  <c r="V170" i="21"/>
  <c r="K230" i="21"/>
  <c r="P230" i="21" s="1"/>
  <c r="U90" i="21"/>
  <c r="J230" i="21"/>
  <c r="U91" i="21" s="1"/>
  <c r="K522" i="21"/>
  <c r="P522" i="21" s="1"/>
  <c r="J522" i="21"/>
  <c r="W191" i="21" s="1"/>
  <c r="W190" i="21"/>
  <c r="J578" i="21"/>
  <c r="U211" i="21" s="1"/>
  <c r="K578" i="21"/>
  <c r="U210" i="21"/>
  <c r="P578" i="21"/>
  <c r="AT95" i="21"/>
  <c r="AY95" i="21" s="1"/>
  <c r="AM113" i="21"/>
  <c r="AS95" i="21"/>
  <c r="AM114" i="21" s="1"/>
  <c r="J174" i="21"/>
  <c r="W71" i="21" s="1"/>
  <c r="K174" i="21"/>
  <c r="W70" i="21"/>
  <c r="P174" i="21"/>
  <c r="K146" i="21"/>
  <c r="P146" i="21" s="1"/>
  <c r="J146" i="21"/>
  <c r="X61" i="21" s="1"/>
  <c r="X60" i="21"/>
  <c r="J173" i="21"/>
  <c r="V71" i="21" s="1"/>
  <c r="K173" i="21"/>
  <c r="P173" i="21" s="1"/>
  <c r="V70" i="21"/>
  <c r="F502" i="21"/>
  <c r="F499" i="21"/>
  <c r="W178" i="21"/>
  <c r="F501" i="21"/>
  <c r="D410" i="21"/>
  <c r="E180" i="21"/>
  <c r="E183" i="21"/>
  <c r="V68" i="21"/>
  <c r="H524" i="21"/>
  <c r="I525" i="21" s="1"/>
  <c r="AE33" i="21" s="1"/>
  <c r="E35" i="21"/>
  <c r="E38" i="21"/>
  <c r="V18" i="21"/>
  <c r="E37" i="21"/>
  <c r="K521" i="21"/>
  <c r="P521" i="21" s="1"/>
  <c r="J521" i="21"/>
  <c r="V191" i="21" s="1"/>
  <c r="V190" i="21"/>
  <c r="E353" i="21"/>
  <c r="V129" i="21" s="1"/>
  <c r="E96" i="21"/>
  <c r="E93" i="21"/>
  <c r="E95" i="21"/>
  <c r="E212" i="21"/>
  <c r="E209" i="21"/>
  <c r="V78" i="21"/>
  <c r="E211" i="21"/>
  <c r="U16" i="21"/>
  <c r="D33" i="21"/>
  <c r="E296" i="21"/>
  <c r="E299" i="21"/>
  <c r="V108" i="21"/>
  <c r="E298" i="21"/>
  <c r="I436" i="21"/>
  <c r="E410" i="21"/>
  <c r="K550" i="21"/>
  <c r="P550" i="21" s="1"/>
  <c r="J550" i="21"/>
  <c r="V201" i="21" s="1"/>
  <c r="V200" i="21"/>
  <c r="C64" i="21"/>
  <c r="C67" i="21"/>
  <c r="T28" i="21"/>
  <c r="K144" i="21"/>
  <c r="P144" i="21" s="1"/>
  <c r="J144" i="21"/>
  <c r="V61" i="21" s="1"/>
  <c r="V60" i="21"/>
  <c r="X186" i="21"/>
  <c r="X194" i="21" s="1"/>
  <c r="X248" i="21" s="1"/>
  <c r="G526" i="21"/>
  <c r="W106" i="21"/>
  <c r="W114" i="21" s="1"/>
  <c r="W240" i="21" s="1"/>
  <c r="F294" i="21"/>
  <c r="T248" i="21"/>
  <c r="W146" i="21"/>
  <c r="W154" i="21" s="1"/>
  <c r="W244" i="21" s="1"/>
  <c r="F410" i="21"/>
  <c r="T76" i="21"/>
  <c r="T84" i="21" s="1"/>
  <c r="C207" i="21"/>
  <c r="D353" i="21"/>
  <c r="U129" i="21" s="1"/>
  <c r="K462" i="21"/>
  <c r="P462" i="21" s="1"/>
  <c r="J462" i="21"/>
  <c r="U171" i="21" s="1"/>
  <c r="U170" i="21"/>
  <c r="K317" i="21"/>
  <c r="J317" i="21"/>
  <c r="U121" i="21" s="1"/>
  <c r="U120" i="21"/>
  <c r="P317" i="21"/>
  <c r="C586" i="21"/>
  <c r="C589" i="21"/>
  <c r="T208" i="21"/>
  <c r="C588" i="21"/>
  <c r="C91" i="21"/>
  <c r="K519" i="21"/>
  <c r="J519" i="21"/>
  <c r="T191" i="21" s="1"/>
  <c r="P519" i="21"/>
  <c r="T190" i="21"/>
  <c r="H466" i="21"/>
  <c r="I467" i="21" s="1"/>
  <c r="AE31" i="21" s="1"/>
  <c r="J200" i="21"/>
  <c r="T81" i="21" s="1"/>
  <c r="K200" i="21"/>
  <c r="P200" i="21" s="1"/>
  <c r="T80" i="21"/>
  <c r="X96" i="21"/>
  <c r="X104" i="21" s="1"/>
  <c r="X239" i="21" s="1"/>
  <c r="G265" i="21"/>
  <c r="F439" i="21"/>
  <c r="V228" i="21"/>
  <c r="D473" i="21"/>
  <c r="U28" i="21"/>
  <c r="D64" i="21"/>
  <c r="D67" i="21"/>
  <c r="D66" i="21"/>
  <c r="H292" i="21"/>
  <c r="I293" i="21" s="1"/>
  <c r="AE25" i="21" s="1"/>
  <c r="U220" i="21"/>
  <c r="D154" i="21"/>
  <c r="D151" i="21"/>
  <c r="U58" i="21"/>
  <c r="D153" i="21"/>
  <c r="D150" i="21" s="1"/>
  <c r="U59" i="21" s="1"/>
  <c r="W96" i="21"/>
  <c r="W104" i="21" s="1"/>
  <c r="W239" i="21" s="1"/>
  <c r="F265" i="21"/>
  <c r="G439" i="21"/>
  <c r="K405" i="21"/>
  <c r="P405" i="21" s="1"/>
  <c r="J405" i="21"/>
  <c r="V151" i="21" s="1"/>
  <c r="V150" i="21"/>
  <c r="F212" i="21"/>
  <c r="F208" i="21" s="1"/>
  <c r="W79" i="21" s="1"/>
  <c r="U228" i="21"/>
  <c r="F35" i="21"/>
  <c r="H582" i="21"/>
  <c r="I583" i="21" s="1"/>
  <c r="AE35" i="21" s="1"/>
  <c r="I84" i="21"/>
  <c r="C526" i="21"/>
  <c r="I461" i="21"/>
  <c r="X36" i="21"/>
  <c r="X44" i="21" s="1"/>
  <c r="X233" i="21" s="1"/>
  <c r="G91" i="21"/>
  <c r="W136" i="21"/>
  <c r="W144" i="21" s="1"/>
  <c r="W243" i="21" s="1"/>
  <c r="F381" i="21"/>
  <c r="I113" i="21"/>
  <c r="G180" i="21"/>
  <c r="G183" i="21"/>
  <c r="X68" i="21"/>
  <c r="G182" i="21"/>
  <c r="F64" i="21"/>
  <c r="W28" i="21"/>
  <c r="F67" i="21"/>
  <c r="F66" i="21"/>
  <c r="U46" i="21"/>
  <c r="U54" i="21" s="1"/>
  <c r="U234" i="21" s="1"/>
  <c r="D120" i="21"/>
  <c r="K435" i="21"/>
  <c r="P435" i="21" s="1"/>
  <c r="J435" i="21"/>
  <c r="W161" i="21" s="1"/>
  <c r="W160" i="21"/>
  <c r="V276" i="21"/>
  <c r="V277" i="21" s="1"/>
  <c r="X228" i="21"/>
  <c r="U276" i="21"/>
  <c r="U277" i="21" s="1"/>
  <c r="D212" i="21"/>
  <c r="D209" i="21"/>
  <c r="U78" i="21"/>
  <c r="D211" i="21"/>
  <c r="E64" i="21"/>
  <c r="E67" i="21"/>
  <c r="V28" i="21"/>
  <c r="E66" i="21"/>
  <c r="E63" i="21" s="1"/>
  <c r="V29" i="21" s="1"/>
  <c r="J577" i="21"/>
  <c r="T211" i="21" s="1"/>
  <c r="K577" i="21"/>
  <c r="P577" i="21" s="1"/>
  <c r="T210" i="21"/>
  <c r="E154" i="21"/>
  <c r="E151" i="21"/>
  <c r="V58" i="21"/>
  <c r="E153" i="21"/>
  <c r="T240" i="21"/>
  <c r="T250" i="21"/>
  <c r="H321" i="21"/>
  <c r="I322" i="21" s="1"/>
  <c r="AE26" i="21" s="1"/>
  <c r="I316" i="21"/>
  <c r="E470" i="21"/>
  <c r="E473" i="21"/>
  <c r="V168" i="21"/>
  <c r="E472" i="21"/>
  <c r="V46" i="21"/>
  <c r="V54" i="21" s="1"/>
  <c r="V234" i="21" s="1"/>
  <c r="E120" i="21"/>
  <c r="T234" i="21"/>
  <c r="J175" i="21"/>
  <c r="X71" i="21" s="1"/>
  <c r="K175" i="21"/>
  <c r="P175" i="21" s="1"/>
  <c r="X70" i="21"/>
  <c r="T156" i="21"/>
  <c r="T164" i="21" s="1"/>
  <c r="C439" i="21"/>
  <c r="I403" i="21"/>
  <c r="I374" i="21"/>
  <c r="C385" i="21" s="1"/>
  <c r="V220" i="21"/>
  <c r="X220" i="21"/>
  <c r="F154" i="21"/>
  <c r="F151" i="21"/>
  <c r="W58" i="21"/>
  <c r="F153" i="21"/>
  <c r="AM101" i="21"/>
  <c r="C294" i="21"/>
  <c r="W228" i="21"/>
  <c r="W282" i="21"/>
  <c r="W283" i="21" s="1"/>
  <c r="J28" i="21"/>
  <c r="V21" i="21" s="1"/>
  <c r="V20" i="21"/>
  <c r="K28" i="21"/>
  <c r="P28" i="21"/>
  <c r="J32" i="21" s="1"/>
  <c r="AF16" i="21" s="1"/>
  <c r="T116" i="21"/>
  <c r="T124" i="21" s="1"/>
  <c r="C323" i="21"/>
  <c r="C241" i="21"/>
  <c r="C238" i="21"/>
  <c r="T88" i="21"/>
  <c r="C240" i="21"/>
  <c r="AA174" i="21"/>
  <c r="T246" i="21"/>
  <c r="J432" i="21"/>
  <c r="T161" i="21" s="1"/>
  <c r="K432" i="21"/>
  <c r="P432" i="21" s="1"/>
  <c r="T160" i="21"/>
  <c r="T196" i="21"/>
  <c r="T204" i="21" s="1"/>
  <c r="C555" i="21"/>
  <c r="T244" i="21"/>
  <c r="X276" i="21"/>
  <c r="X277" i="21" s="1"/>
  <c r="I549" i="21"/>
  <c r="D328" i="21"/>
  <c r="D325" i="21"/>
  <c r="U118" i="21"/>
  <c r="D327" i="21"/>
  <c r="W220" i="21"/>
  <c r="C154" i="21"/>
  <c r="C151" i="21"/>
  <c r="T58" i="21"/>
  <c r="C153" i="21"/>
  <c r="T233" i="21"/>
  <c r="K291" i="21"/>
  <c r="P291" i="21" s="1"/>
  <c r="J291" i="21"/>
  <c r="X111" i="21" s="1"/>
  <c r="X110" i="21"/>
  <c r="J258" i="21"/>
  <c r="T101" i="21" s="1"/>
  <c r="E557" i="21"/>
  <c r="E560" i="21"/>
  <c r="V198" i="21"/>
  <c r="K229" i="21"/>
  <c r="P229" i="21" s="1"/>
  <c r="J229" i="21"/>
  <c r="T91" i="21" s="1"/>
  <c r="T90" i="21"/>
  <c r="V86" i="21"/>
  <c r="V94" i="21" s="1"/>
  <c r="V238" i="21" s="1"/>
  <c r="E236" i="21"/>
  <c r="C473" i="21"/>
  <c r="T168" i="21"/>
  <c r="J551" i="21"/>
  <c r="W201" i="21" s="1"/>
  <c r="K551" i="21"/>
  <c r="P551" i="21" s="1"/>
  <c r="W200" i="21"/>
  <c r="H60" i="21"/>
  <c r="I61" i="21" s="1"/>
  <c r="AE17" i="21" s="1"/>
  <c r="I55" i="21"/>
  <c r="AL113" i="21"/>
  <c r="AT94" i="21"/>
  <c r="AS94" i="21"/>
  <c r="AL114" i="21" s="1"/>
  <c r="AY94" i="21"/>
  <c r="C383" i="21"/>
  <c r="E441" i="21"/>
  <c r="E444" i="21"/>
  <c r="V158" i="21"/>
  <c r="E443" i="21"/>
  <c r="T235" i="21"/>
  <c r="AA64" i="21"/>
  <c r="E328" i="21"/>
  <c r="E325" i="21"/>
  <c r="V118" i="21"/>
  <c r="E327" i="21"/>
  <c r="X136" i="21"/>
  <c r="X144" i="21" s="1"/>
  <c r="X243" i="21" s="1"/>
  <c r="G381" i="21"/>
  <c r="F468" i="21"/>
  <c r="F560" i="21"/>
  <c r="F557" i="21"/>
  <c r="W198" i="21"/>
  <c r="D498" i="21"/>
  <c r="U179" i="21" s="1"/>
  <c r="W36" i="21"/>
  <c r="F91" i="21"/>
  <c r="K259" i="21"/>
  <c r="J259" i="21"/>
  <c r="U101" i="21" s="1"/>
  <c r="U100" i="21"/>
  <c r="P259" i="21"/>
  <c r="C410" i="21"/>
  <c r="K171" i="21"/>
  <c r="P171" i="21" s="1"/>
  <c r="J171" i="21"/>
  <c r="T71" i="21" s="1"/>
  <c r="T70" i="21"/>
  <c r="G498" i="21"/>
  <c r="X179" i="21" s="1"/>
  <c r="I172" i="21"/>
  <c r="D182" i="21" s="1"/>
  <c r="T228" i="21"/>
  <c r="AP106" i="21"/>
  <c r="AP102" i="21" s="1"/>
  <c r="AP112" i="21" s="1"/>
  <c r="F589" i="21"/>
  <c r="F586" i="21"/>
  <c r="W208" i="21"/>
  <c r="F588" i="21"/>
  <c r="G209" i="21"/>
  <c r="G212" i="21"/>
  <c r="X78" i="21"/>
  <c r="G211" i="21"/>
  <c r="V231" i="21"/>
  <c r="G328" i="21"/>
  <c r="G325" i="21"/>
  <c r="X118" i="21"/>
  <c r="G327" i="21"/>
  <c r="T232" i="21"/>
  <c r="AA34" i="21"/>
  <c r="D560" i="21"/>
  <c r="D557" i="21"/>
  <c r="U198" i="21"/>
  <c r="D584" i="21"/>
  <c r="K580" i="21"/>
  <c r="P580" i="21" s="1"/>
  <c r="J580" i="21"/>
  <c r="W211" i="21" s="1"/>
  <c r="W210" i="21"/>
  <c r="C357" i="21"/>
  <c r="C354" i="21"/>
  <c r="T128" i="21"/>
  <c r="C356" i="21"/>
  <c r="C353" i="21" s="1"/>
  <c r="T129" i="21" s="1"/>
  <c r="W276" i="21"/>
  <c r="W277" i="21" s="1"/>
  <c r="T238" i="21"/>
  <c r="J581" i="21"/>
  <c r="X211" i="21" s="1"/>
  <c r="K581" i="21"/>
  <c r="P581" i="21" s="1"/>
  <c r="X210" i="21"/>
  <c r="K318" i="21"/>
  <c r="P318" i="21" s="1"/>
  <c r="J318" i="21"/>
  <c r="V121" i="21" s="1"/>
  <c r="V120" i="21"/>
  <c r="K233" i="21"/>
  <c r="J233" i="21"/>
  <c r="X91" i="21" s="1"/>
  <c r="X90" i="21"/>
  <c r="P233" i="21"/>
  <c r="K464" i="21"/>
  <c r="P464" i="21" s="1"/>
  <c r="J464" i="21"/>
  <c r="W171" i="21" s="1"/>
  <c r="W170" i="21"/>
  <c r="T66" i="21"/>
  <c r="T74" i="21" s="1"/>
  <c r="C178" i="21"/>
  <c r="AL101" i="21"/>
  <c r="T243" i="21"/>
  <c r="H205" i="21"/>
  <c r="I206" i="21" s="1"/>
  <c r="AE22" i="21" s="1"/>
  <c r="D180" i="21"/>
  <c r="D183" i="21"/>
  <c r="U68" i="21"/>
  <c r="T220" i="21"/>
  <c r="G38" i="21"/>
  <c r="G35" i="21"/>
  <c r="X18" i="21"/>
  <c r="G37" i="21"/>
  <c r="T239" i="21"/>
  <c r="C499" i="21"/>
  <c r="C501" i="21"/>
  <c r="C502" i="21"/>
  <c r="T178" i="21"/>
  <c r="K319" i="21"/>
  <c r="J319" i="21"/>
  <c r="W121" i="21" s="1"/>
  <c r="W120" i="21"/>
  <c r="P319" i="21"/>
  <c r="V206" i="21"/>
  <c r="V214" i="21" s="1"/>
  <c r="V250" i="21" s="1"/>
  <c r="E584" i="21"/>
  <c r="D441" i="21"/>
  <c r="D444" i="21"/>
  <c r="U158" i="21"/>
  <c r="D443" i="21"/>
  <c r="G560" i="21"/>
  <c r="G557" i="21"/>
  <c r="X198" i="21"/>
  <c r="G559" i="21"/>
  <c r="K287" i="21"/>
  <c r="P287" i="21" s="1"/>
  <c r="J287" i="21"/>
  <c r="T111" i="21" s="1"/>
  <c r="T110" i="21"/>
  <c r="W46" i="21"/>
  <c r="W54" i="21" s="1"/>
  <c r="W234" i="21" s="1"/>
  <c r="F120" i="21"/>
  <c r="G241" i="21"/>
  <c r="G238" i="21"/>
  <c r="X88" i="21"/>
  <c r="G240" i="21"/>
  <c r="F178" i="21"/>
  <c r="U136" i="21"/>
  <c r="U144" i="21" s="1"/>
  <c r="U243" i="21" s="1"/>
  <c r="D381" i="21"/>
  <c r="V136" i="21"/>
  <c r="V144" i="21" s="1"/>
  <c r="V243" i="21" s="1"/>
  <c r="E381" i="21"/>
  <c r="V96" i="21"/>
  <c r="V104" i="21" s="1"/>
  <c r="V239" i="21" s="1"/>
  <c r="E265" i="21"/>
  <c r="K407" i="21"/>
  <c r="P407" i="21" s="1"/>
  <c r="J407" i="21"/>
  <c r="X151" i="21" s="1"/>
  <c r="X150" i="21"/>
  <c r="W231" i="21"/>
  <c r="T276" i="21"/>
  <c r="T277" i="21" s="1"/>
  <c r="X24" i="21"/>
  <c r="G125" i="21"/>
  <c r="G122" i="21"/>
  <c r="X48" i="21"/>
  <c r="G124" i="21"/>
  <c r="G121" i="21" s="1"/>
  <c r="X49" i="21" s="1"/>
  <c r="T247" i="21"/>
  <c r="AA184" i="21"/>
  <c r="F323" i="21"/>
  <c r="F238" i="21"/>
  <c r="F241" i="21"/>
  <c r="W88" i="21"/>
  <c r="F240" i="21"/>
  <c r="G468" i="21"/>
  <c r="G67" i="21"/>
  <c r="X28" i="21"/>
  <c r="G64" i="21"/>
  <c r="G66" i="21"/>
  <c r="C35" i="21"/>
  <c r="T18" i="21"/>
  <c r="C38" i="21"/>
  <c r="C37" i="21"/>
  <c r="J404" i="21"/>
  <c r="U151" i="21" s="1"/>
  <c r="K404" i="21"/>
  <c r="P404" i="21" s="1"/>
  <c r="U150" i="21"/>
  <c r="U36" i="21"/>
  <c r="U44" i="21" s="1"/>
  <c r="U233" i="21" s="1"/>
  <c r="D91" i="21"/>
  <c r="AN111" i="21"/>
  <c r="AN103" i="21"/>
  <c r="AN106" i="21"/>
  <c r="AN105" i="21"/>
  <c r="U186" i="21"/>
  <c r="U194" i="21" s="1"/>
  <c r="U248" i="21" s="1"/>
  <c r="D526" i="21"/>
  <c r="E526" i="21"/>
  <c r="V40" i="21"/>
  <c r="J86" i="21"/>
  <c r="V41" i="21" s="1"/>
  <c r="K86" i="21"/>
  <c r="P86" i="21" s="1"/>
  <c r="E498" i="21"/>
  <c r="V179" i="21" s="1"/>
  <c r="K142" i="21"/>
  <c r="P142" i="21" s="1"/>
  <c r="J142" i="21"/>
  <c r="T61" i="21" s="1"/>
  <c r="T60" i="21"/>
  <c r="G410" i="21"/>
  <c r="C265" i="21"/>
  <c r="U106" i="21"/>
  <c r="U114" i="21" s="1"/>
  <c r="U240" i="21" s="1"/>
  <c r="D294" i="21"/>
  <c r="K232" i="21"/>
  <c r="P232" i="21" s="1"/>
  <c r="W90" i="21"/>
  <c r="J232" i="21"/>
  <c r="W91" i="21" s="1"/>
  <c r="T275" i="21"/>
  <c r="T24" i="21"/>
  <c r="D526" i="20"/>
  <c r="D528" i="20" s="1"/>
  <c r="C526" i="20"/>
  <c r="C531" i="20" s="1"/>
  <c r="F526" i="20"/>
  <c r="U190" i="20"/>
  <c r="J520" i="20"/>
  <c r="U191" i="20" s="1"/>
  <c r="X180" i="20"/>
  <c r="C468" i="20"/>
  <c r="C473" i="20" s="1"/>
  <c r="D470" i="20"/>
  <c r="W168" i="20"/>
  <c r="D472" i="20"/>
  <c r="D469" i="20" s="1"/>
  <c r="U169" i="20" s="1"/>
  <c r="F439" i="20"/>
  <c r="F441" i="20" s="1"/>
  <c r="E410" i="20"/>
  <c r="E412" i="20" s="1"/>
  <c r="E352" i="20"/>
  <c r="E356" i="20" s="1"/>
  <c r="E323" i="20"/>
  <c r="E327" i="20" s="1"/>
  <c r="G294" i="20"/>
  <c r="G296" i="20" s="1"/>
  <c r="D265" i="20"/>
  <c r="C207" i="20"/>
  <c r="C209" i="20" s="1"/>
  <c r="F207" i="20"/>
  <c r="F149" i="20"/>
  <c r="F154" i="20" s="1"/>
  <c r="G91" i="20"/>
  <c r="F62" i="20"/>
  <c r="I56" i="20"/>
  <c r="G33" i="20"/>
  <c r="G35" i="20" s="1"/>
  <c r="H582" i="20"/>
  <c r="I583" i="20" s="1"/>
  <c r="AE35" i="20" s="1"/>
  <c r="F584" i="20"/>
  <c r="G555" i="20"/>
  <c r="G560" i="20" s="1"/>
  <c r="D555" i="20"/>
  <c r="U198" i="20" s="1"/>
  <c r="F497" i="20"/>
  <c r="F499" i="20" s="1"/>
  <c r="U168" i="20"/>
  <c r="G439" i="20"/>
  <c r="G443" i="20" s="1"/>
  <c r="P345" i="20"/>
  <c r="T130" i="20"/>
  <c r="K345" i="20"/>
  <c r="J345" i="20"/>
  <c r="T131" i="20" s="1"/>
  <c r="G207" i="20"/>
  <c r="E207" i="20"/>
  <c r="E209" i="20" s="1"/>
  <c r="K172" i="20"/>
  <c r="J172" i="20"/>
  <c r="U71" i="20" s="1"/>
  <c r="U70" i="20"/>
  <c r="D182" i="20"/>
  <c r="P172" i="20"/>
  <c r="H176" i="20"/>
  <c r="I177" i="20" s="1"/>
  <c r="AE21" i="20" s="1"/>
  <c r="K171" i="20"/>
  <c r="P171" i="20" s="1"/>
  <c r="J171" i="20"/>
  <c r="T71" i="20" s="1"/>
  <c r="T70" i="20"/>
  <c r="H147" i="20"/>
  <c r="I148" i="20" s="1"/>
  <c r="AE20" i="20" s="1"/>
  <c r="E120" i="20"/>
  <c r="V16" i="20"/>
  <c r="F33" i="20"/>
  <c r="K317" i="20"/>
  <c r="P317" i="20" s="1"/>
  <c r="J317" i="20"/>
  <c r="U121" i="20" s="1"/>
  <c r="U120" i="20"/>
  <c r="J175" i="20"/>
  <c r="X71" i="20" s="1"/>
  <c r="K175" i="20"/>
  <c r="X70" i="20"/>
  <c r="P175" i="20"/>
  <c r="K491" i="20"/>
  <c r="P491" i="20" s="1"/>
  <c r="J491" i="20"/>
  <c r="U181" i="20" s="1"/>
  <c r="U180" i="20"/>
  <c r="K259" i="20"/>
  <c r="P259" i="20" s="1"/>
  <c r="J259" i="20"/>
  <c r="U101" i="20" s="1"/>
  <c r="U100" i="20"/>
  <c r="K233" i="20"/>
  <c r="P233" i="20" s="1"/>
  <c r="J233" i="20"/>
  <c r="X91" i="20" s="1"/>
  <c r="X90" i="20"/>
  <c r="K550" i="20"/>
  <c r="P550" i="20" s="1"/>
  <c r="J550" i="20"/>
  <c r="V201" i="20" s="1"/>
  <c r="V200" i="20"/>
  <c r="J435" i="20"/>
  <c r="W161" i="20" s="1"/>
  <c r="K435" i="20"/>
  <c r="P435" i="20" s="1"/>
  <c r="W160" i="20"/>
  <c r="AO113" i="20"/>
  <c r="AT97" i="20"/>
  <c r="AY97" i="20" s="1"/>
  <c r="AS97" i="20"/>
  <c r="AO114" i="20" s="1"/>
  <c r="K522" i="20"/>
  <c r="P522" i="20" s="1"/>
  <c r="J522" i="20"/>
  <c r="W191" i="20" s="1"/>
  <c r="W190" i="20"/>
  <c r="K319" i="20"/>
  <c r="P319" i="20" s="1"/>
  <c r="J319" i="20"/>
  <c r="W121" i="20" s="1"/>
  <c r="W120" i="20"/>
  <c r="K88" i="20"/>
  <c r="P88" i="20" s="1"/>
  <c r="J88" i="20"/>
  <c r="X41" i="20" s="1"/>
  <c r="X40" i="20"/>
  <c r="K86" i="20"/>
  <c r="P86" i="20" s="1"/>
  <c r="J86" i="20"/>
  <c r="V41" i="20" s="1"/>
  <c r="V40" i="20"/>
  <c r="K291" i="20"/>
  <c r="P291" i="20" s="1"/>
  <c r="J291" i="20"/>
  <c r="X111" i="20" s="1"/>
  <c r="X110" i="20"/>
  <c r="K146" i="20"/>
  <c r="P146" i="20" s="1"/>
  <c r="J146" i="20"/>
  <c r="X61" i="20" s="1"/>
  <c r="X60" i="20"/>
  <c r="K30" i="20"/>
  <c r="P30" i="20" s="1"/>
  <c r="J30" i="20"/>
  <c r="X21" i="20" s="1"/>
  <c r="X20" i="20"/>
  <c r="J579" i="20"/>
  <c r="V211" i="20" s="1"/>
  <c r="K579" i="20"/>
  <c r="P579" i="20" s="1"/>
  <c r="V210" i="20"/>
  <c r="K404" i="20"/>
  <c r="J404" i="20"/>
  <c r="U151" i="20" s="1"/>
  <c r="U150" i="20"/>
  <c r="P404" i="20"/>
  <c r="K348" i="20"/>
  <c r="P348" i="20" s="1"/>
  <c r="J348" i="20"/>
  <c r="W131" i="20" s="1"/>
  <c r="W130" i="20"/>
  <c r="X50" i="20"/>
  <c r="K117" i="20"/>
  <c r="P117" i="20" s="1"/>
  <c r="J117" i="20"/>
  <c r="X51" i="20" s="1"/>
  <c r="J436" i="20"/>
  <c r="X161" i="20" s="1"/>
  <c r="K436" i="20"/>
  <c r="P436" i="20" s="1"/>
  <c r="X160" i="20"/>
  <c r="T244" i="20"/>
  <c r="K229" i="20"/>
  <c r="P229" i="20" s="1"/>
  <c r="J229" i="20"/>
  <c r="T91" i="20" s="1"/>
  <c r="T90" i="20"/>
  <c r="K347" i="20"/>
  <c r="P347" i="20" s="1"/>
  <c r="J351" i="20" s="1"/>
  <c r="AF27" i="20" s="1"/>
  <c r="J347" i="20"/>
  <c r="V131" i="20" s="1"/>
  <c r="V130" i="20"/>
  <c r="J578" i="20"/>
  <c r="U211" i="20" s="1"/>
  <c r="K578" i="20"/>
  <c r="P578" i="20" s="1"/>
  <c r="U210" i="20"/>
  <c r="X276" i="20"/>
  <c r="X277" i="20" s="1"/>
  <c r="X220" i="20"/>
  <c r="X25" i="20"/>
  <c r="X228" i="20" s="1"/>
  <c r="J577" i="20"/>
  <c r="T211" i="20" s="1"/>
  <c r="K577" i="20"/>
  <c r="T210" i="20"/>
  <c r="P577" i="20"/>
  <c r="T237" i="20"/>
  <c r="K374" i="20"/>
  <c r="J374" i="20"/>
  <c r="T141" i="20" s="1"/>
  <c r="T140" i="20"/>
  <c r="P374" i="20"/>
  <c r="D33" i="20"/>
  <c r="AN109" i="20"/>
  <c r="AN117" i="20" s="1"/>
  <c r="AN101" i="20"/>
  <c r="W66" i="20"/>
  <c r="W74" i="20" s="1"/>
  <c r="W236" i="20" s="1"/>
  <c r="F178" i="20"/>
  <c r="K202" i="20"/>
  <c r="P202" i="20" s="1"/>
  <c r="J202" i="20"/>
  <c r="V81" i="20" s="1"/>
  <c r="V80" i="20"/>
  <c r="W228" i="20"/>
  <c r="F357" i="20"/>
  <c r="F354" i="20"/>
  <c r="W128" i="20"/>
  <c r="F356" i="20"/>
  <c r="G178" i="20"/>
  <c r="H524" i="20"/>
  <c r="I525" i="20" s="1"/>
  <c r="AE33" i="20" s="1"/>
  <c r="T240" i="20"/>
  <c r="E325" i="20"/>
  <c r="E328" i="20"/>
  <c r="X186" i="20"/>
  <c r="X194" i="20" s="1"/>
  <c r="X248" i="20" s="1"/>
  <c r="G526" i="20"/>
  <c r="V275" i="20"/>
  <c r="V24" i="20"/>
  <c r="K56" i="20"/>
  <c r="P56" i="20" s="1"/>
  <c r="U30" i="20"/>
  <c r="J56" i="20"/>
  <c r="U31" i="20" s="1"/>
  <c r="U20" i="20"/>
  <c r="K27" i="20"/>
  <c r="P27" i="20" s="1"/>
  <c r="J27" i="20"/>
  <c r="U21" i="20" s="1"/>
  <c r="K406" i="20"/>
  <c r="P406" i="20" s="1"/>
  <c r="J406" i="20"/>
  <c r="W151" i="20" s="1"/>
  <c r="W150" i="20"/>
  <c r="F528" i="20"/>
  <c r="F531" i="20"/>
  <c r="W188" i="20"/>
  <c r="F530" i="20"/>
  <c r="C528" i="20"/>
  <c r="W106" i="20"/>
  <c r="W114" i="20" s="1"/>
  <c r="W240" i="20" s="1"/>
  <c r="F294" i="20"/>
  <c r="K376" i="20"/>
  <c r="P376" i="20" s="1"/>
  <c r="J376" i="20"/>
  <c r="V141" i="20" s="1"/>
  <c r="V140" i="20"/>
  <c r="T233" i="20"/>
  <c r="X116" i="20"/>
  <c r="X124" i="20" s="1"/>
  <c r="X241" i="20" s="1"/>
  <c r="G323" i="20"/>
  <c r="D67" i="20"/>
  <c r="D66" i="20"/>
  <c r="U28" i="20"/>
  <c r="D64" i="20"/>
  <c r="J200" i="20"/>
  <c r="T81" i="20" s="1"/>
  <c r="K200" i="20"/>
  <c r="P200" i="20" s="1"/>
  <c r="T80" i="20"/>
  <c r="G93" i="20"/>
  <c r="X38" i="20"/>
  <c r="G96" i="20"/>
  <c r="G95" i="20"/>
  <c r="K26" i="20"/>
  <c r="P26" i="20" s="1"/>
  <c r="J26" i="20"/>
  <c r="T21" i="20" s="1"/>
  <c r="T20" i="20"/>
  <c r="F410" i="20"/>
  <c r="X26" i="20"/>
  <c r="G62" i="20"/>
  <c r="K232" i="20"/>
  <c r="P232" i="20" s="1"/>
  <c r="J232" i="20"/>
  <c r="W91" i="20" s="1"/>
  <c r="W90" i="20"/>
  <c r="W276" i="20"/>
  <c r="W277" i="20" s="1"/>
  <c r="AL101" i="20"/>
  <c r="X126" i="20"/>
  <c r="X134" i="20" s="1"/>
  <c r="X242" i="20" s="1"/>
  <c r="G352" i="20"/>
  <c r="I519" i="20"/>
  <c r="C530" i="20" s="1"/>
  <c r="H263" i="20"/>
  <c r="I264" i="20" s="1"/>
  <c r="AE24" i="20" s="1"/>
  <c r="E383" i="20"/>
  <c r="E386" i="20"/>
  <c r="V138" i="20"/>
  <c r="E385" i="20"/>
  <c r="T243" i="20"/>
  <c r="W220" i="20"/>
  <c r="F64" i="20"/>
  <c r="F66" i="20"/>
  <c r="W28" i="20"/>
  <c r="F67" i="20"/>
  <c r="H553" i="20"/>
  <c r="I554" i="20" s="1"/>
  <c r="AE34" i="20" s="1"/>
  <c r="U275" i="20"/>
  <c r="U24" i="20"/>
  <c r="D557" i="20"/>
  <c r="D560" i="20"/>
  <c r="K142" i="20"/>
  <c r="P142" i="20" s="1"/>
  <c r="J142" i="20"/>
  <c r="T61" i="20" s="1"/>
  <c r="T60" i="20"/>
  <c r="C381" i="20"/>
  <c r="E444" i="20"/>
  <c r="E441" i="20"/>
  <c r="E443" i="20"/>
  <c r="V158" i="20"/>
  <c r="D267" i="20"/>
  <c r="D270" i="20"/>
  <c r="U98" i="20"/>
  <c r="D269" i="20"/>
  <c r="F241" i="20"/>
  <c r="F238" i="20"/>
  <c r="W88" i="20"/>
  <c r="F240" i="20"/>
  <c r="E415" i="20"/>
  <c r="V148" i="20"/>
  <c r="C352" i="20"/>
  <c r="T126" i="20"/>
  <c r="T134" i="20" s="1"/>
  <c r="AQ99" i="20"/>
  <c r="AR100" i="20" s="1"/>
  <c r="T248" i="20"/>
  <c r="X96" i="20"/>
  <c r="X104" i="20" s="1"/>
  <c r="X239" i="20" s="1"/>
  <c r="G265" i="20"/>
  <c r="C267" i="20"/>
  <c r="C270" i="20"/>
  <c r="T98" i="20"/>
  <c r="T249" i="20"/>
  <c r="U136" i="20"/>
  <c r="U144" i="20" s="1"/>
  <c r="U243" i="20" s="1"/>
  <c r="D381" i="20"/>
  <c r="G120" i="20"/>
  <c r="H437" i="20"/>
  <c r="I438" i="20" s="1"/>
  <c r="AE30" i="20" s="1"/>
  <c r="C555" i="20"/>
  <c r="I580" i="20"/>
  <c r="K261" i="20"/>
  <c r="P261" i="20" s="1"/>
  <c r="J261" i="20"/>
  <c r="W101" i="20" s="1"/>
  <c r="W100" i="20"/>
  <c r="T66" i="20"/>
  <c r="T74" i="20" s="1"/>
  <c r="C178" i="20"/>
  <c r="C91" i="20"/>
  <c r="G298" i="20"/>
  <c r="K549" i="20"/>
  <c r="P549" i="20" s="1"/>
  <c r="J549" i="20"/>
  <c r="U201" i="20" s="1"/>
  <c r="U200" i="20"/>
  <c r="V228" i="20"/>
  <c r="K87" i="20"/>
  <c r="P87" i="20" s="1"/>
  <c r="J87" i="20"/>
  <c r="W41" i="20" s="1"/>
  <c r="W40" i="20"/>
  <c r="H321" i="20"/>
  <c r="I322" i="20" s="1"/>
  <c r="AE26" i="20" s="1"/>
  <c r="J434" i="20"/>
  <c r="V161" i="20" s="1"/>
  <c r="K434" i="20"/>
  <c r="P434" i="20" s="1"/>
  <c r="V160" i="20"/>
  <c r="T156" i="20"/>
  <c r="T164" i="20" s="1"/>
  <c r="C439" i="20"/>
  <c r="K405" i="20"/>
  <c r="P405" i="20" s="1"/>
  <c r="J405" i="20"/>
  <c r="V151" i="20" s="1"/>
  <c r="V150" i="20"/>
  <c r="H408" i="20"/>
  <c r="I409" i="20" s="1"/>
  <c r="AE29" i="20" s="1"/>
  <c r="I258" i="20"/>
  <c r="C269" i="20" s="1"/>
  <c r="F323" i="20"/>
  <c r="X231" i="20"/>
  <c r="X146" i="20"/>
  <c r="X154" i="20" s="1"/>
  <c r="X244" i="20" s="1"/>
  <c r="G410" i="20"/>
  <c r="W196" i="20"/>
  <c r="W204" i="20" s="1"/>
  <c r="W249" i="20" s="1"/>
  <c r="F555" i="20"/>
  <c r="K548" i="20"/>
  <c r="P548" i="20" s="1"/>
  <c r="J548" i="20"/>
  <c r="T201" i="20" s="1"/>
  <c r="T200" i="20"/>
  <c r="F589" i="20"/>
  <c r="F586" i="20"/>
  <c r="W208" i="20"/>
  <c r="F270" i="20"/>
  <c r="F267" i="20"/>
  <c r="W98" i="20"/>
  <c r="F269" i="20"/>
  <c r="F266" i="20" s="1"/>
  <c r="W99" i="20" s="1"/>
  <c r="H89" i="20"/>
  <c r="I90" i="20" s="1"/>
  <c r="AE18" i="20" s="1"/>
  <c r="J521" i="20"/>
  <c r="V191" i="20" s="1"/>
  <c r="K521" i="20"/>
  <c r="P521" i="20" s="1"/>
  <c r="V190" i="20"/>
  <c r="V220" i="20"/>
  <c r="D499" i="20"/>
  <c r="D502" i="20"/>
  <c r="U178" i="20"/>
  <c r="D501" i="20"/>
  <c r="K318" i="20"/>
  <c r="P318" i="20" s="1"/>
  <c r="J318" i="20"/>
  <c r="V121" i="20" s="1"/>
  <c r="V120" i="20"/>
  <c r="F444" i="20"/>
  <c r="K316" i="20"/>
  <c r="P316" i="20" s="1"/>
  <c r="J316" i="20"/>
  <c r="T121" i="20" s="1"/>
  <c r="T120" i="20"/>
  <c r="H350" i="20"/>
  <c r="I351" i="20" s="1"/>
  <c r="AE27" i="20" s="1"/>
  <c r="F473" i="20"/>
  <c r="F469" i="20" s="1"/>
  <c r="W169" i="20" s="1"/>
  <c r="AT94" i="20"/>
  <c r="AY94" i="20" s="1"/>
  <c r="AS94" i="20"/>
  <c r="AL114" i="20" s="1"/>
  <c r="AL113" i="20"/>
  <c r="C410" i="20"/>
  <c r="D323" i="20"/>
  <c r="T239" i="20"/>
  <c r="F212" i="20"/>
  <c r="F209" i="20"/>
  <c r="W78" i="20"/>
  <c r="F211" i="20"/>
  <c r="J465" i="20"/>
  <c r="X171" i="20" s="1"/>
  <c r="K465" i="20"/>
  <c r="X170" i="20"/>
  <c r="P465" i="20"/>
  <c r="K115" i="20"/>
  <c r="P115" i="20" s="1"/>
  <c r="J115" i="20"/>
  <c r="V51" i="20" s="1"/>
  <c r="V50" i="20"/>
  <c r="I84" i="20"/>
  <c r="V276" i="20"/>
  <c r="V277" i="20" s="1"/>
  <c r="E265" i="20"/>
  <c r="E67" i="20"/>
  <c r="E64" i="20"/>
  <c r="V28" i="20"/>
  <c r="E66" i="20"/>
  <c r="AP109" i="20"/>
  <c r="AP117" i="20" s="1"/>
  <c r="AP101" i="20"/>
  <c r="T241" i="20"/>
  <c r="K552" i="20"/>
  <c r="J552" i="20"/>
  <c r="X201" i="20" s="1"/>
  <c r="X200" i="20"/>
  <c r="P552" i="20"/>
  <c r="V106" i="20"/>
  <c r="V114" i="20" s="1"/>
  <c r="V240" i="20" s="1"/>
  <c r="E294" i="20"/>
  <c r="K403" i="20"/>
  <c r="P403" i="20" s="1"/>
  <c r="J403" i="20"/>
  <c r="T151" i="20" s="1"/>
  <c r="T150" i="20"/>
  <c r="G236" i="20"/>
  <c r="G470" i="20"/>
  <c r="G473" i="20"/>
  <c r="X168" i="20"/>
  <c r="G472" i="20"/>
  <c r="H495" i="20"/>
  <c r="I496" i="20" s="1"/>
  <c r="AE32" i="20" s="1"/>
  <c r="T26" i="20"/>
  <c r="T34" i="20" s="1"/>
  <c r="C62" i="20"/>
  <c r="F35" i="20"/>
  <c r="W18" i="20"/>
  <c r="F38" i="20"/>
  <c r="F37" i="20"/>
  <c r="E183" i="20"/>
  <c r="E180" i="20"/>
  <c r="V68" i="20"/>
  <c r="V186" i="20"/>
  <c r="V194" i="20" s="1"/>
  <c r="V248" i="20" s="1"/>
  <c r="E526" i="20"/>
  <c r="T168" i="20"/>
  <c r="C472" i="20"/>
  <c r="I145" i="20"/>
  <c r="F153" i="20" s="1"/>
  <c r="V176" i="20"/>
  <c r="V184" i="20" s="1"/>
  <c r="V247" i="20" s="1"/>
  <c r="E497" i="20"/>
  <c r="D183" i="20"/>
  <c r="D179" i="20" s="1"/>
  <c r="U69" i="20" s="1"/>
  <c r="G212" i="20"/>
  <c r="G209" i="20"/>
  <c r="X78" i="20"/>
  <c r="G211" i="20"/>
  <c r="G208" i="20" s="1"/>
  <c r="X79" i="20" s="1"/>
  <c r="I490" i="20"/>
  <c r="C323" i="20"/>
  <c r="H31" i="20"/>
  <c r="I32" i="20" s="1"/>
  <c r="AE16" i="20" s="1"/>
  <c r="E241" i="20"/>
  <c r="E238" i="20"/>
  <c r="V88" i="20"/>
  <c r="E240" i="20"/>
  <c r="K377" i="20"/>
  <c r="J377" i="20"/>
  <c r="W141" i="20" s="1"/>
  <c r="W140" i="20"/>
  <c r="P377" i="20"/>
  <c r="K114" i="20"/>
  <c r="P114" i="20" s="1"/>
  <c r="J114" i="20"/>
  <c r="U51" i="20" s="1"/>
  <c r="U50" i="20"/>
  <c r="D149" i="20"/>
  <c r="U106" i="20"/>
  <c r="U114" i="20" s="1"/>
  <c r="U240" i="20" s="1"/>
  <c r="D294" i="20"/>
  <c r="K287" i="20"/>
  <c r="P287" i="20" s="1"/>
  <c r="J287" i="20"/>
  <c r="T111" i="20" s="1"/>
  <c r="T110" i="20"/>
  <c r="T228" i="20"/>
  <c r="W24" i="20"/>
  <c r="W36" i="20"/>
  <c r="W44" i="20" s="1"/>
  <c r="W233" i="20" s="1"/>
  <c r="F91" i="20"/>
  <c r="K203" i="20"/>
  <c r="P203" i="20" s="1"/>
  <c r="J203" i="20"/>
  <c r="W81" i="20" s="1"/>
  <c r="W80" i="20"/>
  <c r="E122" i="20"/>
  <c r="V48" i="20"/>
  <c r="E125" i="20"/>
  <c r="E124" i="20"/>
  <c r="U126" i="20"/>
  <c r="U134" i="20" s="1"/>
  <c r="U242" i="20" s="1"/>
  <c r="D352" i="20"/>
  <c r="T46" i="20"/>
  <c r="T54" i="20" s="1"/>
  <c r="C120" i="20"/>
  <c r="J461" i="20"/>
  <c r="T171" i="20" s="1"/>
  <c r="K461" i="20"/>
  <c r="P461" i="20" s="1"/>
  <c r="T170" i="20"/>
  <c r="I173" i="20"/>
  <c r="E182" i="20" s="1"/>
  <c r="W178" i="20"/>
  <c r="X176" i="20"/>
  <c r="X184" i="20" s="1"/>
  <c r="X247" i="20" s="1"/>
  <c r="G497" i="20"/>
  <c r="V166" i="20"/>
  <c r="V174" i="20" s="1"/>
  <c r="E468" i="20"/>
  <c r="J204" i="20"/>
  <c r="X81" i="20" s="1"/>
  <c r="K204" i="20"/>
  <c r="P204" i="20" s="1"/>
  <c r="X80" i="20"/>
  <c r="T247" i="20"/>
  <c r="U86" i="20"/>
  <c r="U94" i="20" s="1"/>
  <c r="U238" i="20" s="1"/>
  <c r="D236" i="20"/>
  <c r="F120" i="20"/>
  <c r="F383" i="20"/>
  <c r="F386" i="20"/>
  <c r="F385" i="20"/>
  <c r="W138" i="20"/>
  <c r="D120" i="20"/>
  <c r="K143" i="20"/>
  <c r="J143" i="20"/>
  <c r="U61" i="20" s="1"/>
  <c r="U60" i="20"/>
  <c r="P143" i="20"/>
  <c r="H118" i="20"/>
  <c r="I119" i="20" s="1"/>
  <c r="AE19" i="20" s="1"/>
  <c r="D443" i="20"/>
  <c r="D441" i="20"/>
  <c r="D444" i="20"/>
  <c r="U158" i="20"/>
  <c r="H292" i="20"/>
  <c r="I293" i="20" s="1"/>
  <c r="AE25" i="20" s="1"/>
  <c r="T220" i="20"/>
  <c r="G383" i="20"/>
  <c r="G386" i="20"/>
  <c r="X138" i="20"/>
  <c r="G385" i="20"/>
  <c r="U228" i="20"/>
  <c r="D531" i="20"/>
  <c r="U188" i="20"/>
  <c r="K493" i="20"/>
  <c r="P493" i="20" s="1"/>
  <c r="J493" i="20"/>
  <c r="W181" i="20" s="1"/>
  <c r="W180" i="20"/>
  <c r="D410" i="20"/>
  <c r="U76" i="20"/>
  <c r="U84" i="20" s="1"/>
  <c r="U237" i="20" s="1"/>
  <c r="D207" i="20"/>
  <c r="T206" i="20"/>
  <c r="T214" i="20" s="1"/>
  <c r="C584" i="20"/>
  <c r="K116" i="20"/>
  <c r="P116" i="20" s="1"/>
  <c r="J116" i="20"/>
  <c r="W51" i="20" s="1"/>
  <c r="W50" i="20"/>
  <c r="AO101" i="20"/>
  <c r="J581" i="20"/>
  <c r="X211" i="20" s="1"/>
  <c r="K581" i="20"/>
  <c r="P581" i="20" s="1"/>
  <c r="X210" i="20"/>
  <c r="J85" i="20"/>
  <c r="U41" i="20" s="1"/>
  <c r="U40" i="20"/>
  <c r="K85" i="20"/>
  <c r="P85" i="20" s="1"/>
  <c r="E154" i="20"/>
  <c r="E151" i="20"/>
  <c r="V58" i="20"/>
  <c r="E153" i="20"/>
  <c r="T276" i="20"/>
  <c r="T277" i="20" s="1"/>
  <c r="U220" i="20"/>
  <c r="F151" i="20"/>
  <c r="W58" i="20"/>
  <c r="K260" i="20"/>
  <c r="P260" i="20" s="1"/>
  <c r="J260" i="20"/>
  <c r="V101" i="20" s="1"/>
  <c r="V100" i="20"/>
  <c r="K57" i="20"/>
  <c r="P57" i="20"/>
  <c r="J57" i="20"/>
  <c r="V31" i="20" s="1"/>
  <c r="V30" i="20"/>
  <c r="E357" i="20"/>
  <c r="E354" i="20"/>
  <c r="V128" i="20"/>
  <c r="G154" i="20"/>
  <c r="G151" i="20"/>
  <c r="X58" i="20"/>
  <c r="G153" i="20"/>
  <c r="D584" i="20"/>
  <c r="T86" i="20"/>
  <c r="T94" i="20" s="1"/>
  <c r="C236" i="20"/>
  <c r="H205" i="20"/>
  <c r="I206" i="20" s="1"/>
  <c r="AE22" i="20" s="1"/>
  <c r="H379" i="20"/>
  <c r="I380" i="20" s="1"/>
  <c r="AE28" i="20" s="1"/>
  <c r="C497" i="20"/>
  <c r="T56" i="20"/>
  <c r="T64" i="20" s="1"/>
  <c r="C149" i="20"/>
  <c r="E584" i="20"/>
  <c r="T16" i="20"/>
  <c r="C33" i="20"/>
  <c r="G584" i="20"/>
  <c r="AM109" i="20"/>
  <c r="AM117" i="20" s="1"/>
  <c r="AM101" i="20"/>
  <c r="D91" i="20"/>
  <c r="E555" i="20"/>
  <c r="C294" i="20"/>
  <c r="E91" i="20"/>
  <c r="E35" i="20"/>
  <c r="V18" i="20"/>
  <c r="E38" i="20"/>
  <c r="E37" i="20"/>
  <c r="U276" i="20"/>
  <c r="U277" i="20" s="1"/>
  <c r="AN97" i="18"/>
  <c r="AM97" i="18"/>
  <c r="AP97" i="18"/>
  <c r="AO97" i="18"/>
  <c r="C581" i="18"/>
  <c r="D464" i="18"/>
  <c r="C435" i="18"/>
  <c r="H406" i="18"/>
  <c r="I406" i="18" s="1"/>
  <c r="J406" i="18" s="1"/>
  <c r="W151" i="18" s="1"/>
  <c r="H405" i="18"/>
  <c r="D375" i="18"/>
  <c r="G378" i="18"/>
  <c r="E375" i="18"/>
  <c r="O350" i="18"/>
  <c r="F346" i="18"/>
  <c r="C346" i="18"/>
  <c r="C347" i="18"/>
  <c r="H347" i="18" s="1"/>
  <c r="I347" i="18" s="1"/>
  <c r="V130" i="18" s="1"/>
  <c r="G349" i="18"/>
  <c r="C349" i="18"/>
  <c r="D346" i="18"/>
  <c r="E346" i="18"/>
  <c r="H346" i="18" s="1"/>
  <c r="I346" i="18" s="1"/>
  <c r="F349" i="18"/>
  <c r="E349" i="18"/>
  <c r="H260" i="18"/>
  <c r="I260" i="18" s="1"/>
  <c r="O234" i="18"/>
  <c r="E116" i="18"/>
  <c r="F116" i="18"/>
  <c r="H116" i="18"/>
  <c r="F56" i="18"/>
  <c r="H56" i="18" s="1"/>
  <c r="I56" i="18" s="1"/>
  <c r="C8" i="18"/>
  <c r="AO96" i="17"/>
  <c r="F523" i="17"/>
  <c r="H523" i="17" s="1"/>
  <c r="I523" i="17" s="1"/>
  <c r="E523" i="17"/>
  <c r="E461" i="17"/>
  <c r="G432" i="17"/>
  <c r="F435" i="17"/>
  <c r="E434" i="17"/>
  <c r="H432" i="17"/>
  <c r="G404" i="17"/>
  <c r="G374" i="17"/>
  <c r="G379" i="17" s="1"/>
  <c r="X136" i="17" s="1"/>
  <c r="X144" i="17" s="1"/>
  <c r="X243" i="17" s="1"/>
  <c r="C374" i="17"/>
  <c r="C347" i="17"/>
  <c r="H347" i="17" s="1"/>
  <c r="I347" i="17" s="1"/>
  <c r="E347" i="17"/>
  <c r="G347" i="17"/>
  <c r="D347" i="17"/>
  <c r="G316" i="17"/>
  <c r="C320" i="17"/>
  <c r="D316" i="17"/>
  <c r="H316" i="17" s="1"/>
  <c r="I316" i="17" s="1"/>
  <c r="D290" i="17"/>
  <c r="G289" i="17"/>
  <c r="E289" i="17"/>
  <c r="C288" i="17"/>
  <c r="H288" i="17" s="1"/>
  <c r="I288" i="17" s="1"/>
  <c r="C289" i="17"/>
  <c r="D288" i="17"/>
  <c r="E288" i="17"/>
  <c r="G288" i="17"/>
  <c r="O292" i="17"/>
  <c r="C264" i="17"/>
  <c r="T97" i="17" s="1"/>
  <c r="T105" i="17" s="1"/>
  <c r="E263" i="17"/>
  <c r="V96" i="17" s="1"/>
  <c r="V104" i="17" s="1"/>
  <c r="V239" i="17" s="1"/>
  <c r="C261" i="17"/>
  <c r="G264" i="17"/>
  <c r="X97" i="17" s="1"/>
  <c r="X105" i="17" s="1"/>
  <c r="F261" i="17"/>
  <c r="F263" i="17"/>
  <c r="W96" i="17" s="1"/>
  <c r="W104" i="17" s="1"/>
  <c r="W239" i="17" s="1"/>
  <c r="O263" i="17"/>
  <c r="H260" i="17"/>
  <c r="H259" i="17"/>
  <c r="I259" i="17" s="1"/>
  <c r="F175" i="17"/>
  <c r="C172" i="17"/>
  <c r="H172" i="17" s="1"/>
  <c r="I172" i="17" s="1"/>
  <c r="D172" i="17"/>
  <c r="E172" i="17"/>
  <c r="G175" i="17"/>
  <c r="I175" i="17" s="1"/>
  <c r="D146" i="17"/>
  <c r="H57" i="17"/>
  <c r="I57" i="17" s="1"/>
  <c r="V30" i="17" s="1"/>
  <c r="C55" i="17"/>
  <c r="H55" i="17"/>
  <c r="G26" i="17"/>
  <c r="F316" i="17"/>
  <c r="C316" i="17"/>
  <c r="C349" i="17"/>
  <c r="H349" i="17" s="1"/>
  <c r="I349" i="17" s="1"/>
  <c r="X130" i="17" s="1"/>
  <c r="C404" i="17"/>
  <c r="H404" i="17" s="1"/>
  <c r="I404" i="17" s="1"/>
  <c r="D376" i="17"/>
  <c r="D174" i="17"/>
  <c r="H174" i="17" s="1"/>
  <c r="I174" i="17" s="1"/>
  <c r="H175" i="17"/>
  <c r="D26" i="17"/>
  <c r="N162" i="17"/>
  <c r="V72" i="17" s="1"/>
  <c r="D320" i="17"/>
  <c r="H320" i="17" s="1"/>
  <c r="I320" i="17" s="1"/>
  <c r="F376" i="17"/>
  <c r="F174" i="17"/>
  <c r="N74" i="17"/>
  <c r="U42" i="17" s="1"/>
  <c r="G376" i="17"/>
  <c r="H117" i="17"/>
  <c r="I117" i="17" s="1"/>
  <c r="E462" i="17"/>
  <c r="E320" i="17"/>
  <c r="H405" i="17"/>
  <c r="N336" i="17"/>
  <c r="V132" i="17" s="1"/>
  <c r="D461" i="17"/>
  <c r="D435" i="17"/>
  <c r="E290" i="17"/>
  <c r="N221" i="17"/>
  <c r="W92" i="17" s="1"/>
  <c r="N46" i="17"/>
  <c r="V32" i="17" s="1"/>
  <c r="H434" i="17"/>
  <c r="F462" i="17"/>
  <c r="F467" i="17" s="1"/>
  <c r="W167" i="17" s="1"/>
  <c r="W175" i="17" s="1"/>
  <c r="D406" i="17"/>
  <c r="N308" i="17"/>
  <c r="W122" i="17" s="1"/>
  <c r="H56" i="17"/>
  <c r="I56" i="17" s="1"/>
  <c r="N44" i="17"/>
  <c r="T32" i="17" s="1"/>
  <c r="J44" i="17"/>
  <c r="N540" i="17"/>
  <c r="W202" i="17" s="1"/>
  <c r="H146" i="17"/>
  <c r="I146" i="17" s="1"/>
  <c r="C8" i="17"/>
  <c r="O379" i="17"/>
  <c r="AP90" i="17"/>
  <c r="BI263" i="17"/>
  <c r="N191" i="17"/>
  <c r="V82" i="17" s="1"/>
  <c r="E196" i="17"/>
  <c r="N102" i="17"/>
  <c r="T52" i="17" s="1"/>
  <c r="F196" i="18"/>
  <c r="N192" i="18"/>
  <c r="W82" i="18" s="1"/>
  <c r="E581" i="18"/>
  <c r="N277" i="18"/>
  <c r="U112" i="18" s="1"/>
  <c r="C464" i="18"/>
  <c r="G491" i="18"/>
  <c r="D173" i="18"/>
  <c r="N104" i="18"/>
  <c r="V52" i="18" s="1"/>
  <c r="D30" i="18"/>
  <c r="C29" i="18"/>
  <c r="H29" i="18" s="1"/>
  <c r="I29" i="18" s="1"/>
  <c r="F581" i="18"/>
  <c r="H550" i="18"/>
  <c r="I550" i="18" s="1"/>
  <c r="V200" i="18" s="1"/>
  <c r="F435" i="18"/>
  <c r="G486" i="18"/>
  <c r="F404" i="18"/>
  <c r="D404" i="18"/>
  <c r="D378" i="18"/>
  <c r="N510" i="18"/>
  <c r="V192" i="18" s="1"/>
  <c r="G435" i="18"/>
  <c r="N509" i="18"/>
  <c r="U192" i="18" s="1"/>
  <c r="C378" i="18"/>
  <c r="H114" i="18"/>
  <c r="I114" i="18" s="1"/>
  <c r="K114" i="18" s="1"/>
  <c r="D114" i="18"/>
  <c r="E114" i="18"/>
  <c r="C521" i="18"/>
  <c r="F522" i="18"/>
  <c r="G29" i="18"/>
  <c r="N75" i="18"/>
  <c r="V42" i="18" s="1"/>
  <c r="G522" i="18"/>
  <c r="N222" i="18"/>
  <c r="X92" i="18" s="1"/>
  <c r="C522" i="18"/>
  <c r="H522" i="18" s="1"/>
  <c r="I522" i="18" s="1"/>
  <c r="E29" i="18"/>
  <c r="J106" i="18"/>
  <c r="N106" i="18"/>
  <c r="X52" i="18" s="1"/>
  <c r="D522" i="18"/>
  <c r="H320" i="18"/>
  <c r="I320" i="18" s="1"/>
  <c r="K320" i="18" s="1"/>
  <c r="P320" i="18" s="1"/>
  <c r="N162" i="18"/>
  <c r="V72" i="18" s="1"/>
  <c r="F434" i="18"/>
  <c r="C27" i="18"/>
  <c r="D581" i="18"/>
  <c r="F464" i="18"/>
  <c r="E435" i="18"/>
  <c r="D435" i="18"/>
  <c r="H435" i="18" s="1"/>
  <c r="I435" i="18" s="1"/>
  <c r="N308" i="18"/>
  <c r="W122" i="18" s="1"/>
  <c r="D27" i="18"/>
  <c r="J76" i="18"/>
  <c r="J320" i="18"/>
  <c r="X121" i="18" s="1"/>
  <c r="X120" i="18"/>
  <c r="K406" i="18"/>
  <c r="P406" i="18"/>
  <c r="J550" i="18"/>
  <c r="V201" i="18" s="1"/>
  <c r="K550" i="18"/>
  <c r="O437" i="18"/>
  <c r="BJ163" i="18"/>
  <c r="BI64" i="18"/>
  <c r="H580" i="18"/>
  <c r="I580" i="18" s="1"/>
  <c r="E573" i="18"/>
  <c r="N568" i="18"/>
  <c r="V212" i="18" s="1"/>
  <c r="N396" i="18"/>
  <c r="X152" i="18" s="1"/>
  <c r="J396" i="18"/>
  <c r="G287" i="18"/>
  <c r="F287" i="18"/>
  <c r="E287" i="18"/>
  <c r="D287" i="18"/>
  <c r="C287" i="18"/>
  <c r="G461" i="18"/>
  <c r="E461" i="18"/>
  <c r="D461" i="18"/>
  <c r="C461" i="18"/>
  <c r="F461" i="18"/>
  <c r="O263" i="18"/>
  <c r="H491" i="18"/>
  <c r="I491" i="18" s="1"/>
  <c r="N508" i="18"/>
  <c r="T192" i="18" s="1"/>
  <c r="J365" i="18"/>
  <c r="N365" i="18"/>
  <c r="V142" i="18" s="1"/>
  <c r="H436" i="18"/>
  <c r="N538" i="18"/>
  <c r="U202" i="18" s="1"/>
  <c r="D544" i="18"/>
  <c r="O176" i="18"/>
  <c r="G493" i="18"/>
  <c r="F493" i="18"/>
  <c r="H493" i="18" s="1"/>
  <c r="E493" i="18"/>
  <c r="C196" i="18"/>
  <c r="N189" i="18"/>
  <c r="T82" i="18" s="1"/>
  <c r="O60" i="18"/>
  <c r="BJ162" i="18"/>
  <c r="BI65" i="18"/>
  <c r="BJ65" i="18" s="1"/>
  <c r="H86" i="18"/>
  <c r="I86" i="18" s="1"/>
  <c r="O31" i="18"/>
  <c r="O582" i="18"/>
  <c r="G312" i="18"/>
  <c r="N309" i="18"/>
  <c r="X122" i="18" s="1"/>
  <c r="N567" i="18"/>
  <c r="U212" i="18" s="1"/>
  <c r="D573" i="18"/>
  <c r="N450" i="18"/>
  <c r="T172" i="18" s="1"/>
  <c r="C457" i="18"/>
  <c r="C577" i="18"/>
  <c r="C345" i="18"/>
  <c r="D345" i="18"/>
  <c r="G345" i="18"/>
  <c r="F345" i="18"/>
  <c r="E345" i="18"/>
  <c r="H146" i="18"/>
  <c r="I146" i="18" s="1"/>
  <c r="G174" i="18"/>
  <c r="F174" i="18"/>
  <c r="E174" i="18"/>
  <c r="D174" i="18"/>
  <c r="C174" i="18"/>
  <c r="AO90" i="18"/>
  <c r="AW86" i="18"/>
  <c r="AO115" i="18" s="1"/>
  <c r="G26" i="18"/>
  <c r="F26" i="18"/>
  <c r="E26" i="18"/>
  <c r="C26" i="18"/>
  <c r="D26" i="18"/>
  <c r="N103" i="18"/>
  <c r="U52" i="18" s="1"/>
  <c r="D109" i="18"/>
  <c r="N46" i="18"/>
  <c r="V32" i="18" s="1"/>
  <c r="N18" i="18"/>
  <c r="W22" i="18" s="1"/>
  <c r="F22" i="18"/>
  <c r="I88" i="18"/>
  <c r="N479" i="18"/>
  <c r="T182" i="18" s="1"/>
  <c r="C486" i="18"/>
  <c r="G492" i="18"/>
  <c r="E492" i="18"/>
  <c r="D492" i="18"/>
  <c r="F492" i="18"/>
  <c r="E577" i="18"/>
  <c r="N392" i="18"/>
  <c r="T152" i="18" s="1"/>
  <c r="D520" i="18"/>
  <c r="G289" i="18"/>
  <c r="F289" i="18"/>
  <c r="E289" i="18"/>
  <c r="D289" i="18"/>
  <c r="C289" i="18"/>
  <c r="F230" i="18"/>
  <c r="G370" i="18"/>
  <c r="N367" i="18"/>
  <c r="X142" i="18" s="1"/>
  <c r="G317" i="18"/>
  <c r="F317" i="18"/>
  <c r="E317" i="18"/>
  <c r="D317" i="18"/>
  <c r="C317" i="18"/>
  <c r="C434" i="18"/>
  <c r="G143" i="18"/>
  <c r="G148" i="18" s="1"/>
  <c r="X57" i="18" s="1"/>
  <c r="X65" i="18" s="1"/>
  <c r="F143" i="18"/>
  <c r="F148" i="18" s="1"/>
  <c r="W57" i="18" s="1"/>
  <c r="W65" i="18" s="1"/>
  <c r="E143" i="18"/>
  <c r="E148" i="18" s="1"/>
  <c r="V57" i="18" s="1"/>
  <c r="V65" i="18" s="1"/>
  <c r="D143" i="18"/>
  <c r="D148" i="18" s="1"/>
  <c r="U57" i="18" s="1"/>
  <c r="U65" i="18" s="1"/>
  <c r="C143" i="18"/>
  <c r="N221" i="18"/>
  <c r="W92" i="18" s="1"/>
  <c r="F225" i="18"/>
  <c r="G85" i="18"/>
  <c r="F85" i="18"/>
  <c r="E85" i="18"/>
  <c r="D85" i="18"/>
  <c r="C85" i="18"/>
  <c r="I116" i="18"/>
  <c r="G57" i="18"/>
  <c r="F57" i="18"/>
  <c r="E57" i="18"/>
  <c r="D57" i="18"/>
  <c r="C57" i="18"/>
  <c r="O118" i="18"/>
  <c r="N540" i="18"/>
  <c r="W202" i="18" s="1"/>
  <c r="F544" i="18"/>
  <c r="N482" i="18"/>
  <c r="W182" i="18" s="1"/>
  <c r="O553" i="18"/>
  <c r="G318" i="18"/>
  <c r="E318" i="18"/>
  <c r="D318" i="18"/>
  <c r="C318" i="18"/>
  <c r="F318" i="18"/>
  <c r="D377" i="18"/>
  <c r="C377" i="18"/>
  <c r="G377" i="18"/>
  <c r="E377" i="18"/>
  <c r="F377" i="18"/>
  <c r="G581" i="18"/>
  <c r="N336" i="18"/>
  <c r="V132" i="18" s="1"/>
  <c r="I405" i="18"/>
  <c r="E494" i="18"/>
  <c r="D494" i="18"/>
  <c r="C494" i="18"/>
  <c r="G494" i="18"/>
  <c r="F494" i="18"/>
  <c r="F520" i="18"/>
  <c r="C428" i="18"/>
  <c r="N421" i="18"/>
  <c r="T162" i="18" s="1"/>
  <c r="E464" i="18"/>
  <c r="H464" i="18" s="1"/>
  <c r="I464" i="18" s="1"/>
  <c r="G233" i="18"/>
  <c r="C233" i="18"/>
  <c r="N251" i="18"/>
  <c r="X102" i="18" s="1"/>
  <c r="E434" i="18"/>
  <c r="F496" i="18"/>
  <c r="W177" i="18" s="1"/>
  <c r="W185" i="18" s="1"/>
  <c r="O495" i="18"/>
  <c r="N105" i="18"/>
  <c r="W52" i="18" s="1"/>
  <c r="F109" i="18"/>
  <c r="N44" i="18"/>
  <c r="T32" i="18" s="1"/>
  <c r="C51" i="18"/>
  <c r="BJ58" i="18"/>
  <c r="BI39" i="18"/>
  <c r="AN96" i="18"/>
  <c r="N74" i="18"/>
  <c r="U42" i="18" s="1"/>
  <c r="D80" i="18"/>
  <c r="G261" i="18"/>
  <c r="F261" i="18"/>
  <c r="E261" i="18"/>
  <c r="D261" i="18"/>
  <c r="C261" i="18"/>
  <c r="F374" i="18"/>
  <c r="H374" i="18" s="1"/>
  <c r="I374" i="18" s="1"/>
  <c r="O379" i="18"/>
  <c r="E374" i="18"/>
  <c r="F288" i="18"/>
  <c r="E288" i="18"/>
  <c r="C288" i="18"/>
  <c r="D288" i="18"/>
  <c r="G288" i="18"/>
  <c r="H144" i="18"/>
  <c r="I144" i="18" s="1"/>
  <c r="C30" i="18"/>
  <c r="N541" i="18"/>
  <c r="X202" i="18" s="1"/>
  <c r="E544" i="18"/>
  <c r="N539" i="18"/>
  <c r="V202" i="18" s="1"/>
  <c r="O321" i="18"/>
  <c r="G374" i="18"/>
  <c r="J307" i="18"/>
  <c r="N307" i="18"/>
  <c r="V122" i="18" s="1"/>
  <c r="G579" i="18"/>
  <c r="F579" i="18"/>
  <c r="D579" i="18"/>
  <c r="G490" i="18"/>
  <c r="E490" i="18"/>
  <c r="D490" i="18"/>
  <c r="C490" i="18"/>
  <c r="F490" i="18"/>
  <c r="D551" i="18"/>
  <c r="C551" i="18"/>
  <c r="G551" i="18"/>
  <c r="F551" i="18"/>
  <c r="E551" i="18"/>
  <c r="F463" i="18"/>
  <c r="F316" i="18"/>
  <c r="F254" i="18"/>
  <c r="N250" i="18"/>
  <c r="W102" i="18" s="1"/>
  <c r="H348" i="18"/>
  <c r="I348" i="18" s="1"/>
  <c r="D434" i="18"/>
  <c r="E319" i="18"/>
  <c r="E316" i="18"/>
  <c r="D115" i="18"/>
  <c r="C115" i="18"/>
  <c r="G115" i="18"/>
  <c r="F115" i="18"/>
  <c r="E115" i="18"/>
  <c r="F113" i="18"/>
  <c r="G113" i="18"/>
  <c r="E113" i="18"/>
  <c r="C113" i="18"/>
  <c r="D113" i="18"/>
  <c r="J73" i="18"/>
  <c r="N73" i="18"/>
  <c r="T42" i="18" s="1"/>
  <c r="J17" i="18"/>
  <c r="N17" i="18"/>
  <c r="V22" i="18" s="1"/>
  <c r="E55" i="18"/>
  <c r="D55" i="18"/>
  <c r="D60" i="18" s="1"/>
  <c r="U26" i="18" s="1"/>
  <c r="U34" i="18" s="1"/>
  <c r="U232" i="18" s="1"/>
  <c r="C55" i="18"/>
  <c r="F55" i="18"/>
  <c r="G55" i="18"/>
  <c r="AL96" i="18"/>
  <c r="AW84" i="18"/>
  <c r="AM115" i="18" s="1"/>
  <c r="AS84" i="18"/>
  <c r="BL65" i="18"/>
  <c r="H58" i="18"/>
  <c r="I58" i="18" s="1"/>
  <c r="N422" i="18"/>
  <c r="U162" i="18" s="1"/>
  <c r="J422" i="18"/>
  <c r="F432" i="18"/>
  <c r="F438" i="18" s="1"/>
  <c r="W157" i="18" s="1"/>
  <c r="W165" i="18" s="1"/>
  <c r="G432" i="18"/>
  <c r="D432" i="18"/>
  <c r="C432" i="18"/>
  <c r="E432" i="18"/>
  <c r="D374" i="18"/>
  <c r="E283" i="18"/>
  <c r="N278" i="18"/>
  <c r="V112" i="18" s="1"/>
  <c r="F462" i="18"/>
  <c r="D462" i="18"/>
  <c r="D467" i="18" s="1"/>
  <c r="U167" i="18" s="1"/>
  <c r="U175" i="18" s="1"/>
  <c r="C462" i="18"/>
  <c r="G462" i="18"/>
  <c r="E462" i="18"/>
  <c r="C525" i="18"/>
  <c r="T187" i="18" s="1"/>
  <c r="T195" i="18" s="1"/>
  <c r="O524" i="18"/>
  <c r="C316" i="18"/>
  <c r="G231" i="18"/>
  <c r="F231" i="18"/>
  <c r="E231" i="18"/>
  <c r="D231" i="18"/>
  <c r="C231" i="18"/>
  <c r="E171" i="18"/>
  <c r="D171" i="18"/>
  <c r="D177" i="18" s="1"/>
  <c r="U67" i="18" s="1"/>
  <c r="U75" i="18" s="1"/>
  <c r="C171" i="18"/>
  <c r="G171" i="18"/>
  <c r="F171" i="18"/>
  <c r="F177" i="18" s="1"/>
  <c r="W67" i="18" s="1"/>
  <c r="W75" i="18" s="1"/>
  <c r="F201" i="18"/>
  <c r="E201" i="18"/>
  <c r="D201" i="18"/>
  <c r="C201" i="18"/>
  <c r="G201" i="18"/>
  <c r="G206" i="18" s="1"/>
  <c r="X77" i="18" s="1"/>
  <c r="X85" i="18" s="1"/>
  <c r="AX99" i="18"/>
  <c r="F27" i="18"/>
  <c r="G27" i="18"/>
  <c r="AO96" i="18"/>
  <c r="C117" i="18"/>
  <c r="AW83" i="18"/>
  <c r="AL115" i="18" s="1"/>
  <c r="AS83" i="18"/>
  <c r="N45" i="18"/>
  <c r="U32" i="18" s="1"/>
  <c r="H142" i="18"/>
  <c r="AP95" i="18"/>
  <c r="AL95" i="18"/>
  <c r="AN95" i="18"/>
  <c r="AM95" i="18"/>
  <c r="AO95" i="18"/>
  <c r="H548" i="18"/>
  <c r="F232" i="18"/>
  <c r="E232" i="18"/>
  <c r="D232" i="18"/>
  <c r="G232" i="18"/>
  <c r="C232" i="18"/>
  <c r="D204" i="18"/>
  <c r="C204" i="18"/>
  <c r="J15" i="18"/>
  <c r="N15" i="18"/>
  <c r="T22" i="18" s="1"/>
  <c r="D147" i="18"/>
  <c r="U56" i="18" s="1"/>
  <c r="U64" i="18" s="1"/>
  <c r="U235" i="18" s="1"/>
  <c r="N511" i="18"/>
  <c r="W192" i="18" s="1"/>
  <c r="J511" i="18"/>
  <c r="F573" i="18"/>
  <c r="N569" i="18"/>
  <c r="W212" i="18" s="1"/>
  <c r="E578" i="18"/>
  <c r="C578" i="18"/>
  <c r="F578" i="18"/>
  <c r="D578" i="18"/>
  <c r="G578" i="18"/>
  <c r="J512" i="18"/>
  <c r="N512" i="18"/>
  <c r="X192" i="18" s="1"/>
  <c r="G520" i="18"/>
  <c r="G433" i="18"/>
  <c r="C433" i="18"/>
  <c r="F433" i="18"/>
  <c r="E433" i="18"/>
  <c r="D433" i="18"/>
  <c r="F319" i="18"/>
  <c r="O466" i="18"/>
  <c r="G259" i="18"/>
  <c r="F259" i="18"/>
  <c r="E259" i="18"/>
  <c r="D259" i="18"/>
  <c r="C259" i="18"/>
  <c r="D316" i="18"/>
  <c r="G203" i="18"/>
  <c r="F203" i="18"/>
  <c r="D203" i="18"/>
  <c r="E203" i="18"/>
  <c r="C203" i="18"/>
  <c r="G202" i="18"/>
  <c r="F202" i="18"/>
  <c r="E202" i="18"/>
  <c r="D202" i="18"/>
  <c r="D205" i="18" s="1"/>
  <c r="U76" i="18" s="1"/>
  <c r="U84" i="18" s="1"/>
  <c r="U237" i="18" s="1"/>
  <c r="C202" i="18"/>
  <c r="F204" i="18"/>
  <c r="C167" i="18"/>
  <c r="N160" i="18"/>
  <c r="T72" i="18" s="1"/>
  <c r="C230" i="18"/>
  <c r="N191" i="18"/>
  <c r="V82" i="18" s="1"/>
  <c r="E205" i="18"/>
  <c r="V76" i="18" s="1"/>
  <c r="V84" i="18" s="1"/>
  <c r="V237" i="18" s="1"/>
  <c r="AP98" i="18"/>
  <c r="AO98" i="18"/>
  <c r="AN98" i="18"/>
  <c r="AM98" i="18"/>
  <c r="AL98" i="18"/>
  <c r="AP96" i="18"/>
  <c r="D117" i="18"/>
  <c r="G59" i="18"/>
  <c r="F59" i="18"/>
  <c r="E59" i="18"/>
  <c r="D59" i="18"/>
  <c r="C59" i="18"/>
  <c r="H200" i="18"/>
  <c r="F403" i="18"/>
  <c r="E403" i="18"/>
  <c r="D403" i="18"/>
  <c r="G403" i="18"/>
  <c r="C403" i="18"/>
  <c r="D549" i="18"/>
  <c r="F549" i="18"/>
  <c r="G549" i="18"/>
  <c r="E549" i="18"/>
  <c r="C549" i="18"/>
  <c r="G291" i="18"/>
  <c r="F291" i="18"/>
  <c r="D291" i="18"/>
  <c r="C291" i="18"/>
  <c r="E291" i="18"/>
  <c r="E519" i="18"/>
  <c r="D519" i="18"/>
  <c r="C519" i="18"/>
  <c r="G519" i="18"/>
  <c r="F519" i="18"/>
  <c r="G521" i="18"/>
  <c r="F521" i="18"/>
  <c r="E521" i="18"/>
  <c r="G319" i="18"/>
  <c r="G262" i="18"/>
  <c r="J193" i="18"/>
  <c r="N193" i="18"/>
  <c r="X82" i="18" s="1"/>
  <c r="O205" i="18"/>
  <c r="G204" i="18"/>
  <c r="D230" i="18"/>
  <c r="N163" i="18"/>
  <c r="W72" i="18" s="1"/>
  <c r="J48" i="18"/>
  <c r="N48" i="18"/>
  <c r="X32" i="18" s="1"/>
  <c r="N131" i="18"/>
  <c r="T62" i="18" s="1"/>
  <c r="J131" i="18"/>
  <c r="E117" i="18"/>
  <c r="G84" i="18"/>
  <c r="F84" i="18"/>
  <c r="E84" i="18"/>
  <c r="D84" i="18"/>
  <c r="C84" i="18"/>
  <c r="AA287" i="18"/>
  <c r="G28" i="18"/>
  <c r="F28" i="18"/>
  <c r="E28" i="18"/>
  <c r="D28" i="18"/>
  <c r="C28" i="18"/>
  <c r="AW85" i="18"/>
  <c r="AN115" i="18" s="1"/>
  <c r="G30" i="18"/>
  <c r="F30" i="18"/>
  <c r="D552" i="18"/>
  <c r="F552" i="18"/>
  <c r="E552" i="18"/>
  <c r="C552" i="18"/>
  <c r="G552" i="18"/>
  <c r="E520" i="18"/>
  <c r="G283" i="18"/>
  <c r="N280" i="18"/>
  <c r="X112" i="18" s="1"/>
  <c r="N276" i="18"/>
  <c r="T112" i="18" s="1"/>
  <c r="C283" i="18"/>
  <c r="F523" i="18"/>
  <c r="E523" i="18"/>
  <c r="D523" i="18"/>
  <c r="G523" i="18"/>
  <c r="C523" i="18"/>
  <c r="J334" i="18"/>
  <c r="N334" i="18"/>
  <c r="T132" i="18" s="1"/>
  <c r="G375" i="18"/>
  <c r="F375" i="18"/>
  <c r="C319" i="18"/>
  <c r="N425" i="18"/>
  <c r="X162" i="18" s="1"/>
  <c r="I436" i="18"/>
  <c r="N247" i="18"/>
  <c r="T102" i="18" s="1"/>
  <c r="G175" i="18"/>
  <c r="F175" i="18"/>
  <c r="E175" i="18"/>
  <c r="C175" i="18"/>
  <c r="D175" i="18"/>
  <c r="N190" i="18"/>
  <c r="U82" i="18" s="1"/>
  <c r="E230" i="18"/>
  <c r="G172" i="18"/>
  <c r="D138" i="18"/>
  <c r="N132" i="18"/>
  <c r="U62" i="18" s="1"/>
  <c r="H145" i="18"/>
  <c r="I145" i="18" s="1"/>
  <c r="G229" i="18"/>
  <c r="F229" i="18"/>
  <c r="D229" i="18"/>
  <c r="C229" i="18"/>
  <c r="E229" i="18"/>
  <c r="AM94" i="18"/>
  <c r="AL94" i="18"/>
  <c r="AP94" i="18"/>
  <c r="AO94" i="18"/>
  <c r="AN94" i="18"/>
  <c r="N19" i="18"/>
  <c r="X22" i="18" s="1"/>
  <c r="G22" i="18"/>
  <c r="AW87" i="18"/>
  <c r="AP115" i="18" s="1"/>
  <c r="AP90" i="18"/>
  <c r="G117" i="18"/>
  <c r="AA288" i="18"/>
  <c r="BI57" i="18"/>
  <c r="BL40" i="18" s="1"/>
  <c r="E30" i="18"/>
  <c r="AQ97" i="18"/>
  <c r="AR97" i="18" s="1"/>
  <c r="N164" i="18"/>
  <c r="X72" i="18" s="1"/>
  <c r="G167" i="18"/>
  <c r="N566" i="18"/>
  <c r="T212" i="18" s="1"/>
  <c r="D577" i="18"/>
  <c r="C290" i="18"/>
  <c r="G290" i="18"/>
  <c r="E290" i="18"/>
  <c r="F290" i="18"/>
  <c r="D290" i="18"/>
  <c r="C262" i="18"/>
  <c r="H262" i="18" s="1"/>
  <c r="D486" i="18"/>
  <c r="N480" i="18"/>
  <c r="U182" i="18" s="1"/>
  <c r="E465" i="18"/>
  <c r="E467" i="18" s="1"/>
  <c r="V167" i="18" s="1"/>
  <c r="V175" i="18" s="1"/>
  <c r="D465" i="18"/>
  <c r="C465" i="18"/>
  <c r="G465" i="18"/>
  <c r="F465" i="18"/>
  <c r="H407" i="18"/>
  <c r="I407" i="18" s="1"/>
  <c r="D319" i="18"/>
  <c r="G463" i="18"/>
  <c r="G258" i="18"/>
  <c r="F258" i="18"/>
  <c r="E258" i="18"/>
  <c r="D258" i="18"/>
  <c r="C258" i="18"/>
  <c r="D376" i="18"/>
  <c r="C376" i="18"/>
  <c r="G376" i="18"/>
  <c r="F376" i="18"/>
  <c r="E376" i="18"/>
  <c r="F378" i="18"/>
  <c r="F172" i="18"/>
  <c r="H172" i="18" s="1"/>
  <c r="I172" i="18" s="1"/>
  <c r="G230" i="18"/>
  <c r="G173" i="18"/>
  <c r="H173" i="18" s="1"/>
  <c r="I173" i="18" s="1"/>
  <c r="F117" i="18"/>
  <c r="D22" i="18"/>
  <c r="N16" i="18"/>
  <c r="U22" i="18" s="1"/>
  <c r="H87" i="18"/>
  <c r="I87" i="18" s="1"/>
  <c r="AM96" i="18"/>
  <c r="N77" i="18"/>
  <c r="X42" i="18" s="1"/>
  <c r="K552" i="17"/>
  <c r="P552" i="17" s="1"/>
  <c r="J552" i="17"/>
  <c r="X201" i="17" s="1"/>
  <c r="X200" i="17"/>
  <c r="I432" i="17"/>
  <c r="K349" i="17"/>
  <c r="P349" i="17" s="1"/>
  <c r="J349" i="17"/>
  <c r="X131" i="17" s="1"/>
  <c r="K57" i="17"/>
  <c r="J57" i="17"/>
  <c r="V31" i="17" s="1"/>
  <c r="P57" i="17"/>
  <c r="N337" i="17"/>
  <c r="W132" i="17" s="1"/>
  <c r="F341" i="17"/>
  <c r="G229" i="17"/>
  <c r="F229" i="17"/>
  <c r="E229" i="17"/>
  <c r="D229" i="17"/>
  <c r="C229" i="17"/>
  <c r="F457" i="17"/>
  <c r="N453" i="17"/>
  <c r="W172" i="17" s="1"/>
  <c r="D428" i="17"/>
  <c r="N422" i="17"/>
  <c r="U162" i="17" s="1"/>
  <c r="F461" i="17"/>
  <c r="G465" i="17"/>
  <c r="F465" i="17"/>
  <c r="E465" i="17"/>
  <c r="D465" i="17"/>
  <c r="C465" i="17"/>
  <c r="D287" i="17"/>
  <c r="C287" i="17"/>
  <c r="G287" i="17"/>
  <c r="F287" i="17"/>
  <c r="E287" i="17"/>
  <c r="E312" i="17"/>
  <c r="N307" i="17"/>
  <c r="V122" i="17" s="1"/>
  <c r="H204" i="17"/>
  <c r="I204" i="17" s="1"/>
  <c r="G61" i="17"/>
  <c r="X27" i="17" s="1"/>
  <c r="X35" i="17" s="1"/>
  <c r="N76" i="17"/>
  <c r="W42" i="17" s="1"/>
  <c r="J76" i="17"/>
  <c r="G200" i="17"/>
  <c r="F200" i="17"/>
  <c r="E200" i="17"/>
  <c r="D200" i="17"/>
  <c r="C200" i="17"/>
  <c r="C29" i="17"/>
  <c r="G29" i="17"/>
  <c r="F29" i="17"/>
  <c r="E29" i="17"/>
  <c r="D29" i="17"/>
  <c r="G346" i="17"/>
  <c r="F346" i="17"/>
  <c r="E346" i="17"/>
  <c r="D346" i="17"/>
  <c r="C346" i="17"/>
  <c r="N160" i="17"/>
  <c r="T72" i="17" s="1"/>
  <c r="J160" i="17"/>
  <c r="E428" i="17"/>
  <c r="N423" i="17"/>
  <c r="V162" i="17" s="1"/>
  <c r="N537" i="17"/>
  <c r="T202" i="17" s="1"/>
  <c r="G494" i="17"/>
  <c r="F494" i="17"/>
  <c r="E494" i="17"/>
  <c r="D494" i="17"/>
  <c r="C494" i="17"/>
  <c r="N392" i="17"/>
  <c r="T152" i="17" s="1"/>
  <c r="C399" i="17"/>
  <c r="I405" i="17"/>
  <c r="N569" i="17"/>
  <c r="W212" i="17" s="1"/>
  <c r="C521" i="17"/>
  <c r="G521" i="17"/>
  <c r="F521" i="17"/>
  <c r="E521" i="17"/>
  <c r="D521" i="17"/>
  <c r="N335" i="17"/>
  <c r="U132" i="17" s="1"/>
  <c r="F265" i="17"/>
  <c r="G202" i="17"/>
  <c r="F202" i="17"/>
  <c r="E202" i="17"/>
  <c r="D202" i="17"/>
  <c r="C202" i="17"/>
  <c r="I260" i="17"/>
  <c r="G171" i="17"/>
  <c r="F171" i="17"/>
  <c r="E171" i="17"/>
  <c r="D171" i="17"/>
  <c r="C171" i="17"/>
  <c r="N19" i="17"/>
  <c r="X22" i="17" s="1"/>
  <c r="G22" i="17"/>
  <c r="N18" i="17"/>
  <c r="W22" i="17" s="1"/>
  <c r="D380" i="17"/>
  <c r="U137" i="17" s="1"/>
  <c r="U145" i="17" s="1"/>
  <c r="F580" i="17"/>
  <c r="N454" i="17"/>
  <c r="X172" i="17" s="1"/>
  <c r="G457" i="17"/>
  <c r="G544" i="17"/>
  <c r="N541" i="17"/>
  <c r="X202" i="17" s="1"/>
  <c r="N479" i="17"/>
  <c r="T182" i="17" s="1"/>
  <c r="G375" i="17"/>
  <c r="F375" i="17"/>
  <c r="F379" i="17" s="1"/>
  <c r="W136" i="17" s="1"/>
  <c r="W144" i="17" s="1"/>
  <c r="W243" i="17" s="1"/>
  <c r="E375" i="17"/>
  <c r="E380" i="17" s="1"/>
  <c r="V137" i="17" s="1"/>
  <c r="V145" i="17" s="1"/>
  <c r="D375" i="17"/>
  <c r="D379" i="17" s="1"/>
  <c r="U136" i="17" s="1"/>
  <c r="U144" i="17" s="1"/>
  <c r="U243" i="17" s="1"/>
  <c r="C375" i="17"/>
  <c r="C379" i="17" s="1"/>
  <c r="T136" i="17" s="1"/>
  <c r="T144" i="17" s="1"/>
  <c r="N425" i="17"/>
  <c r="X162" i="17" s="1"/>
  <c r="G319" i="17"/>
  <c r="F319" i="17"/>
  <c r="E319" i="17"/>
  <c r="D319" i="17"/>
  <c r="C319" i="17"/>
  <c r="C322" i="17" s="1"/>
  <c r="T117" i="17" s="1"/>
  <c r="T125" i="17" s="1"/>
  <c r="N249" i="17"/>
  <c r="V102" i="17" s="1"/>
  <c r="N103" i="17"/>
  <c r="U52" i="17" s="1"/>
  <c r="D109" i="17"/>
  <c r="AW83" i="17"/>
  <c r="AL115" i="17" s="1"/>
  <c r="AL90" i="17"/>
  <c r="H59" i="17"/>
  <c r="I59" i="17" s="1"/>
  <c r="AN90" i="17"/>
  <c r="AW85" i="17"/>
  <c r="AN115" i="17" s="1"/>
  <c r="H114" i="17"/>
  <c r="I114" i="17" s="1"/>
  <c r="H551" i="17"/>
  <c r="I551" i="17" s="1"/>
  <c r="N280" i="17"/>
  <c r="X112" i="17" s="1"/>
  <c r="G283" i="17"/>
  <c r="G116" i="17"/>
  <c r="F116" i="17"/>
  <c r="E116" i="17"/>
  <c r="D116" i="17"/>
  <c r="C116" i="17"/>
  <c r="H116" i="17" s="1"/>
  <c r="G579" i="17"/>
  <c r="F579" i="17"/>
  <c r="D399" i="17"/>
  <c r="N393" i="17"/>
  <c r="U152" i="17" s="1"/>
  <c r="N511" i="17"/>
  <c r="W192" i="17" s="1"/>
  <c r="F515" i="17"/>
  <c r="D550" i="17"/>
  <c r="C550" i="17"/>
  <c r="G550" i="17"/>
  <c r="F550" i="17"/>
  <c r="E550" i="17"/>
  <c r="E577" i="17"/>
  <c r="D577" i="17"/>
  <c r="C577" i="17"/>
  <c r="G577" i="17"/>
  <c r="F577" i="17"/>
  <c r="N365" i="17"/>
  <c r="V142" i="17" s="1"/>
  <c r="E370" i="17"/>
  <c r="N538" i="17"/>
  <c r="U202" i="17" s="1"/>
  <c r="N396" i="17"/>
  <c r="X152" i="17" s="1"/>
  <c r="N279" i="17"/>
  <c r="W112" i="17" s="1"/>
  <c r="F283" i="17"/>
  <c r="H289" i="17"/>
  <c r="I289" i="17" s="1"/>
  <c r="H407" i="17"/>
  <c r="I407" i="17" s="1"/>
  <c r="H232" i="17"/>
  <c r="I232" i="17" s="1"/>
  <c r="N161" i="17"/>
  <c r="U72" i="17" s="1"/>
  <c r="G115" i="17"/>
  <c r="F115" i="17"/>
  <c r="E115" i="17"/>
  <c r="D115" i="17"/>
  <c r="C115" i="17"/>
  <c r="J105" i="17"/>
  <c r="N105" i="17"/>
  <c r="W52" i="17" s="1"/>
  <c r="E22" i="17"/>
  <c r="N17" i="17"/>
  <c r="V22" i="17" s="1"/>
  <c r="D51" i="17"/>
  <c r="N45" i="17"/>
  <c r="U32" i="17" s="1"/>
  <c r="G464" i="17"/>
  <c r="F464" i="17"/>
  <c r="E464" i="17"/>
  <c r="D464" i="17"/>
  <c r="C464" i="17"/>
  <c r="J509" i="17"/>
  <c r="N509" i="17"/>
  <c r="U192" i="17" s="1"/>
  <c r="E486" i="17"/>
  <c r="N481" i="17"/>
  <c r="V182" i="17" s="1"/>
  <c r="G436" i="17"/>
  <c r="G438" i="17" s="1"/>
  <c r="X157" i="17" s="1"/>
  <c r="X165" i="17" s="1"/>
  <c r="F436" i="17"/>
  <c r="F438" i="17" s="1"/>
  <c r="W157" i="17" s="1"/>
  <c r="W165" i="17" s="1"/>
  <c r="E436" i="17"/>
  <c r="E438" i="17" s="1"/>
  <c r="V157" i="17" s="1"/>
  <c r="V165" i="17" s="1"/>
  <c r="D436" i="17"/>
  <c r="C436" i="17"/>
  <c r="C438" i="17" s="1"/>
  <c r="T157" i="17" s="1"/>
  <c r="T165" i="17" s="1"/>
  <c r="N366" i="17"/>
  <c r="W142" i="17" s="1"/>
  <c r="F370" i="17"/>
  <c r="H262" i="17"/>
  <c r="H377" i="17"/>
  <c r="I377" i="17" s="1"/>
  <c r="E264" i="17"/>
  <c r="V97" i="17" s="1"/>
  <c r="V105" i="17" s="1"/>
  <c r="G233" i="17"/>
  <c r="F233" i="17"/>
  <c r="E233" i="17"/>
  <c r="D233" i="17"/>
  <c r="C233" i="17"/>
  <c r="N131" i="17"/>
  <c r="T62" i="17" s="1"/>
  <c r="E109" i="17"/>
  <c r="N104" i="17"/>
  <c r="V52" i="17" s="1"/>
  <c r="AS84" i="17"/>
  <c r="AW84" i="17"/>
  <c r="AM115" i="17" s="1"/>
  <c r="H88" i="17"/>
  <c r="I88" i="17" s="1"/>
  <c r="AP98" i="17"/>
  <c r="AO98" i="17"/>
  <c r="AM98" i="17"/>
  <c r="AL98" i="17"/>
  <c r="AN98" i="17"/>
  <c r="N47" i="17"/>
  <c r="W32" i="17" s="1"/>
  <c r="F51" i="17"/>
  <c r="C58" i="17"/>
  <c r="C60" i="17" s="1"/>
  <c r="C462" i="17"/>
  <c r="G463" i="17"/>
  <c r="F463" i="17"/>
  <c r="E463" i="17"/>
  <c r="D463" i="17"/>
  <c r="C463" i="17"/>
  <c r="N424" i="17"/>
  <c r="W162" i="17" s="1"/>
  <c r="F428" i="17"/>
  <c r="O582" i="17"/>
  <c r="D457" i="17"/>
  <c r="N451" i="17"/>
  <c r="U172" i="17" s="1"/>
  <c r="I434" i="17"/>
  <c r="H406" i="17"/>
  <c r="I406" i="17" s="1"/>
  <c r="G492" i="17"/>
  <c r="F492" i="17"/>
  <c r="E492" i="17"/>
  <c r="D492" i="17"/>
  <c r="C492" i="17"/>
  <c r="G580" i="17"/>
  <c r="D263" i="17"/>
  <c r="U96" i="17" s="1"/>
  <c r="U104" i="17" s="1"/>
  <c r="U239" i="17" s="1"/>
  <c r="H378" i="17"/>
  <c r="I378" i="17" s="1"/>
  <c r="H291" i="17"/>
  <c r="I291" i="17" s="1"/>
  <c r="F264" i="17"/>
  <c r="W97" i="17" s="1"/>
  <c r="W105" i="17" s="1"/>
  <c r="G263" i="17"/>
  <c r="X96" i="17" s="1"/>
  <c r="X104" i="17" s="1"/>
  <c r="X239" i="17" s="1"/>
  <c r="H290" i="17"/>
  <c r="I290" i="17" s="1"/>
  <c r="N338" i="17"/>
  <c r="X132" i="17" s="1"/>
  <c r="E138" i="17"/>
  <c r="N133" i="17"/>
  <c r="V62" i="17" s="1"/>
  <c r="AX99" i="17"/>
  <c r="C87" i="17"/>
  <c r="G87" i="17"/>
  <c r="F87" i="17"/>
  <c r="E87" i="17"/>
  <c r="D87" i="17"/>
  <c r="AP94" i="17"/>
  <c r="AO94" i="17"/>
  <c r="AO99" i="17" s="1"/>
  <c r="AO109" i="17" s="1"/>
  <c r="AO117" i="17" s="1"/>
  <c r="AN94" i="17"/>
  <c r="AM94" i="17"/>
  <c r="AL94" i="17"/>
  <c r="N77" i="17"/>
  <c r="X42" i="17" s="1"/>
  <c r="G80" i="17"/>
  <c r="E58" i="17"/>
  <c r="E61" i="17" s="1"/>
  <c r="V27" i="17" s="1"/>
  <c r="V35" i="17" s="1"/>
  <c r="D22" i="17"/>
  <c r="N16" i="17"/>
  <c r="U22" i="17" s="1"/>
  <c r="E30" i="17"/>
  <c r="G30" i="17"/>
  <c r="F30" i="17"/>
  <c r="D30" i="17"/>
  <c r="C30" i="17"/>
  <c r="D58" i="17"/>
  <c r="D61" i="17" s="1"/>
  <c r="U27" i="17" s="1"/>
  <c r="U35" i="17" s="1"/>
  <c r="O466" i="17"/>
  <c r="G493" i="17"/>
  <c r="F493" i="17"/>
  <c r="D493" i="17"/>
  <c r="C493" i="17"/>
  <c r="E493" i="17"/>
  <c r="D549" i="17"/>
  <c r="C549" i="17"/>
  <c r="G549" i="17"/>
  <c r="F549" i="17"/>
  <c r="E549" i="17"/>
  <c r="N394" i="17"/>
  <c r="V152" i="17" s="1"/>
  <c r="E399" i="17"/>
  <c r="N566" i="17"/>
  <c r="T212" i="17" s="1"/>
  <c r="C573" i="17"/>
  <c r="N450" i="17"/>
  <c r="T172" i="17" s="1"/>
  <c r="N364" i="17"/>
  <c r="U142" i="17" s="1"/>
  <c r="J364" i="17"/>
  <c r="G231" i="17"/>
  <c r="F231" i="17"/>
  <c r="E231" i="17"/>
  <c r="D231" i="17"/>
  <c r="C231" i="17"/>
  <c r="N164" i="17"/>
  <c r="X72" i="17" s="1"/>
  <c r="G167" i="17"/>
  <c r="N219" i="17"/>
  <c r="U92" i="17" s="1"/>
  <c r="D225" i="17"/>
  <c r="AO90" i="17"/>
  <c r="AW86" i="17"/>
  <c r="AO115" i="17" s="1"/>
  <c r="G203" i="17"/>
  <c r="F203" i="17"/>
  <c r="E203" i="17"/>
  <c r="D203" i="17"/>
  <c r="C203" i="17"/>
  <c r="BJ58" i="17"/>
  <c r="BI39" i="17"/>
  <c r="BJ263" i="17"/>
  <c r="BI64" i="17"/>
  <c r="H142" i="17"/>
  <c r="I142" i="17" s="1"/>
  <c r="C80" i="17"/>
  <c r="N73" i="17"/>
  <c r="T42" i="17" s="1"/>
  <c r="T284" i="17" s="1"/>
  <c r="G60" i="17"/>
  <c r="F58" i="17"/>
  <c r="F60" i="17" s="1"/>
  <c r="W26" i="17" s="1"/>
  <c r="W34" i="17" s="1"/>
  <c r="W232" i="17" s="1"/>
  <c r="G491" i="17"/>
  <c r="F491" i="17"/>
  <c r="E491" i="17"/>
  <c r="D491" i="17"/>
  <c r="C491" i="17"/>
  <c r="C520" i="17"/>
  <c r="G520" i="17"/>
  <c r="F520" i="17"/>
  <c r="E520" i="17"/>
  <c r="D520" i="17"/>
  <c r="G515" i="17"/>
  <c r="N512" i="17"/>
  <c r="X192" i="17" s="1"/>
  <c r="N421" i="17"/>
  <c r="T162" i="17" s="1"/>
  <c r="C428" i="17"/>
  <c r="N508" i="17"/>
  <c r="T192" i="17" s="1"/>
  <c r="H522" i="17"/>
  <c r="I522" i="17" s="1"/>
  <c r="C580" i="17"/>
  <c r="G318" i="17"/>
  <c r="F318" i="17"/>
  <c r="E318" i="17"/>
  <c r="D318" i="17"/>
  <c r="C318" i="17"/>
  <c r="J220" i="17"/>
  <c r="N220" i="17"/>
  <c r="V92" i="17" s="1"/>
  <c r="E230" i="17"/>
  <c r="D230" i="17"/>
  <c r="C230" i="17"/>
  <c r="G230" i="17"/>
  <c r="F230" i="17"/>
  <c r="G254" i="17"/>
  <c r="N251" i="17"/>
  <c r="X102" i="17" s="1"/>
  <c r="N367" i="17"/>
  <c r="X142" i="17" s="1"/>
  <c r="G370" i="17"/>
  <c r="D201" i="17"/>
  <c r="C201" i="17"/>
  <c r="G201" i="17"/>
  <c r="F201" i="17"/>
  <c r="E201" i="17"/>
  <c r="G145" i="17"/>
  <c r="F145" i="17"/>
  <c r="E145" i="17"/>
  <c r="D145" i="17"/>
  <c r="C145" i="17"/>
  <c r="AQ95" i="17"/>
  <c r="AR95" i="17" s="1"/>
  <c r="BJ262" i="17"/>
  <c r="BI65" i="17"/>
  <c r="BJ65" i="17" s="1"/>
  <c r="BJ57" i="17"/>
  <c r="BI40" i="17"/>
  <c r="BJ40" i="17" s="1"/>
  <c r="F85" i="17"/>
  <c r="C85" i="17"/>
  <c r="G85" i="17"/>
  <c r="E85" i="17"/>
  <c r="D85" i="17"/>
  <c r="BL65" i="17"/>
  <c r="H27" i="17"/>
  <c r="I27" i="17" s="1"/>
  <c r="BL40" i="17"/>
  <c r="G490" i="17"/>
  <c r="F490" i="17"/>
  <c r="D490" i="17"/>
  <c r="C490" i="17"/>
  <c r="E490" i="17"/>
  <c r="C519" i="17"/>
  <c r="G519" i="17"/>
  <c r="F519" i="17"/>
  <c r="E519" i="17"/>
  <c r="D519" i="17"/>
  <c r="D548" i="17"/>
  <c r="C548" i="17"/>
  <c r="G548" i="17"/>
  <c r="F548" i="17"/>
  <c r="E548" i="17"/>
  <c r="C461" i="17"/>
  <c r="C341" i="17"/>
  <c r="N334" i="17"/>
  <c r="T132" i="17" s="1"/>
  <c r="H345" i="17"/>
  <c r="G317" i="17"/>
  <c r="F317" i="17"/>
  <c r="F321" i="17" s="1"/>
  <c r="W116" i="17" s="1"/>
  <c r="W124" i="17" s="1"/>
  <c r="W241" i="17" s="1"/>
  <c r="E317" i="17"/>
  <c r="D317" i="17"/>
  <c r="C317" i="17"/>
  <c r="C263" i="17"/>
  <c r="T96" i="17" s="1"/>
  <c r="T104" i="17" s="1"/>
  <c r="H258" i="17"/>
  <c r="AL96" i="17"/>
  <c r="N75" i="17"/>
  <c r="V42" i="17" s="1"/>
  <c r="E80" i="17"/>
  <c r="G84" i="17"/>
  <c r="F84" i="17"/>
  <c r="E84" i="17"/>
  <c r="D84" i="17"/>
  <c r="C84" i="17"/>
  <c r="O60" i="17"/>
  <c r="E581" i="17"/>
  <c r="D581" i="17"/>
  <c r="C581" i="17"/>
  <c r="G581" i="17"/>
  <c r="F581" i="17"/>
  <c r="N482" i="17"/>
  <c r="W182" i="17" s="1"/>
  <c r="F486" i="17"/>
  <c r="D579" i="17"/>
  <c r="F403" i="17"/>
  <c r="E403" i="17"/>
  <c r="D403" i="17"/>
  <c r="C403" i="17"/>
  <c r="G403" i="17"/>
  <c r="H433" i="17"/>
  <c r="I433" i="17" s="1"/>
  <c r="E580" i="17"/>
  <c r="D462" i="17"/>
  <c r="G348" i="17"/>
  <c r="F348" i="17"/>
  <c r="E348" i="17"/>
  <c r="E350" i="17" s="1"/>
  <c r="D348" i="17"/>
  <c r="C348" i="17"/>
  <c r="O321" i="17"/>
  <c r="H143" i="17"/>
  <c r="I143" i="17" s="1"/>
  <c r="H173" i="17"/>
  <c r="I173" i="17" s="1"/>
  <c r="AM96" i="17"/>
  <c r="I26" i="17"/>
  <c r="H26" i="17"/>
  <c r="C31" i="17"/>
  <c r="T16" i="17" s="1"/>
  <c r="D437" i="17"/>
  <c r="U156" i="17" s="1"/>
  <c r="U164" i="17" s="1"/>
  <c r="U245" i="17" s="1"/>
  <c r="E578" i="17"/>
  <c r="D578" i="17"/>
  <c r="C578" i="17"/>
  <c r="G578" i="17"/>
  <c r="F578" i="17"/>
  <c r="G486" i="17"/>
  <c r="N483" i="17"/>
  <c r="X182" i="17" s="1"/>
  <c r="E457" i="17"/>
  <c r="N452" i="17"/>
  <c r="V172" i="17" s="1"/>
  <c r="E579" i="17"/>
  <c r="J363" i="17"/>
  <c r="N363" i="17"/>
  <c r="T142" i="17" s="1"/>
  <c r="D439" i="17"/>
  <c r="D438" i="17"/>
  <c r="U157" i="17" s="1"/>
  <c r="U165" i="17" s="1"/>
  <c r="H435" i="17"/>
  <c r="I435" i="17" s="1"/>
  <c r="I262" i="17"/>
  <c r="N248" i="17"/>
  <c r="U102" i="17" s="1"/>
  <c r="G144" i="17"/>
  <c r="F144" i="17"/>
  <c r="E144" i="17"/>
  <c r="D144" i="17"/>
  <c r="D148" i="17" s="1"/>
  <c r="U57" i="17" s="1"/>
  <c r="U65" i="17" s="1"/>
  <c r="C144" i="17"/>
  <c r="C147" i="17" s="1"/>
  <c r="N163" i="17"/>
  <c r="W72" i="17" s="1"/>
  <c r="F167" i="17"/>
  <c r="AO97" i="17"/>
  <c r="AQ97" i="17" s="1"/>
  <c r="AN96" i="17"/>
  <c r="C113" i="17"/>
  <c r="G113" i="17"/>
  <c r="F113" i="17"/>
  <c r="E113" i="17"/>
  <c r="D113" i="17"/>
  <c r="H86" i="17"/>
  <c r="I86" i="17" s="1"/>
  <c r="G147" i="17"/>
  <c r="X56" i="17" s="1"/>
  <c r="X64" i="17" s="1"/>
  <c r="X235" i="17" s="1"/>
  <c r="N48" i="17"/>
  <c r="X32" i="17" s="1"/>
  <c r="G51" i="17"/>
  <c r="I55" i="17"/>
  <c r="G28" i="17"/>
  <c r="F28" i="17"/>
  <c r="E28" i="17"/>
  <c r="D28" i="17"/>
  <c r="C28" i="17"/>
  <c r="G497" i="27" l="1"/>
  <c r="G498" i="27"/>
  <c r="F497" i="27"/>
  <c r="F498" i="27"/>
  <c r="E497" i="27"/>
  <c r="E498" i="27"/>
  <c r="H497" i="27"/>
  <c r="H498" i="27"/>
  <c r="D497" i="27"/>
  <c r="D498" i="27"/>
  <c r="H449" i="27"/>
  <c r="H450" i="27"/>
  <c r="D449" i="27"/>
  <c r="D450" i="27"/>
  <c r="E449" i="27"/>
  <c r="E450" i="27"/>
  <c r="G449" i="27"/>
  <c r="G450" i="27"/>
  <c r="F449" i="27"/>
  <c r="F450" i="27"/>
  <c r="E401" i="27"/>
  <c r="E402" i="27"/>
  <c r="D401" i="27"/>
  <c r="D402" i="27"/>
  <c r="G401" i="27"/>
  <c r="G402" i="27"/>
  <c r="H401" i="27"/>
  <c r="H402" i="27"/>
  <c r="F401" i="27"/>
  <c r="F402" i="27"/>
  <c r="D353" i="27"/>
  <c r="D354" i="27"/>
  <c r="G353" i="27"/>
  <c r="G354" i="27"/>
  <c r="F353" i="27"/>
  <c r="F354" i="27"/>
  <c r="E353" i="27"/>
  <c r="E354" i="27"/>
  <c r="H353" i="27"/>
  <c r="H354" i="27"/>
  <c r="F307" i="27"/>
  <c r="F564" i="27"/>
  <c r="G307" i="27"/>
  <c r="G564" i="27"/>
  <c r="H305" i="27"/>
  <c r="H306" i="27"/>
  <c r="D305" i="27"/>
  <c r="D306" i="27"/>
  <c r="E305" i="27"/>
  <c r="E306" i="27"/>
  <c r="F257" i="27"/>
  <c r="F258" i="27"/>
  <c r="E257" i="27"/>
  <c r="E258" i="27"/>
  <c r="H257" i="27"/>
  <c r="H258" i="27"/>
  <c r="G257" i="27"/>
  <c r="G258" i="27"/>
  <c r="D257" i="27"/>
  <c r="D258" i="27"/>
  <c r="AK454" i="34"/>
  <c r="AK51" i="34"/>
  <c r="AK441" i="34" s="1"/>
  <c r="AK457" i="34"/>
  <c r="AK126" i="34"/>
  <c r="AK444" i="34" s="1"/>
  <c r="AS117" i="26"/>
  <c r="F585" i="26"/>
  <c r="W209" i="26" s="1"/>
  <c r="D585" i="26"/>
  <c r="U209" i="26" s="1"/>
  <c r="U208" i="26"/>
  <c r="E588" i="26"/>
  <c r="V208" i="26"/>
  <c r="E586" i="26"/>
  <c r="F588" i="26"/>
  <c r="F586" i="26"/>
  <c r="W208" i="26"/>
  <c r="F556" i="26"/>
  <c r="W199" i="26" s="1"/>
  <c r="U188" i="26"/>
  <c r="D531" i="26"/>
  <c r="E498" i="26"/>
  <c r="V179" i="26" s="1"/>
  <c r="D498" i="26"/>
  <c r="U179" i="26" s="1"/>
  <c r="J409" i="26"/>
  <c r="AF29" i="26" s="1"/>
  <c r="G353" i="26"/>
  <c r="X129" i="26" s="1"/>
  <c r="F353" i="26"/>
  <c r="W129" i="26" s="1"/>
  <c r="P233" i="26"/>
  <c r="J235" i="26" s="1"/>
  <c r="AF23" i="26" s="1"/>
  <c r="X90" i="26"/>
  <c r="D238" i="26"/>
  <c r="U88" i="26"/>
  <c r="D240" i="26"/>
  <c r="D237" i="26" s="1"/>
  <c r="U89" i="26" s="1"/>
  <c r="C211" i="26"/>
  <c r="T78" i="26"/>
  <c r="C212" i="26"/>
  <c r="E179" i="26"/>
  <c r="V69" i="26" s="1"/>
  <c r="E150" i="26"/>
  <c r="V59" i="26" s="1"/>
  <c r="E34" i="26"/>
  <c r="V19" i="26" s="1"/>
  <c r="E585" i="26"/>
  <c r="V209" i="26" s="1"/>
  <c r="D527" i="26"/>
  <c r="U189" i="26" s="1"/>
  <c r="J525" i="26"/>
  <c r="AF33" i="26" s="1"/>
  <c r="C498" i="26"/>
  <c r="T179" i="26" s="1"/>
  <c r="J438" i="26"/>
  <c r="AF30" i="26" s="1"/>
  <c r="G440" i="26"/>
  <c r="X159" i="26" s="1"/>
  <c r="D440" i="26"/>
  <c r="U159" i="26" s="1"/>
  <c r="J380" i="26"/>
  <c r="AF28" i="26" s="1"/>
  <c r="W120" i="26"/>
  <c r="J319" i="26"/>
  <c r="W121" i="26" s="1"/>
  <c r="E324" i="26"/>
  <c r="V119" i="26" s="1"/>
  <c r="T227" i="26"/>
  <c r="D295" i="26"/>
  <c r="U109" i="26" s="1"/>
  <c r="U224" i="26"/>
  <c r="G237" i="26"/>
  <c r="X89" i="26" s="1"/>
  <c r="G179" i="26"/>
  <c r="X69" i="26" s="1"/>
  <c r="D182" i="26"/>
  <c r="D183" i="26"/>
  <c r="U68" i="26"/>
  <c r="D180" i="26"/>
  <c r="U219" i="26"/>
  <c r="V281" i="26"/>
  <c r="X275" i="26"/>
  <c r="U290" i="26"/>
  <c r="U291" i="26"/>
  <c r="U292" i="26" s="1"/>
  <c r="G121" i="26"/>
  <c r="X49" i="26" s="1"/>
  <c r="C92" i="26"/>
  <c r="T39" i="26" s="1"/>
  <c r="V282" i="26"/>
  <c r="V283" i="26" s="1"/>
  <c r="U223" i="26"/>
  <c r="G34" i="26"/>
  <c r="X19" i="26" s="1"/>
  <c r="J206" i="26"/>
  <c r="AF22" i="26" s="1"/>
  <c r="J90" i="26"/>
  <c r="AF18" i="26" s="1"/>
  <c r="W223" i="26"/>
  <c r="J293" i="26"/>
  <c r="AF25" i="26" s="1"/>
  <c r="F499" i="26"/>
  <c r="F502" i="26"/>
  <c r="F501" i="26"/>
  <c r="W178" i="26"/>
  <c r="E296" i="26"/>
  <c r="E299" i="26"/>
  <c r="V108" i="26"/>
  <c r="E298" i="26"/>
  <c r="E295" i="26" s="1"/>
  <c r="V109" i="26" s="1"/>
  <c r="C183" i="26"/>
  <c r="C180" i="26"/>
  <c r="T68" i="26"/>
  <c r="C182" i="26"/>
  <c r="X219" i="26"/>
  <c r="G151" i="26"/>
  <c r="G154" i="26"/>
  <c r="X58" i="26"/>
  <c r="X278" i="26" s="1"/>
  <c r="G153" i="26"/>
  <c r="F125" i="26"/>
  <c r="F122" i="26"/>
  <c r="W48" i="26"/>
  <c r="F124" i="26"/>
  <c r="F383" i="26"/>
  <c r="F386" i="26"/>
  <c r="F385" i="26"/>
  <c r="W138" i="26"/>
  <c r="G63" i="26"/>
  <c r="X29" i="26" s="1"/>
  <c r="D96" i="26"/>
  <c r="D93" i="26"/>
  <c r="U38" i="26"/>
  <c r="D95" i="26"/>
  <c r="G266" i="26"/>
  <c r="X99" i="26" s="1"/>
  <c r="F238" i="26"/>
  <c r="F241" i="26"/>
  <c r="F240" i="26"/>
  <c r="W88" i="26"/>
  <c r="F209" i="26"/>
  <c r="F212" i="26"/>
  <c r="W78" i="26"/>
  <c r="F211" i="26"/>
  <c r="E209" i="26"/>
  <c r="E212" i="26"/>
  <c r="V78" i="26"/>
  <c r="E211" i="26"/>
  <c r="AM103" i="26"/>
  <c r="AM106" i="26"/>
  <c r="AM111" i="26"/>
  <c r="AM105" i="26"/>
  <c r="G499" i="26"/>
  <c r="G502" i="26"/>
  <c r="G501" i="26"/>
  <c r="X178" i="26"/>
  <c r="AA54" i="26"/>
  <c r="F441" i="26"/>
  <c r="F444" i="26"/>
  <c r="F443" i="26"/>
  <c r="W158" i="26"/>
  <c r="X281" i="26"/>
  <c r="C560" i="26"/>
  <c r="C557" i="26"/>
  <c r="T198" i="26"/>
  <c r="C559" i="26"/>
  <c r="J177" i="26"/>
  <c r="AF21" i="26" s="1"/>
  <c r="F179" i="26"/>
  <c r="W69" i="26" s="1"/>
  <c r="C531" i="26"/>
  <c r="C528" i="26"/>
  <c r="T188" i="26"/>
  <c r="C530" i="26"/>
  <c r="AA144" i="26"/>
  <c r="AA194" i="26"/>
  <c r="K461" i="26"/>
  <c r="P461" i="26" s="1"/>
  <c r="J467" i="26" s="1"/>
  <c r="AF31" i="26" s="1"/>
  <c r="J461" i="26"/>
  <c r="T171" i="26" s="1"/>
  <c r="T170" i="26"/>
  <c r="AA154" i="26"/>
  <c r="E560" i="26"/>
  <c r="E557" i="26"/>
  <c r="V198" i="26"/>
  <c r="E559" i="26"/>
  <c r="E67" i="26"/>
  <c r="E64" i="26"/>
  <c r="V28" i="26"/>
  <c r="E66" i="26"/>
  <c r="G415" i="26"/>
  <c r="G412" i="26"/>
  <c r="X148" i="26"/>
  <c r="G414" i="26"/>
  <c r="T249" i="26"/>
  <c r="AA204" i="26"/>
  <c r="C412" i="26"/>
  <c r="C415" i="26"/>
  <c r="T148" i="26"/>
  <c r="C414" i="26"/>
  <c r="C470" i="26"/>
  <c r="C473" i="26"/>
  <c r="C472" i="26"/>
  <c r="T168" i="26"/>
  <c r="K348" i="26"/>
  <c r="P348" i="26" s="1"/>
  <c r="J351" i="26" s="1"/>
  <c r="AF27" i="26" s="1"/>
  <c r="J348" i="26"/>
  <c r="W131" i="26" s="1"/>
  <c r="W130" i="26"/>
  <c r="D151" i="26"/>
  <c r="U58" i="26"/>
  <c r="D154" i="26"/>
  <c r="D153" i="26"/>
  <c r="D150" i="26" s="1"/>
  <c r="U59" i="26" s="1"/>
  <c r="E412" i="26"/>
  <c r="E415" i="26"/>
  <c r="V148" i="26"/>
  <c r="E414" i="26"/>
  <c r="AP103" i="26"/>
  <c r="AP111" i="26"/>
  <c r="AP105" i="26"/>
  <c r="AP106" i="26"/>
  <c r="K55" i="26"/>
  <c r="P55" i="26" s="1"/>
  <c r="J61" i="26" s="1"/>
  <c r="AF17" i="26" s="1"/>
  <c r="T30" i="26"/>
  <c r="J55" i="26"/>
  <c r="T31" i="26" s="1"/>
  <c r="C66" i="26"/>
  <c r="C63" i="26" s="1"/>
  <c r="T29" i="26" s="1"/>
  <c r="F295" i="26"/>
  <c r="W109" i="26" s="1"/>
  <c r="AA64" i="26"/>
  <c r="D34" i="26"/>
  <c r="U19" i="26" s="1"/>
  <c r="J142" i="26"/>
  <c r="T61" i="26" s="1"/>
  <c r="K142" i="26"/>
  <c r="P142" i="26" s="1"/>
  <c r="J148" i="26" s="1"/>
  <c r="AF20" i="26" s="1"/>
  <c r="T60" i="26"/>
  <c r="K260" i="26"/>
  <c r="P260" i="26" s="1"/>
  <c r="J264" i="26" s="1"/>
  <c r="AF24" i="26" s="1"/>
  <c r="J260" i="26"/>
  <c r="V101" i="26" s="1"/>
  <c r="V100" i="26"/>
  <c r="E270" i="26"/>
  <c r="E267" i="26"/>
  <c r="V98" i="26"/>
  <c r="E269" i="26"/>
  <c r="AL113" i="26"/>
  <c r="AT94" i="26"/>
  <c r="AY94" i="26" s="1"/>
  <c r="AS100" i="26" s="1"/>
  <c r="AS94" i="26"/>
  <c r="AL114" i="26" s="1"/>
  <c r="F531" i="26"/>
  <c r="F528" i="26"/>
  <c r="W188" i="26"/>
  <c r="F530" i="26"/>
  <c r="C237" i="26"/>
  <c r="T89" i="26" s="1"/>
  <c r="F415" i="26"/>
  <c r="F412" i="26"/>
  <c r="W148" i="26"/>
  <c r="F414" i="26"/>
  <c r="G589" i="26"/>
  <c r="G586" i="26"/>
  <c r="X208" i="26"/>
  <c r="G588" i="26"/>
  <c r="D412" i="26"/>
  <c r="D415" i="26"/>
  <c r="U148" i="26"/>
  <c r="D414" i="26"/>
  <c r="C121" i="26"/>
  <c r="T49" i="26" s="1"/>
  <c r="V219" i="26"/>
  <c r="AZ22" i="26"/>
  <c r="BA20" i="26"/>
  <c r="BB14" i="26"/>
  <c r="AX22" i="26"/>
  <c r="BB17" i="26"/>
  <c r="AY16" i="26"/>
  <c r="BC23" i="26"/>
  <c r="BC18" i="26"/>
  <c r="AX23" i="26"/>
  <c r="BC21" i="26"/>
  <c r="AZ21" i="26"/>
  <c r="BB13" i="26"/>
  <c r="AX19" i="26"/>
  <c r="AY17" i="26"/>
  <c r="BA22" i="26"/>
  <c r="AY18" i="26"/>
  <c r="BC19" i="26"/>
  <c r="BA17" i="26"/>
  <c r="BC15" i="26"/>
  <c r="AY20" i="26"/>
  <c r="BC16" i="26"/>
  <c r="BA16" i="26"/>
  <c r="AZ13" i="26"/>
  <c r="BC14" i="26"/>
  <c r="BA18" i="26"/>
  <c r="AY15" i="26"/>
  <c r="AZ19" i="26"/>
  <c r="BB23" i="26"/>
  <c r="AX13" i="26"/>
  <c r="BA15" i="26"/>
  <c r="AY14" i="26"/>
  <c r="AY21" i="26"/>
  <c r="BC20" i="26"/>
  <c r="AY23" i="26"/>
  <c r="BA14" i="26"/>
  <c r="BA13" i="26"/>
  <c r="BB19" i="26"/>
  <c r="Z275" i="26"/>
  <c r="AZ17" i="26"/>
  <c r="BB22" i="26"/>
  <c r="AY22" i="26"/>
  <c r="BB21" i="26"/>
  <c r="AZ16" i="26"/>
  <c r="BB20" i="26"/>
  <c r="AY13" i="26"/>
  <c r="AZ20" i="26"/>
  <c r="AX20" i="26"/>
  <c r="AX18" i="26"/>
  <c r="BC13" i="26"/>
  <c r="AY19" i="26"/>
  <c r="AX16" i="26"/>
  <c r="BB18" i="26"/>
  <c r="AZ18" i="26"/>
  <c r="BB16" i="26"/>
  <c r="AX21" i="26"/>
  <c r="BA23" i="26"/>
  <c r="AZ23" i="26"/>
  <c r="AX17" i="26"/>
  <c r="AZ15" i="26"/>
  <c r="AX15" i="26"/>
  <c r="BA19" i="26"/>
  <c r="BA21" i="26"/>
  <c r="BC22" i="26"/>
  <c r="BB15" i="26"/>
  <c r="AZ14" i="26"/>
  <c r="AX14" i="26"/>
  <c r="BC17" i="26"/>
  <c r="V227" i="26"/>
  <c r="K577" i="26"/>
  <c r="P577" i="26" s="1"/>
  <c r="J583" i="26" s="1"/>
  <c r="AF35" i="26" s="1"/>
  <c r="J577" i="26"/>
  <c r="T211" i="26" s="1"/>
  <c r="T210" i="26"/>
  <c r="G296" i="26"/>
  <c r="G299" i="26"/>
  <c r="X108" i="26"/>
  <c r="G298" i="26"/>
  <c r="U278" i="26"/>
  <c r="G383" i="26"/>
  <c r="G386" i="26"/>
  <c r="G385" i="26"/>
  <c r="G382" i="26" s="1"/>
  <c r="X139" i="26" s="1"/>
  <c r="X138" i="26"/>
  <c r="E528" i="26"/>
  <c r="E531" i="26"/>
  <c r="V188" i="26"/>
  <c r="E530" i="26"/>
  <c r="E527" i="26" s="1"/>
  <c r="V189" i="26" s="1"/>
  <c r="C208" i="26"/>
  <c r="T79" i="26" s="1"/>
  <c r="E92" i="26"/>
  <c r="V39" i="26" s="1"/>
  <c r="C440" i="26"/>
  <c r="T159" i="26" s="1"/>
  <c r="AA94" i="26"/>
  <c r="T219" i="26"/>
  <c r="K492" i="26"/>
  <c r="P492" i="26" s="1"/>
  <c r="J496" i="26" s="1"/>
  <c r="AF32" i="26" s="1"/>
  <c r="J492" i="26"/>
  <c r="V181" i="26" s="1"/>
  <c r="V224" i="26" s="1"/>
  <c r="V180" i="26"/>
  <c r="V223" i="26" s="1"/>
  <c r="D212" i="26"/>
  <c r="D209" i="26"/>
  <c r="U78" i="26"/>
  <c r="D211" i="26"/>
  <c r="T236" i="26"/>
  <c r="AA74" i="26"/>
  <c r="E241" i="26"/>
  <c r="E238" i="26"/>
  <c r="V88" i="26"/>
  <c r="E240" i="26"/>
  <c r="E470" i="26"/>
  <c r="E473" i="26"/>
  <c r="V168" i="26"/>
  <c r="E472" i="26"/>
  <c r="C267" i="26"/>
  <c r="C270" i="26"/>
  <c r="T98" i="26"/>
  <c r="C269" i="26"/>
  <c r="C589" i="26"/>
  <c r="C586" i="26"/>
  <c r="T208" i="26"/>
  <c r="C588" i="26"/>
  <c r="K552" i="26"/>
  <c r="P552" i="26" s="1"/>
  <c r="J554" i="26" s="1"/>
  <c r="AF34" i="26" s="1"/>
  <c r="J552" i="26"/>
  <c r="X201" i="26" s="1"/>
  <c r="X224" i="26" s="1"/>
  <c r="X200" i="26"/>
  <c r="X223" i="26" s="1"/>
  <c r="U227" i="26"/>
  <c r="G531" i="26"/>
  <c r="G528" i="26"/>
  <c r="X188" i="26"/>
  <c r="G530" i="26"/>
  <c r="C353" i="26"/>
  <c r="T129" i="26" s="1"/>
  <c r="C383" i="26"/>
  <c r="C386" i="26"/>
  <c r="T138" i="26"/>
  <c r="C385" i="26"/>
  <c r="AL106" i="26"/>
  <c r="AL111" i="26"/>
  <c r="AL103" i="26"/>
  <c r="AL105" i="26"/>
  <c r="D470" i="26"/>
  <c r="D473" i="26"/>
  <c r="U168" i="26"/>
  <c r="D472" i="26"/>
  <c r="C299" i="26"/>
  <c r="C296" i="26"/>
  <c r="T108" i="26"/>
  <c r="C298" i="26"/>
  <c r="AO103" i="26"/>
  <c r="AO106" i="26"/>
  <c r="AO111" i="26"/>
  <c r="AO105" i="26"/>
  <c r="T239" i="26"/>
  <c r="AA104" i="26"/>
  <c r="F151" i="26"/>
  <c r="F153" i="26"/>
  <c r="F154" i="26"/>
  <c r="W58" i="26"/>
  <c r="T282" i="26"/>
  <c r="T283" i="26" s="1"/>
  <c r="E125" i="26"/>
  <c r="E122" i="26"/>
  <c r="V48" i="26"/>
  <c r="E124" i="26"/>
  <c r="F34" i="26"/>
  <c r="W19" i="26" s="1"/>
  <c r="D386" i="26"/>
  <c r="D383" i="26"/>
  <c r="U138" i="26"/>
  <c r="D385" i="26"/>
  <c r="T240" i="26"/>
  <c r="AA114" i="26"/>
  <c r="G473" i="26"/>
  <c r="G470" i="26"/>
  <c r="X168" i="26"/>
  <c r="G472" i="26"/>
  <c r="D556" i="26"/>
  <c r="U199" i="26" s="1"/>
  <c r="C324" i="26"/>
  <c r="T119" i="26" s="1"/>
  <c r="F266" i="26"/>
  <c r="W99" i="26" s="1"/>
  <c r="AA174" i="26"/>
  <c r="F324" i="26"/>
  <c r="W119" i="26" s="1"/>
  <c r="F93" i="26"/>
  <c r="F96" i="26"/>
  <c r="W38" i="26"/>
  <c r="W278" i="26" s="1"/>
  <c r="F95" i="26"/>
  <c r="F92" i="26" s="1"/>
  <c r="W39" i="26" s="1"/>
  <c r="C154" i="26"/>
  <c r="C151" i="26"/>
  <c r="C153" i="26"/>
  <c r="T58" i="26"/>
  <c r="X227" i="26"/>
  <c r="X291" i="26"/>
  <c r="X292" i="26" s="1"/>
  <c r="X290" i="26"/>
  <c r="X231" i="26"/>
  <c r="F470" i="26"/>
  <c r="F473" i="26"/>
  <c r="W168" i="26"/>
  <c r="F472" i="26"/>
  <c r="T278" i="26"/>
  <c r="AN111" i="26"/>
  <c r="AN106" i="26"/>
  <c r="AN103" i="26"/>
  <c r="AN105" i="26"/>
  <c r="E382" i="26"/>
  <c r="V139" i="26" s="1"/>
  <c r="AA184" i="26"/>
  <c r="D266" i="26"/>
  <c r="U99" i="26" s="1"/>
  <c r="W44" i="26"/>
  <c r="W219" i="26"/>
  <c r="W275" i="26"/>
  <c r="AO102" i="25"/>
  <c r="AO112" i="25" s="1"/>
  <c r="E560" i="25"/>
  <c r="E556" i="25"/>
  <c r="V199" i="25" s="1"/>
  <c r="C531" i="25"/>
  <c r="C527" i="25" s="1"/>
  <c r="T189" i="25" s="1"/>
  <c r="E498" i="25"/>
  <c r="V179" i="25" s="1"/>
  <c r="D469" i="25"/>
  <c r="U169" i="25" s="1"/>
  <c r="G414" i="25"/>
  <c r="X148" i="25"/>
  <c r="C382" i="25"/>
  <c r="T139" i="25" s="1"/>
  <c r="D354" i="25"/>
  <c r="C353" i="25"/>
  <c r="T129" i="25" s="1"/>
  <c r="T70" i="25"/>
  <c r="F125" i="25"/>
  <c r="U224" i="25"/>
  <c r="K55" i="25"/>
  <c r="V28" i="25"/>
  <c r="G63" i="25"/>
  <c r="X29" i="25" s="1"/>
  <c r="C34" i="25"/>
  <c r="T19" i="25" s="1"/>
  <c r="E34" i="25"/>
  <c r="V19" i="25" s="1"/>
  <c r="G585" i="25"/>
  <c r="X209" i="25" s="1"/>
  <c r="C585" i="25"/>
  <c r="T209" i="25" s="1"/>
  <c r="E557" i="25"/>
  <c r="AA194" i="25"/>
  <c r="F498" i="25"/>
  <c r="W179" i="25" s="1"/>
  <c r="E440" i="25"/>
  <c r="V159" i="25" s="1"/>
  <c r="J438" i="25"/>
  <c r="AF30" i="25" s="1"/>
  <c r="C411" i="25"/>
  <c r="T149" i="25" s="1"/>
  <c r="BB22" i="25"/>
  <c r="G382" i="25"/>
  <c r="X139" i="25" s="1"/>
  <c r="F353" i="25"/>
  <c r="W129" i="25" s="1"/>
  <c r="G356" i="25"/>
  <c r="G353" i="25" s="1"/>
  <c r="X129" i="25" s="1"/>
  <c r="X128" i="25"/>
  <c r="G354" i="25"/>
  <c r="BA20" i="25"/>
  <c r="J322" i="25"/>
  <c r="AF26" i="25" s="1"/>
  <c r="C295" i="25"/>
  <c r="T109" i="25" s="1"/>
  <c r="F266" i="25"/>
  <c r="W99" i="25" s="1"/>
  <c r="J235" i="25"/>
  <c r="AF23" i="25" s="1"/>
  <c r="F208" i="25"/>
  <c r="W79" i="25" s="1"/>
  <c r="J148" i="25"/>
  <c r="AF20" i="25" s="1"/>
  <c r="F122" i="25"/>
  <c r="AY20" i="25"/>
  <c r="BC15" i="25"/>
  <c r="U223" i="25"/>
  <c r="BB13" i="25"/>
  <c r="BC20" i="25"/>
  <c r="F124" i="25"/>
  <c r="F121" i="25" s="1"/>
  <c r="W49" i="25" s="1"/>
  <c r="BC19" i="25"/>
  <c r="J84" i="25"/>
  <c r="T41" i="25" s="1"/>
  <c r="K84" i="25"/>
  <c r="P84" i="25" s="1"/>
  <c r="J90" i="25" s="1"/>
  <c r="AF18" i="25" s="1"/>
  <c r="P55" i="25"/>
  <c r="J55" i="25"/>
  <c r="T31" i="25" s="1"/>
  <c r="E64" i="25"/>
  <c r="F34" i="25"/>
  <c r="W19" i="25" s="1"/>
  <c r="D34" i="25"/>
  <c r="U19" i="25" s="1"/>
  <c r="J554" i="25"/>
  <c r="AF34" i="25" s="1"/>
  <c r="J206" i="25"/>
  <c r="AF22" i="25" s="1"/>
  <c r="F183" i="25"/>
  <c r="F182" i="25"/>
  <c r="F180" i="25"/>
  <c r="W68" i="25"/>
  <c r="AY15" i="25"/>
  <c r="W28" i="25"/>
  <c r="F64" i="25"/>
  <c r="F67" i="25"/>
  <c r="F66" i="25"/>
  <c r="J583" i="25"/>
  <c r="AF35" i="25" s="1"/>
  <c r="W38" i="25"/>
  <c r="F96" i="25"/>
  <c r="F93" i="25"/>
  <c r="F95" i="25"/>
  <c r="V243" i="25"/>
  <c r="AA144" i="25"/>
  <c r="AL111" i="25"/>
  <c r="AL103" i="25"/>
  <c r="AL106" i="25"/>
  <c r="AL105" i="25"/>
  <c r="T238" i="25"/>
  <c r="AA94" i="25"/>
  <c r="V281" i="25"/>
  <c r="V223" i="25"/>
  <c r="E415" i="25"/>
  <c r="E412" i="25"/>
  <c r="V148" i="25"/>
  <c r="E414" i="25"/>
  <c r="G444" i="25"/>
  <c r="G441" i="25"/>
  <c r="G443" i="25"/>
  <c r="X158" i="25"/>
  <c r="E93" i="25"/>
  <c r="V38" i="25"/>
  <c r="E96" i="25"/>
  <c r="E95" i="25"/>
  <c r="BA14" i="25"/>
  <c r="BC16" i="25"/>
  <c r="BC22" i="25"/>
  <c r="BC18" i="25"/>
  <c r="BC17" i="25"/>
  <c r="C499" i="25"/>
  <c r="C502" i="25"/>
  <c r="T178" i="25"/>
  <c r="C501" i="25"/>
  <c r="F238" i="25"/>
  <c r="F241" i="25"/>
  <c r="W88" i="25"/>
  <c r="F240" i="25"/>
  <c r="E386" i="25"/>
  <c r="E383" i="25"/>
  <c r="V138" i="25"/>
  <c r="E385" i="25"/>
  <c r="T28" i="25"/>
  <c r="C64" i="25"/>
  <c r="C67" i="25"/>
  <c r="C66" i="25"/>
  <c r="AY17" i="25"/>
  <c r="D64" i="25"/>
  <c r="D67" i="25"/>
  <c r="U28" i="25"/>
  <c r="D66" i="25"/>
  <c r="W34" i="25"/>
  <c r="W275" i="25"/>
  <c r="W219" i="25"/>
  <c r="C212" i="25"/>
  <c r="C209" i="25"/>
  <c r="T78" i="25"/>
  <c r="C211" i="25"/>
  <c r="G183" i="25"/>
  <c r="G182" i="25"/>
  <c r="G180" i="25"/>
  <c r="X68" i="25"/>
  <c r="F154" i="25"/>
  <c r="F151" i="25"/>
  <c r="W58" i="25"/>
  <c r="W278" i="25" s="1"/>
  <c r="F153" i="25"/>
  <c r="V282" i="25"/>
  <c r="V283" i="25" s="1"/>
  <c r="V224" i="25"/>
  <c r="G96" i="25"/>
  <c r="X38" i="25"/>
  <c r="G93" i="25"/>
  <c r="G95" i="25"/>
  <c r="D560" i="25"/>
  <c r="D559" i="25"/>
  <c r="D556" i="25" s="1"/>
  <c r="U199" i="25" s="1"/>
  <c r="D557" i="25"/>
  <c r="U198" i="25"/>
  <c r="J496" i="25"/>
  <c r="AF32" i="25" s="1"/>
  <c r="C96" i="25"/>
  <c r="C93" i="25"/>
  <c r="C95" i="25"/>
  <c r="T38" i="25"/>
  <c r="V44" i="25"/>
  <c r="V219" i="25"/>
  <c r="BA18" i="25"/>
  <c r="AY13" i="25"/>
  <c r="AY23" i="25"/>
  <c r="AX20" i="25"/>
  <c r="AY19" i="25"/>
  <c r="AX23" i="25"/>
  <c r="U34" i="25"/>
  <c r="U219" i="25"/>
  <c r="U275" i="25"/>
  <c r="D238" i="25"/>
  <c r="D241" i="25"/>
  <c r="U88" i="25"/>
  <c r="D240" i="25"/>
  <c r="D151" i="25"/>
  <c r="D154" i="25"/>
  <c r="U58" i="25"/>
  <c r="D153" i="25"/>
  <c r="T237" i="25"/>
  <c r="AA84" i="25"/>
  <c r="AN106" i="25"/>
  <c r="AN111" i="25"/>
  <c r="AN103" i="25"/>
  <c r="AN105" i="25"/>
  <c r="AN102" i="25" s="1"/>
  <c r="AN112" i="25" s="1"/>
  <c r="G560" i="25"/>
  <c r="G557" i="25"/>
  <c r="G559" i="25"/>
  <c r="X198" i="25"/>
  <c r="X44" i="25"/>
  <c r="X275" i="25"/>
  <c r="X219" i="25"/>
  <c r="C183" i="25"/>
  <c r="C180" i="25"/>
  <c r="T68" i="25"/>
  <c r="C182" i="25"/>
  <c r="D531" i="25"/>
  <c r="D528" i="25"/>
  <c r="U188" i="25"/>
  <c r="D530" i="25"/>
  <c r="F585" i="25"/>
  <c r="W209" i="25" s="1"/>
  <c r="K345" i="25"/>
  <c r="P345" i="25" s="1"/>
  <c r="J351" i="25" s="1"/>
  <c r="AF27" i="25" s="1"/>
  <c r="J345" i="25"/>
  <c r="T131" i="25" s="1"/>
  <c r="T130" i="25"/>
  <c r="AY21" i="25"/>
  <c r="AX14" i="25"/>
  <c r="BA15" i="25"/>
  <c r="BB14" i="25"/>
  <c r="BA21" i="25"/>
  <c r="BB20" i="25"/>
  <c r="C557" i="25"/>
  <c r="T198" i="25"/>
  <c r="C560" i="25"/>
  <c r="C559" i="25"/>
  <c r="C556" i="25" s="1"/>
  <c r="T199" i="25" s="1"/>
  <c r="E324" i="25"/>
  <c r="V119" i="25" s="1"/>
  <c r="E237" i="25"/>
  <c r="V89" i="25" s="1"/>
  <c r="G411" i="25"/>
  <c r="X149" i="25" s="1"/>
  <c r="D411" i="25"/>
  <c r="U149" i="25" s="1"/>
  <c r="AA64" i="25"/>
  <c r="D93" i="25"/>
  <c r="U38" i="25"/>
  <c r="D96" i="25"/>
  <c r="D95" i="25"/>
  <c r="AY14" i="25"/>
  <c r="AZ17" i="25"/>
  <c r="AY22" i="25"/>
  <c r="BB15" i="25"/>
  <c r="BA23" i="25"/>
  <c r="BC13" i="25"/>
  <c r="AL113" i="25"/>
  <c r="AT94" i="25"/>
  <c r="AY94" i="25" s="1"/>
  <c r="AS100" i="25" s="1"/>
  <c r="AS94" i="25"/>
  <c r="AL114" i="25" s="1"/>
  <c r="AY16" i="25"/>
  <c r="F556" i="25"/>
  <c r="W199" i="25" s="1"/>
  <c r="D440" i="25"/>
  <c r="U159" i="25" s="1"/>
  <c r="G328" i="25"/>
  <c r="G325" i="25"/>
  <c r="X118" i="25"/>
  <c r="G327" i="25"/>
  <c r="AA214" i="25"/>
  <c r="D386" i="25"/>
  <c r="D383" i="25"/>
  <c r="U138" i="25"/>
  <c r="D385" i="25"/>
  <c r="AX18" i="25"/>
  <c r="BA19" i="25"/>
  <c r="BA22" i="25"/>
  <c r="AX17" i="25"/>
  <c r="BB23" i="25"/>
  <c r="AZ16" i="25"/>
  <c r="C238" i="25"/>
  <c r="C241" i="25"/>
  <c r="T88" i="25"/>
  <c r="C240" i="25"/>
  <c r="BC21" i="25"/>
  <c r="E151" i="25"/>
  <c r="E153" i="25"/>
  <c r="E154" i="25"/>
  <c r="V58" i="25"/>
  <c r="K113" i="25"/>
  <c r="J113" i="25"/>
  <c r="T51" i="25" s="1"/>
  <c r="T50" i="25"/>
  <c r="T281" i="25" s="1"/>
  <c r="P113" i="25"/>
  <c r="J119" i="25" s="1"/>
  <c r="AF19" i="25" s="1"/>
  <c r="AP111" i="25"/>
  <c r="AP106" i="25"/>
  <c r="AP103" i="25"/>
  <c r="AP105" i="25"/>
  <c r="T219" i="25"/>
  <c r="AM111" i="25"/>
  <c r="AM106" i="25"/>
  <c r="AM103" i="25"/>
  <c r="AM105" i="25"/>
  <c r="J61" i="25"/>
  <c r="AF17" i="25" s="1"/>
  <c r="BB19" i="25"/>
  <c r="BA17" i="25"/>
  <c r="AZ13" i="25"/>
  <c r="BB18" i="25"/>
  <c r="BA13" i="25"/>
  <c r="AZ19" i="25"/>
  <c r="G125" i="25"/>
  <c r="G122" i="25"/>
  <c r="X48" i="25"/>
  <c r="G124" i="25"/>
  <c r="K30" i="25"/>
  <c r="P30" i="25" s="1"/>
  <c r="J32" i="25" s="1"/>
  <c r="AF16" i="25" s="1"/>
  <c r="J30" i="25"/>
  <c r="X21" i="25" s="1"/>
  <c r="X20" i="25"/>
  <c r="AA74" i="25"/>
  <c r="AZ20" i="25"/>
  <c r="BA16" i="25"/>
  <c r="AZ22" i="25"/>
  <c r="AZ21" i="25"/>
  <c r="AX16" i="25"/>
  <c r="E531" i="25"/>
  <c r="E528" i="25"/>
  <c r="V188" i="25"/>
  <c r="E530" i="25"/>
  <c r="D325" i="25"/>
  <c r="D328" i="25"/>
  <c r="U118" i="25"/>
  <c r="D327" i="25"/>
  <c r="G154" i="25"/>
  <c r="G151" i="25"/>
  <c r="X58" i="25"/>
  <c r="G153" i="25"/>
  <c r="K403" i="25"/>
  <c r="P403" i="25" s="1"/>
  <c r="J409" i="25" s="1"/>
  <c r="AF29" i="25" s="1"/>
  <c r="J403" i="25"/>
  <c r="T151" i="25" s="1"/>
  <c r="T150" i="25"/>
  <c r="C469" i="25"/>
  <c r="T169" i="25" s="1"/>
  <c r="D353" i="25"/>
  <c r="U129" i="25" s="1"/>
  <c r="D183" i="25"/>
  <c r="D182" i="25"/>
  <c r="D180" i="25"/>
  <c r="U68" i="25"/>
  <c r="D208" i="25"/>
  <c r="U79" i="25" s="1"/>
  <c r="G499" i="25"/>
  <c r="G502" i="25"/>
  <c r="X178" i="25"/>
  <c r="G501" i="25"/>
  <c r="T227" i="25"/>
  <c r="E180" i="25"/>
  <c r="E183" i="25"/>
  <c r="E182" i="25"/>
  <c r="V68" i="25"/>
  <c r="BB21" i="25"/>
  <c r="AX15" i="25"/>
  <c r="AZ15" i="25"/>
  <c r="AZ23" i="25"/>
  <c r="BB17" i="25"/>
  <c r="AX22" i="25"/>
  <c r="E357" i="25"/>
  <c r="E354" i="25"/>
  <c r="V128" i="25"/>
  <c r="E356" i="25"/>
  <c r="K519" i="25"/>
  <c r="P519" i="25" s="1"/>
  <c r="J525" i="25" s="1"/>
  <c r="AF33" i="25" s="1"/>
  <c r="J519" i="25"/>
  <c r="T191" i="25" s="1"/>
  <c r="T190" i="25"/>
  <c r="C325" i="25"/>
  <c r="C328" i="25"/>
  <c r="T118" i="25"/>
  <c r="C327" i="25"/>
  <c r="D589" i="25"/>
  <c r="D586" i="25"/>
  <c r="U208" i="25"/>
  <c r="D588" i="25"/>
  <c r="G208" i="25"/>
  <c r="X79" i="25" s="1"/>
  <c r="D295" i="25"/>
  <c r="U109" i="25" s="1"/>
  <c r="W281" i="25"/>
  <c r="W223" i="25"/>
  <c r="E585" i="25"/>
  <c r="V209" i="25" s="1"/>
  <c r="D122" i="25"/>
  <c r="D125" i="25"/>
  <c r="U48" i="25"/>
  <c r="D124" i="25"/>
  <c r="V275" i="25"/>
  <c r="F324" i="25"/>
  <c r="W119" i="25" s="1"/>
  <c r="F528" i="25"/>
  <c r="F531" i="25"/>
  <c r="W188" i="25"/>
  <c r="F530" i="25"/>
  <c r="E469" i="25"/>
  <c r="V169" i="25" s="1"/>
  <c r="E63" i="25"/>
  <c r="V29" i="25" s="1"/>
  <c r="AZ14" i="25"/>
  <c r="BB16" i="25"/>
  <c r="AZ18" i="25"/>
  <c r="AX13" i="25"/>
  <c r="AX19" i="25"/>
  <c r="Z275" i="25"/>
  <c r="E212" i="25"/>
  <c r="E209" i="25"/>
  <c r="E211" i="25"/>
  <c r="V78" i="25"/>
  <c r="E122" i="25"/>
  <c r="E125" i="25"/>
  <c r="V48" i="25"/>
  <c r="E124" i="25"/>
  <c r="E121" i="25" s="1"/>
  <c r="V49" i="25" s="1"/>
  <c r="G238" i="25"/>
  <c r="G241" i="25"/>
  <c r="X88" i="25"/>
  <c r="G240" i="25"/>
  <c r="G266" i="25"/>
  <c r="X99" i="25" s="1"/>
  <c r="W282" i="25"/>
  <c r="W283" i="25" s="1"/>
  <c r="W224" i="25"/>
  <c r="C151" i="25"/>
  <c r="C154" i="25"/>
  <c r="T58" i="25"/>
  <c r="C153" i="25"/>
  <c r="C150" i="25" s="1"/>
  <c r="T59" i="25" s="1"/>
  <c r="AA204" i="25"/>
  <c r="T249" i="25"/>
  <c r="C440" i="25"/>
  <c r="T159" i="25" s="1"/>
  <c r="AY18" i="25"/>
  <c r="BC23" i="25"/>
  <c r="AX21" i="25"/>
  <c r="BC14" i="25"/>
  <c r="AN102" i="24"/>
  <c r="AN112" i="24" s="1"/>
  <c r="AO105" i="24"/>
  <c r="AO103" i="24"/>
  <c r="AO106" i="24"/>
  <c r="AY94" i="24"/>
  <c r="AS100" i="24" s="1"/>
  <c r="D527" i="24"/>
  <c r="U189" i="24" s="1"/>
  <c r="F498" i="24"/>
  <c r="W179" i="24" s="1"/>
  <c r="E411" i="24"/>
  <c r="V149" i="24" s="1"/>
  <c r="V148" i="24"/>
  <c r="E412" i="24"/>
  <c r="J380" i="24"/>
  <c r="AF28" i="24" s="1"/>
  <c r="C354" i="24"/>
  <c r="AA124" i="24"/>
  <c r="E298" i="24"/>
  <c r="E295" i="24" s="1"/>
  <c r="V109" i="24" s="1"/>
  <c r="X108" i="24"/>
  <c r="K289" i="24"/>
  <c r="P289" i="24" s="1"/>
  <c r="J293" i="24" s="1"/>
  <c r="AF25" i="24" s="1"/>
  <c r="V108" i="24"/>
  <c r="G298" i="24"/>
  <c r="G295" i="24" s="1"/>
  <c r="X109" i="24" s="1"/>
  <c r="C269" i="24"/>
  <c r="C266" i="24" s="1"/>
  <c r="T99" i="24" s="1"/>
  <c r="J229" i="24"/>
  <c r="T91" i="24" s="1"/>
  <c r="T68" i="24"/>
  <c r="D124" i="24"/>
  <c r="D121" i="24" s="1"/>
  <c r="U49" i="24" s="1"/>
  <c r="U48" i="24"/>
  <c r="D125" i="24"/>
  <c r="C121" i="24"/>
  <c r="T49" i="24" s="1"/>
  <c r="F585" i="24"/>
  <c r="W209" i="24" s="1"/>
  <c r="J525" i="24"/>
  <c r="AF33" i="24" s="1"/>
  <c r="F527" i="24"/>
  <c r="W189" i="24" s="1"/>
  <c r="G498" i="24"/>
  <c r="X179" i="24" s="1"/>
  <c r="C440" i="24"/>
  <c r="T159" i="24" s="1"/>
  <c r="AA154" i="24"/>
  <c r="C382" i="24"/>
  <c r="T139" i="24" s="1"/>
  <c r="BC21" i="24"/>
  <c r="D353" i="24"/>
  <c r="U129" i="24" s="1"/>
  <c r="AA134" i="24"/>
  <c r="BC23" i="24"/>
  <c r="V110" i="24"/>
  <c r="V223" i="24" s="1"/>
  <c r="X224" i="24"/>
  <c r="D266" i="24"/>
  <c r="U99" i="24" s="1"/>
  <c r="C238" i="24"/>
  <c r="D208" i="24"/>
  <c r="U79" i="24" s="1"/>
  <c r="X223" i="24"/>
  <c r="BB15" i="24"/>
  <c r="BA21" i="24"/>
  <c r="C182" i="24"/>
  <c r="C179" i="24" s="1"/>
  <c r="T69" i="24" s="1"/>
  <c r="C183" i="24"/>
  <c r="U227" i="24"/>
  <c r="AX18" i="24"/>
  <c r="X282" i="24"/>
  <c r="X283" i="24" s="1"/>
  <c r="BC13" i="24"/>
  <c r="AX21" i="24"/>
  <c r="W275" i="24"/>
  <c r="AA44" i="24"/>
  <c r="W219" i="24"/>
  <c r="W18" i="24"/>
  <c r="F37" i="24"/>
  <c r="F34" i="24" s="1"/>
  <c r="W19" i="24" s="1"/>
  <c r="F35" i="24"/>
  <c r="C34" i="24"/>
  <c r="T19" i="24" s="1"/>
  <c r="J119" i="24"/>
  <c r="AF19" i="24" s="1"/>
  <c r="J351" i="24"/>
  <c r="AF27" i="24" s="1"/>
  <c r="J206" i="24"/>
  <c r="AF22" i="24" s="1"/>
  <c r="T248" i="24"/>
  <c r="AA194" i="24"/>
  <c r="U40" i="24"/>
  <c r="U281" i="24" s="1"/>
  <c r="K85" i="24"/>
  <c r="J85" i="24"/>
  <c r="U41" i="24" s="1"/>
  <c r="U282" i="24" s="1"/>
  <c r="U283" i="24" s="1"/>
  <c r="P85" i="24"/>
  <c r="J90" i="24" s="1"/>
  <c r="AF18" i="24" s="1"/>
  <c r="F382" i="24"/>
  <c r="W139" i="24" s="1"/>
  <c r="G473" i="24"/>
  <c r="G470" i="24"/>
  <c r="X168" i="24"/>
  <c r="G472" i="24"/>
  <c r="G531" i="24"/>
  <c r="G528" i="24"/>
  <c r="G530" i="24"/>
  <c r="X188" i="24"/>
  <c r="F469" i="24"/>
  <c r="W169" i="24" s="1"/>
  <c r="F93" i="24"/>
  <c r="F95" i="24"/>
  <c r="F96" i="24"/>
  <c r="W38" i="24"/>
  <c r="E469" i="24"/>
  <c r="V169" i="24" s="1"/>
  <c r="AZ16" i="24"/>
  <c r="BB19" i="24"/>
  <c r="BB22" i="24"/>
  <c r="AX17" i="24"/>
  <c r="BA23" i="24"/>
  <c r="Z275" i="24"/>
  <c r="U224" i="24"/>
  <c r="C237" i="24"/>
  <c r="T89" i="24" s="1"/>
  <c r="C92" i="24"/>
  <c r="T39" i="24" s="1"/>
  <c r="F212" i="24"/>
  <c r="F209" i="24"/>
  <c r="W78" i="24"/>
  <c r="F211" i="24"/>
  <c r="F208" i="24" s="1"/>
  <c r="W79" i="24" s="1"/>
  <c r="K258" i="24"/>
  <c r="P258" i="24" s="1"/>
  <c r="J264" i="24" s="1"/>
  <c r="AF24" i="24" s="1"/>
  <c r="J258" i="24"/>
  <c r="T101" i="24" s="1"/>
  <c r="T100" i="24"/>
  <c r="D154" i="24"/>
  <c r="D151" i="24"/>
  <c r="U58" i="24"/>
  <c r="U278" i="24" s="1"/>
  <c r="D153" i="24"/>
  <c r="D585" i="24"/>
  <c r="U209" i="24" s="1"/>
  <c r="E92" i="24"/>
  <c r="V39" i="24" s="1"/>
  <c r="V281" i="24"/>
  <c r="D63" i="24"/>
  <c r="U29" i="24" s="1"/>
  <c r="G440" i="24"/>
  <c r="X159" i="24" s="1"/>
  <c r="C63" i="24"/>
  <c r="T29" i="24" s="1"/>
  <c r="AZ19" i="24"/>
  <c r="AZ22" i="24"/>
  <c r="AX23" i="24"/>
  <c r="BB18" i="24"/>
  <c r="AY13" i="24"/>
  <c r="G415" i="24"/>
  <c r="G412" i="24"/>
  <c r="G414" i="24"/>
  <c r="X148" i="24"/>
  <c r="D473" i="24"/>
  <c r="D470" i="24"/>
  <c r="U168" i="24"/>
  <c r="D472" i="24"/>
  <c r="D469" i="24" s="1"/>
  <c r="U169" i="24" s="1"/>
  <c r="C295" i="24"/>
  <c r="T109" i="24" s="1"/>
  <c r="AA94" i="24"/>
  <c r="J403" i="24"/>
  <c r="T151" i="24" s="1"/>
  <c r="K403" i="24"/>
  <c r="P403" i="24" s="1"/>
  <c r="J409" i="24" s="1"/>
  <c r="AF29" i="24" s="1"/>
  <c r="T150" i="24"/>
  <c r="D241" i="24"/>
  <c r="D238" i="24"/>
  <c r="U88" i="24"/>
  <c r="D240" i="24"/>
  <c r="V282" i="24"/>
  <c r="V283" i="24" s="1"/>
  <c r="V224" i="24"/>
  <c r="C208" i="24"/>
  <c r="T79" i="24" s="1"/>
  <c r="C154" i="24"/>
  <c r="C151" i="24"/>
  <c r="T58" i="24"/>
  <c r="C153" i="24"/>
  <c r="C150" i="24" s="1"/>
  <c r="T59" i="24" s="1"/>
  <c r="F150" i="24"/>
  <c r="W59" i="24" s="1"/>
  <c r="BC20" i="24"/>
  <c r="AY14" i="24"/>
  <c r="AY19" i="24"/>
  <c r="AZ21" i="24"/>
  <c r="AZ17" i="24"/>
  <c r="C502" i="24"/>
  <c r="C499" i="24"/>
  <c r="T178" i="24"/>
  <c r="C501" i="24"/>
  <c r="U246" i="24"/>
  <c r="AA174" i="24"/>
  <c r="G208" i="24"/>
  <c r="X79" i="24" s="1"/>
  <c r="E325" i="24"/>
  <c r="E328" i="24"/>
  <c r="V118" i="24"/>
  <c r="E327" i="24"/>
  <c r="C556" i="24"/>
  <c r="T199" i="24" s="1"/>
  <c r="C353" i="24"/>
  <c r="T129" i="24" s="1"/>
  <c r="T235" i="24"/>
  <c r="AA64" i="24"/>
  <c r="C469" i="24"/>
  <c r="T169" i="24" s="1"/>
  <c r="E498" i="24"/>
  <c r="V179" i="24" s="1"/>
  <c r="G266" i="24"/>
  <c r="X99" i="24" s="1"/>
  <c r="AX22" i="24"/>
  <c r="AY15" i="24"/>
  <c r="BA14" i="24"/>
  <c r="AZ23" i="24"/>
  <c r="AY20" i="24"/>
  <c r="G34" i="24"/>
  <c r="X19" i="24" s="1"/>
  <c r="F179" i="24"/>
  <c r="W69" i="24" s="1"/>
  <c r="E241" i="24"/>
  <c r="E238" i="24"/>
  <c r="V88" i="24"/>
  <c r="E240" i="24"/>
  <c r="E237" i="24" s="1"/>
  <c r="V89" i="24" s="1"/>
  <c r="K171" i="24"/>
  <c r="P171" i="24" s="1"/>
  <c r="J177" i="24" s="1"/>
  <c r="AF21" i="24" s="1"/>
  <c r="J171" i="24"/>
  <c r="T71" i="24" s="1"/>
  <c r="T70" i="24"/>
  <c r="F357" i="24"/>
  <c r="F354" i="24"/>
  <c r="W128" i="24"/>
  <c r="F356" i="24"/>
  <c r="X219" i="24"/>
  <c r="E585" i="24"/>
  <c r="V209" i="24" s="1"/>
  <c r="D382" i="24"/>
  <c r="U139" i="24" s="1"/>
  <c r="G357" i="24"/>
  <c r="G354" i="24"/>
  <c r="G356" i="24"/>
  <c r="X128" i="24"/>
  <c r="BA16" i="24"/>
  <c r="BC16" i="24"/>
  <c r="BA15" i="24"/>
  <c r="BB20" i="24"/>
  <c r="BB21" i="24"/>
  <c r="T20" i="24"/>
  <c r="J26" i="24"/>
  <c r="T21" i="24" s="1"/>
  <c r="K26" i="24"/>
  <c r="P26" i="24" s="1"/>
  <c r="J32" i="24" s="1"/>
  <c r="AF16" i="24" s="1"/>
  <c r="E531" i="24"/>
  <c r="E528" i="24"/>
  <c r="V188" i="24"/>
  <c r="E530" i="24"/>
  <c r="D502" i="24"/>
  <c r="D499" i="24"/>
  <c r="U178" i="24"/>
  <c r="D501" i="24"/>
  <c r="F325" i="24"/>
  <c r="F328" i="24"/>
  <c r="W118" i="24"/>
  <c r="F327" i="24"/>
  <c r="D328" i="24"/>
  <c r="D325" i="24"/>
  <c r="U118" i="24"/>
  <c r="D327" i="24"/>
  <c r="J322" i="24"/>
  <c r="AF26" i="24" s="1"/>
  <c r="BA19" i="24"/>
  <c r="AY18" i="24"/>
  <c r="BA18" i="24"/>
  <c r="AX13" i="24"/>
  <c r="BB23" i="24"/>
  <c r="X227" i="24"/>
  <c r="E122" i="24"/>
  <c r="V48" i="24"/>
  <c r="V278" i="24" s="1"/>
  <c r="E125" i="24"/>
  <c r="E124" i="24"/>
  <c r="AA74" i="24"/>
  <c r="J148" i="24"/>
  <c r="AF20" i="24" s="1"/>
  <c r="E34" i="24"/>
  <c r="V19" i="24" s="1"/>
  <c r="AL103" i="24"/>
  <c r="AL111" i="24"/>
  <c r="AL106" i="24"/>
  <c r="AL105" i="24"/>
  <c r="AL102" i="24" s="1"/>
  <c r="AL112" i="24" s="1"/>
  <c r="AP111" i="24"/>
  <c r="AP106" i="24"/>
  <c r="AP103" i="24"/>
  <c r="AP105" i="24"/>
  <c r="AO102" i="24"/>
  <c r="AO112" i="24" s="1"/>
  <c r="AA54" i="24"/>
  <c r="BA13" i="24"/>
  <c r="AY22" i="24"/>
  <c r="BC19" i="24"/>
  <c r="AY21" i="24"/>
  <c r="BC14" i="24"/>
  <c r="BC17" i="24"/>
  <c r="F241" i="24"/>
  <c r="F238" i="24"/>
  <c r="W88" i="24"/>
  <c r="F240" i="24"/>
  <c r="J496" i="24"/>
  <c r="AF32" i="24" s="1"/>
  <c r="V290" i="24"/>
  <c r="V291" i="24"/>
  <c r="V292" i="24" s="1"/>
  <c r="V227" i="24"/>
  <c r="V231" i="24"/>
  <c r="D95" i="24"/>
  <c r="D92" i="24" s="1"/>
  <c r="U39" i="24" s="1"/>
  <c r="C328" i="24"/>
  <c r="C325" i="24"/>
  <c r="T118" i="24"/>
  <c r="C327" i="24"/>
  <c r="T290" i="24"/>
  <c r="T291" i="24"/>
  <c r="T292" i="24" s="1"/>
  <c r="T227" i="24"/>
  <c r="T231" i="24"/>
  <c r="AA24" i="24"/>
  <c r="AX16" i="24"/>
  <c r="AY16" i="24"/>
  <c r="BA22" i="24"/>
  <c r="BC22" i="24"/>
  <c r="BC15" i="24"/>
  <c r="AZ13" i="24"/>
  <c r="G241" i="24"/>
  <c r="G238" i="24"/>
  <c r="X88" i="24"/>
  <c r="G240" i="24"/>
  <c r="AM102" i="24"/>
  <c r="AM112" i="24" s="1"/>
  <c r="V219" i="24"/>
  <c r="E180" i="24"/>
  <c r="E183" i="24"/>
  <c r="V68" i="24"/>
  <c r="E182" i="24"/>
  <c r="D183" i="24"/>
  <c r="D180" i="24"/>
  <c r="U68" i="24"/>
  <c r="D182" i="24"/>
  <c r="F299" i="24"/>
  <c r="F296" i="24"/>
  <c r="W108" i="24"/>
  <c r="F298" i="24"/>
  <c r="T219" i="24"/>
  <c r="F415" i="24"/>
  <c r="F412" i="24"/>
  <c r="W148" i="24"/>
  <c r="F414" i="24"/>
  <c r="G121" i="24"/>
  <c r="X49" i="24" s="1"/>
  <c r="W281" i="24"/>
  <c r="W223" i="24"/>
  <c r="BB17" i="24"/>
  <c r="AX14" i="24"/>
  <c r="AZ14" i="24"/>
  <c r="AY23" i="24"/>
  <c r="AY17" i="24"/>
  <c r="BA17" i="24"/>
  <c r="W290" i="24"/>
  <c r="W291" i="24"/>
  <c r="W292" i="24" s="1"/>
  <c r="W227" i="24"/>
  <c r="W231" i="24"/>
  <c r="E266" i="24"/>
  <c r="V99" i="24" s="1"/>
  <c r="V275" i="24"/>
  <c r="G92" i="24"/>
  <c r="X39" i="24" s="1"/>
  <c r="T275" i="24"/>
  <c r="G382" i="24"/>
  <c r="X139" i="24" s="1"/>
  <c r="W282" i="24"/>
  <c r="W283" i="24" s="1"/>
  <c r="W224" i="24"/>
  <c r="AX19" i="24"/>
  <c r="AX15" i="24"/>
  <c r="AZ15" i="24"/>
  <c r="BB13" i="24"/>
  <c r="BC18" i="24"/>
  <c r="AZ20" i="24"/>
  <c r="U240" i="24"/>
  <c r="AA114" i="24"/>
  <c r="G154" i="24"/>
  <c r="G151" i="24"/>
  <c r="X58" i="24"/>
  <c r="X278" i="24" s="1"/>
  <c r="G153" i="24"/>
  <c r="C528" i="24"/>
  <c r="C531" i="24"/>
  <c r="T188" i="24"/>
  <c r="C530" i="24"/>
  <c r="E150" i="24"/>
  <c r="V59" i="24" s="1"/>
  <c r="G180" i="24"/>
  <c r="G183" i="24"/>
  <c r="X68" i="24"/>
  <c r="G182" i="24"/>
  <c r="G179" i="24" s="1"/>
  <c r="X69" i="24" s="1"/>
  <c r="C412" i="24"/>
  <c r="C415" i="24"/>
  <c r="T148" i="24"/>
  <c r="C414" i="24"/>
  <c r="E209" i="24"/>
  <c r="E212" i="24"/>
  <c r="V78" i="24"/>
  <c r="E211" i="24"/>
  <c r="E353" i="24"/>
  <c r="V129" i="24" s="1"/>
  <c r="G324" i="24"/>
  <c r="X119" i="24" s="1"/>
  <c r="D411" i="24"/>
  <c r="U149" i="24" s="1"/>
  <c r="F63" i="24"/>
  <c r="W29" i="24" s="1"/>
  <c r="U219" i="24"/>
  <c r="W278" i="24"/>
  <c r="D296" i="24"/>
  <c r="D299" i="24"/>
  <c r="U108" i="24"/>
  <c r="D298" i="24"/>
  <c r="BA20" i="24"/>
  <c r="BB16" i="24"/>
  <c r="AZ18" i="24"/>
  <c r="BB14" i="24"/>
  <c r="AX20" i="24"/>
  <c r="AN105" i="23"/>
  <c r="AN102" i="23" s="1"/>
  <c r="AN112" i="23" s="1"/>
  <c r="AN103" i="23"/>
  <c r="G557" i="23"/>
  <c r="G559" i="23"/>
  <c r="G556" i="23" s="1"/>
  <c r="X199" i="23" s="1"/>
  <c r="G560" i="23"/>
  <c r="T248" i="23"/>
  <c r="V148" i="23"/>
  <c r="E382" i="23"/>
  <c r="V139" i="23" s="1"/>
  <c r="C356" i="23"/>
  <c r="C353" i="23" s="1"/>
  <c r="T129" i="23" s="1"/>
  <c r="C354" i="23"/>
  <c r="C295" i="23"/>
  <c r="T109" i="23" s="1"/>
  <c r="T78" i="23"/>
  <c r="T80" i="23"/>
  <c r="D153" i="23"/>
  <c r="D150" i="23" s="1"/>
  <c r="U59" i="23" s="1"/>
  <c r="E150" i="23"/>
  <c r="V59" i="23" s="1"/>
  <c r="T275" i="23"/>
  <c r="D124" i="23"/>
  <c r="D125" i="23"/>
  <c r="U48" i="23"/>
  <c r="C96" i="23"/>
  <c r="F96" i="23"/>
  <c r="E63" i="23"/>
  <c r="V29" i="23" s="1"/>
  <c r="D63" i="23"/>
  <c r="U29" i="23" s="1"/>
  <c r="C37" i="23"/>
  <c r="T18" i="23"/>
  <c r="C35" i="23"/>
  <c r="K521" i="23"/>
  <c r="P521" i="23" s="1"/>
  <c r="D527" i="23"/>
  <c r="U189" i="23" s="1"/>
  <c r="C498" i="23"/>
  <c r="T179" i="23" s="1"/>
  <c r="W219" i="23"/>
  <c r="C440" i="23"/>
  <c r="T159" i="23" s="1"/>
  <c r="D440" i="23"/>
  <c r="U159" i="23" s="1"/>
  <c r="G440" i="23"/>
  <c r="X159" i="23" s="1"/>
  <c r="E411" i="23"/>
  <c r="V149" i="23" s="1"/>
  <c r="F382" i="23"/>
  <c r="W139" i="23" s="1"/>
  <c r="J346" i="23"/>
  <c r="U131" i="23" s="1"/>
  <c r="J351" i="23"/>
  <c r="AF27" i="23" s="1"/>
  <c r="F353" i="23"/>
  <c r="W129" i="23" s="1"/>
  <c r="D324" i="23"/>
  <c r="U119" i="23" s="1"/>
  <c r="J322" i="23"/>
  <c r="AF26" i="23" s="1"/>
  <c r="G324" i="23"/>
  <c r="X119" i="23" s="1"/>
  <c r="J235" i="23"/>
  <c r="AF23" i="23" s="1"/>
  <c r="C237" i="23"/>
  <c r="T89" i="23" s="1"/>
  <c r="C208" i="23"/>
  <c r="T79" i="23" s="1"/>
  <c r="G208" i="23"/>
  <c r="X79" i="23" s="1"/>
  <c r="W68" i="23"/>
  <c r="F154" i="23"/>
  <c r="T58" i="23"/>
  <c r="C151" i="23"/>
  <c r="G121" i="23"/>
  <c r="X49" i="23" s="1"/>
  <c r="X281" i="23"/>
  <c r="X282" i="23"/>
  <c r="X283" i="23" s="1"/>
  <c r="F92" i="23"/>
  <c r="W39" i="23" s="1"/>
  <c r="J380" i="23"/>
  <c r="AF28" i="23" s="1"/>
  <c r="J496" i="23"/>
  <c r="AF32" i="23" s="1"/>
  <c r="E96" i="23"/>
  <c r="E93" i="23"/>
  <c r="V38" i="23"/>
  <c r="E95" i="23"/>
  <c r="K403" i="23"/>
  <c r="P403" i="23" s="1"/>
  <c r="J409" i="23" s="1"/>
  <c r="AF29" i="23" s="1"/>
  <c r="J403" i="23"/>
  <c r="T151" i="23" s="1"/>
  <c r="T150" i="23"/>
  <c r="K84" i="23"/>
  <c r="P84" i="23" s="1"/>
  <c r="J90" i="23" s="1"/>
  <c r="AF18" i="23" s="1"/>
  <c r="J84" i="23"/>
  <c r="T41" i="23" s="1"/>
  <c r="T40" i="23"/>
  <c r="G357" i="23"/>
  <c r="G354" i="23"/>
  <c r="X128" i="23"/>
  <c r="G356" i="23"/>
  <c r="G67" i="23"/>
  <c r="G64" i="23"/>
  <c r="X28" i="23"/>
  <c r="G66" i="23"/>
  <c r="U224" i="23"/>
  <c r="U282" i="23"/>
  <c r="U283" i="23" s="1"/>
  <c r="E499" i="23"/>
  <c r="E502" i="23"/>
  <c r="V178" i="23"/>
  <c r="E501" i="23"/>
  <c r="AA84" i="23"/>
  <c r="D241" i="23"/>
  <c r="D238" i="23"/>
  <c r="U88" i="23"/>
  <c r="D240" i="23"/>
  <c r="U281" i="23"/>
  <c r="U223" i="23"/>
  <c r="C473" i="23"/>
  <c r="T168" i="23"/>
  <c r="C470" i="23"/>
  <c r="C472" i="23"/>
  <c r="X18" i="23"/>
  <c r="G38" i="23"/>
  <c r="G35" i="23"/>
  <c r="G37" i="23"/>
  <c r="G528" i="23"/>
  <c r="X188" i="23"/>
  <c r="G531" i="23"/>
  <c r="G530" i="23"/>
  <c r="F498" i="23"/>
  <c r="W179" i="23" s="1"/>
  <c r="AL111" i="23"/>
  <c r="AL106" i="23"/>
  <c r="AL103" i="23"/>
  <c r="AL105" i="23"/>
  <c r="F63" i="23"/>
  <c r="W29" i="23" s="1"/>
  <c r="Z275" i="23"/>
  <c r="BA20" i="23"/>
  <c r="AX19" i="23"/>
  <c r="BB17" i="23"/>
  <c r="AX16" i="23"/>
  <c r="BA13" i="23"/>
  <c r="BB23" i="23"/>
  <c r="BB21" i="23"/>
  <c r="AY20" i="23"/>
  <c r="AZ17" i="23"/>
  <c r="AY13" i="23"/>
  <c r="AX23" i="23"/>
  <c r="BB22" i="23"/>
  <c r="BA23" i="23"/>
  <c r="BB20" i="23"/>
  <c r="AZ18" i="23"/>
  <c r="BB15" i="23"/>
  <c r="AZ14" i="23"/>
  <c r="AZ23" i="23"/>
  <c r="BC22" i="23"/>
  <c r="AZ20" i="23"/>
  <c r="AY18" i="23"/>
  <c r="BA15" i="23"/>
  <c r="AY14" i="23"/>
  <c r="BC14" i="23"/>
  <c r="AY23" i="23"/>
  <c r="BA22" i="23"/>
  <c r="AX20" i="23"/>
  <c r="AX18" i="23"/>
  <c r="AZ15" i="23"/>
  <c r="AX14" i="23"/>
  <c r="AY19" i="23"/>
  <c r="AZ22" i="23"/>
  <c r="BC17" i="23"/>
  <c r="AY15" i="23"/>
  <c r="BC18" i="23"/>
  <c r="AY22" i="23"/>
  <c r="BA17" i="23"/>
  <c r="AX15" i="23"/>
  <c r="BC13" i="23"/>
  <c r="AX22" i="23"/>
  <c r="BC21" i="23"/>
  <c r="BC19" i="23"/>
  <c r="AY17" i="23"/>
  <c r="BB13" i="23"/>
  <c r="AZ16" i="23"/>
  <c r="BA21" i="23"/>
  <c r="BB19" i="23"/>
  <c r="AX17" i="23"/>
  <c r="AZ13" i="23"/>
  <c r="AX21" i="23"/>
  <c r="BB18" i="23"/>
  <c r="AZ21" i="23"/>
  <c r="BA19" i="23"/>
  <c r="BC16" i="23"/>
  <c r="AX13" i="23"/>
  <c r="AY21" i="23"/>
  <c r="AZ19" i="23"/>
  <c r="BB16" i="23"/>
  <c r="BA16" i="23"/>
  <c r="BC23" i="23"/>
  <c r="BC20" i="23"/>
  <c r="BA18" i="23"/>
  <c r="AY16" i="23"/>
  <c r="BC15" i="23"/>
  <c r="BA14" i="23"/>
  <c r="BB14" i="23"/>
  <c r="W290" i="23"/>
  <c r="W227" i="23"/>
  <c r="W231" i="23"/>
  <c r="W291" i="23"/>
  <c r="W292" i="23" s="1"/>
  <c r="U290" i="23"/>
  <c r="U291" i="23"/>
  <c r="U292" i="23" s="1"/>
  <c r="U227" i="23"/>
  <c r="U231" i="23"/>
  <c r="G237" i="23"/>
  <c r="X89" i="23" s="1"/>
  <c r="F440" i="23"/>
  <c r="W159" i="23" s="1"/>
  <c r="D357" i="23"/>
  <c r="D354" i="23"/>
  <c r="D356" i="23"/>
  <c r="D353" i="23" s="1"/>
  <c r="U129" i="23" s="1"/>
  <c r="U128" i="23"/>
  <c r="X219" i="23"/>
  <c r="X275" i="23"/>
  <c r="X24" i="23"/>
  <c r="AA24" i="23" s="1"/>
  <c r="C325" i="23"/>
  <c r="C328" i="23"/>
  <c r="T118" i="23"/>
  <c r="C327" i="23"/>
  <c r="T241" i="23"/>
  <c r="AA124" i="23"/>
  <c r="J519" i="23"/>
  <c r="T191" i="23" s="1"/>
  <c r="T190" i="23"/>
  <c r="K519" i="23"/>
  <c r="P519" i="23" s="1"/>
  <c r="C530" i="23"/>
  <c r="C527" i="23" s="1"/>
  <c r="T189" i="23" s="1"/>
  <c r="K142" i="23"/>
  <c r="P142" i="23" s="1"/>
  <c r="J148" i="23" s="1"/>
  <c r="AF20" i="23" s="1"/>
  <c r="J142" i="23"/>
  <c r="T61" i="23" s="1"/>
  <c r="T60" i="23"/>
  <c r="T281" i="23" s="1"/>
  <c r="C267" i="23"/>
  <c r="C270" i="23"/>
  <c r="T98" i="23"/>
  <c r="C269" i="23"/>
  <c r="G470" i="23"/>
  <c r="G473" i="23"/>
  <c r="X168" i="23"/>
  <c r="G472" i="23"/>
  <c r="E270" i="23"/>
  <c r="E267" i="23"/>
  <c r="V98" i="23"/>
  <c r="E269" i="23"/>
  <c r="V281" i="23"/>
  <c r="F415" i="23"/>
  <c r="F412" i="23"/>
  <c r="W148" i="23"/>
  <c r="F414" i="23"/>
  <c r="D270" i="23"/>
  <c r="U98" i="23"/>
  <c r="D267" i="23"/>
  <c r="D269" i="23"/>
  <c r="D183" i="23"/>
  <c r="D180" i="23"/>
  <c r="U68" i="23"/>
  <c r="D182" i="23"/>
  <c r="V18" i="23"/>
  <c r="E38" i="23"/>
  <c r="E35" i="23"/>
  <c r="E37" i="23"/>
  <c r="E470" i="23"/>
  <c r="E473" i="23"/>
  <c r="V168" i="23"/>
  <c r="E472" i="23"/>
  <c r="F238" i="23"/>
  <c r="F241" i="23"/>
  <c r="W88" i="23"/>
  <c r="F240" i="23"/>
  <c r="C153" i="23"/>
  <c r="C150" i="23" s="1"/>
  <c r="T59" i="23" s="1"/>
  <c r="J206" i="23"/>
  <c r="AF22" i="23" s="1"/>
  <c r="AM106" i="23"/>
  <c r="AM103" i="23"/>
  <c r="AM111" i="23"/>
  <c r="AM105" i="23"/>
  <c r="AM102" i="23" s="1"/>
  <c r="AM112" i="23" s="1"/>
  <c r="V282" i="23"/>
  <c r="V283" i="23" s="1"/>
  <c r="F328" i="23"/>
  <c r="F325" i="23"/>
  <c r="W118" i="23"/>
  <c r="F327" i="23"/>
  <c r="J554" i="23"/>
  <c r="AF34" i="23" s="1"/>
  <c r="D121" i="23"/>
  <c r="U49" i="23" s="1"/>
  <c r="T290" i="23"/>
  <c r="T291" i="23"/>
  <c r="T292" i="23" s="1"/>
  <c r="T227" i="23"/>
  <c r="T231" i="23"/>
  <c r="AA134" i="23"/>
  <c r="D295" i="23"/>
  <c r="U109" i="23" s="1"/>
  <c r="G585" i="23"/>
  <c r="X209" i="23" s="1"/>
  <c r="F295" i="23"/>
  <c r="W109" i="23" s="1"/>
  <c r="D557" i="23"/>
  <c r="D560" i="23"/>
  <c r="U198" i="23"/>
  <c r="D559" i="23"/>
  <c r="E357" i="23"/>
  <c r="V128" i="23"/>
  <c r="E354" i="23"/>
  <c r="E356" i="23"/>
  <c r="E353" i="23" s="1"/>
  <c r="V129" i="23" s="1"/>
  <c r="D212" i="23"/>
  <c r="D209" i="23"/>
  <c r="U78" i="23"/>
  <c r="D211" i="23"/>
  <c r="C559" i="23"/>
  <c r="C560" i="23"/>
  <c r="C557" i="23"/>
  <c r="T198" i="23"/>
  <c r="AA204" i="23"/>
  <c r="T219" i="23"/>
  <c r="AL113" i="23"/>
  <c r="AT94" i="23"/>
  <c r="AY94" i="23" s="1"/>
  <c r="AS100" i="23" s="1"/>
  <c r="AS94" i="23"/>
  <c r="AL114" i="23" s="1"/>
  <c r="F212" i="23"/>
  <c r="F209" i="23"/>
  <c r="W78" i="23"/>
  <c r="F211" i="23"/>
  <c r="F35" i="23"/>
  <c r="F37" i="23"/>
  <c r="F38" i="23"/>
  <c r="W18" i="23"/>
  <c r="E328" i="23"/>
  <c r="E325" i="23"/>
  <c r="V118" i="23"/>
  <c r="E327" i="23"/>
  <c r="G386" i="23"/>
  <c r="G383" i="23"/>
  <c r="X138" i="23"/>
  <c r="G385" i="23"/>
  <c r="G270" i="23"/>
  <c r="G267" i="23"/>
  <c r="X98" i="23"/>
  <c r="G269" i="23"/>
  <c r="X224" i="23"/>
  <c r="E589" i="23"/>
  <c r="E586" i="23"/>
  <c r="V208" i="23"/>
  <c r="E588" i="23"/>
  <c r="V219" i="23"/>
  <c r="AO106" i="23"/>
  <c r="AO103" i="23"/>
  <c r="AO111" i="23"/>
  <c r="AO105" i="23"/>
  <c r="U219" i="23"/>
  <c r="F179" i="23"/>
  <c r="W69" i="23" s="1"/>
  <c r="C95" i="23"/>
  <c r="C92" i="23" s="1"/>
  <c r="T39" i="23" s="1"/>
  <c r="D412" i="23"/>
  <c r="D415" i="23"/>
  <c r="U148" i="23"/>
  <c r="D414" i="23"/>
  <c r="F470" i="23"/>
  <c r="F473" i="23"/>
  <c r="W168" i="23"/>
  <c r="F472" i="23"/>
  <c r="D92" i="23"/>
  <c r="U39" i="23" s="1"/>
  <c r="T28" i="23"/>
  <c r="C64" i="23"/>
  <c r="C67" i="23"/>
  <c r="C66" i="23"/>
  <c r="G154" i="23"/>
  <c r="G151" i="23"/>
  <c r="X58" i="23"/>
  <c r="G153" i="23"/>
  <c r="AA154" i="23"/>
  <c r="F560" i="23"/>
  <c r="F557" i="23"/>
  <c r="F559" i="23"/>
  <c r="W198" i="23"/>
  <c r="C122" i="23"/>
  <c r="C125" i="23"/>
  <c r="T48" i="23"/>
  <c r="C124" i="23"/>
  <c r="AA174" i="23"/>
  <c r="W281" i="23"/>
  <c r="W223" i="23"/>
  <c r="E560" i="23"/>
  <c r="E557" i="23"/>
  <c r="E559" i="23"/>
  <c r="V198" i="23"/>
  <c r="T243" i="23"/>
  <c r="AA144" i="23"/>
  <c r="AA214" i="23"/>
  <c r="J32" i="23"/>
  <c r="AF16" i="23" s="1"/>
  <c r="T239" i="23"/>
  <c r="AA104" i="23"/>
  <c r="J119" i="23"/>
  <c r="AF19" i="23" s="1"/>
  <c r="K577" i="23"/>
  <c r="P577" i="23" s="1"/>
  <c r="J583" i="23" s="1"/>
  <c r="AF35" i="23" s="1"/>
  <c r="T210" i="23"/>
  <c r="J577" i="23"/>
  <c r="T211" i="23" s="1"/>
  <c r="G415" i="23"/>
  <c r="G412" i="23"/>
  <c r="X148" i="23"/>
  <c r="G414" i="23"/>
  <c r="J61" i="23"/>
  <c r="AF17" i="23" s="1"/>
  <c r="C34" i="23"/>
  <c r="T19" i="23" s="1"/>
  <c r="K434" i="23"/>
  <c r="P434" i="23" s="1"/>
  <c r="J438" i="23" s="1"/>
  <c r="AF30" i="23" s="1"/>
  <c r="J434" i="23"/>
  <c r="V161" i="23" s="1"/>
  <c r="V224" i="23" s="1"/>
  <c r="V160" i="23"/>
  <c r="V223" i="23" s="1"/>
  <c r="F589" i="23"/>
  <c r="F586" i="23"/>
  <c r="W208" i="23"/>
  <c r="F588" i="23"/>
  <c r="E121" i="23"/>
  <c r="V49" i="23" s="1"/>
  <c r="E183" i="23"/>
  <c r="E180" i="23"/>
  <c r="V68" i="23"/>
  <c r="E182" i="23"/>
  <c r="T232" i="23"/>
  <c r="AA34" i="23"/>
  <c r="D498" i="23"/>
  <c r="U179" i="23" s="1"/>
  <c r="G498" i="23"/>
  <c r="X179" i="23" s="1"/>
  <c r="X223" i="23"/>
  <c r="AA74" i="23"/>
  <c r="T234" i="23"/>
  <c r="AA54" i="23"/>
  <c r="D34" i="23"/>
  <c r="U19" i="23" s="1"/>
  <c r="W282" i="23"/>
  <c r="W283" i="23" s="1"/>
  <c r="W224" i="23"/>
  <c r="G183" i="23"/>
  <c r="G182" i="23"/>
  <c r="G179" i="23" s="1"/>
  <c r="X69" i="23" s="1"/>
  <c r="G180" i="23"/>
  <c r="X68" i="23"/>
  <c r="C588" i="23"/>
  <c r="C585" i="23" s="1"/>
  <c r="T209" i="23" s="1"/>
  <c r="D589" i="23"/>
  <c r="D586" i="23"/>
  <c r="U208" i="23"/>
  <c r="D588" i="23"/>
  <c r="AP103" i="23"/>
  <c r="AP111" i="23"/>
  <c r="AP106" i="23"/>
  <c r="AP105" i="23"/>
  <c r="C383" i="23"/>
  <c r="C386" i="23"/>
  <c r="T138" i="23"/>
  <c r="C385" i="23"/>
  <c r="E212" i="23"/>
  <c r="E209" i="23"/>
  <c r="V78" i="23"/>
  <c r="E211" i="23"/>
  <c r="G92" i="23"/>
  <c r="X39" i="23" s="1"/>
  <c r="F150" i="23"/>
  <c r="W59" i="23" s="1"/>
  <c r="D473" i="23"/>
  <c r="D472" i="23"/>
  <c r="U168" i="23"/>
  <c r="D470" i="23"/>
  <c r="F527" i="23"/>
  <c r="W189" i="23" s="1"/>
  <c r="V291" i="23"/>
  <c r="V292" i="23" s="1"/>
  <c r="V290" i="23"/>
  <c r="V227" i="23"/>
  <c r="V231" i="23"/>
  <c r="K171" i="23"/>
  <c r="P171" i="23" s="1"/>
  <c r="J177" i="23" s="1"/>
  <c r="AF21" i="23" s="1"/>
  <c r="J171" i="23"/>
  <c r="T71" i="23" s="1"/>
  <c r="T70" i="23"/>
  <c r="C183" i="23"/>
  <c r="C180" i="23"/>
  <c r="T68" i="23"/>
  <c r="C182" i="23"/>
  <c r="U278" i="23"/>
  <c r="AN102" i="21"/>
  <c r="AN112" i="21" s="1"/>
  <c r="X208" i="21"/>
  <c r="G586" i="21"/>
  <c r="F528" i="21"/>
  <c r="D472" i="21"/>
  <c r="D469" i="21" s="1"/>
  <c r="U169" i="21" s="1"/>
  <c r="U168" i="21"/>
  <c r="T138" i="21"/>
  <c r="C382" i="21"/>
  <c r="T139" i="21" s="1"/>
  <c r="E295" i="21"/>
  <c r="V109" i="21" s="1"/>
  <c r="X108" i="21"/>
  <c r="G296" i="21"/>
  <c r="G299" i="21"/>
  <c r="T100" i="21"/>
  <c r="D269" i="21"/>
  <c r="U98" i="21"/>
  <c r="D267" i="21"/>
  <c r="C237" i="21"/>
  <c r="T89" i="21" s="1"/>
  <c r="D240" i="21"/>
  <c r="U88" i="21"/>
  <c r="D241" i="21"/>
  <c r="G153" i="21"/>
  <c r="G150" i="21" s="1"/>
  <c r="X59" i="21" s="1"/>
  <c r="X58" i="21"/>
  <c r="G151" i="21"/>
  <c r="C122" i="21"/>
  <c r="C125" i="21"/>
  <c r="V275" i="21"/>
  <c r="V291" i="21"/>
  <c r="V292" i="21" s="1"/>
  <c r="V290" i="21"/>
  <c r="D63" i="21"/>
  <c r="U29" i="21" s="1"/>
  <c r="F63" i="21"/>
  <c r="W29" i="21" s="1"/>
  <c r="F38" i="21"/>
  <c r="E34" i="21"/>
  <c r="V19" i="21" s="1"/>
  <c r="Z275" i="21"/>
  <c r="F37" i="21"/>
  <c r="G588" i="21"/>
  <c r="G585" i="21" s="1"/>
  <c r="X209" i="21" s="1"/>
  <c r="J583" i="21"/>
  <c r="AF35" i="21" s="1"/>
  <c r="AX19" i="21"/>
  <c r="W188" i="21"/>
  <c r="F530" i="21"/>
  <c r="F498" i="21"/>
  <c r="W179" i="21" s="1"/>
  <c r="W224" i="21"/>
  <c r="BC16" i="21"/>
  <c r="AA154" i="21"/>
  <c r="AY22" i="21"/>
  <c r="AA114" i="21"/>
  <c r="J235" i="21"/>
  <c r="AF23" i="21" s="1"/>
  <c r="D237" i="21"/>
  <c r="U89" i="21" s="1"/>
  <c r="AA94" i="21"/>
  <c r="W223" i="21"/>
  <c r="G208" i="21"/>
  <c r="X79" i="21" s="1"/>
  <c r="D179" i="21"/>
  <c r="U69" i="21" s="1"/>
  <c r="X281" i="21"/>
  <c r="X282" i="21"/>
  <c r="X283" i="21" s="1"/>
  <c r="AA54" i="21"/>
  <c r="C124" i="21"/>
  <c r="C121" i="21" s="1"/>
  <c r="T49" i="21" s="1"/>
  <c r="BA15" i="21"/>
  <c r="BC15" i="21"/>
  <c r="AY17" i="21"/>
  <c r="AY13" i="21"/>
  <c r="AZ20" i="21"/>
  <c r="G63" i="21"/>
  <c r="X29" i="21" s="1"/>
  <c r="C34" i="21"/>
  <c r="T19" i="21" s="1"/>
  <c r="J293" i="21"/>
  <c r="AF25" i="21" s="1"/>
  <c r="C267" i="21"/>
  <c r="C270" i="21"/>
  <c r="T98" i="21"/>
  <c r="C269" i="21"/>
  <c r="C180" i="21"/>
  <c r="C183" i="21"/>
  <c r="T68" i="21"/>
  <c r="C182" i="21"/>
  <c r="J549" i="21"/>
  <c r="U201" i="21" s="1"/>
  <c r="K549" i="21"/>
  <c r="P549" i="21" s="1"/>
  <c r="J554" i="21" s="1"/>
  <c r="AF34" i="21" s="1"/>
  <c r="U200" i="21"/>
  <c r="J206" i="21"/>
  <c r="AF22" i="21" s="1"/>
  <c r="J436" i="21"/>
  <c r="X161" i="21" s="1"/>
  <c r="X224" i="21" s="1"/>
  <c r="K436" i="21"/>
  <c r="P436" i="21" s="1"/>
  <c r="J438" i="21" s="1"/>
  <c r="AF30" i="21" s="1"/>
  <c r="X160" i="21"/>
  <c r="T291" i="21"/>
  <c r="T292" i="21" s="1"/>
  <c r="T290" i="21"/>
  <c r="T227" i="21"/>
  <c r="T231" i="21"/>
  <c r="G412" i="21"/>
  <c r="G415" i="21"/>
  <c r="X148" i="21"/>
  <c r="G414" i="21"/>
  <c r="AS100" i="21"/>
  <c r="BA18" i="21"/>
  <c r="G237" i="21"/>
  <c r="X89" i="21" s="1"/>
  <c r="G324" i="21"/>
  <c r="X119" i="21" s="1"/>
  <c r="F585" i="21"/>
  <c r="W209" i="21" s="1"/>
  <c r="C415" i="21"/>
  <c r="C412" i="21"/>
  <c r="T148" i="21"/>
  <c r="C414" i="21"/>
  <c r="F470" i="21"/>
  <c r="F473" i="21"/>
  <c r="W168" i="21"/>
  <c r="F472" i="21"/>
  <c r="F469" i="21" s="1"/>
  <c r="W169" i="21" s="1"/>
  <c r="C557" i="21"/>
  <c r="C560" i="21"/>
  <c r="T198" i="21"/>
  <c r="C559" i="21"/>
  <c r="V281" i="21"/>
  <c r="V223" i="21"/>
  <c r="G179" i="21"/>
  <c r="X69" i="21" s="1"/>
  <c r="F269" i="21"/>
  <c r="F270" i="21"/>
  <c r="F267" i="21"/>
  <c r="W98" i="21"/>
  <c r="X223" i="21"/>
  <c r="U282" i="21"/>
  <c r="U283" i="21" s="1"/>
  <c r="BC17" i="21"/>
  <c r="AX14" i="21"/>
  <c r="AX23" i="21"/>
  <c r="BB14" i="21"/>
  <c r="BA21" i="21"/>
  <c r="D383" i="21"/>
  <c r="D386" i="21"/>
  <c r="U138" i="21"/>
  <c r="D385" i="21"/>
  <c r="F412" i="21"/>
  <c r="F415" i="21"/>
  <c r="W148" i="21"/>
  <c r="F414" i="21"/>
  <c r="AY18" i="21"/>
  <c r="G386" i="21"/>
  <c r="G383" i="21"/>
  <c r="X138" i="21"/>
  <c r="G385" i="21"/>
  <c r="G382" i="21" s="1"/>
  <c r="X139" i="21" s="1"/>
  <c r="E440" i="21"/>
  <c r="V159" i="21" s="1"/>
  <c r="K55" i="21"/>
  <c r="J55" i="21"/>
  <c r="T31" i="21" s="1"/>
  <c r="T30" i="21"/>
  <c r="P55" i="21"/>
  <c r="J61" i="21" s="1"/>
  <c r="AF17" i="21" s="1"/>
  <c r="J264" i="21"/>
  <c r="AF24" i="21" s="1"/>
  <c r="T249" i="21"/>
  <c r="AA204" i="21"/>
  <c r="V282" i="21"/>
  <c r="V283" i="21" s="1"/>
  <c r="V224" i="21"/>
  <c r="K374" i="21"/>
  <c r="J374" i="21"/>
  <c r="T141" i="21" s="1"/>
  <c r="T140" i="21"/>
  <c r="P374" i="21"/>
  <c r="J380" i="21" s="1"/>
  <c r="AF28" i="21" s="1"/>
  <c r="E469" i="21"/>
  <c r="V169" i="21" s="1"/>
  <c r="W281" i="21"/>
  <c r="F34" i="21"/>
  <c r="W19" i="21" s="1"/>
  <c r="AA194" i="21"/>
  <c r="D35" i="21"/>
  <c r="U18" i="21"/>
  <c r="D38" i="21"/>
  <c r="D37" i="21"/>
  <c r="AY19" i="21"/>
  <c r="AX15" i="21"/>
  <c r="AZ14" i="21"/>
  <c r="BB15" i="21"/>
  <c r="BB23" i="21"/>
  <c r="U275" i="21"/>
  <c r="U219" i="21"/>
  <c r="U24" i="21"/>
  <c r="AA24" i="21" s="1"/>
  <c r="AZ15" i="21"/>
  <c r="D440" i="21"/>
  <c r="U159" i="21" s="1"/>
  <c r="C498" i="21"/>
  <c r="T179" i="21" s="1"/>
  <c r="E324" i="21"/>
  <c r="V119" i="21" s="1"/>
  <c r="D266" i="21"/>
  <c r="U99" i="21" s="1"/>
  <c r="E238" i="21"/>
  <c r="E241" i="21"/>
  <c r="V88" i="21"/>
  <c r="E240" i="21"/>
  <c r="C441" i="21"/>
  <c r="C444" i="21"/>
  <c r="T158" i="21"/>
  <c r="C443" i="21"/>
  <c r="D208" i="21"/>
  <c r="U79" i="21" s="1"/>
  <c r="F299" i="21"/>
  <c r="F296" i="21"/>
  <c r="W108" i="21"/>
  <c r="F298" i="21"/>
  <c r="E208" i="21"/>
  <c r="V79" i="21" s="1"/>
  <c r="G295" i="21"/>
  <c r="X109" i="21" s="1"/>
  <c r="AX22" i="21"/>
  <c r="AX18" i="21"/>
  <c r="AZ18" i="21"/>
  <c r="BB18" i="21"/>
  <c r="AZ17" i="21"/>
  <c r="AX17" i="21"/>
  <c r="D296" i="21"/>
  <c r="D299" i="21"/>
  <c r="U108" i="21"/>
  <c r="D298" i="21"/>
  <c r="F125" i="21"/>
  <c r="F122" i="21"/>
  <c r="W48" i="21"/>
  <c r="F124" i="21"/>
  <c r="F121" i="21" s="1"/>
  <c r="W49" i="21" s="1"/>
  <c r="V227" i="21"/>
  <c r="D324" i="21"/>
  <c r="U119" i="21" s="1"/>
  <c r="C328" i="21"/>
  <c r="C325" i="21"/>
  <c r="T118" i="21"/>
  <c r="C327" i="21"/>
  <c r="AA164" i="21"/>
  <c r="T245" i="21"/>
  <c r="J113" i="21"/>
  <c r="T51" i="21" s="1"/>
  <c r="T50" i="21"/>
  <c r="K113" i="21"/>
  <c r="P113" i="21" s="1"/>
  <c r="J119" i="21" s="1"/>
  <c r="AF19" i="21" s="1"/>
  <c r="E179" i="21"/>
  <c r="V69" i="21" s="1"/>
  <c r="BC13" i="21"/>
  <c r="BB19" i="21"/>
  <c r="AX21" i="21"/>
  <c r="AZ21" i="21"/>
  <c r="AY20" i="21"/>
  <c r="AA214" i="21"/>
  <c r="T237" i="21"/>
  <c r="AA84" i="21"/>
  <c r="D415" i="21"/>
  <c r="D412" i="21"/>
  <c r="U148" i="21"/>
  <c r="D414" i="21"/>
  <c r="J525" i="21"/>
  <c r="AF33" i="21" s="1"/>
  <c r="BB16" i="21"/>
  <c r="G470" i="21"/>
  <c r="G473" i="21"/>
  <c r="X168" i="21"/>
  <c r="G472" i="21"/>
  <c r="X290" i="21"/>
  <c r="X291" i="21"/>
  <c r="X292" i="21" s="1"/>
  <c r="X227" i="21"/>
  <c r="X231" i="21"/>
  <c r="E267" i="21"/>
  <c r="V98" i="21"/>
  <c r="E270" i="21"/>
  <c r="E269" i="21"/>
  <c r="AA104" i="21"/>
  <c r="AA144" i="21"/>
  <c r="D589" i="21"/>
  <c r="D586" i="21"/>
  <c r="U208" i="21"/>
  <c r="D588" i="21"/>
  <c r="F96" i="21"/>
  <c r="F93" i="21"/>
  <c r="W38" i="21"/>
  <c r="F95" i="21"/>
  <c r="F92" i="21" s="1"/>
  <c r="W39" i="21" s="1"/>
  <c r="T241" i="21"/>
  <c r="AA124" i="21"/>
  <c r="C296" i="21"/>
  <c r="C299" i="21"/>
  <c r="T108" i="21"/>
  <c r="C298" i="21"/>
  <c r="K316" i="21"/>
  <c r="P316" i="21" s="1"/>
  <c r="J322" i="21" s="1"/>
  <c r="AF26" i="21" s="1"/>
  <c r="J316" i="21"/>
  <c r="T121" i="21" s="1"/>
  <c r="T120" i="21"/>
  <c r="F386" i="21"/>
  <c r="F383" i="21"/>
  <c r="W138" i="21"/>
  <c r="F385" i="21"/>
  <c r="F441" i="21"/>
  <c r="F444" i="21"/>
  <c r="W158" i="21"/>
  <c r="F443" i="21"/>
  <c r="C93" i="21"/>
  <c r="T38" i="21"/>
  <c r="C96" i="21"/>
  <c r="C95" i="21"/>
  <c r="C92" i="21" s="1"/>
  <c r="T39" i="21" s="1"/>
  <c r="G531" i="21"/>
  <c r="G528" i="21"/>
  <c r="X188" i="21"/>
  <c r="G530" i="21"/>
  <c r="BA13" i="21"/>
  <c r="AZ16" i="21"/>
  <c r="BA22" i="21"/>
  <c r="BC22" i="21"/>
  <c r="BA23" i="21"/>
  <c r="BB21" i="21"/>
  <c r="D93" i="21"/>
  <c r="U38" i="21"/>
  <c r="D96" i="21"/>
  <c r="D95" i="21"/>
  <c r="K403" i="21"/>
  <c r="P403" i="21" s="1"/>
  <c r="J409" i="21" s="1"/>
  <c r="AF29" i="21" s="1"/>
  <c r="J403" i="21"/>
  <c r="T151" i="21" s="1"/>
  <c r="T150" i="21"/>
  <c r="BB20" i="21"/>
  <c r="F237" i="21"/>
  <c r="W89" i="21" s="1"/>
  <c r="X275" i="21"/>
  <c r="D559" i="21"/>
  <c r="D556" i="21" s="1"/>
  <c r="U199" i="21" s="1"/>
  <c r="K172" i="21"/>
  <c r="P172" i="21" s="1"/>
  <c r="J177" i="21" s="1"/>
  <c r="AF21" i="21" s="1"/>
  <c r="J172" i="21"/>
  <c r="U71" i="21" s="1"/>
  <c r="U70" i="21"/>
  <c r="W44" i="21"/>
  <c r="W219" i="21"/>
  <c r="W275" i="21"/>
  <c r="AM111" i="21"/>
  <c r="AM103" i="21"/>
  <c r="AM106" i="21"/>
  <c r="AM105" i="21"/>
  <c r="AM102" i="21" s="1"/>
  <c r="AM112" i="21" s="1"/>
  <c r="D122" i="21"/>
  <c r="D125" i="21"/>
  <c r="D124" i="21"/>
  <c r="U48" i="21"/>
  <c r="G270" i="21"/>
  <c r="G267" i="21"/>
  <c r="X98" i="21"/>
  <c r="G269" i="21"/>
  <c r="C585" i="21"/>
  <c r="T209" i="21" s="1"/>
  <c r="AX16" i="21"/>
  <c r="AZ19" i="21"/>
  <c r="AY14" i="21"/>
  <c r="AY23" i="21"/>
  <c r="AX13" i="21"/>
  <c r="AZ13" i="21"/>
  <c r="E528" i="21"/>
  <c r="E531" i="21"/>
  <c r="V188" i="21"/>
  <c r="E530" i="21"/>
  <c r="X219" i="21"/>
  <c r="E386" i="21"/>
  <c r="E383" i="21"/>
  <c r="V138" i="21"/>
  <c r="E385" i="21"/>
  <c r="E589" i="21"/>
  <c r="E586" i="21"/>
  <c r="V208" i="21"/>
  <c r="E588" i="21"/>
  <c r="G34" i="21"/>
  <c r="X19" i="21" s="1"/>
  <c r="AL111" i="21"/>
  <c r="AL103" i="21"/>
  <c r="AL106" i="21"/>
  <c r="AL105" i="21"/>
  <c r="AL102" i="21" s="1"/>
  <c r="AL112" i="21" s="1"/>
  <c r="F527" i="21"/>
  <c r="W189" i="21" s="1"/>
  <c r="F150" i="21"/>
  <c r="W59" i="21" s="1"/>
  <c r="G96" i="21"/>
  <c r="G93" i="21"/>
  <c r="X38" i="21"/>
  <c r="X278" i="21" s="1"/>
  <c r="G95" i="21"/>
  <c r="C212" i="21"/>
  <c r="C209" i="21"/>
  <c r="T78" i="21"/>
  <c r="C211" i="21"/>
  <c r="E415" i="21"/>
  <c r="E412" i="21"/>
  <c r="V148" i="21"/>
  <c r="E414" i="21"/>
  <c r="E92" i="21"/>
  <c r="V39" i="21" s="1"/>
  <c r="BB17" i="21"/>
  <c r="BC20" i="21"/>
  <c r="AY15" i="21"/>
  <c r="BA14" i="21"/>
  <c r="BC14" i="21"/>
  <c r="BA17" i="21"/>
  <c r="BC21" i="21"/>
  <c r="BA20" i="21"/>
  <c r="T219" i="21"/>
  <c r="J148" i="21"/>
  <c r="AF20" i="21" s="1"/>
  <c r="T278" i="21"/>
  <c r="F328" i="21"/>
  <c r="F325" i="21"/>
  <c r="W118" i="21"/>
  <c r="F327" i="21"/>
  <c r="V219" i="21"/>
  <c r="C531" i="21"/>
  <c r="C530" i="21"/>
  <c r="C528" i="21"/>
  <c r="T188" i="21"/>
  <c r="BB13" i="21"/>
  <c r="BA19" i="21"/>
  <c r="BC19" i="21"/>
  <c r="AY21" i="21"/>
  <c r="BC18" i="21"/>
  <c r="BC23" i="21"/>
  <c r="D528" i="21"/>
  <c r="D531" i="21"/>
  <c r="D530" i="21"/>
  <c r="U188" i="21"/>
  <c r="T236" i="21"/>
  <c r="AA74" i="21"/>
  <c r="K461" i="21"/>
  <c r="P461" i="21" s="1"/>
  <c r="J467" i="21" s="1"/>
  <c r="AF31" i="21" s="1"/>
  <c r="J461" i="21"/>
  <c r="T171" i="21" s="1"/>
  <c r="T170" i="21"/>
  <c r="BA16" i="21"/>
  <c r="F183" i="21"/>
  <c r="F180" i="21"/>
  <c r="W68" i="21"/>
  <c r="F182" i="21"/>
  <c r="G556" i="21"/>
  <c r="X199" i="21" s="1"/>
  <c r="C472" i="21"/>
  <c r="C469" i="21" s="1"/>
  <c r="T169" i="21" s="1"/>
  <c r="C150" i="21"/>
  <c r="T59" i="21" s="1"/>
  <c r="E125" i="21"/>
  <c r="E122" i="21"/>
  <c r="V48" i="21"/>
  <c r="V278" i="21" s="1"/>
  <c r="E124" i="21"/>
  <c r="E150" i="21"/>
  <c r="V59" i="21" s="1"/>
  <c r="T40" i="21"/>
  <c r="K84" i="21"/>
  <c r="P84" i="21" s="1"/>
  <c r="J90" i="21" s="1"/>
  <c r="AF18" i="21" s="1"/>
  <c r="J84" i="21"/>
  <c r="T41" i="21" s="1"/>
  <c r="G444" i="21"/>
  <c r="G441" i="21"/>
  <c r="X158" i="21"/>
  <c r="G443" i="21"/>
  <c r="C66" i="21"/>
  <c r="C63" i="21" s="1"/>
  <c r="T29" i="21" s="1"/>
  <c r="U281" i="21"/>
  <c r="AY16" i="21"/>
  <c r="AZ22" i="21"/>
  <c r="BB22" i="21"/>
  <c r="AZ23" i="21"/>
  <c r="AX20" i="21"/>
  <c r="AS117" i="20"/>
  <c r="AS100" i="20"/>
  <c r="D559" i="20"/>
  <c r="D556" i="20" s="1"/>
  <c r="U199" i="20" s="1"/>
  <c r="D530" i="20"/>
  <c r="D527" i="20" s="1"/>
  <c r="U189" i="20" s="1"/>
  <c r="T188" i="20"/>
  <c r="F527" i="20"/>
  <c r="W189" i="20" s="1"/>
  <c r="F501" i="20"/>
  <c r="F502" i="20"/>
  <c r="C470" i="20"/>
  <c r="F443" i="20"/>
  <c r="F440" i="20" s="1"/>
  <c r="W159" i="20" s="1"/>
  <c r="W158" i="20"/>
  <c r="X158" i="20"/>
  <c r="E414" i="20"/>
  <c r="E411" i="20" s="1"/>
  <c r="V149" i="20" s="1"/>
  <c r="E382" i="20"/>
  <c r="V139" i="20" s="1"/>
  <c r="G382" i="20"/>
  <c r="X139" i="20" s="1"/>
  <c r="F353" i="20"/>
  <c r="W129" i="20" s="1"/>
  <c r="V118" i="20"/>
  <c r="X108" i="20"/>
  <c r="G299" i="20"/>
  <c r="AA104" i="20"/>
  <c r="C211" i="20"/>
  <c r="T78" i="20"/>
  <c r="C212" i="20"/>
  <c r="E211" i="20"/>
  <c r="V78" i="20"/>
  <c r="E212" i="20"/>
  <c r="E179" i="20"/>
  <c r="V69" i="20" s="1"/>
  <c r="E150" i="20"/>
  <c r="V59" i="20" s="1"/>
  <c r="F150" i="20"/>
  <c r="W59" i="20" s="1"/>
  <c r="E121" i="20"/>
  <c r="V49" i="20" s="1"/>
  <c r="W275" i="20"/>
  <c r="J61" i="20"/>
  <c r="AF17" i="20" s="1"/>
  <c r="G37" i="20"/>
  <c r="G38" i="20"/>
  <c r="X18" i="20"/>
  <c r="X198" i="20"/>
  <c r="G559" i="20"/>
  <c r="G556" i="20" s="1"/>
  <c r="X199" i="20" s="1"/>
  <c r="AA204" i="20"/>
  <c r="G557" i="20"/>
  <c r="W219" i="20"/>
  <c r="J467" i="20"/>
  <c r="AF31" i="20" s="1"/>
  <c r="G444" i="20"/>
  <c r="G440" i="20" s="1"/>
  <c r="X159" i="20" s="1"/>
  <c r="G441" i="20"/>
  <c r="J438" i="20"/>
  <c r="AF30" i="20" s="1"/>
  <c r="J293" i="20"/>
  <c r="AF25" i="20" s="1"/>
  <c r="E237" i="20"/>
  <c r="V89" i="20" s="1"/>
  <c r="F237" i="20"/>
  <c r="W89" i="20" s="1"/>
  <c r="F208" i="20"/>
  <c r="W79" i="20" s="1"/>
  <c r="G150" i="20"/>
  <c r="X59" i="20" s="1"/>
  <c r="V281" i="20"/>
  <c r="V282" i="20"/>
  <c r="V283" i="20" s="1"/>
  <c r="F34" i="20"/>
  <c r="W19" i="20" s="1"/>
  <c r="G34" i="20"/>
  <c r="X19" i="20" s="1"/>
  <c r="J554" i="20"/>
  <c r="AF34" i="20" s="1"/>
  <c r="J206" i="20"/>
  <c r="AF22" i="20" s="1"/>
  <c r="J119" i="20"/>
  <c r="AF19" i="20" s="1"/>
  <c r="T250" i="20"/>
  <c r="AA214" i="20"/>
  <c r="C354" i="20"/>
  <c r="C357" i="20"/>
  <c r="T128" i="20"/>
  <c r="C356" i="20"/>
  <c r="D96" i="20"/>
  <c r="D93" i="20"/>
  <c r="U38" i="20"/>
  <c r="D95" i="20"/>
  <c r="C241" i="20"/>
  <c r="C238" i="20"/>
  <c r="T88" i="20"/>
  <c r="C240" i="20"/>
  <c r="C589" i="20"/>
  <c r="C586" i="20"/>
  <c r="T208" i="20"/>
  <c r="C588" i="20"/>
  <c r="C585" i="20" s="1"/>
  <c r="T209" i="20" s="1"/>
  <c r="F382" i="20"/>
  <c r="W139" i="20" s="1"/>
  <c r="E473" i="20"/>
  <c r="E470" i="20"/>
  <c r="V168" i="20"/>
  <c r="E472" i="20"/>
  <c r="E499" i="20"/>
  <c r="E502" i="20"/>
  <c r="V178" i="20"/>
  <c r="E501" i="20"/>
  <c r="G238" i="20"/>
  <c r="G241" i="20"/>
  <c r="G240" i="20"/>
  <c r="X88" i="20"/>
  <c r="D325" i="20"/>
  <c r="D328" i="20"/>
  <c r="U118" i="20"/>
  <c r="D327" i="20"/>
  <c r="C96" i="20"/>
  <c r="C93" i="20"/>
  <c r="T38" i="20"/>
  <c r="C95" i="20"/>
  <c r="T242" i="20"/>
  <c r="AA134" i="20"/>
  <c r="AA144" i="20"/>
  <c r="G357" i="20"/>
  <c r="G354" i="20"/>
  <c r="G356" i="20"/>
  <c r="X128" i="20"/>
  <c r="J32" i="20"/>
  <c r="AF16" i="20" s="1"/>
  <c r="U281" i="20"/>
  <c r="U223" i="20"/>
  <c r="AA84" i="20"/>
  <c r="K145" i="20"/>
  <c r="P145" i="20" s="1"/>
  <c r="J148" i="20" s="1"/>
  <c r="AF20" i="20" s="1"/>
  <c r="J145" i="20"/>
  <c r="W61" i="20" s="1"/>
  <c r="W60" i="20"/>
  <c r="W281" i="20" s="1"/>
  <c r="T236" i="20"/>
  <c r="AA74" i="20"/>
  <c r="AL106" i="20"/>
  <c r="AL111" i="20"/>
  <c r="AL103" i="20"/>
  <c r="AL105" i="20"/>
  <c r="F299" i="20"/>
  <c r="F296" i="20"/>
  <c r="W108" i="20"/>
  <c r="F298" i="20"/>
  <c r="AA114" i="20"/>
  <c r="G589" i="20"/>
  <c r="G586" i="20"/>
  <c r="X208" i="20"/>
  <c r="G588" i="20"/>
  <c r="D209" i="20"/>
  <c r="D212" i="20"/>
  <c r="U78" i="20"/>
  <c r="D211" i="20"/>
  <c r="F122" i="20"/>
  <c r="F125" i="20"/>
  <c r="W48" i="20"/>
  <c r="F124" i="20"/>
  <c r="C122" i="20"/>
  <c r="T48" i="20"/>
  <c r="C125" i="20"/>
  <c r="C124" i="20"/>
  <c r="F93" i="20"/>
  <c r="W38" i="20"/>
  <c r="F96" i="20"/>
  <c r="F95" i="20"/>
  <c r="D151" i="20"/>
  <c r="D154" i="20"/>
  <c r="U58" i="20"/>
  <c r="D153" i="20"/>
  <c r="C469" i="20"/>
  <c r="T169" i="20" s="1"/>
  <c r="E63" i="20"/>
  <c r="V29" i="20" s="1"/>
  <c r="T245" i="20"/>
  <c r="AA164" i="20"/>
  <c r="C266" i="20"/>
  <c r="T99" i="20" s="1"/>
  <c r="E440" i="20"/>
  <c r="V159" i="20" s="1"/>
  <c r="U291" i="20"/>
  <c r="U292" i="20" s="1"/>
  <c r="U290" i="20"/>
  <c r="U231" i="20"/>
  <c r="U227" i="20"/>
  <c r="F183" i="20"/>
  <c r="F180" i="20"/>
  <c r="W68" i="20"/>
  <c r="F182" i="20"/>
  <c r="G499" i="20"/>
  <c r="G502" i="20"/>
  <c r="X178" i="20"/>
  <c r="G501" i="20"/>
  <c r="C38" i="20"/>
  <c r="C35" i="20"/>
  <c r="T18" i="20"/>
  <c r="C37" i="20"/>
  <c r="D440" i="20"/>
  <c r="U159" i="20" s="1"/>
  <c r="D241" i="20"/>
  <c r="D238" i="20"/>
  <c r="U88" i="20"/>
  <c r="D240" i="20"/>
  <c r="F498" i="20"/>
  <c r="W179" i="20" s="1"/>
  <c r="T234" i="20"/>
  <c r="AA54" i="20"/>
  <c r="Z275" i="20"/>
  <c r="AY22" i="20"/>
  <c r="BA19" i="20"/>
  <c r="BA16" i="20"/>
  <c r="AX22" i="20"/>
  <c r="BC20" i="20"/>
  <c r="AZ19" i="20"/>
  <c r="AZ16" i="20"/>
  <c r="BC13" i="20"/>
  <c r="BB20" i="20"/>
  <c r="AY19" i="20"/>
  <c r="BC17" i="20"/>
  <c r="AY16" i="20"/>
  <c r="BB13" i="20"/>
  <c r="BA20" i="20"/>
  <c r="AX19" i="20"/>
  <c r="BB17" i="20"/>
  <c r="AX16" i="20"/>
  <c r="BA13" i="20"/>
  <c r="BC23" i="20"/>
  <c r="BC21" i="20"/>
  <c r="AZ20" i="20"/>
  <c r="BA17" i="20"/>
  <c r="AZ13" i="20"/>
  <c r="BB23" i="20"/>
  <c r="BB21" i="20"/>
  <c r="AY20" i="20"/>
  <c r="AZ17" i="20"/>
  <c r="AY13" i="20"/>
  <c r="BA23" i="20"/>
  <c r="BA21" i="20"/>
  <c r="AX20" i="20"/>
  <c r="BC18" i="20"/>
  <c r="AY17" i="20"/>
  <c r="BC15" i="20"/>
  <c r="BC14" i="20"/>
  <c r="AX13" i="20"/>
  <c r="AZ23" i="20"/>
  <c r="AZ21" i="20"/>
  <c r="BB18" i="20"/>
  <c r="AX17" i="20"/>
  <c r="BB15" i="20"/>
  <c r="BB14" i="20"/>
  <c r="AY23" i="20"/>
  <c r="BC22" i="20"/>
  <c r="AY21" i="20"/>
  <c r="BA18" i="20"/>
  <c r="BA15" i="20"/>
  <c r="BA14" i="20"/>
  <c r="AX23" i="20"/>
  <c r="BB22" i="20"/>
  <c r="AX21" i="20"/>
  <c r="AZ18" i="20"/>
  <c r="AZ15" i="20"/>
  <c r="AZ14" i="20"/>
  <c r="BA22" i="20"/>
  <c r="BC19" i="20"/>
  <c r="AY18" i="20"/>
  <c r="BC16" i="20"/>
  <c r="AY15" i="20"/>
  <c r="AY14" i="20"/>
  <c r="AZ22" i="20"/>
  <c r="BB19" i="20"/>
  <c r="AX18" i="20"/>
  <c r="BB16" i="20"/>
  <c r="AX15" i="20"/>
  <c r="AX14" i="20"/>
  <c r="U219" i="20"/>
  <c r="G92" i="20"/>
  <c r="X39" i="20" s="1"/>
  <c r="D63" i="20"/>
  <c r="U29" i="20" s="1"/>
  <c r="C527" i="20"/>
  <c r="T189" i="20" s="1"/>
  <c r="E34" i="20"/>
  <c r="V19" i="20" s="1"/>
  <c r="T275" i="20"/>
  <c r="T219" i="20"/>
  <c r="T24" i="20"/>
  <c r="D415" i="20"/>
  <c r="D412" i="20"/>
  <c r="U148" i="20"/>
  <c r="D414" i="20"/>
  <c r="D356" i="20"/>
  <c r="D357" i="20"/>
  <c r="D354" i="20"/>
  <c r="U128" i="20"/>
  <c r="W291" i="20"/>
  <c r="W292" i="20" s="1"/>
  <c r="W290" i="20"/>
  <c r="W227" i="20"/>
  <c r="W231" i="20"/>
  <c r="C328" i="20"/>
  <c r="C325" i="20"/>
  <c r="T118" i="20"/>
  <c r="C327" i="20"/>
  <c r="C67" i="20"/>
  <c r="T28" i="20"/>
  <c r="C64" i="20"/>
  <c r="C66" i="20"/>
  <c r="E299" i="20"/>
  <c r="E296" i="20"/>
  <c r="V108" i="20"/>
  <c r="E298" i="20"/>
  <c r="E295" i="20" s="1"/>
  <c r="V109" i="20" s="1"/>
  <c r="V291" i="20"/>
  <c r="V292" i="20" s="1"/>
  <c r="V290" i="20"/>
  <c r="V227" i="20"/>
  <c r="V231" i="20"/>
  <c r="G183" i="20"/>
  <c r="G180" i="20"/>
  <c r="X68" i="20"/>
  <c r="G182" i="20"/>
  <c r="AN106" i="20"/>
  <c r="AN105" i="20"/>
  <c r="AN111" i="20"/>
  <c r="AN103" i="20"/>
  <c r="J235" i="20"/>
  <c r="AF23" i="20" s="1"/>
  <c r="J409" i="20"/>
  <c r="AF29" i="20" s="1"/>
  <c r="G412" i="20"/>
  <c r="G415" i="20"/>
  <c r="X148" i="20"/>
  <c r="G414" i="20"/>
  <c r="K490" i="20"/>
  <c r="P490" i="20" s="1"/>
  <c r="J496" i="20" s="1"/>
  <c r="AF32" i="20" s="1"/>
  <c r="J490" i="20"/>
  <c r="T181" i="20" s="1"/>
  <c r="T180" i="20"/>
  <c r="T232" i="20"/>
  <c r="C386" i="20"/>
  <c r="C383" i="20"/>
  <c r="T138" i="20"/>
  <c r="C385" i="20"/>
  <c r="G328" i="20"/>
  <c r="G325" i="20"/>
  <c r="X118" i="20"/>
  <c r="G327" i="20"/>
  <c r="V219" i="20"/>
  <c r="AA184" i="20"/>
  <c r="E531" i="20"/>
  <c r="E528" i="20"/>
  <c r="V188" i="20"/>
  <c r="E530" i="20"/>
  <c r="E527" i="20" s="1"/>
  <c r="V189" i="20" s="1"/>
  <c r="E270" i="20"/>
  <c r="E267" i="20"/>
  <c r="V98" i="20"/>
  <c r="E269" i="20"/>
  <c r="F325" i="20"/>
  <c r="F328" i="20"/>
  <c r="W118" i="20"/>
  <c r="F327" i="20"/>
  <c r="J580" i="20"/>
  <c r="W211" i="20" s="1"/>
  <c r="K580" i="20"/>
  <c r="W210" i="20"/>
  <c r="P580" i="20"/>
  <c r="J583" i="20" s="1"/>
  <c r="AF35" i="20" s="1"/>
  <c r="G270" i="20"/>
  <c r="G267" i="20"/>
  <c r="X98" i="20"/>
  <c r="G269" i="20"/>
  <c r="D35" i="20"/>
  <c r="U18" i="20"/>
  <c r="D38" i="20"/>
  <c r="D37" i="20"/>
  <c r="T238" i="20"/>
  <c r="AA94" i="20"/>
  <c r="C180" i="20"/>
  <c r="C183" i="20"/>
  <c r="T68" i="20"/>
  <c r="C182" i="20"/>
  <c r="C151" i="20"/>
  <c r="C154" i="20"/>
  <c r="T58" i="20"/>
  <c r="C153" i="20"/>
  <c r="AO111" i="20"/>
  <c r="AO106" i="20"/>
  <c r="AO103" i="20"/>
  <c r="AO105" i="20"/>
  <c r="T235" i="20"/>
  <c r="AA64" i="20"/>
  <c r="G469" i="20"/>
  <c r="X169" i="20" s="1"/>
  <c r="J322" i="20"/>
  <c r="AF26" i="20" s="1"/>
  <c r="D498" i="20"/>
  <c r="U179" i="20" s="1"/>
  <c r="K258" i="20"/>
  <c r="P258" i="20" s="1"/>
  <c r="J264" i="20" s="1"/>
  <c r="AF24" i="20" s="1"/>
  <c r="J258" i="20"/>
  <c r="T101" i="20" s="1"/>
  <c r="T100" i="20"/>
  <c r="G295" i="20"/>
  <c r="X109" i="20" s="1"/>
  <c r="C560" i="20"/>
  <c r="C557" i="20"/>
  <c r="T198" i="20"/>
  <c r="C559" i="20"/>
  <c r="C556" i="20" s="1"/>
  <c r="T199" i="20" s="1"/>
  <c r="AA44" i="20"/>
  <c r="G528" i="20"/>
  <c r="G531" i="20"/>
  <c r="X188" i="20"/>
  <c r="G530" i="20"/>
  <c r="J380" i="20"/>
  <c r="AF28" i="20" s="1"/>
  <c r="V246" i="20"/>
  <c r="AA174" i="20"/>
  <c r="D299" i="20"/>
  <c r="D296" i="20"/>
  <c r="U108" i="20"/>
  <c r="D298" i="20"/>
  <c r="C412" i="20"/>
  <c r="C415" i="20"/>
  <c r="T148" i="20"/>
  <c r="C414" i="20"/>
  <c r="D589" i="20"/>
  <c r="D586" i="20"/>
  <c r="U208" i="20"/>
  <c r="D588" i="20"/>
  <c r="E93" i="20"/>
  <c r="E96" i="20"/>
  <c r="V38" i="20"/>
  <c r="E95" i="20"/>
  <c r="C502" i="20"/>
  <c r="C499" i="20"/>
  <c r="T178" i="20"/>
  <c r="C501" i="20"/>
  <c r="E353" i="20"/>
  <c r="V129" i="20" s="1"/>
  <c r="K84" i="20"/>
  <c r="P84" i="20" s="1"/>
  <c r="J90" i="20" s="1"/>
  <c r="AF18" i="20" s="1"/>
  <c r="J84" i="20"/>
  <c r="T41" i="20" s="1"/>
  <c r="T282" i="20" s="1"/>
  <c r="T283" i="20" s="1"/>
  <c r="T40" i="20"/>
  <c r="T281" i="20" s="1"/>
  <c r="AA194" i="20"/>
  <c r="F63" i="20"/>
  <c r="W29" i="20" s="1"/>
  <c r="G64" i="20"/>
  <c r="G67" i="20"/>
  <c r="X28" i="20"/>
  <c r="G66" i="20"/>
  <c r="AA154" i="20"/>
  <c r="AP106" i="20"/>
  <c r="AP103" i="20"/>
  <c r="AP111" i="20"/>
  <c r="AP105" i="20"/>
  <c r="C299" i="20"/>
  <c r="C296" i="20"/>
  <c r="T108" i="20"/>
  <c r="C298" i="20"/>
  <c r="D124" i="20"/>
  <c r="D122" i="20"/>
  <c r="U48" i="20"/>
  <c r="D125" i="20"/>
  <c r="J173" i="20"/>
  <c r="V71" i="20" s="1"/>
  <c r="V224" i="20" s="1"/>
  <c r="K173" i="20"/>
  <c r="P173" i="20" s="1"/>
  <c r="J177" i="20" s="1"/>
  <c r="AF21" i="20" s="1"/>
  <c r="V70" i="20"/>
  <c r="V223" i="20" s="1"/>
  <c r="G125" i="20"/>
  <c r="G122" i="20"/>
  <c r="X48" i="20"/>
  <c r="G124" i="20"/>
  <c r="D266" i="20"/>
  <c r="U99" i="20" s="1"/>
  <c r="X34" i="20"/>
  <c r="X275" i="20"/>
  <c r="X219" i="20"/>
  <c r="U282" i="20"/>
  <c r="U283" i="20" s="1"/>
  <c r="U224" i="20"/>
  <c r="E324" i="20"/>
  <c r="V119" i="20" s="1"/>
  <c r="X281" i="20"/>
  <c r="X223" i="20"/>
  <c r="AM106" i="20"/>
  <c r="AM105" i="20"/>
  <c r="AM111" i="20"/>
  <c r="AM103" i="20"/>
  <c r="C444" i="20"/>
  <c r="C443" i="20"/>
  <c r="C441" i="20"/>
  <c r="T158" i="20"/>
  <c r="E589" i="20"/>
  <c r="E586" i="20"/>
  <c r="V208" i="20"/>
  <c r="E588" i="20"/>
  <c r="E560" i="20"/>
  <c r="E557" i="20"/>
  <c r="V198" i="20"/>
  <c r="E559" i="20"/>
  <c r="AA124" i="20"/>
  <c r="F588" i="20"/>
  <c r="F585" i="20" s="1"/>
  <c r="W209" i="20" s="1"/>
  <c r="F560" i="20"/>
  <c r="F557" i="20"/>
  <c r="W198" i="20"/>
  <c r="F559" i="20"/>
  <c r="D383" i="20"/>
  <c r="D386" i="20"/>
  <c r="U138" i="20"/>
  <c r="D385" i="20"/>
  <c r="K519" i="20"/>
  <c r="P519" i="20" s="1"/>
  <c r="J525" i="20" s="1"/>
  <c r="AF33" i="20" s="1"/>
  <c r="J519" i="20"/>
  <c r="T191" i="20" s="1"/>
  <c r="T190" i="20"/>
  <c r="F412" i="20"/>
  <c r="F415" i="20"/>
  <c r="W148" i="20"/>
  <c r="F414" i="20"/>
  <c r="F411" i="20" s="1"/>
  <c r="W149" i="20" s="1"/>
  <c r="X224" i="20"/>
  <c r="X282" i="20"/>
  <c r="X283" i="20" s="1"/>
  <c r="AP99" i="18"/>
  <c r="AP109" i="18" s="1"/>
  <c r="AP117" i="18" s="1"/>
  <c r="H579" i="18"/>
  <c r="I579" i="18" s="1"/>
  <c r="H581" i="18"/>
  <c r="D583" i="18"/>
  <c r="U207" i="18" s="1"/>
  <c r="U215" i="18" s="1"/>
  <c r="F553" i="18"/>
  <c r="W196" i="18" s="1"/>
  <c r="W204" i="18" s="1"/>
  <c r="W249" i="18" s="1"/>
  <c r="H520" i="18"/>
  <c r="F495" i="18"/>
  <c r="W176" i="18" s="1"/>
  <c r="W184" i="18" s="1"/>
  <c r="W247" i="18" s="1"/>
  <c r="H492" i="18"/>
  <c r="I492" i="18" s="1"/>
  <c r="E495" i="18"/>
  <c r="V176" i="18" s="1"/>
  <c r="V184" i="18" s="1"/>
  <c r="V247" i="18" s="1"/>
  <c r="H463" i="18"/>
  <c r="I463" i="18" s="1"/>
  <c r="D438" i="18"/>
  <c r="U157" i="18" s="1"/>
  <c r="U165" i="18" s="1"/>
  <c r="W150" i="18"/>
  <c r="H404" i="18"/>
  <c r="I404" i="18" s="1"/>
  <c r="J404" i="18" s="1"/>
  <c r="U151" i="18" s="1"/>
  <c r="G380" i="18"/>
  <c r="X137" i="18" s="1"/>
  <c r="X145" i="18" s="1"/>
  <c r="H349" i="18"/>
  <c r="I349" i="18" s="1"/>
  <c r="J349" i="18" s="1"/>
  <c r="X131" i="18" s="1"/>
  <c r="K347" i="18"/>
  <c r="P347" i="18" s="1"/>
  <c r="J347" i="18"/>
  <c r="V131" i="18" s="1"/>
  <c r="H318" i="18"/>
  <c r="F322" i="18"/>
  <c r="W117" i="18" s="1"/>
  <c r="W125" i="18" s="1"/>
  <c r="H233" i="18"/>
  <c r="D206" i="18"/>
  <c r="U77" i="18" s="1"/>
  <c r="U85" i="18" s="1"/>
  <c r="G205" i="18"/>
  <c r="X76" i="18" s="1"/>
  <c r="X84" i="18" s="1"/>
  <c r="X237" i="18" s="1"/>
  <c r="E177" i="18"/>
  <c r="V67" i="18" s="1"/>
  <c r="V75" i="18" s="1"/>
  <c r="G147" i="18"/>
  <c r="H27" i="18"/>
  <c r="I27" i="18" s="1"/>
  <c r="U20" i="18" s="1"/>
  <c r="H28" i="18"/>
  <c r="H579" i="17"/>
  <c r="H465" i="17"/>
  <c r="G437" i="17"/>
  <c r="X156" i="17" s="1"/>
  <c r="X164" i="17" s="1"/>
  <c r="X245" i="17" s="1"/>
  <c r="I374" i="17"/>
  <c r="J374" i="17" s="1"/>
  <c r="T141" i="17" s="1"/>
  <c r="H376" i="17"/>
  <c r="I376" i="17" s="1"/>
  <c r="J376" i="17" s="1"/>
  <c r="V141" i="17" s="1"/>
  <c r="H374" i="17"/>
  <c r="C380" i="17"/>
  <c r="T137" i="17" s="1"/>
  <c r="T145" i="17" s="1"/>
  <c r="F350" i="17"/>
  <c r="W126" i="17" s="1"/>
  <c r="W134" i="17" s="1"/>
  <c r="W242" i="17" s="1"/>
  <c r="C350" i="17"/>
  <c r="T126" i="17" s="1"/>
  <c r="T134" i="17" s="1"/>
  <c r="H317" i="17"/>
  <c r="I317" i="17" s="1"/>
  <c r="D322" i="17"/>
  <c r="U117" i="17" s="1"/>
  <c r="U125" i="17" s="1"/>
  <c r="F322" i="17"/>
  <c r="W117" i="17" s="1"/>
  <c r="W125" i="17" s="1"/>
  <c r="G265" i="17"/>
  <c r="X98" i="17" s="1"/>
  <c r="D265" i="17"/>
  <c r="H261" i="17"/>
  <c r="I261" i="17" s="1"/>
  <c r="E265" i="17"/>
  <c r="F147" i="17"/>
  <c r="W56" i="17" s="1"/>
  <c r="W64" i="17" s="1"/>
  <c r="W235" i="17" s="1"/>
  <c r="H85" i="17"/>
  <c r="C32" i="17"/>
  <c r="T17" i="17" s="1"/>
  <c r="F31" i="17"/>
  <c r="W16" i="17" s="1"/>
  <c r="G148" i="17"/>
  <c r="X57" i="17" s="1"/>
  <c r="X65" i="17" s="1"/>
  <c r="D32" i="17"/>
  <c r="U17" i="17" s="1"/>
  <c r="U25" i="17" s="1"/>
  <c r="G321" i="17"/>
  <c r="X116" i="17" s="1"/>
  <c r="X124" i="17" s="1"/>
  <c r="X241" i="17" s="1"/>
  <c r="G466" i="17"/>
  <c r="X166" i="17" s="1"/>
  <c r="X174" i="17" s="1"/>
  <c r="X246" i="17" s="1"/>
  <c r="H115" i="17"/>
  <c r="G380" i="17"/>
  <c r="X137" i="17" s="1"/>
  <c r="X145" i="17" s="1"/>
  <c r="C352" i="17"/>
  <c r="AP99" i="17"/>
  <c r="AP109" i="17" s="1"/>
  <c r="AP117" i="17" s="1"/>
  <c r="E60" i="17"/>
  <c r="E62" i="17" s="1"/>
  <c r="H494" i="17"/>
  <c r="I494" i="17" s="1"/>
  <c r="E351" i="17"/>
  <c r="V127" i="17" s="1"/>
  <c r="V135" i="17" s="1"/>
  <c r="I258" i="17"/>
  <c r="F148" i="17"/>
  <c r="W57" i="17" s="1"/>
  <c r="W65" i="17" s="1"/>
  <c r="C265" i="17"/>
  <c r="C270" i="17" s="1"/>
  <c r="G467" i="17"/>
  <c r="X167" i="17" s="1"/>
  <c r="X175" i="17" s="1"/>
  <c r="G149" i="17"/>
  <c r="G381" i="17"/>
  <c r="X138" i="17" s="1"/>
  <c r="E321" i="17"/>
  <c r="V116" i="17" s="1"/>
  <c r="V124" i="17" s="1"/>
  <c r="V241" i="17" s="1"/>
  <c r="AL110" i="17"/>
  <c r="AM110" i="17"/>
  <c r="F380" i="17"/>
  <c r="W137" i="17" s="1"/>
  <c r="W145" i="17" s="1"/>
  <c r="U150" i="18"/>
  <c r="E263" i="18"/>
  <c r="V96" i="18" s="1"/>
  <c r="V104" i="18" s="1"/>
  <c r="V239" i="18" s="1"/>
  <c r="H375" i="18"/>
  <c r="I375" i="18" s="1"/>
  <c r="K375" i="18" s="1"/>
  <c r="P375" i="18" s="1"/>
  <c r="F147" i="18"/>
  <c r="G438" i="18"/>
  <c r="X157" i="18" s="1"/>
  <c r="X165" i="18" s="1"/>
  <c r="G467" i="18"/>
  <c r="X167" i="18" s="1"/>
  <c r="X175" i="18" s="1"/>
  <c r="AM110" i="18"/>
  <c r="J114" i="18"/>
  <c r="U51" i="18" s="1"/>
  <c r="G263" i="18"/>
  <c r="X96" i="18" s="1"/>
  <c r="X104" i="18" s="1"/>
  <c r="X239" i="18" s="1"/>
  <c r="H462" i="18"/>
  <c r="I462" i="18" s="1"/>
  <c r="P114" i="18"/>
  <c r="H378" i="18"/>
  <c r="I378" i="18" s="1"/>
  <c r="J378" i="18" s="1"/>
  <c r="X141" i="18" s="1"/>
  <c r="H549" i="18"/>
  <c r="G583" i="18"/>
  <c r="X207" i="18" s="1"/>
  <c r="X215" i="18" s="1"/>
  <c r="H85" i="18"/>
  <c r="U50" i="18"/>
  <c r="F467" i="18"/>
  <c r="W167" i="18" s="1"/>
  <c r="W175" i="18" s="1"/>
  <c r="F525" i="18"/>
  <c r="W187" i="18" s="1"/>
  <c r="W195" i="18" s="1"/>
  <c r="G554" i="18"/>
  <c r="X197" i="18" s="1"/>
  <c r="X205" i="18" s="1"/>
  <c r="E147" i="18"/>
  <c r="V56" i="18" s="1"/>
  <c r="V64" i="18" s="1"/>
  <c r="V235" i="18" s="1"/>
  <c r="F583" i="18"/>
  <c r="W207" i="18" s="1"/>
  <c r="W215" i="18" s="1"/>
  <c r="C206" i="18"/>
  <c r="T77" i="18" s="1"/>
  <c r="T85" i="18" s="1"/>
  <c r="E321" i="18"/>
  <c r="V116" i="18" s="1"/>
  <c r="V124" i="18" s="1"/>
  <c r="V241" i="18" s="1"/>
  <c r="G525" i="18"/>
  <c r="X187" i="18" s="1"/>
  <c r="X195" i="18" s="1"/>
  <c r="C379" i="18"/>
  <c r="T136" i="18" s="1"/>
  <c r="T144" i="18" s="1"/>
  <c r="E206" i="18"/>
  <c r="V77" i="18" s="1"/>
  <c r="V85" i="18" s="1"/>
  <c r="D525" i="18"/>
  <c r="U187" i="18" s="1"/>
  <c r="U195" i="18" s="1"/>
  <c r="D495" i="18"/>
  <c r="U176" i="18" s="1"/>
  <c r="U184" i="18" s="1"/>
  <c r="U247" i="18" s="1"/>
  <c r="G322" i="18"/>
  <c r="X117" i="18" s="1"/>
  <c r="X125" i="18" s="1"/>
  <c r="P550" i="18"/>
  <c r="C264" i="18"/>
  <c r="T97" i="18" s="1"/>
  <c r="T105" i="18" s="1"/>
  <c r="E525" i="18"/>
  <c r="V187" i="18" s="1"/>
  <c r="V195" i="18" s="1"/>
  <c r="E119" i="18"/>
  <c r="V47" i="18" s="1"/>
  <c r="V55" i="18" s="1"/>
  <c r="D263" i="18"/>
  <c r="U96" i="18" s="1"/>
  <c r="U104" i="18" s="1"/>
  <c r="U239" i="18" s="1"/>
  <c r="AN99" i="18"/>
  <c r="AN109" i="18" s="1"/>
  <c r="AN117" i="18" s="1"/>
  <c r="H319" i="18"/>
  <c r="G177" i="18"/>
  <c r="X67" i="18" s="1"/>
  <c r="X75" i="18" s="1"/>
  <c r="G60" i="18"/>
  <c r="X26" i="18" s="1"/>
  <c r="X34" i="18" s="1"/>
  <c r="X232" i="18" s="1"/>
  <c r="G119" i="18"/>
  <c r="X47" i="18" s="1"/>
  <c r="X55" i="18" s="1"/>
  <c r="H143" i="18"/>
  <c r="H147" i="18" s="1"/>
  <c r="I148" i="18" s="1"/>
  <c r="AE20" i="18" s="1"/>
  <c r="C381" i="18"/>
  <c r="K463" i="18"/>
  <c r="P463" i="18" s="1"/>
  <c r="J463" i="18"/>
  <c r="V171" i="18" s="1"/>
  <c r="V170" i="18"/>
  <c r="K173" i="18"/>
  <c r="P173" i="18" s="1"/>
  <c r="J173" i="18"/>
  <c r="V71" i="18" s="1"/>
  <c r="V70" i="18"/>
  <c r="J435" i="18"/>
  <c r="W161" i="18" s="1"/>
  <c r="K435" i="18"/>
  <c r="P435" i="18" s="1"/>
  <c r="W160" i="18"/>
  <c r="AO113" i="18"/>
  <c r="AT97" i="18"/>
  <c r="AY97" i="18" s="1"/>
  <c r="AS97" i="18"/>
  <c r="AO114" i="18" s="1"/>
  <c r="J346" i="18"/>
  <c r="U131" i="18" s="1"/>
  <c r="K346" i="18"/>
  <c r="P346" i="18" s="1"/>
  <c r="U130" i="18"/>
  <c r="K86" i="18"/>
  <c r="P86" i="18" s="1"/>
  <c r="J86" i="18"/>
  <c r="V41" i="18" s="1"/>
  <c r="V40" i="18"/>
  <c r="K145" i="18"/>
  <c r="P145" i="18" s="1"/>
  <c r="J145" i="18"/>
  <c r="W61" i="18" s="1"/>
  <c r="W60" i="18"/>
  <c r="K58" i="18"/>
  <c r="P58" i="18" s="1"/>
  <c r="J58" i="18"/>
  <c r="W31" i="18" s="1"/>
  <c r="W30" i="18"/>
  <c r="J348" i="18"/>
  <c r="W131" i="18" s="1"/>
  <c r="K348" i="18"/>
  <c r="P348" i="18" s="1"/>
  <c r="W130" i="18"/>
  <c r="K172" i="18"/>
  <c r="P172" i="18" s="1"/>
  <c r="J172" i="18"/>
  <c r="U71" i="18" s="1"/>
  <c r="U70" i="18"/>
  <c r="K464" i="18"/>
  <c r="P464" i="18" s="1"/>
  <c r="J464" i="18"/>
  <c r="W171" i="18" s="1"/>
  <c r="W170" i="18"/>
  <c r="K378" i="18"/>
  <c r="P378" i="18" s="1"/>
  <c r="X140" i="18"/>
  <c r="K522" i="18"/>
  <c r="P522" i="18" s="1"/>
  <c r="J522" i="18"/>
  <c r="W191" i="18" s="1"/>
  <c r="W190" i="18"/>
  <c r="J144" i="18"/>
  <c r="V61" i="18" s="1"/>
  <c r="K144" i="18"/>
  <c r="P144" i="18" s="1"/>
  <c r="V60" i="18"/>
  <c r="J407" i="18"/>
  <c r="X151" i="18" s="1"/>
  <c r="X150" i="18"/>
  <c r="K407" i="18"/>
  <c r="P407" i="18" s="1"/>
  <c r="K29" i="18"/>
  <c r="P29" i="18" s="1"/>
  <c r="J29" i="18"/>
  <c r="W21" i="18" s="1"/>
  <c r="W20" i="18"/>
  <c r="J87" i="18"/>
  <c r="W41" i="18" s="1"/>
  <c r="K87" i="18"/>
  <c r="P87" i="18" s="1"/>
  <c r="W40" i="18"/>
  <c r="D31" i="18"/>
  <c r="D32" i="18"/>
  <c r="U17" i="18" s="1"/>
  <c r="F263" i="18"/>
  <c r="W96" i="18" s="1"/>
  <c r="W104" i="18" s="1"/>
  <c r="W239" i="18" s="1"/>
  <c r="BI40" i="18"/>
  <c r="BJ40" i="18" s="1"/>
  <c r="BJ57" i="18"/>
  <c r="AO99" i="18"/>
  <c r="F89" i="18"/>
  <c r="F90" i="18"/>
  <c r="W37" i="18" s="1"/>
  <c r="W45" i="18" s="1"/>
  <c r="H291" i="18"/>
  <c r="E408" i="18"/>
  <c r="E409" i="18"/>
  <c r="V147" i="18" s="1"/>
  <c r="V155" i="18" s="1"/>
  <c r="AP101" i="18"/>
  <c r="AQ96" i="18"/>
  <c r="G553" i="18"/>
  <c r="X196" i="18" s="1"/>
  <c r="X204" i="18" s="1"/>
  <c r="X249" i="18" s="1"/>
  <c r="G496" i="18"/>
  <c r="X177" i="18" s="1"/>
  <c r="X185" i="18" s="1"/>
  <c r="H494" i="18"/>
  <c r="I494" i="18" s="1"/>
  <c r="I143" i="18"/>
  <c r="D149" i="18"/>
  <c r="C31" i="18"/>
  <c r="T16" i="18" s="1"/>
  <c r="H26" i="18"/>
  <c r="C32" i="18"/>
  <c r="T17" i="18" s="1"/>
  <c r="C350" i="18"/>
  <c r="T126" i="18" s="1"/>
  <c r="T134" i="18" s="1"/>
  <c r="C352" i="18"/>
  <c r="H345" i="18"/>
  <c r="C351" i="18"/>
  <c r="T127" i="18" s="1"/>
  <c r="T135" i="18" s="1"/>
  <c r="D466" i="18"/>
  <c r="U166" i="18" s="1"/>
  <c r="U174" i="18" s="1"/>
  <c r="U246" i="18" s="1"/>
  <c r="J374" i="18"/>
  <c r="T141" i="18" s="1"/>
  <c r="K374" i="18"/>
  <c r="P374" i="18" s="1"/>
  <c r="T140" i="18"/>
  <c r="J579" i="18"/>
  <c r="V211" i="18" s="1"/>
  <c r="K579" i="18"/>
  <c r="P579" i="18" s="1"/>
  <c r="V210" i="18"/>
  <c r="I28" i="18"/>
  <c r="G89" i="18"/>
  <c r="G90" i="18"/>
  <c r="X37" i="18" s="1"/>
  <c r="X45" i="18" s="1"/>
  <c r="F408" i="18"/>
  <c r="F409" i="18"/>
  <c r="W147" i="18" s="1"/>
  <c r="W155" i="18" s="1"/>
  <c r="H433" i="18"/>
  <c r="H578" i="18"/>
  <c r="I232" i="18"/>
  <c r="AQ95" i="18"/>
  <c r="AR95" i="18" s="1"/>
  <c r="H231" i="18"/>
  <c r="I231" i="18" s="1"/>
  <c r="H288" i="18"/>
  <c r="I288" i="18" s="1"/>
  <c r="I233" i="18"/>
  <c r="H377" i="18"/>
  <c r="I377" i="18" s="1"/>
  <c r="E31" i="18"/>
  <c r="V16" i="18" s="1"/>
  <c r="E32" i="18"/>
  <c r="V17" i="18" s="1"/>
  <c r="C582" i="18"/>
  <c r="T206" i="18" s="1"/>
  <c r="T214" i="18" s="1"/>
  <c r="H577" i="18"/>
  <c r="H582" i="18" s="1"/>
  <c r="I583" i="18" s="1"/>
  <c r="AE35" i="18" s="1"/>
  <c r="C584" i="18"/>
  <c r="E466" i="18"/>
  <c r="G582" i="18"/>
  <c r="X206" i="18" s="1"/>
  <c r="X214" i="18" s="1"/>
  <c r="X250" i="18" s="1"/>
  <c r="BI56" i="18"/>
  <c r="BJ56" i="18" s="1"/>
  <c r="BI49" i="18"/>
  <c r="BJ49" i="18" s="1"/>
  <c r="BI51" i="18"/>
  <c r="BJ51" i="18" s="1"/>
  <c r="BI45" i="18"/>
  <c r="BJ45" i="18" s="1"/>
  <c r="BI41" i="18"/>
  <c r="BJ41" i="18" s="1"/>
  <c r="BI43" i="18"/>
  <c r="BJ43" i="18" s="1"/>
  <c r="BI54" i="18"/>
  <c r="BJ54" i="18" s="1"/>
  <c r="BI42" i="18"/>
  <c r="BJ42" i="18" s="1"/>
  <c r="BI46" i="18"/>
  <c r="BJ46" i="18" s="1"/>
  <c r="BI50" i="18"/>
  <c r="BJ50" i="18" s="1"/>
  <c r="BI52" i="18"/>
  <c r="BJ52" i="18" s="1"/>
  <c r="BI53" i="18"/>
  <c r="BJ53" i="18" s="1"/>
  <c r="BI55" i="18"/>
  <c r="BJ55" i="18" s="1"/>
  <c r="BI44" i="18"/>
  <c r="BJ44" i="18" s="1"/>
  <c r="BI48" i="18"/>
  <c r="BJ48" i="18" s="1"/>
  <c r="BI47" i="18"/>
  <c r="BJ47" i="18" s="1"/>
  <c r="AQ94" i="18"/>
  <c r="AR94" i="18" s="1"/>
  <c r="AL99" i="18"/>
  <c r="AL109" i="18" s="1"/>
  <c r="AL117" i="18" s="1"/>
  <c r="H523" i="18"/>
  <c r="I523" i="18" s="1"/>
  <c r="G555" i="18"/>
  <c r="G207" i="18"/>
  <c r="K56" i="18"/>
  <c r="P56" i="18" s="1"/>
  <c r="U30" i="18"/>
  <c r="J56" i="18"/>
  <c r="U31" i="18" s="1"/>
  <c r="H203" i="18"/>
  <c r="I203" i="18" s="1"/>
  <c r="H201" i="18"/>
  <c r="I201" i="18" s="1"/>
  <c r="F60" i="18"/>
  <c r="D118" i="18"/>
  <c r="H490" i="18"/>
  <c r="C495" i="18"/>
  <c r="T176" i="18" s="1"/>
  <c r="T184" i="18" s="1"/>
  <c r="H261" i="18"/>
  <c r="J116" i="18"/>
  <c r="W51" i="18" s="1"/>
  <c r="K116" i="18"/>
  <c r="P116" i="18" s="1"/>
  <c r="W50" i="18"/>
  <c r="I520" i="18"/>
  <c r="F31" i="18"/>
  <c r="F32" i="18"/>
  <c r="W17" i="18" s="1"/>
  <c r="F264" i="18"/>
  <c r="W97" i="18" s="1"/>
  <c r="W105" i="18" s="1"/>
  <c r="G466" i="18"/>
  <c r="X166" i="18" s="1"/>
  <c r="X174" i="18" s="1"/>
  <c r="X246" i="18" s="1"/>
  <c r="J580" i="18"/>
  <c r="W211" i="18" s="1"/>
  <c r="K580" i="18"/>
  <c r="P580" i="18" s="1"/>
  <c r="W210" i="18"/>
  <c r="J436" i="18"/>
  <c r="X161" i="18" s="1"/>
  <c r="K436" i="18"/>
  <c r="X160" i="18"/>
  <c r="P436" i="18"/>
  <c r="AM99" i="18"/>
  <c r="AM109" i="18" s="1"/>
  <c r="AM117" i="18" s="1"/>
  <c r="H552" i="18"/>
  <c r="I552" i="18" s="1"/>
  <c r="I291" i="18"/>
  <c r="D62" i="18"/>
  <c r="T285" i="18"/>
  <c r="T286" i="18" s="1"/>
  <c r="T284" i="18"/>
  <c r="T225" i="18"/>
  <c r="D207" i="18"/>
  <c r="C60" i="18"/>
  <c r="T26" i="18" s="1"/>
  <c r="T34" i="18" s="1"/>
  <c r="H55" i="18"/>
  <c r="C118" i="18"/>
  <c r="T46" i="18" s="1"/>
  <c r="T54" i="18" s="1"/>
  <c r="I113" i="18"/>
  <c r="H113" i="18"/>
  <c r="AN101" i="18"/>
  <c r="AR96" i="18"/>
  <c r="C496" i="18"/>
  <c r="T177" i="18" s="1"/>
  <c r="T185" i="18" s="1"/>
  <c r="G31" i="18"/>
  <c r="X16" i="18" s="1"/>
  <c r="G32" i="18"/>
  <c r="X17" i="18" s="1"/>
  <c r="K146" i="18"/>
  <c r="P146" i="18" s="1"/>
  <c r="J146" i="18"/>
  <c r="X61" i="18" s="1"/>
  <c r="X60" i="18"/>
  <c r="C292" i="18"/>
  <c r="T106" i="18" s="1"/>
  <c r="T114" i="18" s="1"/>
  <c r="H287" i="18"/>
  <c r="I287" i="18" s="1"/>
  <c r="C293" i="18"/>
  <c r="T107" i="18" s="1"/>
  <c r="T115" i="18" s="1"/>
  <c r="E234" i="18"/>
  <c r="V86" i="18" s="1"/>
  <c r="V94" i="18" s="1"/>
  <c r="V238" i="18" s="1"/>
  <c r="E235" i="18"/>
  <c r="V87" i="18" s="1"/>
  <c r="V95" i="18" s="1"/>
  <c r="H230" i="18"/>
  <c r="I230" i="18" s="1"/>
  <c r="AL110" i="18"/>
  <c r="BI141" i="18"/>
  <c r="BJ141" i="18" s="1"/>
  <c r="BI158" i="18"/>
  <c r="BJ158" i="18" s="1"/>
  <c r="BI160" i="18"/>
  <c r="BJ160" i="18" s="1"/>
  <c r="BI157" i="18"/>
  <c r="BJ157" i="18" s="1"/>
  <c r="BI143" i="18"/>
  <c r="BJ143" i="18" s="1"/>
  <c r="BI139" i="18"/>
  <c r="BJ139" i="18" s="1"/>
  <c r="BI137" i="18"/>
  <c r="BJ137" i="18" s="1"/>
  <c r="BI118" i="18"/>
  <c r="BJ118" i="18" s="1"/>
  <c r="BI133" i="18"/>
  <c r="BJ133" i="18" s="1"/>
  <c r="BI104" i="18"/>
  <c r="BJ104" i="18" s="1"/>
  <c r="BI148" i="18"/>
  <c r="BJ148" i="18" s="1"/>
  <c r="BI125" i="18"/>
  <c r="BJ125" i="18" s="1"/>
  <c r="BI115" i="18"/>
  <c r="BJ115" i="18" s="1"/>
  <c r="BI156" i="18"/>
  <c r="BJ156" i="18" s="1"/>
  <c r="BI147" i="18"/>
  <c r="BJ147" i="18" s="1"/>
  <c r="BI132" i="18"/>
  <c r="BJ132" i="18" s="1"/>
  <c r="BI117" i="18"/>
  <c r="BJ117" i="18" s="1"/>
  <c r="BI105" i="18"/>
  <c r="BJ105" i="18" s="1"/>
  <c r="BI100" i="18"/>
  <c r="BJ100" i="18" s="1"/>
  <c r="BI99" i="18"/>
  <c r="BJ99" i="18" s="1"/>
  <c r="BI93" i="18"/>
  <c r="BJ93" i="18" s="1"/>
  <c r="BI145" i="18"/>
  <c r="BJ145" i="18" s="1"/>
  <c r="BI120" i="18"/>
  <c r="BJ120" i="18" s="1"/>
  <c r="BI108" i="18"/>
  <c r="BJ108" i="18" s="1"/>
  <c r="BI106" i="18"/>
  <c r="BJ106" i="18" s="1"/>
  <c r="BI85" i="18"/>
  <c r="BJ85" i="18" s="1"/>
  <c r="BI80" i="18"/>
  <c r="BJ80" i="18" s="1"/>
  <c r="BI101" i="18"/>
  <c r="BJ101" i="18" s="1"/>
  <c r="BI113" i="18"/>
  <c r="BJ113" i="18" s="1"/>
  <c r="BI92" i="18"/>
  <c r="BJ92" i="18" s="1"/>
  <c r="BI88" i="18"/>
  <c r="BJ88" i="18" s="1"/>
  <c r="BI83" i="18"/>
  <c r="BJ83" i="18" s="1"/>
  <c r="BI73" i="18"/>
  <c r="BJ73" i="18" s="1"/>
  <c r="BI90" i="18"/>
  <c r="BJ90" i="18" s="1"/>
  <c r="BI75" i="18"/>
  <c r="BJ75" i="18" s="1"/>
  <c r="BI95" i="18"/>
  <c r="BJ95" i="18" s="1"/>
  <c r="BI81" i="18"/>
  <c r="BJ81" i="18" s="1"/>
  <c r="BI68" i="18"/>
  <c r="BJ68" i="18" s="1"/>
  <c r="BI116" i="18"/>
  <c r="BJ116" i="18" s="1"/>
  <c r="BI71" i="18"/>
  <c r="BJ71" i="18" s="1"/>
  <c r="BI66" i="18"/>
  <c r="BJ66" i="18" s="1"/>
  <c r="BI103" i="18"/>
  <c r="BJ103" i="18" s="1"/>
  <c r="BI119" i="18"/>
  <c r="BJ119" i="18" s="1"/>
  <c r="BI110" i="18"/>
  <c r="BJ110" i="18" s="1"/>
  <c r="BI121" i="18"/>
  <c r="BJ121" i="18" s="1"/>
  <c r="BI126" i="18"/>
  <c r="BJ126" i="18" s="1"/>
  <c r="BI161" i="18"/>
  <c r="BJ161" i="18" s="1"/>
  <c r="BI131" i="18"/>
  <c r="BJ131" i="18" s="1"/>
  <c r="BI146" i="18"/>
  <c r="BJ146" i="18" s="1"/>
  <c r="BI78" i="18"/>
  <c r="BJ78" i="18" s="1"/>
  <c r="BI89" i="18"/>
  <c r="BJ89" i="18" s="1"/>
  <c r="BI96" i="18"/>
  <c r="BJ96" i="18" s="1"/>
  <c r="BI94" i="18"/>
  <c r="BJ94" i="18" s="1"/>
  <c r="BI127" i="18"/>
  <c r="BJ127" i="18" s="1"/>
  <c r="BI135" i="18"/>
  <c r="BJ135" i="18" s="1"/>
  <c r="BI79" i="18"/>
  <c r="BJ79" i="18" s="1"/>
  <c r="BI107" i="18"/>
  <c r="BJ107" i="18" s="1"/>
  <c r="BI102" i="18"/>
  <c r="BJ102" i="18" s="1"/>
  <c r="BI149" i="18"/>
  <c r="BJ149" i="18" s="1"/>
  <c r="BI153" i="18"/>
  <c r="BJ153" i="18" s="1"/>
  <c r="BI138" i="18"/>
  <c r="BJ138" i="18" s="1"/>
  <c r="BI111" i="18"/>
  <c r="BJ111" i="18" s="1"/>
  <c r="BI112" i="18"/>
  <c r="BJ112" i="18" s="1"/>
  <c r="BI152" i="18"/>
  <c r="BJ152" i="18" s="1"/>
  <c r="BI142" i="18"/>
  <c r="BJ142" i="18" s="1"/>
  <c r="BI77" i="18"/>
  <c r="BJ77" i="18" s="1"/>
  <c r="BI76" i="18"/>
  <c r="BJ76" i="18" s="1"/>
  <c r="BI98" i="18"/>
  <c r="BJ98" i="18" s="1"/>
  <c r="BI91" i="18"/>
  <c r="BJ91" i="18" s="1"/>
  <c r="BI134" i="18"/>
  <c r="BJ134" i="18" s="1"/>
  <c r="BI124" i="18"/>
  <c r="BJ124" i="18" s="1"/>
  <c r="BI144" i="18"/>
  <c r="BJ144" i="18" s="1"/>
  <c r="BI128" i="18"/>
  <c r="BJ128" i="18" s="1"/>
  <c r="BI114" i="18"/>
  <c r="BJ114" i="18" s="1"/>
  <c r="BI109" i="18"/>
  <c r="BJ109" i="18" s="1"/>
  <c r="BI72" i="18"/>
  <c r="BJ72" i="18" s="1"/>
  <c r="BI123" i="18"/>
  <c r="BJ123" i="18" s="1"/>
  <c r="BI122" i="18"/>
  <c r="BJ122" i="18" s="1"/>
  <c r="BI140" i="18"/>
  <c r="BJ140" i="18" s="1"/>
  <c r="BI150" i="18"/>
  <c r="BJ150" i="18" s="1"/>
  <c r="BI159" i="18"/>
  <c r="BJ159" i="18" s="1"/>
  <c r="BI82" i="18"/>
  <c r="BJ82" i="18" s="1"/>
  <c r="BI70" i="18"/>
  <c r="BJ70" i="18" s="1"/>
  <c r="BI87" i="18"/>
  <c r="BJ87" i="18" s="1"/>
  <c r="BI86" i="18"/>
  <c r="BJ86" i="18" s="1"/>
  <c r="BI151" i="18"/>
  <c r="BJ151" i="18" s="1"/>
  <c r="BI129" i="18"/>
  <c r="BJ129" i="18" s="1"/>
  <c r="BI84" i="18"/>
  <c r="BJ84" i="18" s="1"/>
  <c r="BI67" i="18"/>
  <c r="BJ67" i="18" s="1"/>
  <c r="BI154" i="18"/>
  <c r="BJ154" i="18" s="1"/>
  <c r="BI136" i="18"/>
  <c r="BJ136" i="18" s="1"/>
  <c r="BI74" i="18"/>
  <c r="BJ74" i="18" s="1"/>
  <c r="BI69" i="18"/>
  <c r="BJ69" i="18" s="1"/>
  <c r="BI97" i="18"/>
  <c r="BJ97" i="18" s="1"/>
  <c r="BI155" i="18"/>
  <c r="BJ155" i="18" s="1"/>
  <c r="BI130" i="18"/>
  <c r="BJ130" i="18" s="1"/>
  <c r="E118" i="18"/>
  <c r="V46" i="18" s="1"/>
  <c r="V54" i="18" s="1"/>
  <c r="V234" i="18" s="1"/>
  <c r="F380" i="18"/>
  <c r="W137" i="18" s="1"/>
  <c r="W145" i="18" s="1"/>
  <c r="BJ39" i="18"/>
  <c r="K405" i="18"/>
  <c r="P405" i="18" s="1"/>
  <c r="J405" i="18"/>
  <c r="V151" i="18" s="1"/>
  <c r="V150" i="18"/>
  <c r="F582" i="18"/>
  <c r="H434" i="18"/>
  <c r="I434" i="18" s="1"/>
  <c r="E582" i="18"/>
  <c r="K491" i="18"/>
  <c r="J491" i="18"/>
  <c r="U181" i="18" s="1"/>
  <c r="U180" i="18"/>
  <c r="D292" i="18"/>
  <c r="U106" i="18" s="1"/>
  <c r="U114" i="18" s="1"/>
  <c r="U240" i="18" s="1"/>
  <c r="D293" i="18"/>
  <c r="U107" i="18" s="1"/>
  <c r="U115" i="18" s="1"/>
  <c r="BJ64" i="18"/>
  <c r="E89" i="18"/>
  <c r="E90" i="18"/>
  <c r="V37" i="18" s="1"/>
  <c r="V45" i="18" s="1"/>
  <c r="I578" i="18"/>
  <c r="C468" i="18"/>
  <c r="C466" i="18"/>
  <c r="T166" i="18" s="1"/>
  <c r="T174" i="18" s="1"/>
  <c r="H461" i="18"/>
  <c r="C234" i="18"/>
  <c r="T86" i="18" s="1"/>
  <c r="T94" i="18" s="1"/>
  <c r="H229" i="18"/>
  <c r="C235" i="18"/>
  <c r="T87" i="18" s="1"/>
  <c r="T95" i="18" s="1"/>
  <c r="G321" i="18"/>
  <c r="E553" i="18"/>
  <c r="E554" i="18"/>
  <c r="V197" i="18" s="1"/>
  <c r="V205" i="18" s="1"/>
  <c r="H204" i="18"/>
  <c r="I204" i="18" s="1"/>
  <c r="C553" i="18"/>
  <c r="I142" i="18"/>
  <c r="AN110" i="18"/>
  <c r="F205" i="18"/>
  <c r="W76" i="18" s="1"/>
  <c r="W84" i="18" s="1"/>
  <c r="W237" i="18" s="1"/>
  <c r="F206" i="18"/>
  <c r="W77" i="18" s="1"/>
  <c r="W85" i="18" s="1"/>
  <c r="D379" i="18"/>
  <c r="E60" i="18"/>
  <c r="V26" i="18" s="1"/>
  <c r="V34" i="18" s="1"/>
  <c r="V232" i="18" s="1"/>
  <c r="G118" i="18"/>
  <c r="X46" i="18" s="1"/>
  <c r="X54" i="18" s="1"/>
  <c r="X234" i="18" s="1"/>
  <c r="G495" i="18"/>
  <c r="X176" i="18" s="1"/>
  <c r="X184" i="18" s="1"/>
  <c r="X247" i="18" s="1"/>
  <c r="G379" i="18"/>
  <c r="H30" i="18"/>
  <c r="I30" i="18" s="1"/>
  <c r="E379" i="18"/>
  <c r="V136" i="18" s="1"/>
  <c r="V144" i="18" s="1"/>
  <c r="V243" i="18" s="1"/>
  <c r="F265" i="18"/>
  <c r="I261" i="18"/>
  <c r="E496" i="18"/>
  <c r="V177" i="18" s="1"/>
  <c r="V185" i="18" s="1"/>
  <c r="I85" i="18"/>
  <c r="D497" i="18"/>
  <c r="C583" i="18"/>
  <c r="T207" i="18" s="1"/>
  <c r="T215" i="18" s="1"/>
  <c r="C61" i="18"/>
  <c r="T27" i="18" s="1"/>
  <c r="T35" i="18" s="1"/>
  <c r="E292" i="18"/>
  <c r="V106" i="18" s="1"/>
  <c r="V114" i="18" s="1"/>
  <c r="V240" i="18" s="1"/>
  <c r="E293" i="18"/>
  <c r="V107" i="18" s="1"/>
  <c r="V115" i="18" s="1"/>
  <c r="D234" i="18"/>
  <c r="U86" i="18" s="1"/>
  <c r="U94" i="18" s="1"/>
  <c r="U238" i="18" s="1"/>
  <c r="D235" i="18"/>
  <c r="U87" i="18" s="1"/>
  <c r="U95" i="18" s="1"/>
  <c r="H175" i="18"/>
  <c r="F524" i="18"/>
  <c r="H59" i="18"/>
  <c r="I59" i="18" s="1"/>
  <c r="C147" i="18"/>
  <c r="F176" i="18"/>
  <c r="W66" i="18" s="1"/>
  <c r="W74" i="18" s="1"/>
  <c r="W236" i="18" s="1"/>
  <c r="H316" i="18"/>
  <c r="C321" i="18"/>
  <c r="T116" i="18" s="1"/>
  <c r="T124" i="18" s="1"/>
  <c r="E437" i="18"/>
  <c r="V156" i="18" s="1"/>
  <c r="V164" i="18" s="1"/>
  <c r="V245" i="18" s="1"/>
  <c r="V285" i="18"/>
  <c r="V286" i="18" s="1"/>
  <c r="V284" i="18"/>
  <c r="V225" i="18"/>
  <c r="F118" i="18"/>
  <c r="I318" i="18"/>
  <c r="D119" i="18"/>
  <c r="U47" i="18" s="1"/>
  <c r="U55" i="18" s="1"/>
  <c r="H521" i="18"/>
  <c r="I521" i="18" s="1"/>
  <c r="D61" i="18"/>
  <c r="U27" i="18" s="1"/>
  <c r="U35" i="18" s="1"/>
  <c r="F497" i="18"/>
  <c r="I493" i="18"/>
  <c r="F292" i="18"/>
  <c r="W106" i="18" s="1"/>
  <c r="W114" i="18" s="1"/>
  <c r="W240" i="18" s="1"/>
  <c r="F293" i="18"/>
  <c r="W107" i="18" s="1"/>
  <c r="W115" i="18" s="1"/>
  <c r="C554" i="18"/>
  <c r="T197" i="18" s="1"/>
  <c r="T205" i="18" s="1"/>
  <c r="H376" i="18"/>
  <c r="H465" i="18"/>
  <c r="I465" i="18" s="1"/>
  <c r="F234" i="18"/>
  <c r="W86" i="18" s="1"/>
  <c r="W94" i="18" s="1"/>
  <c r="W238" i="18" s="1"/>
  <c r="F235" i="18"/>
  <c r="W87" i="18" s="1"/>
  <c r="W95" i="18" s="1"/>
  <c r="G524" i="18"/>
  <c r="X186" i="18" s="1"/>
  <c r="X194" i="18" s="1"/>
  <c r="X248" i="18" s="1"/>
  <c r="F554" i="18"/>
  <c r="W197" i="18" s="1"/>
  <c r="W205" i="18" s="1"/>
  <c r="D321" i="18"/>
  <c r="U116" i="18" s="1"/>
  <c r="U124" i="18" s="1"/>
  <c r="U241" i="18" s="1"/>
  <c r="I548" i="18"/>
  <c r="C148" i="18"/>
  <c r="T57" i="18" s="1"/>
  <c r="T65" i="18" s="1"/>
  <c r="H117" i="18"/>
  <c r="I117" i="18" s="1"/>
  <c r="AO110" i="18"/>
  <c r="G176" i="18"/>
  <c r="X66" i="18" s="1"/>
  <c r="X74" i="18" s="1"/>
  <c r="X236" i="18" s="1"/>
  <c r="C437" i="18"/>
  <c r="T156" i="18" s="1"/>
  <c r="T164" i="18" s="1"/>
  <c r="H432" i="18"/>
  <c r="I432" i="18" s="1"/>
  <c r="D322" i="18"/>
  <c r="U117" i="18" s="1"/>
  <c r="U125" i="18" s="1"/>
  <c r="E149" i="18"/>
  <c r="F379" i="18"/>
  <c r="W136" i="18" s="1"/>
  <c r="W144" i="18" s="1"/>
  <c r="W243" i="18" s="1"/>
  <c r="D496" i="18"/>
  <c r="U177" i="18" s="1"/>
  <c r="U185" i="18" s="1"/>
  <c r="I581" i="18"/>
  <c r="H317" i="18"/>
  <c r="I317" i="18" s="1"/>
  <c r="K88" i="18"/>
  <c r="P88" i="18" s="1"/>
  <c r="J88" i="18"/>
  <c r="X41" i="18" s="1"/>
  <c r="X40" i="18"/>
  <c r="E583" i="18"/>
  <c r="V207" i="18" s="1"/>
  <c r="V215" i="18" s="1"/>
  <c r="E61" i="18"/>
  <c r="V27" i="18" s="1"/>
  <c r="V35" i="18" s="1"/>
  <c r="D264" i="18"/>
  <c r="U97" i="18" s="1"/>
  <c r="U105" i="18" s="1"/>
  <c r="G292" i="18"/>
  <c r="X106" i="18" s="1"/>
  <c r="X114" i="18" s="1"/>
  <c r="X240" i="18" s="1"/>
  <c r="G293" i="18"/>
  <c r="X107" i="18" s="1"/>
  <c r="X115" i="18" s="1"/>
  <c r="G234" i="18"/>
  <c r="X86" i="18" s="1"/>
  <c r="X94" i="18" s="1"/>
  <c r="X238" i="18" s="1"/>
  <c r="G235" i="18"/>
  <c r="X87" i="18" s="1"/>
  <c r="X95" i="18" s="1"/>
  <c r="H519" i="18"/>
  <c r="H524" i="18" s="1"/>
  <c r="I525" i="18" s="1"/>
  <c r="AE33" i="18" s="1"/>
  <c r="C524" i="18"/>
  <c r="T186" i="18" s="1"/>
  <c r="T194" i="18" s="1"/>
  <c r="I549" i="18"/>
  <c r="D555" i="18"/>
  <c r="D554" i="18"/>
  <c r="U197" i="18" s="1"/>
  <c r="U205" i="18" s="1"/>
  <c r="C205" i="18"/>
  <c r="AQ98" i="18"/>
  <c r="AR98" i="18" s="1"/>
  <c r="H202" i="18"/>
  <c r="I202" i="18" s="1"/>
  <c r="H259" i="18"/>
  <c r="I259" i="18" s="1"/>
  <c r="C467" i="18"/>
  <c r="T167" i="18" s="1"/>
  <c r="T175" i="18" s="1"/>
  <c r="AP110" i="18"/>
  <c r="H171" i="18"/>
  <c r="C176" i="18"/>
  <c r="T66" i="18" s="1"/>
  <c r="T74" i="18" s="1"/>
  <c r="D553" i="18"/>
  <c r="U196" i="18" s="1"/>
  <c r="U204" i="18" s="1"/>
  <c r="U249" i="18" s="1"/>
  <c r="D437" i="18"/>
  <c r="U156" i="18" s="1"/>
  <c r="U164" i="18" s="1"/>
  <c r="U245" i="18" s="1"/>
  <c r="C380" i="18"/>
  <c r="T137" i="18" s="1"/>
  <c r="T145" i="18" s="1"/>
  <c r="E350" i="18"/>
  <c r="E351" i="18"/>
  <c r="V127" i="18" s="1"/>
  <c r="V135" i="18" s="1"/>
  <c r="F61" i="18"/>
  <c r="W27" i="18" s="1"/>
  <c r="W35" i="18" s="1"/>
  <c r="E264" i="18"/>
  <c r="V97" i="18" s="1"/>
  <c r="V105" i="18" s="1"/>
  <c r="K260" i="18"/>
  <c r="P260" i="18" s="1"/>
  <c r="J260" i="18"/>
  <c r="V101" i="18" s="1"/>
  <c r="V100" i="18"/>
  <c r="D408" i="18"/>
  <c r="D409" i="18"/>
  <c r="U147" i="18" s="1"/>
  <c r="U155" i="18" s="1"/>
  <c r="U285" i="18"/>
  <c r="U286" i="18" s="1"/>
  <c r="U225" i="18"/>
  <c r="U284" i="18"/>
  <c r="H258" i="18"/>
  <c r="C263" i="18"/>
  <c r="T96" i="18" s="1"/>
  <c r="T104" i="18" s="1"/>
  <c r="H290" i="18"/>
  <c r="I290" i="18" s="1"/>
  <c r="X56" i="18"/>
  <c r="X64" i="18" s="1"/>
  <c r="X235" i="18" s="1"/>
  <c r="G149" i="18"/>
  <c r="I175" i="18"/>
  <c r="C91" i="18"/>
  <c r="C89" i="18"/>
  <c r="T36" i="18" s="1"/>
  <c r="T44" i="18" s="1"/>
  <c r="H84" i="18"/>
  <c r="H89" i="18" s="1"/>
  <c r="I90" i="18" s="1"/>
  <c r="AE18" i="18" s="1"/>
  <c r="C90" i="18"/>
  <c r="T37" i="18" s="1"/>
  <c r="T45" i="18" s="1"/>
  <c r="I262" i="18"/>
  <c r="D524" i="18"/>
  <c r="U186" i="18" s="1"/>
  <c r="U194" i="18" s="1"/>
  <c r="U248" i="18" s="1"/>
  <c r="C409" i="18"/>
  <c r="T147" i="18" s="1"/>
  <c r="T155" i="18" s="1"/>
  <c r="C408" i="18"/>
  <c r="T146" i="18" s="1"/>
  <c r="T154" i="18" s="1"/>
  <c r="H403" i="18"/>
  <c r="H408" i="18" s="1"/>
  <c r="I409" i="18" s="1"/>
  <c r="AE29" i="18" s="1"/>
  <c r="I319" i="18"/>
  <c r="H232" i="18"/>
  <c r="D176" i="18"/>
  <c r="G437" i="18"/>
  <c r="C322" i="18"/>
  <c r="T117" i="18" s="1"/>
  <c r="T125" i="18" s="1"/>
  <c r="D380" i="18"/>
  <c r="U137" i="18" s="1"/>
  <c r="U145" i="18" s="1"/>
  <c r="C119" i="18"/>
  <c r="T47" i="18" s="1"/>
  <c r="T55" i="18" s="1"/>
  <c r="H57" i="18"/>
  <c r="I57" i="18" s="1"/>
  <c r="H289" i="18"/>
  <c r="I289" i="18" s="1"/>
  <c r="W284" i="18"/>
  <c r="W225" i="18"/>
  <c r="W285" i="18"/>
  <c r="W286" i="18" s="1"/>
  <c r="F350" i="18"/>
  <c r="F351" i="18"/>
  <c r="W127" i="18" s="1"/>
  <c r="W135" i="18" s="1"/>
  <c r="G61" i="18"/>
  <c r="X27" i="18" s="1"/>
  <c r="X35" i="18" s="1"/>
  <c r="G264" i="18"/>
  <c r="X97" i="18" s="1"/>
  <c r="X105" i="18" s="1"/>
  <c r="E265" i="18"/>
  <c r="C438" i="18"/>
  <c r="T157" i="18" s="1"/>
  <c r="T165" i="18" s="1"/>
  <c r="D350" i="18"/>
  <c r="D351" i="18"/>
  <c r="U127" i="18" s="1"/>
  <c r="U135" i="18" s="1"/>
  <c r="D582" i="18"/>
  <c r="U206" i="18" s="1"/>
  <c r="U214" i="18" s="1"/>
  <c r="U250" i="18" s="1"/>
  <c r="X284" i="18"/>
  <c r="X225" i="18"/>
  <c r="X285" i="18"/>
  <c r="X286" i="18" s="1"/>
  <c r="D89" i="18"/>
  <c r="U36" i="18" s="1"/>
  <c r="U44" i="18" s="1"/>
  <c r="U233" i="18" s="1"/>
  <c r="D90" i="18"/>
  <c r="U37" i="18" s="1"/>
  <c r="U45" i="18" s="1"/>
  <c r="E524" i="18"/>
  <c r="V186" i="18" s="1"/>
  <c r="V194" i="18" s="1"/>
  <c r="V248" i="18" s="1"/>
  <c r="G409" i="18"/>
  <c r="X147" i="18" s="1"/>
  <c r="X155" i="18" s="1"/>
  <c r="G408" i="18"/>
  <c r="I200" i="18"/>
  <c r="G62" i="18"/>
  <c r="E207" i="18"/>
  <c r="I433" i="18"/>
  <c r="E176" i="18"/>
  <c r="F437" i="18"/>
  <c r="H115" i="18"/>
  <c r="I115" i="18" s="1"/>
  <c r="F321" i="18"/>
  <c r="W116" i="18" s="1"/>
  <c r="W124" i="18" s="1"/>
  <c r="W241" i="18" s="1"/>
  <c r="H551" i="18"/>
  <c r="I551" i="18" s="1"/>
  <c r="E322" i="18"/>
  <c r="V117" i="18" s="1"/>
  <c r="V125" i="18" s="1"/>
  <c r="E380" i="18"/>
  <c r="V137" i="18" s="1"/>
  <c r="V145" i="18" s="1"/>
  <c r="F119" i="18"/>
  <c r="W47" i="18" s="1"/>
  <c r="W55" i="18" s="1"/>
  <c r="P491" i="18"/>
  <c r="H174" i="18"/>
  <c r="I174" i="18" s="1"/>
  <c r="G350" i="18"/>
  <c r="G351" i="18"/>
  <c r="X127" i="18" s="1"/>
  <c r="X135" i="18" s="1"/>
  <c r="C177" i="18"/>
  <c r="T67" i="18" s="1"/>
  <c r="T75" i="18" s="1"/>
  <c r="F466" i="18"/>
  <c r="E438" i="18"/>
  <c r="V157" i="18" s="1"/>
  <c r="V165" i="18" s="1"/>
  <c r="W24" i="17"/>
  <c r="K290" i="17"/>
  <c r="P290" i="17" s="1"/>
  <c r="J290" i="17"/>
  <c r="W111" i="17" s="1"/>
  <c r="W110" i="17"/>
  <c r="K407" i="17"/>
  <c r="P407" i="17" s="1"/>
  <c r="J407" i="17"/>
  <c r="X151" i="17" s="1"/>
  <c r="X150" i="17"/>
  <c r="K289" i="17"/>
  <c r="P289" i="17" s="1"/>
  <c r="J289" i="17"/>
  <c r="V111" i="17" s="1"/>
  <c r="V110" i="17"/>
  <c r="J114" i="17"/>
  <c r="U51" i="17" s="1"/>
  <c r="K114" i="17"/>
  <c r="P114" i="17" s="1"/>
  <c r="U50" i="17"/>
  <c r="K173" i="17"/>
  <c r="P173" i="17" s="1"/>
  <c r="J173" i="17"/>
  <c r="V71" i="17" s="1"/>
  <c r="V70" i="17"/>
  <c r="K376" i="17"/>
  <c r="P376" i="17" s="1"/>
  <c r="K27" i="17"/>
  <c r="P27" i="17" s="1"/>
  <c r="J27" i="17"/>
  <c r="U21" i="17" s="1"/>
  <c r="U20" i="17"/>
  <c r="K204" i="17"/>
  <c r="P204" i="17" s="1"/>
  <c r="J204" i="17"/>
  <c r="X81" i="17" s="1"/>
  <c r="X80" i="17"/>
  <c r="K174" i="17"/>
  <c r="P174" i="17" s="1"/>
  <c r="J174" i="17"/>
  <c r="W71" i="17" s="1"/>
  <c r="W70" i="17"/>
  <c r="K143" i="17"/>
  <c r="P143" i="17" s="1"/>
  <c r="J143" i="17"/>
  <c r="U61" i="17" s="1"/>
  <c r="U60" i="17"/>
  <c r="K347" i="17"/>
  <c r="P347" i="17" s="1"/>
  <c r="J347" i="17"/>
  <c r="V131" i="17" s="1"/>
  <c r="V130" i="17"/>
  <c r="K433" i="17"/>
  <c r="P433" i="17" s="1"/>
  <c r="J433" i="17"/>
  <c r="U161" i="17" s="1"/>
  <c r="U160" i="17"/>
  <c r="T56" i="17"/>
  <c r="T64" i="17" s="1"/>
  <c r="C149" i="17"/>
  <c r="K435" i="17"/>
  <c r="P435" i="17" s="1"/>
  <c r="J435" i="17"/>
  <c r="W161" i="17" s="1"/>
  <c r="W160" i="17"/>
  <c r="J288" i="17"/>
  <c r="U111" i="17" s="1"/>
  <c r="K288" i="17"/>
  <c r="P288" i="17" s="1"/>
  <c r="U110" i="17"/>
  <c r="K316" i="17"/>
  <c r="P316" i="17" s="1"/>
  <c r="J316" i="17"/>
  <c r="T121" i="17" s="1"/>
  <c r="T120" i="17"/>
  <c r="K172" i="17"/>
  <c r="P172" i="17" s="1"/>
  <c r="J172" i="17"/>
  <c r="U71" i="17" s="1"/>
  <c r="U70" i="17"/>
  <c r="V126" i="17"/>
  <c r="V134" i="17" s="1"/>
  <c r="V242" i="17" s="1"/>
  <c r="E352" i="17"/>
  <c r="AT95" i="17"/>
  <c r="AY95" i="17" s="1"/>
  <c r="AS95" i="17"/>
  <c r="AM114" i="17" s="1"/>
  <c r="AM113" i="17"/>
  <c r="T25" i="17"/>
  <c r="E408" i="17"/>
  <c r="E409" i="17"/>
  <c r="V147" i="17" s="1"/>
  <c r="V155" i="17" s="1"/>
  <c r="G151" i="17"/>
  <c r="X58" i="17"/>
  <c r="G153" i="17"/>
  <c r="F118" i="17"/>
  <c r="W46" i="17" s="1"/>
  <c r="W54" i="17" s="1"/>
  <c r="W234" i="17" s="1"/>
  <c r="F119" i="17"/>
  <c r="W47" i="17" s="1"/>
  <c r="W55" i="17" s="1"/>
  <c r="I579" i="17"/>
  <c r="T24" i="17"/>
  <c r="F408" i="17"/>
  <c r="F409" i="17"/>
  <c r="W147" i="17" s="1"/>
  <c r="W155" i="17" s="1"/>
  <c r="F32" i="17"/>
  <c r="W17" i="17" s="1"/>
  <c r="E147" i="17"/>
  <c r="V56" i="17" s="1"/>
  <c r="V64" i="17" s="1"/>
  <c r="V235" i="17" s="1"/>
  <c r="D267" i="17"/>
  <c r="D270" i="17"/>
  <c r="U98" i="17"/>
  <c r="D269" i="17"/>
  <c r="D524" i="17"/>
  <c r="U186" i="17" s="1"/>
  <c r="U194" i="17" s="1"/>
  <c r="U248" i="17" s="1"/>
  <c r="D525" i="17"/>
  <c r="U187" i="17" s="1"/>
  <c r="U195" i="17" s="1"/>
  <c r="H580" i="17"/>
  <c r="D31" i="17"/>
  <c r="AQ98" i="17"/>
  <c r="AR98" i="17" s="1"/>
  <c r="V284" i="17"/>
  <c r="V285" i="17"/>
  <c r="V286" i="17" s="1"/>
  <c r="V225" i="17"/>
  <c r="H550" i="17"/>
  <c r="I550" i="17" s="1"/>
  <c r="F323" i="17"/>
  <c r="X284" i="17"/>
  <c r="X285" i="17"/>
  <c r="X286" i="17" s="1"/>
  <c r="X225" i="17"/>
  <c r="K320" i="17"/>
  <c r="P320" i="17" s="1"/>
  <c r="J320" i="17"/>
  <c r="X121" i="17" s="1"/>
  <c r="X120" i="17"/>
  <c r="K146" i="17"/>
  <c r="P146" i="17" s="1"/>
  <c r="J146" i="17"/>
  <c r="X61" i="17" s="1"/>
  <c r="X60" i="17"/>
  <c r="T243" i="17"/>
  <c r="G383" i="17"/>
  <c r="G385" i="17"/>
  <c r="G118" i="17"/>
  <c r="G119" i="17"/>
  <c r="X47" i="17" s="1"/>
  <c r="X55" i="17" s="1"/>
  <c r="C381" i="17"/>
  <c r="K56" i="17"/>
  <c r="P56" i="17" s="1"/>
  <c r="U30" i="17"/>
  <c r="J56" i="17"/>
  <c r="U31" i="17" s="1"/>
  <c r="K259" i="17"/>
  <c r="P259" i="17" s="1"/>
  <c r="J259" i="17"/>
  <c r="U101" i="17" s="1"/>
  <c r="U100" i="17"/>
  <c r="H461" i="17"/>
  <c r="C466" i="17"/>
  <c r="T166" i="17" s="1"/>
  <c r="T174" i="17" s="1"/>
  <c r="E524" i="17"/>
  <c r="V186" i="17" s="1"/>
  <c r="V194" i="17" s="1"/>
  <c r="V248" i="17" s="1"/>
  <c r="E525" i="17"/>
  <c r="V187" i="17" s="1"/>
  <c r="V195" i="17" s="1"/>
  <c r="BI247" i="17"/>
  <c r="BJ247" i="17" s="1"/>
  <c r="BI240" i="17"/>
  <c r="BJ240" i="17" s="1"/>
  <c r="BI233" i="17"/>
  <c r="BJ233" i="17" s="1"/>
  <c r="BI230" i="17"/>
  <c r="BJ230" i="17" s="1"/>
  <c r="BI205" i="17"/>
  <c r="BJ205" i="17" s="1"/>
  <c r="BI188" i="17"/>
  <c r="BJ188" i="17" s="1"/>
  <c r="BI185" i="17"/>
  <c r="BJ185" i="17" s="1"/>
  <c r="BI261" i="17"/>
  <c r="BJ261" i="17" s="1"/>
  <c r="BI237" i="17"/>
  <c r="BJ237" i="17" s="1"/>
  <c r="BI229" i="17"/>
  <c r="BJ229" i="17" s="1"/>
  <c r="BI220" i="17"/>
  <c r="BJ220" i="17" s="1"/>
  <c r="BI214" i="17"/>
  <c r="BJ214" i="17" s="1"/>
  <c r="BI212" i="17"/>
  <c r="BJ212" i="17" s="1"/>
  <c r="BI253" i="17"/>
  <c r="BJ253" i="17" s="1"/>
  <c r="BI244" i="17"/>
  <c r="BJ244" i="17" s="1"/>
  <c r="BI235" i="17"/>
  <c r="BJ235" i="17" s="1"/>
  <c r="BI218" i="17"/>
  <c r="BJ218" i="17" s="1"/>
  <c r="BI213" i="17"/>
  <c r="BJ213" i="17" s="1"/>
  <c r="BI210" i="17"/>
  <c r="BJ210" i="17" s="1"/>
  <c r="BI224" i="17"/>
  <c r="BJ224" i="17" s="1"/>
  <c r="BI215" i="17"/>
  <c r="BJ215" i="17" s="1"/>
  <c r="BI208" i="17"/>
  <c r="BJ208" i="17" s="1"/>
  <c r="BI249" i="17"/>
  <c r="BJ249" i="17" s="1"/>
  <c r="BI176" i="17"/>
  <c r="BJ176" i="17" s="1"/>
  <c r="BI174" i="17"/>
  <c r="BJ174" i="17" s="1"/>
  <c r="BI148" i="17"/>
  <c r="BJ148" i="17" s="1"/>
  <c r="BI147" i="17"/>
  <c r="BJ147" i="17" s="1"/>
  <c r="BI145" i="17"/>
  <c r="BJ145" i="17" s="1"/>
  <c r="BI128" i="17"/>
  <c r="BJ128" i="17" s="1"/>
  <c r="BI254" i="17"/>
  <c r="BJ254" i="17" s="1"/>
  <c r="BI202" i="17"/>
  <c r="BJ202" i="17" s="1"/>
  <c r="BI190" i="17"/>
  <c r="BJ190" i="17" s="1"/>
  <c r="BI171" i="17"/>
  <c r="BJ171" i="17" s="1"/>
  <c r="BI168" i="17"/>
  <c r="BJ168" i="17" s="1"/>
  <c r="BI149" i="17"/>
  <c r="BJ149" i="17" s="1"/>
  <c r="BI142" i="17"/>
  <c r="BJ142" i="17" s="1"/>
  <c r="BI196" i="17"/>
  <c r="BJ196" i="17" s="1"/>
  <c r="BI159" i="17"/>
  <c r="BJ159" i="17" s="1"/>
  <c r="BI133" i="17"/>
  <c r="BJ133" i="17" s="1"/>
  <c r="BI143" i="17"/>
  <c r="BJ143" i="17" s="1"/>
  <c r="BI139" i="17"/>
  <c r="BJ139" i="17" s="1"/>
  <c r="BI137" i="17"/>
  <c r="BJ137" i="17" s="1"/>
  <c r="BI180" i="17"/>
  <c r="BJ180" i="17" s="1"/>
  <c r="BI163" i="17"/>
  <c r="BJ163" i="17" s="1"/>
  <c r="BI132" i="17"/>
  <c r="BJ132" i="17" s="1"/>
  <c r="BI226" i="17"/>
  <c r="BJ226" i="17" s="1"/>
  <c r="BI122" i="17"/>
  <c r="BJ122" i="17" s="1"/>
  <c r="BI117" i="17"/>
  <c r="BJ117" i="17" s="1"/>
  <c r="BI170" i="17"/>
  <c r="BJ170" i="17" s="1"/>
  <c r="BI154" i="17"/>
  <c r="BJ154" i="17" s="1"/>
  <c r="BI136" i="17"/>
  <c r="BJ136" i="17" s="1"/>
  <c r="BI108" i="17"/>
  <c r="BJ108" i="17" s="1"/>
  <c r="BI106" i="17"/>
  <c r="BJ106" i="17" s="1"/>
  <c r="BI95" i="17"/>
  <c r="BJ95" i="17" s="1"/>
  <c r="BI125" i="17"/>
  <c r="BJ125" i="17" s="1"/>
  <c r="BI161" i="17"/>
  <c r="BJ161" i="17" s="1"/>
  <c r="BI114" i="17"/>
  <c r="BJ114" i="17" s="1"/>
  <c r="BI167" i="17"/>
  <c r="BJ167" i="17" s="1"/>
  <c r="BI105" i="17"/>
  <c r="BJ105" i="17" s="1"/>
  <c r="BI127" i="17"/>
  <c r="BJ127" i="17" s="1"/>
  <c r="BI99" i="17"/>
  <c r="BJ99" i="17" s="1"/>
  <c r="BI83" i="17"/>
  <c r="BJ83" i="17" s="1"/>
  <c r="BI81" i="17"/>
  <c r="BJ81" i="17" s="1"/>
  <c r="BI74" i="17"/>
  <c r="BJ74" i="17" s="1"/>
  <c r="BI110" i="17"/>
  <c r="BJ110" i="17" s="1"/>
  <c r="BI93" i="17"/>
  <c r="BJ93" i="17" s="1"/>
  <c r="BI100" i="17"/>
  <c r="BJ100" i="17" s="1"/>
  <c r="BI68" i="17"/>
  <c r="BJ68" i="17" s="1"/>
  <c r="BI178" i="17"/>
  <c r="BJ178" i="17" s="1"/>
  <c r="BI199" i="17"/>
  <c r="BJ199" i="17" s="1"/>
  <c r="BI87" i="17"/>
  <c r="BJ87" i="17" s="1"/>
  <c r="BI84" i="17"/>
  <c r="BJ84" i="17" s="1"/>
  <c r="BI71" i="17"/>
  <c r="BJ71" i="17" s="1"/>
  <c r="BI66" i="17"/>
  <c r="BJ66" i="17" s="1"/>
  <c r="BI119" i="17"/>
  <c r="BJ119" i="17" s="1"/>
  <c r="BI85" i="17"/>
  <c r="BJ85" i="17" s="1"/>
  <c r="BI82" i="17"/>
  <c r="BJ82" i="17" s="1"/>
  <c r="BI91" i="17"/>
  <c r="BJ91" i="17" s="1"/>
  <c r="BI79" i="17"/>
  <c r="BJ79" i="17" s="1"/>
  <c r="BI72" i="17"/>
  <c r="BJ72" i="17" s="1"/>
  <c r="BI104" i="17"/>
  <c r="BJ104" i="17" s="1"/>
  <c r="BI88" i="17"/>
  <c r="BJ88" i="17" s="1"/>
  <c r="BI160" i="17"/>
  <c r="BJ160" i="17" s="1"/>
  <c r="BI86" i="17"/>
  <c r="BJ86" i="17" s="1"/>
  <c r="BI155" i="17"/>
  <c r="BJ155" i="17" s="1"/>
  <c r="BI129" i="17"/>
  <c r="BJ129" i="17" s="1"/>
  <c r="BI173" i="17"/>
  <c r="BJ173" i="17" s="1"/>
  <c r="BI236" i="17"/>
  <c r="BJ236" i="17" s="1"/>
  <c r="BI186" i="17"/>
  <c r="BJ186" i="17" s="1"/>
  <c r="BI238" i="17"/>
  <c r="BJ238" i="17" s="1"/>
  <c r="BI140" i="17"/>
  <c r="BJ140" i="17" s="1"/>
  <c r="BI109" i="17"/>
  <c r="BJ109" i="17" s="1"/>
  <c r="BI157" i="17"/>
  <c r="BJ157" i="17" s="1"/>
  <c r="BI177" i="17"/>
  <c r="BJ177" i="17" s="1"/>
  <c r="BI245" i="17"/>
  <c r="BJ245" i="17" s="1"/>
  <c r="BI204" i="17"/>
  <c r="BJ204" i="17" s="1"/>
  <c r="BI191" i="17"/>
  <c r="BJ191" i="17" s="1"/>
  <c r="BI97" i="17"/>
  <c r="BJ97" i="17" s="1"/>
  <c r="BI80" i="17"/>
  <c r="BJ80" i="17" s="1"/>
  <c r="BI239" i="17"/>
  <c r="BJ239" i="17" s="1"/>
  <c r="BI169" i="17"/>
  <c r="BJ169" i="17" s="1"/>
  <c r="BI162" i="17"/>
  <c r="BJ162" i="17" s="1"/>
  <c r="BI227" i="17"/>
  <c r="BJ227" i="17" s="1"/>
  <c r="BI203" i="17"/>
  <c r="BJ203" i="17" s="1"/>
  <c r="BI256" i="17"/>
  <c r="BJ256" i="17" s="1"/>
  <c r="BI69" i="17"/>
  <c r="BJ69" i="17" s="1"/>
  <c r="BI103" i="17"/>
  <c r="BJ103" i="17" s="1"/>
  <c r="BI89" i="17"/>
  <c r="BJ89" i="17" s="1"/>
  <c r="BI98" i="17"/>
  <c r="BJ98" i="17" s="1"/>
  <c r="BI175" i="17"/>
  <c r="BJ175" i="17" s="1"/>
  <c r="BI164" i="17"/>
  <c r="BJ164" i="17" s="1"/>
  <c r="BI121" i="17"/>
  <c r="BJ121" i="17" s="1"/>
  <c r="BI192" i="17"/>
  <c r="BJ192" i="17" s="1"/>
  <c r="BI231" i="17"/>
  <c r="BJ231" i="17" s="1"/>
  <c r="BI216" i="17"/>
  <c r="BJ216" i="17" s="1"/>
  <c r="BI243" i="17"/>
  <c r="BJ243" i="17" s="1"/>
  <c r="BI76" i="17"/>
  <c r="BJ76" i="17" s="1"/>
  <c r="BI67" i="17"/>
  <c r="BJ67" i="17" s="1"/>
  <c r="BI153" i="17"/>
  <c r="BJ153" i="17" s="1"/>
  <c r="BI112" i="17"/>
  <c r="BJ112" i="17" s="1"/>
  <c r="BI126" i="17"/>
  <c r="BJ126" i="17" s="1"/>
  <c r="BI102" i="17"/>
  <c r="BJ102" i="17" s="1"/>
  <c r="BI255" i="17"/>
  <c r="BJ255" i="17" s="1"/>
  <c r="BI70" i="17"/>
  <c r="BJ70" i="17" s="1"/>
  <c r="BI92" i="17"/>
  <c r="BJ92" i="17" s="1"/>
  <c r="BI172" i="17"/>
  <c r="BJ172" i="17" s="1"/>
  <c r="BI107" i="17"/>
  <c r="BJ107" i="17" s="1"/>
  <c r="BI206" i="17"/>
  <c r="BJ206" i="17" s="1"/>
  <c r="BI151" i="17"/>
  <c r="BJ151" i="17" s="1"/>
  <c r="BI221" i="17"/>
  <c r="BJ221" i="17" s="1"/>
  <c r="BI197" i="17"/>
  <c r="BJ197" i="17" s="1"/>
  <c r="BI222" i="17"/>
  <c r="BJ222" i="17" s="1"/>
  <c r="BI260" i="17"/>
  <c r="BJ260" i="17" s="1"/>
  <c r="BI73" i="17"/>
  <c r="BJ73" i="17" s="1"/>
  <c r="BI144" i="17"/>
  <c r="BJ144" i="17" s="1"/>
  <c r="BI225" i="17"/>
  <c r="BJ225" i="17" s="1"/>
  <c r="BI165" i="17"/>
  <c r="BJ165" i="17" s="1"/>
  <c r="BI156" i="17"/>
  <c r="BJ156" i="17" s="1"/>
  <c r="BI219" i="17"/>
  <c r="BJ219" i="17" s="1"/>
  <c r="BI193" i="17"/>
  <c r="BJ193" i="17" s="1"/>
  <c r="BI246" i="17"/>
  <c r="BJ246" i="17" s="1"/>
  <c r="BI250" i="17"/>
  <c r="BJ250" i="17" s="1"/>
  <c r="BI201" i="17"/>
  <c r="BJ201" i="17" s="1"/>
  <c r="BI223" i="17"/>
  <c r="BJ223" i="17" s="1"/>
  <c r="BI257" i="17"/>
  <c r="BJ257" i="17" s="1"/>
  <c r="BI77" i="17"/>
  <c r="BJ77" i="17" s="1"/>
  <c r="BI111" i="17"/>
  <c r="BJ111" i="17" s="1"/>
  <c r="BI115" i="17"/>
  <c r="BJ115" i="17" s="1"/>
  <c r="BI123" i="17"/>
  <c r="BJ123" i="17" s="1"/>
  <c r="BI90" i="17"/>
  <c r="BJ90" i="17" s="1"/>
  <c r="BI135" i="17"/>
  <c r="BJ135" i="17" s="1"/>
  <c r="BI252" i="17"/>
  <c r="BJ252" i="17" s="1"/>
  <c r="BI181" i="17"/>
  <c r="BJ181" i="17" s="1"/>
  <c r="BI258" i="17"/>
  <c r="BJ258" i="17" s="1"/>
  <c r="BI179" i="17"/>
  <c r="BJ179" i="17" s="1"/>
  <c r="BI78" i="17"/>
  <c r="BJ78" i="17" s="1"/>
  <c r="BI113" i="17"/>
  <c r="BJ113" i="17" s="1"/>
  <c r="BI120" i="17"/>
  <c r="BJ120" i="17" s="1"/>
  <c r="BI138" i="17"/>
  <c r="BJ138" i="17" s="1"/>
  <c r="BI158" i="17"/>
  <c r="BJ158" i="17" s="1"/>
  <c r="BI200" i="17"/>
  <c r="BJ200" i="17" s="1"/>
  <c r="BI183" i="17"/>
  <c r="BJ183" i="17" s="1"/>
  <c r="BI217" i="17"/>
  <c r="BJ217" i="17" s="1"/>
  <c r="BI232" i="17"/>
  <c r="BJ232" i="17" s="1"/>
  <c r="BI184" i="17"/>
  <c r="BJ184" i="17" s="1"/>
  <c r="BI194" i="17"/>
  <c r="BJ194" i="17" s="1"/>
  <c r="BI259" i="17"/>
  <c r="BJ259" i="17" s="1"/>
  <c r="BI116" i="17"/>
  <c r="BJ116" i="17" s="1"/>
  <c r="BI152" i="17"/>
  <c r="BJ152" i="17" s="1"/>
  <c r="BI241" i="17"/>
  <c r="BJ241" i="17" s="1"/>
  <c r="BI94" i="17"/>
  <c r="BJ94" i="17" s="1"/>
  <c r="BI101" i="17"/>
  <c r="BJ101" i="17" s="1"/>
  <c r="BI131" i="17"/>
  <c r="BJ131" i="17" s="1"/>
  <c r="BI141" i="17"/>
  <c r="BJ141" i="17" s="1"/>
  <c r="BI207" i="17"/>
  <c r="BJ207" i="17" s="1"/>
  <c r="BI189" i="17"/>
  <c r="BJ189" i="17" s="1"/>
  <c r="BI182" i="17"/>
  <c r="BJ182" i="17" s="1"/>
  <c r="BI228" i="17"/>
  <c r="BJ228" i="17" s="1"/>
  <c r="BI242" i="17"/>
  <c r="BJ242" i="17" s="1"/>
  <c r="BI187" i="17"/>
  <c r="BJ187" i="17" s="1"/>
  <c r="BI198" i="17"/>
  <c r="BJ198" i="17" s="1"/>
  <c r="BI146" i="17"/>
  <c r="BJ146" i="17" s="1"/>
  <c r="BI130" i="17"/>
  <c r="BJ130" i="17" s="1"/>
  <c r="BI166" i="17"/>
  <c r="BJ166" i="17" s="1"/>
  <c r="BI75" i="17"/>
  <c r="BJ75" i="17" s="1"/>
  <c r="BI118" i="17"/>
  <c r="BJ118" i="17" s="1"/>
  <c r="BI124" i="17"/>
  <c r="BJ124" i="17" s="1"/>
  <c r="BI96" i="17"/>
  <c r="BJ96" i="17" s="1"/>
  <c r="BI134" i="17"/>
  <c r="BJ134" i="17" s="1"/>
  <c r="BI150" i="17"/>
  <c r="BJ150" i="17" s="1"/>
  <c r="BI234" i="17"/>
  <c r="BJ234" i="17" s="1"/>
  <c r="BI195" i="17"/>
  <c r="BJ195" i="17" s="1"/>
  <c r="BI251" i="17"/>
  <c r="BJ251" i="17" s="1"/>
  <c r="BI248" i="17"/>
  <c r="BJ248" i="17" s="1"/>
  <c r="BI211" i="17"/>
  <c r="BJ211" i="17" s="1"/>
  <c r="BI209" i="17"/>
  <c r="BJ209" i="17" s="1"/>
  <c r="H201" i="17"/>
  <c r="I201" i="17" s="1"/>
  <c r="H230" i="17"/>
  <c r="H549" i="17"/>
  <c r="I549" i="17" s="1"/>
  <c r="C467" i="17"/>
  <c r="T167" i="17" s="1"/>
  <c r="T175" i="17" s="1"/>
  <c r="U284" i="17"/>
  <c r="U285" i="17"/>
  <c r="U286" i="17" s="1"/>
  <c r="U225" i="17"/>
  <c r="C176" i="17"/>
  <c r="T66" i="17" s="1"/>
  <c r="T74" i="17" s="1"/>
  <c r="H171" i="17"/>
  <c r="H176" i="17" s="1"/>
  <c r="I177" i="17" s="1"/>
  <c r="AE21" i="17" s="1"/>
  <c r="C177" i="17"/>
  <c r="T67" i="17" s="1"/>
  <c r="T75" i="17" s="1"/>
  <c r="J260" i="17"/>
  <c r="V101" i="17" s="1"/>
  <c r="K260" i="17"/>
  <c r="P260" i="17" s="1"/>
  <c r="V100" i="17"/>
  <c r="C205" i="17"/>
  <c r="T76" i="17" s="1"/>
  <c r="T84" i="17" s="1"/>
  <c r="H200" i="17"/>
  <c r="C206" i="17"/>
  <c r="T77" i="17" s="1"/>
  <c r="T85" i="17" s="1"/>
  <c r="E437" i="17"/>
  <c r="E32" i="17"/>
  <c r="V17" i="17" s="1"/>
  <c r="E118" i="17"/>
  <c r="V46" i="17" s="1"/>
  <c r="V54" i="17" s="1"/>
  <c r="V234" i="17" s="1"/>
  <c r="E119" i="17"/>
  <c r="V47" i="17" s="1"/>
  <c r="V55" i="17" s="1"/>
  <c r="G31" i="17"/>
  <c r="X16" i="17" s="1"/>
  <c r="G32" i="17"/>
  <c r="X17" i="17" s="1"/>
  <c r="H113" i="17"/>
  <c r="H118" i="17" s="1"/>
  <c r="I119" i="17" s="1"/>
  <c r="AE19" i="17" s="1"/>
  <c r="C118" i="17"/>
  <c r="T46" i="17" s="1"/>
  <c r="T54" i="17" s="1"/>
  <c r="C119" i="17"/>
  <c r="T47" i="17" s="1"/>
  <c r="T55" i="17" s="1"/>
  <c r="G322" i="17"/>
  <c r="X117" i="17" s="1"/>
  <c r="X125" i="17" s="1"/>
  <c r="K523" i="17"/>
  <c r="P523" i="17" s="1"/>
  <c r="J523" i="17"/>
  <c r="X191" i="17" s="1"/>
  <c r="X190" i="17"/>
  <c r="F524" i="17"/>
  <c r="F525" i="17"/>
  <c r="W187" i="17" s="1"/>
  <c r="W195" i="17" s="1"/>
  <c r="I230" i="17"/>
  <c r="H520" i="17"/>
  <c r="BJ64" i="17"/>
  <c r="D467" i="17"/>
  <c r="U167" i="17" s="1"/>
  <c r="U175" i="17" s="1"/>
  <c r="K291" i="17"/>
  <c r="P291" i="17" s="1"/>
  <c r="J291" i="17"/>
  <c r="X111" i="17" s="1"/>
  <c r="X110" i="17"/>
  <c r="T225" i="17"/>
  <c r="D176" i="17"/>
  <c r="D177" i="17"/>
  <c r="U67" i="17" s="1"/>
  <c r="U75" i="17" s="1"/>
  <c r="E270" i="17"/>
  <c r="E267" i="17"/>
  <c r="V98" i="17"/>
  <c r="E269" i="17"/>
  <c r="E526" i="17"/>
  <c r="G350" i="17"/>
  <c r="G351" i="17"/>
  <c r="X127" i="17" s="1"/>
  <c r="X135" i="17" s="1"/>
  <c r="D205" i="17"/>
  <c r="U76" i="17" s="1"/>
  <c r="U84" i="17" s="1"/>
  <c r="U237" i="17" s="1"/>
  <c r="D206" i="17"/>
  <c r="U77" i="17" s="1"/>
  <c r="U85" i="17" s="1"/>
  <c r="K432" i="17"/>
  <c r="P432" i="17" s="1"/>
  <c r="J432" i="17"/>
  <c r="T161" i="17" s="1"/>
  <c r="T160" i="17"/>
  <c r="X26" i="17"/>
  <c r="X34" i="17" s="1"/>
  <c r="X232" i="17" s="1"/>
  <c r="G62" i="17"/>
  <c r="K522" i="17"/>
  <c r="P522" i="17" s="1"/>
  <c r="J522" i="17"/>
  <c r="W191" i="17" s="1"/>
  <c r="W190" i="17"/>
  <c r="K55" i="17"/>
  <c r="P55" i="17" s="1"/>
  <c r="J55" i="17"/>
  <c r="T31" i="17" s="1"/>
  <c r="T30" i="17"/>
  <c r="T140" i="17"/>
  <c r="K26" i="17"/>
  <c r="P26" i="17" s="1"/>
  <c r="T20" i="17"/>
  <c r="J26" i="17"/>
  <c r="T21" i="17" s="1"/>
  <c r="G524" i="17"/>
  <c r="G525" i="17"/>
  <c r="X187" i="17" s="1"/>
  <c r="X195" i="17" s="1"/>
  <c r="I85" i="17"/>
  <c r="D351" i="17"/>
  <c r="U127" i="17" s="1"/>
  <c r="U135" i="17" s="1"/>
  <c r="H491" i="17"/>
  <c r="I491" i="17" s="1"/>
  <c r="E467" i="17"/>
  <c r="V167" i="17" s="1"/>
  <c r="V175" i="17" s="1"/>
  <c r="AN110" i="17"/>
  <c r="K434" i="17"/>
  <c r="P434" i="17" s="1"/>
  <c r="J434" i="17"/>
  <c r="V161" i="17" s="1"/>
  <c r="V160" i="17"/>
  <c r="H462" i="17"/>
  <c r="I462" i="17" s="1"/>
  <c r="AP101" i="17"/>
  <c r="T285" i="17"/>
  <c r="T286" i="17" s="1"/>
  <c r="I115" i="17"/>
  <c r="F120" i="17"/>
  <c r="I116" i="17"/>
  <c r="E31" i="17"/>
  <c r="V16" i="17" s="1"/>
  <c r="E176" i="17"/>
  <c r="E177" i="17"/>
  <c r="V67" i="17" s="1"/>
  <c r="V75" i="17" s="1"/>
  <c r="E205" i="17"/>
  <c r="V76" i="17" s="1"/>
  <c r="V84" i="17" s="1"/>
  <c r="V237" i="17" s="1"/>
  <c r="E206" i="17"/>
  <c r="V77" i="17" s="1"/>
  <c r="V85" i="17" s="1"/>
  <c r="C321" i="17"/>
  <c r="H229" i="17"/>
  <c r="I229" i="17" s="1"/>
  <c r="C234" i="17"/>
  <c r="T86" i="17" s="1"/>
  <c r="T94" i="17" s="1"/>
  <c r="C235" i="17"/>
  <c r="T87" i="17" s="1"/>
  <c r="T95" i="17" s="1"/>
  <c r="E148" i="17"/>
  <c r="V57" i="17" s="1"/>
  <c r="V65" i="17" s="1"/>
  <c r="AO101" i="17"/>
  <c r="AR97" i="17"/>
  <c r="C33" i="17"/>
  <c r="D321" i="17"/>
  <c r="U116" i="17" s="1"/>
  <c r="U124" i="17" s="1"/>
  <c r="U241" i="17" s="1"/>
  <c r="K406" i="17"/>
  <c r="P406" i="17" s="1"/>
  <c r="J406" i="17"/>
  <c r="W151" i="17" s="1"/>
  <c r="W150" i="17"/>
  <c r="C524" i="17"/>
  <c r="T186" i="17" s="1"/>
  <c r="T194" i="17" s="1"/>
  <c r="H519" i="17"/>
  <c r="C525" i="17"/>
  <c r="T187" i="17" s="1"/>
  <c r="T195" i="17" s="1"/>
  <c r="D350" i="17"/>
  <c r="U126" i="17" s="1"/>
  <c r="U134" i="17" s="1"/>
  <c r="U242" i="17" s="1"/>
  <c r="H493" i="17"/>
  <c r="I493" i="17" s="1"/>
  <c r="F582" i="17"/>
  <c r="W206" i="17" s="1"/>
  <c r="W214" i="17" s="1"/>
  <c r="W250" i="17" s="1"/>
  <c r="F583" i="17"/>
  <c r="W207" i="17" s="1"/>
  <c r="W215" i="17" s="1"/>
  <c r="K117" i="17"/>
  <c r="P117" i="17" s="1"/>
  <c r="J117" i="17"/>
  <c r="X51" i="17" s="1"/>
  <c r="X50" i="17"/>
  <c r="F176" i="17"/>
  <c r="F177" i="17"/>
  <c r="W67" i="17" s="1"/>
  <c r="W75" i="17" s="1"/>
  <c r="H202" i="17"/>
  <c r="I202" i="17" s="1"/>
  <c r="F205" i="17"/>
  <c r="W76" i="17" s="1"/>
  <c r="W84" i="17" s="1"/>
  <c r="W237" i="17" s="1"/>
  <c r="F206" i="17"/>
  <c r="W77" i="17" s="1"/>
  <c r="W85" i="17" s="1"/>
  <c r="I465" i="17"/>
  <c r="D234" i="17"/>
  <c r="U86" i="17" s="1"/>
  <c r="U94" i="17" s="1"/>
  <c r="U238" i="17" s="1"/>
  <c r="D235" i="17"/>
  <c r="U87" i="17" s="1"/>
  <c r="U95" i="17" s="1"/>
  <c r="G89" i="17"/>
  <c r="G90" i="17"/>
  <c r="X37" i="17" s="1"/>
  <c r="X45" i="17" s="1"/>
  <c r="D293" i="17"/>
  <c r="U107" i="17" s="1"/>
  <c r="U115" i="17" s="1"/>
  <c r="D292" i="17"/>
  <c r="T26" i="17"/>
  <c r="T34" i="17" s="1"/>
  <c r="C62" i="17"/>
  <c r="H348" i="17"/>
  <c r="C351" i="17"/>
  <c r="T127" i="17" s="1"/>
  <c r="T135" i="17" s="1"/>
  <c r="E495" i="17"/>
  <c r="V176" i="17" s="1"/>
  <c r="V184" i="17" s="1"/>
  <c r="V247" i="17" s="1"/>
  <c r="E496" i="17"/>
  <c r="V177" i="17" s="1"/>
  <c r="V185" i="17" s="1"/>
  <c r="H145" i="17"/>
  <c r="I145" i="17" s="1"/>
  <c r="AO110" i="17"/>
  <c r="D466" i="17"/>
  <c r="U166" i="17" s="1"/>
  <c r="U174" i="17" s="1"/>
  <c r="U246" i="17" s="1"/>
  <c r="D60" i="17"/>
  <c r="G582" i="17"/>
  <c r="X206" i="17" s="1"/>
  <c r="X214" i="17" s="1"/>
  <c r="X250" i="17" s="1"/>
  <c r="G583" i="17"/>
  <c r="X207" i="17" s="1"/>
  <c r="X215" i="17" s="1"/>
  <c r="I580" i="17"/>
  <c r="G176" i="17"/>
  <c r="G177" i="17"/>
  <c r="X67" i="17" s="1"/>
  <c r="X75" i="17" s="1"/>
  <c r="H521" i="17"/>
  <c r="I521" i="17" s="1"/>
  <c r="G205" i="17"/>
  <c r="G206" i="17"/>
  <c r="X77" i="17" s="1"/>
  <c r="X85" i="17" s="1"/>
  <c r="E234" i="17"/>
  <c r="V86" i="17" s="1"/>
  <c r="V94" i="17" s="1"/>
  <c r="V238" i="17" s="1"/>
  <c r="E235" i="17"/>
  <c r="V87" i="17" s="1"/>
  <c r="V95" i="17" s="1"/>
  <c r="D441" i="17"/>
  <c r="D443" i="17"/>
  <c r="U158" i="17"/>
  <c r="F351" i="17"/>
  <c r="W127" i="17" s="1"/>
  <c r="W135" i="17" s="1"/>
  <c r="H581" i="17"/>
  <c r="I581" i="17" s="1"/>
  <c r="T242" i="17"/>
  <c r="E553" i="17"/>
  <c r="V196" i="17" s="1"/>
  <c r="V204" i="17" s="1"/>
  <c r="V249" i="17" s="1"/>
  <c r="E554" i="17"/>
  <c r="V197" i="17" s="1"/>
  <c r="V205" i="17" s="1"/>
  <c r="H490" i="17"/>
  <c r="C495" i="17"/>
  <c r="T176" i="17" s="1"/>
  <c r="T184" i="17" s="1"/>
  <c r="C496" i="17"/>
  <c r="T177" i="17" s="1"/>
  <c r="T185" i="17" s="1"/>
  <c r="K142" i="17"/>
  <c r="P142" i="17" s="1"/>
  <c r="J142" i="17"/>
  <c r="T61" i="17" s="1"/>
  <c r="T60" i="17"/>
  <c r="BJ39" i="17"/>
  <c r="K88" i="17"/>
  <c r="P88" i="17" s="1"/>
  <c r="J88" i="17"/>
  <c r="X41" i="17" s="1"/>
  <c r="X40" i="17"/>
  <c r="H233" i="17"/>
  <c r="I233" i="17" s="1"/>
  <c r="H436" i="17"/>
  <c r="H437" i="17" s="1"/>
  <c r="I438" i="17" s="1"/>
  <c r="AE30" i="17" s="1"/>
  <c r="C582" i="17"/>
  <c r="T206" i="17" s="1"/>
  <c r="T214" i="17" s="1"/>
  <c r="H577" i="17"/>
  <c r="C583" i="17"/>
  <c r="T207" i="17" s="1"/>
  <c r="T215" i="17" s="1"/>
  <c r="H375" i="17"/>
  <c r="E207" i="17"/>
  <c r="F437" i="17"/>
  <c r="F466" i="17"/>
  <c r="W166" i="17" s="1"/>
  <c r="W174" i="17" s="1"/>
  <c r="W246" i="17" s="1"/>
  <c r="F234" i="17"/>
  <c r="F235" i="17"/>
  <c r="W87" i="17" s="1"/>
  <c r="W95" i="17" s="1"/>
  <c r="H578" i="17"/>
  <c r="I578" i="17" s="1"/>
  <c r="H84" i="17"/>
  <c r="I84" i="17" s="1"/>
  <c r="C89" i="17"/>
  <c r="T36" i="17" s="1"/>
  <c r="T44" i="17" s="1"/>
  <c r="C90" i="17"/>
  <c r="T37" i="17" s="1"/>
  <c r="T45" i="17" s="1"/>
  <c r="F553" i="17"/>
  <c r="F554" i="17"/>
  <c r="W197" i="17" s="1"/>
  <c r="W205" i="17" s="1"/>
  <c r="D495" i="17"/>
  <c r="U176" i="17" s="1"/>
  <c r="U184" i="17" s="1"/>
  <c r="U247" i="17" s="1"/>
  <c r="D496" i="17"/>
  <c r="U177" i="17" s="1"/>
  <c r="U185" i="17" s="1"/>
  <c r="H318" i="17"/>
  <c r="I318" i="17" s="1"/>
  <c r="K232" i="17"/>
  <c r="P232" i="17" s="1"/>
  <c r="J232" i="17"/>
  <c r="W91" i="17" s="1"/>
  <c r="W90" i="17"/>
  <c r="H58" i="17"/>
  <c r="H60" i="17" s="1"/>
  <c r="I61" i="17" s="1"/>
  <c r="AE17" i="17" s="1"/>
  <c r="C61" i="17"/>
  <c r="T27" i="17" s="1"/>
  <c r="T35" i="17" s="1"/>
  <c r="H464" i="17"/>
  <c r="I464" i="17" s="1"/>
  <c r="D582" i="17"/>
  <c r="U206" i="17" s="1"/>
  <c r="U214" i="17" s="1"/>
  <c r="U250" i="17" s="1"/>
  <c r="D583" i="17"/>
  <c r="U207" i="17" s="1"/>
  <c r="U215" i="17" s="1"/>
  <c r="D381" i="17"/>
  <c r="K404" i="17"/>
  <c r="P404" i="17" s="1"/>
  <c r="J404" i="17"/>
  <c r="U151" i="17" s="1"/>
  <c r="U150" i="17"/>
  <c r="E292" i="17"/>
  <c r="E293" i="17"/>
  <c r="V107" i="17" s="1"/>
  <c r="V115" i="17" s="1"/>
  <c r="G234" i="17"/>
  <c r="X86" i="17" s="1"/>
  <c r="X94" i="17" s="1"/>
  <c r="X238" i="17" s="1"/>
  <c r="G235" i="17"/>
  <c r="X87" i="17" s="1"/>
  <c r="X95" i="17" s="1"/>
  <c r="G270" i="17"/>
  <c r="G267" i="17"/>
  <c r="G269" i="17"/>
  <c r="F352" i="17"/>
  <c r="I348" i="17"/>
  <c r="G408" i="17"/>
  <c r="G409" i="17"/>
  <c r="X147" i="17" s="1"/>
  <c r="X155" i="17" s="1"/>
  <c r="D89" i="17"/>
  <c r="U36" i="17" s="1"/>
  <c r="U44" i="17" s="1"/>
  <c r="U233" i="17" s="1"/>
  <c r="D90" i="17"/>
  <c r="U37" i="17" s="1"/>
  <c r="U45" i="17" s="1"/>
  <c r="T100" i="17"/>
  <c r="C354" i="17"/>
  <c r="T128" i="17"/>
  <c r="G553" i="17"/>
  <c r="G554" i="17"/>
  <c r="X197" i="17" s="1"/>
  <c r="X205" i="17" s="1"/>
  <c r="F495" i="17"/>
  <c r="W176" i="17" s="1"/>
  <c r="W184" i="17" s="1"/>
  <c r="W247" i="17" s="1"/>
  <c r="F496" i="17"/>
  <c r="W177" i="17" s="1"/>
  <c r="W185" i="17" s="1"/>
  <c r="D147" i="17"/>
  <c r="F149" i="17"/>
  <c r="H203" i="17"/>
  <c r="I203" i="17" s="1"/>
  <c r="H30" i="17"/>
  <c r="I30" i="17" s="1"/>
  <c r="AQ94" i="17"/>
  <c r="AL101" i="17"/>
  <c r="AL99" i="17"/>
  <c r="AL109" i="17" s="1"/>
  <c r="AL117" i="17" s="1"/>
  <c r="K86" i="17"/>
  <c r="J86" i="17"/>
  <c r="V41" i="17" s="1"/>
  <c r="V40" i="17"/>
  <c r="P86" i="17"/>
  <c r="H492" i="17"/>
  <c r="E582" i="17"/>
  <c r="V206" i="17" s="1"/>
  <c r="V214" i="17" s="1"/>
  <c r="V250" i="17" s="1"/>
  <c r="E583" i="17"/>
  <c r="V207" i="17" s="1"/>
  <c r="V215" i="17" s="1"/>
  <c r="F33" i="17"/>
  <c r="F292" i="17"/>
  <c r="F293" i="17"/>
  <c r="W107" i="17" s="1"/>
  <c r="W115" i="17" s="1"/>
  <c r="K262" i="17"/>
  <c r="J262" i="17"/>
  <c r="X101" i="17" s="1"/>
  <c r="P262" i="17"/>
  <c r="X100" i="17"/>
  <c r="H403" i="17"/>
  <c r="H408" i="17" s="1"/>
  <c r="I409" i="17" s="1"/>
  <c r="AE29" i="17" s="1"/>
  <c r="C408" i="17"/>
  <c r="T146" i="17" s="1"/>
  <c r="T154" i="17" s="1"/>
  <c r="C409" i="17"/>
  <c r="T147" i="17" s="1"/>
  <c r="T155" i="17" s="1"/>
  <c r="E466" i="17"/>
  <c r="V166" i="17" s="1"/>
  <c r="V174" i="17" s="1"/>
  <c r="V246" i="17" s="1"/>
  <c r="E89" i="17"/>
  <c r="E90" i="17"/>
  <c r="V37" i="17" s="1"/>
  <c r="V45" i="17" s="1"/>
  <c r="AQ96" i="17"/>
  <c r="AR96" i="17" s="1"/>
  <c r="T98" i="17"/>
  <c r="C553" i="17"/>
  <c r="T196" i="17" s="1"/>
  <c r="T204" i="17" s="1"/>
  <c r="H548" i="17"/>
  <c r="C554" i="17"/>
  <c r="T197" i="17" s="1"/>
  <c r="T205" i="17" s="1"/>
  <c r="G495" i="17"/>
  <c r="X176" i="17" s="1"/>
  <c r="X184" i="17" s="1"/>
  <c r="X247" i="17" s="1"/>
  <c r="G496" i="17"/>
  <c r="X177" i="17" s="1"/>
  <c r="X185" i="17" s="1"/>
  <c r="J377" i="17"/>
  <c r="W141" i="17" s="1"/>
  <c r="K377" i="17"/>
  <c r="P377" i="17" s="1"/>
  <c r="W140" i="17"/>
  <c r="H231" i="17"/>
  <c r="I231" i="17" s="1"/>
  <c r="AM99" i="17"/>
  <c r="H87" i="17"/>
  <c r="I87" i="17" s="1"/>
  <c r="H463" i="17"/>
  <c r="I463" i="17" s="1"/>
  <c r="H319" i="17"/>
  <c r="I319" i="17" s="1"/>
  <c r="F267" i="17"/>
  <c r="F270" i="17"/>
  <c r="W98" i="17"/>
  <c r="F269" i="17"/>
  <c r="K405" i="17"/>
  <c r="P405" i="17" s="1"/>
  <c r="J405" i="17"/>
  <c r="V151" i="17" s="1"/>
  <c r="V150" i="17"/>
  <c r="G292" i="17"/>
  <c r="G293" i="17"/>
  <c r="X107" i="17" s="1"/>
  <c r="X115" i="17" s="1"/>
  <c r="H28" i="17"/>
  <c r="D119" i="17"/>
  <c r="U47" i="17" s="1"/>
  <c r="U55" i="17" s="1"/>
  <c r="D118" i="17"/>
  <c r="H144" i="17"/>
  <c r="C148" i="17"/>
  <c r="T57" i="17" s="1"/>
  <c r="T65" i="17" s="1"/>
  <c r="K551" i="17"/>
  <c r="P551" i="17" s="1"/>
  <c r="J551" i="17"/>
  <c r="W201" i="17" s="1"/>
  <c r="W200" i="17"/>
  <c r="E322" i="17"/>
  <c r="V117" i="17" s="1"/>
  <c r="V125" i="17" s="1"/>
  <c r="J378" i="17"/>
  <c r="X141" i="17" s="1"/>
  <c r="K378" i="17"/>
  <c r="X140" i="17"/>
  <c r="P378" i="17"/>
  <c r="D408" i="17"/>
  <c r="D409" i="17"/>
  <c r="U147" i="17" s="1"/>
  <c r="U155" i="17" s="1"/>
  <c r="F89" i="17"/>
  <c r="W36" i="17" s="1"/>
  <c r="W44" i="17" s="1"/>
  <c r="W233" i="17" s="1"/>
  <c r="F90" i="17"/>
  <c r="W37" i="17" s="1"/>
  <c r="W45" i="17" s="1"/>
  <c r="K175" i="17"/>
  <c r="P175" i="17" s="1"/>
  <c r="J175" i="17"/>
  <c r="X71" i="17" s="1"/>
  <c r="X70" i="17"/>
  <c r="T239" i="17"/>
  <c r="AA104" i="17"/>
  <c r="I345" i="17"/>
  <c r="C356" i="17" s="1"/>
  <c r="D553" i="17"/>
  <c r="U196" i="17" s="1"/>
  <c r="U204" i="17" s="1"/>
  <c r="U249" i="17" s="1"/>
  <c r="D554" i="17"/>
  <c r="U197" i="17" s="1"/>
  <c r="U205" i="17" s="1"/>
  <c r="BI50" i="17"/>
  <c r="BJ50" i="17" s="1"/>
  <c r="BI53" i="17"/>
  <c r="BJ53" i="17" s="1"/>
  <c r="BI43" i="17"/>
  <c r="BJ43" i="17" s="1"/>
  <c r="BI47" i="17"/>
  <c r="BJ47" i="17" s="1"/>
  <c r="BI42" i="17"/>
  <c r="BJ42" i="17" s="1"/>
  <c r="BI48" i="17"/>
  <c r="BJ48" i="17" s="1"/>
  <c r="BI46" i="17"/>
  <c r="BJ46" i="17" s="1"/>
  <c r="BI41" i="17"/>
  <c r="BJ41" i="17" s="1"/>
  <c r="BI45" i="17"/>
  <c r="BJ45" i="17" s="1"/>
  <c r="BI49" i="17"/>
  <c r="BJ49" i="17" s="1"/>
  <c r="BI44" i="17"/>
  <c r="BJ44" i="17" s="1"/>
  <c r="BI55" i="17"/>
  <c r="BJ55" i="17" s="1"/>
  <c r="BI51" i="17"/>
  <c r="BJ51" i="17" s="1"/>
  <c r="BI54" i="17"/>
  <c r="BJ54" i="17" s="1"/>
  <c r="BI56" i="17"/>
  <c r="BJ56" i="17" s="1"/>
  <c r="BI52" i="17"/>
  <c r="BJ52" i="17" s="1"/>
  <c r="F381" i="17"/>
  <c r="I520" i="17"/>
  <c r="D526" i="17"/>
  <c r="I58" i="17"/>
  <c r="F62" i="17"/>
  <c r="F61" i="17"/>
  <c r="W27" i="17" s="1"/>
  <c r="W35" i="17" s="1"/>
  <c r="AN99" i="17"/>
  <c r="AN109" i="17" s="1"/>
  <c r="AN117" i="17" s="1"/>
  <c r="AP110" i="17"/>
  <c r="I492" i="17"/>
  <c r="E497" i="17"/>
  <c r="G236" i="17"/>
  <c r="G439" i="17"/>
  <c r="I436" i="17"/>
  <c r="F468" i="17"/>
  <c r="K59" i="17"/>
  <c r="P59" i="17" s="1"/>
  <c r="X30" i="17"/>
  <c r="J59" i="17"/>
  <c r="X31" i="17" s="1"/>
  <c r="W284" i="17"/>
  <c r="W285" i="17"/>
  <c r="W286" i="17" s="1"/>
  <c r="W225" i="17"/>
  <c r="K261" i="17"/>
  <c r="J261" i="17"/>
  <c r="W101" i="17" s="1"/>
  <c r="W100" i="17"/>
  <c r="P261" i="17"/>
  <c r="H346" i="17"/>
  <c r="C357" i="17" s="1"/>
  <c r="H29" i="17"/>
  <c r="I29" i="17" s="1"/>
  <c r="E379" i="17"/>
  <c r="H287" i="17"/>
  <c r="H292" i="17" s="1"/>
  <c r="I293" i="17" s="1"/>
  <c r="AE25" i="17" s="1"/>
  <c r="C292" i="17"/>
  <c r="T106" i="17" s="1"/>
  <c r="T114" i="17" s="1"/>
  <c r="C293" i="17"/>
  <c r="T107" i="17" s="1"/>
  <c r="T115" i="17" s="1"/>
  <c r="C437" i="17"/>
  <c r="D499" i="27" l="1"/>
  <c r="D568" i="27"/>
  <c r="H568" i="27"/>
  <c r="H499" i="27"/>
  <c r="E499" i="27"/>
  <c r="E568" i="27"/>
  <c r="F568" i="27"/>
  <c r="F499" i="27"/>
  <c r="G499" i="27"/>
  <c r="G568" i="27"/>
  <c r="F567" i="27"/>
  <c r="F451" i="27"/>
  <c r="G451" i="27"/>
  <c r="G567" i="27"/>
  <c r="E451" i="27"/>
  <c r="E567" i="27"/>
  <c r="D451" i="27"/>
  <c r="D567" i="27"/>
  <c r="H567" i="27"/>
  <c r="H451" i="27"/>
  <c r="F403" i="27"/>
  <c r="F566" i="27"/>
  <c r="H403" i="27"/>
  <c r="H566" i="27"/>
  <c r="G403" i="27"/>
  <c r="G566" i="27"/>
  <c r="D403" i="27"/>
  <c r="D566" i="27"/>
  <c r="E403" i="27"/>
  <c r="E566" i="27"/>
  <c r="H355" i="27"/>
  <c r="H565" i="27"/>
  <c r="E355" i="27"/>
  <c r="E565" i="27"/>
  <c r="F565" i="27"/>
  <c r="F355" i="27"/>
  <c r="G355" i="27"/>
  <c r="G565" i="27"/>
  <c r="D355" i="27"/>
  <c r="D565" i="27"/>
  <c r="D307" i="27"/>
  <c r="D564" i="27"/>
  <c r="E307" i="27"/>
  <c r="E564" i="27"/>
  <c r="H307" i="27"/>
  <c r="H564" i="27"/>
  <c r="D259" i="27"/>
  <c r="D563" i="27"/>
  <c r="G259" i="27"/>
  <c r="G563" i="27"/>
  <c r="H259" i="27"/>
  <c r="H563" i="27"/>
  <c r="E259" i="27"/>
  <c r="E563" i="27"/>
  <c r="F259" i="27"/>
  <c r="F563" i="27"/>
  <c r="AM118" i="18"/>
  <c r="E160" i="27" s="1"/>
  <c r="E151" i="27"/>
  <c r="AP118" i="18"/>
  <c r="H160" i="27" s="1"/>
  <c r="H151" i="27"/>
  <c r="AL118" i="18"/>
  <c r="D160" i="27" s="1"/>
  <c r="D151" i="27"/>
  <c r="AO118" i="18"/>
  <c r="G160" i="27" s="1"/>
  <c r="G151" i="27"/>
  <c r="AN118" i="18"/>
  <c r="F160" i="27" s="1"/>
  <c r="F151" i="27"/>
  <c r="AN118" i="17"/>
  <c r="F64" i="27" s="1"/>
  <c r="F55" i="27"/>
  <c r="AP118" i="17"/>
  <c r="H64" i="27" s="1"/>
  <c r="H55" i="27"/>
  <c r="AO118" i="17"/>
  <c r="G64" i="27" s="1"/>
  <c r="G55" i="27"/>
  <c r="AM118" i="17"/>
  <c r="E64" i="27" s="1"/>
  <c r="E55" i="27"/>
  <c r="AL118" i="17"/>
  <c r="D64" i="27" s="1"/>
  <c r="D55" i="27"/>
  <c r="AM102" i="26"/>
  <c r="AM112" i="26" s="1"/>
  <c r="F498" i="26"/>
  <c r="W179" i="26" s="1"/>
  <c r="D411" i="26"/>
  <c r="U149" i="26" s="1"/>
  <c r="W224" i="26"/>
  <c r="D179" i="26"/>
  <c r="U69" i="26" s="1"/>
  <c r="C179" i="26"/>
  <c r="T69" i="26" s="1"/>
  <c r="T281" i="26"/>
  <c r="G150" i="26"/>
  <c r="X59" i="26" s="1"/>
  <c r="E63" i="26"/>
  <c r="V29" i="26" s="1"/>
  <c r="X279" i="26"/>
  <c r="X280" i="26" s="1"/>
  <c r="G527" i="26"/>
  <c r="X189" i="26" s="1"/>
  <c r="F469" i="26"/>
  <c r="W169" i="26" s="1"/>
  <c r="X221" i="26"/>
  <c r="F440" i="26"/>
  <c r="W159" i="26" s="1"/>
  <c r="C411" i="26"/>
  <c r="T149" i="26" s="1"/>
  <c r="U221" i="26"/>
  <c r="F382" i="26"/>
  <c r="W139" i="26" s="1"/>
  <c r="C295" i="26"/>
  <c r="T109" i="26" s="1"/>
  <c r="D208" i="26"/>
  <c r="U79" i="26" s="1"/>
  <c r="C150" i="26"/>
  <c r="T59" i="26" s="1"/>
  <c r="AA275" i="26"/>
  <c r="T221" i="26"/>
  <c r="T224" i="26"/>
  <c r="F121" i="26"/>
  <c r="W49" i="26" s="1"/>
  <c r="W221" i="26"/>
  <c r="BD16" i="26"/>
  <c r="T223" i="26"/>
  <c r="T279" i="26"/>
  <c r="T280" i="26" s="1"/>
  <c r="F150" i="26"/>
  <c r="W59" i="26" s="1"/>
  <c r="D469" i="26"/>
  <c r="U169" i="26" s="1"/>
  <c r="C585" i="26"/>
  <c r="T209" i="26" s="1"/>
  <c r="E237" i="26"/>
  <c r="V89" i="26" s="1"/>
  <c r="BD13" i="26"/>
  <c r="C469" i="26"/>
  <c r="T169" i="26" s="1"/>
  <c r="C556" i="26"/>
  <c r="T199" i="26" s="1"/>
  <c r="G498" i="26"/>
  <c r="X179" i="26" s="1"/>
  <c r="G469" i="26"/>
  <c r="X169" i="26" s="1"/>
  <c r="F527" i="26"/>
  <c r="W189" i="26" s="1"/>
  <c r="V278" i="26"/>
  <c r="V221" i="26"/>
  <c r="W233" i="26"/>
  <c r="AA44" i="26"/>
  <c r="W290" i="26"/>
  <c r="AA290" i="26" s="1"/>
  <c r="W291" i="26"/>
  <c r="W292" i="26" s="1"/>
  <c r="W227" i="26"/>
  <c r="E121" i="26"/>
  <c r="V49" i="26" s="1"/>
  <c r="V279" i="26" s="1"/>
  <c r="V280" i="26" s="1"/>
  <c r="AO102" i="26"/>
  <c r="AO112" i="26" s="1"/>
  <c r="AL102" i="26"/>
  <c r="AL112" i="26" s="1"/>
  <c r="C266" i="26"/>
  <c r="T99" i="26" s="1"/>
  <c r="BD20" i="26"/>
  <c r="F237" i="26"/>
  <c r="W89" i="26" s="1"/>
  <c r="BD21" i="26"/>
  <c r="G585" i="26"/>
  <c r="X209" i="26" s="1"/>
  <c r="E556" i="26"/>
  <c r="V199" i="26" s="1"/>
  <c r="C527" i="26"/>
  <c r="T189" i="26" s="1"/>
  <c r="BD17" i="26"/>
  <c r="E208" i="26"/>
  <c r="V79" i="26" s="1"/>
  <c r="AN102" i="26"/>
  <c r="AN112" i="26" s="1"/>
  <c r="C382" i="26"/>
  <c r="T139" i="26" s="1"/>
  <c r="E469" i="26"/>
  <c r="V169" i="26" s="1"/>
  <c r="G295" i="26"/>
  <c r="X109" i="26" s="1"/>
  <c r="BD15" i="26"/>
  <c r="BD18" i="26"/>
  <c r="BD22" i="26"/>
  <c r="BD23" i="26"/>
  <c r="AP102" i="26"/>
  <c r="AP112" i="26" s="1"/>
  <c r="D92" i="26"/>
  <c r="U39" i="26" s="1"/>
  <c r="BD14" i="26"/>
  <c r="F411" i="26"/>
  <c r="W149" i="26" s="1"/>
  <c r="G411" i="26"/>
  <c r="X149" i="26" s="1"/>
  <c r="D382" i="26"/>
  <c r="U139" i="26" s="1"/>
  <c r="BD19" i="26"/>
  <c r="E266" i="26"/>
  <c r="V99" i="26" s="1"/>
  <c r="E411" i="26"/>
  <c r="V149" i="26" s="1"/>
  <c r="F208" i="26"/>
  <c r="W79" i="26" s="1"/>
  <c r="AL102" i="25"/>
  <c r="AL112" i="25" s="1"/>
  <c r="E527" i="25"/>
  <c r="V189" i="25" s="1"/>
  <c r="E411" i="25"/>
  <c r="V149" i="25" s="1"/>
  <c r="E353" i="25"/>
  <c r="V129" i="25" s="1"/>
  <c r="C324" i="25"/>
  <c r="T119" i="25" s="1"/>
  <c r="F237" i="25"/>
  <c r="W89" i="25" s="1"/>
  <c r="G237" i="25"/>
  <c r="X89" i="25" s="1"/>
  <c r="E208" i="25"/>
  <c r="V79" i="25" s="1"/>
  <c r="D150" i="25"/>
  <c r="U59" i="25" s="1"/>
  <c r="X278" i="25"/>
  <c r="G121" i="25"/>
  <c r="X49" i="25" s="1"/>
  <c r="C92" i="25"/>
  <c r="T39" i="25" s="1"/>
  <c r="T282" i="25"/>
  <c r="T283" i="25" s="1"/>
  <c r="F527" i="25"/>
  <c r="W189" i="25" s="1"/>
  <c r="G440" i="25"/>
  <c r="X159" i="25" s="1"/>
  <c r="D237" i="25"/>
  <c r="U89" i="25" s="1"/>
  <c r="BD22" i="25"/>
  <c r="F179" i="25"/>
  <c r="W69" i="25" s="1"/>
  <c r="C179" i="25"/>
  <c r="T69" i="25" s="1"/>
  <c r="W221" i="25"/>
  <c r="G150" i="25"/>
  <c r="X59" i="25" s="1"/>
  <c r="BD13" i="25"/>
  <c r="D121" i="25"/>
  <c r="U49" i="25" s="1"/>
  <c r="V278" i="25"/>
  <c r="D92" i="25"/>
  <c r="U39" i="25" s="1"/>
  <c r="T278" i="25"/>
  <c r="F92" i="25"/>
  <c r="W39" i="25" s="1"/>
  <c r="BD19" i="25"/>
  <c r="D63" i="25"/>
  <c r="U29" i="25" s="1"/>
  <c r="BD16" i="25"/>
  <c r="U278" i="25"/>
  <c r="AA275" i="25"/>
  <c r="F63" i="25"/>
  <c r="W29" i="25" s="1"/>
  <c r="E150" i="25"/>
  <c r="V59" i="25" s="1"/>
  <c r="U221" i="25"/>
  <c r="U232" i="25"/>
  <c r="AA34" i="25"/>
  <c r="U291" i="25"/>
  <c r="U292" i="25" s="1"/>
  <c r="U227" i="25"/>
  <c r="U290" i="25"/>
  <c r="X221" i="25"/>
  <c r="BD21" i="25"/>
  <c r="D382" i="25"/>
  <c r="U139" i="25" s="1"/>
  <c r="D527" i="25"/>
  <c r="U189" i="25" s="1"/>
  <c r="F150" i="25"/>
  <c r="W59" i="25" s="1"/>
  <c r="E382" i="25"/>
  <c r="V139" i="25" s="1"/>
  <c r="D585" i="25"/>
  <c r="U209" i="25" s="1"/>
  <c r="D179" i="25"/>
  <c r="U69" i="25" s="1"/>
  <c r="D324" i="25"/>
  <c r="U119" i="25" s="1"/>
  <c r="AP102" i="25"/>
  <c r="AP112" i="25" s="1"/>
  <c r="BD20" i="25"/>
  <c r="E179" i="25"/>
  <c r="V69" i="25" s="1"/>
  <c r="C237" i="25"/>
  <c r="T89" i="25" s="1"/>
  <c r="G556" i="25"/>
  <c r="X199" i="25" s="1"/>
  <c r="W232" i="25"/>
  <c r="W291" i="25"/>
  <c r="W292" i="25" s="1"/>
  <c r="W290" i="25"/>
  <c r="W227" i="25"/>
  <c r="BD18" i="25"/>
  <c r="BD14" i="25"/>
  <c r="T223" i="25"/>
  <c r="T224" i="25"/>
  <c r="X233" i="25"/>
  <c r="X291" i="25"/>
  <c r="X292" i="25" s="1"/>
  <c r="X290" i="25"/>
  <c r="X227" i="25"/>
  <c r="V221" i="25"/>
  <c r="G498" i="25"/>
  <c r="X179" i="25" s="1"/>
  <c r="X281" i="25"/>
  <c r="X223" i="25"/>
  <c r="G324" i="25"/>
  <c r="X119" i="25" s="1"/>
  <c r="G92" i="25"/>
  <c r="X39" i="25" s="1"/>
  <c r="G179" i="25"/>
  <c r="X69" i="25" s="1"/>
  <c r="X282" i="25"/>
  <c r="X283" i="25" s="1"/>
  <c r="X224" i="25"/>
  <c r="BD23" i="25"/>
  <c r="T221" i="25"/>
  <c r="E92" i="25"/>
  <c r="V39" i="25" s="1"/>
  <c r="V279" i="25" s="1"/>
  <c r="V280" i="25" s="1"/>
  <c r="BD17" i="25"/>
  <c r="AM102" i="25"/>
  <c r="AM112" i="25" s="1"/>
  <c r="BD15" i="25"/>
  <c r="V233" i="25"/>
  <c r="V291" i="25"/>
  <c r="V292" i="25" s="1"/>
  <c r="V290" i="25"/>
  <c r="V227" i="25"/>
  <c r="AA44" i="25"/>
  <c r="C208" i="25"/>
  <c r="T79" i="25" s="1"/>
  <c r="C63" i="25"/>
  <c r="T29" i="25" s="1"/>
  <c r="C498" i="25"/>
  <c r="T179" i="25" s="1"/>
  <c r="E527" i="24"/>
  <c r="V189" i="24" s="1"/>
  <c r="D324" i="24"/>
  <c r="U119" i="24" s="1"/>
  <c r="C324" i="24"/>
  <c r="T119" i="24" s="1"/>
  <c r="F324" i="24"/>
  <c r="W119" i="24" s="1"/>
  <c r="U223" i="24"/>
  <c r="G527" i="24"/>
  <c r="X189" i="24" s="1"/>
  <c r="F411" i="24"/>
  <c r="W149" i="24" s="1"/>
  <c r="W221" i="24"/>
  <c r="G353" i="24"/>
  <c r="X129" i="24" s="1"/>
  <c r="U221" i="24"/>
  <c r="T221" i="24"/>
  <c r="E324" i="24"/>
  <c r="V119" i="24" s="1"/>
  <c r="V221" i="24"/>
  <c r="E208" i="24"/>
  <c r="V79" i="24" s="1"/>
  <c r="D179" i="24"/>
  <c r="U69" i="24" s="1"/>
  <c r="T278" i="24"/>
  <c r="BD20" i="24"/>
  <c r="BD13" i="24"/>
  <c r="T279" i="24"/>
  <c r="T280" i="24" s="1"/>
  <c r="BD17" i="24"/>
  <c r="BD14" i="24"/>
  <c r="BD16" i="24"/>
  <c r="AA290" i="24"/>
  <c r="BD15" i="24"/>
  <c r="F237" i="24"/>
  <c r="W89" i="24" s="1"/>
  <c r="BD21" i="24"/>
  <c r="F353" i="24"/>
  <c r="W129" i="24" s="1"/>
  <c r="C411" i="24"/>
  <c r="T149" i="24" s="1"/>
  <c r="G150" i="24"/>
  <c r="X59" i="24" s="1"/>
  <c r="X279" i="24" s="1"/>
  <c r="X280" i="24" s="1"/>
  <c r="E121" i="24"/>
  <c r="V49" i="24" s="1"/>
  <c r="V279" i="24" s="1"/>
  <c r="V280" i="24" s="1"/>
  <c r="D237" i="24"/>
  <c r="U89" i="24" s="1"/>
  <c r="AP102" i="24"/>
  <c r="AP112" i="24" s="1"/>
  <c r="E179" i="24"/>
  <c r="V69" i="24" s="1"/>
  <c r="BD22" i="24"/>
  <c r="AA275" i="24"/>
  <c r="BD19" i="24"/>
  <c r="G469" i="24"/>
  <c r="X169" i="24" s="1"/>
  <c r="F295" i="24"/>
  <c r="W109" i="24" s="1"/>
  <c r="G411" i="24"/>
  <c r="X149" i="24" s="1"/>
  <c r="BD23" i="24"/>
  <c r="T282" i="24"/>
  <c r="T283" i="24" s="1"/>
  <c r="T224" i="24"/>
  <c r="T281" i="24"/>
  <c r="T223" i="24"/>
  <c r="D498" i="24"/>
  <c r="U179" i="24" s="1"/>
  <c r="X221" i="24"/>
  <c r="C498" i="24"/>
  <c r="T179" i="24" s="1"/>
  <c r="T222" i="24" s="1"/>
  <c r="D150" i="24"/>
  <c r="U59" i="24" s="1"/>
  <c r="D295" i="24"/>
  <c r="U109" i="24" s="1"/>
  <c r="C527" i="24"/>
  <c r="T189" i="24" s="1"/>
  <c r="G237" i="24"/>
  <c r="X89" i="24" s="1"/>
  <c r="BD18" i="24"/>
  <c r="F92" i="24"/>
  <c r="W39" i="24" s="1"/>
  <c r="W279" i="24" s="1"/>
  <c r="W280" i="24" s="1"/>
  <c r="AO102" i="23"/>
  <c r="AO112" i="23" s="1"/>
  <c r="AP102" i="23"/>
  <c r="AP112" i="23" s="1"/>
  <c r="F556" i="23"/>
  <c r="W199" i="23" s="1"/>
  <c r="F411" i="23"/>
  <c r="W149" i="23" s="1"/>
  <c r="G353" i="23"/>
  <c r="X129" i="23" s="1"/>
  <c r="C324" i="23"/>
  <c r="T119" i="23" s="1"/>
  <c r="G266" i="23"/>
  <c r="X99" i="23" s="1"/>
  <c r="E208" i="23"/>
  <c r="V79" i="23" s="1"/>
  <c r="F208" i="23"/>
  <c r="W79" i="23" s="1"/>
  <c r="T223" i="23"/>
  <c r="G63" i="23"/>
  <c r="X29" i="23" s="1"/>
  <c r="F34" i="23"/>
  <c r="W19" i="23" s="1"/>
  <c r="W279" i="23" s="1"/>
  <c r="W280" i="23" s="1"/>
  <c r="C556" i="23"/>
  <c r="T199" i="23" s="1"/>
  <c r="D556" i="23"/>
  <c r="U199" i="23" s="1"/>
  <c r="J525" i="23"/>
  <c r="AF33" i="23" s="1"/>
  <c r="D469" i="23"/>
  <c r="U169" i="23" s="1"/>
  <c r="C469" i="23"/>
  <c r="T169" i="23" s="1"/>
  <c r="G382" i="23"/>
  <c r="X139" i="23" s="1"/>
  <c r="C382" i="23"/>
  <c r="T139" i="23" s="1"/>
  <c r="D266" i="23"/>
  <c r="U99" i="23" s="1"/>
  <c r="U221" i="23"/>
  <c r="T221" i="23"/>
  <c r="T224" i="23"/>
  <c r="T282" i="23"/>
  <c r="T283" i="23" s="1"/>
  <c r="C121" i="23"/>
  <c r="T49" i="23" s="1"/>
  <c r="BD13" i="23"/>
  <c r="BD18" i="23"/>
  <c r="E92" i="23"/>
  <c r="V39" i="23" s="1"/>
  <c r="BD17" i="23"/>
  <c r="BD19" i="23"/>
  <c r="T278" i="23"/>
  <c r="C63" i="23"/>
  <c r="T29" i="23" s="1"/>
  <c r="T279" i="23" s="1"/>
  <c r="T280" i="23" s="1"/>
  <c r="BD15" i="23"/>
  <c r="U279" i="23"/>
  <c r="U280" i="23" s="1"/>
  <c r="G411" i="23"/>
  <c r="X149" i="23" s="1"/>
  <c r="E469" i="23"/>
  <c r="V169" i="23" s="1"/>
  <c r="E266" i="23"/>
  <c r="V99" i="23" s="1"/>
  <c r="BD20" i="23"/>
  <c r="D237" i="23"/>
  <c r="U89" i="23" s="1"/>
  <c r="AA275" i="23"/>
  <c r="D585" i="23"/>
  <c r="U209" i="23" s="1"/>
  <c r="W278" i="23"/>
  <c r="W221" i="23"/>
  <c r="G34" i="23"/>
  <c r="X19" i="23" s="1"/>
  <c r="F585" i="23"/>
  <c r="W209" i="23" s="1"/>
  <c r="BD22" i="23"/>
  <c r="X290" i="23"/>
  <c r="AA290" i="23" s="1"/>
  <c r="X227" i="23"/>
  <c r="X231" i="23"/>
  <c r="X291" i="23"/>
  <c r="X292" i="23" s="1"/>
  <c r="C179" i="23"/>
  <c r="T69" i="23" s="1"/>
  <c r="E556" i="23"/>
  <c r="V199" i="23" s="1"/>
  <c r="F469" i="23"/>
  <c r="W169" i="23" s="1"/>
  <c r="E34" i="23"/>
  <c r="V19" i="23" s="1"/>
  <c r="G469" i="23"/>
  <c r="X169" i="23" s="1"/>
  <c r="BD16" i="23"/>
  <c r="AL102" i="23"/>
  <c r="AL112" i="23" s="1"/>
  <c r="X278" i="23"/>
  <c r="X221" i="23"/>
  <c r="E498" i="23"/>
  <c r="V179" i="23" s="1"/>
  <c r="G150" i="23"/>
  <c r="X59" i="23" s="1"/>
  <c r="D208" i="23"/>
  <c r="U79" i="23" s="1"/>
  <c r="V278" i="23"/>
  <c r="V221" i="23"/>
  <c r="BD21" i="23"/>
  <c r="D411" i="23"/>
  <c r="U149" i="23" s="1"/>
  <c r="E585" i="23"/>
  <c r="V209" i="23" s="1"/>
  <c r="F324" i="23"/>
  <c r="W119" i="23" s="1"/>
  <c r="F237" i="23"/>
  <c r="W89" i="23" s="1"/>
  <c r="D179" i="23"/>
  <c r="U69" i="23" s="1"/>
  <c r="C266" i="23"/>
  <c r="T99" i="23" s="1"/>
  <c r="BD14" i="23"/>
  <c r="BD23" i="23"/>
  <c r="E179" i="23"/>
  <c r="V69" i="23" s="1"/>
  <c r="E324" i="23"/>
  <c r="V119" i="23" s="1"/>
  <c r="G527" i="23"/>
  <c r="X189" i="23" s="1"/>
  <c r="U223" i="21"/>
  <c r="C556" i="21"/>
  <c r="T199" i="21" s="1"/>
  <c r="D527" i="21"/>
  <c r="U189" i="21" s="1"/>
  <c r="G440" i="21"/>
  <c r="X159" i="21" s="1"/>
  <c r="D411" i="21"/>
  <c r="U149" i="21" s="1"/>
  <c r="D382" i="21"/>
  <c r="U139" i="21" s="1"/>
  <c r="C324" i="21"/>
  <c r="T119" i="21" s="1"/>
  <c r="F295" i="21"/>
  <c r="W109" i="21" s="1"/>
  <c r="C266" i="21"/>
  <c r="T99" i="21" s="1"/>
  <c r="E266" i="21"/>
  <c r="V99" i="21" s="1"/>
  <c r="E237" i="21"/>
  <c r="V89" i="21" s="1"/>
  <c r="D92" i="21"/>
  <c r="U39" i="21" s="1"/>
  <c r="U224" i="21"/>
  <c r="C440" i="21"/>
  <c r="T159" i="21" s="1"/>
  <c r="E411" i="21"/>
  <c r="V149" i="21" s="1"/>
  <c r="E382" i="21"/>
  <c r="V139" i="21" s="1"/>
  <c r="C208" i="21"/>
  <c r="T79" i="21" s="1"/>
  <c r="C179" i="21"/>
  <c r="T69" i="21" s="1"/>
  <c r="T221" i="21"/>
  <c r="W221" i="21"/>
  <c r="AA275" i="21"/>
  <c r="D121" i="21"/>
  <c r="U49" i="21" s="1"/>
  <c r="BD17" i="21"/>
  <c r="T279" i="21"/>
  <c r="T280" i="21" s="1"/>
  <c r="F411" i="21"/>
  <c r="W149" i="21" s="1"/>
  <c r="BD14" i="21"/>
  <c r="BD13" i="21"/>
  <c r="BD20" i="21"/>
  <c r="W278" i="21"/>
  <c r="T281" i="21"/>
  <c r="T223" i="21"/>
  <c r="F179" i="21"/>
  <c r="W69" i="21" s="1"/>
  <c r="BD21" i="21"/>
  <c r="D585" i="21"/>
  <c r="U209" i="21" s="1"/>
  <c r="BD23" i="21"/>
  <c r="T282" i="21"/>
  <c r="T283" i="21" s="1"/>
  <c r="T224" i="21"/>
  <c r="G266" i="21"/>
  <c r="X99" i="21" s="1"/>
  <c r="D295" i="21"/>
  <c r="U109" i="21" s="1"/>
  <c r="BD15" i="21"/>
  <c r="W279" i="21"/>
  <c r="W280" i="21" s="1"/>
  <c r="BD22" i="21"/>
  <c r="C527" i="21"/>
  <c r="T189" i="21" s="1"/>
  <c r="E527" i="21"/>
  <c r="V189" i="21" s="1"/>
  <c r="F440" i="21"/>
  <c r="W159" i="21" s="1"/>
  <c r="C295" i="21"/>
  <c r="T109" i="21" s="1"/>
  <c r="G469" i="21"/>
  <c r="X169" i="21" s="1"/>
  <c r="G411" i="21"/>
  <c r="X149" i="21" s="1"/>
  <c r="W233" i="21"/>
  <c r="W291" i="21"/>
  <c r="W292" i="21" s="1"/>
  <c r="W227" i="21"/>
  <c r="AA44" i="21"/>
  <c r="W290" i="21"/>
  <c r="E121" i="21"/>
  <c r="V49" i="21" s="1"/>
  <c r="V279" i="21" s="1"/>
  <c r="V280" i="21" s="1"/>
  <c r="V221" i="21"/>
  <c r="F324" i="21"/>
  <c r="W119" i="21" s="1"/>
  <c r="E585" i="21"/>
  <c r="V209" i="21" s="1"/>
  <c r="D34" i="21"/>
  <c r="U19" i="21" s="1"/>
  <c r="X221" i="21"/>
  <c r="G92" i="21"/>
  <c r="X39" i="21" s="1"/>
  <c r="X279" i="21" s="1"/>
  <c r="X280" i="21" s="1"/>
  <c r="G527" i="21"/>
  <c r="X189" i="21" s="1"/>
  <c r="F382" i="21"/>
  <c r="W139" i="21" s="1"/>
  <c r="BD16" i="21"/>
  <c r="BD19" i="21"/>
  <c r="BD18" i="21"/>
  <c r="U291" i="21"/>
  <c r="U292" i="21" s="1"/>
  <c r="U290" i="21"/>
  <c r="U231" i="21"/>
  <c r="U227" i="21"/>
  <c r="U278" i="21"/>
  <c r="U221" i="21"/>
  <c r="F266" i="21"/>
  <c r="W99" i="21" s="1"/>
  <c r="C411" i="21"/>
  <c r="T149" i="21" s="1"/>
  <c r="AN102" i="20"/>
  <c r="AN112" i="20" s="1"/>
  <c r="AP102" i="20"/>
  <c r="AP112" i="20" s="1"/>
  <c r="AM102" i="20"/>
  <c r="AM112" i="20" s="1"/>
  <c r="E556" i="20"/>
  <c r="V199" i="20" s="1"/>
  <c r="C353" i="20"/>
  <c r="T129" i="20" s="1"/>
  <c r="T223" i="20"/>
  <c r="D237" i="20"/>
  <c r="U89" i="20" s="1"/>
  <c r="E208" i="20"/>
  <c r="V79" i="20" s="1"/>
  <c r="D208" i="20"/>
  <c r="U79" i="20" s="1"/>
  <c r="C208" i="20"/>
  <c r="T79" i="20" s="1"/>
  <c r="F121" i="20"/>
  <c r="W49" i="20" s="1"/>
  <c r="G63" i="20"/>
  <c r="X29" i="20" s="1"/>
  <c r="C34" i="20"/>
  <c r="T19" i="20" s="1"/>
  <c r="D585" i="20"/>
  <c r="U209" i="20" s="1"/>
  <c r="E585" i="20"/>
  <c r="V209" i="20" s="1"/>
  <c r="W223" i="20"/>
  <c r="C498" i="20"/>
  <c r="T179" i="20" s="1"/>
  <c r="G498" i="20"/>
  <c r="X179" i="20" s="1"/>
  <c r="C411" i="20"/>
  <c r="T149" i="20" s="1"/>
  <c r="D411" i="20"/>
  <c r="U149" i="20" s="1"/>
  <c r="D353" i="20"/>
  <c r="U129" i="20" s="1"/>
  <c r="F324" i="20"/>
  <c r="W119" i="20" s="1"/>
  <c r="C324" i="20"/>
  <c r="T119" i="20" s="1"/>
  <c r="D295" i="20"/>
  <c r="U109" i="20" s="1"/>
  <c r="C295" i="20"/>
  <c r="T109" i="20" s="1"/>
  <c r="V221" i="20"/>
  <c r="G237" i="20"/>
  <c r="X89" i="20" s="1"/>
  <c r="C237" i="20"/>
  <c r="T89" i="20" s="1"/>
  <c r="D150" i="20"/>
  <c r="U59" i="20" s="1"/>
  <c r="G121" i="20"/>
  <c r="X49" i="20" s="1"/>
  <c r="W278" i="20"/>
  <c r="X279" i="20"/>
  <c r="X280" i="20" s="1"/>
  <c r="W221" i="20"/>
  <c r="X278" i="20"/>
  <c r="BD16" i="20"/>
  <c r="BD21" i="20"/>
  <c r="BD13" i="20"/>
  <c r="E92" i="20"/>
  <c r="V39" i="20" s="1"/>
  <c r="D34" i="20"/>
  <c r="U19" i="20" s="1"/>
  <c r="BD18" i="20"/>
  <c r="T291" i="20"/>
  <c r="T292" i="20" s="1"/>
  <c r="T290" i="20"/>
  <c r="T227" i="20"/>
  <c r="T231" i="20"/>
  <c r="AA24" i="20"/>
  <c r="BD19" i="20"/>
  <c r="BD22" i="20"/>
  <c r="T278" i="20"/>
  <c r="T221" i="20"/>
  <c r="X221" i="20"/>
  <c r="U278" i="20"/>
  <c r="U221" i="20"/>
  <c r="F556" i="20"/>
  <c r="W199" i="20" s="1"/>
  <c r="V278" i="20"/>
  <c r="G324" i="20"/>
  <c r="X119" i="20" s="1"/>
  <c r="BD23" i="20"/>
  <c r="C179" i="20"/>
  <c r="T69" i="20" s="1"/>
  <c r="T224" i="20"/>
  <c r="F295" i="20"/>
  <c r="W109" i="20" s="1"/>
  <c r="W282" i="20"/>
  <c r="W283" i="20" s="1"/>
  <c r="W224" i="20"/>
  <c r="G266" i="20"/>
  <c r="X99" i="20" s="1"/>
  <c r="E266" i="20"/>
  <c r="V99" i="20" s="1"/>
  <c r="G179" i="20"/>
  <c r="X69" i="20" s="1"/>
  <c r="C63" i="20"/>
  <c r="T29" i="20" s="1"/>
  <c r="C92" i="20"/>
  <c r="T39" i="20" s="1"/>
  <c r="E498" i="20"/>
  <c r="V179" i="20" s="1"/>
  <c r="AO102" i="20"/>
  <c r="AO112" i="20" s="1"/>
  <c r="BD20" i="20"/>
  <c r="F92" i="20"/>
  <c r="W39" i="20" s="1"/>
  <c r="W279" i="20" s="1"/>
  <c r="W280" i="20" s="1"/>
  <c r="C440" i="20"/>
  <c r="T159" i="20" s="1"/>
  <c r="G527" i="20"/>
  <c r="X189" i="20" s="1"/>
  <c r="C382" i="20"/>
  <c r="T139" i="20" s="1"/>
  <c r="G411" i="20"/>
  <c r="X149" i="20" s="1"/>
  <c r="AL102" i="20"/>
  <c r="AL112" i="20" s="1"/>
  <c r="AA275" i="20"/>
  <c r="D324" i="20"/>
  <c r="U119" i="20" s="1"/>
  <c r="E469" i="20"/>
  <c r="V169" i="20" s="1"/>
  <c r="BD14" i="20"/>
  <c r="X232" i="20"/>
  <c r="X291" i="20"/>
  <c r="X292" i="20" s="1"/>
  <c r="X290" i="20"/>
  <c r="X227" i="20"/>
  <c r="C150" i="20"/>
  <c r="T59" i="20" s="1"/>
  <c r="BD15" i="20"/>
  <c r="F179" i="20"/>
  <c r="W69" i="20" s="1"/>
  <c r="C121" i="20"/>
  <c r="T49" i="20" s="1"/>
  <c r="G585" i="20"/>
  <c r="X209" i="20" s="1"/>
  <c r="D92" i="20"/>
  <c r="U39" i="20" s="1"/>
  <c r="D382" i="20"/>
  <c r="U139" i="20" s="1"/>
  <c r="D121" i="20"/>
  <c r="U49" i="20" s="1"/>
  <c r="AA34" i="20"/>
  <c r="BD17" i="20"/>
  <c r="G353" i="20"/>
  <c r="X129" i="20" s="1"/>
  <c r="G584" i="18"/>
  <c r="I577" i="18"/>
  <c r="F555" i="18"/>
  <c r="H553" i="18"/>
  <c r="I554" i="18" s="1"/>
  <c r="AE34" i="18" s="1"/>
  <c r="H495" i="18"/>
  <c r="I496" i="18" s="1"/>
  <c r="AE32" i="18" s="1"/>
  <c r="E497" i="18"/>
  <c r="E502" i="18" s="1"/>
  <c r="K404" i="18"/>
  <c r="P404" i="18" s="1"/>
  <c r="C410" i="18"/>
  <c r="C414" i="18" s="1"/>
  <c r="I403" i="18"/>
  <c r="K403" i="18" s="1"/>
  <c r="P403" i="18" s="1"/>
  <c r="J409" i="18" s="1"/>
  <c r="AF29" i="18" s="1"/>
  <c r="J375" i="18"/>
  <c r="U141" i="18" s="1"/>
  <c r="H379" i="18"/>
  <c r="I380" i="18" s="1"/>
  <c r="AE28" i="18" s="1"/>
  <c r="U140" i="18"/>
  <c r="X130" i="18"/>
  <c r="H350" i="18"/>
  <c r="I351" i="18" s="1"/>
  <c r="AE27" i="18" s="1"/>
  <c r="K349" i="18"/>
  <c r="P349" i="18" s="1"/>
  <c r="E323" i="18"/>
  <c r="H263" i="18"/>
  <c r="I264" i="18" s="1"/>
  <c r="AE24" i="18" s="1"/>
  <c r="C265" i="18"/>
  <c r="D265" i="18"/>
  <c r="C33" i="18"/>
  <c r="T18" i="18" s="1"/>
  <c r="K27" i="18"/>
  <c r="P27" i="18" s="1"/>
  <c r="J27" i="18"/>
  <c r="U21" i="18" s="1"/>
  <c r="H553" i="17"/>
  <c r="I554" i="17" s="1"/>
  <c r="AE34" i="17" s="1"/>
  <c r="G468" i="17"/>
  <c r="G470" i="17" s="1"/>
  <c r="I403" i="17"/>
  <c r="K374" i="17"/>
  <c r="P374" i="17" s="1"/>
  <c r="H379" i="17"/>
  <c r="I380" i="17" s="1"/>
  <c r="AE28" i="17" s="1"/>
  <c r="V140" i="17"/>
  <c r="G323" i="17"/>
  <c r="G327" i="17" s="1"/>
  <c r="E323" i="17"/>
  <c r="E325" i="17" s="1"/>
  <c r="H321" i="17"/>
  <c r="I322" i="17" s="1"/>
  <c r="AE26" i="17" s="1"/>
  <c r="G266" i="17"/>
  <c r="X99" i="17" s="1"/>
  <c r="C267" i="17"/>
  <c r="H263" i="17"/>
  <c r="I264" i="17" s="1"/>
  <c r="AE24" i="17" s="1"/>
  <c r="D207" i="17"/>
  <c r="D209" i="17" s="1"/>
  <c r="H147" i="17"/>
  <c r="I148" i="17" s="1"/>
  <c r="AE20" i="17" s="1"/>
  <c r="I113" i="17"/>
  <c r="E120" i="17"/>
  <c r="V26" i="17"/>
  <c r="V34" i="17" s="1"/>
  <c r="V232" i="17" s="1"/>
  <c r="P258" i="17"/>
  <c r="J264" i="17" s="1"/>
  <c r="AF24" i="17" s="1"/>
  <c r="C410" i="17"/>
  <c r="C415" i="17" s="1"/>
  <c r="I548" i="17"/>
  <c r="K548" i="17" s="1"/>
  <c r="K258" i="17"/>
  <c r="H350" i="17"/>
  <c r="I351" i="17" s="1"/>
  <c r="AE27" i="17" s="1"/>
  <c r="D352" i="17"/>
  <c r="D357" i="17" s="1"/>
  <c r="F584" i="17"/>
  <c r="F589" i="17" s="1"/>
  <c r="C178" i="17"/>
  <c r="J258" i="17"/>
  <c r="T101" i="17" s="1"/>
  <c r="C269" i="17"/>
  <c r="D440" i="17"/>
  <c r="U159" i="17" s="1"/>
  <c r="H582" i="17"/>
  <c r="I583" i="17" s="1"/>
  <c r="AE35" i="17" s="1"/>
  <c r="H524" i="17"/>
  <c r="I525" i="17" s="1"/>
  <c r="AE33" i="17" s="1"/>
  <c r="D91" i="17"/>
  <c r="D96" i="17" s="1"/>
  <c r="F91" i="17"/>
  <c r="D444" i="17"/>
  <c r="I519" i="17"/>
  <c r="C468" i="17"/>
  <c r="C473" i="17" s="1"/>
  <c r="E33" i="17"/>
  <c r="C497" i="17"/>
  <c r="T178" i="17" s="1"/>
  <c r="E266" i="17"/>
  <c r="V99" i="17" s="1"/>
  <c r="C120" i="17"/>
  <c r="D584" i="17"/>
  <c r="H495" i="17"/>
  <c r="I496" i="17" s="1"/>
  <c r="AE32" i="17" s="1"/>
  <c r="H31" i="17"/>
  <c r="I32" i="17" s="1"/>
  <c r="AE16" i="17" s="1"/>
  <c r="C555" i="17"/>
  <c r="T198" i="17" s="1"/>
  <c r="H321" i="18"/>
  <c r="I322" i="18" s="1"/>
  <c r="AE26" i="18" s="1"/>
  <c r="G468" i="18"/>
  <c r="G178" i="18"/>
  <c r="G180" i="18" s="1"/>
  <c r="H31" i="18"/>
  <c r="I32" i="18" s="1"/>
  <c r="AE16" i="18" s="1"/>
  <c r="H176" i="18"/>
  <c r="I177" i="18" s="1"/>
  <c r="AE21" i="18" s="1"/>
  <c r="H234" i="18"/>
  <c r="I235" i="18" s="1"/>
  <c r="AE23" i="18" s="1"/>
  <c r="F236" i="18"/>
  <c r="I26" i="18"/>
  <c r="J26" i="18" s="1"/>
  <c r="T21" i="18" s="1"/>
  <c r="G265" i="18"/>
  <c r="G267" i="18" s="1"/>
  <c r="C526" i="18"/>
  <c r="C528" i="18" s="1"/>
  <c r="C236" i="18"/>
  <c r="C241" i="18" s="1"/>
  <c r="W56" i="18"/>
  <c r="W64" i="18" s="1"/>
  <c r="W235" i="18" s="1"/>
  <c r="F149" i="18"/>
  <c r="D91" i="18"/>
  <c r="D93" i="18" s="1"/>
  <c r="H466" i="18"/>
  <c r="I467" i="18" s="1"/>
  <c r="AE31" i="18" s="1"/>
  <c r="E236" i="18"/>
  <c r="D526" i="18"/>
  <c r="F323" i="18"/>
  <c r="I84" i="18"/>
  <c r="T40" i="18" s="1"/>
  <c r="G120" i="18"/>
  <c r="F294" i="18"/>
  <c r="F299" i="18" s="1"/>
  <c r="E120" i="18"/>
  <c r="E125" i="18" s="1"/>
  <c r="C323" i="18"/>
  <c r="C325" i="18" s="1"/>
  <c r="E33" i="18"/>
  <c r="E38" i="18" s="1"/>
  <c r="K203" i="18"/>
  <c r="P203" i="18" s="1"/>
  <c r="J203" i="18"/>
  <c r="W81" i="18" s="1"/>
  <c r="W80" i="18"/>
  <c r="J551" i="18"/>
  <c r="W201" i="18" s="1"/>
  <c r="K551" i="18"/>
  <c r="P551" i="18" s="1"/>
  <c r="W200" i="18"/>
  <c r="K290" i="18"/>
  <c r="P290" i="18" s="1"/>
  <c r="J290" i="18"/>
  <c r="W111" i="18" s="1"/>
  <c r="W110" i="18"/>
  <c r="J204" i="18"/>
  <c r="X81" i="18" s="1"/>
  <c r="K204" i="18"/>
  <c r="P204" i="18" s="1"/>
  <c r="X80" i="18"/>
  <c r="K230" i="18"/>
  <c r="P230" i="18" s="1"/>
  <c r="J230" i="18"/>
  <c r="U91" i="18" s="1"/>
  <c r="U90" i="18"/>
  <c r="AY13" i="18"/>
  <c r="J30" i="18"/>
  <c r="X21" i="18" s="1"/>
  <c r="X20" i="18"/>
  <c r="K30" i="18"/>
  <c r="P30" i="18" s="1"/>
  <c r="AM113" i="18"/>
  <c r="AT95" i="18"/>
  <c r="AY95" i="18" s="1"/>
  <c r="AS95" i="18"/>
  <c r="AM114" i="18" s="1"/>
  <c r="K115" i="18"/>
  <c r="P115" i="18" s="1"/>
  <c r="V50" i="18"/>
  <c r="J115" i="18"/>
  <c r="V51" i="18" s="1"/>
  <c r="J259" i="18"/>
  <c r="U101" i="18" s="1"/>
  <c r="K259" i="18"/>
  <c r="U100" i="18"/>
  <c r="P259" i="18"/>
  <c r="K117" i="18"/>
  <c r="J117" i="18"/>
  <c r="X51" i="18" s="1"/>
  <c r="X50" i="18"/>
  <c r="P117" i="18"/>
  <c r="X30" i="18"/>
  <c r="J59" i="18"/>
  <c r="X31" i="18" s="1"/>
  <c r="K59" i="18"/>
  <c r="P59" i="18" s="1"/>
  <c r="K377" i="18"/>
  <c r="P377" i="18" s="1"/>
  <c r="J377" i="18"/>
  <c r="W141" i="18" s="1"/>
  <c r="W140" i="18"/>
  <c r="K202" i="18"/>
  <c r="V80" i="18"/>
  <c r="J202" i="18"/>
  <c r="V81" i="18" s="1"/>
  <c r="P202" i="18"/>
  <c r="K494" i="18"/>
  <c r="P494" i="18" s="1"/>
  <c r="J494" i="18"/>
  <c r="X181" i="18" s="1"/>
  <c r="X180" i="18"/>
  <c r="K174" i="18"/>
  <c r="P174" i="18" s="1"/>
  <c r="J174" i="18"/>
  <c r="W71" i="18" s="1"/>
  <c r="W70" i="18"/>
  <c r="AT98" i="18"/>
  <c r="AY98" i="18" s="1"/>
  <c r="AP113" i="18"/>
  <c r="AS98" i="18"/>
  <c r="AP114" i="18" s="1"/>
  <c r="K289" i="18"/>
  <c r="P289" i="18" s="1"/>
  <c r="J289" i="18"/>
  <c r="V111" i="18" s="1"/>
  <c r="V110" i="18"/>
  <c r="J521" i="18"/>
  <c r="V191" i="18" s="1"/>
  <c r="K521" i="18"/>
  <c r="P521" i="18" s="1"/>
  <c r="V190" i="18"/>
  <c r="K523" i="18"/>
  <c r="P523" i="18" s="1"/>
  <c r="J523" i="18"/>
  <c r="X191" i="18" s="1"/>
  <c r="X190" i="18"/>
  <c r="V30" i="18"/>
  <c r="K57" i="18"/>
  <c r="J57" i="18"/>
  <c r="V31" i="18" s="1"/>
  <c r="P57" i="18"/>
  <c r="E267" i="18"/>
  <c r="E270" i="18"/>
  <c r="V98" i="18"/>
  <c r="E269" i="18"/>
  <c r="C415" i="18"/>
  <c r="C412" i="18"/>
  <c r="T148" i="18"/>
  <c r="G183" i="18"/>
  <c r="J434" i="18"/>
  <c r="V161" i="18" s="1"/>
  <c r="K434" i="18"/>
  <c r="P434" i="18" s="1"/>
  <c r="V160" i="18"/>
  <c r="F499" i="18"/>
  <c r="F502" i="18"/>
  <c r="W178" i="18"/>
  <c r="F501" i="18"/>
  <c r="F296" i="18"/>
  <c r="F298" i="18"/>
  <c r="W108" i="18"/>
  <c r="F267" i="18"/>
  <c r="F270" i="18"/>
  <c r="W98" i="18"/>
  <c r="F269" i="18"/>
  <c r="T196" i="18"/>
  <c r="T204" i="18" s="1"/>
  <c r="C555" i="18"/>
  <c r="C294" i="18"/>
  <c r="H118" i="18"/>
  <c r="I119" i="18" s="1"/>
  <c r="AE19" i="18" s="1"/>
  <c r="K201" i="18"/>
  <c r="P201" i="18" s="1"/>
  <c r="J201" i="18"/>
  <c r="U81" i="18" s="1"/>
  <c r="U80" i="18"/>
  <c r="K520" i="18"/>
  <c r="P520" i="18" s="1"/>
  <c r="J520" i="18"/>
  <c r="U191" i="18" s="1"/>
  <c r="U190" i="18"/>
  <c r="U46" i="18"/>
  <c r="U54" i="18" s="1"/>
  <c r="U234" i="18" s="1"/>
  <c r="D120" i="18"/>
  <c r="J492" i="18"/>
  <c r="V181" i="18" s="1"/>
  <c r="K492" i="18"/>
  <c r="P492" i="18" s="1"/>
  <c r="V180" i="18"/>
  <c r="K232" i="18"/>
  <c r="J232" i="18"/>
  <c r="W91" i="18" s="1"/>
  <c r="W90" i="18"/>
  <c r="P232" i="18"/>
  <c r="V18" i="18"/>
  <c r="E37" i="18"/>
  <c r="T20" i="18"/>
  <c r="K26" i="18"/>
  <c r="P26" i="18" s="1"/>
  <c r="D468" i="18"/>
  <c r="W36" i="18"/>
  <c r="W44" i="18" s="1"/>
  <c r="W233" i="18" s="1"/>
  <c r="F91" i="18"/>
  <c r="W156" i="18"/>
  <c r="W164" i="18" s="1"/>
  <c r="W245" i="18" s="1"/>
  <c r="F439" i="18"/>
  <c r="X156" i="18"/>
  <c r="X164" i="18" s="1"/>
  <c r="X245" i="18" s="1"/>
  <c r="G439" i="18"/>
  <c r="J403" i="18"/>
  <c r="T151" i="18" s="1"/>
  <c r="G151" i="18"/>
  <c r="G154" i="18"/>
  <c r="X58" i="18"/>
  <c r="G153" i="18"/>
  <c r="D410" i="18"/>
  <c r="U146" i="18"/>
  <c r="U154" i="18" s="1"/>
  <c r="U244" i="18" s="1"/>
  <c r="K465" i="18"/>
  <c r="P465" i="18" s="1"/>
  <c r="J465" i="18"/>
  <c r="X171" i="18" s="1"/>
  <c r="X170" i="18"/>
  <c r="W206" i="18"/>
  <c r="W214" i="18" s="1"/>
  <c r="W250" i="18" s="1"/>
  <c r="F584" i="18"/>
  <c r="T240" i="18"/>
  <c r="AA114" i="18"/>
  <c r="K113" i="18"/>
  <c r="P113" i="18" s="1"/>
  <c r="J113" i="18"/>
  <c r="T51" i="18" s="1"/>
  <c r="T50" i="18"/>
  <c r="D531" i="18"/>
  <c r="D528" i="18"/>
  <c r="U188" i="18"/>
  <c r="D530" i="18"/>
  <c r="W26" i="18"/>
  <c r="W34" i="18" s="1"/>
  <c r="W232" i="18" s="1"/>
  <c r="F62" i="18"/>
  <c r="C589" i="18"/>
  <c r="C586" i="18"/>
  <c r="T208" i="18"/>
  <c r="C588" i="18"/>
  <c r="F238" i="18"/>
  <c r="F241" i="18"/>
  <c r="W88" i="18"/>
  <c r="F240" i="18"/>
  <c r="F237" i="18" s="1"/>
  <c r="W89" i="18" s="1"/>
  <c r="V20" i="18"/>
  <c r="J28" i="18"/>
  <c r="V21" i="18" s="1"/>
  <c r="K28" i="18"/>
  <c r="P28" i="18" s="1"/>
  <c r="D151" i="18"/>
  <c r="D154" i="18"/>
  <c r="U58" i="18"/>
  <c r="D153" i="18"/>
  <c r="V66" i="18"/>
  <c r="V74" i="18" s="1"/>
  <c r="V236" i="18" s="1"/>
  <c r="E178" i="18"/>
  <c r="U66" i="18"/>
  <c r="U74" i="18" s="1"/>
  <c r="U236" i="18" s="1"/>
  <c r="D178" i="18"/>
  <c r="H437" i="18"/>
  <c r="I438" i="18" s="1"/>
  <c r="AE30" i="18" s="1"/>
  <c r="H205" i="18"/>
  <c r="I206" i="18" s="1"/>
  <c r="AE22" i="18" s="1"/>
  <c r="G473" i="18"/>
  <c r="G470" i="18"/>
  <c r="X168" i="18"/>
  <c r="G472" i="18"/>
  <c r="I229" i="18"/>
  <c r="C120" i="18"/>
  <c r="AL101" i="18"/>
  <c r="K233" i="18"/>
  <c r="P233" i="18" s="1"/>
  <c r="J233" i="18"/>
  <c r="X91" i="18" s="1"/>
  <c r="X90" i="18"/>
  <c r="K143" i="18"/>
  <c r="P143" i="18" s="1"/>
  <c r="J143" i="18"/>
  <c r="U61" i="18" s="1"/>
  <c r="U60" i="18"/>
  <c r="G33" i="18"/>
  <c r="E294" i="18"/>
  <c r="D439" i="18"/>
  <c r="G270" i="18"/>
  <c r="X98" i="18"/>
  <c r="G269" i="18"/>
  <c r="F560" i="18"/>
  <c r="F557" i="18"/>
  <c r="W198" i="18"/>
  <c r="F559" i="18"/>
  <c r="J432" i="18"/>
  <c r="T161" i="18" s="1"/>
  <c r="K432" i="18"/>
  <c r="T160" i="18"/>
  <c r="P432" i="18"/>
  <c r="W186" i="18"/>
  <c r="W194" i="18" s="1"/>
  <c r="W248" i="18" s="1"/>
  <c r="F526" i="18"/>
  <c r="X136" i="18"/>
  <c r="X144" i="18" s="1"/>
  <c r="X243" i="18" s="1"/>
  <c r="G381" i="18"/>
  <c r="F207" i="18"/>
  <c r="T238" i="18"/>
  <c r="AA94" i="18"/>
  <c r="T234" i="18"/>
  <c r="AQ99" i="18"/>
  <c r="AR100" i="18" s="1"/>
  <c r="J577" i="18"/>
  <c r="T211" i="18" s="1"/>
  <c r="K577" i="18"/>
  <c r="P577" i="18" s="1"/>
  <c r="T210" i="18"/>
  <c r="G236" i="18"/>
  <c r="C354" i="18"/>
  <c r="C357" i="18"/>
  <c r="T128" i="18"/>
  <c r="AO109" i="18"/>
  <c r="AO117" i="18" s="1"/>
  <c r="AS117" i="18" s="1"/>
  <c r="AO101" i="18"/>
  <c r="BL66" i="18"/>
  <c r="BL69" i="18" s="1"/>
  <c r="BL70" i="18" s="1"/>
  <c r="BL71" i="18" s="1"/>
  <c r="H60" i="18"/>
  <c r="I61" i="18" s="1"/>
  <c r="AE17" i="18" s="1"/>
  <c r="AX13" i="18" s="1"/>
  <c r="AS94" i="18"/>
  <c r="AL114" i="18" s="1"/>
  <c r="AL113" i="18"/>
  <c r="AT94" i="18"/>
  <c r="AY94" i="18" s="1"/>
  <c r="T250" i="18"/>
  <c r="I345" i="18"/>
  <c r="E62" i="18"/>
  <c r="W126" i="18"/>
  <c r="W134" i="18" s="1"/>
  <c r="W242" i="18" s="1"/>
  <c r="F352" i="18"/>
  <c r="K262" i="18"/>
  <c r="P262" i="18" s="1"/>
  <c r="J262" i="18"/>
  <c r="X101" i="18" s="1"/>
  <c r="X100" i="18"/>
  <c r="F325" i="18"/>
  <c r="F328" i="18"/>
  <c r="W118" i="18"/>
  <c r="F327" i="18"/>
  <c r="T239" i="18"/>
  <c r="AA104" i="18"/>
  <c r="T76" i="18"/>
  <c r="T84" i="18" s="1"/>
  <c r="C207" i="18"/>
  <c r="BJ164" i="18"/>
  <c r="BM66" i="18" s="1"/>
  <c r="T232" i="18"/>
  <c r="D64" i="18"/>
  <c r="D67" i="18"/>
  <c r="U28" i="18"/>
  <c r="D66" i="18"/>
  <c r="F178" i="18"/>
  <c r="W146" i="18"/>
  <c r="W154" i="18" s="1"/>
  <c r="W244" i="18" s="1"/>
  <c r="F410" i="18"/>
  <c r="T242" i="18"/>
  <c r="K288" i="18"/>
  <c r="J288" i="18"/>
  <c r="U111" i="18" s="1"/>
  <c r="P288" i="18"/>
  <c r="U110" i="18"/>
  <c r="V36" i="18"/>
  <c r="V44" i="18" s="1"/>
  <c r="V233" i="18" s="1"/>
  <c r="E91" i="18"/>
  <c r="I258" i="18"/>
  <c r="C269" i="18" s="1"/>
  <c r="F381" i="18"/>
  <c r="E212" i="18"/>
  <c r="E209" i="18"/>
  <c r="V78" i="18"/>
  <c r="E211" i="18"/>
  <c r="C178" i="18"/>
  <c r="K581" i="18"/>
  <c r="P581" i="18" s="1"/>
  <c r="J581" i="18"/>
  <c r="X211" i="18" s="1"/>
  <c r="X210" i="18"/>
  <c r="C439" i="18"/>
  <c r="E328" i="18"/>
  <c r="E325" i="18"/>
  <c r="V118" i="18"/>
  <c r="E327" i="18"/>
  <c r="T241" i="18"/>
  <c r="I461" i="18"/>
  <c r="C472" i="18" s="1"/>
  <c r="C469" i="18" s="1"/>
  <c r="T169" i="18" s="1"/>
  <c r="BJ59" i="18"/>
  <c r="BM41" i="18" s="1"/>
  <c r="I376" i="18"/>
  <c r="X276" i="18"/>
  <c r="X277" i="18" s="1"/>
  <c r="X220" i="18"/>
  <c r="X25" i="18"/>
  <c r="X228" i="18" s="1"/>
  <c r="I55" i="18"/>
  <c r="J291" i="18"/>
  <c r="X111" i="18" s="1"/>
  <c r="K291" i="18"/>
  <c r="P291" i="18" s="1"/>
  <c r="X110" i="18"/>
  <c r="D294" i="18"/>
  <c r="AP111" i="18"/>
  <c r="AP106" i="18"/>
  <c r="AP103" i="18"/>
  <c r="AP105" i="18"/>
  <c r="G497" i="18"/>
  <c r="X126" i="18"/>
  <c r="X134" i="18" s="1"/>
  <c r="X242" i="18" s="1"/>
  <c r="G352" i="18"/>
  <c r="J433" i="18"/>
  <c r="U161" i="18" s="1"/>
  <c r="K433" i="18"/>
  <c r="P433" i="18" s="1"/>
  <c r="U160" i="18"/>
  <c r="K319" i="18"/>
  <c r="P319" i="18" s="1"/>
  <c r="J319" i="18"/>
  <c r="W121" i="18" s="1"/>
  <c r="W120" i="18"/>
  <c r="T245" i="18"/>
  <c r="D270" i="18"/>
  <c r="D267" i="18"/>
  <c r="U98" i="18"/>
  <c r="D269" i="18"/>
  <c r="K84" i="18"/>
  <c r="P84" i="18" s="1"/>
  <c r="C270" i="18"/>
  <c r="C267" i="18"/>
  <c r="T98" i="18"/>
  <c r="T236" i="18"/>
  <c r="AA74" i="18"/>
  <c r="D560" i="18"/>
  <c r="D557" i="18"/>
  <c r="D559" i="18"/>
  <c r="U198" i="18"/>
  <c r="G589" i="18"/>
  <c r="G586" i="18"/>
  <c r="X208" i="18"/>
  <c r="G588" i="18"/>
  <c r="K318" i="18"/>
  <c r="J318" i="18"/>
  <c r="V121" i="18" s="1"/>
  <c r="V120" i="18"/>
  <c r="P318" i="18"/>
  <c r="D502" i="18"/>
  <c r="D499" i="18"/>
  <c r="U178" i="18"/>
  <c r="D501" i="18"/>
  <c r="U136" i="18"/>
  <c r="U144" i="18" s="1"/>
  <c r="U243" i="18" s="1"/>
  <c r="D381" i="18"/>
  <c r="V196" i="18"/>
  <c r="V204" i="18" s="1"/>
  <c r="V249" i="18" s="1"/>
  <c r="E555" i="18"/>
  <c r="BL41" i="18"/>
  <c r="BL44" i="18" s="1"/>
  <c r="BL45" i="18" s="1"/>
  <c r="BL46" i="18" s="1"/>
  <c r="E381" i="18"/>
  <c r="X24" i="18"/>
  <c r="C62" i="18"/>
  <c r="G294" i="18"/>
  <c r="V276" i="18"/>
  <c r="V277" i="18" s="1"/>
  <c r="V220" i="18"/>
  <c r="V25" i="18"/>
  <c r="V228" i="18" s="1"/>
  <c r="E526" i="18"/>
  <c r="AM101" i="18"/>
  <c r="T276" i="18"/>
  <c r="T277" i="18" s="1"/>
  <c r="T220" i="18"/>
  <c r="T25" i="18"/>
  <c r="T228" i="18" s="1"/>
  <c r="U276" i="18"/>
  <c r="U277" i="18" s="1"/>
  <c r="U220" i="18"/>
  <c r="U25" i="18"/>
  <c r="U228" i="18" s="1"/>
  <c r="W281" i="18"/>
  <c r="T246" i="18"/>
  <c r="I490" i="18"/>
  <c r="V24" i="18"/>
  <c r="U16" i="18"/>
  <c r="D33" i="18"/>
  <c r="K200" i="18"/>
  <c r="P200" i="18" s="1"/>
  <c r="J200" i="18"/>
  <c r="T81" i="18" s="1"/>
  <c r="T80" i="18"/>
  <c r="T244" i="18"/>
  <c r="T233" i="18"/>
  <c r="D323" i="18"/>
  <c r="I519" i="18"/>
  <c r="I316" i="18"/>
  <c r="G125" i="18"/>
  <c r="X48" i="18"/>
  <c r="G122" i="18"/>
  <c r="G124" i="18"/>
  <c r="D96" i="18"/>
  <c r="U38" i="18"/>
  <c r="C473" i="18"/>
  <c r="C470" i="18"/>
  <c r="T168" i="18"/>
  <c r="H292" i="18"/>
  <c r="I293" i="18" s="1"/>
  <c r="AE25" i="18" s="1"/>
  <c r="AN113" i="18"/>
  <c r="AT96" i="18"/>
  <c r="AY96" i="18" s="1"/>
  <c r="AS96" i="18"/>
  <c r="AN114" i="18" s="1"/>
  <c r="K231" i="18"/>
  <c r="P231" i="18" s="1"/>
  <c r="J231" i="18"/>
  <c r="V91" i="18" s="1"/>
  <c r="V90" i="18"/>
  <c r="T247" i="18"/>
  <c r="AA184" i="18"/>
  <c r="G209" i="18"/>
  <c r="G212" i="18"/>
  <c r="X78" i="18"/>
  <c r="G211" i="18"/>
  <c r="D236" i="18"/>
  <c r="V146" i="18"/>
  <c r="V154" i="18" s="1"/>
  <c r="V244" i="18" s="1"/>
  <c r="E410" i="18"/>
  <c r="W282" i="18"/>
  <c r="W283" i="18" s="1"/>
  <c r="E352" i="18"/>
  <c r="V126" i="18"/>
  <c r="V134" i="18" s="1"/>
  <c r="V242" i="18" s="1"/>
  <c r="K549" i="18"/>
  <c r="J549" i="18"/>
  <c r="U201" i="18" s="1"/>
  <c r="U200" i="18"/>
  <c r="P549" i="18"/>
  <c r="C93" i="18"/>
  <c r="T38" i="18"/>
  <c r="C96" i="18"/>
  <c r="C95" i="18"/>
  <c r="C92" i="18" s="1"/>
  <c r="T39" i="18" s="1"/>
  <c r="K317" i="18"/>
  <c r="P317" i="18" s="1"/>
  <c r="J317" i="18"/>
  <c r="U121" i="18" s="1"/>
  <c r="U120" i="18"/>
  <c r="I171" i="18"/>
  <c r="X116" i="18"/>
  <c r="X124" i="18" s="1"/>
  <c r="X241" i="18" s="1"/>
  <c r="G323" i="18"/>
  <c r="D584" i="18"/>
  <c r="K287" i="18"/>
  <c r="P287" i="18" s="1"/>
  <c r="J287" i="18"/>
  <c r="T111" i="18" s="1"/>
  <c r="T110" i="18"/>
  <c r="AN103" i="18"/>
  <c r="AN111" i="18"/>
  <c r="AN106" i="18"/>
  <c r="AN105" i="18"/>
  <c r="E241" i="18"/>
  <c r="E238" i="18"/>
  <c r="V88" i="18"/>
  <c r="E240" i="18"/>
  <c r="G526" i="18"/>
  <c r="W276" i="18"/>
  <c r="W277" i="18" s="1"/>
  <c r="W220" i="18"/>
  <c r="W25" i="18"/>
  <c r="W228" i="18" s="1"/>
  <c r="K552" i="18"/>
  <c r="P552" i="18" s="1"/>
  <c r="X200" i="18"/>
  <c r="J552" i="18"/>
  <c r="X201" i="18" s="1"/>
  <c r="T275" i="18"/>
  <c r="T24" i="18"/>
  <c r="C386" i="18"/>
  <c r="C383" i="18"/>
  <c r="T138" i="18"/>
  <c r="C385" i="18"/>
  <c r="G67" i="18"/>
  <c r="X28" i="18"/>
  <c r="G64" i="18"/>
  <c r="G66" i="18"/>
  <c r="W46" i="18"/>
  <c r="W54" i="18" s="1"/>
  <c r="W234" i="18" s="1"/>
  <c r="F120" i="18"/>
  <c r="U40" i="18"/>
  <c r="K85" i="18"/>
  <c r="P85" i="18" s="1"/>
  <c r="J85" i="18"/>
  <c r="U41" i="18" s="1"/>
  <c r="W166" i="18"/>
  <c r="W174" i="18" s="1"/>
  <c r="W246" i="18" s="1"/>
  <c r="F468" i="18"/>
  <c r="X146" i="18"/>
  <c r="X154" i="18" s="1"/>
  <c r="X244" i="18" s="1"/>
  <c r="G410" i="18"/>
  <c r="U126" i="18"/>
  <c r="U134" i="18" s="1"/>
  <c r="U242" i="18" s="1"/>
  <c r="D352" i="18"/>
  <c r="E151" i="18"/>
  <c r="E154" i="18"/>
  <c r="E153" i="18"/>
  <c r="V58" i="18"/>
  <c r="K175" i="18"/>
  <c r="P175" i="18" s="1"/>
  <c r="J175" i="18"/>
  <c r="X71" i="18" s="1"/>
  <c r="X70" i="18"/>
  <c r="E439" i="18"/>
  <c r="T248" i="18"/>
  <c r="J548" i="18"/>
  <c r="T201" i="18" s="1"/>
  <c r="K548" i="18"/>
  <c r="P548" i="18" s="1"/>
  <c r="T200" i="18"/>
  <c r="J493" i="18"/>
  <c r="W181" i="18" s="1"/>
  <c r="K493" i="18"/>
  <c r="P493" i="18" s="1"/>
  <c r="W180" i="18"/>
  <c r="T56" i="18"/>
  <c r="T64" i="18" s="1"/>
  <c r="C149" i="18"/>
  <c r="K261" i="18"/>
  <c r="P261" i="18" s="1"/>
  <c r="J261" i="18"/>
  <c r="W101" i="18" s="1"/>
  <c r="W100" i="18"/>
  <c r="J142" i="18"/>
  <c r="T61" i="18" s="1"/>
  <c r="K142" i="18"/>
  <c r="P142" i="18" s="1"/>
  <c r="J148" i="18" s="1"/>
  <c r="AF20" i="18" s="1"/>
  <c r="T60" i="18"/>
  <c r="K578" i="18"/>
  <c r="P578" i="18" s="1"/>
  <c r="J578" i="18"/>
  <c r="U211" i="18" s="1"/>
  <c r="U210" i="18"/>
  <c r="V206" i="18"/>
  <c r="V214" i="18" s="1"/>
  <c r="V250" i="18" s="1"/>
  <c r="E584" i="18"/>
  <c r="D212" i="18"/>
  <c r="D209" i="18"/>
  <c r="D211" i="18"/>
  <c r="U78" i="18"/>
  <c r="W16" i="18"/>
  <c r="F33" i="18"/>
  <c r="C497" i="18"/>
  <c r="G557" i="18"/>
  <c r="G560" i="18"/>
  <c r="G559" i="18"/>
  <c r="X198" i="18"/>
  <c r="V166" i="18"/>
  <c r="V174" i="18" s="1"/>
  <c r="V246" i="18" s="1"/>
  <c r="E468" i="18"/>
  <c r="E499" i="18"/>
  <c r="V178" i="18"/>
  <c r="E501" i="18"/>
  <c r="X36" i="18"/>
  <c r="X44" i="18" s="1"/>
  <c r="X233" i="18" s="1"/>
  <c r="G91" i="18"/>
  <c r="K462" i="18"/>
  <c r="P462" i="18" s="1"/>
  <c r="J462" i="18"/>
  <c r="U171" i="18" s="1"/>
  <c r="U170" i="18"/>
  <c r="T243" i="18"/>
  <c r="K231" i="17"/>
  <c r="P231" i="17" s="1"/>
  <c r="J231" i="17"/>
  <c r="V91" i="17" s="1"/>
  <c r="V90" i="17"/>
  <c r="K30" i="17"/>
  <c r="P30" i="17" s="1"/>
  <c r="X20" i="17"/>
  <c r="J30" i="17"/>
  <c r="X21" i="17" s="1"/>
  <c r="K203" i="17"/>
  <c r="P203" i="17" s="1"/>
  <c r="J203" i="17"/>
  <c r="W81" i="17" s="1"/>
  <c r="W80" i="17"/>
  <c r="J233" i="17"/>
  <c r="X91" i="17" s="1"/>
  <c r="K233" i="17"/>
  <c r="P233" i="17" s="1"/>
  <c r="X90" i="17"/>
  <c r="AT98" i="17"/>
  <c r="AY98" i="17" s="1"/>
  <c r="AS98" i="17"/>
  <c r="AP114" i="17" s="1"/>
  <c r="AP113" i="17"/>
  <c r="K319" i="17"/>
  <c r="P319" i="17" s="1"/>
  <c r="J319" i="17"/>
  <c r="W121" i="17" s="1"/>
  <c r="W120" i="17"/>
  <c r="J145" i="17"/>
  <c r="W61" i="17" s="1"/>
  <c r="K145" i="17"/>
  <c r="P145" i="17" s="1"/>
  <c r="W60" i="17"/>
  <c r="K521" i="17"/>
  <c r="P521" i="17" s="1"/>
  <c r="J521" i="17"/>
  <c r="V191" i="17" s="1"/>
  <c r="V190" i="17"/>
  <c r="K462" i="17"/>
  <c r="P462" i="17" s="1"/>
  <c r="J462" i="17"/>
  <c r="U171" i="17" s="1"/>
  <c r="U170" i="17"/>
  <c r="K29" i="17"/>
  <c r="P29" i="17" s="1"/>
  <c r="J29" i="17"/>
  <c r="W21" i="17" s="1"/>
  <c r="W20" i="17"/>
  <c r="K463" i="17"/>
  <c r="P463" i="17" s="1"/>
  <c r="J463" i="17"/>
  <c r="V171" i="17" s="1"/>
  <c r="V170" i="17"/>
  <c r="J87" i="17"/>
  <c r="W41" i="17" s="1"/>
  <c r="K87" i="17"/>
  <c r="P87" i="17" s="1"/>
  <c r="W40" i="17"/>
  <c r="AT96" i="17"/>
  <c r="AY96" i="17" s="1"/>
  <c r="AS96" i="17"/>
  <c r="AN114" i="17" s="1"/>
  <c r="AN113" i="17"/>
  <c r="K549" i="17"/>
  <c r="P549" i="17" s="1"/>
  <c r="J549" i="17"/>
  <c r="U201" i="17" s="1"/>
  <c r="U200" i="17"/>
  <c r="K201" i="17"/>
  <c r="P201" i="17" s="1"/>
  <c r="J201" i="17"/>
  <c r="U81" i="17" s="1"/>
  <c r="U80" i="17"/>
  <c r="W66" i="17"/>
  <c r="W74" i="17" s="1"/>
  <c r="W236" i="17" s="1"/>
  <c r="F178" i="17"/>
  <c r="G64" i="17"/>
  <c r="G67" i="17"/>
  <c r="X28" i="17"/>
  <c r="G66" i="17"/>
  <c r="W186" i="17"/>
  <c r="W194" i="17" s="1"/>
  <c r="W248" i="17" s="1"/>
  <c r="F526" i="17"/>
  <c r="K113" i="17"/>
  <c r="P113" i="17" s="1"/>
  <c r="J113" i="17"/>
  <c r="T51" i="17" s="1"/>
  <c r="T50" i="17"/>
  <c r="K317" i="17"/>
  <c r="P317" i="17" s="1"/>
  <c r="J317" i="17"/>
  <c r="U121" i="17" s="1"/>
  <c r="U120" i="17"/>
  <c r="W146" i="17"/>
  <c r="W154" i="17" s="1"/>
  <c r="W244" i="17" s="1"/>
  <c r="F410" i="17"/>
  <c r="E35" i="17"/>
  <c r="E38" i="17"/>
  <c r="V18" i="17"/>
  <c r="E37" i="17"/>
  <c r="T228" i="17"/>
  <c r="C294" i="17"/>
  <c r="U146" i="17"/>
  <c r="U154" i="17" s="1"/>
  <c r="U244" i="17" s="1"/>
  <c r="D410" i="17"/>
  <c r="U46" i="17"/>
  <c r="U54" i="17" s="1"/>
  <c r="U234" i="17" s="1"/>
  <c r="D120" i="17"/>
  <c r="I375" i="17"/>
  <c r="D385" i="17" s="1"/>
  <c r="C91" i="17"/>
  <c r="X66" i="17"/>
  <c r="X74" i="17" s="1"/>
  <c r="X236" i="17" s="1"/>
  <c r="G178" i="17"/>
  <c r="D497" i="17"/>
  <c r="H234" i="17"/>
  <c r="I235" i="17" s="1"/>
  <c r="AE23" i="17" s="1"/>
  <c r="AP111" i="17"/>
  <c r="AP103" i="17"/>
  <c r="AP106" i="17"/>
  <c r="AP105" i="17"/>
  <c r="U40" i="17"/>
  <c r="K85" i="17"/>
  <c r="J85" i="17"/>
  <c r="U41" i="17" s="1"/>
  <c r="U282" i="17" s="1"/>
  <c r="U283" i="17" s="1"/>
  <c r="P85" i="17"/>
  <c r="V156" i="17"/>
  <c r="V164" i="17" s="1"/>
  <c r="V245" i="17" s="1"/>
  <c r="E439" i="17"/>
  <c r="D323" i="17"/>
  <c r="X46" i="17"/>
  <c r="X54" i="17" s="1"/>
  <c r="X234" i="17" s="1"/>
  <c r="G120" i="17"/>
  <c r="U16" i="17"/>
  <c r="D33" i="17"/>
  <c r="D468" i="17"/>
  <c r="I28" i="17"/>
  <c r="T220" i="17"/>
  <c r="V276" i="17"/>
  <c r="V277" i="17" s="1"/>
  <c r="V220" i="17"/>
  <c r="V25" i="17"/>
  <c r="V228" i="17" s="1"/>
  <c r="V136" i="17"/>
  <c r="V144" i="17" s="1"/>
  <c r="E381" i="17"/>
  <c r="T200" i="17"/>
  <c r="W106" i="17"/>
  <c r="W114" i="17" s="1"/>
  <c r="W240" i="17" s="1"/>
  <c r="F294" i="17"/>
  <c r="K580" i="17"/>
  <c r="J580" i="17"/>
  <c r="W211" i="17" s="1"/>
  <c r="W210" i="17"/>
  <c r="P580" i="17"/>
  <c r="K491" i="17"/>
  <c r="P491" i="17" s="1"/>
  <c r="J491" i="17"/>
  <c r="U181" i="17" s="1"/>
  <c r="U180" i="17"/>
  <c r="T116" i="17"/>
  <c r="T124" i="17" s="1"/>
  <c r="C323" i="17"/>
  <c r="D555" i="17"/>
  <c r="X276" i="17"/>
  <c r="X277" i="17" s="1"/>
  <c r="X220" i="17"/>
  <c r="X25" i="17"/>
  <c r="X228" i="17" s="1"/>
  <c r="T276" i="17"/>
  <c r="T277" i="17" s="1"/>
  <c r="D386" i="17"/>
  <c r="D383" i="17"/>
  <c r="U138" i="17"/>
  <c r="X36" i="17"/>
  <c r="X44" i="17" s="1"/>
  <c r="X233" i="17" s="1"/>
  <c r="G91" i="17"/>
  <c r="K345" i="17"/>
  <c r="P345" i="17" s="1"/>
  <c r="J345" i="17"/>
  <c r="T131" i="17" s="1"/>
  <c r="T130" i="17"/>
  <c r="E555" i="17"/>
  <c r="K318" i="17"/>
  <c r="P318" i="17" s="1"/>
  <c r="J318" i="17"/>
  <c r="V121" i="17" s="1"/>
  <c r="V120" i="17"/>
  <c r="T249" i="17"/>
  <c r="T244" i="17"/>
  <c r="F35" i="17"/>
  <c r="F38" i="17"/>
  <c r="W18" i="17"/>
  <c r="F37" i="17"/>
  <c r="F34" i="17" s="1"/>
  <c r="W19" i="17" s="1"/>
  <c r="X196" i="17"/>
  <c r="X204" i="17" s="1"/>
  <c r="X249" i="17" s="1"/>
  <c r="G555" i="17"/>
  <c r="X146" i="17"/>
  <c r="X154" i="17" s="1"/>
  <c r="X244" i="17" s="1"/>
  <c r="G410" i="17"/>
  <c r="I346" i="17"/>
  <c r="D356" i="17" s="1"/>
  <c r="AA184" i="17"/>
  <c r="T247" i="17"/>
  <c r="F588" i="17"/>
  <c r="K465" i="17"/>
  <c r="P465" i="17" s="1"/>
  <c r="J465" i="17"/>
  <c r="X171" i="17" s="1"/>
  <c r="X170" i="17"/>
  <c r="C38" i="17"/>
  <c r="C35" i="17"/>
  <c r="T18" i="17"/>
  <c r="C37" i="17"/>
  <c r="X186" i="17"/>
  <c r="X194" i="17" s="1"/>
  <c r="X248" i="17" s="1"/>
  <c r="G526" i="17"/>
  <c r="AN101" i="17"/>
  <c r="X24" i="17"/>
  <c r="C207" i="17"/>
  <c r="I171" i="17"/>
  <c r="C182" i="17" s="1"/>
  <c r="T291" i="17"/>
  <c r="T292" i="17" s="1"/>
  <c r="T290" i="17"/>
  <c r="T231" i="17"/>
  <c r="C557" i="17"/>
  <c r="C560" i="17"/>
  <c r="V36" i="17"/>
  <c r="V44" i="17" s="1"/>
  <c r="V233" i="17" s="1"/>
  <c r="E91" i="17"/>
  <c r="K464" i="17"/>
  <c r="P464" i="17" s="1"/>
  <c r="J464" i="17"/>
  <c r="W171" i="17" s="1"/>
  <c r="W170" i="17"/>
  <c r="F64" i="17"/>
  <c r="F67" i="17"/>
  <c r="W28" i="17"/>
  <c r="F66" i="17"/>
  <c r="K550" i="17"/>
  <c r="P550" i="17" s="1"/>
  <c r="J550" i="17"/>
  <c r="V201" i="17" s="1"/>
  <c r="V200" i="17"/>
  <c r="E328" i="17"/>
  <c r="V118" i="17"/>
  <c r="E327" i="17"/>
  <c r="AL111" i="17"/>
  <c r="AL103" i="17"/>
  <c r="AL106" i="17"/>
  <c r="P348" i="17"/>
  <c r="K348" i="17"/>
  <c r="J348" i="17"/>
  <c r="W131" i="17" s="1"/>
  <c r="W130" i="17"/>
  <c r="W86" i="17"/>
  <c r="W94" i="17" s="1"/>
  <c r="W238" i="17" s="1"/>
  <c r="F236" i="17"/>
  <c r="C584" i="17"/>
  <c r="C499" i="17"/>
  <c r="K581" i="17"/>
  <c r="P581" i="17" s="1"/>
  <c r="J581" i="17"/>
  <c r="X211" i="17" s="1"/>
  <c r="X210" i="17"/>
  <c r="G473" i="17"/>
  <c r="G472" i="17"/>
  <c r="AS97" i="17"/>
  <c r="AO114" i="17" s="1"/>
  <c r="AO113" i="17"/>
  <c r="AT97" i="17"/>
  <c r="AY97" i="17"/>
  <c r="BJ264" i="17"/>
  <c r="BM66" i="17" s="1"/>
  <c r="E468" i="17"/>
  <c r="T236" i="17"/>
  <c r="G386" i="17"/>
  <c r="G382" i="17" s="1"/>
  <c r="X139" i="17" s="1"/>
  <c r="T219" i="17"/>
  <c r="G154" i="17"/>
  <c r="G150" i="17" s="1"/>
  <c r="X59" i="17" s="1"/>
  <c r="C151" i="17"/>
  <c r="C154" i="17"/>
  <c r="T58" i="17"/>
  <c r="C153" i="17"/>
  <c r="U281" i="17"/>
  <c r="F473" i="17"/>
  <c r="F470" i="17"/>
  <c r="W168" i="17"/>
  <c r="F472" i="17"/>
  <c r="K58" i="17"/>
  <c r="P58" i="17" s="1"/>
  <c r="J61" i="17" s="1"/>
  <c r="AF17" i="17" s="1"/>
  <c r="J58" i="17"/>
  <c r="W31" i="17" s="1"/>
  <c r="W30" i="17"/>
  <c r="X106" i="17"/>
  <c r="X114" i="17" s="1"/>
  <c r="X240" i="17" s="1"/>
  <c r="G294" i="17"/>
  <c r="T148" i="17"/>
  <c r="AQ99" i="17"/>
  <c r="AR100" i="17" s="1"/>
  <c r="C353" i="17"/>
  <c r="T129" i="17" s="1"/>
  <c r="F354" i="17"/>
  <c r="F357" i="17"/>
  <c r="W128" i="17"/>
  <c r="F356" i="17"/>
  <c r="K493" i="17"/>
  <c r="P493" i="17" s="1"/>
  <c r="J493" i="17"/>
  <c r="W181" i="17" s="1"/>
  <c r="W180" i="17"/>
  <c r="G584" i="17"/>
  <c r="AO111" i="17"/>
  <c r="AO103" i="17"/>
  <c r="AO106" i="17"/>
  <c r="AO105" i="17"/>
  <c r="U66" i="17"/>
  <c r="U74" i="17" s="1"/>
  <c r="U236" i="17" s="1"/>
  <c r="D178" i="17"/>
  <c r="BL66" i="17"/>
  <c r="BL69" i="17" s="1"/>
  <c r="BL70" i="17" s="1"/>
  <c r="BL71" i="17" s="1"/>
  <c r="H205" i="17"/>
  <c r="I206" i="17" s="1"/>
  <c r="AE22" i="17" s="1"/>
  <c r="C183" i="17"/>
  <c r="C180" i="17"/>
  <c r="T68" i="17"/>
  <c r="D266" i="17"/>
  <c r="U99" i="17" s="1"/>
  <c r="T275" i="17"/>
  <c r="T235" i="17"/>
  <c r="K436" i="17"/>
  <c r="P436" i="17" s="1"/>
  <c r="J438" i="17" s="1"/>
  <c r="AF30" i="17" s="1"/>
  <c r="J436" i="17"/>
  <c r="X161" i="17" s="1"/>
  <c r="X160" i="17"/>
  <c r="D531" i="17"/>
  <c r="U188" i="17"/>
  <c r="D528" i="17"/>
  <c r="D530" i="17"/>
  <c r="C266" i="17"/>
  <c r="T99" i="17" s="1"/>
  <c r="AR94" i="17"/>
  <c r="D586" i="17"/>
  <c r="D589" i="17"/>
  <c r="U208" i="17"/>
  <c r="D588" i="17"/>
  <c r="I577" i="17"/>
  <c r="F497" i="17"/>
  <c r="I490" i="17"/>
  <c r="U26" i="17"/>
  <c r="U34" i="17" s="1"/>
  <c r="U232" i="17" s="1"/>
  <c r="D62" i="17"/>
  <c r="C526" i="17"/>
  <c r="V66" i="17"/>
  <c r="V74" i="17" s="1"/>
  <c r="V236" i="17" s="1"/>
  <c r="E178" i="17"/>
  <c r="I200" i="17"/>
  <c r="F325" i="17"/>
  <c r="F328" i="17"/>
  <c r="W118" i="17"/>
  <c r="F327" i="17"/>
  <c r="E584" i="17"/>
  <c r="D93" i="17"/>
  <c r="T156" i="17"/>
  <c r="T164" i="17" s="1"/>
  <c r="C439" i="17"/>
  <c r="G444" i="17"/>
  <c r="G441" i="17"/>
  <c r="X158" i="17"/>
  <c r="G443" i="17"/>
  <c r="K520" i="17"/>
  <c r="P520" i="17" s="1"/>
  <c r="J520" i="17"/>
  <c r="U191" i="17" s="1"/>
  <c r="U190" i="17"/>
  <c r="K403" i="17"/>
  <c r="P403" i="17" s="1"/>
  <c r="J409" i="17" s="1"/>
  <c r="AF29" i="17" s="1"/>
  <c r="J403" i="17"/>
  <c r="T151" i="17" s="1"/>
  <c r="T150" i="17"/>
  <c r="E64" i="17"/>
  <c r="E67" i="17"/>
  <c r="V28" i="17"/>
  <c r="E66" i="17"/>
  <c r="K578" i="17"/>
  <c r="P578" i="17" s="1"/>
  <c r="J578" i="17"/>
  <c r="U211" i="17" s="1"/>
  <c r="U210" i="17"/>
  <c r="V106" i="17"/>
  <c r="V114" i="17" s="1"/>
  <c r="V240" i="17" s="1"/>
  <c r="E294" i="17"/>
  <c r="W196" i="17"/>
  <c r="W204" i="17" s="1"/>
  <c r="W249" i="17" s="1"/>
  <c r="F555" i="17"/>
  <c r="T250" i="17"/>
  <c r="AA214" i="17"/>
  <c r="BJ59" i="17"/>
  <c r="BM41" i="17" s="1"/>
  <c r="C64" i="17"/>
  <c r="C67" i="17"/>
  <c r="T28" i="17"/>
  <c r="C66" i="17"/>
  <c r="V24" i="17"/>
  <c r="K230" i="17"/>
  <c r="P230" i="17" s="1"/>
  <c r="J230" i="17"/>
  <c r="U91" i="17" s="1"/>
  <c r="U90" i="17"/>
  <c r="E236" i="17"/>
  <c r="T237" i="17"/>
  <c r="K579" i="17"/>
  <c r="P579" i="17" s="1"/>
  <c r="J579" i="17"/>
  <c r="V211" i="17" s="1"/>
  <c r="V210" i="17"/>
  <c r="G33" i="17"/>
  <c r="E357" i="17"/>
  <c r="E354" i="17"/>
  <c r="V128" i="17"/>
  <c r="E356" i="17"/>
  <c r="G325" i="17"/>
  <c r="G328" i="17"/>
  <c r="X118" i="17"/>
  <c r="F386" i="17"/>
  <c r="F383" i="17"/>
  <c r="W138" i="17"/>
  <c r="F385" i="17"/>
  <c r="BL41" i="17"/>
  <c r="BL44" i="17" s="1"/>
  <c r="BL45" i="17" s="1"/>
  <c r="BL46" i="17" s="1"/>
  <c r="T232" i="17"/>
  <c r="K494" i="17"/>
  <c r="P494" i="17" s="1"/>
  <c r="J494" i="17"/>
  <c r="X181" i="17" s="1"/>
  <c r="X180" i="17"/>
  <c r="K519" i="17"/>
  <c r="P519" i="17" s="1"/>
  <c r="J519" i="17"/>
  <c r="T191" i="17" s="1"/>
  <c r="T190" i="17"/>
  <c r="K116" i="17"/>
  <c r="P116" i="17" s="1"/>
  <c r="J116" i="17"/>
  <c r="W51" i="17" s="1"/>
  <c r="W50" i="17"/>
  <c r="D236" i="17"/>
  <c r="T246" i="17"/>
  <c r="AA174" i="17"/>
  <c r="I144" i="17"/>
  <c r="F207" i="17"/>
  <c r="T240" i="17"/>
  <c r="G241" i="17"/>
  <c r="G238" i="17"/>
  <c r="X88" i="17"/>
  <c r="G240" i="17"/>
  <c r="AM109" i="17"/>
  <c r="AM117" i="17" s="1"/>
  <c r="AS117" i="17" s="1"/>
  <c r="AM101" i="17"/>
  <c r="F151" i="17"/>
  <c r="F154" i="17"/>
  <c r="W58" i="17"/>
  <c r="F153" i="17"/>
  <c r="F96" i="17"/>
  <c r="W38" i="17"/>
  <c r="F93" i="17"/>
  <c r="F95" i="17"/>
  <c r="K84" i="17"/>
  <c r="P84" i="17" s="1"/>
  <c r="J84" i="17"/>
  <c r="T41" i="17" s="1"/>
  <c r="T282" i="17" s="1"/>
  <c r="T283" i="17" s="1"/>
  <c r="T40" i="17"/>
  <c r="T281" i="17" s="1"/>
  <c r="W156" i="17"/>
  <c r="W164" i="17" s="1"/>
  <c r="W245" i="17" s="1"/>
  <c r="F439" i="17"/>
  <c r="U106" i="17"/>
  <c r="U114" i="17" s="1"/>
  <c r="U240" i="17" s="1"/>
  <c r="D294" i="17"/>
  <c r="G497" i="17"/>
  <c r="T248" i="17"/>
  <c r="K229" i="17"/>
  <c r="P229" i="17" s="1"/>
  <c r="J229" i="17"/>
  <c r="T91" i="17" s="1"/>
  <c r="T90" i="17"/>
  <c r="F125" i="17"/>
  <c r="F122" i="17"/>
  <c r="W48" i="17"/>
  <c r="F124" i="17"/>
  <c r="G352" i="17"/>
  <c r="X126" i="17"/>
  <c r="X134" i="17" s="1"/>
  <c r="T234" i="17"/>
  <c r="C470" i="17"/>
  <c r="T168" i="17"/>
  <c r="C472" i="17"/>
  <c r="E149" i="17"/>
  <c r="U228" i="17"/>
  <c r="W290" i="17"/>
  <c r="W291" i="17"/>
  <c r="W292" i="17" s="1"/>
  <c r="W231" i="17"/>
  <c r="E502" i="17"/>
  <c r="E499" i="17"/>
  <c r="E501" i="17"/>
  <c r="V178" i="17"/>
  <c r="F266" i="17"/>
  <c r="W99" i="17" s="1"/>
  <c r="T233" i="17"/>
  <c r="K202" i="17"/>
  <c r="P202" i="17" s="1"/>
  <c r="J202" i="17"/>
  <c r="V81" i="17" s="1"/>
  <c r="V80" i="17"/>
  <c r="X76" i="17"/>
  <c r="X84" i="17" s="1"/>
  <c r="X237" i="17" s="1"/>
  <c r="G207" i="17"/>
  <c r="T238" i="17"/>
  <c r="AA94" i="17"/>
  <c r="K115" i="17"/>
  <c r="P115" i="17" s="1"/>
  <c r="J115" i="17"/>
  <c r="V51" i="17" s="1"/>
  <c r="V50" i="17"/>
  <c r="E531" i="17"/>
  <c r="E530" i="17"/>
  <c r="E527" i="17" s="1"/>
  <c r="V189" i="17" s="1"/>
  <c r="E528" i="17"/>
  <c r="V188" i="17"/>
  <c r="D212" i="17"/>
  <c r="U78" i="17"/>
  <c r="D211" i="17"/>
  <c r="C122" i="17"/>
  <c r="C125" i="17"/>
  <c r="T48" i="17"/>
  <c r="C124" i="17"/>
  <c r="H466" i="17"/>
  <c r="I467" i="17" s="1"/>
  <c r="AE31" i="17" s="1"/>
  <c r="W276" i="17"/>
  <c r="W277" i="17" s="1"/>
  <c r="W220" i="17"/>
  <c r="W25" i="17"/>
  <c r="W228" i="17" s="1"/>
  <c r="U220" i="17"/>
  <c r="I287" i="17"/>
  <c r="K492" i="17"/>
  <c r="P492" i="17" s="1"/>
  <c r="J492" i="17"/>
  <c r="V181" i="17" s="1"/>
  <c r="V180" i="17"/>
  <c r="U56" i="17"/>
  <c r="U64" i="17" s="1"/>
  <c r="U235" i="17" s="1"/>
  <c r="D149" i="17"/>
  <c r="H89" i="17"/>
  <c r="I90" i="17" s="1"/>
  <c r="AE18" i="17" s="1"/>
  <c r="E212" i="17"/>
  <c r="E209" i="17"/>
  <c r="V78" i="17"/>
  <c r="E211" i="17"/>
  <c r="C236" i="17"/>
  <c r="E125" i="17"/>
  <c r="E122" i="17"/>
  <c r="V48" i="17"/>
  <c r="E124" i="17"/>
  <c r="I461" i="17"/>
  <c r="C383" i="17"/>
  <c r="C386" i="17"/>
  <c r="T138" i="17"/>
  <c r="C385" i="17"/>
  <c r="V146" i="17"/>
  <c r="V154" i="17" s="1"/>
  <c r="V244" i="17" s="1"/>
  <c r="E410" i="17"/>
  <c r="U276" i="17"/>
  <c r="U277" i="17" s="1"/>
  <c r="W275" i="17"/>
  <c r="E161" i="27" l="1"/>
  <c r="E162" i="27"/>
  <c r="F161" i="27"/>
  <c r="F162" i="27"/>
  <c r="G161" i="27"/>
  <c r="G162" i="27"/>
  <c r="D161" i="27"/>
  <c r="D162" i="27"/>
  <c r="H161" i="27"/>
  <c r="H162" i="27"/>
  <c r="D65" i="27"/>
  <c r="D66" i="27"/>
  <c r="E65" i="27"/>
  <c r="E66" i="27"/>
  <c r="G65" i="27"/>
  <c r="G66" i="27"/>
  <c r="H65" i="27"/>
  <c r="H66" i="27"/>
  <c r="F65" i="27"/>
  <c r="F66" i="27"/>
  <c r="U222" i="26"/>
  <c r="U279" i="26"/>
  <c r="U280" i="26" s="1"/>
  <c r="T222" i="26"/>
  <c r="W222" i="26"/>
  <c r="W279" i="26"/>
  <c r="W280" i="26" s="1"/>
  <c r="V222" i="26"/>
  <c r="X222" i="26"/>
  <c r="U279" i="25"/>
  <c r="U280" i="25" s="1"/>
  <c r="W222" i="25"/>
  <c r="T279" i="25"/>
  <c r="T280" i="25" s="1"/>
  <c r="T222" i="25"/>
  <c r="AA290" i="25"/>
  <c r="X279" i="25"/>
  <c r="X280" i="25" s="1"/>
  <c r="X222" i="25"/>
  <c r="U222" i="25"/>
  <c r="W279" i="25"/>
  <c r="W280" i="25" s="1"/>
  <c r="V222" i="25"/>
  <c r="X222" i="24"/>
  <c r="W222" i="24"/>
  <c r="U222" i="24"/>
  <c r="V222" i="24"/>
  <c r="U279" i="24"/>
  <c r="U280" i="24" s="1"/>
  <c r="T222" i="23"/>
  <c r="W222" i="23"/>
  <c r="U222" i="23"/>
  <c r="V279" i="23"/>
  <c r="V280" i="23" s="1"/>
  <c r="V222" i="23"/>
  <c r="X279" i="23"/>
  <c r="X280" i="23" s="1"/>
  <c r="X222" i="23"/>
  <c r="T222" i="21"/>
  <c r="W222" i="21"/>
  <c r="AA290" i="21"/>
  <c r="X222" i="21"/>
  <c r="U279" i="21"/>
  <c r="U280" i="21" s="1"/>
  <c r="U222" i="21"/>
  <c r="V222" i="21"/>
  <c r="W222" i="20"/>
  <c r="X222" i="20"/>
  <c r="V222" i="20"/>
  <c r="T222" i="20"/>
  <c r="T279" i="20"/>
  <c r="T280" i="20" s="1"/>
  <c r="V279" i="20"/>
  <c r="V280" i="20" s="1"/>
  <c r="AA290" i="20"/>
  <c r="U222" i="20"/>
  <c r="U279" i="20"/>
  <c r="U280" i="20" s="1"/>
  <c r="J554" i="18"/>
  <c r="AF34" i="18" s="1"/>
  <c r="T188" i="18"/>
  <c r="C531" i="18"/>
  <c r="T150" i="18"/>
  <c r="C382" i="18"/>
  <c r="T139" i="18" s="1"/>
  <c r="AA144" i="18"/>
  <c r="C266" i="18"/>
  <c r="T99" i="18" s="1"/>
  <c r="W224" i="18"/>
  <c r="D208" i="18"/>
  <c r="U79" i="18" s="1"/>
  <c r="J206" i="18"/>
  <c r="AF22" i="18" s="1"/>
  <c r="G182" i="18"/>
  <c r="X68" i="18"/>
  <c r="G150" i="18"/>
  <c r="X59" i="18" s="1"/>
  <c r="U282" i="18"/>
  <c r="U283" i="18" s="1"/>
  <c r="D95" i="18"/>
  <c r="J84" i="18"/>
  <c r="T41" i="18" s="1"/>
  <c r="BC19" i="18"/>
  <c r="C37" i="18"/>
  <c r="C34" i="18" s="1"/>
  <c r="T19" i="18" s="1"/>
  <c r="E35" i="18"/>
  <c r="C38" i="18"/>
  <c r="C35" i="18"/>
  <c r="C559" i="17"/>
  <c r="P548" i="17"/>
  <c r="J548" i="17"/>
  <c r="T201" i="17" s="1"/>
  <c r="C502" i="17"/>
  <c r="E498" i="17"/>
  <c r="V179" i="17" s="1"/>
  <c r="X168" i="17"/>
  <c r="D382" i="17"/>
  <c r="U139" i="17" s="1"/>
  <c r="U128" i="17"/>
  <c r="D354" i="17"/>
  <c r="D353" i="17"/>
  <c r="U129" i="17" s="1"/>
  <c r="C179" i="17"/>
  <c r="T69" i="17" s="1"/>
  <c r="AA54" i="17"/>
  <c r="AA44" i="17"/>
  <c r="D95" i="17"/>
  <c r="U38" i="17"/>
  <c r="AZ25" i="17"/>
  <c r="V275" i="17"/>
  <c r="AA34" i="17"/>
  <c r="BA18" i="17"/>
  <c r="F585" i="17"/>
  <c r="W209" i="17" s="1"/>
  <c r="BB18" i="17"/>
  <c r="D208" i="17"/>
  <c r="U79" i="17" s="1"/>
  <c r="AA194" i="17"/>
  <c r="G324" i="17"/>
  <c r="X119" i="17" s="1"/>
  <c r="C414" i="17"/>
  <c r="C411" i="17" s="1"/>
  <c r="T149" i="17" s="1"/>
  <c r="W208" i="17"/>
  <c r="AX13" i="17"/>
  <c r="C412" i="17"/>
  <c r="F586" i="17"/>
  <c r="AZ13" i="17"/>
  <c r="W219" i="17"/>
  <c r="W227" i="17"/>
  <c r="F150" i="17"/>
  <c r="W59" i="17" s="1"/>
  <c r="D92" i="17"/>
  <c r="U39" i="17" s="1"/>
  <c r="BA24" i="17"/>
  <c r="AA204" i="17"/>
  <c r="AY20" i="17"/>
  <c r="C382" i="17"/>
  <c r="T139" i="17" s="1"/>
  <c r="E34" i="17"/>
  <c r="V19" i="17" s="1"/>
  <c r="AY17" i="17"/>
  <c r="C469" i="17"/>
  <c r="T169" i="17" s="1"/>
  <c r="C63" i="17"/>
  <c r="T29" i="17" s="1"/>
  <c r="F324" i="17"/>
  <c r="W119" i="17" s="1"/>
  <c r="C121" i="17"/>
  <c r="T49" i="17" s="1"/>
  <c r="G440" i="17"/>
  <c r="X159" i="17" s="1"/>
  <c r="F469" i="17"/>
  <c r="W169" i="17" s="1"/>
  <c r="E63" i="17"/>
  <c r="V29" i="17" s="1"/>
  <c r="AO102" i="17"/>
  <c r="AO112" i="17" s="1"/>
  <c r="J90" i="18"/>
  <c r="AF18" i="18" s="1"/>
  <c r="E208" i="18"/>
  <c r="V79" i="18" s="1"/>
  <c r="C530" i="18"/>
  <c r="C527" i="18" s="1"/>
  <c r="T189" i="18" s="1"/>
  <c r="T118" i="18"/>
  <c r="F324" i="18"/>
  <c r="W119" i="18" s="1"/>
  <c r="AS100" i="18"/>
  <c r="J583" i="18"/>
  <c r="AF35" i="18" s="1"/>
  <c r="W223" i="18"/>
  <c r="C328" i="18"/>
  <c r="AA194" i="18"/>
  <c r="U281" i="18"/>
  <c r="AZ17" i="18"/>
  <c r="F556" i="18"/>
  <c r="W199" i="18" s="1"/>
  <c r="C327" i="18"/>
  <c r="U223" i="18"/>
  <c r="G556" i="18"/>
  <c r="X199" i="18" s="1"/>
  <c r="E237" i="18"/>
  <c r="V89" i="18" s="1"/>
  <c r="C240" i="18"/>
  <c r="C237" i="18" s="1"/>
  <c r="T89" i="18" s="1"/>
  <c r="AA34" i="18"/>
  <c r="E124" i="18"/>
  <c r="E121" i="18" s="1"/>
  <c r="V49" i="18" s="1"/>
  <c r="C411" i="18"/>
  <c r="T149" i="18" s="1"/>
  <c r="U224" i="18"/>
  <c r="T88" i="18"/>
  <c r="V48" i="18"/>
  <c r="J32" i="18"/>
  <c r="AF16" i="18" s="1"/>
  <c r="C238" i="18"/>
  <c r="E122" i="18"/>
  <c r="D92" i="18"/>
  <c r="U39" i="18" s="1"/>
  <c r="V275" i="18"/>
  <c r="F266" i="18"/>
  <c r="W99" i="18" s="1"/>
  <c r="E266" i="18"/>
  <c r="V99" i="18" s="1"/>
  <c r="F151" i="18"/>
  <c r="F154" i="18"/>
  <c r="W58" i="18"/>
  <c r="F153" i="18"/>
  <c r="F150" i="18" s="1"/>
  <c r="W59" i="18" s="1"/>
  <c r="F125" i="18"/>
  <c r="F122" i="18"/>
  <c r="W48" i="18"/>
  <c r="F124" i="18"/>
  <c r="F121" i="18" s="1"/>
  <c r="W49" i="18" s="1"/>
  <c r="C64" i="18"/>
  <c r="C67" i="18"/>
  <c r="T28" i="18"/>
  <c r="C66" i="18"/>
  <c r="C63" i="18" s="1"/>
  <c r="T29" i="18" s="1"/>
  <c r="F383" i="18"/>
  <c r="F386" i="18"/>
  <c r="W138" i="18"/>
  <c r="F385" i="18"/>
  <c r="BA15" i="18"/>
  <c r="X231" i="18"/>
  <c r="X290" i="18"/>
  <c r="X291" i="18"/>
  <c r="X292" i="18" s="1"/>
  <c r="X227" i="18"/>
  <c r="AA164" i="18"/>
  <c r="T30" i="18"/>
  <c r="T281" i="18" s="1"/>
  <c r="K55" i="18"/>
  <c r="P55" i="18" s="1"/>
  <c r="J61" i="18" s="1"/>
  <c r="AF17" i="18" s="1"/>
  <c r="J55" i="18"/>
  <c r="T31" i="18" s="1"/>
  <c r="K258" i="18"/>
  <c r="P258" i="18" s="1"/>
  <c r="J264" i="18" s="1"/>
  <c r="AF24" i="18" s="1"/>
  <c r="J258" i="18"/>
  <c r="T101" i="18" s="1"/>
  <c r="T100" i="18"/>
  <c r="F180" i="18"/>
  <c r="F183" i="18"/>
  <c r="W68" i="18"/>
  <c r="F182" i="18"/>
  <c r="F498" i="18"/>
  <c r="W179" i="18" s="1"/>
  <c r="BB23" i="18"/>
  <c r="BA14" i="18"/>
  <c r="BC16" i="18"/>
  <c r="AZ21" i="18"/>
  <c r="BB21" i="18"/>
  <c r="BC20" i="18"/>
  <c r="G328" i="18"/>
  <c r="G325" i="18"/>
  <c r="X118" i="18"/>
  <c r="G327" i="18"/>
  <c r="AA154" i="18"/>
  <c r="G354" i="18"/>
  <c r="G357" i="18"/>
  <c r="G356" i="18"/>
  <c r="X128" i="18"/>
  <c r="BA20" i="18"/>
  <c r="E473" i="18"/>
  <c r="E470" i="18"/>
  <c r="V168" i="18"/>
  <c r="E472" i="18"/>
  <c r="D354" i="18"/>
  <c r="U128" i="18"/>
  <c r="D357" i="18"/>
  <c r="D356" i="18"/>
  <c r="G63" i="18"/>
  <c r="X29" i="18" s="1"/>
  <c r="K171" i="18"/>
  <c r="P171" i="18" s="1"/>
  <c r="J177" i="18" s="1"/>
  <c r="AF21" i="18" s="1"/>
  <c r="J171" i="18"/>
  <c r="T71" i="18" s="1"/>
  <c r="T70" i="18"/>
  <c r="X219" i="18"/>
  <c r="G499" i="18"/>
  <c r="G502" i="18"/>
  <c r="X178" i="18"/>
  <c r="G501" i="18"/>
  <c r="C444" i="18"/>
  <c r="C441" i="18"/>
  <c r="T158" i="18"/>
  <c r="C443" i="18"/>
  <c r="C440" i="18" s="1"/>
  <c r="T159" i="18" s="1"/>
  <c r="E96" i="18"/>
  <c r="E93" i="18"/>
  <c r="V38" i="18"/>
  <c r="E95" i="18"/>
  <c r="D63" i="18"/>
  <c r="U29" i="18" s="1"/>
  <c r="C212" i="18"/>
  <c r="C209" i="18"/>
  <c r="T78" i="18"/>
  <c r="C211" i="18"/>
  <c r="G238" i="18"/>
  <c r="G241" i="18"/>
  <c r="X88" i="18"/>
  <c r="G240" i="18"/>
  <c r="F209" i="18"/>
  <c r="F212" i="18"/>
  <c r="W78" i="18"/>
  <c r="F211" i="18"/>
  <c r="F64" i="18"/>
  <c r="F67" i="18"/>
  <c r="W28" i="18"/>
  <c r="F66" i="18"/>
  <c r="F589" i="18"/>
  <c r="F586" i="18"/>
  <c r="W208" i="18"/>
  <c r="F588" i="18"/>
  <c r="G441" i="18"/>
  <c r="G444" i="18"/>
  <c r="X158" i="18"/>
  <c r="G443" i="18"/>
  <c r="C299" i="18"/>
  <c r="C296" i="18"/>
  <c r="T108" i="18"/>
  <c r="C298" i="18"/>
  <c r="BB17" i="18"/>
  <c r="AY15" i="18"/>
  <c r="AY22" i="18"/>
  <c r="BB22" i="18"/>
  <c r="AY23" i="18"/>
  <c r="BA23" i="18"/>
  <c r="T282" i="18"/>
  <c r="T283" i="18" s="1"/>
  <c r="BB18" i="18"/>
  <c r="E589" i="18"/>
  <c r="E586" i="18"/>
  <c r="V208" i="18"/>
  <c r="E588" i="18"/>
  <c r="AN102" i="18"/>
  <c r="AN112" i="18" s="1"/>
  <c r="G208" i="18"/>
  <c r="X79" i="18" s="1"/>
  <c r="G121" i="18"/>
  <c r="X49" i="18" s="1"/>
  <c r="V290" i="18"/>
  <c r="V291" i="18"/>
  <c r="V292" i="18" s="1"/>
  <c r="V231" i="18"/>
  <c r="V227" i="18"/>
  <c r="X275" i="18"/>
  <c r="D556" i="18"/>
  <c r="U199" i="18" s="1"/>
  <c r="AP102" i="18"/>
  <c r="AP112" i="18" s="1"/>
  <c r="T237" i="18"/>
  <c r="AA84" i="18"/>
  <c r="F357" i="18"/>
  <c r="F354" i="18"/>
  <c r="W128" i="18"/>
  <c r="F356" i="18"/>
  <c r="G383" i="18"/>
  <c r="G386" i="18"/>
  <c r="X138" i="18"/>
  <c r="G385" i="18"/>
  <c r="V282" i="18"/>
  <c r="V283" i="18" s="1"/>
  <c r="E34" i="18"/>
  <c r="V19" i="18" s="1"/>
  <c r="D125" i="18"/>
  <c r="D122" i="18"/>
  <c r="U48" i="18"/>
  <c r="D124" i="18"/>
  <c r="C557" i="18"/>
  <c r="C560" i="18"/>
  <c r="T198" i="18"/>
  <c r="C559" i="18"/>
  <c r="BC23" i="18"/>
  <c r="BA16" i="18"/>
  <c r="BB13" i="18"/>
  <c r="AY18" i="18"/>
  <c r="AY17" i="18"/>
  <c r="Z275" i="18"/>
  <c r="D241" i="18"/>
  <c r="D238" i="18"/>
  <c r="U88" i="18"/>
  <c r="D240" i="18"/>
  <c r="BA17" i="18"/>
  <c r="AY20" i="18"/>
  <c r="G415" i="18"/>
  <c r="G412" i="18"/>
  <c r="X148" i="18"/>
  <c r="G414" i="18"/>
  <c r="E357" i="18"/>
  <c r="E354" i="18"/>
  <c r="V128" i="18"/>
  <c r="E356" i="18"/>
  <c r="V219" i="18"/>
  <c r="E386" i="18"/>
  <c r="E383" i="18"/>
  <c r="V138" i="18"/>
  <c r="E385" i="18"/>
  <c r="D266" i="18"/>
  <c r="U99" i="18" s="1"/>
  <c r="G266" i="18"/>
  <c r="X99" i="18" s="1"/>
  <c r="V281" i="18"/>
  <c r="D527" i="18"/>
  <c r="U189" i="18" s="1"/>
  <c r="F444" i="18"/>
  <c r="F441" i="18"/>
  <c r="F443" i="18"/>
  <c r="W158" i="18"/>
  <c r="T249" i="18"/>
  <c r="AA204" i="18"/>
  <c r="AZ14" i="18"/>
  <c r="BC17" i="18"/>
  <c r="BC15" i="18"/>
  <c r="BA19" i="18"/>
  <c r="BA18" i="18"/>
  <c r="D415" i="18"/>
  <c r="D412" i="18"/>
  <c r="D414" i="18"/>
  <c r="U148" i="18"/>
  <c r="AY16" i="18"/>
  <c r="T235" i="18"/>
  <c r="AA64" i="18"/>
  <c r="F470" i="18"/>
  <c r="W168" i="18"/>
  <c r="F473" i="18"/>
  <c r="F472" i="18"/>
  <c r="K490" i="18"/>
  <c r="P490" i="18" s="1"/>
  <c r="J496" i="18" s="1"/>
  <c r="AF32" i="18" s="1"/>
  <c r="J490" i="18"/>
  <c r="T181" i="18" s="1"/>
  <c r="T180" i="18"/>
  <c r="AM103" i="18"/>
  <c r="AM106" i="18"/>
  <c r="AM111" i="18"/>
  <c r="AM105" i="18"/>
  <c r="E557" i="18"/>
  <c r="E560" i="18"/>
  <c r="V198" i="18"/>
  <c r="E559" i="18"/>
  <c r="AX19" i="18"/>
  <c r="BB14" i="18"/>
  <c r="AX20" i="18"/>
  <c r="BA21" i="18"/>
  <c r="BB20" i="18"/>
  <c r="K376" i="18"/>
  <c r="P376" i="18" s="1"/>
  <c r="J380" i="18" s="1"/>
  <c r="AF28" i="18" s="1"/>
  <c r="J376" i="18"/>
  <c r="V141" i="18" s="1"/>
  <c r="V224" i="18" s="1"/>
  <c r="V140" i="18"/>
  <c r="V223" i="18" s="1"/>
  <c r="E64" i="18"/>
  <c r="E67" i="18"/>
  <c r="V28" i="18"/>
  <c r="E66" i="18"/>
  <c r="F531" i="18"/>
  <c r="F528" i="18"/>
  <c r="W188" i="18"/>
  <c r="F530" i="18"/>
  <c r="D180" i="18"/>
  <c r="D183" i="18"/>
  <c r="U68" i="18"/>
  <c r="D182" i="18"/>
  <c r="AY19" i="18"/>
  <c r="J293" i="18"/>
  <c r="AF25" i="18" s="1"/>
  <c r="K316" i="18"/>
  <c r="P316" i="18" s="1"/>
  <c r="J322" i="18" s="1"/>
  <c r="AF26" i="18" s="1"/>
  <c r="J316" i="18"/>
  <c r="T121" i="18" s="1"/>
  <c r="T120" i="18"/>
  <c r="AA174" i="18"/>
  <c r="E528" i="18"/>
  <c r="E531" i="18"/>
  <c r="V188" i="18"/>
  <c r="E530" i="18"/>
  <c r="D299" i="18"/>
  <c r="D296" i="18"/>
  <c r="U108" i="18"/>
  <c r="D298" i="18"/>
  <c r="K461" i="18"/>
  <c r="P461" i="18" s="1"/>
  <c r="J467" i="18" s="1"/>
  <c r="AF31" i="18" s="1"/>
  <c r="J461" i="18"/>
  <c r="T171" i="18" s="1"/>
  <c r="T170" i="18"/>
  <c r="C180" i="18"/>
  <c r="C183" i="18"/>
  <c r="T68" i="18"/>
  <c r="C182" i="18"/>
  <c r="J345" i="18"/>
  <c r="T131" i="18" s="1"/>
  <c r="K345" i="18"/>
  <c r="P345" i="18" s="1"/>
  <c r="J351" i="18" s="1"/>
  <c r="AF27" i="18" s="1"/>
  <c r="T130" i="18"/>
  <c r="E180" i="18"/>
  <c r="E183" i="18"/>
  <c r="V68" i="18"/>
  <c r="E182" i="18"/>
  <c r="X281" i="18"/>
  <c r="X223" i="18"/>
  <c r="AZ22" i="18"/>
  <c r="AZ15" i="18"/>
  <c r="AY21" i="18"/>
  <c r="BC22" i="18"/>
  <c r="BC21" i="18"/>
  <c r="AZ20" i="18"/>
  <c r="G93" i="18"/>
  <c r="X38" i="18"/>
  <c r="G96" i="18"/>
  <c r="G95" i="18"/>
  <c r="C502" i="18"/>
  <c r="C499" i="18"/>
  <c r="T178" i="18"/>
  <c r="C501" i="18"/>
  <c r="K519" i="18"/>
  <c r="P519" i="18" s="1"/>
  <c r="J525" i="18" s="1"/>
  <c r="AF33" i="18" s="1"/>
  <c r="J519" i="18"/>
  <c r="T191" i="18" s="1"/>
  <c r="T190" i="18"/>
  <c r="D38" i="18"/>
  <c r="U18" i="18"/>
  <c r="D35" i="18"/>
  <c r="D37" i="18"/>
  <c r="D386" i="18"/>
  <c r="D383" i="18"/>
  <c r="U138" i="18"/>
  <c r="D385" i="18"/>
  <c r="AA124" i="18"/>
  <c r="AA134" i="18"/>
  <c r="C356" i="18"/>
  <c r="C353" i="18" s="1"/>
  <c r="T129" i="18" s="1"/>
  <c r="AA54" i="18"/>
  <c r="J438" i="18"/>
  <c r="AF30" i="18" s="1"/>
  <c r="D444" i="18"/>
  <c r="D441" i="18"/>
  <c r="U158" i="18"/>
  <c r="D443" i="18"/>
  <c r="AL111" i="18"/>
  <c r="AL106" i="18"/>
  <c r="AL103" i="18"/>
  <c r="AL105" i="18"/>
  <c r="J119" i="18"/>
  <c r="AF19" i="18" s="1"/>
  <c r="F96" i="18"/>
  <c r="F93" i="18"/>
  <c r="W38" i="18"/>
  <c r="F95" i="18"/>
  <c r="X282" i="18"/>
  <c r="X283" i="18" s="1"/>
  <c r="X224" i="18"/>
  <c r="AY14" i="18"/>
  <c r="BB16" i="18"/>
  <c r="BA22" i="18"/>
  <c r="AX23" i="18"/>
  <c r="AZ23" i="18"/>
  <c r="E441" i="18"/>
  <c r="V158" i="18"/>
  <c r="E444" i="18"/>
  <c r="E443" i="18"/>
  <c r="AO103" i="18"/>
  <c r="AO111" i="18"/>
  <c r="AO106" i="18"/>
  <c r="AO105" i="18"/>
  <c r="F38" i="18"/>
  <c r="F35" i="18"/>
  <c r="W18" i="18"/>
  <c r="F37" i="18"/>
  <c r="F34" i="18" s="1"/>
  <c r="W19" i="18" s="1"/>
  <c r="E415" i="18"/>
  <c r="E412" i="18"/>
  <c r="V148" i="18"/>
  <c r="E414" i="18"/>
  <c r="D325" i="18"/>
  <c r="D328" i="18"/>
  <c r="U118" i="18"/>
  <c r="D327" i="18"/>
  <c r="D324" i="18" s="1"/>
  <c r="U119" i="18" s="1"/>
  <c r="U275" i="18"/>
  <c r="U219" i="18"/>
  <c r="U24" i="18"/>
  <c r="AA214" i="18"/>
  <c r="E299" i="18"/>
  <c r="E296" i="18"/>
  <c r="V108" i="18"/>
  <c r="E298" i="18"/>
  <c r="C122" i="18"/>
  <c r="C125" i="18"/>
  <c r="T48" i="18"/>
  <c r="C124" i="18"/>
  <c r="D150" i="18"/>
  <c r="U59" i="18" s="1"/>
  <c r="C585" i="18"/>
  <c r="T209" i="18" s="1"/>
  <c r="G179" i="18"/>
  <c r="X69" i="18" s="1"/>
  <c r="BB15" i="18"/>
  <c r="AZ16" i="18"/>
  <c r="AX22" i="18"/>
  <c r="BC13" i="18"/>
  <c r="AX17" i="18"/>
  <c r="AX14" i="18"/>
  <c r="C151" i="18"/>
  <c r="C154" i="18"/>
  <c r="T58" i="18"/>
  <c r="C153" i="18"/>
  <c r="E498" i="18"/>
  <c r="V179" i="18" s="1"/>
  <c r="W219" i="18"/>
  <c r="W275" i="18"/>
  <c r="W24" i="18"/>
  <c r="T290" i="18"/>
  <c r="T291" i="18"/>
  <c r="T292" i="18" s="1"/>
  <c r="T231" i="18"/>
  <c r="T227" i="18"/>
  <c r="G531" i="18"/>
  <c r="G528" i="18"/>
  <c r="X188" i="18"/>
  <c r="G530" i="18"/>
  <c r="AA44" i="18"/>
  <c r="D498" i="18"/>
  <c r="U179" i="18" s="1"/>
  <c r="G585" i="18"/>
  <c r="X209" i="18" s="1"/>
  <c r="E324" i="18"/>
  <c r="V119" i="18" s="1"/>
  <c r="F412" i="18"/>
  <c r="F415" i="18"/>
  <c r="F414" i="18"/>
  <c r="W148" i="18"/>
  <c r="G38" i="18"/>
  <c r="G35" i="18"/>
  <c r="X18" i="18"/>
  <c r="G37" i="18"/>
  <c r="K229" i="18"/>
  <c r="J229" i="18"/>
  <c r="T91" i="18" s="1"/>
  <c r="T90" i="18"/>
  <c r="P229" i="18"/>
  <c r="J235" i="18" s="1"/>
  <c r="AF23" i="18" s="1"/>
  <c r="D473" i="18"/>
  <c r="D470" i="18"/>
  <c r="U168" i="18"/>
  <c r="D472" i="18"/>
  <c r="F295" i="18"/>
  <c r="W109" i="18" s="1"/>
  <c r="AX21" i="18"/>
  <c r="AX15" i="18"/>
  <c r="AZ13" i="18"/>
  <c r="AX18" i="18"/>
  <c r="AZ18" i="18"/>
  <c r="AX16" i="18"/>
  <c r="E150" i="18"/>
  <c r="V59" i="18" s="1"/>
  <c r="T219" i="18"/>
  <c r="D586" i="18"/>
  <c r="D589" i="18"/>
  <c r="U208" i="18"/>
  <c r="D588" i="18"/>
  <c r="G296" i="18"/>
  <c r="G299" i="18"/>
  <c r="G298" i="18"/>
  <c r="X108" i="18"/>
  <c r="G469" i="18"/>
  <c r="X169" i="18" s="1"/>
  <c r="BA13" i="18"/>
  <c r="BC18" i="18"/>
  <c r="BC14" i="18"/>
  <c r="AZ19" i="18"/>
  <c r="BB19" i="18"/>
  <c r="J119" i="17"/>
  <c r="AF19" i="17" s="1"/>
  <c r="J322" i="17"/>
  <c r="AF26" i="17" s="1"/>
  <c r="V243" i="17"/>
  <c r="AA144" i="17"/>
  <c r="G180" i="17"/>
  <c r="G183" i="17"/>
  <c r="X68" i="17"/>
  <c r="G182" i="17"/>
  <c r="C238" i="17"/>
  <c r="C241" i="17"/>
  <c r="T88" i="17"/>
  <c r="C240" i="17"/>
  <c r="K144" i="17"/>
  <c r="P144" i="17" s="1"/>
  <c r="J148" i="17" s="1"/>
  <c r="AF20" i="17" s="1"/>
  <c r="J144" i="17"/>
  <c r="V61" i="17" s="1"/>
  <c r="V60" i="17"/>
  <c r="F502" i="17"/>
  <c r="F499" i="17"/>
  <c r="F501" i="17"/>
  <c r="W178" i="17"/>
  <c r="G589" i="17"/>
  <c r="G586" i="17"/>
  <c r="X208" i="17"/>
  <c r="G588" i="17"/>
  <c r="G415" i="17"/>
  <c r="G412" i="17"/>
  <c r="X148" i="17"/>
  <c r="G414" i="17"/>
  <c r="C328" i="17"/>
  <c r="C325" i="17"/>
  <c r="T118" i="17"/>
  <c r="C327" i="17"/>
  <c r="AY14" i="17"/>
  <c r="BA14" i="17"/>
  <c r="BC14" i="17"/>
  <c r="BB13" i="17"/>
  <c r="AZ21" i="17"/>
  <c r="AX16" i="17"/>
  <c r="BC19" i="17"/>
  <c r="E151" i="17"/>
  <c r="E154" i="17"/>
  <c r="V58" i="17"/>
  <c r="E153" i="17"/>
  <c r="J525" i="17"/>
  <c r="AF33" i="17" s="1"/>
  <c r="K490" i="17"/>
  <c r="P490" i="17" s="1"/>
  <c r="J496" i="17" s="1"/>
  <c r="AF32" i="17" s="1"/>
  <c r="J490" i="17"/>
  <c r="T181" i="17" s="1"/>
  <c r="T180" i="17"/>
  <c r="E415" i="17"/>
  <c r="E412" i="17"/>
  <c r="V148" i="17"/>
  <c r="E414" i="17"/>
  <c r="E208" i="17"/>
  <c r="V79" i="17" s="1"/>
  <c r="K287" i="17"/>
  <c r="P287" i="17" s="1"/>
  <c r="J293" i="17" s="1"/>
  <c r="AF25" i="17" s="1"/>
  <c r="J287" i="17"/>
  <c r="T111" i="17" s="1"/>
  <c r="T110" i="17"/>
  <c r="F444" i="17"/>
  <c r="F441" i="17"/>
  <c r="W158" i="17"/>
  <c r="F443" i="17"/>
  <c r="F382" i="17"/>
  <c r="W139" i="17" s="1"/>
  <c r="X18" i="17"/>
  <c r="G35" i="17"/>
  <c r="G38" i="17"/>
  <c r="G37" i="17"/>
  <c r="K577" i="17"/>
  <c r="P577" i="17" s="1"/>
  <c r="J583" i="17" s="1"/>
  <c r="AF35" i="17" s="1"/>
  <c r="J577" i="17"/>
  <c r="T211" i="17" s="1"/>
  <c r="T210" i="17"/>
  <c r="AA74" i="17"/>
  <c r="K171" i="17"/>
  <c r="P171" i="17" s="1"/>
  <c r="J177" i="17" s="1"/>
  <c r="AF21" i="17" s="1"/>
  <c r="J171" i="17"/>
  <c r="T71" i="17" s="1"/>
  <c r="T70" i="17"/>
  <c r="T241" i="17"/>
  <c r="AA124" i="17"/>
  <c r="AY16" i="17"/>
  <c r="AY15" i="17"/>
  <c r="BA15" i="17"/>
  <c r="BC15" i="17"/>
  <c r="BB22" i="17"/>
  <c r="BC25" i="17"/>
  <c r="BB20" i="17"/>
  <c r="K346" i="17"/>
  <c r="P346" i="17" s="1"/>
  <c r="J351" i="17" s="1"/>
  <c r="AF27" i="17" s="1"/>
  <c r="J346" i="17"/>
  <c r="U131" i="17" s="1"/>
  <c r="U224" i="17" s="1"/>
  <c r="U130" i="17"/>
  <c r="D560" i="17"/>
  <c r="D557" i="17"/>
  <c r="U198" i="17"/>
  <c r="D559" i="17"/>
  <c r="E444" i="17"/>
  <c r="E441" i="17"/>
  <c r="V158" i="17"/>
  <c r="E443" i="17"/>
  <c r="E440" i="17" s="1"/>
  <c r="V159" i="17" s="1"/>
  <c r="D585" i="17"/>
  <c r="U209" i="17" s="1"/>
  <c r="E96" i="17"/>
  <c r="E93" i="17"/>
  <c r="V38" i="17"/>
  <c r="E95" i="17"/>
  <c r="C212" i="17"/>
  <c r="C209" i="17"/>
  <c r="T78" i="17"/>
  <c r="C211" i="17"/>
  <c r="G560" i="17"/>
  <c r="G557" i="17"/>
  <c r="G559" i="17"/>
  <c r="X198" i="17"/>
  <c r="C96" i="17"/>
  <c r="C93" i="17"/>
  <c r="T38" i="17"/>
  <c r="C95" i="17"/>
  <c r="F531" i="17"/>
  <c r="F528" i="17"/>
  <c r="F530" i="17"/>
  <c r="W188" i="17"/>
  <c r="BA17" i="17"/>
  <c r="BA16" i="17"/>
  <c r="BC16" i="17"/>
  <c r="AY19" i="17"/>
  <c r="BC24" i="17"/>
  <c r="AX17" i="17"/>
  <c r="BC21" i="17"/>
  <c r="F212" i="17"/>
  <c r="F209" i="17"/>
  <c r="W78" i="17"/>
  <c r="F211" i="17"/>
  <c r="F241" i="17"/>
  <c r="F240" i="17"/>
  <c r="F238" i="17"/>
  <c r="W88" i="17"/>
  <c r="J90" i="17"/>
  <c r="AF18" i="17" s="1"/>
  <c r="AM111" i="17"/>
  <c r="AM106" i="17"/>
  <c r="AM103" i="17"/>
  <c r="AM105" i="17"/>
  <c r="AM102" i="17" s="1"/>
  <c r="AM112" i="17" s="1"/>
  <c r="K200" i="17"/>
  <c r="P200" i="17" s="1"/>
  <c r="J206" i="17" s="1"/>
  <c r="AF22" i="17" s="1"/>
  <c r="J200" i="17"/>
  <c r="T81" i="17" s="1"/>
  <c r="T80" i="17"/>
  <c r="E473" i="17"/>
  <c r="E470" i="17"/>
  <c r="V168" i="17"/>
  <c r="E472" i="17"/>
  <c r="X290" i="17"/>
  <c r="X291" i="17"/>
  <c r="X292" i="17" s="1"/>
  <c r="X227" i="17"/>
  <c r="X231" i="17"/>
  <c r="F296" i="17"/>
  <c r="F299" i="17"/>
  <c r="W108" i="17"/>
  <c r="F298" i="17"/>
  <c r="J375" i="17"/>
  <c r="U141" i="17" s="1"/>
  <c r="K375" i="17"/>
  <c r="P375" i="17" s="1"/>
  <c r="J380" i="17" s="1"/>
  <c r="AF28" i="17" s="1"/>
  <c r="U140" i="17"/>
  <c r="BC18" i="17"/>
  <c r="BC17" i="17"/>
  <c r="AY22" i="17"/>
  <c r="AX20" i="17"/>
  <c r="AY25" i="17"/>
  <c r="AZ18" i="17"/>
  <c r="AZ23" i="17"/>
  <c r="X282" i="17"/>
  <c r="X283" i="17" s="1"/>
  <c r="X224" i="17"/>
  <c r="G209" i="17"/>
  <c r="G212" i="17"/>
  <c r="X78" i="17"/>
  <c r="G211" i="17"/>
  <c r="G208" i="17" s="1"/>
  <c r="X79" i="17" s="1"/>
  <c r="V291" i="17"/>
  <c r="V292" i="17" s="1"/>
  <c r="V290" i="17"/>
  <c r="V227" i="17"/>
  <c r="V231" i="17"/>
  <c r="F560" i="17"/>
  <c r="F559" i="17"/>
  <c r="F557" i="17"/>
  <c r="W198" i="17"/>
  <c r="C444" i="17"/>
  <c r="C441" i="17"/>
  <c r="T158" i="17"/>
  <c r="C443" i="17"/>
  <c r="C440" i="17" s="1"/>
  <c r="T159" i="17" s="1"/>
  <c r="C556" i="17"/>
  <c r="T199" i="17" s="1"/>
  <c r="X219" i="17"/>
  <c r="J28" i="17"/>
  <c r="V21" i="17" s="1"/>
  <c r="K28" i="17"/>
  <c r="P28" i="17" s="1"/>
  <c r="J32" i="17" s="1"/>
  <c r="AF16" i="17" s="1"/>
  <c r="V20" i="17"/>
  <c r="F415" i="17"/>
  <c r="F412" i="17"/>
  <c r="W148" i="17"/>
  <c r="F414" i="17"/>
  <c r="G63" i="17"/>
  <c r="X29" i="17" s="1"/>
  <c r="BB23" i="17"/>
  <c r="AX24" i="17"/>
  <c r="AZ24" i="17"/>
  <c r="AY21" i="17"/>
  <c r="AX14" i="17"/>
  <c r="BB19" i="17"/>
  <c r="BB25" i="17"/>
  <c r="X281" i="17"/>
  <c r="X223" i="17"/>
  <c r="G237" i="17"/>
  <c r="X89" i="17" s="1"/>
  <c r="V219" i="17"/>
  <c r="T245" i="17"/>
  <c r="AA164" i="17"/>
  <c r="E180" i="17"/>
  <c r="E183" i="17"/>
  <c r="V68" i="17"/>
  <c r="E182" i="17"/>
  <c r="D180" i="17"/>
  <c r="D183" i="17"/>
  <c r="U68" i="17"/>
  <c r="D182" i="17"/>
  <c r="X275" i="17"/>
  <c r="E560" i="17"/>
  <c r="E557" i="17"/>
  <c r="V198" i="17"/>
  <c r="E559" i="17"/>
  <c r="E556" i="17" s="1"/>
  <c r="V199" i="17" s="1"/>
  <c r="J554" i="17"/>
  <c r="AF34" i="17" s="1"/>
  <c r="D473" i="17"/>
  <c r="D470" i="17"/>
  <c r="U168" i="17"/>
  <c r="D472" i="17"/>
  <c r="AP102" i="17"/>
  <c r="AP112" i="17" s="1"/>
  <c r="AZ17" i="17"/>
  <c r="AY13" i="17"/>
  <c r="BC20" i="17"/>
  <c r="BA22" i="17"/>
  <c r="AY18" i="17"/>
  <c r="BA20" i="17"/>
  <c r="Z275" i="17"/>
  <c r="J235" i="17"/>
  <c r="AF23" i="17" s="1"/>
  <c r="D151" i="17"/>
  <c r="D154" i="17"/>
  <c r="U58" i="17"/>
  <c r="D153" i="17"/>
  <c r="AA84" i="17"/>
  <c r="E296" i="17"/>
  <c r="E299" i="17"/>
  <c r="V108" i="17"/>
  <c r="E298" i="17"/>
  <c r="AL113" i="17"/>
  <c r="AT94" i="17"/>
  <c r="AY94" i="17" s="1"/>
  <c r="AS100" i="17" s="1"/>
  <c r="AS94" i="17"/>
  <c r="AL114" i="17" s="1"/>
  <c r="G299" i="17"/>
  <c r="X108" i="17"/>
  <c r="G296" i="17"/>
  <c r="G298" i="17"/>
  <c r="C150" i="17"/>
  <c r="T59" i="17" s="1"/>
  <c r="C501" i="17"/>
  <c r="C498" i="17" s="1"/>
  <c r="T179" i="17" s="1"/>
  <c r="AL105" i="17"/>
  <c r="AL102" i="17" s="1"/>
  <c r="AL112" i="17" s="1"/>
  <c r="F63" i="17"/>
  <c r="W29" i="17" s="1"/>
  <c r="AN111" i="17"/>
  <c r="AN103" i="17"/>
  <c r="AN106" i="17"/>
  <c r="AN105" i="17"/>
  <c r="W278" i="17"/>
  <c r="D38" i="17"/>
  <c r="D35" i="17"/>
  <c r="U18" i="17"/>
  <c r="D37" i="17"/>
  <c r="D122" i="17"/>
  <c r="D125" i="17"/>
  <c r="U48" i="17"/>
  <c r="D124" i="17"/>
  <c r="AZ14" i="17"/>
  <c r="BB14" i="17"/>
  <c r="BA13" i="17"/>
  <c r="BB24" i="17"/>
  <c r="BA19" i="17"/>
  <c r="BB21" i="17"/>
  <c r="K461" i="17"/>
  <c r="J461" i="17"/>
  <c r="T171" i="17" s="1"/>
  <c r="T170" i="17"/>
  <c r="P461" i="17"/>
  <c r="J467" i="17" s="1"/>
  <c r="AF31" i="17" s="1"/>
  <c r="X242" i="17"/>
  <c r="AA134" i="17"/>
  <c r="F92" i="17"/>
  <c r="W39" i="17" s="1"/>
  <c r="C531" i="17"/>
  <c r="T188" i="17"/>
  <c r="C528" i="17"/>
  <c r="C530" i="17"/>
  <c r="AA64" i="17"/>
  <c r="F353" i="17"/>
  <c r="W129" i="17" s="1"/>
  <c r="G531" i="17"/>
  <c r="G528" i="17"/>
  <c r="G530" i="17"/>
  <c r="X188" i="17"/>
  <c r="U275" i="17"/>
  <c r="U219" i="17"/>
  <c r="U24" i="17"/>
  <c r="W281" i="17"/>
  <c r="W223" i="17"/>
  <c r="AX15" i="17"/>
  <c r="AZ15" i="17"/>
  <c r="BB15" i="17"/>
  <c r="AX25" i="17"/>
  <c r="AZ20" i="17"/>
  <c r="AY23" i="17"/>
  <c r="E121" i="17"/>
  <c r="V49" i="17" s="1"/>
  <c r="G354" i="17"/>
  <c r="G357" i="17"/>
  <c r="X128" i="17"/>
  <c r="G356" i="17"/>
  <c r="G502" i="17"/>
  <c r="G499" i="17"/>
  <c r="X178" i="17"/>
  <c r="G501" i="17"/>
  <c r="E238" i="17"/>
  <c r="E241" i="17"/>
  <c r="E240" i="17"/>
  <c r="V88" i="17"/>
  <c r="D67" i="17"/>
  <c r="D66" i="17"/>
  <c r="U28" i="17"/>
  <c r="D64" i="17"/>
  <c r="G125" i="17"/>
  <c r="G122" i="17"/>
  <c r="X48" i="17"/>
  <c r="G124" i="17"/>
  <c r="D415" i="17"/>
  <c r="D412" i="17"/>
  <c r="U148" i="17"/>
  <c r="D414" i="17"/>
  <c r="F180" i="17"/>
  <c r="F183" i="17"/>
  <c r="F182" i="17"/>
  <c r="W68" i="17"/>
  <c r="W221" i="17" s="1"/>
  <c r="W282" i="17"/>
  <c r="W283" i="17" s="1"/>
  <c r="W224" i="17"/>
  <c r="AZ16" i="17"/>
  <c r="BB16" i="17"/>
  <c r="AX19" i="17"/>
  <c r="BC13" i="17"/>
  <c r="BA21" i="17"/>
  <c r="BA25" i="17"/>
  <c r="F121" i="17"/>
  <c r="W49" i="17" s="1"/>
  <c r="D296" i="17"/>
  <c r="D299" i="17"/>
  <c r="U108" i="17"/>
  <c r="D298" i="17"/>
  <c r="D295" i="17" s="1"/>
  <c r="U109" i="17" s="1"/>
  <c r="AA114" i="17"/>
  <c r="E353" i="17"/>
  <c r="V129" i="17" s="1"/>
  <c r="D527" i="17"/>
  <c r="U189" i="17" s="1"/>
  <c r="C34" i="17"/>
  <c r="T19" i="17" s="1"/>
  <c r="AA154" i="17"/>
  <c r="BB17" i="17"/>
  <c r="AX22" i="17"/>
  <c r="AX21" i="17"/>
  <c r="AX18" i="17"/>
  <c r="BC22" i="17"/>
  <c r="BA23" i="17"/>
  <c r="D238" i="17"/>
  <c r="D241" i="17"/>
  <c r="D240" i="17"/>
  <c r="U88" i="17"/>
  <c r="E589" i="17"/>
  <c r="E586" i="17"/>
  <c r="V208" i="17"/>
  <c r="E588" i="17"/>
  <c r="G469" i="17"/>
  <c r="X169" i="17" s="1"/>
  <c r="C586" i="17"/>
  <c r="C589" i="17"/>
  <c r="T208" i="17"/>
  <c r="C588" i="17"/>
  <c r="E324" i="17"/>
  <c r="V119" i="17" s="1"/>
  <c r="T227" i="17"/>
  <c r="T278" i="17"/>
  <c r="G93" i="17"/>
  <c r="G96" i="17"/>
  <c r="X38" i="17"/>
  <c r="G95" i="17"/>
  <c r="E386" i="17"/>
  <c r="E383" i="17"/>
  <c r="V138" i="17"/>
  <c r="E385" i="17"/>
  <c r="D328" i="17"/>
  <c r="D325" i="17"/>
  <c r="U118" i="17"/>
  <c r="D327" i="17"/>
  <c r="D502" i="17"/>
  <c r="D501" i="17"/>
  <c r="D498" i="17" s="1"/>
  <c r="U179" i="17" s="1"/>
  <c r="D499" i="17"/>
  <c r="U178" i="17"/>
  <c r="C299" i="17"/>
  <c r="C296" i="17"/>
  <c r="T108" i="17"/>
  <c r="C298" i="17"/>
  <c r="BC23" i="17"/>
  <c r="AY24" i="17"/>
  <c r="AZ22" i="17"/>
  <c r="AZ19" i="17"/>
  <c r="AX23" i="17"/>
  <c r="E163" i="27" l="1"/>
  <c r="E561" i="27"/>
  <c r="H163" i="27"/>
  <c r="H561" i="27"/>
  <c r="D163" i="27"/>
  <c r="D561" i="27"/>
  <c r="G163" i="27"/>
  <c r="G561" i="27"/>
  <c r="F561" i="27"/>
  <c r="F163" i="27"/>
  <c r="F67" i="27"/>
  <c r="F559" i="27"/>
  <c r="H67" i="27"/>
  <c r="H559" i="27"/>
  <c r="G67" i="27"/>
  <c r="G559" i="27"/>
  <c r="E67" i="27"/>
  <c r="E559" i="27"/>
  <c r="D67" i="27"/>
  <c r="D559" i="27"/>
  <c r="F585" i="18"/>
  <c r="W209" i="18" s="1"/>
  <c r="G498" i="18"/>
  <c r="X179" i="18" s="1"/>
  <c r="G411" i="18"/>
  <c r="X149" i="18" s="1"/>
  <c r="G382" i="18"/>
  <c r="X139" i="18" s="1"/>
  <c r="C121" i="18"/>
  <c r="T49" i="18" s="1"/>
  <c r="AA275" i="18"/>
  <c r="BD15" i="18"/>
  <c r="D34" i="18"/>
  <c r="U19" i="18" s="1"/>
  <c r="U279" i="18" s="1"/>
  <c r="U280" i="18" s="1"/>
  <c r="C585" i="17"/>
  <c r="T209" i="17" s="1"/>
  <c r="D556" i="17"/>
  <c r="U199" i="17" s="1"/>
  <c r="C527" i="17"/>
  <c r="T189" i="17" s="1"/>
  <c r="BD25" i="17"/>
  <c r="T221" i="17"/>
  <c r="E237" i="17"/>
  <c r="V89" i="17" s="1"/>
  <c r="G179" i="17"/>
  <c r="X69" i="17" s="1"/>
  <c r="AA275" i="17"/>
  <c r="V278" i="17"/>
  <c r="BD17" i="17"/>
  <c r="G34" i="17"/>
  <c r="X19" i="17" s="1"/>
  <c r="BD18" i="17"/>
  <c r="D121" i="17"/>
  <c r="U49" i="17" s="1"/>
  <c r="W279" i="17"/>
  <c r="W280" i="17" s="1"/>
  <c r="BD23" i="17"/>
  <c r="T224" i="17"/>
  <c r="F440" i="17"/>
  <c r="W159" i="17" s="1"/>
  <c r="G585" i="17"/>
  <c r="X209" i="17" s="1"/>
  <c r="D324" i="17"/>
  <c r="U119" i="17" s="1"/>
  <c r="D34" i="17"/>
  <c r="U19" i="17" s="1"/>
  <c r="G295" i="17"/>
  <c r="X109" i="17" s="1"/>
  <c r="D150" i="17"/>
  <c r="U59" i="17" s="1"/>
  <c r="F295" i="17"/>
  <c r="W109" i="17" s="1"/>
  <c r="C208" i="17"/>
  <c r="T79" i="17" s="1"/>
  <c r="C324" i="17"/>
  <c r="T119" i="17" s="1"/>
  <c r="D237" i="17"/>
  <c r="U89" i="17" s="1"/>
  <c r="BD21" i="17"/>
  <c r="F556" i="17"/>
  <c r="W199" i="17" s="1"/>
  <c r="T223" i="17"/>
  <c r="F527" i="17"/>
  <c r="W189" i="17" s="1"/>
  <c r="F498" i="17"/>
  <c r="W179" i="17" s="1"/>
  <c r="V221" i="17"/>
  <c r="U223" i="17"/>
  <c r="D585" i="18"/>
  <c r="U209" i="18" s="1"/>
  <c r="V278" i="18"/>
  <c r="D295" i="18"/>
  <c r="U109" i="18" s="1"/>
  <c r="E382" i="18"/>
  <c r="V139" i="18" s="1"/>
  <c r="T223" i="18"/>
  <c r="T224" i="18"/>
  <c r="T221" i="18"/>
  <c r="D382" i="18"/>
  <c r="U139" i="18" s="1"/>
  <c r="C498" i="18"/>
  <c r="T179" i="18" s="1"/>
  <c r="BD17" i="18"/>
  <c r="T278" i="18"/>
  <c r="E585" i="18"/>
  <c r="V209" i="18" s="1"/>
  <c r="C295" i="18"/>
  <c r="T109" i="18" s="1"/>
  <c r="C324" i="18"/>
  <c r="T119" i="18" s="1"/>
  <c r="BD14" i="18"/>
  <c r="F63" i="18"/>
  <c r="W29" i="18" s="1"/>
  <c r="C208" i="18"/>
  <c r="T79" i="18" s="1"/>
  <c r="AL102" i="18"/>
  <c r="AL112" i="18" s="1"/>
  <c r="D179" i="18"/>
  <c r="U69" i="18" s="1"/>
  <c r="BD13" i="18"/>
  <c r="G353" i="18"/>
  <c r="X129" i="18" s="1"/>
  <c r="G295" i="18"/>
  <c r="X109" i="18" s="1"/>
  <c r="U290" i="18"/>
  <c r="U291" i="18"/>
  <c r="U292" i="18" s="1"/>
  <c r="U231" i="18"/>
  <c r="U227" i="18"/>
  <c r="W278" i="18"/>
  <c r="W221" i="18"/>
  <c r="C179" i="18"/>
  <c r="T69" i="18" s="1"/>
  <c r="E527" i="18"/>
  <c r="V189" i="18" s="1"/>
  <c r="AM102" i="18"/>
  <c r="AM112" i="18" s="1"/>
  <c r="BD23" i="18"/>
  <c r="G34" i="18"/>
  <c r="X19" i="18" s="1"/>
  <c r="G527" i="18"/>
  <c r="X189" i="18" s="1"/>
  <c r="BD18" i="18"/>
  <c r="D353" i="18"/>
  <c r="U129" i="18" s="1"/>
  <c r="X278" i="18"/>
  <c r="X221" i="18"/>
  <c r="C150" i="18"/>
  <c r="T59" i="18" s="1"/>
  <c r="BD16" i="18"/>
  <c r="V221" i="18"/>
  <c r="C556" i="18"/>
  <c r="T199" i="18" s="1"/>
  <c r="F179" i="18"/>
  <c r="W69" i="18" s="1"/>
  <c r="W231" i="18"/>
  <c r="W291" i="18"/>
  <c r="W292" i="18" s="1"/>
  <c r="W227" i="18"/>
  <c r="W290" i="18"/>
  <c r="T279" i="18"/>
  <c r="T280" i="18" s="1"/>
  <c r="AO102" i="18"/>
  <c r="AO112" i="18" s="1"/>
  <c r="D440" i="18"/>
  <c r="U159" i="18" s="1"/>
  <c r="F527" i="18"/>
  <c r="W189" i="18" s="1"/>
  <c r="BD20" i="18"/>
  <c r="G324" i="18"/>
  <c r="X119" i="18" s="1"/>
  <c r="G92" i="18"/>
  <c r="X39" i="18" s="1"/>
  <c r="E179" i="18"/>
  <c r="V69" i="18" s="1"/>
  <c r="D411" i="18"/>
  <c r="U149" i="18" s="1"/>
  <c r="D237" i="18"/>
  <c r="U89" i="18" s="1"/>
  <c r="G440" i="18"/>
  <c r="X159" i="18" s="1"/>
  <c r="F208" i="18"/>
  <c r="W79" i="18" s="1"/>
  <c r="BD19" i="18"/>
  <c r="D469" i="18"/>
  <c r="U169" i="18" s="1"/>
  <c r="AA24" i="18"/>
  <c r="F440" i="18"/>
  <c r="W159" i="18" s="1"/>
  <c r="F353" i="18"/>
  <c r="W129" i="18" s="1"/>
  <c r="E92" i="18"/>
  <c r="V39" i="18" s="1"/>
  <c r="E469" i="18"/>
  <c r="V169" i="18" s="1"/>
  <c r="F411" i="18"/>
  <c r="W149" i="18" s="1"/>
  <c r="F92" i="18"/>
  <c r="W39" i="18" s="1"/>
  <c r="W279" i="18" s="1"/>
  <c r="W280" i="18" s="1"/>
  <c r="U278" i="18"/>
  <c r="U221" i="18"/>
  <c r="E353" i="18"/>
  <c r="V129" i="18" s="1"/>
  <c r="D121" i="18"/>
  <c r="U49" i="18" s="1"/>
  <c r="BD22" i="18"/>
  <c r="E295" i="18"/>
  <c r="V109" i="18" s="1"/>
  <c r="E411" i="18"/>
  <c r="V149" i="18" s="1"/>
  <c r="E440" i="18"/>
  <c r="V159" i="18" s="1"/>
  <c r="E63" i="18"/>
  <c r="V29" i="18" s="1"/>
  <c r="E556" i="18"/>
  <c r="V199" i="18" s="1"/>
  <c r="F469" i="18"/>
  <c r="W169" i="18" s="1"/>
  <c r="G237" i="18"/>
  <c r="X89" i="18" s="1"/>
  <c r="BD21" i="18"/>
  <c r="F382" i="18"/>
  <c r="W139" i="18" s="1"/>
  <c r="E469" i="17"/>
  <c r="V169" i="17" s="1"/>
  <c r="BD24" i="17"/>
  <c r="F411" i="17"/>
  <c r="W149" i="17" s="1"/>
  <c r="G556" i="17"/>
  <c r="X199" i="17" s="1"/>
  <c r="E411" i="17"/>
  <c r="V149" i="17" s="1"/>
  <c r="C295" i="17"/>
  <c r="T109" i="17" s="1"/>
  <c r="E382" i="17"/>
  <c r="V139" i="17" s="1"/>
  <c r="G353" i="17"/>
  <c r="X129" i="17" s="1"/>
  <c r="D469" i="17"/>
  <c r="U169" i="17" s="1"/>
  <c r="D179" i="17"/>
  <c r="U69" i="17" s="1"/>
  <c r="X278" i="17"/>
  <c r="X221" i="17"/>
  <c r="F179" i="17"/>
  <c r="W69" i="17" s="1"/>
  <c r="U291" i="17"/>
  <c r="U292" i="17" s="1"/>
  <c r="U290" i="17"/>
  <c r="AA290" i="17" s="1"/>
  <c r="U227" i="17"/>
  <c r="U231" i="17"/>
  <c r="AA24" i="17"/>
  <c r="BD14" i="17"/>
  <c r="AN102" i="17"/>
  <c r="AN112" i="17" s="1"/>
  <c r="F237" i="17"/>
  <c r="W89" i="17" s="1"/>
  <c r="BD20" i="17"/>
  <c r="G411" i="17"/>
  <c r="X149" i="17" s="1"/>
  <c r="D63" i="17"/>
  <c r="U29" i="17" s="1"/>
  <c r="V281" i="17"/>
  <c r="V223" i="17"/>
  <c r="F208" i="17"/>
  <c r="W79" i="17" s="1"/>
  <c r="BD22" i="17"/>
  <c r="BD13" i="17"/>
  <c r="G92" i="17"/>
  <c r="X39" i="17" s="1"/>
  <c r="E585" i="17"/>
  <c r="V209" i="17" s="1"/>
  <c r="D411" i="17"/>
  <c r="U149" i="17" s="1"/>
  <c r="E179" i="17"/>
  <c r="V69" i="17" s="1"/>
  <c r="BD19" i="17"/>
  <c r="G527" i="17"/>
  <c r="X189" i="17" s="1"/>
  <c r="E295" i="17"/>
  <c r="V109" i="17" s="1"/>
  <c r="V282" i="17"/>
  <c r="V283" i="17" s="1"/>
  <c r="V224" i="17"/>
  <c r="C237" i="17"/>
  <c r="T89" i="17" s="1"/>
  <c r="C92" i="17"/>
  <c r="T39" i="17" s="1"/>
  <c r="T279" i="17" s="1"/>
  <c r="T280" i="17" s="1"/>
  <c r="E92" i="17"/>
  <c r="V39" i="17" s="1"/>
  <c r="BD16" i="17"/>
  <c r="G121" i="17"/>
  <c r="X49" i="17" s="1"/>
  <c r="G498" i="17"/>
  <c r="X179" i="17" s="1"/>
  <c r="BD15" i="17"/>
  <c r="U278" i="17"/>
  <c r="U221" i="17"/>
  <c r="E150" i="17"/>
  <c r="V59" i="17" s="1"/>
  <c r="T222" i="18" l="1"/>
  <c r="AA290" i="18"/>
  <c r="V279" i="18"/>
  <c r="V280" i="18" s="1"/>
  <c r="U279" i="17"/>
  <c r="U280" i="17" s="1"/>
  <c r="T222" i="17"/>
  <c r="U222" i="17"/>
  <c r="X279" i="17"/>
  <c r="X280" i="17" s="1"/>
  <c r="U222" i="18"/>
  <c r="X279" i="18"/>
  <c r="X280" i="18" s="1"/>
  <c r="X222" i="18"/>
  <c r="V222" i="18"/>
  <c r="W222" i="18"/>
  <c r="V279" i="17"/>
  <c r="V280" i="17" s="1"/>
  <c r="V222" i="17"/>
  <c r="W222" i="17"/>
  <c r="X222" i="17"/>
  <c r="AM125" i="9" l="1"/>
  <c r="AN125" i="9"/>
  <c r="AO125" i="9"/>
  <c r="AP125" i="9"/>
  <c r="AL125" i="9"/>
  <c r="AM124" i="9"/>
  <c r="AN124" i="9"/>
  <c r="AO124" i="9"/>
  <c r="AP124" i="9"/>
  <c r="AL124" i="9"/>
  <c r="AL129" i="14"/>
  <c r="AM135" i="14"/>
  <c r="AN135" i="14"/>
  <c r="AO135" i="14"/>
  <c r="AP135" i="14"/>
  <c r="AL135" i="14"/>
  <c r="AM134" i="14"/>
  <c r="AN134" i="14"/>
  <c r="AO134" i="14"/>
  <c r="AP134" i="14"/>
  <c r="AL134" i="14"/>
  <c r="AM130" i="14"/>
  <c r="AN130" i="14"/>
  <c r="AO130" i="14"/>
  <c r="AP130" i="14"/>
  <c r="AL130" i="14"/>
  <c r="AM129" i="14"/>
  <c r="AN129" i="14"/>
  <c r="AO129" i="14"/>
  <c r="AP129" i="14"/>
  <c r="AS132" i="14"/>
  <c r="AN133" i="14" s="1"/>
  <c r="AS127" i="14"/>
  <c r="AM128" i="14" s="1"/>
  <c r="AL134" i="12"/>
  <c r="AP135" i="12"/>
  <c r="AO135" i="12"/>
  <c r="AN135" i="12"/>
  <c r="AM135" i="12"/>
  <c r="AL135" i="12"/>
  <c r="AP134" i="12"/>
  <c r="AO134" i="12"/>
  <c r="AN134" i="12"/>
  <c r="AM134" i="12"/>
  <c r="AS132" i="12"/>
  <c r="AN133" i="12" s="1"/>
  <c r="AP130" i="12"/>
  <c r="AO130" i="12"/>
  <c r="AM130" i="12"/>
  <c r="AL130" i="12"/>
  <c r="AP129" i="12"/>
  <c r="AO129" i="12"/>
  <c r="AN129" i="12"/>
  <c r="AM129" i="12"/>
  <c r="AL129" i="12"/>
  <c r="AS127" i="12"/>
  <c r="AP128" i="12" s="1"/>
  <c r="AM135" i="9"/>
  <c r="AN135" i="9"/>
  <c r="AO135" i="9"/>
  <c r="AP135" i="9"/>
  <c r="AM134" i="9"/>
  <c r="AN134" i="9"/>
  <c r="AO134" i="9"/>
  <c r="AP134" i="9"/>
  <c r="AL134" i="9"/>
  <c r="AL135" i="9"/>
  <c r="P571" i="12"/>
  <c r="O571" i="12"/>
  <c r="P542" i="12"/>
  <c r="O542" i="12"/>
  <c r="P513" i="12"/>
  <c r="O513" i="12"/>
  <c r="P484" i="12"/>
  <c r="O484" i="12"/>
  <c r="P455" i="12"/>
  <c r="O455" i="12"/>
  <c r="P426" i="12"/>
  <c r="O426" i="12"/>
  <c r="P397" i="12"/>
  <c r="O397" i="12"/>
  <c r="P368" i="12"/>
  <c r="O368" i="12"/>
  <c r="P339" i="12"/>
  <c r="O339" i="12"/>
  <c r="P310" i="12"/>
  <c r="O310" i="12"/>
  <c r="P281" i="12"/>
  <c r="O281" i="12"/>
  <c r="P252" i="12"/>
  <c r="O252" i="12"/>
  <c r="P223" i="12"/>
  <c r="O223" i="12"/>
  <c r="P194" i="12"/>
  <c r="O194" i="12"/>
  <c r="P165" i="12"/>
  <c r="O165" i="12"/>
  <c r="P136" i="12"/>
  <c r="O136" i="12"/>
  <c r="P107" i="12"/>
  <c r="O107" i="12"/>
  <c r="P78" i="12"/>
  <c r="O78" i="12"/>
  <c r="P49" i="12"/>
  <c r="O49" i="12"/>
  <c r="P20" i="12"/>
  <c r="O20" i="12"/>
  <c r="AS132" i="9"/>
  <c r="AM133" i="9" s="1"/>
  <c r="P455" i="9"/>
  <c r="O455" i="9"/>
  <c r="P20" i="9"/>
  <c r="P49" i="9"/>
  <c r="AS127" i="9"/>
  <c r="AM128" i="9" s="1"/>
  <c r="P571" i="9"/>
  <c r="O571" i="9"/>
  <c r="P542" i="9"/>
  <c r="O542" i="9"/>
  <c r="P513" i="9"/>
  <c r="O513" i="9"/>
  <c r="P484" i="9"/>
  <c r="O484" i="9"/>
  <c r="P426" i="9"/>
  <c r="O426" i="9"/>
  <c r="P397" i="9"/>
  <c r="O397" i="9"/>
  <c r="P368" i="9"/>
  <c r="O368" i="9"/>
  <c r="P339" i="9"/>
  <c r="O339" i="9"/>
  <c r="P310" i="9"/>
  <c r="O310" i="9"/>
  <c r="P281" i="9"/>
  <c r="O281" i="9"/>
  <c r="P252" i="9"/>
  <c r="O252" i="9"/>
  <c r="P223" i="9"/>
  <c r="O223" i="9"/>
  <c r="P194" i="9"/>
  <c r="O194" i="9"/>
  <c r="P165" i="9"/>
  <c r="O165" i="9"/>
  <c r="P136" i="9"/>
  <c r="O136" i="9"/>
  <c r="P107" i="9"/>
  <c r="O107" i="9"/>
  <c r="P78" i="9"/>
  <c r="O78" i="9"/>
  <c r="O49" i="9"/>
  <c r="O20" i="9"/>
  <c r="N582" i="14"/>
  <c r="O581" i="14" s="1"/>
  <c r="E572" i="14"/>
  <c r="G571" i="14"/>
  <c r="G572" i="14" s="1"/>
  <c r="F571" i="14"/>
  <c r="F572" i="14" s="1"/>
  <c r="E571" i="14"/>
  <c r="E587" i="14" s="1"/>
  <c r="D571" i="14"/>
  <c r="D572" i="14" s="1"/>
  <c r="D573" i="14" s="1"/>
  <c r="C571" i="14"/>
  <c r="C572" i="14" s="1"/>
  <c r="C573" i="14" s="1"/>
  <c r="H570" i="14"/>
  <c r="L581" i="14" s="1"/>
  <c r="H569" i="14"/>
  <c r="L580" i="14" s="1"/>
  <c r="H568" i="14"/>
  <c r="H567" i="14"/>
  <c r="L578" i="14" s="1"/>
  <c r="H566" i="14"/>
  <c r="I566" i="14" s="1"/>
  <c r="J566" i="14" s="1"/>
  <c r="N553" i="14"/>
  <c r="G542" i="14"/>
  <c r="G558" i="14" s="1"/>
  <c r="F542" i="14"/>
  <c r="F558" i="14" s="1"/>
  <c r="E542" i="14"/>
  <c r="E558" i="14" s="1"/>
  <c r="D542" i="14"/>
  <c r="K538" i="14" s="1"/>
  <c r="C542" i="14"/>
  <c r="H541" i="14"/>
  <c r="L552" i="14" s="1"/>
  <c r="H540" i="14"/>
  <c r="I540" i="14" s="1"/>
  <c r="J540" i="14" s="1"/>
  <c r="H539" i="14"/>
  <c r="L550" i="14" s="1"/>
  <c r="H538" i="14"/>
  <c r="L549" i="14" s="1"/>
  <c r="H537" i="14"/>
  <c r="N524" i="14"/>
  <c r="AA193" i="14" s="1"/>
  <c r="O519" i="14"/>
  <c r="G513" i="14"/>
  <c r="G529" i="14" s="1"/>
  <c r="F513" i="14"/>
  <c r="E513" i="14"/>
  <c r="E529" i="14" s="1"/>
  <c r="D513" i="14"/>
  <c r="D529" i="14" s="1"/>
  <c r="C513" i="14"/>
  <c r="C529" i="14" s="1"/>
  <c r="H512" i="14"/>
  <c r="L523" i="14" s="1"/>
  <c r="H511" i="14"/>
  <c r="H510" i="14"/>
  <c r="L521" i="14" s="1"/>
  <c r="H509" i="14"/>
  <c r="L520" i="14" s="1"/>
  <c r="K508" i="14"/>
  <c r="H508" i="14"/>
  <c r="I508" i="14" s="1"/>
  <c r="N495" i="14"/>
  <c r="AA183" i="14" s="1"/>
  <c r="G484" i="14"/>
  <c r="G485" i="14" s="1"/>
  <c r="G486" i="14" s="1"/>
  <c r="F484" i="14"/>
  <c r="F485" i="14" s="1"/>
  <c r="F486" i="14" s="1"/>
  <c r="E484" i="14"/>
  <c r="D484" i="14"/>
  <c r="D485" i="14" s="1"/>
  <c r="C484" i="14"/>
  <c r="H483" i="14"/>
  <c r="L494" i="14" s="1"/>
  <c r="H482" i="14"/>
  <c r="H481" i="14"/>
  <c r="I481" i="14" s="1"/>
  <c r="J481" i="14" s="1"/>
  <c r="H480" i="14"/>
  <c r="L491" i="14" s="1"/>
  <c r="H479" i="14"/>
  <c r="L490" i="14" s="1"/>
  <c r="N466" i="14"/>
  <c r="O464" i="14" s="1"/>
  <c r="D456" i="14"/>
  <c r="D457" i="14" s="1"/>
  <c r="G455" i="14"/>
  <c r="G471" i="14" s="1"/>
  <c r="F455" i="14"/>
  <c r="F471" i="14" s="1"/>
  <c r="E455" i="14"/>
  <c r="E471" i="14" s="1"/>
  <c r="D455" i="14"/>
  <c r="D471" i="14" s="1"/>
  <c r="C455" i="14"/>
  <c r="C456" i="14" s="1"/>
  <c r="C457" i="14" s="1"/>
  <c r="H454" i="14"/>
  <c r="H453" i="14"/>
  <c r="L464" i="14" s="1"/>
  <c r="H452" i="14"/>
  <c r="L463" i="14" s="1"/>
  <c r="H451" i="14"/>
  <c r="I451" i="14" s="1"/>
  <c r="J451" i="14" s="1"/>
  <c r="H450" i="14"/>
  <c r="L461" i="14" s="1"/>
  <c r="N437" i="14"/>
  <c r="AA163" i="14" s="1"/>
  <c r="G426" i="14"/>
  <c r="F426" i="14"/>
  <c r="F442" i="14" s="1"/>
  <c r="E426" i="14"/>
  <c r="E442" i="14" s="1"/>
  <c r="D426" i="14"/>
  <c r="D442" i="14" s="1"/>
  <c r="C426" i="14"/>
  <c r="C442" i="14" s="1"/>
  <c r="H425" i="14"/>
  <c r="L436" i="14" s="1"/>
  <c r="H424" i="14"/>
  <c r="I424" i="14" s="1"/>
  <c r="J424" i="14" s="1"/>
  <c r="H423" i="14"/>
  <c r="H422" i="14"/>
  <c r="L433" i="14" s="1"/>
  <c r="H421" i="14"/>
  <c r="I421" i="14" s="1"/>
  <c r="J421" i="14" s="1"/>
  <c r="N408" i="14"/>
  <c r="O407" i="14" s="1"/>
  <c r="G397" i="14"/>
  <c r="F397" i="14"/>
  <c r="F398" i="14" s="1"/>
  <c r="F399" i="14" s="1"/>
  <c r="E397" i="14"/>
  <c r="E413" i="14" s="1"/>
  <c r="D397" i="14"/>
  <c r="D413" i="14" s="1"/>
  <c r="C397" i="14"/>
  <c r="C413" i="14" s="1"/>
  <c r="H396" i="14"/>
  <c r="H395" i="14"/>
  <c r="K395" i="14" s="1"/>
  <c r="H394" i="14"/>
  <c r="L405" i="14" s="1"/>
  <c r="H393" i="14"/>
  <c r="H392" i="14"/>
  <c r="I392" i="14" s="1"/>
  <c r="J392" i="14" s="1"/>
  <c r="N379" i="14"/>
  <c r="AA143" i="14" s="1"/>
  <c r="G368" i="14"/>
  <c r="G384" i="14" s="1"/>
  <c r="F368" i="14"/>
  <c r="F369" i="14" s="1"/>
  <c r="E368" i="14"/>
  <c r="E384" i="14" s="1"/>
  <c r="D368" i="14"/>
  <c r="D369" i="14" s="1"/>
  <c r="C368" i="14"/>
  <c r="C369" i="14" s="1"/>
  <c r="C370" i="14" s="1"/>
  <c r="H367" i="14"/>
  <c r="H366" i="14"/>
  <c r="I366" i="14" s="1"/>
  <c r="J366" i="14" s="1"/>
  <c r="H365" i="14"/>
  <c r="H364" i="14"/>
  <c r="I364" i="14" s="1"/>
  <c r="J364" i="14" s="1"/>
  <c r="H363" i="14"/>
  <c r="N350" i="14"/>
  <c r="AA133" i="14" s="1"/>
  <c r="G339" i="14"/>
  <c r="G355" i="14" s="1"/>
  <c r="F339" i="14"/>
  <c r="F340" i="14" s="1"/>
  <c r="E339" i="14"/>
  <c r="E355" i="14" s="1"/>
  <c r="D339" i="14"/>
  <c r="D355" i="14" s="1"/>
  <c r="C339" i="14"/>
  <c r="C355" i="14" s="1"/>
  <c r="K338" i="14"/>
  <c r="H338" i="14"/>
  <c r="L349" i="14" s="1"/>
  <c r="H337" i="14"/>
  <c r="I337" i="14" s="1"/>
  <c r="J337" i="14" s="1"/>
  <c r="H336" i="14"/>
  <c r="I336" i="14" s="1"/>
  <c r="J336" i="14" s="1"/>
  <c r="H335" i="14"/>
  <c r="H334" i="14"/>
  <c r="I334" i="14" s="1"/>
  <c r="J334" i="14" s="1"/>
  <c r="N321" i="14"/>
  <c r="AA123" i="14" s="1"/>
  <c r="D311" i="14"/>
  <c r="G310" i="14"/>
  <c r="G311" i="14" s="1"/>
  <c r="G312" i="14" s="1"/>
  <c r="F310" i="14"/>
  <c r="F326" i="14" s="1"/>
  <c r="E310" i="14"/>
  <c r="E326" i="14" s="1"/>
  <c r="D310" i="14"/>
  <c r="C310" i="14"/>
  <c r="C326" i="14" s="1"/>
  <c r="H309" i="14"/>
  <c r="I308" i="14"/>
  <c r="J308" i="14" s="1"/>
  <c r="H308" i="14"/>
  <c r="L319" i="14" s="1"/>
  <c r="H307" i="14"/>
  <c r="H306" i="14"/>
  <c r="L317" i="14" s="1"/>
  <c r="H305" i="14"/>
  <c r="N292" i="14"/>
  <c r="O289" i="14" s="1"/>
  <c r="G281" i="14"/>
  <c r="G297" i="14" s="1"/>
  <c r="F281" i="14"/>
  <c r="F297" i="14" s="1"/>
  <c r="E281" i="14"/>
  <c r="E297" i="14" s="1"/>
  <c r="D281" i="14"/>
  <c r="D282" i="14" s="1"/>
  <c r="C281" i="14"/>
  <c r="C282" i="14" s="1"/>
  <c r="H280" i="14"/>
  <c r="I280" i="14" s="1"/>
  <c r="J280" i="14" s="1"/>
  <c r="H279" i="14"/>
  <c r="I279" i="14" s="1"/>
  <c r="J279" i="14" s="1"/>
  <c r="H278" i="14"/>
  <c r="L289" i="14" s="1"/>
  <c r="H277" i="14"/>
  <c r="L288" i="14" s="1"/>
  <c r="H276" i="14"/>
  <c r="L287" i="14" s="1"/>
  <c r="N263" i="14"/>
  <c r="O262" i="14" s="1"/>
  <c r="G252" i="14"/>
  <c r="G268" i="14" s="1"/>
  <c r="F252" i="14"/>
  <c r="F268" i="14" s="1"/>
  <c r="E252" i="14"/>
  <c r="D252" i="14"/>
  <c r="D253" i="14" s="1"/>
  <c r="C252" i="14"/>
  <c r="C253" i="14" s="1"/>
  <c r="H251" i="14"/>
  <c r="I251" i="14" s="1"/>
  <c r="J251" i="14" s="1"/>
  <c r="H250" i="14"/>
  <c r="I250" i="14" s="1"/>
  <c r="J250" i="14" s="1"/>
  <c r="H249" i="14"/>
  <c r="L260" i="14" s="1"/>
  <c r="H248" i="14"/>
  <c r="I248" i="14" s="1"/>
  <c r="J248" i="14" s="1"/>
  <c r="H247" i="14"/>
  <c r="L258" i="14" s="1"/>
  <c r="N234" i="14"/>
  <c r="O233" i="14" s="1"/>
  <c r="G223" i="14"/>
  <c r="K222" i="14" s="1"/>
  <c r="F223" i="14"/>
  <c r="E223" i="14"/>
  <c r="E239" i="14" s="1"/>
  <c r="D223" i="14"/>
  <c r="D224" i="14" s="1"/>
  <c r="C223" i="14"/>
  <c r="C239" i="14" s="1"/>
  <c r="H222" i="14"/>
  <c r="I222" i="14" s="1"/>
  <c r="J222" i="14" s="1"/>
  <c r="H221" i="14"/>
  <c r="L232" i="14" s="1"/>
  <c r="H220" i="14"/>
  <c r="I220" i="14" s="1"/>
  <c r="J220" i="14" s="1"/>
  <c r="H219" i="14"/>
  <c r="H218" i="14"/>
  <c r="X213" i="14"/>
  <c r="W213" i="14"/>
  <c r="V213" i="14"/>
  <c r="U213" i="14"/>
  <c r="T213" i="14"/>
  <c r="N205" i="14"/>
  <c r="O204" i="14" s="1"/>
  <c r="AA203" i="14"/>
  <c r="X203" i="14"/>
  <c r="W203" i="14"/>
  <c r="V203" i="14"/>
  <c r="U203" i="14"/>
  <c r="T203" i="14"/>
  <c r="G194" i="14"/>
  <c r="G195" i="14" s="1"/>
  <c r="G196" i="14" s="1"/>
  <c r="F194" i="14"/>
  <c r="F210" i="14" s="1"/>
  <c r="E194" i="14"/>
  <c r="E195" i="14" s="1"/>
  <c r="E196" i="14" s="1"/>
  <c r="D194" i="14"/>
  <c r="D210" i="14" s="1"/>
  <c r="C194" i="14"/>
  <c r="X193" i="14"/>
  <c r="W193" i="14"/>
  <c r="V193" i="14"/>
  <c r="U193" i="14"/>
  <c r="T193" i="14"/>
  <c r="H193" i="14"/>
  <c r="L204" i="14" s="1"/>
  <c r="H192" i="14"/>
  <c r="H191" i="14"/>
  <c r="H190" i="14"/>
  <c r="L201" i="14" s="1"/>
  <c r="H189" i="14"/>
  <c r="L200" i="14" s="1"/>
  <c r="X183" i="14"/>
  <c r="W183" i="14"/>
  <c r="V183" i="14"/>
  <c r="U183" i="14"/>
  <c r="T183" i="14"/>
  <c r="N176" i="14"/>
  <c r="O174" i="14" s="1"/>
  <c r="X173" i="14"/>
  <c r="W173" i="14"/>
  <c r="V173" i="14"/>
  <c r="U173" i="14"/>
  <c r="T173" i="14"/>
  <c r="G165" i="14"/>
  <c r="G181" i="14" s="1"/>
  <c r="F165" i="14"/>
  <c r="F166" i="14" s="1"/>
  <c r="E165" i="14"/>
  <c r="D165" i="14"/>
  <c r="D181" i="14" s="1"/>
  <c r="C165" i="14"/>
  <c r="C166" i="14" s="1"/>
  <c r="C167" i="14" s="1"/>
  <c r="H164" i="14"/>
  <c r="I164" i="14" s="1"/>
  <c r="J164" i="14" s="1"/>
  <c r="X163" i="14"/>
  <c r="W163" i="14"/>
  <c r="V163" i="14"/>
  <c r="U163" i="14"/>
  <c r="T163" i="14"/>
  <c r="H163" i="14"/>
  <c r="H162" i="14"/>
  <c r="L173" i="14" s="1"/>
  <c r="H161" i="14"/>
  <c r="L172" i="14" s="1"/>
  <c r="H160" i="14"/>
  <c r="AA153" i="14"/>
  <c r="X153" i="14"/>
  <c r="W153" i="14"/>
  <c r="V153" i="14"/>
  <c r="U153" i="14"/>
  <c r="T153" i="14"/>
  <c r="N147" i="14"/>
  <c r="O143" i="14" s="1"/>
  <c r="X143" i="14"/>
  <c r="W143" i="14"/>
  <c r="V143" i="14"/>
  <c r="U143" i="14"/>
  <c r="T143" i="14"/>
  <c r="G136" i="14"/>
  <c r="G137" i="14" s="1"/>
  <c r="G138" i="14" s="1"/>
  <c r="F136" i="14"/>
  <c r="E136" i="14"/>
  <c r="E137" i="14" s="1"/>
  <c r="E138" i="14" s="1"/>
  <c r="D136" i="14"/>
  <c r="C136" i="14"/>
  <c r="C152" i="14" s="1"/>
  <c r="H135" i="14"/>
  <c r="H134" i="14"/>
  <c r="X133" i="14"/>
  <c r="W133" i="14"/>
  <c r="V133" i="14"/>
  <c r="U133" i="14"/>
  <c r="T133" i="14"/>
  <c r="H133" i="14"/>
  <c r="L144" i="14" s="1"/>
  <c r="H132" i="14"/>
  <c r="L143" i="14" s="1"/>
  <c r="H131" i="14"/>
  <c r="L142" i="14" s="1"/>
  <c r="X123" i="14"/>
  <c r="W123" i="14"/>
  <c r="V123" i="14"/>
  <c r="U123" i="14"/>
  <c r="T123" i="14"/>
  <c r="AS122" i="14"/>
  <c r="AN123" i="14" s="1"/>
  <c r="AP116" i="14"/>
  <c r="AO116" i="14"/>
  <c r="AN116" i="14"/>
  <c r="AM116" i="14"/>
  <c r="AL116" i="14"/>
  <c r="N118" i="14"/>
  <c r="O115" i="14" s="1"/>
  <c r="X113" i="14"/>
  <c r="W113" i="14"/>
  <c r="V113" i="14"/>
  <c r="U113" i="14"/>
  <c r="T113" i="14"/>
  <c r="G107" i="14"/>
  <c r="F107" i="14"/>
  <c r="F123" i="14" s="1"/>
  <c r="E107" i="14"/>
  <c r="D107" i="14"/>
  <c r="C107" i="14"/>
  <c r="H106" i="14"/>
  <c r="I106" i="14" s="1"/>
  <c r="J106" i="14" s="1"/>
  <c r="H105" i="14"/>
  <c r="L116" i="14" s="1"/>
  <c r="H104" i="14"/>
  <c r="I104" i="14" s="1"/>
  <c r="J104" i="14" s="1"/>
  <c r="X103" i="14"/>
  <c r="W103" i="14"/>
  <c r="V103" i="14"/>
  <c r="U103" i="14"/>
  <c r="T103" i="14"/>
  <c r="H103" i="14"/>
  <c r="L114" i="14" s="1"/>
  <c r="H102" i="14"/>
  <c r="AW99" i="14"/>
  <c r="AX96" i="14" s="1"/>
  <c r="X93" i="14"/>
  <c r="W93" i="14"/>
  <c r="V93" i="14"/>
  <c r="U93" i="14"/>
  <c r="T93" i="14"/>
  <c r="N89" i="14"/>
  <c r="O88" i="14" s="1"/>
  <c r="AP88" i="14"/>
  <c r="AP104" i="14" s="1"/>
  <c r="AO88" i="14"/>
  <c r="AO104" i="14" s="1"/>
  <c r="AN88" i="14"/>
  <c r="AM88" i="14"/>
  <c r="AL88" i="14"/>
  <c r="AL104" i="14" s="1"/>
  <c r="AQ87" i="14"/>
  <c r="AU98" i="14" s="1"/>
  <c r="AQ86" i="14"/>
  <c r="AR86" i="14" s="1"/>
  <c r="AS86" i="14" s="1"/>
  <c r="AQ85" i="14"/>
  <c r="AR85" i="14" s="1"/>
  <c r="AS85" i="14" s="1"/>
  <c r="AQ84" i="14"/>
  <c r="AR84" i="14" s="1"/>
  <c r="AS84" i="14" s="1"/>
  <c r="AR83" i="14"/>
  <c r="AS83" i="14" s="1"/>
  <c r="AQ83" i="14"/>
  <c r="AU94" i="14" s="1"/>
  <c r="X83" i="14"/>
  <c r="W83" i="14"/>
  <c r="V83" i="14"/>
  <c r="U83" i="14"/>
  <c r="T83" i="14"/>
  <c r="G78" i="14"/>
  <c r="G94" i="14" s="1"/>
  <c r="F78" i="14"/>
  <c r="F79" i="14" s="1"/>
  <c r="E78" i="14"/>
  <c r="E79" i="14" s="1"/>
  <c r="E80" i="14" s="1"/>
  <c r="D78" i="14"/>
  <c r="C78" i="14"/>
  <c r="C94" i="14" s="1"/>
  <c r="H77" i="14"/>
  <c r="H76" i="14"/>
  <c r="L87" i="14" s="1"/>
  <c r="H75" i="14"/>
  <c r="L86" i="14" s="1"/>
  <c r="H74" i="14"/>
  <c r="I74" i="14" s="1"/>
  <c r="J74" i="14" s="1"/>
  <c r="X73" i="14"/>
  <c r="W73" i="14"/>
  <c r="V73" i="14"/>
  <c r="U73" i="14"/>
  <c r="T73" i="14"/>
  <c r="H73" i="14"/>
  <c r="X63" i="14"/>
  <c r="W63" i="14"/>
  <c r="V63" i="14"/>
  <c r="U63" i="14"/>
  <c r="T63" i="14"/>
  <c r="N60" i="14"/>
  <c r="O58" i="14" s="1"/>
  <c r="X53" i="14"/>
  <c r="W53" i="14"/>
  <c r="V53" i="14"/>
  <c r="U53" i="14"/>
  <c r="T53" i="14"/>
  <c r="G49" i="14"/>
  <c r="G65" i="14" s="1"/>
  <c r="F49" i="14"/>
  <c r="F50" i="14" s="1"/>
  <c r="E49" i="14"/>
  <c r="E50" i="14" s="1"/>
  <c r="E51" i="14" s="1"/>
  <c r="D49" i="14"/>
  <c r="D50" i="14" s="1"/>
  <c r="C49" i="14"/>
  <c r="H48" i="14"/>
  <c r="L59" i="14" s="1"/>
  <c r="H47" i="14"/>
  <c r="L58" i="14" s="1"/>
  <c r="H46" i="14"/>
  <c r="H45" i="14"/>
  <c r="I45" i="14" s="1"/>
  <c r="J45" i="14" s="1"/>
  <c r="H44" i="14"/>
  <c r="X43" i="14"/>
  <c r="W43" i="14"/>
  <c r="V43" i="14"/>
  <c r="U43" i="14"/>
  <c r="T43" i="14"/>
  <c r="X33" i="14"/>
  <c r="W33" i="14"/>
  <c r="V33" i="14"/>
  <c r="U33" i="14"/>
  <c r="T33" i="14"/>
  <c r="N31" i="14"/>
  <c r="AA23" i="14" s="1"/>
  <c r="X23" i="14"/>
  <c r="W23" i="14"/>
  <c r="V23" i="14"/>
  <c r="U23" i="14"/>
  <c r="T23" i="14"/>
  <c r="G20" i="14"/>
  <c r="G21" i="14" s="1"/>
  <c r="G22" i="14" s="1"/>
  <c r="F20" i="14"/>
  <c r="F36" i="14" s="1"/>
  <c r="E20" i="14"/>
  <c r="D20" i="14"/>
  <c r="D21" i="14" s="1"/>
  <c r="D22" i="14" s="1"/>
  <c r="C20" i="14"/>
  <c r="C36" i="14" s="1"/>
  <c r="H19" i="14"/>
  <c r="H18" i="14"/>
  <c r="L29" i="14" s="1"/>
  <c r="H17" i="14"/>
  <c r="L28" i="14" s="1"/>
  <c r="H16" i="14"/>
  <c r="H15" i="14"/>
  <c r="I15" i="14" s="1"/>
  <c r="J15" i="14" s="1"/>
  <c r="J10" i="14"/>
  <c r="I10" i="14"/>
  <c r="K9" i="14"/>
  <c r="F9" i="14"/>
  <c r="B9" i="14"/>
  <c r="C6" i="14"/>
  <c r="E6" i="14" s="1"/>
  <c r="C7" i="14"/>
  <c r="E7" i="14" s="1"/>
  <c r="C4" i="14"/>
  <c r="E4" i="14" s="1"/>
  <c r="C3" i="14"/>
  <c r="E3" i="14" s="1"/>
  <c r="K9" i="9"/>
  <c r="K9" i="12"/>
  <c r="G20" i="6"/>
  <c r="H20" i="6"/>
  <c r="BL63" i="12"/>
  <c r="BK61" i="12"/>
  <c r="BJ21" i="12"/>
  <c r="BK21" i="12" s="1"/>
  <c r="BK10" i="12"/>
  <c r="H425" i="12"/>
  <c r="L436" i="12" s="1"/>
  <c r="J590" i="12"/>
  <c r="G591" i="12" s="1"/>
  <c r="N582" i="12"/>
  <c r="O577" i="12" s="1"/>
  <c r="G571" i="12"/>
  <c r="G572" i="12" s="1"/>
  <c r="F571" i="12"/>
  <c r="F572" i="12" s="1"/>
  <c r="F573" i="12" s="1"/>
  <c r="E571" i="12"/>
  <c r="E572" i="12" s="1"/>
  <c r="E573" i="12" s="1"/>
  <c r="D571" i="12"/>
  <c r="D587" i="12" s="1"/>
  <c r="C571" i="12"/>
  <c r="C572" i="12" s="1"/>
  <c r="C573" i="12" s="1"/>
  <c r="H570" i="12"/>
  <c r="I570" i="12" s="1"/>
  <c r="J570" i="12" s="1"/>
  <c r="H569" i="12"/>
  <c r="L580" i="12" s="1"/>
  <c r="H568" i="12"/>
  <c r="H567" i="12"/>
  <c r="H566" i="12"/>
  <c r="I566" i="12" s="1"/>
  <c r="J566" i="12" s="1"/>
  <c r="J561" i="12"/>
  <c r="E562" i="12" s="1"/>
  <c r="N553" i="12"/>
  <c r="O552" i="12" s="1"/>
  <c r="C543" i="12"/>
  <c r="G542" i="12"/>
  <c r="F542" i="12"/>
  <c r="F558" i="12" s="1"/>
  <c r="E542" i="12"/>
  <c r="E543" i="12" s="1"/>
  <c r="D542" i="12"/>
  <c r="C542" i="12"/>
  <c r="C558" i="12" s="1"/>
  <c r="H541" i="12"/>
  <c r="H540" i="12"/>
  <c r="H539" i="12"/>
  <c r="I539" i="12" s="1"/>
  <c r="J539" i="12" s="1"/>
  <c r="H538" i="12"/>
  <c r="L549" i="12" s="1"/>
  <c r="H537" i="12"/>
  <c r="L548" i="12" s="1"/>
  <c r="J532" i="12"/>
  <c r="C533" i="12" s="1"/>
  <c r="N524" i="12"/>
  <c r="O523" i="12" s="1"/>
  <c r="G513" i="12"/>
  <c r="F513" i="12"/>
  <c r="E513" i="12"/>
  <c r="E529" i="12" s="1"/>
  <c r="D513" i="12"/>
  <c r="C513" i="12"/>
  <c r="C514" i="12" s="1"/>
  <c r="C515" i="12" s="1"/>
  <c r="H512" i="12"/>
  <c r="L523" i="12" s="1"/>
  <c r="H511" i="12"/>
  <c r="L522" i="12" s="1"/>
  <c r="H510" i="12"/>
  <c r="L521" i="12" s="1"/>
  <c r="H509" i="12"/>
  <c r="H508" i="12"/>
  <c r="D504" i="12"/>
  <c r="J503" i="12"/>
  <c r="C504" i="12" s="1"/>
  <c r="N495" i="12"/>
  <c r="AA183" i="12" s="1"/>
  <c r="G484" i="12"/>
  <c r="F484" i="12"/>
  <c r="E484" i="12"/>
  <c r="E500" i="12" s="1"/>
  <c r="D484" i="12"/>
  <c r="C484" i="12"/>
  <c r="H483" i="12"/>
  <c r="L494" i="12" s="1"/>
  <c r="H482" i="12"/>
  <c r="L493" i="12" s="1"/>
  <c r="H481" i="12"/>
  <c r="H480" i="12"/>
  <c r="L491" i="12" s="1"/>
  <c r="H479" i="12"/>
  <c r="I479" i="12" s="1"/>
  <c r="J479" i="12" s="1"/>
  <c r="J474" i="12"/>
  <c r="E475" i="12" s="1"/>
  <c r="N466" i="12"/>
  <c r="O465" i="12" s="1"/>
  <c r="O464" i="12"/>
  <c r="G455" i="12"/>
  <c r="G471" i="12" s="1"/>
  <c r="F455" i="12"/>
  <c r="F456" i="12" s="1"/>
  <c r="E455" i="12"/>
  <c r="D455" i="12"/>
  <c r="D471" i="12" s="1"/>
  <c r="C455" i="12"/>
  <c r="C471" i="12" s="1"/>
  <c r="H454" i="12"/>
  <c r="I454" i="12" s="1"/>
  <c r="J454" i="12" s="1"/>
  <c r="H453" i="12"/>
  <c r="H452" i="12"/>
  <c r="L463" i="12" s="1"/>
  <c r="H451" i="12"/>
  <c r="H450" i="12"/>
  <c r="I450" i="12" s="1"/>
  <c r="J450" i="12" s="1"/>
  <c r="J445" i="12"/>
  <c r="E446" i="12" s="1"/>
  <c r="N437" i="12"/>
  <c r="O433" i="12" s="1"/>
  <c r="G426" i="12"/>
  <c r="G427" i="12" s="1"/>
  <c r="G428" i="12" s="1"/>
  <c r="F426" i="12"/>
  <c r="F427" i="12" s="1"/>
  <c r="F428" i="12" s="1"/>
  <c r="E426" i="12"/>
  <c r="D426" i="12"/>
  <c r="D442" i="12" s="1"/>
  <c r="C426" i="12"/>
  <c r="H424" i="12"/>
  <c r="H423" i="12"/>
  <c r="H422" i="12"/>
  <c r="H421" i="12"/>
  <c r="K421" i="12" s="1"/>
  <c r="J416" i="12"/>
  <c r="G417" i="12" s="1"/>
  <c r="N408" i="12"/>
  <c r="E398" i="12"/>
  <c r="G397" i="12"/>
  <c r="G413" i="12" s="1"/>
  <c r="F397" i="12"/>
  <c r="E397" i="12"/>
  <c r="E413" i="12" s="1"/>
  <c r="D397" i="12"/>
  <c r="D398" i="12" s="1"/>
  <c r="D399" i="12" s="1"/>
  <c r="C397" i="12"/>
  <c r="H396" i="12"/>
  <c r="H395" i="12"/>
  <c r="L406" i="12" s="1"/>
  <c r="H394" i="12"/>
  <c r="L405" i="12" s="1"/>
  <c r="H393" i="12"/>
  <c r="H392" i="12"/>
  <c r="J387" i="12"/>
  <c r="G388" i="12" s="1"/>
  <c r="N379" i="12"/>
  <c r="O378" i="12" s="1"/>
  <c r="G368" i="12"/>
  <c r="G369" i="12" s="1"/>
  <c r="F368" i="12"/>
  <c r="F384" i="12" s="1"/>
  <c r="E368" i="12"/>
  <c r="E369" i="12" s="1"/>
  <c r="E370" i="12" s="1"/>
  <c r="D368" i="12"/>
  <c r="D384" i="12" s="1"/>
  <c r="C368" i="12"/>
  <c r="C384" i="12" s="1"/>
  <c r="H367" i="12"/>
  <c r="L378" i="12" s="1"/>
  <c r="H366" i="12"/>
  <c r="H365" i="12"/>
  <c r="I365" i="12" s="1"/>
  <c r="J365" i="12" s="1"/>
  <c r="H364" i="12"/>
  <c r="L375" i="12" s="1"/>
  <c r="H363" i="12"/>
  <c r="I363" i="12" s="1"/>
  <c r="J358" i="12"/>
  <c r="G359" i="12" s="1"/>
  <c r="N350" i="12"/>
  <c r="O348" i="12" s="1"/>
  <c r="G339" i="12"/>
  <c r="G355" i="12" s="1"/>
  <c r="F339" i="12"/>
  <c r="F355" i="12" s="1"/>
  <c r="E339" i="12"/>
  <c r="E355" i="12" s="1"/>
  <c r="D339" i="12"/>
  <c r="D355" i="12" s="1"/>
  <c r="C339" i="12"/>
  <c r="C355" i="12" s="1"/>
  <c r="H338" i="12"/>
  <c r="L349" i="12" s="1"/>
  <c r="H337" i="12"/>
  <c r="L348" i="12" s="1"/>
  <c r="H336" i="12"/>
  <c r="L347" i="12" s="1"/>
  <c r="H335" i="12"/>
  <c r="K335" i="12" s="1"/>
  <c r="H334" i="12"/>
  <c r="J329" i="12"/>
  <c r="F330" i="12" s="1"/>
  <c r="N321" i="12"/>
  <c r="O320" i="12" s="1"/>
  <c r="G310" i="12"/>
  <c r="G311" i="12" s="1"/>
  <c r="G312" i="12" s="1"/>
  <c r="F310" i="12"/>
  <c r="E310" i="12"/>
  <c r="E311" i="12" s="1"/>
  <c r="E312" i="12" s="1"/>
  <c r="D310" i="12"/>
  <c r="D326" i="12" s="1"/>
  <c r="C310" i="12"/>
  <c r="C311" i="12" s="1"/>
  <c r="H309" i="12"/>
  <c r="H308" i="12"/>
  <c r="L319" i="12" s="1"/>
  <c r="H307" i="12"/>
  <c r="L318" i="12" s="1"/>
  <c r="H306" i="12"/>
  <c r="L317" i="12" s="1"/>
  <c r="H305" i="12"/>
  <c r="J300" i="12"/>
  <c r="C301" i="12" s="1"/>
  <c r="N292" i="12"/>
  <c r="O290" i="12" s="1"/>
  <c r="E282" i="12"/>
  <c r="E283" i="12" s="1"/>
  <c r="G281" i="12"/>
  <c r="G297" i="12" s="1"/>
  <c r="F281" i="12"/>
  <c r="F297" i="12" s="1"/>
  <c r="E281" i="12"/>
  <c r="E297" i="12" s="1"/>
  <c r="D281" i="12"/>
  <c r="D297" i="12" s="1"/>
  <c r="C281" i="12"/>
  <c r="C297" i="12" s="1"/>
  <c r="H280" i="12"/>
  <c r="L291" i="12" s="1"/>
  <c r="H279" i="12"/>
  <c r="K279" i="12" s="1"/>
  <c r="H278" i="12"/>
  <c r="K278" i="12" s="1"/>
  <c r="H277" i="12"/>
  <c r="L288" i="12" s="1"/>
  <c r="H276" i="12"/>
  <c r="K276" i="12" s="1"/>
  <c r="J271" i="12"/>
  <c r="F272" i="12" s="1"/>
  <c r="BH163" i="12"/>
  <c r="N263" i="12"/>
  <c r="O262" i="12" s="1"/>
  <c r="BH162" i="12"/>
  <c r="BH161" i="12"/>
  <c r="G252" i="12"/>
  <c r="G253" i="12" s="1"/>
  <c r="F252" i="12"/>
  <c r="F253" i="12" s="1"/>
  <c r="E252" i="12"/>
  <c r="E253" i="12" s="1"/>
  <c r="E254" i="12" s="1"/>
  <c r="D252" i="12"/>
  <c r="D253" i="12" s="1"/>
  <c r="C252" i="12"/>
  <c r="C268" i="12" s="1"/>
  <c r="H251" i="12"/>
  <c r="L262" i="12" s="1"/>
  <c r="H250" i="12"/>
  <c r="I250" i="12" s="1"/>
  <c r="J250" i="12" s="1"/>
  <c r="H249" i="12"/>
  <c r="L260" i="12" s="1"/>
  <c r="H248" i="12"/>
  <c r="L259" i="12" s="1"/>
  <c r="H247" i="12"/>
  <c r="J242" i="12"/>
  <c r="G243" i="12" s="1"/>
  <c r="N234" i="12"/>
  <c r="O229" i="12" s="1"/>
  <c r="G223" i="12"/>
  <c r="F223" i="12"/>
  <c r="F239" i="12" s="1"/>
  <c r="E223" i="12"/>
  <c r="E239" i="12" s="1"/>
  <c r="D223" i="12"/>
  <c r="D224" i="12" s="1"/>
  <c r="D225" i="12" s="1"/>
  <c r="C223" i="12"/>
  <c r="H222" i="12"/>
  <c r="L233" i="12" s="1"/>
  <c r="H221" i="12"/>
  <c r="H220" i="12"/>
  <c r="L231" i="12" s="1"/>
  <c r="H219" i="12"/>
  <c r="H218" i="12"/>
  <c r="X213" i="12"/>
  <c r="W213" i="12"/>
  <c r="V213" i="12"/>
  <c r="U213" i="12"/>
  <c r="T213" i="12"/>
  <c r="J213" i="12"/>
  <c r="E214" i="12" s="1"/>
  <c r="N205" i="12"/>
  <c r="O203" i="12" s="1"/>
  <c r="X203" i="12"/>
  <c r="W203" i="12"/>
  <c r="V203" i="12"/>
  <c r="U203" i="12"/>
  <c r="T203" i="12"/>
  <c r="G194" i="12"/>
  <c r="G210" i="12" s="1"/>
  <c r="F194" i="12"/>
  <c r="F195" i="12" s="1"/>
  <c r="F196" i="12" s="1"/>
  <c r="E194" i="12"/>
  <c r="E210" i="12" s="1"/>
  <c r="D194" i="12"/>
  <c r="C194" i="12"/>
  <c r="C210" i="12" s="1"/>
  <c r="X193" i="12"/>
  <c r="W193" i="12"/>
  <c r="V193" i="12"/>
  <c r="U193" i="12"/>
  <c r="T193" i="12"/>
  <c r="H193" i="12"/>
  <c r="L204" i="12" s="1"/>
  <c r="H192" i="12"/>
  <c r="L203" i="12" s="1"/>
  <c r="H191" i="12"/>
  <c r="I191" i="12" s="1"/>
  <c r="J191" i="12" s="1"/>
  <c r="H190" i="12"/>
  <c r="H189" i="12"/>
  <c r="K189" i="12" s="1"/>
  <c r="J184" i="12"/>
  <c r="E185" i="12" s="1"/>
  <c r="X183" i="12"/>
  <c r="W183" i="12"/>
  <c r="V183" i="12"/>
  <c r="U183" i="12"/>
  <c r="T183" i="12"/>
  <c r="N176" i="12"/>
  <c r="O175" i="12" s="1"/>
  <c r="AA173" i="12"/>
  <c r="X173" i="12"/>
  <c r="W173" i="12"/>
  <c r="V173" i="12"/>
  <c r="U173" i="12"/>
  <c r="T173" i="12"/>
  <c r="G165" i="12"/>
  <c r="G181" i="12" s="1"/>
  <c r="F165" i="12"/>
  <c r="F181" i="12" s="1"/>
  <c r="E165" i="12"/>
  <c r="D165" i="12"/>
  <c r="D181" i="12" s="1"/>
  <c r="C165" i="12"/>
  <c r="H164" i="12"/>
  <c r="L175" i="12" s="1"/>
  <c r="X163" i="12"/>
  <c r="W163" i="12"/>
  <c r="V163" i="12"/>
  <c r="U163" i="12"/>
  <c r="T163" i="12"/>
  <c r="H163" i="12"/>
  <c r="H162" i="12"/>
  <c r="L173" i="12" s="1"/>
  <c r="H161" i="12"/>
  <c r="BH160" i="12"/>
  <c r="H160" i="12"/>
  <c r="I160" i="12" s="1"/>
  <c r="J160" i="12" s="1"/>
  <c r="BH159" i="12"/>
  <c r="BH158" i="12"/>
  <c r="BH157" i="12"/>
  <c r="BH156" i="12"/>
  <c r="BH155" i="12"/>
  <c r="J155" i="12"/>
  <c r="F156" i="12" s="1"/>
  <c r="BH154" i="12"/>
  <c r="BH153" i="12"/>
  <c r="AA153" i="12"/>
  <c r="X153" i="12"/>
  <c r="W153" i="12"/>
  <c r="V153" i="12"/>
  <c r="U153" i="12"/>
  <c r="T153" i="12"/>
  <c r="BH152" i="12"/>
  <c r="BH151" i="12"/>
  <c r="BH150" i="12"/>
  <c r="BH149" i="12"/>
  <c r="BH148" i="12"/>
  <c r="BH147" i="12"/>
  <c r="N147" i="12"/>
  <c r="O143" i="12" s="1"/>
  <c r="BH146" i="12"/>
  <c r="BH145" i="12"/>
  <c r="BH144" i="12"/>
  <c r="BH143" i="12"/>
  <c r="X143" i="12"/>
  <c r="W143" i="12"/>
  <c r="V143" i="12"/>
  <c r="U143" i="12"/>
  <c r="T143" i="12"/>
  <c r="BH142" i="12"/>
  <c r="BH141" i="12"/>
  <c r="BH140" i="12"/>
  <c r="BH139" i="12"/>
  <c r="BH138" i="12"/>
  <c r="BH137" i="12"/>
  <c r="BH136" i="12"/>
  <c r="G136" i="12"/>
  <c r="G137" i="12" s="1"/>
  <c r="G138" i="12" s="1"/>
  <c r="F136" i="12"/>
  <c r="F152" i="12" s="1"/>
  <c r="E136" i="12"/>
  <c r="E137" i="12" s="1"/>
  <c r="D136" i="12"/>
  <c r="D152" i="12" s="1"/>
  <c r="C136" i="12"/>
  <c r="C137" i="12" s="1"/>
  <c r="C138" i="12" s="1"/>
  <c r="BH135" i="12"/>
  <c r="H135" i="12"/>
  <c r="I135" i="12" s="1"/>
  <c r="J135" i="12" s="1"/>
  <c r="BH134" i="12"/>
  <c r="H134" i="12"/>
  <c r="BH133" i="12"/>
  <c r="AA133" i="12"/>
  <c r="X133" i="12"/>
  <c r="W133" i="12"/>
  <c r="V133" i="12"/>
  <c r="U133" i="12"/>
  <c r="T133" i="12"/>
  <c r="H133" i="12"/>
  <c r="BH132" i="12"/>
  <c r="H132" i="12"/>
  <c r="I132" i="12" s="1"/>
  <c r="J132" i="12" s="1"/>
  <c r="BH131" i="12"/>
  <c r="H131" i="12"/>
  <c r="BH130" i="12"/>
  <c r="BH129" i="12"/>
  <c r="BH128" i="12"/>
  <c r="BH127" i="12"/>
  <c r="BH126" i="12"/>
  <c r="J126" i="12"/>
  <c r="D127" i="12" s="1"/>
  <c r="BH125" i="12"/>
  <c r="BH124" i="12"/>
  <c r="BH123" i="12"/>
  <c r="X123" i="12"/>
  <c r="W123" i="12"/>
  <c r="V123" i="12"/>
  <c r="U123" i="12"/>
  <c r="T123" i="12"/>
  <c r="BH122" i="12"/>
  <c r="AS122" i="12"/>
  <c r="AL123" i="12" s="1"/>
  <c r="BH121" i="12"/>
  <c r="BH120" i="12"/>
  <c r="BH119" i="12"/>
  <c r="BH118" i="12"/>
  <c r="AP116" i="12"/>
  <c r="AO116" i="12"/>
  <c r="AN116" i="12"/>
  <c r="AM116" i="12"/>
  <c r="AL116" i="12"/>
  <c r="N118" i="12"/>
  <c r="O114" i="12" s="1"/>
  <c r="BH117" i="12"/>
  <c r="BH116" i="12"/>
  <c r="BH115" i="12"/>
  <c r="BH114" i="12"/>
  <c r="BH113" i="12"/>
  <c r="X113" i="12"/>
  <c r="W113" i="12"/>
  <c r="V113" i="12"/>
  <c r="U113" i="12"/>
  <c r="T113" i="12"/>
  <c r="BH112" i="12"/>
  <c r="BH111" i="12"/>
  <c r="BH110" i="12"/>
  <c r="BH109" i="12"/>
  <c r="BH108" i="12"/>
  <c r="BH107" i="12"/>
  <c r="G107" i="12"/>
  <c r="G123" i="12" s="1"/>
  <c r="F107" i="12"/>
  <c r="F123" i="12" s="1"/>
  <c r="E107" i="12"/>
  <c r="D107" i="12"/>
  <c r="D108" i="12" s="1"/>
  <c r="C107" i="12"/>
  <c r="C123" i="12" s="1"/>
  <c r="BH106" i="12"/>
  <c r="H106" i="12"/>
  <c r="K106" i="12" s="1"/>
  <c r="BH105" i="12"/>
  <c r="H105" i="12"/>
  <c r="L116" i="12" s="1"/>
  <c r="BH104" i="12"/>
  <c r="H104" i="12"/>
  <c r="L115" i="12" s="1"/>
  <c r="BH103" i="12"/>
  <c r="X103" i="12"/>
  <c r="W103" i="12"/>
  <c r="V103" i="12"/>
  <c r="U103" i="12"/>
  <c r="T103" i="12"/>
  <c r="H103" i="12"/>
  <c r="K103" i="12" s="1"/>
  <c r="BH102" i="12"/>
  <c r="H102" i="12"/>
  <c r="I102" i="12" s="1"/>
  <c r="J102" i="12" s="1"/>
  <c r="BH101" i="12"/>
  <c r="BH100" i="12"/>
  <c r="BH99" i="12"/>
  <c r="AW99" i="12"/>
  <c r="AS116" i="12" s="1"/>
  <c r="BH98" i="12"/>
  <c r="BH97" i="12"/>
  <c r="J97" i="12"/>
  <c r="G98" i="12" s="1"/>
  <c r="BH96" i="12"/>
  <c r="BH95" i="12"/>
  <c r="BH94" i="12"/>
  <c r="BH93" i="12"/>
  <c r="AA93" i="12"/>
  <c r="X93" i="12"/>
  <c r="W93" i="12"/>
  <c r="V93" i="12"/>
  <c r="U93" i="12"/>
  <c r="T93" i="12"/>
  <c r="BH92" i="12"/>
  <c r="BH91" i="12"/>
  <c r="BH90" i="12"/>
  <c r="BH89" i="12"/>
  <c r="N89" i="12"/>
  <c r="O84" i="12" s="1"/>
  <c r="BH88" i="12"/>
  <c r="AP88" i="12"/>
  <c r="AP104" i="12" s="1"/>
  <c r="AO88" i="12"/>
  <c r="AO104" i="12" s="1"/>
  <c r="AN88" i="12"/>
  <c r="AN89" i="12" s="1"/>
  <c r="AN90" i="12" s="1"/>
  <c r="AM88" i="12"/>
  <c r="AL88" i="12"/>
  <c r="AL104" i="12" s="1"/>
  <c r="BH87" i="12"/>
  <c r="AQ87" i="12"/>
  <c r="AR87" i="12" s="1"/>
  <c r="AS87" i="12" s="1"/>
  <c r="BH86" i="12"/>
  <c r="AQ86" i="12"/>
  <c r="AR86" i="12" s="1"/>
  <c r="AS86" i="12" s="1"/>
  <c r="BH85" i="12"/>
  <c r="AQ85" i="12"/>
  <c r="BH84" i="12"/>
  <c r="AQ84" i="12"/>
  <c r="AU95" i="12" s="1"/>
  <c r="BH83" i="12"/>
  <c r="AT83" i="12"/>
  <c r="AR83" i="12"/>
  <c r="AS83" i="12" s="1"/>
  <c r="AQ83" i="12"/>
  <c r="AU94" i="12" s="1"/>
  <c r="X83" i="12"/>
  <c r="W83" i="12"/>
  <c r="V83" i="12"/>
  <c r="U83" i="12"/>
  <c r="T83" i="12"/>
  <c r="BH82" i="12"/>
  <c r="BH81" i="12"/>
  <c r="BH80" i="12"/>
  <c r="BH79" i="12"/>
  <c r="BH78" i="12"/>
  <c r="G78" i="12"/>
  <c r="G94" i="12" s="1"/>
  <c r="F78" i="12"/>
  <c r="F94" i="12" s="1"/>
  <c r="E78" i="12"/>
  <c r="E79" i="12" s="1"/>
  <c r="D78" i="12"/>
  <c r="D94" i="12" s="1"/>
  <c r="C78" i="12"/>
  <c r="C79" i="12" s="1"/>
  <c r="BH77" i="12"/>
  <c r="H77" i="12"/>
  <c r="BH76" i="12"/>
  <c r="H76" i="12"/>
  <c r="BH75" i="12"/>
  <c r="H75" i="12"/>
  <c r="L86" i="12" s="1"/>
  <c r="BH74" i="12"/>
  <c r="H74" i="12"/>
  <c r="I74" i="12" s="1"/>
  <c r="J74" i="12" s="1"/>
  <c r="BH73" i="12"/>
  <c r="X73" i="12"/>
  <c r="W73" i="12"/>
  <c r="V73" i="12"/>
  <c r="U73" i="12"/>
  <c r="T73" i="12"/>
  <c r="H73" i="12"/>
  <c r="I73" i="12" s="1"/>
  <c r="J73" i="12" s="1"/>
  <c r="BH72" i="12"/>
  <c r="BH71" i="12"/>
  <c r="BH70" i="12"/>
  <c r="BH69" i="12"/>
  <c r="BL68" i="12"/>
  <c r="BH68" i="12"/>
  <c r="J68" i="12"/>
  <c r="G69" i="12" s="1"/>
  <c r="BL67" i="12"/>
  <c r="BH67" i="12"/>
  <c r="BH66" i="12"/>
  <c r="BH65" i="12"/>
  <c r="BH64" i="12"/>
  <c r="BL64" i="12" s="1"/>
  <c r="X63" i="12"/>
  <c r="W63" i="12"/>
  <c r="V63" i="12"/>
  <c r="U63" i="12"/>
  <c r="T63" i="12"/>
  <c r="N60" i="12"/>
  <c r="AA33" i="12" s="1"/>
  <c r="BH58" i="12"/>
  <c r="BH57" i="12"/>
  <c r="BH56" i="12"/>
  <c r="BH55" i="12"/>
  <c r="BH54" i="12"/>
  <c r="BH53" i="12"/>
  <c r="X53" i="12"/>
  <c r="W53" i="12"/>
  <c r="V53" i="12"/>
  <c r="U53" i="12"/>
  <c r="T53" i="12"/>
  <c r="BH52" i="12"/>
  <c r="BH51" i="12"/>
  <c r="BH50" i="12"/>
  <c r="BH49" i="12"/>
  <c r="G49" i="12"/>
  <c r="G65" i="12" s="1"/>
  <c r="F49" i="12"/>
  <c r="F65" i="12" s="1"/>
  <c r="E49" i="12"/>
  <c r="E50" i="12" s="1"/>
  <c r="D49" i="12"/>
  <c r="D65" i="12" s="1"/>
  <c r="C49" i="12"/>
  <c r="C65" i="12" s="1"/>
  <c r="BH48" i="12"/>
  <c r="H48" i="12"/>
  <c r="L59" i="12" s="1"/>
  <c r="BH47" i="12"/>
  <c r="H47" i="12"/>
  <c r="L58" i="12" s="1"/>
  <c r="BH46" i="12"/>
  <c r="H46" i="12"/>
  <c r="L57" i="12" s="1"/>
  <c r="BH45" i="12"/>
  <c r="H45" i="12"/>
  <c r="BH44" i="12"/>
  <c r="H44" i="12"/>
  <c r="I44" i="12" s="1"/>
  <c r="J44" i="12" s="1"/>
  <c r="BL43" i="12"/>
  <c r="BH43" i="12"/>
  <c r="X43" i="12"/>
  <c r="W43" i="12"/>
  <c r="V43" i="12"/>
  <c r="U43" i="12"/>
  <c r="T43" i="12"/>
  <c r="BL42" i="12"/>
  <c r="BH42" i="12"/>
  <c r="BH41" i="12"/>
  <c r="BH40" i="12"/>
  <c r="BH39" i="12"/>
  <c r="J39" i="12"/>
  <c r="C40" i="12" s="1"/>
  <c r="BL38" i="12"/>
  <c r="BK36" i="12"/>
  <c r="X33" i="12"/>
  <c r="W33" i="12"/>
  <c r="V33" i="12"/>
  <c r="U33" i="12"/>
  <c r="T33" i="12"/>
  <c r="N31" i="12"/>
  <c r="O26" i="12" s="1"/>
  <c r="X23" i="12"/>
  <c r="W23" i="12"/>
  <c r="V23" i="12"/>
  <c r="U23" i="12"/>
  <c r="T23" i="12"/>
  <c r="BJ20" i="12"/>
  <c r="BK20" i="12" s="1"/>
  <c r="G20" i="12"/>
  <c r="G36" i="12" s="1"/>
  <c r="F20" i="12"/>
  <c r="F36" i="12" s="1"/>
  <c r="E20" i="12"/>
  <c r="E36" i="12" s="1"/>
  <c r="D20" i="12"/>
  <c r="D36" i="12" s="1"/>
  <c r="C20" i="12"/>
  <c r="C36" i="12" s="1"/>
  <c r="BJ19" i="12"/>
  <c r="BK19" i="12" s="1"/>
  <c r="H19" i="12"/>
  <c r="L30" i="12" s="1"/>
  <c r="BJ18" i="12"/>
  <c r="BK18" i="12" s="1"/>
  <c r="H18" i="12"/>
  <c r="I18" i="12" s="1"/>
  <c r="J18" i="12" s="1"/>
  <c r="BJ17" i="12"/>
  <c r="BK17" i="12" s="1"/>
  <c r="H17" i="12"/>
  <c r="I17" i="12" s="1"/>
  <c r="BJ16" i="12"/>
  <c r="BK16" i="12" s="1"/>
  <c r="H16" i="12"/>
  <c r="L27" i="12" s="1"/>
  <c r="BJ15" i="12"/>
  <c r="BK15" i="12" s="1"/>
  <c r="H15" i="12"/>
  <c r="L26" i="12" s="1"/>
  <c r="BJ14" i="12"/>
  <c r="BK14" i="12" s="1"/>
  <c r="BJ13" i="12"/>
  <c r="BK13" i="12" s="1"/>
  <c r="BJ12" i="12"/>
  <c r="BK12" i="12" s="1"/>
  <c r="J10" i="12"/>
  <c r="I10" i="12"/>
  <c r="C4" i="12"/>
  <c r="E4" i="12" s="1"/>
  <c r="AS122" i="9"/>
  <c r="AN123" i="9" s="1"/>
  <c r="AL116" i="9"/>
  <c r="J590" i="9"/>
  <c r="G591" i="9" s="1"/>
  <c r="J561" i="9"/>
  <c r="D562" i="9" s="1"/>
  <c r="J532" i="9"/>
  <c r="E533" i="9" s="1"/>
  <c r="J503" i="9"/>
  <c r="C504" i="9" s="1"/>
  <c r="J474" i="9"/>
  <c r="G475" i="9" s="1"/>
  <c r="J445" i="9"/>
  <c r="G446" i="9" s="1"/>
  <c r="J416" i="9"/>
  <c r="C417" i="9" s="1"/>
  <c r="J387" i="9"/>
  <c r="D388" i="9" s="1"/>
  <c r="J358" i="9"/>
  <c r="E359" i="9" s="1"/>
  <c r="J329" i="9"/>
  <c r="C330" i="9" s="1"/>
  <c r="J300" i="9"/>
  <c r="G301" i="9" s="1"/>
  <c r="J271" i="9"/>
  <c r="C272" i="9" s="1"/>
  <c r="J242" i="9"/>
  <c r="E243" i="9" s="1"/>
  <c r="J213" i="9"/>
  <c r="G214" i="9" s="1"/>
  <c r="J184" i="9"/>
  <c r="D185" i="9" s="1"/>
  <c r="J155" i="9"/>
  <c r="G156" i="9" s="1"/>
  <c r="J126" i="9"/>
  <c r="G127" i="9" s="1"/>
  <c r="J97" i="9"/>
  <c r="G98" i="9" s="1"/>
  <c r="J68" i="9"/>
  <c r="F69" i="9" s="1"/>
  <c r="J39" i="9"/>
  <c r="D40" i="9" s="1"/>
  <c r="J10" i="9"/>
  <c r="AM116" i="9"/>
  <c r="AN116" i="9"/>
  <c r="AO116" i="9"/>
  <c r="AP116" i="9"/>
  <c r="AW99" i="9"/>
  <c r="AP88" i="9"/>
  <c r="AP104" i="9" s="1"/>
  <c r="AO88" i="9"/>
  <c r="AO104" i="9" s="1"/>
  <c r="AN88" i="9"/>
  <c r="AN104" i="9" s="1"/>
  <c r="AM88" i="9"/>
  <c r="AM104" i="9" s="1"/>
  <c r="AL88" i="9"/>
  <c r="AL104" i="9" s="1"/>
  <c r="AQ87" i="9"/>
  <c r="AQ86" i="9"/>
  <c r="AU97" i="9" s="1"/>
  <c r="AQ85" i="9"/>
  <c r="AR85" i="9" s="1"/>
  <c r="AS85" i="9" s="1"/>
  <c r="AQ84" i="9"/>
  <c r="AR84" i="9" s="1"/>
  <c r="AS84" i="9" s="1"/>
  <c r="AQ83" i="9"/>
  <c r="AA213" i="14" l="1"/>
  <c r="L519" i="14"/>
  <c r="D519" i="14" s="1"/>
  <c r="E340" i="14"/>
  <c r="C587" i="14"/>
  <c r="G543" i="14"/>
  <c r="G544" i="14" s="1"/>
  <c r="K568" i="14"/>
  <c r="C21" i="14"/>
  <c r="K393" i="14"/>
  <c r="G514" i="14"/>
  <c r="G515" i="14" s="1"/>
  <c r="AL89" i="14"/>
  <c r="L403" i="14"/>
  <c r="O465" i="14"/>
  <c r="AT83" i="14"/>
  <c r="L404" i="14"/>
  <c r="F464" i="14"/>
  <c r="O523" i="14"/>
  <c r="C340" i="14"/>
  <c r="L406" i="14"/>
  <c r="I190" i="14"/>
  <c r="J190" i="14" s="1"/>
  <c r="K334" i="14"/>
  <c r="I395" i="14"/>
  <c r="K480" i="14"/>
  <c r="L492" i="14"/>
  <c r="H542" i="14"/>
  <c r="I543" i="14" s="1"/>
  <c r="AD34" i="14" s="1"/>
  <c r="F413" i="14"/>
  <c r="K454" i="14"/>
  <c r="F355" i="14"/>
  <c r="G500" i="14"/>
  <c r="D427" i="14"/>
  <c r="D428" i="14" s="1"/>
  <c r="L577" i="14"/>
  <c r="E369" i="14"/>
  <c r="E370" i="14" s="1"/>
  <c r="D514" i="14"/>
  <c r="D515" i="14" s="1"/>
  <c r="K540" i="14"/>
  <c r="C297" i="14"/>
  <c r="L375" i="14"/>
  <c r="AL128" i="14"/>
  <c r="AN128" i="14"/>
  <c r="AO128" i="14"/>
  <c r="AP128" i="14"/>
  <c r="AS129" i="14"/>
  <c r="AS134" i="14"/>
  <c r="O579" i="14"/>
  <c r="O580" i="14"/>
  <c r="G580" i="14" s="1"/>
  <c r="O520" i="14"/>
  <c r="E520" i="14" s="1"/>
  <c r="O521" i="14"/>
  <c r="E521" i="14" s="1"/>
  <c r="O522" i="14"/>
  <c r="O494" i="14"/>
  <c r="C494" i="14" s="1"/>
  <c r="O490" i="14"/>
  <c r="O461" i="14"/>
  <c r="G461" i="14"/>
  <c r="O462" i="14"/>
  <c r="AA173" i="14"/>
  <c r="O463" i="14"/>
  <c r="E463" i="14" s="1"/>
  <c r="O403" i="14"/>
  <c r="O404" i="14"/>
  <c r="D404" i="14" s="1"/>
  <c r="O405" i="14"/>
  <c r="G405" i="14" s="1"/>
  <c r="O406" i="14"/>
  <c r="AA113" i="14"/>
  <c r="AA83" i="14"/>
  <c r="O29" i="14"/>
  <c r="E533" i="12"/>
  <c r="G504" i="12"/>
  <c r="F475" i="12"/>
  <c r="F417" i="12"/>
  <c r="E156" i="12"/>
  <c r="O581" i="12"/>
  <c r="O551" i="12"/>
  <c r="AA203" i="12"/>
  <c r="O436" i="12"/>
  <c r="AA143" i="12"/>
  <c r="O374" i="12"/>
  <c r="O317" i="12"/>
  <c r="AA123" i="12"/>
  <c r="O289" i="12"/>
  <c r="AA113" i="12"/>
  <c r="F203" i="12"/>
  <c r="AA63" i="12"/>
  <c r="O145" i="12"/>
  <c r="O142" i="12"/>
  <c r="O146" i="12"/>
  <c r="G146" i="12" s="1"/>
  <c r="O115" i="12"/>
  <c r="G115" i="12" s="1"/>
  <c r="AA53" i="12"/>
  <c r="O113" i="12"/>
  <c r="AP133" i="9"/>
  <c r="AO133" i="9"/>
  <c r="AS124" i="9"/>
  <c r="AL133" i="9"/>
  <c r="AN133" i="9"/>
  <c r="AN128" i="9"/>
  <c r="AO128" i="9"/>
  <c r="K44" i="12"/>
  <c r="C152" i="12"/>
  <c r="E317" i="12"/>
  <c r="O318" i="12"/>
  <c r="E318" i="12" s="1"/>
  <c r="O201" i="12"/>
  <c r="O319" i="12"/>
  <c r="E319" i="12" s="1"/>
  <c r="D446" i="12"/>
  <c r="F446" i="12"/>
  <c r="K537" i="12"/>
  <c r="C50" i="12"/>
  <c r="L113" i="12"/>
  <c r="D113" i="12" s="1"/>
  <c r="O116" i="12"/>
  <c r="G116" i="12" s="1"/>
  <c r="C326" i="12"/>
  <c r="O347" i="12"/>
  <c r="L143" i="12"/>
  <c r="E143" i="12" s="1"/>
  <c r="F243" i="12"/>
  <c r="O349" i="12"/>
  <c r="D349" i="12" s="1"/>
  <c r="L490" i="12"/>
  <c r="E490" i="12" s="1"/>
  <c r="O117" i="12"/>
  <c r="O492" i="12"/>
  <c r="K104" i="12"/>
  <c r="O493" i="12"/>
  <c r="B9" i="12"/>
  <c r="O287" i="12"/>
  <c r="D359" i="12"/>
  <c r="C369" i="12"/>
  <c r="C370" i="12" s="1"/>
  <c r="O494" i="12"/>
  <c r="D311" i="12"/>
  <c r="F9" i="12"/>
  <c r="AP133" i="14"/>
  <c r="AL123" i="14"/>
  <c r="AO123" i="14"/>
  <c r="AP123" i="14"/>
  <c r="AX98" i="14"/>
  <c r="AO98" i="14" s="1"/>
  <c r="AX94" i="14"/>
  <c r="AO94" i="14" s="1"/>
  <c r="AX95" i="14"/>
  <c r="AP89" i="14"/>
  <c r="AT87" i="14"/>
  <c r="AT86" i="14"/>
  <c r="AO89" i="14"/>
  <c r="AO90" i="14" s="1"/>
  <c r="AU95" i="14"/>
  <c r="AQ88" i="14"/>
  <c r="AR89" i="14" s="1"/>
  <c r="AO133" i="14"/>
  <c r="AL133" i="14"/>
  <c r="AM133" i="14"/>
  <c r="AO133" i="12"/>
  <c r="AP133" i="12"/>
  <c r="AL133" i="12"/>
  <c r="AM133" i="12"/>
  <c r="AN128" i="12"/>
  <c r="AL128" i="12"/>
  <c r="AM128" i="12"/>
  <c r="AO128" i="12"/>
  <c r="AP128" i="9"/>
  <c r="F388" i="9"/>
  <c r="AL128" i="9"/>
  <c r="G282" i="14"/>
  <c r="N280" i="14" s="1"/>
  <c r="X112" i="14" s="1"/>
  <c r="K280" i="14"/>
  <c r="E282" i="14"/>
  <c r="K278" i="14"/>
  <c r="O260" i="14"/>
  <c r="F260" i="14" s="1"/>
  <c r="O261" i="14"/>
  <c r="L233" i="14"/>
  <c r="F233" i="14" s="1"/>
  <c r="F195" i="14"/>
  <c r="F196" i="14" s="1"/>
  <c r="K191" i="14"/>
  <c r="K190" i="14"/>
  <c r="O175" i="14"/>
  <c r="O171" i="14"/>
  <c r="K134" i="14"/>
  <c r="K135" i="14"/>
  <c r="K132" i="14"/>
  <c r="K105" i="14"/>
  <c r="K104" i="14"/>
  <c r="E108" i="14"/>
  <c r="E109" i="14" s="1"/>
  <c r="E123" i="14"/>
  <c r="O84" i="14"/>
  <c r="O87" i="14"/>
  <c r="F87" i="14" s="1"/>
  <c r="AA43" i="14"/>
  <c r="O86" i="14"/>
  <c r="G86" i="14" s="1"/>
  <c r="I76" i="14"/>
  <c r="J76" i="14" s="1"/>
  <c r="G79" i="14"/>
  <c r="G80" i="14" s="1"/>
  <c r="F94" i="14"/>
  <c r="I75" i="14"/>
  <c r="J75" i="14" s="1"/>
  <c r="I48" i="14"/>
  <c r="J48" i="14" s="1"/>
  <c r="K48" i="14"/>
  <c r="E65" i="14"/>
  <c r="AA103" i="14"/>
  <c r="O258" i="14"/>
  <c r="C258" i="14" s="1"/>
  <c r="O259" i="14"/>
  <c r="AA93" i="14"/>
  <c r="O229" i="14"/>
  <c r="O230" i="14"/>
  <c r="O231" i="14"/>
  <c r="O232" i="14"/>
  <c r="E232" i="14" s="1"/>
  <c r="AA73" i="14"/>
  <c r="O172" i="14"/>
  <c r="F172" i="14" s="1"/>
  <c r="O173" i="14"/>
  <c r="G173" i="14" s="1"/>
  <c r="C143" i="14"/>
  <c r="O144" i="14"/>
  <c r="F144" i="14" s="1"/>
  <c r="O145" i="14"/>
  <c r="O142" i="14"/>
  <c r="C142" i="14" s="1"/>
  <c r="O146" i="14"/>
  <c r="AA63" i="14"/>
  <c r="O85" i="14"/>
  <c r="O56" i="14"/>
  <c r="E56" i="14" s="1"/>
  <c r="O59" i="14"/>
  <c r="E59" i="14" s="1"/>
  <c r="I569" i="14"/>
  <c r="J569" i="14" s="1"/>
  <c r="I570" i="14"/>
  <c r="J570" i="14" s="1"/>
  <c r="L579" i="14"/>
  <c r="K570" i="14"/>
  <c r="I568" i="14"/>
  <c r="J568" i="14" s="1"/>
  <c r="G587" i="14"/>
  <c r="I538" i="14"/>
  <c r="J538" i="14" s="1"/>
  <c r="I539" i="14"/>
  <c r="J539" i="14" s="1"/>
  <c r="K539" i="14"/>
  <c r="E543" i="14"/>
  <c r="E544" i="14" s="1"/>
  <c r="F543" i="14"/>
  <c r="F544" i="14" s="1"/>
  <c r="I541" i="14"/>
  <c r="D558" i="14"/>
  <c r="K541" i="14"/>
  <c r="C521" i="14"/>
  <c r="C514" i="14"/>
  <c r="C515" i="14" s="1"/>
  <c r="H513" i="14"/>
  <c r="I514" i="14" s="1"/>
  <c r="AD33" i="14" s="1"/>
  <c r="E514" i="14"/>
  <c r="E515" i="14" s="1"/>
  <c r="I510" i="14"/>
  <c r="J510" i="14" s="1"/>
  <c r="I479" i="14"/>
  <c r="J479" i="14" s="1"/>
  <c r="I480" i="14"/>
  <c r="J480" i="14" s="1"/>
  <c r="H484" i="14"/>
  <c r="I485" i="14" s="1"/>
  <c r="AD32" i="14" s="1"/>
  <c r="D500" i="14"/>
  <c r="F500" i="14"/>
  <c r="L462" i="14"/>
  <c r="G462" i="14" s="1"/>
  <c r="K451" i="14"/>
  <c r="N451" i="14"/>
  <c r="U172" i="14" s="1"/>
  <c r="E456" i="14"/>
  <c r="E457" i="14" s="1"/>
  <c r="I452" i="14"/>
  <c r="J452" i="14" s="1"/>
  <c r="G456" i="14"/>
  <c r="G457" i="14" s="1"/>
  <c r="C471" i="14"/>
  <c r="I453" i="14"/>
  <c r="J453" i="14" s="1"/>
  <c r="C427" i="14"/>
  <c r="K423" i="14"/>
  <c r="E427" i="14"/>
  <c r="E428" i="14" s="1"/>
  <c r="F427" i="14"/>
  <c r="K424" i="14"/>
  <c r="I422" i="14"/>
  <c r="J422" i="14" s="1"/>
  <c r="K422" i="14"/>
  <c r="G403" i="14"/>
  <c r="K392" i="14"/>
  <c r="C398" i="14"/>
  <c r="C399" i="14" s="1"/>
  <c r="D398" i="14"/>
  <c r="E398" i="14"/>
  <c r="E399" i="14" s="1"/>
  <c r="F384" i="14"/>
  <c r="K364" i="14"/>
  <c r="G369" i="14"/>
  <c r="G370" i="14" s="1"/>
  <c r="L377" i="14"/>
  <c r="C384" i="14"/>
  <c r="D384" i="14"/>
  <c r="F341" i="14"/>
  <c r="N337" i="14"/>
  <c r="W132" i="14" s="1"/>
  <c r="K337" i="14"/>
  <c r="G340" i="14"/>
  <c r="L345" i="14"/>
  <c r="I338" i="14"/>
  <c r="J338" i="14" s="1"/>
  <c r="L348" i="14"/>
  <c r="K336" i="14"/>
  <c r="K308" i="14"/>
  <c r="C311" i="14"/>
  <c r="C312" i="14" s="1"/>
  <c r="I306" i="14"/>
  <c r="J306" i="14" s="1"/>
  <c r="I276" i="14"/>
  <c r="J276" i="14" s="1"/>
  <c r="L291" i="14"/>
  <c r="K276" i="14"/>
  <c r="I277" i="14"/>
  <c r="J277" i="14" s="1"/>
  <c r="D297" i="14"/>
  <c r="I278" i="14"/>
  <c r="J278" i="14" s="1"/>
  <c r="D283" i="14"/>
  <c r="K251" i="14"/>
  <c r="I247" i="14"/>
  <c r="J247" i="14" s="1"/>
  <c r="K248" i="14"/>
  <c r="L262" i="14"/>
  <c r="G253" i="14"/>
  <c r="G254" i="14" s="1"/>
  <c r="H223" i="14"/>
  <c r="I224" i="14" s="1"/>
  <c r="AD23" i="14" s="1"/>
  <c r="C224" i="14"/>
  <c r="C225" i="14" s="1"/>
  <c r="I221" i="14"/>
  <c r="J221" i="14" s="1"/>
  <c r="E224" i="14"/>
  <c r="E225" i="14" s="1"/>
  <c r="D239" i="14"/>
  <c r="G224" i="14"/>
  <c r="G239" i="14"/>
  <c r="E210" i="14"/>
  <c r="G166" i="14"/>
  <c r="G167" i="14" s="1"/>
  <c r="L175" i="14"/>
  <c r="I162" i="14"/>
  <c r="J162" i="14" s="1"/>
  <c r="K164" i="14"/>
  <c r="F181" i="14"/>
  <c r="D166" i="14"/>
  <c r="D167" i="14" s="1"/>
  <c r="D152" i="14"/>
  <c r="I131" i="14"/>
  <c r="J131" i="14" s="1"/>
  <c r="E152" i="14"/>
  <c r="I132" i="14"/>
  <c r="J132" i="14" s="1"/>
  <c r="G152" i="14"/>
  <c r="C137" i="14"/>
  <c r="I133" i="14"/>
  <c r="J133" i="14" s="1"/>
  <c r="I105" i="14"/>
  <c r="J105" i="14" s="1"/>
  <c r="F108" i="14"/>
  <c r="K106" i="14"/>
  <c r="F80" i="14"/>
  <c r="C79" i="14"/>
  <c r="K76" i="14"/>
  <c r="L85" i="14"/>
  <c r="K47" i="14"/>
  <c r="L56" i="14"/>
  <c r="F65" i="14"/>
  <c r="O28" i="14"/>
  <c r="E28" i="14" s="1"/>
  <c r="D28" i="14"/>
  <c r="F29" i="14"/>
  <c r="E29" i="14"/>
  <c r="F21" i="14"/>
  <c r="F22" i="14" s="1"/>
  <c r="K17" i="14"/>
  <c r="D36" i="14"/>
  <c r="K16" i="14"/>
  <c r="D51" i="14"/>
  <c r="N45" i="14"/>
  <c r="U32" i="14" s="1"/>
  <c r="T288" i="14"/>
  <c r="T289" i="14" s="1"/>
  <c r="T226" i="14"/>
  <c r="T287" i="14"/>
  <c r="L26" i="14"/>
  <c r="H20" i="14"/>
  <c r="I21" i="14" s="1"/>
  <c r="AD16" i="14" s="1"/>
  <c r="H49" i="14"/>
  <c r="I50" i="14" s="1"/>
  <c r="AD17" i="14" s="1"/>
  <c r="L55" i="14"/>
  <c r="I44" i="14"/>
  <c r="J44" i="14" s="1"/>
  <c r="K44" i="14"/>
  <c r="AL90" i="14"/>
  <c r="AW83" i="14"/>
  <c r="AL115" i="14" s="1"/>
  <c r="K46" i="14"/>
  <c r="I46" i="14"/>
  <c r="I16" i="14"/>
  <c r="J16" i="14" s="1"/>
  <c r="L27" i="14"/>
  <c r="I77" i="14"/>
  <c r="J77" i="14" s="1"/>
  <c r="K77" i="14"/>
  <c r="L88" i="14"/>
  <c r="C5" i="14"/>
  <c r="E5" i="14" s="1"/>
  <c r="K15" i="14"/>
  <c r="X288" i="14"/>
  <c r="X289" i="14" s="1"/>
  <c r="X287" i="14"/>
  <c r="X226" i="14"/>
  <c r="O30" i="14"/>
  <c r="O27" i="14"/>
  <c r="O26" i="14"/>
  <c r="G29" i="14"/>
  <c r="D29" i="14"/>
  <c r="C29" i="14"/>
  <c r="I18" i="14"/>
  <c r="AN89" i="14"/>
  <c r="AN104" i="14"/>
  <c r="F59" i="14"/>
  <c r="K18" i="14"/>
  <c r="I19" i="14"/>
  <c r="K19" i="14"/>
  <c r="C22" i="14"/>
  <c r="N15" i="14"/>
  <c r="T22" i="14" s="1"/>
  <c r="G58" i="14"/>
  <c r="F58" i="14"/>
  <c r="E58" i="14"/>
  <c r="D58" i="14"/>
  <c r="C58" i="14"/>
  <c r="C50" i="14"/>
  <c r="C65" i="14"/>
  <c r="E36" i="14"/>
  <c r="E21" i="14"/>
  <c r="D65" i="14"/>
  <c r="K45" i="14"/>
  <c r="L57" i="14"/>
  <c r="F28" i="14"/>
  <c r="I17" i="14"/>
  <c r="J17" i="14" s="1"/>
  <c r="L30" i="14"/>
  <c r="F51" i="14"/>
  <c r="G36" i="14"/>
  <c r="G50" i="14"/>
  <c r="AA53" i="14"/>
  <c r="K102" i="14"/>
  <c r="I102" i="14"/>
  <c r="J102" i="14" s="1"/>
  <c r="H107" i="14"/>
  <c r="I108" i="14" s="1"/>
  <c r="AD19" i="14" s="1"/>
  <c r="L113" i="14"/>
  <c r="I135" i="14"/>
  <c r="J135" i="14" s="1"/>
  <c r="L146" i="14"/>
  <c r="AA33" i="14"/>
  <c r="U287" i="14"/>
  <c r="U288" i="14"/>
  <c r="U289" i="14" s="1"/>
  <c r="U226" i="14"/>
  <c r="O57" i="14"/>
  <c r="F204" i="14"/>
  <c r="E204" i="14"/>
  <c r="C204" i="14"/>
  <c r="G204" i="14"/>
  <c r="D204" i="14"/>
  <c r="V287" i="14"/>
  <c r="V288" i="14"/>
  <c r="V289" i="14" s="1"/>
  <c r="V226" i="14"/>
  <c r="K75" i="14"/>
  <c r="D79" i="14"/>
  <c r="D94" i="14"/>
  <c r="W288" i="14"/>
  <c r="W289" i="14" s="1"/>
  <c r="W226" i="14"/>
  <c r="W287" i="14"/>
  <c r="I47" i="14"/>
  <c r="J47" i="14" s="1"/>
  <c r="AM89" i="14"/>
  <c r="AM104" i="14"/>
  <c r="K163" i="14"/>
  <c r="I163" i="14"/>
  <c r="J163" i="14" s="1"/>
  <c r="L174" i="14"/>
  <c r="L84" i="14"/>
  <c r="K73" i="14"/>
  <c r="H78" i="14"/>
  <c r="I79" i="14" s="1"/>
  <c r="AD18" i="14" s="1"/>
  <c r="AP90" i="14"/>
  <c r="AP95" i="14"/>
  <c r="AM95" i="14"/>
  <c r="AL95" i="14"/>
  <c r="O116" i="14"/>
  <c r="O114" i="14"/>
  <c r="E114" i="14" s="1"/>
  <c r="O113" i="14"/>
  <c r="O117" i="14"/>
  <c r="C138" i="14"/>
  <c r="I73" i="14"/>
  <c r="J73" i="14" s="1"/>
  <c r="K74" i="14"/>
  <c r="AT84" i="14"/>
  <c r="E94" i="14"/>
  <c r="E166" i="14"/>
  <c r="K162" i="14"/>
  <c r="E181" i="14"/>
  <c r="O55" i="14"/>
  <c r="AT85" i="14"/>
  <c r="AU96" i="14"/>
  <c r="AU97" i="14"/>
  <c r="C195" i="14"/>
  <c r="C210" i="14"/>
  <c r="N334" i="14"/>
  <c r="T132" i="14" s="1"/>
  <c r="C341" i="14"/>
  <c r="C123" i="14"/>
  <c r="C108" i="14"/>
  <c r="AS116" i="14"/>
  <c r="L145" i="14"/>
  <c r="I134" i="14"/>
  <c r="J134" i="14" s="1"/>
  <c r="I365" i="14"/>
  <c r="J365" i="14" s="1"/>
  <c r="L376" i="14"/>
  <c r="K365" i="14"/>
  <c r="K103" i="14"/>
  <c r="D123" i="14"/>
  <c r="D108" i="14"/>
  <c r="L115" i="14"/>
  <c r="D312" i="14"/>
  <c r="F152" i="14"/>
  <c r="F137" i="14"/>
  <c r="F143" i="14"/>
  <c r="D143" i="14"/>
  <c r="E143" i="14"/>
  <c r="G143" i="14"/>
  <c r="G123" i="14"/>
  <c r="G108" i="14"/>
  <c r="L171" i="14"/>
  <c r="I160" i="14"/>
  <c r="J160" i="14" s="1"/>
  <c r="H165" i="14"/>
  <c r="I166" i="14" s="1"/>
  <c r="AD21" i="14" s="1"/>
  <c r="K219" i="14"/>
  <c r="L230" i="14"/>
  <c r="AR87" i="14"/>
  <c r="AS87" i="14" s="1"/>
  <c r="K160" i="14"/>
  <c r="I219" i="14"/>
  <c r="J219" i="14" s="1"/>
  <c r="AX97" i="14"/>
  <c r="D137" i="14"/>
  <c r="E268" i="14"/>
  <c r="E253" i="14"/>
  <c r="K249" i="14"/>
  <c r="D326" i="14"/>
  <c r="K306" i="14"/>
  <c r="F167" i="14"/>
  <c r="I103" i="14"/>
  <c r="J103" i="14" s="1"/>
  <c r="F239" i="14"/>
  <c r="F224" i="14"/>
  <c r="K221" i="14"/>
  <c r="E289" i="14"/>
  <c r="F289" i="14"/>
  <c r="G289" i="14"/>
  <c r="C289" i="14"/>
  <c r="L202" i="14"/>
  <c r="I191" i="14"/>
  <c r="J191" i="14" s="1"/>
  <c r="K193" i="14"/>
  <c r="I193" i="14"/>
  <c r="J193" i="14" s="1"/>
  <c r="K189" i="14"/>
  <c r="AM123" i="14"/>
  <c r="I305" i="14"/>
  <c r="H310" i="14"/>
  <c r="I311" i="14" s="1"/>
  <c r="AD26" i="14" s="1"/>
  <c r="L316" i="14"/>
  <c r="K305" i="14"/>
  <c r="C181" i="14"/>
  <c r="I218" i="14"/>
  <c r="L229" i="14"/>
  <c r="K218" i="14"/>
  <c r="C268" i="14"/>
  <c r="K247" i="14"/>
  <c r="L117" i="14"/>
  <c r="K131" i="14"/>
  <c r="K133" i="14"/>
  <c r="G233" i="14"/>
  <c r="C485" i="14"/>
  <c r="C500" i="14"/>
  <c r="C254" i="14"/>
  <c r="H136" i="14"/>
  <c r="I137" i="14" s="1"/>
  <c r="AD20" i="14" s="1"/>
  <c r="C283" i="14"/>
  <c r="N421" i="14"/>
  <c r="T162" i="14" s="1"/>
  <c r="C428" i="14"/>
  <c r="D195" i="14"/>
  <c r="O200" i="14"/>
  <c r="G200" i="14" s="1"/>
  <c r="O201" i="14"/>
  <c r="F201" i="14" s="1"/>
  <c r="O202" i="14"/>
  <c r="O203" i="14"/>
  <c r="I249" i="14"/>
  <c r="J249" i="14" s="1"/>
  <c r="O320" i="14"/>
  <c r="O316" i="14"/>
  <c r="H194" i="14"/>
  <c r="I195" i="14" s="1"/>
  <c r="AD22" i="14" s="1"/>
  <c r="D225" i="14"/>
  <c r="I161" i="14"/>
  <c r="J161" i="14" s="1"/>
  <c r="I189" i="14"/>
  <c r="J189" i="14" s="1"/>
  <c r="I192" i="14"/>
  <c r="L203" i="14"/>
  <c r="L231" i="14"/>
  <c r="H281" i="14"/>
  <c r="I282" i="14" s="1"/>
  <c r="AD25" i="14" s="1"/>
  <c r="L290" i="14"/>
  <c r="K279" i="14"/>
  <c r="K161" i="14"/>
  <c r="K192" i="14"/>
  <c r="D268" i="14"/>
  <c r="O317" i="14"/>
  <c r="F317" i="14" s="1"/>
  <c r="G442" i="14"/>
  <c r="G427" i="14"/>
  <c r="K220" i="14"/>
  <c r="D254" i="14"/>
  <c r="N248" i="14"/>
  <c r="U102" i="14" s="1"/>
  <c r="O291" i="14"/>
  <c r="O290" i="14"/>
  <c r="O288" i="14"/>
  <c r="D288" i="14" s="1"/>
  <c r="O287" i="14"/>
  <c r="C287" i="14" s="1"/>
  <c r="O318" i="14"/>
  <c r="C462" i="14"/>
  <c r="F462" i="14"/>
  <c r="G523" i="14"/>
  <c r="E523" i="14"/>
  <c r="D523" i="14"/>
  <c r="C523" i="14"/>
  <c r="F523" i="14"/>
  <c r="O319" i="14"/>
  <c r="F319" i="14" s="1"/>
  <c r="K396" i="14"/>
  <c r="L407" i="14"/>
  <c r="I396" i="14"/>
  <c r="J396" i="14" s="1"/>
  <c r="K277" i="14"/>
  <c r="F282" i="14"/>
  <c r="E406" i="14"/>
  <c r="D406" i="14"/>
  <c r="I454" i="14"/>
  <c r="J454" i="14" s="1"/>
  <c r="L465" i="14"/>
  <c r="E485" i="14"/>
  <c r="K481" i="14"/>
  <c r="E500" i="14"/>
  <c r="K511" i="14"/>
  <c r="I511" i="14"/>
  <c r="J511" i="14" s="1"/>
  <c r="L522" i="14"/>
  <c r="G519" i="14"/>
  <c r="E519" i="14"/>
  <c r="C519" i="14"/>
  <c r="F519" i="14"/>
  <c r="L346" i="14"/>
  <c r="K335" i="14"/>
  <c r="I335" i="14"/>
  <c r="J335" i="14" s="1"/>
  <c r="H339" i="14"/>
  <c r="I340" i="14" s="1"/>
  <c r="AD27" i="14" s="1"/>
  <c r="F573" i="14"/>
  <c r="H252" i="14"/>
  <c r="I253" i="14" s="1"/>
  <c r="AD24" i="14" s="1"/>
  <c r="K307" i="14"/>
  <c r="I307" i="14"/>
  <c r="J307" i="14" s="1"/>
  <c r="L318" i="14"/>
  <c r="J395" i="14"/>
  <c r="N395" i="14"/>
  <c r="W152" i="14" s="1"/>
  <c r="K250" i="14"/>
  <c r="L261" i="14"/>
  <c r="D289" i="14"/>
  <c r="F514" i="14"/>
  <c r="F529" i="14"/>
  <c r="E573" i="14"/>
  <c r="G210" i="14"/>
  <c r="F311" i="14"/>
  <c r="L378" i="14"/>
  <c r="K367" i="14"/>
  <c r="I367" i="14"/>
  <c r="J367" i="14" s="1"/>
  <c r="J508" i="14"/>
  <c r="F253" i="14"/>
  <c r="L259" i="14"/>
  <c r="E262" i="14"/>
  <c r="K309" i="14"/>
  <c r="I309" i="14"/>
  <c r="L320" i="14"/>
  <c r="N336" i="14"/>
  <c r="V132" i="14" s="1"/>
  <c r="E341" i="14"/>
  <c r="F456" i="14"/>
  <c r="I509" i="14"/>
  <c r="K509" i="14"/>
  <c r="G262" i="14"/>
  <c r="E283" i="14"/>
  <c r="L374" i="14"/>
  <c r="K363" i="14"/>
  <c r="H368" i="14"/>
  <c r="I369" i="14" s="1"/>
  <c r="AD28" i="14" s="1"/>
  <c r="I363" i="14"/>
  <c r="J363" i="14" s="1"/>
  <c r="D370" i="14"/>
  <c r="N364" i="14"/>
  <c r="U142" i="14" s="1"/>
  <c r="G413" i="14"/>
  <c r="G398" i="14"/>
  <c r="G326" i="14"/>
  <c r="O349" i="14"/>
  <c r="E349" i="14" s="1"/>
  <c r="O348" i="14"/>
  <c r="C348" i="14" s="1"/>
  <c r="O347" i="14"/>
  <c r="O346" i="14"/>
  <c r="O345" i="14"/>
  <c r="C345" i="14" s="1"/>
  <c r="J541" i="14"/>
  <c r="N541" i="14"/>
  <c r="X202" i="14" s="1"/>
  <c r="O552" i="14"/>
  <c r="G552" i="14" s="1"/>
  <c r="O551" i="14"/>
  <c r="O550" i="14"/>
  <c r="D550" i="14" s="1"/>
  <c r="O549" i="14"/>
  <c r="O548" i="14"/>
  <c r="E581" i="14"/>
  <c r="D581" i="14"/>
  <c r="C581" i="14"/>
  <c r="G581" i="14"/>
  <c r="F581" i="14"/>
  <c r="O378" i="14"/>
  <c r="O377" i="14"/>
  <c r="O376" i="14"/>
  <c r="O375" i="14"/>
  <c r="D375" i="14" s="1"/>
  <c r="O374" i="14"/>
  <c r="C543" i="14"/>
  <c r="C558" i="14"/>
  <c r="I425" i="14"/>
  <c r="J425" i="14" s="1"/>
  <c r="C461" i="14"/>
  <c r="F461" i="14"/>
  <c r="N480" i="14"/>
  <c r="U182" i="14" s="1"/>
  <c r="D486" i="14"/>
  <c r="I512" i="14"/>
  <c r="J512" i="14" s="1"/>
  <c r="K512" i="14"/>
  <c r="K366" i="14"/>
  <c r="I393" i="14"/>
  <c r="J393" i="14" s="1"/>
  <c r="K425" i="14"/>
  <c r="E464" i="14"/>
  <c r="D464" i="14"/>
  <c r="C464" i="14"/>
  <c r="G464" i="14"/>
  <c r="I482" i="14"/>
  <c r="L493" i="14"/>
  <c r="K482" i="14"/>
  <c r="O491" i="14"/>
  <c r="O492" i="14"/>
  <c r="G492" i="14" s="1"/>
  <c r="N566" i="14"/>
  <c r="T212" i="14" s="1"/>
  <c r="E311" i="14"/>
  <c r="N366" i="14"/>
  <c r="W142" i="14" s="1"/>
  <c r="F370" i="14"/>
  <c r="K394" i="14"/>
  <c r="I394" i="14"/>
  <c r="C436" i="14"/>
  <c r="H455" i="14"/>
  <c r="I456" i="14" s="1"/>
  <c r="AD31" i="14" s="1"/>
  <c r="I450" i="14"/>
  <c r="K479" i="14"/>
  <c r="G573" i="14"/>
  <c r="D340" i="14"/>
  <c r="L347" i="14"/>
  <c r="H397" i="14"/>
  <c r="I398" i="14" s="1"/>
  <c r="AD29" i="14" s="1"/>
  <c r="L434" i="14"/>
  <c r="I423" i="14"/>
  <c r="J423" i="14" s="1"/>
  <c r="K450" i="14"/>
  <c r="C490" i="14"/>
  <c r="N363" i="14"/>
  <c r="T142" i="14" s="1"/>
  <c r="D399" i="14"/>
  <c r="N393" i="14"/>
  <c r="U152" i="14" s="1"/>
  <c r="H426" i="14"/>
  <c r="I427" i="14" s="1"/>
  <c r="AD30" i="14" s="1"/>
  <c r="E461" i="14"/>
  <c r="O493" i="14"/>
  <c r="G490" i="14"/>
  <c r="F490" i="14"/>
  <c r="F494" i="14"/>
  <c r="F521" i="14"/>
  <c r="E580" i="14"/>
  <c r="F587" i="14"/>
  <c r="K483" i="14"/>
  <c r="I483" i="14"/>
  <c r="K510" i="14"/>
  <c r="L548" i="14"/>
  <c r="K537" i="14"/>
  <c r="I537" i="14"/>
  <c r="J537" i="14" s="1"/>
  <c r="H571" i="14"/>
  <c r="I572" i="14" s="1"/>
  <c r="AD35" i="14" s="1"/>
  <c r="K569" i="14"/>
  <c r="O436" i="14"/>
  <c r="O435" i="14"/>
  <c r="O434" i="14"/>
  <c r="O433" i="14"/>
  <c r="D433" i="14" s="1"/>
  <c r="O432" i="14"/>
  <c r="D490" i="14"/>
  <c r="D494" i="14"/>
  <c r="O578" i="14"/>
  <c r="F578" i="14" s="1"/>
  <c r="K452" i="14"/>
  <c r="E490" i="14"/>
  <c r="E494" i="14"/>
  <c r="D543" i="14"/>
  <c r="K566" i="14"/>
  <c r="L432" i="14"/>
  <c r="K421" i="14"/>
  <c r="K453" i="14"/>
  <c r="O524" i="14"/>
  <c r="D521" i="14"/>
  <c r="K567" i="14"/>
  <c r="I567" i="14"/>
  <c r="O577" i="14"/>
  <c r="E577" i="14" s="1"/>
  <c r="D587" i="14"/>
  <c r="L435" i="14"/>
  <c r="L551" i="14"/>
  <c r="AX98" i="12"/>
  <c r="AX94" i="12"/>
  <c r="AP94" i="12" s="1"/>
  <c r="AX95" i="12"/>
  <c r="AN95" i="12" s="1"/>
  <c r="AX96" i="12"/>
  <c r="AX97" i="12"/>
  <c r="AT86" i="12"/>
  <c r="AO89" i="12"/>
  <c r="AO90" i="12" s="1"/>
  <c r="AU97" i="12"/>
  <c r="AP89" i="12"/>
  <c r="AP90" i="12" s="1"/>
  <c r="AR84" i="12"/>
  <c r="AS84" i="12" s="1"/>
  <c r="AA213" i="12"/>
  <c r="O578" i="12"/>
  <c r="O582" i="12" s="1"/>
  <c r="O579" i="12"/>
  <c r="O580" i="12"/>
  <c r="G580" i="12" s="1"/>
  <c r="D580" i="12"/>
  <c r="K568" i="12"/>
  <c r="K570" i="12"/>
  <c r="K567" i="12"/>
  <c r="D572" i="12"/>
  <c r="D573" i="12" s="1"/>
  <c r="G562" i="12"/>
  <c r="C562" i="12"/>
  <c r="D562" i="12"/>
  <c r="F562" i="12"/>
  <c r="F543" i="12"/>
  <c r="D533" i="12"/>
  <c r="F533" i="12"/>
  <c r="G533" i="12"/>
  <c r="AA193" i="12"/>
  <c r="O519" i="12"/>
  <c r="O520" i="12"/>
  <c r="O521" i="12"/>
  <c r="D521" i="12" s="1"/>
  <c r="O522" i="12"/>
  <c r="C522" i="12" s="1"/>
  <c r="F521" i="12"/>
  <c r="G522" i="12"/>
  <c r="C523" i="12"/>
  <c r="O490" i="12"/>
  <c r="O491" i="12"/>
  <c r="G491" i="12" s="1"/>
  <c r="C494" i="12"/>
  <c r="I483" i="12"/>
  <c r="J483" i="12" s="1"/>
  <c r="E485" i="12"/>
  <c r="E486" i="12" s="1"/>
  <c r="C475" i="12"/>
  <c r="G475" i="12"/>
  <c r="O461" i="12"/>
  <c r="F461" i="12" s="1"/>
  <c r="O462" i="12"/>
  <c r="O463" i="12"/>
  <c r="G463" i="12" s="1"/>
  <c r="F471" i="12"/>
  <c r="K453" i="12"/>
  <c r="D456" i="12"/>
  <c r="D457" i="12" s="1"/>
  <c r="AA163" i="12"/>
  <c r="F442" i="12"/>
  <c r="C417" i="12"/>
  <c r="D417" i="12"/>
  <c r="E417" i="12"/>
  <c r="F388" i="12"/>
  <c r="O375" i="12"/>
  <c r="O376" i="12"/>
  <c r="O377" i="12"/>
  <c r="F378" i="12"/>
  <c r="D369" i="12"/>
  <c r="D370" i="12" s="1"/>
  <c r="C359" i="12"/>
  <c r="E359" i="12"/>
  <c r="O345" i="12"/>
  <c r="O346" i="12"/>
  <c r="G348" i="12"/>
  <c r="C348" i="12"/>
  <c r="G340" i="12"/>
  <c r="C330" i="12"/>
  <c r="E330" i="12"/>
  <c r="G330" i="12"/>
  <c r="O316" i="12"/>
  <c r="K308" i="12"/>
  <c r="E326" i="12"/>
  <c r="D301" i="12"/>
  <c r="E301" i="12"/>
  <c r="F301" i="12"/>
  <c r="O288" i="12"/>
  <c r="E288" i="12" s="1"/>
  <c r="O291" i="12"/>
  <c r="F291" i="12" s="1"/>
  <c r="I280" i="12"/>
  <c r="J280" i="12" s="1"/>
  <c r="K280" i="12"/>
  <c r="L289" i="12"/>
  <c r="G289" i="12" s="1"/>
  <c r="C272" i="12"/>
  <c r="O258" i="12"/>
  <c r="O259" i="12"/>
  <c r="G259" i="12" s="1"/>
  <c r="O260" i="12"/>
  <c r="O261" i="12"/>
  <c r="E261" i="12" s="1"/>
  <c r="D262" i="12"/>
  <c r="AA103" i="12"/>
  <c r="G260" i="12"/>
  <c r="L261" i="12"/>
  <c r="K250" i="12"/>
  <c r="I249" i="12"/>
  <c r="J249" i="12" s="1"/>
  <c r="K249" i="12"/>
  <c r="C243" i="12"/>
  <c r="D243" i="12"/>
  <c r="O233" i="12"/>
  <c r="C233" i="12" s="1"/>
  <c r="O232" i="12"/>
  <c r="O231" i="12"/>
  <c r="O230" i="12"/>
  <c r="I222" i="12"/>
  <c r="J222" i="12" s="1"/>
  <c r="K219" i="12"/>
  <c r="E224" i="12"/>
  <c r="E225" i="12" s="1"/>
  <c r="D239" i="12"/>
  <c r="I219" i="12"/>
  <c r="N219" i="12" s="1"/>
  <c r="U92" i="12" s="1"/>
  <c r="O202" i="12"/>
  <c r="AA83" i="12"/>
  <c r="O200" i="12"/>
  <c r="O204" i="12"/>
  <c r="E204" i="12" s="1"/>
  <c r="I193" i="12"/>
  <c r="J193" i="12" s="1"/>
  <c r="C175" i="12"/>
  <c r="AA73" i="12"/>
  <c r="G175" i="12"/>
  <c r="F175" i="12"/>
  <c r="E175" i="12"/>
  <c r="D175" i="12"/>
  <c r="K162" i="12"/>
  <c r="I162" i="12"/>
  <c r="J162" i="12" s="1"/>
  <c r="D166" i="12"/>
  <c r="D167" i="12" s="1"/>
  <c r="D156" i="12"/>
  <c r="G156" i="12"/>
  <c r="L146" i="12"/>
  <c r="C146" i="12" s="1"/>
  <c r="K135" i="12"/>
  <c r="I105" i="12"/>
  <c r="J105" i="12" s="1"/>
  <c r="F108" i="12"/>
  <c r="F109" i="12" s="1"/>
  <c r="I104" i="12"/>
  <c r="J104" i="12" s="1"/>
  <c r="I103" i="12"/>
  <c r="J103" i="12" s="1"/>
  <c r="D98" i="12"/>
  <c r="AA43" i="12"/>
  <c r="O86" i="12"/>
  <c r="F86" i="12" s="1"/>
  <c r="K77" i="12"/>
  <c r="K74" i="12"/>
  <c r="C69" i="12"/>
  <c r="D69" i="12"/>
  <c r="F69" i="12"/>
  <c r="O55" i="12"/>
  <c r="L577" i="12"/>
  <c r="K566" i="12"/>
  <c r="L579" i="12"/>
  <c r="F579" i="12" s="1"/>
  <c r="N566" i="12"/>
  <c r="T212" i="12" s="1"/>
  <c r="I568" i="12"/>
  <c r="N568" i="12" s="1"/>
  <c r="V212" i="12" s="1"/>
  <c r="K569" i="12"/>
  <c r="I537" i="12"/>
  <c r="J537" i="12" s="1"/>
  <c r="K539" i="12"/>
  <c r="L550" i="12"/>
  <c r="E558" i="12"/>
  <c r="K510" i="12"/>
  <c r="E514" i="12"/>
  <c r="E515" i="12" s="1"/>
  <c r="I511" i="12"/>
  <c r="J511" i="12" s="1"/>
  <c r="I512" i="12"/>
  <c r="J512" i="12" s="1"/>
  <c r="E491" i="12"/>
  <c r="C491" i="12"/>
  <c r="G493" i="12"/>
  <c r="F493" i="12"/>
  <c r="I480" i="12"/>
  <c r="J480" i="12" s="1"/>
  <c r="F490" i="12"/>
  <c r="C463" i="12"/>
  <c r="F457" i="12"/>
  <c r="I452" i="12"/>
  <c r="J452" i="12" s="1"/>
  <c r="L464" i="12"/>
  <c r="F464" i="12" s="1"/>
  <c r="I453" i="12"/>
  <c r="J453" i="12" s="1"/>
  <c r="L465" i="12"/>
  <c r="G465" i="12" s="1"/>
  <c r="L461" i="12"/>
  <c r="C456" i="12"/>
  <c r="L432" i="12"/>
  <c r="I425" i="12"/>
  <c r="J425" i="12" s="1"/>
  <c r="G442" i="12"/>
  <c r="I421" i="12"/>
  <c r="J421" i="12" s="1"/>
  <c r="I394" i="12"/>
  <c r="J394" i="12" s="1"/>
  <c r="G398" i="12"/>
  <c r="G399" i="12" s="1"/>
  <c r="K394" i="12"/>
  <c r="I395" i="12"/>
  <c r="J395" i="12" s="1"/>
  <c r="D413" i="12"/>
  <c r="I367" i="12"/>
  <c r="J367" i="12" s="1"/>
  <c r="K367" i="12"/>
  <c r="D378" i="12"/>
  <c r="E378" i="12"/>
  <c r="N365" i="12"/>
  <c r="V142" i="12" s="1"/>
  <c r="G378" i="12"/>
  <c r="I338" i="12"/>
  <c r="J338" i="12" s="1"/>
  <c r="K338" i="12"/>
  <c r="H339" i="12"/>
  <c r="I340" i="12" s="1"/>
  <c r="AD27" i="12" s="1"/>
  <c r="I336" i="12"/>
  <c r="J336" i="12" s="1"/>
  <c r="K336" i="12"/>
  <c r="I306" i="12"/>
  <c r="J306" i="12" s="1"/>
  <c r="G326" i="12"/>
  <c r="K306" i="12"/>
  <c r="F311" i="12"/>
  <c r="I308" i="12"/>
  <c r="J308" i="12" s="1"/>
  <c r="I277" i="12"/>
  <c r="J277" i="12" s="1"/>
  <c r="L290" i="12"/>
  <c r="E290" i="12" s="1"/>
  <c r="I278" i="12"/>
  <c r="J278" i="12" s="1"/>
  <c r="C282" i="12"/>
  <c r="C283" i="12" s="1"/>
  <c r="I279" i="12"/>
  <c r="J279" i="12" s="1"/>
  <c r="G282" i="12"/>
  <c r="F262" i="12"/>
  <c r="N250" i="12"/>
  <c r="W102" i="12" s="1"/>
  <c r="E268" i="12"/>
  <c r="C253" i="12"/>
  <c r="G268" i="12"/>
  <c r="I220" i="12"/>
  <c r="J220" i="12" s="1"/>
  <c r="K220" i="12"/>
  <c r="F224" i="12"/>
  <c r="F225" i="12" s="1"/>
  <c r="J219" i="12"/>
  <c r="C195" i="12"/>
  <c r="C196" i="12" s="1"/>
  <c r="E195" i="12"/>
  <c r="E196" i="12" s="1"/>
  <c r="K191" i="12"/>
  <c r="G195" i="12"/>
  <c r="K193" i="12"/>
  <c r="L200" i="12"/>
  <c r="L202" i="12"/>
  <c r="F202" i="12" s="1"/>
  <c r="I189" i="12"/>
  <c r="J189" i="12" s="1"/>
  <c r="F210" i="12"/>
  <c r="L171" i="12"/>
  <c r="G166" i="12"/>
  <c r="G167" i="12" s="1"/>
  <c r="G152" i="12"/>
  <c r="H107" i="12"/>
  <c r="I108" i="12" s="1"/>
  <c r="AD19" i="12" s="1"/>
  <c r="L114" i="12"/>
  <c r="D114" i="12" s="1"/>
  <c r="L117" i="12"/>
  <c r="C117" i="12" s="1"/>
  <c r="K105" i="12"/>
  <c r="C108" i="12"/>
  <c r="C109" i="12" s="1"/>
  <c r="D115" i="12"/>
  <c r="G108" i="12"/>
  <c r="G109" i="12" s="1"/>
  <c r="F115" i="12"/>
  <c r="I106" i="12"/>
  <c r="H78" i="12"/>
  <c r="I79" i="12" s="1"/>
  <c r="AD18" i="12" s="1"/>
  <c r="K73" i="12"/>
  <c r="L85" i="12"/>
  <c r="I75" i="12"/>
  <c r="J75" i="12" s="1"/>
  <c r="C94" i="12"/>
  <c r="K75" i="12"/>
  <c r="E94" i="12"/>
  <c r="G79" i="12"/>
  <c r="G80" i="12" s="1"/>
  <c r="I77" i="12"/>
  <c r="J77" i="12" s="1"/>
  <c r="L84" i="12"/>
  <c r="G84" i="12" s="1"/>
  <c r="D50" i="12"/>
  <c r="D51" i="12" s="1"/>
  <c r="G50" i="12"/>
  <c r="G51" i="12" s="1"/>
  <c r="L55" i="12"/>
  <c r="I48" i="12"/>
  <c r="J48" i="12" s="1"/>
  <c r="K48" i="12"/>
  <c r="N44" i="12"/>
  <c r="T32" i="12" s="1"/>
  <c r="H49" i="12"/>
  <c r="I50" i="12" s="1"/>
  <c r="AD17" i="12" s="1"/>
  <c r="E40" i="12"/>
  <c r="G40" i="12"/>
  <c r="O29" i="12"/>
  <c r="O30" i="12"/>
  <c r="F30" i="12" s="1"/>
  <c r="O27" i="12"/>
  <c r="D27" i="12" s="1"/>
  <c r="O28" i="12"/>
  <c r="I19" i="12"/>
  <c r="J19" i="12" s="1"/>
  <c r="L29" i="12"/>
  <c r="G21" i="12"/>
  <c r="K19" i="12"/>
  <c r="K18" i="12"/>
  <c r="E21" i="12"/>
  <c r="E22" i="12" s="1"/>
  <c r="I16" i="12"/>
  <c r="J16" i="12" s="1"/>
  <c r="BK22" i="12"/>
  <c r="BK24" i="12" s="1"/>
  <c r="BK25" i="12" s="1"/>
  <c r="BK26" i="12" s="1"/>
  <c r="J17" i="12"/>
  <c r="C26" i="12"/>
  <c r="G26" i="12"/>
  <c r="F26" i="12"/>
  <c r="E26" i="12"/>
  <c r="D26" i="12"/>
  <c r="E51" i="12"/>
  <c r="C5" i="12"/>
  <c r="E5" i="12" s="1"/>
  <c r="K15" i="12"/>
  <c r="K17" i="12"/>
  <c r="V287" i="12"/>
  <c r="V288" i="12"/>
  <c r="V289" i="12" s="1"/>
  <c r="V226" i="12"/>
  <c r="F50" i="12"/>
  <c r="D109" i="12"/>
  <c r="N103" i="12"/>
  <c r="U52" i="12" s="1"/>
  <c r="C6" i="12"/>
  <c r="E6" i="12" s="1"/>
  <c r="K16" i="12"/>
  <c r="C21" i="12"/>
  <c r="X287" i="12"/>
  <c r="X288" i="12"/>
  <c r="X289" i="12" s="1"/>
  <c r="X226" i="12"/>
  <c r="L56" i="12"/>
  <c r="D21" i="12"/>
  <c r="AA23" i="12"/>
  <c r="L28" i="12"/>
  <c r="K47" i="12"/>
  <c r="I47" i="12"/>
  <c r="J47" i="12" s="1"/>
  <c r="AT85" i="12"/>
  <c r="AR85" i="12"/>
  <c r="AU96" i="12"/>
  <c r="AQ88" i="12"/>
  <c r="AR89" i="12" s="1"/>
  <c r="D84" i="12"/>
  <c r="C7" i="12"/>
  <c r="E7" i="12" s="1"/>
  <c r="BI162" i="12"/>
  <c r="L145" i="12"/>
  <c r="K134" i="12"/>
  <c r="I134" i="12"/>
  <c r="J134" i="12" s="1"/>
  <c r="W287" i="12"/>
  <c r="W288" i="12"/>
  <c r="W289" i="12" s="1"/>
  <c r="W226" i="12"/>
  <c r="F21" i="12"/>
  <c r="H136" i="12"/>
  <c r="I137" i="12" s="1"/>
  <c r="AD20" i="12" s="1"/>
  <c r="BI58" i="12"/>
  <c r="K46" i="12"/>
  <c r="I46" i="12"/>
  <c r="J46" i="12" s="1"/>
  <c r="N73" i="12"/>
  <c r="T42" i="12" s="1"/>
  <c r="C80" i="12"/>
  <c r="L172" i="12"/>
  <c r="K161" i="12"/>
  <c r="I161" i="12"/>
  <c r="F40" i="12"/>
  <c r="D40" i="12"/>
  <c r="E65" i="12"/>
  <c r="K76" i="12"/>
  <c r="L87" i="12"/>
  <c r="I76" i="12"/>
  <c r="J76" i="12" s="1"/>
  <c r="E80" i="12"/>
  <c r="AM89" i="12"/>
  <c r="AT84" i="12"/>
  <c r="AM104" i="12"/>
  <c r="E123" i="12"/>
  <c r="E108" i="12"/>
  <c r="C3" i="12"/>
  <c r="H20" i="12"/>
  <c r="I21" i="12" s="1"/>
  <c r="AD16" i="12" s="1"/>
  <c r="C51" i="12"/>
  <c r="K45" i="12"/>
  <c r="I45" i="12"/>
  <c r="I15" i="12"/>
  <c r="J15" i="12" s="1"/>
  <c r="T288" i="12"/>
  <c r="T289" i="12" s="1"/>
  <c r="T287" i="12"/>
  <c r="T226" i="12"/>
  <c r="O59" i="12"/>
  <c r="O56" i="12"/>
  <c r="O57" i="12"/>
  <c r="E57" i="12" s="1"/>
  <c r="O58" i="12"/>
  <c r="F58" i="12" s="1"/>
  <c r="U288" i="12"/>
  <c r="U289" i="12" s="1"/>
  <c r="U287" i="12"/>
  <c r="U226" i="12"/>
  <c r="BL39" i="12"/>
  <c r="G143" i="12"/>
  <c r="C143" i="12"/>
  <c r="O85" i="12"/>
  <c r="AT87" i="12"/>
  <c r="I131" i="12"/>
  <c r="L142" i="12"/>
  <c r="K131" i="12"/>
  <c r="D137" i="12"/>
  <c r="C181" i="12"/>
  <c r="C166" i="12"/>
  <c r="O173" i="12"/>
  <c r="C173" i="12" s="1"/>
  <c r="K221" i="12"/>
  <c r="L232" i="12"/>
  <c r="I221" i="12"/>
  <c r="L258" i="12"/>
  <c r="K247" i="12"/>
  <c r="I247" i="12"/>
  <c r="J247" i="12" s="1"/>
  <c r="H252" i="12"/>
  <c r="I253" i="12" s="1"/>
  <c r="AD24" i="12" s="1"/>
  <c r="AU98" i="12"/>
  <c r="AO123" i="12"/>
  <c r="AM123" i="12"/>
  <c r="AN123" i="12"/>
  <c r="E127" i="12"/>
  <c r="C127" i="12"/>
  <c r="G127" i="12"/>
  <c r="K133" i="12"/>
  <c r="I133" i="12"/>
  <c r="J133" i="12" s="1"/>
  <c r="F137" i="12"/>
  <c r="L144" i="12"/>
  <c r="O87" i="12"/>
  <c r="L88" i="12"/>
  <c r="AN104" i="12"/>
  <c r="AP123" i="12"/>
  <c r="F143" i="12"/>
  <c r="O88" i="12"/>
  <c r="E69" i="12"/>
  <c r="D79" i="12"/>
  <c r="C115" i="12"/>
  <c r="O118" i="12"/>
  <c r="D123" i="12"/>
  <c r="E138" i="12"/>
  <c r="F146" i="12"/>
  <c r="E146" i="12"/>
  <c r="O174" i="12"/>
  <c r="O172" i="12"/>
  <c r="O171" i="12"/>
  <c r="F79" i="12"/>
  <c r="C98" i="12"/>
  <c r="K102" i="12"/>
  <c r="E115" i="12"/>
  <c r="F127" i="12"/>
  <c r="H165" i="12"/>
  <c r="I166" i="12" s="1"/>
  <c r="AD21" i="12" s="1"/>
  <c r="AL89" i="12"/>
  <c r="E98" i="12"/>
  <c r="K132" i="12"/>
  <c r="K160" i="12"/>
  <c r="F98" i="12"/>
  <c r="K163" i="12"/>
  <c r="L174" i="12"/>
  <c r="I163" i="12"/>
  <c r="J163" i="12" s="1"/>
  <c r="N135" i="12"/>
  <c r="X62" i="12" s="1"/>
  <c r="O144" i="12"/>
  <c r="K164" i="12"/>
  <c r="L201" i="12"/>
  <c r="K190" i="12"/>
  <c r="I190" i="12"/>
  <c r="J190" i="12" s="1"/>
  <c r="H194" i="12"/>
  <c r="I195" i="12" s="1"/>
  <c r="AD22" i="12" s="1"/>
  <c r="F214" i="12"/>
  <c r="D214" i="12"/>
  <c r="C214" i="12"/>
  <c r="C203" i="12"/>
  <c r="G203" i="12"/>
  <c r="E203" i="12"/>
  <c r="K222" i="12"/>
  <c r="G239" i="12"/>
  <c r="G224" i="12"/>
  <c r="E166" i="12"/>
  <c r="E181" i="12"/>
  <c r="D185" i="12"/>
  <c r="F185" i="12"/>
  <c r="K192" i="12"/>
  <c r="I192" i="12"/>
  <c r="G196" i="12"/>
  <c r="F259" i="12"/>
  <c r="E259" i="12"/>
  <c r="D259" i="12"/>
  <c r="C259" i="12"/>
  <c r="E152" i="12"/>
  <c r="C156" i="12"/>
  <c r="F166" i="12"/>
  <c r="D143" i="12"/>
  <c r="G254" i="12"/>
  <c r="D146" i="12"/>
  <c r="C185" i="12"/>
  <c r="D195" i="12"/>
  <c r="D210" i="12"/>
  <c r="C200" i="12"/>
  <c r="G200" i="12"/>
  <c r="E200" i="12"/>
  <c r="K218" i="12"/>
  <c r="L229" i="12"/>
  <c r="I218" i="12"/>
  <c r="J218" i="12" s="1"/>
  <c r="H223" i="12"/>
  <c r="I224" i="12" s="1"/>
  <c r="AD23" i="12" s="1"/>
  <c r="C224" i="12"/>
  <c r="C239" i="12"/>
  <c r="I164" i="12"/>
  <c r="G185" i="12"/>
  <c r="D203" i="12"/>
  <c r="G214" i="12"/>
  <c r="O407" i="12"/>
  <c r="O405" i="12"/>
  <c r="O403" i="12"/>
  <c r="O406" i="12"/>
  <c r="F406" i="12" s="1"/>
  <c r="O404" i="12"/>
  <c r="L230" i="12"/>
  <c r="C260" i="12"/>
  <c r="G262" i="12"/>
  <c r="D318" i="12"/>
  <c r="C318" i="12"/>
  <c r="G318" i="12"/>
  <c r="F318" i="12"/>
  <c r="G341" i="12"/>
  <c r="E260" i="12"/>
  <c r="D319" i="12"/>
  <c r="C319" i="12"/>
  <c r="G319" i="12"/>
  <c r="F319" i="12"/>
  <c r="E233" i="12"/>
  <c r="I248" i="12"/>
  <c r="J248" i="12" s="1"/>
  <c r="C436" i="12"/>
  <c r="E436" i="12"/>
  <c r="D436" i="12"/>
  <c r="G436" i="12"/>
  <c r="K248" i="12"/>
  <c r="D254" i="12"/>
  <c r="H281" i="12"/>
  <c r="I282" i="12" s="1"/>
  <c r="AD25" i="12" s="1"/>
  <c r="L287" i="12"/>
  <c r="L320" i="12"/>
  <c r="K309" i="12"/>
  <c r="I309" i="12"/>
  <c r="D485" i="12"/>
  <c r="K480" i="12"/>
  <c r="D500" i="12"/>
  <c r="F254" i="12"/>
  <c r="I276" i="12"/>
  <c r="J276" i="12" s="1"/>
  <c r="C312" i="12"/>
  <c r="F436" i="12"/>
  <c r="F260" i="12"/>
  <c r="D260" i="12"/>
  <c r="G347" i="12"/>
  <c r="F347" i="12"/>
  <c r="C347" i="12"/>
  <c r="E243" i="12"/>
  <c r="G272" i="12"/>
  <c r="E272" i="12"/>
  <c r="G370" i="12"/>
  <c r="N367" i="12"/>
  <c r="X142" i="12" s="1"/>
  <c r="J363" i="12"/>
  <c r="N363" i="12"/>
  <c r="T142" i="12" s="1"/>
  <c r="I251" i="12"/>
  <c r="J251" i="12" s="1"/>
  <c r="N247" i="12"/>
  <c r="T102" i="12" s="1"/>
  <c r="C254" i="12"/>
  <c r="D268" i="12"/>
  <c r="D272" i="12"/>
  <c r="C288" i="12"/>
  <c r="G288" i="12"/>
  <c r="H310" i="12"/>
  <c r="I311" i="12" s="1"/>
  <c r="AD26" i="12" s="1"/>
  <c r="K251" i="12"/>
  <c r="C262" i="12"/>
  <c r="D291" i="12"/>
  <c r="D317" i="12"/>
  <c r="C317" i="12"/>
  <c r="G317" i="12"/>
  <c r="F317" i="12"/>
  <c r="D312" i="12"/>
  <c r="E262" i="12"/>
  <c r="F268" i="12"/>
  <c r="K277" i="12"/>
  <c r="L462" i="12"/>
  <c r="K451" i="12"/>
  <c r="I451" i="12"/>
  <c r="J451" i="12" s="1"/>
  <c r="E456" i="12"/>
  <c r="E471" i="12"/>
  <c r="F529" i="12"/>
  <c r="K511" i="12"/>
  <c r="F514" i="12"/>
  <c r="K540" i="12"/>
  <c r="L551" i="12"/>
  <c r="I334" i="12"/>
  <c r="J334" i="12" s="1"/>
  <c r="F348" i="12"/>
  <c r="L403" i="12"/>
  <c r="K392" i="12"/>
  <c r="I392" i="12"/>
  <c r="J392" i="12" s="1"/>
  <c r="L407" i="12"/>
  <c r="K396" i="12"/>
  <c r="K452" i="12"/>
  <c r="F500" i="12"/>
  <c r="F485" i="12"/>
  <c r="G529" i="12"/>
  <c r="K512" i="12"/>
  <c r="G514" i="12"/>
  <c r="I540" i="12"/>
  <c r="J540" i="12" s="1"/>
  <c r="O292" i="12"/>
  <c r="G301" i="12"/>
  <c r="I307" i="12"/>
  <c r="J307" i="12" s="1"/>
  <c r="L346" i="12"/>
  <c r="I364" i="12"/>
  <c r="I396" i="12"/>
  <c r="J396" i="12" s="1"/>
  <c r="C442" i="12"/>
  <c r="C427" i="12"/>
  <c r="G500" i="12"/>
  <c r="G485" i="12"/>
  <c r="L552" i="12"/>
  <c r="K541" i="12"/>
  <c r="I541" i="12"/>
  <c r="J541" i="12" s="1"/>
  <c r="C289" i="12"/>
  <c r="K334" i="12"/>
  <c r="E348" i="12"/>
  <c r="D348" i="12"/>
  <c r="L345" i="12"/>
  <c r="K364" i="12"/>
  <c r="E384" i="12"/>
  <c r="L404" i="12"/>
  <c r="I393" i="12"/>
  <c r="N450" i="12"/>
  <c r="T172" i="12" s="1"/>
  <c r="L492" i="12"/>
  <c r="H484" i="12"/>
  <c r="I485" i="12" s="1"/>
  <c r="AD32" i="12" s="1"/>
  <c r="K481" i="12"/>
  <c r="E493" i="12"/>
  <c r="D493" i="12"/>
  <c r="C493" i="12"/>
  <c r="D282" i="12"/>
  <c r="I305" i="12"/>
  <c r="J305" i="12" s="1"/>
  <c r="K307" i="12"/>
  <c r="O321" i="12"/>
  <c r="I337" i="12"/>
  <c r="J337" i="12" s="1"/>
  <c r="G384" i="12"/>
  <c r="K393" i="12"/>
  <c r="C413" i="12"/>
  <c r="C398" i="12"/>
  <c r="E442" i="12"/>
  <c r="E427" i="12"/>
  <c r="I481" i="12"/>
  <c r="J481" i="12" s="1"/>
  <c r="E521" i="12"/>
  <c r="C529" i="12"/>
  <c r="D558" i="12"/>
  <c r="D543" i="12"/>
  <c r="N307" i="12"/>
  <c r="V122" i="12" s="1"/>
  <c r="K365" i="12"/>
  <c r="K422" i="12"/>
  <c r="O434" i="12"/>
  <c r="O432" i="12"/>
  <c r="O435" i="12"/>
  <c r="G521" i="12"/>
  <c r="G523" i="12"/>
  <c r="F523" i="12"/>
  <c r="E523" i="12"/>
  <c r="D523" i="12"/>
  <c r="N539" i="12"/>
  <c r="V202" i="12" s="1"/>
  <c r="E544" i="12"/>
  <c r="F282" i="12"/>
  <c r="F289" i="12"/>
  <c r="K305" i="12"/>
  <c r="L316" i="12"/>
  <c r="F326" i="12"/>
  <c r="I335" i="12"/>
  <c r="J335" i="12" s="1"/>
  <c r="K337" i="12"/>
  <c r="I366" i="12"/>
  <c r="J366" i="12" s="1"/>
  <c r="L377" i="12"/>
  <c r="H368" i="12"/>
  <c r="I369" i="12" s="1"/>
  <c r="AD28" i="12" s="1"/>
  <c r="I423" i="12"/>
  <c r="J423" i="12" s="1"/>
  <c r="L434" i="12"/>
  <c r="C457" i="12"/>
  <c r="K482" i="12"/>
  <c r="I482" i="12"/>
  <c r="J482" i="12" s="1"/>
  <c r="L578" i="12"/>
  <c r="I567" i="12"/>
  <c r="J567" i="12" s="1"/>
  <c r="H571" i="12"/>
  <c r="I572" i="12" s="1"/>
  <c r="AD35" i="12" s="1"/>
  <c r="C340" i="12"/>
  <c r="F413" i="12"/>
  <c r="F398" i="12"/>
  <c r="K395" i="12"/>
  <c r="D427" i="12"/>
  <c r="L519" i="12"/>
  <c r="K508" i="12"/>
  <c r="H513" i="12"/>
  <c r="I514" i="12" s="1"/>
  <c r="AD33" i="12" s="1"/>
  <c r="I508" i="12"/>
  <c r="G543" i="12"/>
  <c r="G558" i="12"/>
  <c r="G573" i="12"/>
  <c r="N570" i="12"/>
  <c r="X212" i="12" s="1"/>
  <c r="D330" i="12"/>
  <c r="E349" i="12"/>
  <c r="D340" i="12"/>
  <c r="K366" i="12"/>
  <c r="L376" i="12"/>
  <c r="K423" i="12"/>
  <c r="G494" i="12"/>
  <c r="F494" i="12"/>
  <c r="E494" i="12"/>
  <c r="D494" i="12"/>
  <c r="I538" i="12"/>
  <c r="J538" i="12" s="1"/>
  <c r="K538" i="12"/>
  <c r="C544" i="12"/>
  <c r="E340" i="12"/>
  <c r="E388" i="12"/>
  <c r="D388" i="12"/>
  <c r="H397" i="12"/>
  <c r="I398" i="12" s="1"/>
  <c r="AD29" i="12" s="1"/>
  <c r="K424" i="12"/>
  <c r="L435" i="12"/>
  <c r="I424" i="12"/>
  <c r="F465" i="12"/>
  <c r="D465" i="12"/>
  <c r="C465" i="12"/>
  <c r="O524" i="12"/>
  <c r="E579" i="12"/>
  <c r="E347" i="12"/>
  <c r="D347" i="12"/>
  <c r="F340" i="12"/>
  <c r="K363" i="12"/>
  <c r="L374" i="12"/>
  <c r="C388" i="12"/>
  <c r="E399" i="12"/>
  <c r="H455" i="12"/>
  <c r="I456" i="12" s="1"/>
  <c r="AD31" i="12" s="1"/>
  <c r="K450" i="12"/>
  <c r="C500" i="12"/>
  <c r="C485" i="12"/>
  <c r="K479" i="12"/>
  <c r="D514" i="12"/>
  <c r="D529" i="12"/>
  <c r="F580" i="12"/>
  <c r="C580" i="12"/>
  <c r="E580" i="12"/>
  <c r="F369" i="12"/>
  <c r="F463" i="12"/>
  <c r="D463" i="12"/>
  <c r="F491" i="12"/>
  <c r="O549" i="12"/>
  <c r="F549" i="12" s="1"/>
  <c r="F359" i="12"/>
  <c r="G456" i="12"/>
  <c r="D475" i="12"/>
  <c r="E504" i="12"/>
  <c r="I510" i="12"/>
  <c r="D522" i="12"/>
  <c r="O548" i="12"/>
  <c r="G548" i="12" s="1"/>
  <c r="J568" i="12"/>
  <c r="C587" i="12"/>
  <c r="C378" i="12"/>
  <c r="I422" i="12"/>
  <c r="J422" i="12" s="1"/>
  <c r="L433" i="12"/>
  <c r="C446" i="12"/>
  <c r="K454" i="12"/>
  <c r="K483" i="12"/>
  <c r="O495" i="12"/>
  <c r="F504" i="12"/>
  <c r="C521" i="12"/>
  <c r="E522" i="12"/>
  <c r="L581" i="12"/>
  <c r="E587" i="12"/>
  <c r="I569" i="12"/>
  <c r="F587" i="12"/>
  <c r="K425" i="12"/>
  <c r="G446" i="12"/>
  <c r="E463" i="12"/>
  <c r="D491" i="12"/>
  <c r="H542" i="12"/>
  <c r="I543" i="12" s="1"/>
  <c r="AD34" i="12" s="1"/>
  <c r="E577" i="12"/>
  <c r="G587" i="12"/>
  <c r="L520" i="12"/>
  <c r="K509" i="12"/>
  <c r="H426" i="12"/>
  <c r="I427" i="12" s="1"/>
  <c r="AD30" i="12" s="1"/>
  <c r="G490" i="12"/>
  <c r="I509" i="12"/>
  <c r="J509" i="12" s="1"/>
  <c r="O550" i="12"/>
  <c r="C550" i="12" s="1"/>
  <c r="C591" i="12"/>
  <c r="D591" i="12"/>
  <c r="E591" i="12"/>
  <c r="F591" i="12"/>
  <c r="AL123" i="9"/>
  <c r="AP123" i="9"/>
  <c r="AM123" i="9"/>
  <c r="AO123" i="9"/>
  <c r="E272" i="9"/>
  <c r="F272" i="9"/>
  <c r="G272" i="9"/>
  <c r="D272" i="9"/>
  <c r="G388" i="9"/>
  <c r="E388" i="9"/>
  <c r="F591" i="9"/>
  <c r="G562" i="9"/>
  <c r="E562" i="9"/>
  <c r="C562" i="9"/>
  <c r="F562" i="9"/>
  <c r="G533" i="9"/>
  <c r="F533" i="9"/>
  <c r="C533" i="9"/>
  <c r="D533" i="9"/>
  <c r="G504" i="9"/>
  <c r="E504" i="9"/>
  <c r="F504" i="9"/>
  <c r="D504" i="9"/>
  <c r="D475" i="9"/>
  <c r="F475" i="9"/>
  <c r="C475" i="9"/>
  <c r="E475" i="9"/>
  <c r="D446" i="9"/>
  <c r="E446" i="9"/>
  <c r="F446" i="9"/>
  <c r="C446" i="9"/>
  <c r="E417" i="9"/>
  <c r="F417" i="9"/>
  <c r="D417" i="9"/>
  <c r="G417" i="9"/>
  <c r="C388" i="9"/>
  <c r="G359" i="9"/>
  <c r="C359" i="9"/>
  <c r="D359" i="9"/>
  <c r="F359" i="9"/>
  <c r="F330" i="9"/>
  <c r="E330" i="9"/>
  <c r="D330" i="9"/>
  <c r="G330" i="9"/>
  <c r="C301" i="9"/>
  <c r="D301" i="9"/>
  <c r="E301" i="9"/>
  <c r="F301" i="9"/>
  <c r="F243" i="9"/>
  <c r="G243" i="9"/>
  <c r="C214" i="9"/>
  <c r="D214" i="9"/>
  <c r="E214" i="9"/>
  <c r="F214" i="9"/>
  <c r="G185" i="9"/>
  <c r="E185" i="9"/>
  <c r="C185" i="9"/>
  <c r="F185" i="9"/>
  <c r="E156" i="9"/>
  <c r="F156" i="9"/>
  <c r="C156" i="9"/>
  <c r="D156" i="9"/>
  <c r="C69" i="9"/>
  <c r="D69" i="9"/>
  <c r="E69" i="9"/>
  <c r="C591" i="9"/>
  <c r="D591" i="9"/>
  <c r="E591" i="9"/>
  <c r="C243" i="9"/>
  <c r="D243" i="9"/>
  <c r="C127" i="9"/>
  <c r="D127" i="9"/>
  <c r="E127" i="9"/>
  <c r="F127" i="9"/>
  <c r="C98" i="9"/>
  <c r="D98" i="9"/>
  <c r="E98" i="9"/>
  <c r="F98" i="9"/>
  <c r="G69" i="9"/>
  <c r="AN89" i="9"/>
  <c r="AN90" i="9" s="1"/>
  <c r="C40" i="9"/>
  <c r="G40" i="9"/>
  <c r="F40" i="9"/>
  <c r="E40" i="9"/>
  <c r="AU98" i="9"/>
  <c r="AR87" i="9"/>
  <c r="AS87" i="9" s="1"/>
  <c r="AX98" i="9"/>
  <c r="AS116" i="9"/>
  <c r="AX94" i="9"/>
  <c r="AX97" i="9"/>
  <c r="AO97" i="9" s="1"/>
  <c r="AX96" i="9"/>
  <c r="AX95" i="9"/>
  <c r="AP89" i="9"/>
  <c r="AT87" i="9"/>
  <c r="AR86" i="9"/>
  <c r="AS86" i="9" s="1"/>
  <c r="AT86" i="9"/>
  <c r="AO89" i="9"/>
  <c r="AQ88" i="9"/>
  <c r="AR89" i="9" s="1"/>
  <c r="AT84" i="9"/>
  <c r="AT85" i="9"/>
  <c r="AT83" i="9"/>
  <c r="AU94" i="9"/>
  <c r="AU95" i="9"/>
  <c r="AU96" i="9"/>
  <c r="AR83" i="9"/>
  <c r="AS83" i="9" s="1"/>
  <c r="AL89" i="9"/>
  <c r="AM89" i="9"/>
  <c r="N540" i="14" l="1"/>
  <c r="W202" i="14" s="1"/>
  <c r="F405" i="14"/>
  <c r="N365" i="14"/>
  <c r="V142" i="14" s="1"/>
  <c r="C172" i="14"/>
  <c r="D462" i="14"/>
  <c r="G283" i="14"/>
  <c r="C580" i="14"/>
  <c r="N539" i="14"/>
  <c r="V202" i="14" s="1"/>
  <c r="N569" i="14"/>
  <c r="W212" i="14" s="1"/>
  <c r="N338" i="14"/>
  <c r="X132" i="14" s="1"/>
  <c r="D580" i="14"/>
  <c r="F520" i="14"/>
  <c r="F463" i="14"/>
  <c r="AN94" i="14"/>
  <c r="G463" i="14"/>
  <c r="AL94" i="14"/>
  <c r="N73" i="14"/>
  <c r="T42" i="14" s="1"/>
  <c r="N247" i="14"/>
  <c r="T102" i="14" s="1"/>
  <c r="N306" i="14"/>
  <c r="U122" i="14" s="1"/>
  <c r="N75" i="14"/>
  <c r="V42" i="14" s="1"/>
  <c r="F579" i="14"/>
  <c r="N367" i="14"/>
  <c r="X142" i="14" s="1"/>
  <c r="C406" i="14"/>
  <c r="H406" i="14" s="1"/>
  <c r="I406" i="14" s="1"/>
  <c r="N512" i="14"/>
  <c r="X192" i="14" s="1"/>
  <c r="N510" i="14"/>
  <c r="V192" i="14" s="1"/>
  <c r="D260" i="14"/>
  <c r="C144" i="14"/>
  <c r="D86" i="14"/>
  <c r="E550" i="14"/>
  <c r="N452" i="14"/>
  <c r="V172" i="14" s="1"/>
  <c r="N422" i="14"/>
  <c r="U162" i="14" s="1"/>
  <c r="G260" i="14"/>
  <c r="F175" i="14"/>
  <c r="F580" i="14"/>
  <c r="G579" i="14"/>
  <c r="O495" i="14"/>
  <c r="G258" i="14"/>
  <c r="C260" i="14"/>
  <c r="E87" i="14"/>
  <c r="AO95" i="14"/>
  <c r="F403" i="14"/>
  <c r="N76" i="14"/>
  <c r="W42" i="14" s="1"/>
  <c r="D577" i="14"/>
  <c r="C87" i="14"/>
  <c r="C86" i="14"/>
  <c r="N454" i="14"/>
  <c r="X172" i="14" s="1"/>
  <c r="G341" i="14"/>
  <c r="G349" i="14"/>
  <c r="E173" i="14"/>
  <c r="O466" i="14"/>
  <c r="AP98" i="14"/>
  <c r="AN98" i="14"/>
  <c r="E578" i="14"/>
  <c r="C578" i="14"/>
  <c r="F550" i="14"/>
  <c r="D520" i="14"/>
  <c r="G521" i="14"/>
  <c r="H521" i="14" s="1"/>
  <c r="I521" i="14" s="1"/>
  <c r="G520" i="14"/>
  <c r="H523" i="14"/>
  <c r="I523" i="14" s="1"/>
  <c r="C520" i="14"/>
  <c r="E492" i="14"/>
  <c r="G494" i="14"/>
  <c r="H494" i="14" s="1"/>
  <c r="I494" i="14" s="1"/>
  <c r="C463" i="14"/>
  <c r="D461" i="14"/>
  <c r="H461" i="14" s="1"/>
  <c r="I461" i="14" s="1"/>
  <c r="D463" i="14"/>
  <c r="E462" i="14"/>
  <c r="H462" i="14" s="1"/>
  <c r="I462" i="14" s="1"/>
  <c r="E404" i="14"/>
  <c r="G406" i="14"/>
  <c r="E403" i="14"/>
  <c r="C405" i="14"/>
  <c r="H405" i="14" s="1"/>
  <c r="I405" i="14" s="1"/>
  <c r="F404" i="14"/>
  <c r="D403" i="14"/>
  <c r="O408" i="14"/>
  <c r="E405" i="14"/>
  <c r="G404" i="14"/>
  <c r="C403" i="14"/>
  <c r="C404" i="14"/>
  <c r="D405" i="14"/>
  <c r="F406" i="14"/>
  <c r="F349" i="14"/>
  <c r="G345" i="14"/>
  <c r="G317" i="14"/>
  <c r="C319" i="14"/>
  <c r="D317" i="14"/>
  <c r="D319" i="14"/>
  <c r="F288" i="14"/>
  <c r="O234" i="14"/>
  <c r="F232" i="14"/>
  <c r="E172" i="14"/>
  <c r="G144" i="14"/>
  <c r="O147" i="14"/>
  <c r="G142" i="14"/>
  <c r="D142" i="14"/>
  <c r="D144" i="14"/>
  <c r="G87" i="14"/>
  <c r="D87" i="14"/>
  <c r="C56" i="14"/>
  <c r="C28" i="14"/>
  <c r="G28" i="14"/>
  <c r="D548" i="12"/>
  <c r="O379" i="12"/>
  <c r="F349" i="12"/>
  <c r="O350" i="12"/>
  <c r="G349" i="12"/>
  <c r="C349" i="12"/>
  <c r="C291" i="12"/>
  <c r="E291" i="12"/>
  <c r="H291" i="12" s="1"/>
  <c r="I291" i="12" s="1"/>
  <c r="G291" i="12"/>
  <c r="D233" i="12"/>
  <c r="F233" i="12"/>
  <c r="G233" i="12"/>
  <c r="C204" i="12"/>
  <c r="G204" i="12"/>
  <c r="D204" i="12"/>
  <c r="F204" i="12"/>
  <c r="H204" i="12" s="1"/>
  <c r="I204" i="12" s="1"/>
  <c r="K204" i="12" s="1"/>
  <c r="P204" i="12" s="1"/>
  <c r="C116" i="12"/>
  <c r="D116" i="12"/>
  <c r="E116" i="12"/>
  <c r="F116" i="12"/>
  <c r="AW85" i="9"/>
  <c r="AN115" i="9" s="1"/>
  <c r="C375" i="12"/>
  <c r="H375" i="12" s="1"/>
  <c r="I375" i="12" s="1"/>
  <c r="D490" i="12"/>
  <c r="F261" i="12"/>
  <c r="G375" i="12"/>
  <c r="C490" i="12"/>
  <c r="G461" i="12"/>
  <c r="F375" i="12"/>
  <c r="N425" i="12"/>
  <c r="X162" i="12" s="1"/>
  <c r="D86" i="12"/>
  <c r="N193" i="12"/>
  <c r="X82" i="12" s="1"/>
  <c r="O466" i="12"/>
  <c r="D461" i="12"/>
  <c r="D173" i="12"/>
  <c r="E461" i="12"/>
  <c r="C113" i="12"/>
  <c r="E86" i="12"/>
  <c r="O205" i="12"/>
  <c r="O263" i="12"/>
  <c r="N189" i="12"/>
  <c r="T82" i="12" s="1"/>
  <c r="C86" i="12"/>
  <c r="E113" i="12"/>
  <c r="G86" i="12"/>
  <c r="E173" i="12"/>
  <c r="C549" i="12"/>
  <c r="F113" i="12"/>
  <c r="N453" i="12"/>
  <c r="W172" i="12" s="1"/>
  <c r="D375" i="12"/>
  <c r="N248" i="12"/>
  <c r="U102" i="12" s="1"/>
  <c r="G113" i="12"/>
  <c r="N106" i="12"/>
  <c r="X52" i="12" s="1"/>
  <c r="F522" i="12"/>
  <c r="E375" i="12"/>
  <c r="D29" i="12"/>
  <c r="AM98" i="14"/>
  <c r="AL98" i="14"/>
  <c r="AQ98" i="14" s="1"/>
  <c r="AR98" i="14" s="1"/>
  <c r="AP94" i="14"/>
  <c r="AN95" i="14"/>
  <c r="AM94" i="14"/>
  <c r="AW86" i="14"/>
  <c r="AO115" i="14" s="1"/>
  <c r="AW87" i="14"/>
  <c r="AP115" i="14" s="1"/>
  <c r="N278" i="14"/>
  <c r="V112" i="14" s="1"/>
  <c r="F258" i="14"/>
  <c r="E260" i="14"/>
  <c r="N251" i="14"/>
  <c r="X102" i="14" s="1"/>
  <c r="C232" i="14"/>
  <c r="G232" i="14"/>
  <c r="D232" i="14"/>
  <c r="E233" i="14"/>
  <c r="C233" i="14"/>
  <c r="D233" i="14"/>
  <c r="N220" i="14"/>
  <c r="V92" i="14" s="1"/>
  <c r="D173" i="14"/>
  <c r="D175" i="14"/>
  <c r="D172" i="14"/>
  <c r="F173" i="14"/>
  <c r="G172" i="14"/>
  <c r="C173" i="14"/>
  <c r="N164" i="14"/>
  <c r="X72" i="14" s="1"/>
  <c r="C175" i="14"/>
  <c r="E175" i="14"/>
  <c r="N133" i="14"/>
  <c r="V62" i="14" s="1"/>
  <c r="N104" i="14"/>
  <c r="V52" i="14" s="1"/>
  <c r="E85" i="14"/>
  <c r="O89" i="14"/>
  <c r="E86" i="14"/>
  <c r="F86" i="14"/>
  <c r="C80" i="14"/>
  <c r="G85" i="14"/>
  <c r="C85" i="14"/>
  <c r="F287" i="14"/>
  <c r="E287" i="14"/>
  <c r="D287" i="14"/>
  <c r="D258" i="14"/>
  <c r="O263" i="14"/>
  <c r="E258" i="14"/>
  <c r="D200" i="14"/>
  <c r="C200" i="14"/>
  <c r="E200" i="14"/>
  <c r="D201" i="14"/>
  <c r="E144" i="14"/>
  <c r="F142" i="14"/>
  <c r="E142" i="14"/>
  <c r="D114" i="14"/>
  <c r="G114" i="14"/>
  <c r="F114" i="14"/>
  <c r="AA287" i="14"/>
  <c r="F85" i="14"/>
  <c r="D85" i="14"/>
  <c r="G59" i="14"/>
  <c r="C59" i="14"/>
  <c r="D59" i="14"/>
  <c r="AA288" i="14"/>
  <c r="N568" i="14"/>
  <c r="V212" i="14" s="1"/>
  <c r="C579" i="14"/>
  <c r="N570" i="14"/>
  <c r="X212" i="14" s="1"/>
  <c r="D579" i="14"/>
  <c r="E579" i="14"/>
  <c r="E582" i="14" s="1"/>
  <c r="N508" i="14"/>
  <c r="T192" i="14" s="1"/>
  <c r="F428" i="14"/>
  <c r="N424" i="14"/>
  <c r="W162" i="14" s="1"/>
  <c r="N392" i="14"/>
  <c r="T152" i="14" s="1"/>
  <c r="E345" i="14"/>
  <c r="N276" i="14"/>
  <c r="T112" i="14" s="1"/>
  <c r="N277" i="14"/>
  <c r="U112" i="14" s="1"/>
  <c r="C262" i="14"/>
  <c r="F262" i="14"/>
  <c r="D262" i="14"/>
  <c r="N219" i="14"/>
  <c r="U92" i="14" s="1"/>
  <c r="G225" i="14"/>
  <c r="N222" i="14"/>
  <c r="X92" i="14" s="1"/>
  <c r="G175" i="14"/>
  <c r="N163" i="14"/>
  <c r="W72" i="14" s="1"/>
  <c r="N131" i="14"/>
  <c r="T62" i="14" s="1"/>
  <c r="N135" i="14"/>
  <c r="X62" i="14" s="1"/>
  <c r="N105" i="14"/>
  <c r="W52" i="14" s="1"/>
  <c r="F109" i="14"/>
  <c r="N77" i="14"/>
  <c r="X42" i="14" s="1"/>
  <c r="F56" i="14"/>
  <c r="G56" i="14"/>
  <c r="D56" i="14"/>
  <c r="H29" i="14"/>
  <c r="I29" i="14" s="1"/>
  <c r="J29" i="14" s="1"/>
  <c r="W21" i="14" s="1"/>
  <c r="F434" i="14"/>
  <c r="D434" i="14"/>
  <c r="C434" i="14"/>
  <c r="G434" i="14"/>
  <c r="E434" i="14"/>
  <c r="E312" i="14"/>
  <c r="N307" i="14"/>
  <c r="V122" i="14" s="1"/>
  <c r="N396" i="14"/>
  <c r="X152" i="14" s="1"/>
  <c r="G399" i="14"/>
  <c r="G407" i="14"/>
  <c r="F407" i="14"/>
  <c r="E407" i="14"/>
  <c r="C407" i="14"/>
  <c r="D407" i="14"/>
  <c r="D409" i="14" s="1"/>
  <c r="U147" i="14" s="1"/>
  <c r="U155" i="14" s="1"/>
  <c r="D291" i="14"/>
  <c r="F231" i="14"/>
  <c r="D231" i="14"/>
  <c r="C231" i="14"/>
  <c r="G231" i="14"/>
  <c r="E231" i="14"/>
  <c r="F492" i="14"/>
  <c r="G291" i="14"/>
  <c r="F146" i="14"/>
  <c r="D146" i="14"/>
  <c r="E146" i="14"/>
  <c r="G146" i="14"/>
  <c r="C146" i="14"/>
  <c r="N18" i="14"/>
  <c r="W22" i="14" s="1"/>
  <c r="J18" i="14"/>
  <c r="G27" i="14"/>
  <c r="F27" i="14"/>
  <c r="D27" i="14"/>
  <c r="C27" i="14"/>
  <c r="E27" i="14"/>
  <c r="O582" i="14"/>
  <c r="N537" i="14"/>
  <c r="T202" i="14" s="1"/>
  <c r="C544" i="14"/>
  <c r="O553" i="14"/>
  <c r="N423" i="14"/>
  <c r="V162" i="14" s="1"/>
  <c r="C486" i="14"/>
  <c r="N479" i="14"/>
  <c r="T182" i="14" s="1"/>
  <c r="F229" i="14"/>
  <c r="D229" i="14"/>
  <c r="C229" i="14"/>
  <c r="E229" i="14"/>
  <c r="G229" i="14"/>
  <c r="N161" i="14"/>
  <c r="U72" i="14" s="1"/>
  <c r="G51" i="14"/>
  <c r="N48" i="14"/>
  <c r="X32" i="14" s="1"/>
  <c r="J567" i="14"/>
  <c r="N567" i="14"/>
  <c r="U212" i="14" s="1"/>
  <c r="N538" i="14"/>
  <c r="U202" i="14" s="1"/>
  <c r="D544" i="14"/>
  <c r="O437" i="14"/>
  <c r="N450" i="14"/>
  <c r="T172" i="14" s="1"/>
  <c r="J450" i="14"/>
  <c r="G549" i="14"/>
  <c r="F549" i="14"/>
  <c r="E549" i="14"/>
  <c r="C549" i="14"/>
  <c r="D549" i="14"/>
  <c r="G522" i="14"/>
  <c r="E522" i="14"/>
  <c r="E525" i="14" s="1"/>
  <c r="V187" i="14" s="1"/>
  <c r="V195" i="14" s="1"/>
  <c r="D522" i="14"/>
  <c r="F522" i="14"/>
  <c r="F525" i="14" s="1"/>
  <c r="W187" i="14" s="1"/>
  <c r="W195" i="14" s="1"/>
  <c r="C522" i="14"/>
  <c r="F375" i="14"/>
  <c r="H463" i="14"/>
  <c r="I463" i="14" s="1"/>
  <c r="N218" i="14"/>
  <c r="T92" i="14" s="1"/>
  <c r="J218" i="14"/>
  <c r="G202" i="14"/>
  <c r="E202" i="14"/>
  <c r="D202" i="14"/>
  <c r="C202" i="14"/>
  <c r="F202" i="14"/>
  <c r="E145" i="14"/>
  <c r="G145" i="14"/>
  <c r="C145" i="14"/>
  <c r="F145" i="14"/>
  <c r="D145" i="14"/>
  <c r="D174" i="14"/>
  <c r="F174" i="14"/>
  <c r="E174" i="14"/>
  <c r="C174" i="14"/>
  <c r="G174" i="14"/>
  <c r="H28" i="14"/>
  <c r="I28" i="14" s="1"/>
  <c r="N102" i="14"/>
  <c r="T52" i="14" s="1"/>
  <c r="C109" i="14"/>
  <c r="G433" i="14"/>
  <c r="F433" i="14"/>
  <c r="C433" i="14"/>
  <c r="E433" i="14"/>
  <c r="G548" i="14"/>
  <c r="E548" i="14"/>
  <c r="D548" i="14"/>
  <c r="C548" i="14"/>
  <c r="F548" i="14"/>
  <c r="D492" i="14"/>
  <c r="C550" i="14"/>
  <c r="G550" i="14"/>
  <c r="F320" i="14"/>
  <c r="D320" i="14"/>
  <c r="C320" i="14"/>
  <c r="E320" i="14"/>
  <c r="G320" i="14"/>
  <c r="D378" i="14"/>
  <c r="G378" i="14"/>
  <c r="F378" i="14"/>
  <c r="C378" i="14"/>
  <c r="E378" i="14"/>
  <c r="N511" i="14"/>
  <c r="W192" i="14" s="1"/>
  <c r="F515" i="14"/>
  <c r="C375" i="14"/>
  <c r="E171" i="14"/>
  <c r="C171" i="14"/>
  <c r="G171" i="14"/>
  <c r="D171" i="14"/>
  <c r="F171" i="14"/>
  <c r="E115" i="14"/>
  <c r="G115" i="14"/>
  <c r="D115" i="14"/>
  <c r="F115" i="14"/>
  <c r="C115" i="14"/>
  <c r="N16" i="14"/>
  <c r="U22" i="14" s="1"/>
  <c r="D491" i="14"/>
  <c r="C491" i="14"/>
  <c r="N309" i="14"/>
  <c r="X122" i="14" s="1"/>
  <c r="J309" i="14"/>
  <c r="N308" i="14"/>
  <c r="W122" i="14" s="1"/>
  <c r="F312" i="14"/>
  <c r="G375" i="14"/>
  <c r="D203" i="14"/>
  <c r="G203" i="14"/>
  <c r="F203" i="14"/>
  <c r="C203" i="14"/>
  <c r="E203" i="14"/>
  <c r="F377" i="14"/>
  <c r="N134" i="14"/>
  <c r="W62" i="14" s="1"/>
  <c r="F138" i="14"/>
  <c r="N103" i="14"/>
  <c r="U52" i="14" s="1"/>
  <c r="D109" i="14"/>
  <c r="O60" i="14"/>
  <c r="H204" i="14"/>
  <c r="I204" i="14" s="1"/>
  <c r="G55" i="14"/>
  <c r="F55" i="14"/>
  <c r="E55" i="14"/>
  <c r="C55" i="14"/>
  <c r="D55" i="14"/>
  <c r="E491" i="14"/>
  <c r="H581" i="14"/>
  <c r="I581" i="14" s="1"/>
  <c r="E552" i="14"/>
  <c r="D552" i="14"/>
  <c r="C552" i="14"/>
  <c r="F552" i="14"/>
  <c r="C349" i="14"/>
  <c r="E375" i="14"/>
  <c r="G428" i="14"/>
  <c r="N425" i="14"/>
  <c r="X162" i="14" s="1"/>
  <c r="J192" i="14"/>
  <c r="N192" i="14"/>
  <c r="W82" i="14" s="1"/>
  <c r="C201" i="14"/>
  <c r="G201" i="14"/>
  <c r="E201" i="14"/>
  <c r="C377" i="14"/>
  <c r="O118" i="14"/>
  <c r="F57" i="14"/>
  <c r="C57" i="14"/>
  <c r="G57" i="14"/>
  <c r="E57" i="14"/>
  <c r="D57" i="14"/>
  <c r="C8" i="14"/>
  <c r="D436" i="14"/>
  <c r="F491" i="14"/>
  <c r="H464" i="14"/>
  <c r="I464" i="14" s="1"/>
  <c r="E436" i="14"/>
  <c r="O350" i="14"/>
  <c r="F345" i="14"/>
  <c r="D345" i="14"/>
  <c r="G346" i="14"/>
  <c r="E346" i="14"/>
  <c r="D346" i="14"/>
  <c r="C346" i="14"/>
  <c r="F346" i="14"/>
  <c r="O321" i="14"/>
  <c r="O205" i="14"/>
  <c r="F200" i="14"/>
  <c r="N191" i="14"/>
  <c r="V82" i="14" s="1"/>
  <c r="E377" i="14"/>
  <c r="F225" i="14"/>
  <c r="N221" i="14"/>
  <c r="W92" i="14" s="1"/>
  <c r="D138" i="14"/>
  <c r="N132" i="14"/>
  <c r="U62" i="14" s="1"/>
  <c r="G109" i="14"/>
  <c r="N106" i="14"/>
  <c r="X52" i="14" s="1"/>
  <c r="C114" i="14"/>
  <c r="G84" i="14"/>
  <c r="D84" i="14"/>
  <c r="F84" i="14"/>
  <c r="E84" i="14"/>
  <c r="C84" i="14"/>
  <c r="N47" i="14"/>
  <c r="W32" i="14" s="1"/>
  <c r="AW85" i="14"/>
  <c r="AN115" i="14" s="1"/>
  <c r="AN90" i="14"/>
  <c r="O31" i="14"/>
  <c r="G88" i="14"/>
  <c r="D88" i="14"/>
  <c r="C88" i="14"/>
  <c r="F88" i="14"/>
  <c r="E88" i="14"/>
  <c r="J46" i="14"/>
  <c r="N46" i="14"/>
  <c r="V32" i="14" s="1"/>
  <c r="H519" i="14"/>
  <c r="I519" i="14" s="1"/>
  <c r="H490" i="14"/>
  <c r="I490" i="14" s="1"/>
  <c r="G347" i="14"/>
  <c r="F347" i="14"/>
  <c r="E347" i="14"/>
  <c r="C347" i="14"/>
  <c r="D347" i="14"/>
  <c r="J394" i="14"/>
  <c r="N394" i="14"/>
  <c r="V152" i="14" s="1"/>
  <c r="G491" i="14"/>
  <c r="G436" i="14"/>
  <c r="D374" i="14"/>
  <c r="G374" i="14"/>
  <c r="F374" i="14"/>
  <c r="C374" i="14"/>
  <c r="E374" i="14"/>
  <c r="J509" i="14"/>
  <c r="N509" i="14"/>
  <c r="U192" i="14" s="1"/>
  <c r="C259" i="14"/>
  <c r="G259" i="14"/>
  <c r="F259" i="14"/>
  <c r="E259" i="14"/>
  <c r="D259" i="14"/>
  <c r="C291" i="14"/>
  <c r="N481" i="14"/>
  <c r="V182" i="14" s="1"/>
  <c r="E486" i="14"/>
  <c r="N279" i="14"/>
  <c r="W112" i="14" s="1"/>
  <c r="F283" i="14"/>
  <c r="G319" i="14"/>
  <c r="E319" i="14"/>
  <c r="O176" i="14"/>
  <c r="D196" i="14"/>
  <c r="N190" i="14"/>
  <c r="U82" i="14" s="1"/>
  <c r="G377" i="14"/>
  <c r="F230" i="14"/>
  <c r="D230" i="14"/>
  <c r="C230" i="14"/>
  <c r="G230" i="14"/>
  <c r="E230" i="14"/>
  <c r="N189" i="14"/>
  <c r="T82" i="14" s="1"/>
  <c r="C196" i="14"/>
  <c r="AM97" i="14"/>
  <c r="AO97" i="14"/>
  <c r="AN97" i="14"/>
  <c r="AP97" i="14"/>
  <c r="AL97" i="14"/>
  <c r="N162" i="14"/>
  <c r="V72" i="14" s="1"/>
  <c r="E167" i="14"/>
  <c r="F116" i="14"/>
  <c r="C116" i="14"/>
  <c r="D80" i="14"/>
  <c r="N74" i="14"/>
  <c r="U42" i="14" s="1"/>
  <c r="F113" i="14"/>
  <c r="C113" i="14"/>
  <c r="G113" i="14"/>
  <c r="E113" i="14"/>
  <c r="D113" i="14"/>
  <c r="G30" i="14"/>
  <c r="F30" i="14"/>
  <c r="D30" i="14"/>
  <c r="C30" i="14"/>
  <c r="E30" i="14"/>
  <c r="N19" i="14"/>
  <c r="X22" i="14" s="1"/>
  <c r="J19" i="14"/>
  <c r="F432" i="14"/>
  <c r="D432" i="14"/>
  <c r="E432" i="14"/>
  <c r="C432" i="14"/>
  <c r="G432" i="14"/>
  <c r="G551" i="14"/>
  <c r="E551" i="14"/>
  <c r="D551" i="14"/>
  <c r="C551" i="14"/>
  <c r="F551" i="14"/>
  <c r="N335" i="14"/>
  <c r="U132" i="14" s="1"/>
  <c r="D341" i="14"/>
  <c r="F577" i="14"/>
  <c r="N453" i="14"/>
  <c r="W172" i="14" s="1"/>
  <c r="F457" i="14"/>
  <c r="F254" i="14"/>
  <c r="N250" i="14"/>
  <c r="W102" i="14" s="1"/>
  <c r="E291" i="14"/>
  <c r="E465" i="14"/>
  <c r="D465" i="14"/>
  <c r="C465" i="14"/>
  <c r="C467" i="14" s="1"/>
  <c r="T167" i="14" s="1"/>
  <c r="T175" i="14" s="1"/>
  <c r="F465" i="14"/>
  <c r="G465" i="14"/>
  <c r="E317" i="14"/>
  <c r="G290" i="14"/>
  <c r="E290" i="14"/>
  <c r="C290" i="14"/>
  <c r="D290" i="14"/>
  <c r="F290" i="14"/>
  <c r="D377" i="14"/>
  <c r="D376" i="14"/>
  <c r="F376" i="14"/>
  <c r="C376" i="14"/>
  <c r="G376" i="14"/>
  <c r="E376" i="14"/>
  <c r="AP96" i="14"/>
  <c r="AO96" i="14"/>
  <c r="AL96" i="14"/>
  <c r="AN96" i="14"/>
  <c r="AM96" i="14"/>
  <c r="E116" i="14"/>
  <c r="H143" i="14"/>
  <c r="I143" i="14" s="1"/>
  <c r="E26" i="14"/>
  <c r="D26" i="14"/>
  <c r="C26" i="14"/>
  <c r="G26" i="14"/>
  <c r="F26" i="14"/>
  <c r="J305" i="14"/>
  <c r="N305" i="14"/>
  <c r="T122" i="14" s="1"/>
  <c r="F435" i="14"/>
  <c r="E435" i="14"/>
  <c r="C435" i="14"/>
  <c r="G435" i="14"/>
  <c r="D435" i="14"/>
  <c r="J483" i="14"/>
  <c r="N483" i="14"/>
  <c r="X182" i="14" s="1"/>
  <c r="G493" i="14"/>
  <c r="F493" i="14"/>
  <c r="E493" i="14"/>
  <c r="D493" i="14"/>
  <c r="C493" i="14"/>
  <c r="G577" i="14"/>
  <c r="G348" i="14"/>
  <c r="E348" i="14"/>
  <c r="F348" i="14"/>
  <c r="D348" i="14"/>
  <c r="C261" i="14"/>
  <c r="E261" i="14"/>
  <c r="F261" i="14"/>
  <c r="D261" i="14"/>
  <c r="G261" i="14"/>
  <c r="F318" i="14"/>
  <c r="D318" i="14"/>
  <c r="C318" i="14"/>
  <c r="E318" i="14"/>
  <c r="G318" i="14"/>
  <c r="O292" i="14"/>
  <c r="G287" i="14"/>
  <c r="C117" i="14"/>
  <c r="F117" i="14"/>
  <c r="G117" i="14"/>
  <c r="E117" i="14"/>
  <c r="D117" i="14"/>
  <c r="F316" i="14"/>
  <c r="D316" i="14"/>
  <c r="C316" i="14"/>
  <c r="E316" i="14"/>
  <c r="G316" i="14"/>
  <c r="H289" i="14"/>
  <c r="I289" i="14" s="1"/>
  <c r="N160" i="14"/>
  <c r="T72" i="14" s="1"/>
  <c r="N249" i="14"/>
  <c r="V102" i="14" s="1"/>
  <c r="E254" i="14"/>
  <c r="G116" i="14"/>
  <c r="C51" i="14"/>
  <c r="N44" i="14"/>
  <c r="T32" i="14" s="1"/>
  <c r="T285" i="14" s="1"/>
  <c r="T286" i="14" s="1"/>
  <c r="G578" i="14"/>
  <c r="F436" i="14"/>
  <c r="N482" i="14"/>
  <c r="W182" i="14" s="1"/>
  <c r="J482" i="14"/>
  <c r="D578" i="14"/>
  <c r="O379" i="14"/>
  <c r="C577" i="14"/>
  <c r="D349" i="14"/>
  <c r="F291" i="14"/>
  <c r="F524" i="14"/>
  <c r="W186" i="14" s="1"/>
  <c r="W194" i="14" s="1"/>
  <c r="W248" i="14" s="1"/>
  <c r="C317" i="14"/>
  <c r="C288" i="14"/>
  <c r="E288" i="14"/>
  <c r="G288" i="14"/>
  <c r="C492" i="14"/>
  <c r="N193" i="14"/>
  <c r="X82" i="14" s="1"/>
  <c r="AX99" i="14"/>
  <c r="D116" i="14"/>
  <c r="AW84" i="14"/>
  <c r="AM115" i="14" s="1"/>
  <c r="AM90" i="14"/>
  <c r="N17" i="14"/>
  <c r="V22" i="14" s="1"/>
  <c r="E22" i="14"/>
  <c r="H58" i="14"/>
  <c r="I58" i="14" s="1"/>
  <c r="AL94" i="12"/>
  <c r="AM95" i="12"/>
  <c r="BI163" i="12"/>
  <c r="BJ163" i="12" s="1"/>
  <c r="AO95" i="12"/>
  <c r="AP95" i="12"/>
  <c r="AL95" i="12"/>
  <c r="AM94" i="12"/>
  <c r="AN97" i="12"/>
  <c r="AN94" i="12"/>
  <c r="AO94" i="12"/>
  <c r="AX99" i="12"/>
  <c r="AL97" i="12"/>
  <c r="AW86" i="12"/>
  <c r="AO115" i="12" s="1"/>
  <c r="AM97" i="12"/>
  <c r="AO97" i="12"/>
  <c r="AP97" i="12"/>
  <c r="AW87" i="12"/>
  <c r="AP115" i="12" s="1"/>
  <c r="C579" i="12"/>
  <c r="D579" i="12"/>
  <c r="N567" i="12"/>
  <c r="U212" i="12" s="1"/>
  <c r="E549" i="12"/>
  <c r="N540" i="12"/>
  <c r="W202" i="12" s="1"/>
  <c r="F544" i="12"/>
  <c r="H523" i="12"/>
  <c r="H494" i="12"/>
  <c r="I494" i="12" s="1"/>
  <c r="C464" i="12"/>
  <c r="E464" i="12"/>
  <c r="H463" i="12"/>
  <c r="I463" i="12" s="1"/>
  <c r="N394" i="12"/>
  <c r="V152" i="12" s="1"/>
  <c r="H378" i="12"/>
  <c r="I378" i="12" s="1"/>
  <c r="X140" i="12" s="1"/>
  <c r="N338" i="12"/>
  <c r="X132" i="12" s="1"/>
  <c r="H348" i="12"/>
  <c r="I348" i="12" s="1"/>
  <c r="H319" i="12"/>
  <c r="I319" i="12" s="1"/>
  <c r="N308" i="12"/>
  <c r="W122" i="12" s="1"/>
  <c r="F288" i="12"/>
  <c r="D288" i="12"/>
  <c r="N280" i="12"/>
  <c r="X112" i="12" s="1"/>
  <c r="G283" i="12"/>
  <c r="E289" i="12"/>
  <c r="D289" i="12"/>
  <c r="H289" i="12" s="1"/>
  <c r="I289" i="12" s="1"/>
  <c r="D261" i="12"/>
  <c r="G261" i="12"/>
  <c r="C261" i="12"/>
  <c r="N249" i="12"/>
  <c r="V102" i="12" s="1"/>
  <c r="N220" i="12"/>
  <c r="V92" i="12" s="1"/>
  <c r="C202" i="12"/>
  <c r="N191" i="12"/>
  <c r="V82" i="12" s="1"/>
  <c r="F173" i="12"/>
  <c r="G173" i="12"/>
  <c r="C171" i="12"/>
  <c r="D171" i="12"/>
  <c r="E171" i="12"/>
  <c r="F171" i="12"/>
  <c r="G171" i="12"/>
  <c r="C174" i="12"/>
  <c r="D174" i="12"/>
  <c r="E174" i="12"/>
  <c r="F174" i="12"/>
  <c r="H174" i="12" s="1"/>
  <c r="G174" i="12"/>
  <c r="C172" i="12"/>
  <c r="D172" i="12"/>
  <c r="E172" i="12"/>
  <c r="F172" i="12"/>
  <c r="G172" i="12"/>
  <c r="D117" i="12"/>
  <c r="D119" i="12" s="1"/>
  <c r="U47" i="12" s="1"/>
  <c r="U55" i="12" s="1"/>
  <c r="N105" i="12"/>
  <c r="W52" i="12" s="1"/>
  <c r="C114" i="12"/>
  <c r="N75" i="12"/>
  <c r="V42" i="12" s="1"/>
  <c r="C58" i="12"/>
  <c r="F577" i="12"/>
  <c r="G577" i="12"/>
  <c r="D577" i="12"/>
  <c r="C577" i="12"/>
  <c r="G579" i="12"/>
  <c r="N537" i="12"/>
  <c r="T202" i="12" s="1"/>
  <c r="H522" i="12"/>
  <c r="I522" i="12" s="1"/>
  <c r="J522" i="12" s="1"/>
  <c r="W191" i="12" s="1"/>
  <c r="C461" i="12"/>
  <c r="H461" i="12" s="1"/>
  <c r="N451" i="12"/>
  <c r="U172" i="12" s="1"/>
  <c r="E465" i="12"/>
  <c r="D464" i="12"/>
  <c r="G464" i="12"/>
  <c r="F312" i="12"/>
  <c r="N306" i="12"/>
  <c r="U122" i="12" s="1"/>
  <c r="C290" i="12"/>
  <c r="N276" i="12"/>
  <c r="T112" i="12" s="1"/>
  <c r="F290" i="12"/>
  <c r="G290" i="12"/>
  <c r="D290" i="12"/>
  <c r="N278" i="12"/>
  <c r="V112" i="12" s="1"/>
  <c r="D202" i="12"/>
  <c r="E202" i="12"/>
  <c r="F200" i="12"/>
  <c r="D200" i="12"/>
  <c r="G202" i="12"/>
  <c r="N102" i="12"/>
  <c r="T52" i="12" s="1"/>
  <c r="J106" i="12"/>
  <c r="G117" i="12"/>
  <c r="F117" i="12"/>
  <c r="F114" i="12"/>
  <c r="E114" i="12"/>
  <c r="G114" i="12"/>
  <c r="E117" i="12"/>
  <c r="E84" i="12"/>
  <c r="N77" i="12"/>
  <c r="X42" i="12" s="1"/>
  <c r="F84" i="12"/>
  <c r="D85" i="12"/>
  <c r="C84" i="12"/>
  <c r="H84" i="12" s="1"/>
  <c r="I84" i="12" s="1"/>
  <c r="G55" i="12"/>
  <c r="N48" i="12"/>
  <c r="X32" i="12" s="1"/>
  <c r="G30" i="12"/>
  <c r="C30" i="12"/>
  <c r="C29" i="12"/>
  <c r="O31" i="12"/>
  <c r="D30" i="12"/>
  <c r="E27" i="12"/>
  <c r="G27" i="12"/>
  <c r="C27" i="12"/>
  <c r="F27" i="12"/>
  <c r="E30" i="12"/>
  <c r="N17" i="12"/>
  <c r="V22" i="12" s="1"/>
  <c r="F29" i="12"/>
  <c r="G29" i="12"/>
  <c r="E29" i="12"/>
  <c r="G22" i="12"/>
  <c r="N19" i="12"/>
  <c r="X22" i="12" s="1"/>
  <c r="J569" i="12"/>
  <c r="N569" i="12"/>
  <c r="W212" i="12" s="1"/>
  <c r="O553" i="12"/>
  <c r="F548" i="12"/>
  <c r="E548" i="12"/>
  <c r="D376" i="12"/>
  <c r="G376" i="12"/>
  <c r="F376" i="12"/>
  <c r="E376" i="12"/>
  <c r="C376" i="12"/>
  <c r="O437" i="12"/>
  <c r="G432" i="12"/>
  <c r="E432" i="12"/>
  <c r="N482" i="12"/>
  <c r="W182" i="12" s="1"/>
  <c r="F486" i="12"/>
  <c r="N309" i="12"/>
  <c r="X122" i="12" s="1"/>
  <c r="J309" i="12"/>
  <c r="H318" i="12"/>
  <c r="I318" i="12" s="1"/>
  <c r="E406" i="12"/>
  <c r="C406" i="12"/>
  <c r="G406" i="12"/>
  <c r="D142" i="12"/>
  <c r="F142" i="12"/>
  <c r="G142" i="12"/>
  <c r="E142" i="12"/>
  <c r="C142" i="12"/>
  <c r="BJ58" i="12"/>
  <c r="BI39" i="12"/>
  <c r="H116" i="12"/>
  <c r="I116" i="12" s="1"/>
  <c r="AP96" i="12"/>
  <c r="AO96" i="12"/>
  <c r="AN96" i="12"/>
  <c r="AL96" i="12"/>
  <c r="AM96" i="12"/>
  <c r="N509" i="12"/>
  <c r="U192" i="12" s="1"/>
  <c r="D515" i="12"/>
  <c r="N483" i="12"/>
  <c r="X182" i="12" s="1"/>
  <c r="G486" i="12"/>
  <c r="O408" i="12"/>
  <c r="N131" i="12"/>
  <c r="T62" i="12" s="1"/>
  <c r="J131" i="12"/>
  <c r="E59" i="12"/>
  <c r="G145" i="12"/>
  <c r="F145" i="12"/>
  <c r="D145" i="12"/>
  <c r="E145" i="12"/>
  <c r="C145" i="12"/>
  <c r="AS85" i="12"/>
  <c r="AW85" i="12"/>
  <c r="AN115" i="12" s="1"/>
  <c r="F581" i="12"/>
  <c r="D581" i="12"/>
  <c r="E581" i="12"/>
  <c r="C581" i="12"/>
  <c r="G581" i="12"/>
  <c r="F374" i="12"/>
  <c r="G374" i="12"/>
  <c r="E374" i="12"/>
  <c r="D374" i="12"/>
  <c r="C374" i="12"/>
  <c r="N424" i="12"/>
  <c r="W162" i="12" s="1"/>
  <c r="J424" i="12"/>
  <c r="F519" i="12"/>
  <c r="G519" i="12"/>
  <c r="E519" i="12"/>
  <c r="D519" i="12"/>
  <c r="C519" i="12"/>
  <c r="F432" i="12"/>
  <c r="G345" i="12"/>
  <c r="F345" i="12"/>
  <c r="E345" i="12"/>
  <c r="D345" i="12"/>
  <c r="C345" i="12"/>
  <c r="D320" i="12"/>
  <c r="C320" i="12"/>
  <c r="G320" i="12"/>
  <c r="F320" i="12"/>
  <c r="E320" i="12"/>
  <c r="F405" i="12"/>
  <c r="G405" i="12"/>
  <c r="E405" i="12"/>
  <c r="D405" i="12"/>
  <c r="C405" i="12"/>
  <c r="N162" i="12"/>
  <c r="V72" i="12" s="1"/>
  <c r="E167" i="12"/>
  <c r="O176" i="12"/>
  <c r="O147" i="12"/>
  <c r="D80" i="12"/>
  <c r="N74" i="12"/>
  <c r="U42" i="12" s="1"/>
  <c r="F59" i="12"/>
  <c r="E3" i="12"/>
  <c r="C8" i="12"/>
  <c r="AW84" i="12"/>
  <c r="AM115" i="12" s="1"/>
  <c r="AM90" i="12"/>
  <c r="G59" i="12"/>
  <c r="G28" i="12"/>
  <c r="F28" i="12"/>
  <c r="E28" i="12"/>
  <c r="D28" i="12"/>
  <c r="C28" i="12"/>
  <c r="G56" i="12"/>
  <c r="E56" i="12"/>
  <c r="F56" i="12"/>
  <c r="D56" i="12"/>
  <c r="C56" i="12"/>
  <c r="J510" i="12"/>
  <c r="N510" i="12"/>
  <c r="V192" i="12" s="1"/>
  <c r="N479" i="12"/>
  <c r="T182" i="12" s="1"/>
  <c r="C486" i="12"/>
  <c r="C435" i="12"/>
  <c r="F435" i="12"/>
  <c r="G435" i="12"/>
  <c r="E435" i="12"/>
  <c r="D435" i="12"/>
  <c r="D432" i="12"/>
  <c r="G287" i="12"/>
  <c r="F287" i="12"/>
  <c r="E287" i="12"/>
  <c r="D287" i="12"/>
  <c r="C287" i="12"/>
  <c r="H436" i="12"/>
  <c r="I436" i="12" s="1"/>
  <c r="D196" i="12"/>
  <c r="N190" i="12"/>
  <c r="U82" i="12" s="1"/>
  <c r="F85" i="12"/>
  <c r="D55" i="12"/>
  <c r="D118" i="12"/>
  <c r="U46" i="12" s="1"/>
  <c r="U54" i="12" s="1"/>
  <c r="U234" i="12" s="1"/>
  <c r="E109" i="12"/>
  <c r="N104" i="12"/>
  <c r="V52" i="12" s="1"/>
  <c r="N161" i="12"/>
  <c r="U72" i="12" s="1"/>
  <c r="J161" i="12"/>
  <c r="AA287" i="12"/>
  <c r="AA288" i="12"/>
  <c r="N366" i="12"/>
  <c r="W142" i="12" s="1"/>
  <c r="F370" i="12"/>
  <c r="H349" i="12"/>
  <c r="I349" i="12" s="1"/>
  <c r="D428" i="12"/>
  <c r="N422" i="12"/>
  <c r="U162" i="12" s="1"/>
  <c r="C432" i="12"/>
  <c r="G492" i="12"/>
  <c r="G495" i="12" s="1"/>
  <c r="X176" i="12" s="1"/>
  <c r="X184" i="12" s="1"/>
  <c r="X247" i="12" s="1"/>
  <c r="F492" i="12"/>
  <c r="F496" i="12" s="1"/>
  <c r="W177" i="12" s="1"/>
  <c r="W185" i="12" s="1"/>
  <c r="C492" i="12"/>
  <c r="E492" i="12"/>
  <c r="D492" i="12"/>
  <c r="D495" i="12" s="1"/>
  <c r="C428" i="12"/>
  <c r="N421" i="12"/>
  <c r="T162" i="12" s="1"/>
  <c r="H317" i="12"/>
  <c r="I317" i="12" s="1"/>
  <c r="H347" i="12"/>
  <c r="I347" i="12" s="1"/>
  <c r="N222" i="12"/>
  <c r="X92" i="12" s="1"/>
  <c r="G225" i="12"/>
  <c r="H115" i="12"/>
  <c r="I115" i="12" s="1"/>
  <c r="H146" i="12"/>
  <c r="I146" i="12" s="1"/>
  <c r="G88" i="12"/>
  <c r="F88" i="12"/>
  <c r="D88" i="12"/>
  <c r="E88" i="12"/>
  <c r="C88" i="12"/>
  <c r="D258" i="12"/>
  <c r="G258" i="12"/>
  <c r="F258" i="12"/>
  <c r="E258" i="12"/>
  <c r="C258" i="12"/>
  <c r="N16" i="12"/>
  <c r="U22" i="12" s="1"/>
  <c r="D22" i="12"/>
  <c r="D57" i="12"/>
  <c r="N335" i="12"/>
  <c r="U132" i="12" s="1"/>
  <c r="D341" i="12"/>
  <c r="F407" i="12"/>
  <c r="C407" i="12"/>
  <c r="G407" i="12"/>
  <c r="E407" i="12"/>
  <c r="D407" i="12"/>
  <c r="F167" i="12"/>
  <c r="N163" i="12"/>
  <c r="W72" i="12" s="1"/>
  <c r="N221" i="12"/>
  <c r="W92" i="12" s="1"/>
  <c r="J221" i="12"/>
  <c r="C85" i="12"/>
  <c r="G87" i="12"/>
  <c r="E87" i="12"/>
  <c r="C87" i="12"/>
  <c r="F87" i="12"/>
  <c r="D87" i="12"/>
  <c r="F57" i="12"/>
  <c r="C433" i="12"/>
  <c r="F433" i="12"/>
  <c r="G433" i="12"/>
  <c r="E433" i="12"/>
  <c r="D433" i="12"/>
  <c r="N337" i="12"/>
  <c r="W132" i="12" s="1"/>
  <c r="F341" i="12"/>
  <c r="N395" i="12"/>
  <c r="W152" i="12" s="1"/>
  <c r="F399" i="12"/>
  <c r="F578" i="12"/>
  <c r="G578" i="12"/>
  <c r="E578" i="12"/>
  <c r="D578" i="12"/>
  <c r="C578" i="12"/>
  <c r="C434" i="12"/>
  <c r="D434" i="12"/>
  <c r="G434" i="12"/>
  <c r="F434" i="12"/>
  <c r="E434" i="12"/>
  <c r="I523" i="12"/>
  <c r="N423" i="12"/>
  <c r="V162" i="12" s="1"/>
  <c r="E428" i="12"/>
  <c r="C551" i="12"/>
  <c r="G551" i="12"/>
  <c r="F551" i="12"/>
  <c r="E551" i="12"/>
  <c r="D551" i="12"/>
  <c r="E457" i="12"/>
  <c r="N452" i="12"/>
  <c r="V172" i="12" s="1"/>
  <c r="D231" i="12"/>
  <c r="D232" i="12"/>
  <c r="C232" i="12"/>
  <c r="G232" i="12"/>
  <c r="F232" i="12"/>
  <c r="E232" i="12"/>
  <c r="D59" i="12"/>
  <c r="C55" i="12"/>
  <c r="H175" i="12"/>
  <c r="I175" i="12" s="1"/>
  <c r="G57" i="12"/>
  <c r="N334" i="12"/>
  <c r="T132" i="12" s="1"/>
  <c r="C341" i="12"/>
  <c r="G457" i="12"/>
  <c r="N454" i="12"/>
  <c r="X172" i="12" s="1"/>
  <c r="D316" i="12"/>
  <c r="C316" i="12"/>
  <c r="G316" i="12"/>
  <c r="F316" i="12"/>
  <c r="E316" i="12"/>
  <c r="J364" i="12"/>
  <c r="N364" i="12"/>
  <c r="U142" i="12" s="1"/>
  <c r="H260" i="12"/>
  <c r="I260" i="12" s="1"/>
  <c r="C225" i="12"/>
  <c r="N218" i="12"/>
  <c r="T92" i="12" s="1"/>
  <c r="C231" i="12"/>
  <c r="AW83" i="12"/>
  <c r="AL115" i="12" s="1"/>
  <c r="AL90" i="12"/>
  <c r="C167" i="12"/>
  <c r="N160" i="12"/>
  <c r="T72" i="12" s="1"/>
  <c r="N45" i="12"/>
  <c r="U32" i="12" s="1"/>
  <c r="J45" i="12"/>
  <c r="E85" i="12"/>
  <c r="N18" i="12"/>
  <c r="W22" i="12" s="1"/>
  <c r="F22" i="12"/>
  <c r="O89" i="12"/>
  <c r="E55" i="12"/>
  <c r="N46" i="12"/>
  <c r="V32" i="12" s="1"/>
  <c r="C57" i="12"/>
  <c r="D58" i="12"/>
  <c r="H521" i="12"/>
  <c r="I521" i="12" s="1"/>
  <c r="H580" i="12"/>
  <c r="I580" i="12" s="1"/>
  <c r="H465" i="12"/>
  <c r="I465" i="12" s="1"/>
  <c r="N392" i="12"/>
  <c r="T152" i="12" s="1"/>
  <c r="C399" i="12"/>
  <c r="G515" i="12"/>
  <c r="N512" i="12"/>
  <c r="X192" i="12" s="1"/>
  <c r="G403" i="12"/>
  <c r="F403" i="12"/>
  <c r="D403" i="12"/>
  <c r="E403" i="12"/>
  <c r="C403" i="12"/>
  <c r="N511" i="12"/>
  <c r="W192" i="12" s="1"/>
  <c r="F515" i="12"/>
  <c r="N305" i="12"/>
  <c r="T122" i="12" s="1"/>
  <c r="H233" i="12"/>
  <c r="I233" i="12" s="1"/>
  <c r="E231" i="12"/>
  <c r="J192" i="12"/>
  <c r="N192" i="12"/>
  <c r="W82" i="12" s="1"/>
  <c r="N133" i="12"/>
  <c r="V62" i="12" s="1"/>
  <c r="BJ162" i="12"/>
  <c r="BI65" i="12"/>
  <c r="BJ65" i="12" s="1"/>
  <c r="G85" i="12"/>
  <c r="G550" i="12"/>
  <c r="F550" i="12"/>
  <c r="C548" i="12"/>
  <c r="G544" i="12"/>
  <c r="N541" i="12"/>
  <c r="X202" i="12" s="1"/>
  <c r="J393" i="12"/>
  <c r="N393" i="12"/>
  <c r="U152" i="12" s="1"/>
  <c r="D346" i="12"/>
  <c r="G346" i="12"/>
  <c r="F346" i="12"/>
  <c r="E346" i="12"/>
  <c r="C346" i="12"/>
  <c r="F462" i="12"/>
  <c r="F467" i="12" s="1"/>
  <c r="W167" i="12" s="1"/>
  <c r="W175" i="12" s="1"/>
  <c r="C462" i="12"/>
  <c r="G462" i="12"/>
  <c r="G467" i="12" s="1"/>
  <c r="X167" i="12" s="1"/>
  <c r="X175" i="12" s="1"/>
  <c r="E462" i="12"/>
  <c r="D462" i="12"/>
  <c r="D486" i="12"/>
  <c r="N480" i="12"/>
  <c r="U182" i="12" s="1"/>
  <c r="F230" i="12"/>
  <c r="D230" i="12"/>
  <c r="C230" i="12"/>
  <c r="G230" i="12"/>
  <c r="E230" i="12"/>
  <c r="N251" i="12"/>
  <c r="X102" i="12" s="1"/>
  <c r="F231" i="12"/>
  <c r="G201" i="12"/>
  <c r="E201" i="12"/>
  <c r="C201" i="12"/>
  <c r="F201" i="12"/>
  <c r="D201" i="12"/>
  <c r="O60" i="12"/>
  <c r="F55" i="12"/>
  <c r="C59" i="12"/>
  <c r="H26" i="12"/>
  <c r="I26" i="12" s="1"/>
  <c r="G520" i="12"/>
  <c r="D520" i="12"/>
  <c r="C520" i="12"/>
  <c r="F520" i="12"/>
  <c r="E520" i="12"/>
  <c r="H490" i="12"/>
  <c r="E550" i="12"/>
  <c r="D406" i="12"/>
  <c r="E341" i="12"/>
  <c r="N336" i="12"/>
  <c r="V132" i="12" s="1"/>
  <c r="N538" i="12"/>
  <c r="U202" i="12" s="1"/>
  <c r="D544" i="12"/>
  <c r="N277" i="12"/>
  <c r="U112" i="12" s="1"/>
  <c r="D283" i="12"/>
  <c r="D404" i="12"/>
  <c r="F404" i="12"/>
  <c r="E404" i="12"/>
  <c r="C404" i="12"/>
  <c r="G404" i="12"/>
  <c r="N481" i="12"/>
  <c r="V182" i="12" s="1"/>
  <c r="G229" i="12"/>
  <c r="F229" i="12"/>
  <c r="E229" i="12"/>
  <c r="D229" i="12"/>
  <c r="C229" i="12"/>
  <c r="G231" i="12"/>
  <c r="H259" i="12"/>
  <c r="I259" i="12" s="1"/>
  <c r="H203" i="12"/>
  <c r="I203" i="12" s="1"/>
  <c r="G144" i="12"/>
  <c r="E144" i="12"/>
  <c r="D144" i="12"/>
  <c r="C144" i="12"/>
  <c r="F144" i="12"/>
  <c r="AP98" i="12"/>
  <c r="AN98" i="12"/>
  <c r="AL98" i="12"/>
  <c r="AM98" i="12"/>
  <c r="AO98" i="12"/>
  <c r="N132" i="12"/>
  <c r="U62" i="12" s="1"/>
  <c r="D138" i="12"/>
  <c r="H143" i="12"/>
  <c r="I143" i="12" s="1"/>
  <c r="C22" i="12"/>
  <c r="N15" i="12"/>
  <c r="T22" i="12" s="1"/>
  <c r="F51" i="12"/>
  <c r="N47" i="12"/>
  <c r="W32" i="12" s="1"/>
  <c r="E58" i="12"/>
  <c r="E377" i="12"/>
  <c r="C377" i="12"/>
  <c r="G377" i="12"/>
  <c r="F377" i="12"/>
  <c r="D377" i="12"/>
  <c r="D550" i="12"/>
  <c r="G549" i="12"/>
  <c r="D549" i="12"/>
  <c r="N508" i="12"/>
  <c r="T192" i="12" s="1"/>
  <c r="J508" i="12"/>
  <c r="F283" i="12"/>
  <c r="N279" i="12"/>
  <c r="W112" i="12" s="1"/>
  <c r="H493" i="12"/>
  <c r="I493" i="12" s="1"/>
  <c r="C552" i="12"/>
  <c r="D552" i="12"/>
  <c r="G552" i="12"/>
  <c r="F552" i="12"/>
  <c r="E552" i="12"/>
  <c r="H491" i="12"/>
  <c r="I491" i="12" s="1"/>
  <c r="O234" i="12"/>
  <c r="H262" i="12"/>
  <c r="I262" i="12" s="1"/>
  <c r="H288" i="12"/>
  <c r="I288" i="12" s="1"/>
  <c r="N396" i="12"/>
  <c r="X152" i="12" s="1"/>
  <c r="N164" i="12"/>
  <c r="X72" i="12" s="1"/>
  <c r="J164" i="12"/>
  <c r="F80" i="12"/>
  <c r="N76" i="12"/>
  <c r="W42" i="12" s="1"/>
  <c r="N134" i="12"/>
  <c r="W62" i="12" s="1"/>
  <c r="F138" i="12"/>
  <c r="C118" i="12"/>
  <c r="T46" i="12" s="1"/>
  <c r="T54" i="12" s="1"/>
  <c r="T234" i="12" s="1"/>
  <c r="H113" i="12"/>
  <c r="I113" i="12" s="1"/>
  <c r="BI57" i="12"/>
  <c r="G58" i="12"/>
  <c r="AL95" i="9"/>
  <c r="AX99" i="9"/>
  <c r="AW87" i="9"/>
  <c r="AP115" i="9" s="1"/>
  <c r="AM96" i="9"/>
  <c r="AM94" i="9"/>
  <c r="AN96" i="9"/>
  <c r="AL97" i="9"/>
  <c r="AP96" i="9"/>
  <c r="AO96" i="9"/>
  <c r="AP95" i="9"/>
  <c r="AO95" i="9"/>
  <c r="AM95" i="9"/>
  <c r="AP94" i="9"/>
  <c r="AN94" i="9"/>
  <c r="AO94" i="9"/>
  <c r="AP97" i="9"/>
  <c r="AN95" i="9"/>
  <c r="AO98" i="9"/>
  <c r="AP98" i="9"/>
  <c r="AM98" i="9"/>
  <c r="AN98" i="9"/>
  <c r="AL98" i="9"/>
  <c r="AW86" i="9"/>
  <c r="AO115" i="9" s="1"/>
  <c r="AN97" i="9"/>
  <c r="AL96" i="9"/>
  <c r="AM97" i="9"/>
  <c r="AP90" i="9"/>
  <c r="AO90" i="9"/>
  <c r="AM90" i="9"/>
  <c r="AW84" i="9"/>
  <c r="AM115" i="9" s="1"/>
  <c r="AW83" i="9"/>
  <c r="AL115" i="9" s="1"/>
  <c r="AL90" i="9"/>
  <c r="F466" i="14" l="1"/>
  <c r="H580" i="14"/>
  <c r="I580" i="14" s="1"/>
  <c r="E466" i="14"/>
  <c r="H172" i="14"/>
  <c r="I172" i="14" s="1"/>
  <c r="H520" i="14"/>
  <c r="I520" i="14" s="1"/>
  <c r="H260" i="14"/>
  <c r="I260" i="14" s="1"/>
  <c r="D582" i="14"/>
  <c r="U206" i="14" s="1"/>
  <c r="U214" i="14" s="1"/>
  <c r="U250" i="14" s="1"/>
  <c r="E583" i="14"/>
  <c r="V207" i="14" s="1"/>
  <c r="V215" i="14" s="1"/>
  <c r="H87" i="14"/>
  <c r="I87" i="14" s="1"/>
  <c r="AQ95" i="14"/>
  <c r="AR95" i="14" s="1"/>
  <c r="AM113" i="14" s="1"/>
  <c r="K580" i="14"/>
  <c r="P580" i="14" s="1"/>
  <c r="J580" i="14"/>
  <c r="W211" i="14" s="1"/>
  <c r="W210" i="14"/>
  <c r="D554" i="14"/>
  <c r="U197" i="14" s="1"/>
  <c r="U205" i="14" s="1"/>
  <c r="H175" i="14"/>
  <c r="I175" i="14" s="1"/>
  <c r="G495" i="14"/>
  <c r="X176" i="14" s="1"/>
  <c r="X184" i="14" s="1"/>
  <c r="X247" i="14" s="1"/>
  <c r="F409" i="14"/>
  <c r="W147" i="14" s="1"/>
  <c r="W155" i="14" s="1"/>
  <c r="H404" i="14"/>
  <c r="I404" i="14" s="1"/>
  <c r="G409" i="14"/>
  <c r="X147" i="14" s="1"/>
  <c r="X155" i="14" s="1"/>
  <c r="H403" i="14"/>
  <c r="F322" i="14"/>
  <c r="W117" i="14" s="1"/>
  <c r="W125" i="14" s="1"/>
  <c r="F582" i="14"/>
  <c r="W206" i="14" s="1"/>
  <c r="W214" i="14" s="1"/>
  <c r="W250" i="14" s="1"/>
  <c r="D437" i="14"/>
  <c r="U156" i="14" s="1"/>
  <c r="U164" i="14" s="1"/>
  <c r="U245" i="14" s="1"/>
  <c r="E350" i="14"/>
  <c r="V126" i="14" s="1"/>
  <c r="V134" i="14" s="1"/>
  <c r="V242" i="14" s="1"/>
  <c r="H550" i="14"/>
  <c r="I550" i="14" s="1"/>
  <c r="J550" i="14" s="1"/>
  <c r="V201" i="14" s="1"/>
  <c r="H232" i="14"/>
  <c r="I232" i="14" s="1"/>
  <c r="F554" i="14"/>
  <c r="W197" i="14" s="1"/>
  <c r="W205" i="14" s="1"/>
  <c r="G525" i="14"/>
  <c r="X187" i="14" s="1"/>
  <c r="X195" i="14" s="1"/>
  <c r="C148" i="14"/>
  <c r="T57" i="14" s="1"/>
  <c r="T65" i="14" s="1"/>
  <c r="AQ94" i="14"/>
  <c r="H579" i="14"/>
  <c r="I579" i="14" s="1"/>
  <c r="G554" i="14"/>
  <c r="X197" i="14" s="1"/>
  <c r="X205" i="14" s="1"/>
  <c r="J521" i="14"/>
  <c r="V191" i="14" s="1"/>
  <c r="V190" i="14"/>
  <c r="K521" i="14"/>
  <c r="P521" i="14" s="1"/>
  <c r="D525" i="14"/>
  <c r="U187" i="14" s="1"/>
  <c r="U195" i="14" s="1"/>
  <c r="G524" i="14"/>
  <c r="X186" i="14" s="1"/>
  <c r="X194" i="14" s="1"/>
  <c r="X248" i="14" s="1"/>
  <c r="C495" i="14"/>
  <c r="T176" i="14" s="1"/>
  <c r="T184" i="14" s="1"/>
  <c r="T247" i="14" s="1"/>
  <c r="D495" i="14"/>
  <c r="U176" i="14" s="1"/>
  <c r="U184" i="14" s="1"/>
  <c r="U247" i="14" s="1"/>
  <c r="D466" i="14"/>
  <c r="H435" i="14"/>
  <c r="G437" i="14"/>
  <c r="X156" i="14" s="1"/>
  <c r="X164" i="14" s="1"/>
  <c r="X245" i="14" s="1"/>
  <c r="E408" i="14"/>
  <c r="V146" i="14" s="1"/>
  <c r="V154" i="14" s="1"/>
  <c r="V244" i="14" s="1"/>
  <c r="I403" i="14"/>
  <c r="J403" i="14" s="1"/>
  <c r="T151" i="14" s="1"/>
  <c r="D408" i="14"/>
  <c r="U146" i="14" s="1"/>
  <c r="U154" i="14" s="1"/>
  <c r="U244" i="14" s="1"/>
  <c r="C409" i="14"/>
  <c r="T147" i="14" s="1"/>
  <c r="T155" i="14" s="1"/>
  <c r="G380" i="14"/>
  <c r="X137" i="14" s="1"/>
  <c r="X145" i="14" s="1"/>
  <c r="H378" i="14"/>
  <c r="I378" i="14" s="1"/>
  <c r="C380" i="14"/>
  <c r="T137" i="14" s="1"/>
  <c r="T145" i="14" s="1"/>
  <c r="D380" i="14"/>
  <c r="U137" i="14" s="1"/>
  <c r="U145" i="14" s="1"/>
  <c r="G351" i="14"/>
  <c r="X127" i="14" s="1"/>
  <c r="X135" i="14" s="1"/>
  <c r="H348" i="14"/>
  <c r="H319" i="14"/>
  <c r="I319" i="14" s="1"/>
  <c r="J319" i="14" s="1"/>
  <c r="W121" i="14" s="1"/>
  <c r="G321" i="14"/>
  <c r="X116" i="14" s="1"/>
  <c r="X124" i="14" s="1"/>
  <c r="X241" i="14" s="1"/>
  <c r="E322" i="14"/>
  <c r="V117" i="14" s="1"/>
  <c r="V125" i="14" s="1"/>
  <c r="G264" i="14"/>
  <c r="X97" i="14" s="1"/>
  <c r="X105" i="14" s="1"/>
  <c r="H258" i="14"/>
  <c r="I258" i="14" s="1"/>
  <c r="H173" i="14"/>
  <c r="I173" i="14" s="1"/>
  <c r="K173" i="14" s="1"/>
  <c r="P173" i="14" s="1"/>
  <c r="F177" i="14"/>
  <c r="W67" i="14" s="1"/>
  <c r="W75" i="14" s="1"/>
  <c r="H142" i="14"/>
  <c r="H144" i="14"/>
  <c r="I144" i="14" s="1"/>
  <c r="J144" i="14" s="1"/>
  <c r="V61" i="14" s="1"/>
  <c r="D148" i="14"/>
  <c r="U57" i="14" s="1"/>
  <c r="U65" i="14" s="1"/>
  <c r="D32" i="14"/>
  <c r="U17" i="14" s="1"/>
  <c r="U25" i="14" s="1"/>
  <c r="E582" i="12"/>
  <c r="V206" i="12" s="1"/>
  <c r="V214" i="12" s="1"/>
  <c r="V250" i="12" s="1"/>
  <c r="E467" i="12"/>
  <c r="V167" i="12" s="1"/>
  <c r="V175" i="12" s="1"/>
  <c r="C206" i="12"/>
  <c r="T77" i="12" s="1"/>
  <c r="T85" i="12" s="1"/>
  <c r="C119" i="12"/>
  <c r="T47" i="12" s="1"/>
  <c r="T55" i="12" s="1"/>
  <c r="H86" i="12"/>
  <c r="I86" i="12" s="1"/>
  <c r="J86" i="12" s="1"/>
  <c r="V41" i="12" s="1"/>
  <c r="G118" i="12"/>
  <c r="X46" i="12" s="1"/>
  <c r="X54" i="12" s="1"/>
  <c r="X234" i="12" s="1"/>
  <c r="H173" i="12"/>
  <c r="J378" i="12"/>
  <c r="X141" i="12" s="1"/>
  <c r="E176" i="12"/>
  <c r="V66" i="12" s="1"/>
  <c r="V74" i="12" s="1"/>
  <c r="V236" i="12" s="1"/>
  <c r="K378" i="12"/>
  <c r="P378" i="12" s="1"/>
  <c r="AN99" i="14"/>
  <c r="AN109" i="14" s="1"/>
  <c r="AN117" i="14" s="1"/>
  <c r="AP110" i="14"/>
  <c r="AL110" i="14"/>
  <c r="AM110" i="14"/>
  <c r="F293" i="14"/>
  <c r="W107" i="14" s="1"/>
  <c r="W115" i="14" s="1"/>
  <c r="E293" i="14"/>
  <c r="V107" i="14" s="1"/>
  <c r="V115" i="14" s="1"/>
  <c r="C292" i="14"/>
  <c r="T106" i="14" s="1"/>
  <c r="T114" i="14" s="1"/>
  <c r="T240" i="14" s="1"/>
  <c r="H262" i="14"/>
  <c r="I262" i="14" s="1"/>
  <c r="K262" i="14" s="1"/>
  <c r="P262" i="14" s="1"/>
  <c r="H233" i="14"/>
  <c r="I233" i="14" s="1"/>
  <c r="X90" i="14" s="1"/>
  <c r="H200" i="14"/>
  <c r="I200" i="14" s="1"/>
  <c r="J200" i="14" s="1"/>
  <c r="T81" i="14" s="1"/>
  <c r="D206" i="14"/>
  <c r="U77" i="14" s="1"/>
  <c r="U85" i="14" s="1"/>
  <c r="G177" i="14"/>
  <c r="X67" i="14" s="1"/>
  <c r="X75" i="14" s="1"/>
  <c r="E176" i="14"/>
  <c r="V66" i="14" s="1"/>
  <c r="V74" i="14" s="1"/>
  <c r="V236" i="14" s="1"/>
  <c r="G148" i="14"/>
  <c r="X57" i="14" s="1"/>
  <c r="X65" i="14" s="1"/>
  <c r="G147" i="14"/>
  <c r="X56" i="14" s="1"/>
  <c r="X64" i="14" s="1"/>
  <c r="X235" i="14" s="1"/>
  <c r="E119" i="14"/>
  <c r="V47" i="14" s="1"/>
  <c r="V55" i="14" s="1"/>
  <c r="G119" i="14"/>
  <c r="X47" i="14" s="1"/>
  <c r="X55" i="14" s="1"/>
  <c r="H86" i="14"/>
  <c r="I86" i="14" s="1"/>
  <c r="J86" i="14" s="1"/>
  <c r="V41" i="14" s="1"/>
  <c r="H85" i="14"/>
  <c r="I85" i="14" s="1"/>
  <c r="K85" i="14" s="1"/>
  <c r="G61" i="14"/>
  <c r="X27" i="14" s="1"/>
  <c r="X35" i="14" s="1"/>
  <c r="H59" i="14"/>
  <c r="I59" i="14" s="1"/>
  <c r="K59" i="14" s="1"/>
  <c r="P59" i="14" s="1"/>
  <c r="H56" i="14"/>
  <c r="I56" i="14" s="1"/>
  <c r="K56" i="14" s="1"/>
  <c r="P56" i="14" s="1"/>
  <c r="G292" i="14"/>
  <c r="X106" i="14" s="1"/>
  <c r="X114" i="14" s="1"/>
  <c r="X240" i="14" s="1"/>
  <c r="D293" i="14"/>
  <c r="U107" i="14" s="1"/>
  <c r="U115" i="14" s="1"/>
  <c r="D264" i="14"/>
  <c r="U97" i="14" s="1"/>
  <c r="U105" i="14" s="1"/>
  <c r="G263" i="14"/>
  <c r="X96" i="14" s="1"/>
  <c r="X104" i="14" s="1"/>
  <c r="X239" i="14" s="1"/>
  <c r="C206" i="14"/>
  <c r="T77" i="14" s="1"/>
  <c r="T85" i="14" s="1"/>
  <c r="D176" i="14"/>
  <c r="U66" i="14" s="1"/>
  <c r="U74" i="14" s="1"/>
  <c r="U236" i="14" s="1"/>
  <c r="H145" i="14"/>
  <c r="I145" i="14" s="1"/>
  <c r="C147" i="14"/>
  <c r="T56" i="14" s="1"/>
  <c r="T64" i="14" s="1"/>
  <c r="T235" i="14" s="1"/>
  <c r="D147" i="14"/>
  <c r="U56" i="14" s="1"/>
  <c r="U64" i="14" s="1"/>
  <c r="U235" i="14" s="1"/>
  <c r="H114" i="14"/>
  <c r="I114" i="14" s="1"/>
  <c r="K114" i="14" s="1"/>
  <c r="P114" i="14" s="1"/>
  <c r="H88" i="14"/>
  <c r="I88" i="14" s="1"/>
  <c r="V206" i="14"/>
  <c r="V214" i="14" s="1"/>
  <c r="V250" i="14" s="1"/>
  <c r="E584" i="14"/>
  <c r="V208" i="14" s="1"/>
  <c r="D583" i="14"/>
  <c r="U207" i="14" s="1"/>
  <c r="U215" i="14" s="1"/>
  <c r="E554" i="14"/>
  <c r="V197" i="14" s="1"/>
  <c r="V205" i="14" s="1"/>
  <c r="D524" i="14"/>
  <c r="D526" i="14" s="1"/>
  <c r="H522" i="14"/>
  <c r="I522" i="14" s="1"/>
  <c r="F496" i="14"/>
  <c r="W177" i="14" s="1"/>
  <c r="W185" i="14" s="1"/>
  <c r="F495" i="14"/>
  <c r="W176" i="14" s="1"/>
  <c r="W184" i="14" s="1"/>
  <c r="W247" i="14" s="1"/>
  <c r="G496" i="14"/>
  <c r="X177" i="14" s="1"/>
  <c r="X185" i="14" s="1"/>
  <c r="H492" i="14"/>
  <c r="I492" i="14" s="1"/>
  <c r="K492" i="14" s="1"/>
  <c r="P492" i="14" s="1"/>
  <c r="E495" i="14"/>
  <c r="V176" i="14" s="1"/>
  <c r="V184" i="14" s="1"/>
  <c r="F467" i="14"/>
  <c r="W167" i="14" s="1"/>
  <c r="W175" i="14" s="1"/>
  <c r="H436" i="14"/>
  <c r="I436" i="14" s="1"/>
  <c r="F438" i="14"/>
  <c r="W157" i="14" s="1"/>
  <c r="W165" i="14" s="1"/>
  <c r="E409" i="14"/>
  <c r="V147" i="14" s="1"/>
  <c r="V155" i="14" s="1"/>
  <c r="E380" i="14"/>
  <c r="V137" i="14" s="1"/>
  <c r="V145" i="14" s="1"/>
  <c r="D351" i="14"/>
  <c r="U127" i="14" s="1"/>
  <c r="U135" i="14" s="1"/>
  <c r="E351" i="14"/>
  <c r="V127" i="14" s="1"/>
  <c r="V135" i="14" s="1"/>
  <c r="H317" i="14"/>
  <c r="I317" i="14" s="1"/>
  <c r="J317" i="14" s="1"/>
  <c r="U121" i="14" s="1"/>
  <c r="D322" i="14"/>
  <c r="U117" i="14" s="1"/>
  <c r="U125" i="14" s="1"/>
  <c r="C293" i="14"/>
  <c r="T107" i="14" s="1"/>
  <c r="T115" i="14" s="1"/>
  <c r="G293" i="14"/>
  <c r="X107" i="14" s="1"/>
  <c r="X115" i="14" s="1"/>
  <c r="D292" i="14"/>
  <c r="U106" i="14" s="1"/>
  <c r="U114" i="14" s="1"/>
  <c r="U240" i="14" s="1"/>
  <c r="H291" i="14"/>
  <c r="I291" i="14" s="1"/>
  <c r="E263" i="14"/>
  <c r="V96" i="14" s="1"/>
  <c r="V104" i="14" s="1"/>
  <c r="V239" i="14" s="1"/>
  <c r="H231" i="14"/>
  <c r="I231" i="14" s="1"/>
  <c r="G205" i="14"/>
  <c r="G207" i="14" s="1"/>
  <c r="D205" i="14"/>
  <c r="U76" i="14" s="1"/>
  <c r="U84" i="14" s="1"/>
  <c r="U237" i="14" s="1"/>
  <c r="F205" i="14"/>
  <c r="W76" i="14" s="1"/>
  <c r="W84" i="14" s="1"/>
  <c r="W237" i="14" s="1"/>
  <c r="E205" i="14"/>
  <c r="V76" i="14" s="1"/>
  <c r="V84" i="14" s="1"/>
  <c r="V237" i="14" s="1"/>
  <c r="D177" i="14"/>
  <c r="U67" i="14" s="1"/>
  <c r="U75" i="14" s="1"/>
  <c r="E177" i="14"/>
  <c r="V67" i="14" s="1"/>
  <c r="V75" i="14" s="1"/>
  <c r="F176" i="14"/>
  <c r="W66" i="14" s="1"/>
  <c r="W74" i="14" s="1"/>
  <c r="W236" i="14" s="1"/>
  <c r="G176" i="14"/>
  <c r="H174" i="14"/>
  <c r="E148" i="14"/>
  <c r="V57" i="14" s="1"/>
  <c r="V65" i="14" s="1"/>
  <c r="F118" i="14"/>
  <c r="W46" i="14" s="1"/>
  <c r="W54" i="14" s="1"/>
  <c r="W234" i="14" s="1"/>
  <c r="T284" i="14"/>
  <c r="D119" i="14"/>
  <c r="U47" i="14" s="1"/>
  <c r="U55" i="14" s="1"/>
  <c r="F60" i="14"/>
  <c r="W26" i="14" s="1"/>
  <c r="W34" i="14" s="1"/>
  <c r="W232" i="14" s="1"/>
  <c r="F32" i="14"/>
  <c r="W17" i="14" s="1"/>
  <c r="W25" i="14" s="1"/>
  <c r="G32" i="14"/>
  <c r="X17" i="14" s="1"/>
  <c r="X25" i="14" s="1"/>
  <c r="K29" i="14"/>
  <c r="P29" i="14" s="1"/>
  <c r="W20" i="14"/>
  <c r="E32" i="14"/>
  <c r="V17" i="14" s="1"/>
  <c r="V25" i="14" s="1"/>
  <c r="J490" i="14"/>
  <c r="T181" i="14" s="1"/>
  <c r="K490" i="14"/>
  <c r="P490" i="14" s="1"/>
  <c r="T180" i="14"/>
  <c r="K550" i="14"/>
  <c r="P550" i="14" s="1"/>
  <c r="J58" i="14"/>
  <c r="W31" i="14" s="1"/>
  <c r="W30" i="14"/>
  <c r="K58" i="14"/>
  <c r="P58" i="14" s="1"/>
  <c r="J289" i="14"/>
  <c r="V111" i="14" s="1"/>
  <c r="K289" i="14"/>
  <c r="P289" i="14" s="1"/>
  <c r="V110" i="14"/>
  <c r="U40" i="14"/>
  <c r="U166" i="14"/>
  <c r="U174" i="14" s="1"/>
  <c r="U246" i="14" s="1"/>
  <c r="D468" i="14"/>
  <c r="K581" i="14"/>
  <c r="P581" i="14" s="1"/>
  <c r="J581" i="14"/>
  <c r="X211" i="14" s="1"/>
  <c r="X210" i="14"/>
  <c r="J204" i="14"/>
  <c r="X81" i="14" s="1"/>
  <c r="K204" i="14"/>
  <c r="P204" i="14" s="1"/>
  <c r="X80" i="14"/>
  <c r="J172" i="14"/>
  <c r="U71" i="14" s="1"/>
  <c r="K172" i="14"/>
  <c r="P172" i="14" s="1"/>
  <c r="U70" i="14"/>
  <c r="K143" i="14"/>
  <c r="P143" i="14" s="1"/>
  <c r="J143" i="14"/>
  <c r="U61" i="14" s="1"/>
  <c r="U60" i="14"/>
  <c r="V166" i="14"/>
  <c r="V174" i="14" s="1"/>
  <c r="V246" i="14" s="1"/>
  <c r="E468" i="14"/>
  <c r="AS98" i="14"/>
  <c r="AP114" i="14" s="1"/>
  <c r="AP113" i="14"/>
  <c r="AT98" i="14"/>
  <c r="AY98" i="14" s="1"/>
  <c r="K232" i="14"/>
  <c r="P232" i="14" s="1"/>
  <c r="J232" i="14"/>
  <c r="W91" i="14" s="1"/>
  <c r="W90" i="14"/>
  <c r="K462" i="14"/>
  <c r="P462" i="14" s="1"/>
  <c r="J462" i="14"/>
  <c r="U171" i="14" s="1"/>
  <c r="U170" i="14"/>
  <c r="U186" i="14"/>
  <c r="U194" i="14" s="1"/>
  <c r="U248" i="14" s="1"/>
  <c r="C264" i="14"/>
  <c r="T97" i="14" s="1"/>
  <c r="T105" i="14" s="1"/>
  <c r="H259" i="14"/>
  <c r="I259" i="14" s="1"/>
  <c r="C263" i="14"/>
  <c r="G497" i="14"/>
  <c r="H346" i="14"/>
  <c r="I346" i="14" s="1"/>
  <c r="C350" i="14"/>
  <c r="K28" i="14"/>
  <c r="P28" i="14" s="1"/>
  <c r="J28" i="14"/>
  <c r="V21" i="14" s="1"/>
  <c r="V20" i="14"/>
  <c r="H433" i="14"/>
  <c r="I433" i="14" s="1"/>
  <c r="H202" i="14"/>
  <c r="I202" i="14" s="1"/>
  <c r="G438" i="14"/>
  <c r="X157" i="14" s="1"/>
  <c r="X165" i="14" s="1"/>
  <c r="H229" i="14"/>
  <c r="I229" i="14" s="1"/>
  <c r="C234" i="14"/>
  <c r="T86" i="14" s="1"/>
  <c r="T94" i="14" s="1"/>
  <c r="T238" i="14" s="1"/>
  <c r="C235" i="14"/>
  <c r="T87" i="14" s="1"/>
  <c r="T95" i="14" s="1"/>
  <c r="H27" i="14"/>
  <c r="I27" i="14" s="1"/>
  <c r="H407" i="14"/>
  <c r="H408" i="14" s="1"/>
  <c r="I409" i="14" s="1"/>
  <c r="AE29" i="14" s="1"/>
  <c r="H287" i="14"/>
  <c r="C582" i="14"/>
  <c r="T206" i="14" s="1"/>
  <c r="T214" i="14" s="1"/>
  <c r="T250" i="14" s="1"/>
  <c r="H577" i="14"/>
  <c r="I577" i="14" s="1"/>
  <c r="H117" i="14"/>
  <c r="I117" i="14" s="1"/>
  <c r="H376" i="14"/>
  <c r="I376" i="14" s="1"/>
  <c r="H30" i="14"/>
  <c r="I30" i="14" s="1"/>
  <c r="H230" i="14"/>
  <c r="I230" i="14" s="1"/>
  <c r="C177" i="14"/>
  <c r="T67" i="14" s="1"/>
  <c r="T75" i="14" s="1"/>
  <c r="K494" i="14"/>
  <c r="P494" i="14" s="1"/>
  <c r="J494" i="14"/>
  <c r="X181" i="14" s="1"/>
  <c r="X180" i="14"/>
  <c r="F119" i="14"/>
  <c r="W47" i="14" s="1"/>
  <c r="W55" i="14" s="1"/>
  <c r="D60" i="14"/>
  <c r="K87" i="14"/>
  <c r="P87" i="14" s="1"/>
  <c r="W40" i="14"/>
  <c r="J87" i="14"/>
  <c r="W41" i="14" s="1"/>
  <c r="D234" i="14"/>
  <c r="U86" i="14" s="1"/>
  <c r="U94" i="14" s="1"/>
  <c r="U238" i="14" s="1"/>
  <c r="D235" i="14"/>
  <c r="U87" i="14" s="1"/>
  <c r="U95" i="14" s="1"/>
  <c r="J461" i="14"/>
  <c r="T171" i="14" s="1"/>
  <c r="K461" i="14"/>
  <c r="P461" i="14" s="1"/>
  <c r="T170" i="14"/>
  <c r="I348" i="14"/>
  <c r="K317" i="14"/>
  <c r="P317" i="14" s="1"/>
  <c r="G467" i="14"/>
  <c r="X167" i="14" s="1"/>
  <c r="X175" i="14" s="1"/>
  <c r="C322" i="14"/>
  <c r="T117" i="14" s="1"/>
  <c r="T125" i="14" s="1"/>
  <c r="C60" i="14"/>
  <c r="T26" i="14" s="1"/>
  <c r="T34" i="14" s="1"/>
  <c r="T232" i="14" s="1"/>
  <c r="H55" i="14"/>
  <c r="I55" i="14" s="1"/>
  <c r="F234" i="14"/>
  <c r="F235" i="14"/>
  <c r="W87" i="14" s="1"/>
  <c r="W95" i="14" s="1"/>
  <c r="J406" i="14"/>
  <c r="W151" i="14" s="1"/>
  <c r="K406" i="14"/>
  <c r="P406" i="14" s="1"/>
  <c r="W150" i="14"/>
  <c r="H318" i="14"/>
  <c r="I318" i="14" s="1"/>
  <c r="H432" i="14"/>
  <c r="I432" i="14" s="1"/>
  <c r="C437" i="14"/>
  <c r="T156" i="14" s="1"/>
  <c r="T164" i="14" s="1"/>
  <c r="T245" i="14" s="1"/>
  <c r="E379" i="14"/>
  <c r="V136" i="14" s="1"/>
  <c r="V144" i="14" s="1"/>
  <c r="V243" i="14" s="1"/>
  <c r="H347" i="14"/>
  <c r="I347" i="14" s="1"/>
  <c r="J464" i="14"/>
  <c r="W171" i="14" s="1"/>
  <c r="K464" i="14"/>
  <c r="P464" i="14" s="1"/>
  <c r="W170" i="14"/>
  <c r="E60" i="14"/>
  <c r="V26" i="14" s="1"/>
  <c r="V34" i="14" s="1"/>
  <c r="V232" i="14" s="1"/>
  <c r="E61" i="14"/>
  <c r="V27" i="14" s="1"/>
  <c r="V35" i="14" s="1"/>
  <c r="H203" i="14"/>
  <c r="I203" i="14" s="1"/>
  <c r="H491" i="14"/>
  <c r="C496" i="14"/>
  <c r="T177" i="14" s="1"/>
  <c r="T185" i="14" s="1"/>
  <c r="H171" i="14"/>
  <c r="C176" i="14"/>
  <c r="T66" i="14" s="1"/>
  <c r="T74" i="14" s="1"/>
  <c r="T236" i="14" s="1"/>
  <c r="E292" i="14"/>
  <c r="AL99" i="14"/>
  <c r="F526" i="14"/>
  <c r="E147" i="14"/>
  <c r="V284" i="14"/>
  <c r="V285" i="14"/>
  <c r="V286" i="14" s="1"/>
  <c r="V225" i="14"/>
  <c r="J175" i="14"/>
  <c r="X71" i="14" s="1"/>
  <c r="K175" i="14"/>
  <c r="P175" i="14" s="1"/>
  <c r="X70" i="14"/>
  <c r="H465" i="14"/>
  <c r="H466" i="14" s="1"/>
  <c r="I467" i="14" s="1"/>
  <c r="AE31" i="14" s="1"/>
  <c r="E437" i="14"/>
  <c r="V156" i="14" s="1"/>
  <c r="V164" i="14" s="1"/>
  <c r="V245" i="14" s="1"/>
  <c r="AQ97" i="14"/>
  <c r="AR97" i="14" s="1"/>
  <c r="H374" i="14"/>
  <c r="I374" i="14" s="1"/>
  <c r="C379" i="14"/>
  <c r="T136" i="14" s="1"/>
  <c r="T144" i="14" s="1"/>
  <c r="T243" i="14" s="1"/>
  <c r="E352" i="14"/>
  <c r="D350" i="14"/>
  <c r="U126" i="14" s="1"/>
  <c r="U134" i="14" s="1"/>
  <c r="U242" i="14" s="1"/>
  <c r="K403" i="14"/>
  <c r="P403" i="14" s="1"/>
  <c r="F61" i="14"/>
  <c r="W27" i="14" s="1"/>
  <c r="W35" i="14" s="1"/>
  <c r="D497" i="14"/>
  <c r="D438" i="14"/>
  <c r="U157" i="14" s="1"/>
  <c r="U165" i="14" s="1"/>
  <c r="C583" i="14"/>
  <c r="T207" i="14" s="1"/>
  <c r="T215" i="14" s="1"/>
  <c r="H146" i="14"/>
  <c r="E524" i="14"/>
  <c r="J173" i="14"/>
  <c r="V71" i="14" s="1"/>
  <c r="E321" i="14"/>
  <c r="V116" i="14" s="1"/>
  <c r="V124" i="14" s="1"/>
  <c r="V241" i="14" s="1"/>
  <c r="W166" i="14"/>
  <c r="W174" i="14" s="1"/>
  <c r="W246" i="14" s="1"/>
  <c r="F468" i="14"/>
  <c r="D118" i="14"/>
  <c r="F379" i="14"/>
  <c r="W136" i="14" s="1"/>
  <c r="W144" i="14" s="1"/>
  <c r="W243" i="14" s="1"/>
  <c r="F350" i="14"/>
  <c r="W126" i="14" s="1"/>
  <c r="W134" i="14" s="1"/>
  <c r="W242" i="14" s="1"/>
  <c r="F408" i="14"/>
  <c r="H57" i="14"/>
  <c r="I57" i="14" s="1"/>
  <c r="H377" i="14"/>
  <c r="I377" i="14" s="1"/>
  <c r="G60" i="14"/>
  <c r="E438" i="14"/>
  <c r="V157" i="14" s="1"/>
  <c r="V165" i="14" s="1"/>
  <c r="W285" i="14"/>
  <c r="W286" i="14" s="1"/>
  <c r="W225" i="14"/>
  <c r="W284" i="14"/>
  <c r="C466" i="14"/>
  <c r="E496" i="14"/>
  <c r="V177" i="14" s="1"/>
  <c r="V185" i="14" s="1"/>
  <c r="E264" i="14"/>
  <c r="V97" i="14" s="1"/>
  <c r="V105" i="14" s="1"/>
  <c r="H316" i="14"/>
  <c r="I316" i="14" s="1"/>
  <c r="C321" i="14"/>
  <c r="T116" i="14" s="1"/>
  <c r="T124" i="14" s="1"/>
  <c r="T241" i="14" s="1"/>
  <c r="AP99" i="14"/>
  <c r="F437" i="14"/>
  <c r="W156" i="14" s="1"/>
  <c r="W164" i="14" s="1"/>
  <c r="W245" i="14" s="1"/>
  <c r="E118" i="14"/>
  <c r="V46" i="14" s="1"/>
  <c r="V54" i="14" s="1"/>
  <c r="V234" i="14" s="1"/>
  <c r="G379" i="14"/>
  <c r="X136" i="14" s="1"/>
  <c r="X144" i="14" s="1"/>
  <c r="X243" i="14" s="1"/>
  <c r="G206" i="14"/>
  <c r="X77" i="14" s="1"/>
  <c r="X85" i="14" s="1"/>
  <c r="E467" i="14"/>
  <c r="V167" i="14" s="1"/>
  <c r="V175" i="14" s="1"/>
  <c r="K144" i="14"/>
  <c r="P144" i="14" s="1"/>
  <c r="V60" i="14"/>
  <c r="J260" i="14"/>
  <c r="V101" i="14" s="1"/>
  <c r="K260" i="14"/>
  <c r="P260" i="14" s="1"/>
  <c r="V100" i="14"/>
  <c r="F553" i="14"/>
  <c r="W196" i="14" s="1"/>
  <c r="W204" i="14" s="1"/>
  <c r="W249" i="14" s="1"/>
  <c r="F583" i="14"/>
  <c r="W207" i="14" s="1"/>
  <c r="W215" i="14" s="1"/>
  <c r="G408" i="14"/>
  <c r="X146" i="14" s="1"/>
  <c r="X154" i="14" s="1"/>
  <c r="X244" i="14" s="1"/>
  <c r="D321" i="14"/>
  <c r="G582" i="14"/>
  <c r="F31" i="14"/>
  <c r="G118" i="14"/>
  <c r="X46" i="14" s="1"/>
  <c r="X54" i="14" s="1"/>
  <c r="X234" i="14" s="1"/>
  <c r="D379" i="14"/>
  <c r="C524" i="14"/>
  <c r="H84" i="14"/>
  <c r="C89" i="14"/>
  <c r="T36" i="14" s="1"/>
  <c r="T44" i="14" s="1"/>
  <c r="T233" i="14" s="1"/>
  <c r="C90" i="14"/>
  <c r="T37" i="14" s="1"/>
  <c r="T45" i="14" s="1"/>
  <c r="G322" i="14"/>
  <c r="X117" i="14" s="1"/>
  <c r="X125" i="14" s="1"/>
  <c r="H349" i="14"/>
  <c r="I349" i="14" s="1"/>
  <c r="C61" i="14"/>
  <c r="T27" i="14" s="1"/>
  <c r="T35" i="14" s="1"/>
  <c r="H115" i="14"/>
  <c r="I115" i="14" s="1"/>
  <c r="H375" i="14"/>
  <c r="I375" i="14" s="1"/>
  <c r="H548" i="14"/>
  <c r="I548" i="14" s="1"/>
  <c r="C553" i="14"/>
  <c r="T196" i="14" s="1"/>
  <c r="T204" i="14" s="1"/>
  <c r="T249" i="14" s="1"/>
  <c r="AR94" i="14"/>
  <c r="J404" i="14"/>
  <c r="U151" i="14" s="1"/>
  <c r="K404" i="14"/>
  <c r="P404" i="14" s="1"/>
  <c r="U150" i="14"/>
  <c r="F380" i="14"/>
  <c r="W137" i="14" s="1"/>
  <c r="W145" i="14" s="1"/>
  <c r="F321" i="14"/>
  <c r="G31" i="14"/>
  <c r="X16" i="14" s="1"/>
  <c r="H290" i="14"/>
  <c r="I290" i="14" s="1"/>
  <c r="K520" i="14"/>
  <c r="P520" i="14" s="1"/>
  <c r="J520" i="14"/>
  <c r="U191" i="14" s="1"/>
  <c r="U190" i="14"/>
  <c r="C525" i="14"/>
  <c r="T187" i="14" s="1"/>
  <c r="T195" i="14" s="1"/>
  <c r="C118" i="14"/>
  <c r="T46" i="14" s="1"/>
  <c r="T54" i="14" s="1"/>
  <c r="T234" i="14" s="1"/>
  <c r="H113" i="14"/>
  <c r="H524" i="14"/>
  <c r="I525" i="14" s="1"/>
  <c r="AE33" i="14" s="1"/>
  <c r="E89" i="14"/>
  <c r="E90" i="14"/>
  <c r="V37" i="14" s="1"/>
  <c r="V45" i="14" s="1"/>
  <c r="C351" i="14"/>
  <c r="T127" i="14" s="1"/>
  <c r="T135" i="14" s="1"/>
  <c r="K579" i="14"/>
  <c r="P579" i="14" s="1"/>
  <c r="J579" i="14"/>
  <c r="V211" i="14" s="1"/>
  <c r="V210" i="14"/>
  <c r="T225" i="14"/>
  <c r="D61" i="14"/>
  <c r="U27" i="14" s="1"/>
  <c r="U35" i="14" s="1"/>
  <c r="H320" i="14"/>
  <c r="I320" i="14" s="1"/>
  <c r="D553" i="14"/>
  <c r="U196" i="14" s="1"/>
  <c r="U204" i="14" s="1"/>
  <c r="U249" i="14" s="1"/>
  <c r="C408" i="14"/>
  <c r="G583" i="14"/>
  <c r="X207" i="14" s="1"/>
  <c r="X215" i="14" s="1"/>
  <c r="AN101" i="14"/>
  <c r="AN110" i="14"/>
  <c r="F89" i="14"/>
  <c r="F90" i="14"/>
  <c r="W37" i="14" s="1"/>
  <c r="W45" i="14" s="1"/>
  <c r="J463" i="14"/>
  <c r="V171" i="14" s="1"/>
  <c r="K463" i="14"/>
  <c r="P463" i="14" s="1"/>
  <c r="V170" i="14"/>
  <c r="E553" i="14"/>
  <c r="D467" i="14"/>
  <c r="U167" i="14" s="1"/>
  <c r="U175" i="14" s="1"/>
  <c r="AM99" i="14"/>
  <c r="J405" i="14"/>
  <c r="V151" i="14" s="1"/>
  <c r="K405" i="14"/>
  <c r="P405" i="14" s="1"/>
  <c r="V150" i="14"/>
  <c r="C31" i="14"/>
  <c r="T16" i="14" s="1"/>
  <c r="H26" i="14"/>
  <c r="E588" i="14"/>
  <c r="H288" i="14"/>
  <c r="I288" i="14" s="1"/>
  <c r="D584" i="14"/>
  <c r="H261" i="14"/>
  <c r="H578" i="14"/>
  <c r="I578" i="14" s="1"/>
  <c r="D31" i="14"/>
  <c r="U16" i="14" s="1"/>
  <c r="AQ96" i="14"/>
  <c r="H551" i="14"/>
  <c r="I551" i="14" s="1"/>
  <c r="H116" i="14"/>
  <c r="I116" i="14" s="1"/>
  <c r="F263" i="14"/>
  <c r="W96" i="14" s="1"/>
  <c r="W104" i="14" s="1"/>
  <c r="W239" i="14" s="1"/>
  <c r="F264" i="14"/>
  <c r="W97" i="14" s="1"/>
  <c r="W105" i="14" s="1"/>
  <c r="G439" i="14"/>
  <c r="C497" i="14"/>
  <c r="K519" i="14"/>
  <c r="P519" i="14" s="1"/>
  <c r="J519" i="14"/>
  <c r="T191" i="14" s="1"/>
  <c r="T190" i="14"/>
  <c r="D90" i="14"/>
  <c r="U37" i="14" s="1"/>
  <c r="U45" i="14" s="1"/>
  <c r="D89" i="14"/>
  <c r="I142" i="14"/>
  <c r="E206" i="14"/>
  <c r="V77" i="14" s="1"/>
  <c r="V85" i="14" s="1"/>
  <c r="F351" i="14"/>
  <c r="W127" i="14" s="1"/>
  <c r="W135" i="14" s="1"/>
  <c r="H201" i="14"/>
  <c r="I201" i="14" s="1"/>
  <c r="G350" i="14"/>
  <c r="H345" i="14"/>
  <c r="C205" i="14"/>
  <c r="D263" i="14"/>
  <c r="U96" i="14" s="1"/>
  <c r="U104" i="14" s="1"/>
  <c r="U239" i="14" s="1"/>
  <c r="G553" i="14"/>
  <c r="F292" i="14"/>
  <c r="W106" i="14" s="1"/>
  <c r="W114" i="14" s="1"/>
  <c r="W240" i="14" s="1"/>
  <c r="C438" i="14"/>
  <c r="T157" i="14" s="1"/>
  <c r="T165" i="14" s="1"/>
  <c r="G234" i="14"/>
  <c r="G235" i="14"/>
  <c r="X87" i="14" s="1"/>
  <c r="X95" i="14" s="1"/>
  <c r="G466" i="14"/>
  <c r="X166" i="14" s="1"/>
  <c r="X174" i="14" s="1"/>
  <c r="X246" i="14" s="1"/>
  <c r="H493" i="14"/>
  <c r="I493" i="14" s="1"/>
  <c r="I435" i="14"/>
  <c r="E31" i="14"/>
  <c r="AO99" i="14"/>
  <c r="AO109" i="14" s="1"/>
  <c r="AO117" i="14" s="1"/>
  <c r="AO110" i="14"/>
  <c r="X284" i="14"/>
  <c r="X285" i="14"/>
  <c r="X286" i="14" s="1"/>
  <c r="X225" i="14"/>
  <c r="C32" i="14"/>
  <c r="T17" i="14" s="1"/>
  <c r="G90" i="14"/>
  <c r="X37" i="14" s="1"/>
  <c r="X45" i="14" s="1"/>
  <c r="G89" i="14"/>
  <c r="X36" i="14" s="1"/>
  <c r="X44" i="14" s="1"/>
  <c r="X233" i="14" s="1"/>
  <c r="F206" i="14"/>
  <c r="W77" i="14" s="1"/>
  <c r="W85" i="14" s="1"/>
  <c r="C119" i="14"/>
  <c r="T47" i="14" s="1"/>
  <c r="T55" i="14" s="1"/>
  <c r="H552" i="14"/>
  <c r="I552" i="14" s="1"/>
  <c r="F148" i="14"/>
  <c r="W57" i="14" s="1"/>
  <c r="W65" i="14" s="1"/>
  <c r="U225" i="14"/>
  <c r="U285" i="14"/>
  <c r="U286" i="14" s="1"/>
  <c r="U284" i="14"/>
  <c r="K523" i="14"/>
  <c r="P523" i="14" s="1"/>
  <c r="J523" i="14"/>
  <c r="X191" i="14" s="1"/>
  <c r="X190" i="14"/>
  <c r="H549" i="14"/>
  <c r="I549" i="14" s="1"/>
  <c r="E235" i="14"/>
  <c r="V87" i="14" s="1"/>
  <c r="V95" i="14" s="1"/>
  <c r="E234" i="14"/>
  <c r="V86" i="14" s="1"/>
  <c r="V94" i="14" s="1"/>
  <c r="V238" i="14" s="1"/>
  <c r="C554" i="14"/>
  <c r="T197" i="14" s="1"/>
  <c r="T205" i="14" s="1"/>
  <c r="D496" i="14"/>
  <c r="U177" i="14" s="1"/>
  <c r="U185" i="14" s="1"/>
  <c r="H434" i="14"/>
  <c r="I434" i="14" s="1"/>
  <c r="F147" i="14"/>
  <c r="W56" i="14" s="1"/>
  <c r="W64" i="14" s="1"/>
  <c r="W235" i="14" s="1"/>
  <c r="BL65" i="12"/>
  <c r="BI161" i="12" s="1"/>
  <c r="BJ161" i="12" s="1"/>
  <c r="BI64" i="12"/>
  <c r="BJ64" i="12" s="1"/>
  <c r="AN99" i="12"/>
  <c r="AN109" i="12" s="1"/>
  <c r="AN117" i="12" s="1"/>
  <c r="AQ95" i="12"/>
  <c r="AR95" i="12" s="1"/>
  <c r="AM113" i="12" s="1"/>
  <c r="AQ97" i="12"/>
  <c r="AR97" i="12" s="1"/>
  <c r="AT97" i="12" s="1"/>
  <c r="AY97" i="12" s="1"/>
  <c r="AQ94" i="12"/>
  <c r="AR94" i="12" s="1"/>
  <c r="AL113" i="12" s="1"/>
  <c r="AL99" i="12"/>
  <c r="AL101" i="12" s="1"/>
  <c r="AM99" i="12"/>
  <c r="AM109" i="12" s="1"/>
  <c r="AM117" i="12" s="1"/>
  <c r="H577" i="12"/>
  <c r="H579" i="12"/>
  <c r="I579" i="12" s="1"/>
  <c r="C554" i="12"/>
  <c r="T197" i="12" s="1"/>
  <c r="T205" i="12" s="1"/>
  <c r="H550" i="12"/>
  <c r="I550" i="12" s="1"/>
  <c r="D496" i="12"/>
  <c r="U177" i="12" s="1"/>
  <c r="U185" i="12" s="1"/>
  <c r="G496" i="12"/>
  <c r="X177" i="12" s="1"/>
  <c r="X185" i="12" s="1"/>
  <c r="F466" i="12"/>
  <c r="W166" i="12" s="1"/>
  <c r="W174" i="12" s="1"/>
  <c r="W246" i="12" s="1"/>
  <c r="H464" i="12"/>
  <c r="I464" i="12" s="1"/>
  <c r="J464" i="12" s="1"/>
  <c r="W171" i="12" s="1"/>
  <c r="D466" i="12"/>
  <c r="U166" i="12" s="1"/>
  <c r="U174" i="12" s="1"/>
  <c r="U246" i="12" s="1"/>
  <c r="G437" i="12"/>
  <c r="X156" i="12" s="1"/>
  <c r="X164" i="12" s="1"/>
  <c r="X245" i="12" s="1"/>
  <c r="H261" i="12"/>
  <c r="I261" i="12" s="1"/>
  <c r="K261" i="12" s="1"/>
  <c r="P261" i="12" s="1"/>
  <c r="C235" i="12"/>
  <c r="T87" i="12" s="1"/>
  <c r="T95" i="12" s="1"/>
  <c r="G235" i="12"/>
  <c r="X87" i="12" s="1"/>
  <c r="X95" i="12" s="1"/>
  <c r="G234" i="12"/>
  <c r="G236" i="12" s="1"/>
  <c r="E234" i="12"/>
  <c r="V86" i="12" s="1"/>
  <c r="V94" i="12" s="1"/>
  <c r="V238" i="12" s="1"/>
  <c r="F235" i="12"/>
  <c r="W87" i="12" s="1"/>
  <c r="W95" i="12" s="1"/>
  <c r="H200" i="12"/>
  <c r="I200" i="12" s="1"/>
  <c r="K200" i="12" s="1"/>
  <c r="P200" i="12" s="1"/>
  <c r="X80" i="12"/>
  <c r="J204" i="12"/>
  <c r="X81" i="12" s="1"/>
  <c r="H202" i="12"/>
  <c r="I202" i="12" s="1"/>
  <c r="K202" i="12" s="1"/>
  <c r="P202" i="12" s="1"/>
  <c r="E206" i="12"/>
  <c r="V77" i="12" s="1"/>
  <c r="V85" i="12" s="1"/>
  <c r="G205" i="12"/>
  <c r="X76" i="12" s="1"/>
  <c r="X84" i="12" s="1"/>
  <c r="X237" i="12" s="1"/>
  <c r="F176" i="12"/>
  <c r="W66" i="12" s="1"/>
  <c r="W74" i="12" s="1"/>
  <c r="W236" i="12" s="1"/>
  <c r="H145" i="12"/>
  <c r="H117" i="12"/>
  <c r="I117" i="12" s="1"/>
  <c r="K117" i="12" s="1"/>
  <c r="P117" i="12" s="1"/>
  <c r="E118" i="12"/>
  <c r="V46" i="12" s="1"/>
  <c r="V54" i="12" s="1"/>
  <c r="V234" i="12" s="1"/>
  <c r="H114" i="12"/>
  <c r="I114" i="12" s="1"/>
  <c r="J114" i="12" s="1"/>
  <c r="U51" i="12" s="1"/>
  <c r="F118" i="12"/>
  <c r="F119" i="12"/>
  <c r="W47" i="12" s="1"/>
  <c r="W55" i="12" s="1"/>
  <c r="D120" i="12"/>
  <c r="D122" i="12" s="1"/>
  <c r="D89" i="12"/>
  <c r="U36" i="12" s="1"/>
  <c r="U44" i="12" s="1"/>
  <c r="U233" i="12" s="1"/>
  <c r="F89" i="12"/>
  <c r="W36" i="12" s="1"/>
  <c r="W44" i="12" s="1"/>
  <c r="W233" i="12" s="1"/>
  <c r="V285" i="12"/>
  <c r="V286" i="12" s="1"/>
  <c r="F90" i="12"/>
  <c r="W37" i="12" s="1"/>
  <c r="W45" i="12" s="1"/>
  <c r="G90" i="12"/>
  <c r="X37" i="12" s="1"/>
  <c r="X45" i="12" s="1"/>
  <c r="D90" i="12"/>
  <c r="U37" i="12" s="1"/>
  <c r="U45" i="12" s="1"/>
  <c r="D61" i="12"/>
  <c r="U27" i="12" s="1"/>
  <c r="U35" i="12" s="1"/>
  <c r="E554" i="12"/>
  <c r="V197" i="12" s="1"/>
  <c r="V205" i="12" s="1"/>
  <c r="D553" i="12"/>
  <c r="U196" i="12" s="1"/>
  <c r="U204" i="12" s="1"/>
  <c r="U249" i="12" s="1"/>
  <c r="G553" i="12"/>
  <c r="X196" i="12" s="1"/>
  <c r="X204" i="12" s="1"/>
  <c r="X249" i="12" s="1"/>
  <c r="F554" i="12"/>
  <c r="W197" i="12" s="1"/>
  <c r="W205" i="12" s="1"/>
  <c r="W190" i="12"/>
  <c r="K522" i="12"/>
  <c r="P522" i="12" s="1"/>
  <c r="E438" i="12"/>
  <c r="V157" i="12" s="1"/>
  <c r="V165" i="12" s="1"/>
  <c r="F438" i="12"/>
  <c r="W157" i="12" s="1"/>
  <c r="W165" i="12" s="1"/>
  <c r="D438" i="12"/>
  <c r="U157" i="12" s="1"/>
  <c r="U165" i="12" s="1"/>
  <c r="C409" i="12"/>
  <c r="T147" i="12" s="1"/>
  <c r="T155" i="12" s="1"/>
  <c r="E408" i="12"/>
  <c r="V146" i="12" s="1"/>
  <c r="V154" i="12" s="1"/>
  <c r="V244" i="12" s="1"/>
  <c r="F408" i="12"/>
  <c r="W146" i="12" s="1"/>
  <c r="W154" i="12" s="1"/>
  <c r="W244" i="12" s="1"/>
  <c r="H407" i="12"/>
  <c r="G408" i="12"/>
  <c r="X146" i="12" s="1"/>
  <c r="X154" i="12" s="1"/>
  <c r="X244" i="12" s="1"/>
  <c r="H404" i="12"/>
  <c r="I404" i="12" s="1"/>
  <c r="H377" i="12"/>
  <c r="I377" i="12" s="1"/>
  <c r="H290" i="12"/>
  <c r="I290" i="12" s="1"/>
  <c r="E235" i="12"/>
  <c r="V87" i="12" s="1"/>
  <c r="V95" i="12" s="1"/>
  <c r="D176" i="12"/>
  <c r="U66" i="12" s="1"/>
  <c r="U74" i="12" s="1"/>
  <c r="U236" i="12" s="1"/>
  <c r="G176" i="12"/>
  <c r="G120" i="12"/>
  <c r="G125" i="12" s="1"/>
  <c r="G119" i="12"/>
  <c r="X47" i="12" s="1"/>
  <c r="X55" i="12" s="1"/>
  <c r="E120" i="12"/>
  <c r="E125" i="12" s="1"/>
  <c r="E119" i="12"/>
  <c r="V47" i="12" s="1"/>
  <c r="V55" i="12" s="1"/>
  <c r="H118" i="12"/>
  <c r="I119" i="12" s="1"/>
  <c r="AE19" i="12" s="1"/>
  <c r="E90" i="12"/>
  <c r="V37" i="12" s="1"/>
  <c r="V45" i="12" s="1"/>
  <c r="H87" i="12"/>
  <c r="E61" i="12"/>
  <c r="V27" i="12" s="1"/>
  <c r="V35" i="12" s="1"/>
  <c r="F60" i="12"/>
  <c r="W26" i="12" s="1"/>
  <c r="W34" i="12" s="1"/>
  <c r="W232" i="12" s="1"/>
  <c r="H58" i="12"/>
  <c r="I58" i="12" s="1"/>
  <c r="K58" i="12" s="1"/>
  <c r="P58" i="12" s="1"/>
  <c r="G60" i="12"/>
  <c r="X26" i="12" s="1"/>
  <c r="X34" i="12" s="1"/>
  <c r="X232" i="12" s="1"/>
  <c r="X225" i="12"/>
  <c r="X285" i="12"/>
  <c r="X286" i="12" s="1"/>
  <c r="G61" i="12"/>
  <c r="X27" i="12" s="1"/>
  <c r="X35" i="12" s="1"/>
  <c r="H27" i="12"/>
  <c r="I27" i="12" s="1"/>
  <c r="K27" i="12" s="1"/>
  <c r="P27" i="12" s="1"/>
  <c r="H30" i="12"/>
  <c r="I30" i="12" s="1"/>
  <c r="X20" i="12" s="1"/>
  <c r="C32" i="12"/>
  <c r="T17" i="12" s="1"/>
  <c r="T25" i="12" s="1"/>
  <c r="D32" i="12"/>
  <c r="U17" i="12" s="1"/>
  <c r="U25" i="12" s="1"/>
  <c r="G32" i="12"/>
  <c r="X17" i="12" s="1"/>
  <c r="X25" i="12" s="1"/>
  <c r="F32" i="12"/>
  <c r="W17" i="12" s="1"/>
  <c r="W25" i="12" s="1"/>
  <c r="X284" i="12"/>
  <c r="H29" i="12"/>
  <c r="I29" i="12" s="1"/>
  <c r="J29" i="12" s="1"/>
  <c r="W21" i="12" s="1"/>
  <c r="E32" i="12"/>
  <c r="V17" i="12" s="1"/>
  <c r="V25" i="12" s="1"/>
  <c r="C31" i="12"/>
  <c r="T16" i="12" s="1"/>
  <c r="T24" i="12" s="1"/>
  <c r="T231" i="12" s="1"/>
  <c r="G31" i="12"/>
  <c r="X16" i="12" s="1"/>
  <c r="X24" i="12" s="1"/>
  <c r="X231" i="12" s="1"/>
  <c r="D31" i="12"/>
  <c r="U16" i="12" s="1"/>
  <c r="U24" i="12" s="1"/>
  <c r="U231" i="12" s="1"/>
  <c r="E31" i="12"/>
  <c r="V16" i="12" s="1"/>
  <c r="V24" i="12" s="1"/>
  <c r="V231" i="12" s="1"/>
  <c r="F31" i="12"/>
  <c r="W16" i="12" s="1"/>
  <c r="J143" i="12"/>
  <c r="U61" i="12" s="1"/>
  <c r="K143" i="12"/>
  <c r="P143" i="12" s="1"/>
  <c r="U60" i="12"/>
  <c r="T40" i="12"/>
  <c r="K84" i="12"/>
  <c r="P84" i="12" s="1"/>
  <c r="J84" i="12"/>
  <c r="T41" i="12" s="1"/>
  <c r="K288" i="12"/>
  <c r="P288" i="12" s="1"/>
  <c r="J288" i="12"/>
  <c r="U111" i="12" s="1"/>
  <c r="U110" i="12"/>
  <c r="E584" i="12"/>
  <c r="K349" i="12"/>
  <c r="P349" i="12" s="1"/>
  <c r="J349" i="12"/>
  <c r="X131" i="12" s="1"/>
  <c r="X130" i="12"/>
  <c r="J262" i="12"/>
  <c r="X101" i="12" s="1"/>
  <c r="K262" i="12"/>
  <c r="P262" i="12" s="1"/>
  <c r="X100" i="12"/>
  <c r="J260" i="12"/>
  <c r="V101" i="12" s="1"/>
  <c r="K260" i="12"/>
  <c r="P260" i="12" s="1"/>
  <c r="V100" i="12"/>
  <c r="K521" i="12"/>
  <c r="P521" i="12" s="1"/>
  <c r="J521" i="12"/>
  <c r="V191" i="12" s="1"/>
  <c r="V190" i="12"/>
  <c r="U176" i="12"/>
  <c r="U184" i="12" s="1"/>
  <c r="U247" i="12" s="1"/>
  <c r="D497" i="12"/>
  <c r="K259" i="12"/>
  <c r="P259" i="12" s="1"/>
  <c r="J259" i="12"/>
  <c r="U101" i="12" s="1"/>
  <c r="U100" i="12"/>
  <c r="K115" i="12"/>
  <c r="P115" i="12" s="1"/>
  <c r="J115" i="12"/>
  <c r="V51" i="12" s="1"/>
  <c r="V50" i="12"/>
  <c r="K116" i="12"/>
  <c r="P116" i="12" s="1"/>
  <c r="J116" i="12"/>
  <c r="W51" i="12" s="1"/>
  <c r="W50" i="12"/>
  <c r="J491" i="12"/>
  <c r="U181" i="12" s="1"/>
  <c r="K491" i="12"/>
  <c r="P491" i="12" s="1"/>
  <c r="U180" i="12"/>
  <c r="K375" i="12"/>
  <c r="P375" i="12" s="1"/>
  <c r="J375" i="12"/>
  <c r="U141" i="12" s="1"/>
  <c r="U140" i="12"/>
  <c r="K319" i="12"/>
  <c r="P319" i="12" s="1"/>
  <c r="J319" i="12"/>
  <c r="W121" i="12" s="1"/>
  <c r="W120" i="12"/>
  <c r="C89" i="12"/>
  <c r="J289" i="12"/>
  <c r="V111" i="12" s="1"/>
  <c r="K289" i="12"/>
  <c r="P289" i="12" s="1"/>
  <c r="V110" i="12"/>
  <c r="E60" i="12"/>
  <c r="G321" i="12"/>
  <c r="X116" i="12" s="1"/>
  <c r="X124" i="12" s="1"/>
  <c r="X241" i="12" s="1"/>
  <c r="G322" i="12"/>
  <c r="X117" i="12" s="1"/>
  <c r="X125" i="12" s="1"/>
  <c r="F495" i="12"/>
  <c r="H85" i="12"/>
  <c r="I85" i="12" s="1"/>
  <c r="E466" i="12"/>
  <c r="AM110" i="12"/>
  <c r="D60" i="12"/>
  <c r="U26" i="12" s="1"/>
  <c r="U34" i="12" s="1"/>
  <c r="U232" i="12" s="1"/>
  <c r="H287" i="12"/>
  <c r="C292" i="12"/>
  <c r="T106" i="12" s="1"/>
  <c r="T114" i="12" s="1"/>
  <c r="T240" i="12" s="1"/>
  <c r="C293" i="12"/>
  <c r="T107" i="12" s="1"/>
  <c r="T115" i="12" s="1"/>
  <c r="E350" i="12"/>
  <c r="E351" i="12"/>
  <c r="V127" i="12" s="1"/>
  <c r="V135" i="12" s="1"/>
  <c r="D379" i="12"/>
  <c r="D380" i="12"/>
  <c r="U137" i="12" s="1"/>
  <c r="U145" i="12" s="1"/>
  <c r="C205" i="12"/>
  <c r="BJ39" i="12"/>
  <c r="H144" i="12"/>
  <c r="I144" i="12" s="1"/>
  <c r="K203" i="12"/>
  <c r="P203" i="12" s="1"/>
  <c r="J203" i="12"/>
  <c r="W81" i="12" s="1"/>
  <c r="W80" i="12"/>
  <c r="H59" i="12"/>
  <c r="I59" i="12" s="1"/>
  <c r="C90" i="12"/>
  <c r="T37" i="12" s="1"/>
  <c r="T45" i="12" s="1"/>
  <c r="H462" i="12"/>
  <c r="H549" i="12"/>
  <c r="I549" i="12" s="1"/>
  <c r="BI90" i="12"/>
  <c r="BJ90" i="12" s="1"/>
  <c r="BI152" i="12"/>
  <c r="BJ152" i="12" s="1"/>
  <c r="K233" i="12"/>
  <c r="P233" i="12" s="1"/>
  <c r="J233" i="12"/>
  <c r="X91" i="12" s="1"/>
  <c r="X90" i="12"/>
  <c r="C321" i="12"/>
  <c r="T116" i="12" s="1"/>
  <c r="T124" i="12" s="1"/>
  <c r="T241" i="12" s="1"/>
  <c r="H316" i="12"/>
  <c r="I316" i="12" s="1"/>
  <c r="C322" i="12"/>
  <c r="T117" i="12" s="1"/>
  <c r="T125" i="12" s="1"/>
  <c r="H232" i="12"/>
  <c r="I232" i="12" s="1"/>
  <c r="D292" i="12"/>
  <c r="D293" i="12"/>
  <c r="U107" i="12" s="1"/>
  <c r="U115" i="12" s="1"/>
  <c r="H435" i="12"/>
  <c r="I435" i="12" s="1"/>
  <c r="D177" i="12"/>
  <c r="U67" i="12" s="1"/>
  <c r="U75" i="12" s="1"/>
  <c r="F350" i="12"/>
  <c r="F351" i="12"/>
  <c r="W127" i="12" s="1"/>
  <c r="W135" i="12" s="1"/>
  <c r="E379" i="12"/>
  <c r="V136" i="12" s="1"/>
  <c r="V144" i="12" s="1"/>
  <c r="V243" i="12" s="1"/>
  <c r="E380" i="12"/>
  <c r="V137" i="12" s="1"/>
  <c r="V145" i="12" s="1"/>
  <c r="G206" i="12"/>
  <c r="X77" i="12" s="1"/>
  <c r="X85" i="12" s="1"/>
  <c r="C61" i="12"/>
  <c r="T27" i="12" s="1"/>
  <c r="T35" i="12" s="1"/>
  <c r="G89" i="12"/>
  <c r="X36" i="12" s="1"/>
  <c r="X44" i="12" s="1"/>
  <c r="X233" i="12" s="1"/>
  <c r="D321" i="12"/>
  <c r="D322" i="12"/>
  <c r="U117" i="12" s="1"/>
  <c r="U125" i="12" s="1"/>
  <c r="H172" i="12"/>
  <c r="I172" i="12" s="1"/>
  <c r="K317" i="12"/>
  <c r="P317" i="12" s="1"/>
  <c r="J317" i="12"/>
  <c r="U121" i="12" s="1"/>
  <c r="U120" i="12"/>
  <c r="E292" i="12"/>
  <c r="E293" i="12"/>
  <c r="V107" i="12" s="1"/>
  <c r="V115" i="12" s="1"/>
  <c r="G350" i="12"/>
  <c r="G351" i="12"/>
  <c r="X127" i="12" s="1"/>
  <c r="X135" i="12" s="1"/>
  <c r="G379" i="12"/>
  <c r="G380" i="12"/>
  <c r="X137" i="12" s="1"/>
  <c r="X145" i="12" s="1"/>
  <c r="G438" i="12"/>
  <c r="X157" i="12" s="1"/>
  <c r="X165" i="12" s="1"/>
  <c r="BI40" i="12"/>
  <c r="BJ40" i="12" s="1"/>
  <c r="BJ57" i="12"/>
  <c r="V225" i="12"/>
  <c r="K347" i="12"/>
  <c r="P347" i="12" s="1"/>
  <c r="J347" i="12"/>
  <c r="V131" i="12" s="1"/>
  <c r="V130" i="12"/>
  <c r="W285" i="12"/>
  <c r="W286" i="12" s="1"/>
  <c r="W284" i="12"/>
  <c r="W225" i="12"/>
  <c r="H231" i="12"/>
  <c r="I231" i="12" s="1"/>
  <c r="U285" i="12"/>
  <c r="U286" i="12" s="1"/>
  <c r="U284" i="12"/>
  <c r="U225" i="12"/>
  <c r="K146" i="12"/>
  <c r="P146" i="12" s="1"/>
  <c r="J146" i="12"/>
  <c r="X61" i="12" s="1"/>
  <c r="X60" i="12"/>
  <c r="U20" i="12"/>
  <c r="J27" i="12"/>
  <c r="U21" i="12" s="1"/>
  <c r="F292" i="12"/>
  <c r="F293" i="12"/>
  <c r="W107" i="12" s="1"/>
  <c r="W115" i="12" s="1"/>
  <c r="H28" i="12"/>
  <c r="I28" i="12" s="1"/>
  <c r="H320" i="12"/>
  <c r="I320" i="12" s="1"/>
  <c r="F437" i="12"/>
  <c r="W156" i="12" s="1"/>
  <c r="W164" i="12" s="1"/>
  <c r="W245" i="12" s="1"/>
  <c r="F380" i="12"/>
  <c r="W137" i="12" s="1"/>
  <c r="W145" i="12" s="1"/>
  <c r="F379" i="12"/>
  <c r="W136" i="12" s="1"/>
  <c r="W144" i="12" s="1"/>
  <c r="W243" i="12" s="1"/>
  <c r="I174" i="12"/>
  <c r="H376" i="12"/>
  <c r="I376" i="12" s="1"/>
  <c r="K348" i="12"/>
  <c r="P348" i="12" s="1"/>
  <c r="J348" i="12"/>
  <c r="W131" i="12" s="1"/>
  <c r="W130" i="12"/>
  <c r="C234" i="12"/>
  <c r="T86" i="12" s="1"/>
  <c r="T94" i="12" s="1"/>
  <c r="T238" i="12" s="1"/>
  <c r="H229" i="12"/>
  <c r="V284" i="12"/>
  <c r="H346" i="12"/>
  <c r="I346" i="12" s="1"/>
  <c r="K580" i="12"/>
  <c r="P580" i="12" s="1"/>
  <c r="J580" i="12"/>
  <c r="W211" i="12" s="1"/>
  <c r="W210" i="12"/>
  <c r="C60" i="12"/>
  <c r="T26" i="12" s="1"/>
  <c r="T34" i="12" s="1"/>
  <c r="T232" i="12" s="1"/>
  <c r="H55" i="12"/>
  <c r="I55" i="12" s="1"/>
  <c r="H434" i="12"/>
  <c r="I434" i="12" s="1"/>
  <c r="BL40" i="12"/>
  <c r="E495" i="12"/>
  <c r="V176" i="12" s="1"/>
  <c r="V184" i="12" s="1"/>
  <c r="V247" i="12" s="1"/>
  <c r="E496" i="12"/>
  <c r="V177" i="12" s="1"/>
  <c r="V185" i="12" s="1"/>
  <c r="G292" i="12"/>
  <c r="G293" i="12"/>
  <c r="X107" i="12" s="1"/>
  <c r="X115" i="12" s="1"/>
  <c r="C524" i="12"/>
  <c r="T186" i="12" s="1"/>
  <c r="T194" i="12" s="1"/>
  <c r="T248" i="12" s="1"/>
  <c r="H519" i="12"/>
  <c r="C525" i="12"/>
  <c r="T187" i="12" s="1"/>
  <c r="T195" i="12" s="1"/>
  <c r="I145" i="12"/>
  <c r="G409" i="12"/>
  <c r="X147" i="12" s="1"/>
  <c r="X155" i="12" s="1"/>
  <c r="C147" i="12"/>
  <c r="T56" i="12" s="1"/>
  <c r="T64" i="12" s="1"/>
  <c r="T235" i="12" s="1"/>
  <c r="H142" i="12"/>
  <c r="I142" i="12" s="1"/>
  <c r="C148" i="12"/>
  <c r="T57" i="12" s="1"/>
  <c r="T65" i="12" s="1"/>
  <c r="J117" i="12"/>
  <c r="X51" i="12" s="1"/>
  <c r="X50" i="12"/>
  <c r="D234" i="12"/>
  <c r="U86" i="12" s="1"/>
  <c r="U94" i="12" s="1"/>
  <c r="U238" i="12" s="1"/>
  <c r="I490" i="12"/>
  <c r="E89" i="12"/>
  <c r="H230" i="12"/>
  <c r="I230" i="12" s="1"/>
  <c r="H403" i="12"/>
  <c r="C408" i="12"/>
  <c r="T146" i="12" s="1"/>
  <c r="T154" i="12" s="1"/>
  <c r="T244" i="12" s="1"/>
  <c r="H578" i="12"/>
  <c r="I578" i="12" s="1"/>
  <c r="C582" i="12"/>
  <c r="C583" i="12"/>
  <c r="T207" i="12" s="1"/>
  <c r="T215" i="12" s="1"/>
  <c r="I407" i="12"/>
  <c r="C263" i="12"/>
  <c r="T96" i="12" s="1"/>
  <c r="T104" i="12" s="1"/>
  <c r="T239" i="12" s="1"/>
  <c r="H258" i="12"/>
  <c r="C264" i="12"/>
  <c r="T97" i="12" s="1"/>
  <c r="T105" i="12" s="1"/>
  <c r="H492" i="12"/>
  <c r="I492" i="12" s="1"/>
  <c r="C496" i="12"/>
  <c r="T177" i="12" s="1"/>
  <c r="T185" i="12" s="1"/>
  <c r="C495" i="12"/>
  <c r="G466" i="12"/>
  <c r="H405" i="12"/>
  <c r="I405" i="12" s="1"/>
  <c r="C466" i="12"/>
  <c r="D524" i="12"/>
  <c r="U186" i="12" s="1"/>
  <c r="U194" i="12" s="1"/>
  <c r="U248" i="12" s="1"/>
  <c r="D525" i="12"/>
  <c r="U187" i="12" s="1"/>
  <c r="U195" i="12" s="1"/>
  <c r="H581" i="12"/>
  <c r="I581" i="12" s="1"/>
  <c r="E147" i="12"/>
  <c r="V56" i="12" s="1"/>
  <c r="V64" i="12" s="1"/>
  <c r="V235" i="12" s="1"/>
  <c r="E148" i="12"/>
  <c r="V57" i="12" s="1"/>
  <c r="V65" i="12" s="1"/>
  <c r="H406" i="12"/>
  <c r="I406" i="12" s="1"/>
  <c r="E437" i="12"/>
  <c r="V156" i="12" s="1"/>
  <c r="V164" i="12" s="1"/>
  <c r="V245" i="12" s="1"/>
  <c r="J465" i="12"/>
  <c r="X171" i="12" s="1"/>
  <c r="K465" i="12"/>
  <c r="X170" i="12"/>
  <c r="P465" i="12"/>
  <c r="C553" i="12"/>
  <c r="T196" i="12" s="1"/>
  <c r="T204" i="12" s="1"/>
  <c r="T249" i="12" s="1"/>
  <c r="H548" i="12"/>
  <c r="I548" i="12" s="1"/>
  <c r="D582" i="12"/>
  <c r="U206" i="12" s="1"/>
  <c r="U214" i="12" s="1"/>
  <c r="U250" i="12" s="1"/>
  <c r="D583" i="12"/>
  <c r="U207" i="12" s="1"/>
  <c r="U215" i="12" s="1"/>
  <c r="U50" i="12"/>
  <c r="E263" i="12"/>
  <c r="E264" i="12"/>
  <c r="V97" i="12" s="1"/>
  <c r="V105" i="12" s="1"/>
  <c r="C467" i="12"/>
  <c r="T167" i="12" s="1"/>
  <c r="T175" i="12" s="1"/>
  <c r="H171" i="12"/>
  <c r="I171" i="12" s="1"/>
  <c r="C176" i="12"/>
  <c r="T66" i="12" s="1"/>
  <c r="T74" i="12" s="1"/>
  <c r="T236" i="12" s="1"/>
  <c r="E525" i="12"/>
  <c r="V187" i="12" s="1"/>
  <c r="V195" i="12" s="1"/>
  <c r="E524" i="12"/>
  <c r="E409" i="12"/>
  <c r="V147" i="12" s="1"/>
  <c r="V155" i="12" s="1"/>
  <c r="G147" i="12"/>
  <c r="G148" i="12"/>
  <c r="X57" i="12" s="1"/>
  <c r="X65" i="12" s="1"/>
  <c r="G554" i="12"/>
  <c r="X197" i="12" s="1"/>
  <c r="X205" i="12" s="1"/>
  <c r="D467" i="12"/>
  <c r="U167" i="12" s="1"/>
  <c r="U175" i="12" s="1"/>
  <c r="K113" i="12"/>
  <c r="P113" i="12" s="1"/>
  <c r="J113" i="12"/>
  <c r="T51" i="12" s="1"/>
  <c r="T50" i="12"/>
  <c r="E205" i="12"/>
  <c r="F234" i="12"/>
  <c r="W86" i="12" s="1"/>
  <c r="W94" i="12" s="1"/>
  <c r="W238" i="12" s="1"/>
  <c r="D408" i="12"/>
  <c r="U146" i="12" s="1"/>
  <c r="U154" i="12" s="1"/>
  <c r="U244" i="12" s="1"/>
  <c r="E178" i="12"/>
  <c r="I173" i="12"/>
  <c r="H551" i="12"/>
  <c r="I551" i="12" s="1"/>
  <c r="H433" i="12"/>
  <c r="I433" i="12" s="1"/>
  <c r="F263" i="12"/>
  <c r="F264" i="12"/>
  <c r="W97" i="12" s="1"/>
  <c r="W105" i="12" s="1"/>
  <c r="D437" i="12"/>
  <c r="U156" i="12" s="1"/>
  <c r="U164" i="12" s="1"/>
  <c r="U245" i="12" s="1"/>
  <c r="I461" i="12"/>
  <c r="G524" i="12"/>
  <c r="G525" i="12"/>
  <c r="X187" i="12" s="1"/>
  <c r="X195" i="12" s="1"/>
  <c r="F409" i="12"/>
  <c r="W147" i="12" s="1"/>
  <c r="W155" i="12" s="1"/>
  <c r="AQ96" i="12"/>
  <c r="AR96" i="12" s="1"/>
  <c r="AL110" i="12"/>
  <c r="F147" i="12"/>
  <c r="W56" i="12" s="1"/>
  <c r="W64" i="12" s="1"/>
  <c r="W235" i="12" s="1"/>
  <c r="F148" i="12"/>
  <c r="W57" i="12" s="1"/>
  <c r="W65" i="12" s="1"/>
  <c r="C120" i="12"/>
  <c r="J579" i="12"/>
  <c r="V211" i="12" s="1"/>
  <c r="K579" i="12"/>
  <c r="P579" i="12" s="1"/>
  <c r="V210" i="12"/>
  <c r="D206" i="12"/>
  <c r="U77" i="12" s="1"/>
  <c r="U85" i="12" s="1"/>
  <c r="D205" i="12"/>
  <c r="U76" i="12" s="1"/>
  <c r="U84" i="12" s="1"/>
  <c r="U237" i="12" s="1"/>
  <c r="J175" i="12"/>
  <c r="X71" i="12" s="1"/>
  <c r="K175" i="12"/>
  <c r="P175" i="12" s="1"/>
  <c r="X70" i="12"/>
  <c r="J463" i="12"/>
  <c r="V171" i="12" s="1"/>
  <c r="K463" i="12"/>
  <c r="P463" i="12" s="1"/>
  <c r="V170" i="12"/>
  <c r="G582" i="12"/>
  <c r="X206" i="12" s="1"/>
  <c r="X214" i="12" s="1"/>
  <c r="X250" i="12" s="1"/>
  <c r="G583" i="12"/>
  <c r="X207" i="12" s="1"/>
  <c r="X215" i="12" s="1"/>
  <c r="G263" i="12"/>
  <c r="G264" i="12"/>
  <c r="X97" i="12" s="1"/>
  <c r="X105" i="12" s="1"/>
  <c r="C437" i="12"/>
  <c r="T156" i="12" s="1"/>
  <c r="T164" i="12" s="1"/>
  <c r="T245" i="12" s="1"/>
  <c r="H432" i="12"/>
  <c r="C177" i="12"/>
  <c r="T67" i="12" s="1"/>
  <c r="T75" i="12" s="1"/>
  <c r="F524" i="12"/>
  <c r="F525" i="12"/>
  <c r="W187" i="12" s="1"/>
  <c r="W195" i="12" s="1"/>
  <c r="D409" i="12"/>
  <c r="U147" i="12" s="1"/>
  <c r="U155" i="12" s="1"/>
  <c r="AN110" i="12"/>
  <c r="D147" i="12"/>
  <c r="D148" i="12"/>
  <c r="U57" i="12" s="1"/>
  <c r="U65" i="12" s="1"/>
  <c r="K318" i="12"/>
  <c r="P318" i="12" s="1"/>
  <c r="J318" i="12"/>
  <c r="V121" i="12" s="1"/>
  <c r="V120" i="12"/>
  <c r="C438" i="12"/>
  <c r="T157" i="12" s="1"/>
  <c r="T165" i="12" s="1"/>
  <c r="AQ98" i="12"/>
  <c r="AR98" i="12" s="1"/>
  <c r="F205" i="12"/>
  <c r="F206" i="12"/>
  <c r="W77" i="12" s="1"/>
  <c r="W85" i="12" s="1"/>
  <c r="F582" i="12"/>
  <c r="F583" i="12"/>
  <c r="W207" i="12" s="1"/>
  <c r="W215" i="12" s="1"/>
  <c r="D263" i="12"/>
  <c r="D264" i="12"/>
  <c r="U97" i="12" s="1"/>
  <c r="U105" i="12" s="1"/>
  <c r="E177" i="12"/>
  <c r="V67" i="12" s="1"/>
  <c r="V75" i="12" s="1"/>
  <c r="AO110" i="12"/>
  <c r="AO99" i="12"/>
  <c r="K436" i="12"/>
  <c r="P436" i="12" s="1"/>
  <c r="J436" i="12"/>
  <c r="X161" i="12" s="1"/>
  <c r="X160" i="12"/>
  <c r="E553" i="12"/>
  <c r="V196" i="12" s="1"/>
  <c r="V204" i="12" s="1"/>
  <c r="V249" i="12" s="1"/>
  <c r="I577" i="12"/>
  <c r="D235" i="12"/>
  <c r="U87" i="12" s="1"/>
  <c r="U95" i="12" s="1"/>
  <c r="H552" i="12"/>
  <c r="I552" i="12" s="1"/>
  <c r="G497" i="12"/>
  <c r="H520" i="12"/>
  <c r="I520" i="12" s="1"/>
  <c r="F61" i="12"/>
  <c r="W27" i="12" s="1"/>
  <c r="W35" i="12" s="1"/>
  <c r="H201" i="12"/>
  <c r="I201" i="12" s="1"/>
  <c r="H57" i="12"/>
  <c r="I57" i="12" s="1"/>
  <c r="E321" i="12"/>
  <c r="E322" i="12"/>
  <c r="V117" i="12" s="1"/>
  <c r="V125" i="12" s="1"/>
  <c r="J523" i="12"/>
  <c r="X191" i="12" s="1"/>
  <c r="K523" i="12"/>
  <c r="P523" i="12" s="1"/>
  <c r="X190" i="12"/>
  <c r="H88" i="12"/>
  <c r="I88" i="12" s="1"/>
  <c r="H56" i="12"/>
  <c r="I56" i="12" s="1"/>
  <c r="F177" i="12"/>
  <c r="W67" i="12" s="1"/>
  <c r="W75" i="12" s="1"/>
  <c r="C350" i="12"/>
  <c r="T126" i="12" s="1"/>
  <c r="T134" i="12" s="1"/>
  <c r="T242" i="12" s="1"/>
  <c r="H345" i="12"/>
  <c r="C351" i="12"/>
  <c r="T127" i="12" s="1"/>
  <c r="T135" i="12" s="1"/>
  <c r="AP99" i="12"/>
  <c r="AP109" i="12" s="1"/>
  <c r="AP117" i="12" s="1"/>
  <c r="AP110" i="12"/>
  <c r="F553" i="12"/>
  <c r="W196" i="12" s="1"/>
  <c r="W204" i="12" s="1"/>
  <c r="W249" i="12" s="1"/>
  <c r="E583" i="12"/>
  <c r="V207" i="12" s="1"/>
  <c r="V215" i="12" s="1"/>
  <c r="J493" i="12"/>
  <c r="W181" i="12" s="1"/>
  <c r="K493" i="12"/>
  <c r="P493" i="12" s="1"/>
  <c r="W180" i="12"/>
  <c r="T285" i="12"/>
  <c r="T286" i="12" s="1"/>
  <c r="T284" i="12"/>
  <c r="T225" i="12"/>
  <c r="K291" i="12"/>
  <c r="P291" i="12" s="1"/>
  <c r="J291" i="12"/>
  <c r="X111" i="12" s="1"/>
  <c r="X110" i="12"/>
  <c r="J494" i="12"/>
  <c r="X181" i="12" s="1"/>
  <c r="K494" i="12"/>
  <c r="P494" i="12" s="1"/>
  <c r="X180" i="12"/>
  <c r="K26" i="12"/>
  <c r="P26" i="12" s="1"/>
  <c r="T20" i="12"/>
  <c r="J26" i="12"/>
  <c r="T21" i="12" s="1"/>
  <c r="F321" i="12"/>
  <c r="F322" i="12"/>
  <c r="W117" i="12" s="1"/>
  <c r="W125" i="12" s="1"/>
  <c r="G177" i="12"/>
  <c r="X67" i="12" s="1"/>
  <c r="X75" i="12" s="1"/>
  <c r="D350" i="12"/>
  <c r="U126" i="12" s="1"/>
  <c r="U134" i="12" s="1"/>
  <c r="U242" i="12" s="1"/>
  <c r="D351" i="12"/>
  <c r="U127" i="12" s="1"/>
  <c r="U135" i="12" s="1"/>
  <c r="H374" i="12"/>
  <c r="I374" i="12" s="1"/>
  <c r="C380" i="12"/>
  <c r="T137" i="12" s="1"/>
  <c r="T145" i="12" s="1"/>
  <c r="C379" i="12"/>
  <c r="T136" i="12" s="1"/>
  <c r="T144" i="12" s="1"/>
  <c r="T243" i="12" s="1"/>
  <c r="J200" i="12"/>
  <c r="T81" i="12" s="1"/>
  <c r="D554" i="12"/>
  <c r="U197" i="12" s="1"/>
  <c r="U205" i="12" s="1"/>
  <c r="AQ95" i="9"/>
  <c r="AR95" i="9" s="1"/>
  <c r="AT95" i="9" s="1"/>
  <c r="AY95" i="9" s="1"/>
  <c r="AQ96" i="9"/>
  <c r="AR96" i="9" s="1"/>
  <c r="AN114" i="9" s="1"/>
  <c r="F11" i="27" s="1"/>
  <c r="AN110" i="9"/>
  <c r="AQ98" i="9"/>
  <c r="AR98" i="9" s="1"/>
  <c r="AP113" i="9" s="1"/>
  <c r="AL99" i="9"/>
  <c r="AL101" i="9" s="1"/>
  <c r="AP99" i="9"/>
  <c r="AP109" i="9" s="1"/>
  <c r="AP117" i="9" s="1"/>
  <c r="AM110" i="9"/>
  <c r="AQ97" i="9"/>
  <c r="AR97" i="9" s="1"/>
  <c r="AL110" i="9"/>
  <c r="AQ94" i="9"/>
  <c r="AR94" i="9" s="1"/>
  <c r="AP110" i="9"/>
  <c r="AO99" i="9"/>
  <c r="AO110" i="9"/>
  <c r="AO118" i="14" l="1"/>
  <c r="G208" i="27" s="1"/>
  <c r="G199" i="27"/>
  <c r="AN118" i="14"/>
  <c r="F208" i="27" s="1"/>
  <c r="F199" i="27"/>
  <c r="AM118" i="14"/>
  <c r="E208" i="27" s="1"/>
  <c r="E199" i="27"/>
  <c r="AL118" i="14"/>
  <c r="D208" i="27" s="1"/>
  <c r="D199" i="27"/>
  <c r="AP118" i="14"/>
  <c r="H208" i="27" s="1"/>
  <c r="H199" i="27"/>
  <c r="AM118" i="12"/>
  <c r="E112" i="27" s="1"/>
  <c r="E103" i="27"/>
  <c r="AP118" i="12"/>
  <c r="H112" i="27" s="1"/>
  <c r="H103" i="27"/>
  <c r="AO118" i="12"/>
  <c r="G112" i="27" s="1"/>
  <c r="G103" i="27"/>
  <c r="AN118" i="12"/>
  <c r="F112" i="27" s="1"/>
  <c r="F103" i="27"/>
  <c r="AL118" i="12"/>
  <c r="D112" i="27" s="1"/>
  <c r="D103" i="27"/>
  <c r="AP118" i="9"/>
  <c r="H16" i="27" s="1"/>
  <c r="H7" i="27"/>
  <c r="AO118" i="9"/>
  <c r="G16" i="27" s="1"/>
  <c r="G7" i="27"/>
  <c r="AN118" i="9"/>
  <c r="F16" i="27" s="1"/>
  <c r="F7" i="27"/>
  <c r="AL118" i="9"/>
  <c r="D16" i="27" s="1"/>
  <c r="D7" i="27"/>
  <c r="AM118" i="9"/>
  <c r="E16" i="27" s="1"/>
  <c r="E7" i="27"/>
  <c r="V70" i="14"/>
  <c r="K233" i="14"/>
  <c r="P233" i="14" s="1"/>
  <c r="V200" i="14"/>
  <c r="F584" i="14"/>
  <c r="D439" i="14"/>
  <c r="AS95" i="14"/>
  <c r="AM114" i="14" s="1"/>
  <c r="AT95" i="14"/>
  <c r="AY95" i="14" s="1"/>
  <c r="J233" i="14"/>
  <c r="X91" i="14" s="1"/>
  <c r="D410" i="14"/>
  <c r="D414" i="14" s="1"/>
  <c r="X100" i="14"/>
  <c r="J262" i="14"/>
  <c r="X101" i="14" s="1"/>
  <c r="E497" i="14"/>
  <c r="V178" i="14" s="1"/>
  <c r="T80" i="14"/>
  <c r="K200" i="14"/>
  <c r="P200" i="14" s="1"/>
  <c r="G526" i="14"/>
  <c r="G531" i="14" s="1"/>
  <c r="AA184" i="14"/>
  <c r="V247" i="14"/>
  <c r="H495" i="14"/>
  <c r="I496" i="14" s="1"/>
  <c r="AE32" i="14" s="1"/>
  <c r="E439" i="14"/>
  <c r="E444" i="14" s="1"/>
  <c r="C439" i="14"/>
  <c r="T158" i="14" s="1"/>
  <c r="T150" i="14"/>
  <c r="E410" i="14"/>
  <c r="G323" i="14"/>
  <c r="G325" i="14" s="1"/>
  <c r="U120" i="14"/>
  <c r="W120" i="14"/>
  <c r="K319" i="14"/>
  <c r="P319" i="14" s="1"/>
  <c r="G149" i="14"/>
  <c r="G151" i="14" s="1"/>
  <c r="H466" i="12"/>
  <c r="I467" i="12" s="1"/>
  <c r="AE31" i="12" s="1"/>
  <c r="W170" i="12"/>
  <c r="K114" i="12"/>
  <c r="P114" i="12" s="1"/>
  <c r="V40" i="12"/>
  <c r="K86" i="12"/>
  <c r="P86" i="12" s="1"/>
  <c r="T80" i="12"/>
  <c r="BI160" i="12"/>
  <c r="BJ160" i="12" s="1"/>
  <c r="F468" i="12"/>
  <c r="D91" i="12"/>
  <c r="AQ99" i="14"/>
  <c r="AR100" i="14" s="1"/>
  <c r="AR96" i="14"/>
  <c r="AS96" i="14" s="1"/>
  <c r="AN114" i="14" s="1"/>
  <c r="C294" i="14"/>
  <c r="C299" i="14" s="1"/>
  <c r="G265" i="14"/>
  <c r="G270" i="14" s="1"/>
  <c r="D236" i="14"/>
  <c r="D238" i="14" s="1"/>
  <c r="X76" i="14"/>
  <c r="X84" i="14" s="1"/>
  <c r="X237" i="14" s="1"/>
  <c r="E178" i="14"/>
  <c r="E182" i="14" s="1"/>
  <c r="D178" i="14"/>
  <c r="D182" i="14" s="1"/>
  <c r="F178" i="14"/>
  <c r="U50" i="14"/>
  <c r="J114" i="14"/>
  <c r="U51" i="14" s="1"/>
  <c r="E120" i="14"/>
  <c r="E125" i="14" s="1"/>
  <c r="K86" i="14"/>
  <c r="P86" i="14" s="1"/>
  <c r="V40" i="14"/>
  <c r="P85" i="14"/>
  <c r="J85" i="14"/>
  <c r="U41" i="14" s="1"/>
  <c r="H89" i="14"/>
  <c r="I90" i="14" s="1"/>
  <c r="AE18" i="14" s="1"/>
  <c r="X30" i="14"/>
  <c r="J59" i="14"/>
  <c r="X31" i="14" s="1"/>
  <c r="F62" i="14"/>
  <c r="F66" i="14" s="1"/>
  <c r="U30" i="14"/>
  <c r="J56" i="14"/>
  <c r="U31" i="14" s="1"/>
  <c r="G294" i="14"/>
  <c r="G299" i="14" s="1"/>
  <c r="D294" i="14"/>
  <c r="D296" i="14" s="1"/>
  <c r="H263" i="14"/>
  <c r="I264" i="14" s="1"/>
  <c r="AE24" i="14" s="1"/>
  <c r="E265" i="14"/>
  <c r="E267" i="14" s="1"/>
  <c r="C178" i="14"/>
  <c r="T68" i="14" s="1"/>
  <c r="C149" i="14"/>
  <c r="D149" i="14"/>
  <c r="H118" i="14"/>
  <c r="I119" i="14" s="1"/>
  <c r="AE19" i="14" s="1"/>
  <c r="E586" i="14"/>
  <c r="C555" i="14"/>
  <c r="C560" i="14" s="1"/>
  <c r="V180" i="14"/>
  <c r="J492" i="14"/>
  <c r="V181" i="14" s="1"/>
  <c r="I491" i="14"/>
  <c r="F497" i="14"/>
  <c r="F501" i="14" s="1"/>
  <c r="F439" i="14"/>
  <c r="W158" i="14" s="1"/>
  <c r="I407" i="14"/>
  <c r="J407" i="14" s="1"/>
  <c r="X151" i="14" s="1"/>
  <c r="G381" i="14"/>
  <c r="G385" i="14" s="1"/>
  <c r="E381" i="14"/>
  <c r="V138" i="14" s="1"/>
  <c r="H234" i="14"/>
  <c r="I235" i="14" s="1"/>
  <c r="AE23" i="14" s="1"/>
  <c r="H205" i="14"/>
  <c r="I206" i="14" s="1"/>
  <c r="AE22" i="14" s="1"/>
  <c r="F207" i="14"/>
  <c r="W78" i="14" s="1"/>
  <c r="D207" i="14"/>
  <c r="U78" i="14" s="1"/>
  <c r="E207" i="14"/>
  <c r="E209" i="14" s="1"/>
  <c r="H176" i="14"/>
  <c r="I177" i="14" s="1"/>
  <c r="AE21" i="14" s="1"/>
  <c r="X66" i="14"/>
  <c r="X74" i="14" s="1"/>
  <c r="G178" i="14"/>
  <c r="G183" i="14" s="1"/>
  <c r="I174" i="14"/>
  <c r="J174" i="14" s="1"/>
  <c r="W71" i="14" s="1"/>
  <c r="I146" i="14"/>
  <c r="X60" i="14" s="1"/>
  <c r="C120" i="14"/>
  <c r="C125" i="14" s="1"/>
  <c r="F120" i="14"/>
  <c r="F125" i="14" s="1"/>
  <c r="G91" i="14"/>
  <c r="G96" i="14" s="1"/>
  <c r="E62" i="14"/>
  <c r="E67" i="14" s="1"/>
  <c r="H31" i="14"/>
  <c r="I32" i="14" s="1"/>
  <c r="AE16" i="14" s="1"/>
  <c r="G33" i="14"/>
  <c r="X18" i="14" s="1"/>
  <c r="J434" i="14"/>
  <c r="V161" i="14" s="1"/>
  <c r="K434" i="14"/>
  <c r="P434" i="14" s="1"/>
  <c r="V160" i="14"/>
  <c r="K203" i="14"/>
  <c r="P203" i="14" s="1"/>
  <c r="J203" i="14"/>
  <c r="W81" i="14" s="1"/>
  <c r="W80" i="14"/>
  <c r="K548" i="14"/>
  <c r="P548" i="14" s="1"/>
  <c r="J548" i="14"/>
  <c r="T201" i="14" s="1"/>
  <c r="T200" i="14"/>
  <c r="K549" i="14"/>
  <c r="P549" i="14" s="1"/>
  <c r="J549" i="14"/>
  <c r="U201" i="14" s="1"/>
  <c r="U200" i="14"/>
  <c r="K578" i="14"/>
  <c r="P578" i="14" s="1"/>
  <c r="J578" i="14"/>
  <c r="U211" i="14" s="1"/>
  <c r="U210" i="14"/>
  <c r="J116" i="14"/>
  <c r="W51" i="14" s="1"/>
  <c r="K116" i="14"/>
  <c r="P116" i="14" s="1"/>
  <c r="W50" i="14"/>
  <c r="K27" i="14"/>
  <c r="P27" i="14" s="1"/>
  <c r="J27" i="14"/>
  <c r="U21" i="14" s="1"/>
  <c r="U20" i="14"/>
  <c r="K551" i="14"/>
  <c r="P551" i="14" s="1"/>
  <c r="J551" i="14"/>
  <c r="W201" i="14" s="1"/>
  <c r="W200" i="14"/>
  <c r="J318" i="14"/>
  <c r="V121" i="14" s="1"/>
  <c r="K318" i="14"/>
  <c r="P318" i="14" s="1"/>
  <c r="V120" i="14"/>
  <c r="J376" i="14"/>
  <c r="V141" i="14" s="1"/>
  <c r="K376" i="14"/>
  <c r="P376" i="14" s="1"/>
  <c r="V140" i="14"/>
  <c r="K493" i="14"/>
  <c r="P493" i="14" s="1"/>
  <c r="W180" i="14"/>
  <c r="J493" i="14"/>
  <c r="W181" i="14" s="1"/>
  <c r="K290" i="14"/>
  <c r="P290" i="14" s="1"/>
  <c r="J290" i="14"/>
  <c r="W111" i="14" s="1"/>
  <c r="W110" i="14"/>
  <c r="K552" i="14"/>
  <c r="J552" i="14"/>
  <c r="X201" i="14" s="1"/>
  <c r="X200" i="14"/>
  <c r="P552" i="14"/>
  <c r="E386" i="14"/>
  <c r="AN106" i="14"/>
  <c r="AN111" i="14"/>
  <c r="AN103" i="14"/>
  <c r="K88" i="14"/>
  <c r="P88" i="14" s="1"/>
  <c r="J88" i="14"/>
  <c r="X41" i="14" s="1"/>
  <c r="X40" i="14"/>
  <c r="F531" i="14"/>
  <c r="F528" i="14"/>
  <c r="F530" i="14"/>
  <c r="W188" i="14"/>
  <c r="C444" i="14"/>
  <c r="E323" i="14"/>
  <c r="J55" i="14"/>
  <c r="T31" i="14" s="1"/>
  <c r="T30" i="14"/>
  <c r="K55" i="14"/>
  <c r="P55" i="14" s="1"/>
  <c r="K230" i="14"/>
  <c r="P230" i="14" s="1"/>
  <c r="J230" i="14"/>
  <c r="U91" i="14" s="1"/>
  <c r="U90" i="14"/>
  <c r="K375" i="14"/>
  <c r="P375" i="14" s="1"/>
  <c r="J375" i="14"/>
  <c r="U141" i="14" s="1"/>
  <c r="U140" i="14"/>
  <c r="T166" i="14"/>
  <c r="T174" i="14" s="1"/>
  <c r="C468" i="14"/>
  <c r="AL109" i="14"/>
  <c r="AL117" i="14" s="1"/>
  <c r="AL101" i="14"/>
  <c r="U26" i="14"/>
  <c r="U34" i="14" s="1"/>
  <c r="U232" i="14" s="1"/>
  <c r="D62" i="14"/>
  <c r="G209" i="14"/>
  <c r="G212" i="14"/>
  <c r="X78" i="14"/>
  <c r="G211" i="14"/>
  <c r="J142" i="14"/>
  <c r="T61" i="14" s="1"/>
  <c r="K142" i="14"/>
  <c r="P142" i="14" s="1"/>
  <c r="T60" i="14"/>
  <c r="E589" i="14"/>
  <c r="E585" i="14" s="1"/>
  <c r="V209" i="14" s="1"/>
  <c r="T186" i="14"/>
  <c r="T194" i="14" s="1"/>
  <c r="T248" i="14" s="1"/>
  <c r="C526" i="14"/>
  <c r="J316" i="14"/>
  <c r="T121" i="14" s="1"/>
  <c r="K316" i="14"/>
  <c r="P316" i="14" s="1"/>
  <c r="T120" i="14"/>
  <c r="G154" i="14"/>
  <c r="X58" i="14"/>
  <c r="U46" i="14"/>
  <c r="U54" i="14" s="1"/>
  <c r="U234" i="14" s="1"/>
  <c r="D120" i="14"/>
  <c r="J145" i="14"/>
  <c r="W61" i="14" s="1"/>
  <c r="K145" i="14"/>
  <c r="P145" i="14" s="1"/>
  <c r="W60" i="14"/>
  <c r="K30" i="14"/>
  <c r="P30" i="14" s="1"/>
  <c r="X20" i="14"/>
  <c r="J30" i="14"/>
  <c r="X21" i="14" s="1"/>
  <c r="V106" i="14"/>
  <c r="V114" i="14" s="1"/>
  <c r="E294" i="14"/>
  <c r="K57" i="14"/>
  <c r="P57" i="14" s="1"/>
  <c r="J57" i="14"/>
  <c r="V31" i="14" s="1"/>
  <c r="V30" i="14"/>
  <c r="F589" i="14"/>
  <c r="F586" i="14"/>
  <c r="W208" i="14"/>
  <c r="F588" i="14"/>
  <c r="C62" i="14"/>
  <c r="K229" i="14"/>
  <c r="P229" i="14" s="1"/>
  <c r="J229" i="14"/>
  <c r="T91" i="14" s="1"/>
  <c r="T90" i="14"/>
  <c r="X86" i="14"/>
  <c r="X94" i="14" s="1"/>
  <c r="X238" i="14" s="1"/>
  <c r="G236" i="14"/>
  <c r="V16" i="14"/>
  <c r="E33" i="14"/>
  <c r="D555" i="14"/>
  <c r="U36" i="14"/>
  <c r="U44" i="14" s="1"/>
  <c r="U233" i="14" s="1"/>
  <c r="D91" i="14"/>
  <c r="I26" i="14"/>
  <c r="D265" i="14"/>
  <c r="U136" i="14"/>
  <c r="U144" i="14" s="1"/>
  <c r="D381" i="14"/>
  <c r="K146" i="14"/>
  <c r="F473" i="14"/>
  <c r="F470" i="14"/>
  <c r="W168" i="14"/>
  <c r="F472" i="14"/>
  <c r="F149" i="14"/>
  <c r="I465" i="14"/>
  <c r="J346" i="14"/>
  <c r="U131" i="14" s="1"/>
  <c r="K346" i="14"/>
  <c r="P346" i="14" s="1"/>
  <c r="U130" i="14"/>
  <c r="K577" i="14"/>
  <c r="J577" i="14"/>
  <c r="T211" i="14" s="1"/>
  <c r="T210" i="14"/>
  <c r="P577" i="14"/>
  <c r="T126" i="14"/>
  <c r="T134" i="14" s="1"/>
  <c r="T242" i="14" s="1"/>
  <c r="C352" i="14"/>
  <c r="E502" i="14"/>
  <c r="V228" i="14"/>
  <c r="G269" i="14"/>
  <c r="X98" i="14"/>
  <c r="AP109" i="14"/>
  <c r="AP117" i="14" s="1"/>
  <c r="AP101" i="14"/>
  <c r="K432" i="14"/>
  <c r="P432" i="14" s="1"/>
  <c r="J432" i="14"/>
  <c r="T161" i="14" s="1"/>
  <c r="T160" i="14"/>
  <c r="J435" i="14"/>
  <c r="W161" i="14" s="1"/>
  <c r="K435" i="14"/>
  <c r="W160" i="14"/>
  <c r="P435" i="14"/>
  <c r="C33" i="14"/>
  <c r="AM109" i="14"/>
  <c r="AM117" i="14" s="1"/>
  <c r="AM101" i="14"/>
  <c r="J259" i="14"/>
  <c r="U101" i="14" s="1"/>
  <c r="K259" i="14"/>
  <c r="P259" i="14" s="1"/>
  <c r="U100" i="14"/>
  <c r="X24" i="14"/>
  <c r="X231" i="14" s="1"/>
  <c r="J349" i="14"/>
  <c r="X131" i="14" s="1"/>
  <c r="K349" i="14"/>
  <c r="P349" i="14" s="1"/>
  <c r="X130" i="14"/>
  <c r="F381" i="14"/>
  <c r="V56" i="14"/>
  <c r="V64" i="14" s="1"/>
  <c r="E149" i="14"/>
  <c r="I171" i="14"/>
  <c r="G468" i="14"/>
  <c r="D352" i="14"/>
  <c r="C584" i="14"/>
  <c r="V276" i="14"/>
  <c r="V277" i="14" s="1"/>
  <c r="K115" i="14"/>
  <c r="P115" i="14" s="1"/>
  <c r="J115" i="14"/>
  <c r="V51" i="14" s="1"/>
  <c r="V50" i="14"/>
  <c r="F441" i="14"/>
  <c r="F443" i="14"/>
  <c r="U24" i="14"/>
  <c r="U231" i="14" s="1"/>
  <c r="D444" i="14"/>
  <c r="U158" i="14"/>
  <c r="D441" i="14"/>
  <c r="D443" i="14"/>
  <c r="AO101" i="14"/>
  <c r="K377" i="14"/>
  <c r="P377" i="14" s="1"/>
  <c r="J377" i="14"/>
  <c r="W141" i="14" s="1"/>
  <c r="W140" i="14"/>
  <c r="C323" i="14"/>
  <c r="J378" i="14"/>
  <c r="X141" i="14" s="1"/>
  <c r="K378" i="14"/>
  <c r="P378" i="14" s="1"/>
  <c r="X140" i="14"/>
  <c r="E357" i="14"/>
  <c r="V128" i="14"/>
  <c r="E354" i="14"/>
  <c r="E356" i="14"/>
  <c r="D415" i="14"/>
  <c r="D412" i="14"/>
  <c r="U148" i="14"/>
  <c r="D33" i="14"/>
  <c r="H147" i="14"/>
  <c r="I148" i="14" s="1"/>
  <c r="AE20" i="14" s="1"/>
  <c r="H582" i="14"/>
  <c r="I583" i="14" s="1"/>
  <c r="AE35" i="14" s="1"/>
  <c r="C236" i="14"/>
  <c r="G499" i="14"/>
  <c r="G502" i="14"/>
  <c r="X178" i="14"/>
  <c r="G501" i="14"/>
  <c r="E473" i="14"/>
  <c r="E470" i="14"/>
  <c r="V168" i="14"/>
  <c r="E472" i="14"/>
  <c r="V220" i="14"/>
  <c r="T220" i="14"/>
  <c r="T276" i="14"/>
  <c r="T277" i="14" s="1"/>
  <c r="T25" i="14"/>
  <c r="T228" i="14" s="1"/>
  <c r="X196" i="14"/>
  <c r="X204" i="14" s="1"/>
  <c r="X249" i="14" s="1"/>
  <c r="G555" i="14"/>
  <c r="W36" i="14"/>
  <c r="W44" i="14" s="1"/>
  <c r="W233" i="14" s="1"/>
  <c r="F91" i="14"/>
  <c r="T146" i="14"/>
  <c r="T154" i="14" s="1"/>
  <c r="T244" i="14" s="1"/>
  <c r="C410" i="14"/>
  <c r="AO113" i="14"/>
  <c r="AS97" i="14"/>
  <c r="AO114" i="14" s="1"/>
  <c r="AT97" i="14"/>
  <c r="AY97" i="14" s="1"/>
  <c r="J320" i="14"/>
  <c r="X121" i="14" s="1"/>
  <c r="X120" i="14"/>
  <c r="K320" i="14"/>
  <c r="P320" i="14" s="1"/>
  <c r="H321" i="14"/>
  <c r="I322" i="14" s="1"/>
  <c r="AE26" i="14" s="1"/>
  <c r="X138" i="14"/>
  <c r="J347" i="14"/>
  <c r="V131" i="14" s="1"/>
  <c r="V130" i="14"/>
  <c r="K347" i="14"/>
  <c r="P347" i="14" s="1"/>
  <c r="T96" i="14"/>
  <c r="T104" i="14" s="1"/>
  <c r="C265" i="14"/>
  <c r="K117" i="14"/>
  <c r="P117" i="14" s="1"/>
  <c r="J117" i="14"/>
  <c r="X51" i="14" s="1"/>
  <c r="X50" i="14"/>
  <c r="T275" i="14"/>
  <c r="T24" i="14"/>
  <c r="T231" i="14" s="1"/>
  <c r="AL113" i="14"/>
  <c r="AT94" i="14"/>
  <c r="AY94" i="14" s="1"/>
  <c r="AS94" i="14"/>
  <c r="AL114" i="14" s="1"/>
  <c r="K407" i="14"/>
  <c r="X150" i="14"/>
  <c r="U228" i="14"/>
  <c r="G120" i="14"/>
  <c r="T76" i="14"/>
  <c r="T84" i="14" s="1"/>
  <c r="C207" i="14"/>
  <c r="W16" i="14"/>
  <c r="F33" i="14"/>
  <c r="X26" i="14"/>
  <c r="X34" i="14" s="1"/>
  <c r="X232" i="14" s="1"/>
  <c r="G62" i="14"/>
  <c r="D502" i="14"/>
  <c r="D499" i="14"/>
  <c r="U178" i="14"/>
  <c r="D501" i="14"/>
  <c r="J374" i="14"/>
  <c r="T141" i="14" s="1"/>
  <c r="K374" i="14"/>
  <c r="P374" i="14" s="1"/>
  <c r="T140" i="14"/>
  <c r="G410" i="14"/>
  <c r="W86" i="14"/>
  <c r="W94" i="14" s="1"/>
  <c r="W238" i="14" s="1"/>
  <c r="F236" i="14"/>
  <c r="J348" i="14"/>
  <c r="W131" i="14" s="1"/>
  <c r="K348" i="14"/>
  <c r="P348" i="14" s="1"/>
  <c r="W130" i="14"/>
  <c r="H292" i="14"/>
  <c r="I293" i="14" s="1"/>
  <c r="AE25" i="14" s="1"/>
  <c r="I287" i="14"/>
  <c r="U220" i="14"/>
  <c r="X228" i="14"/>
  <c r="H350" i="14"/>
  <c r="I351" i="14" s="1"/>
  <c r="AE27" i="14" s="1"/>
  <c r="I345" i="14"/>
  <c r="C502" i="14"/>
  <c r="C499" i="14"/>
  <c r="T178" i="14"/>
  <c r="C501" i="14"/>
  <c r="D586" i="14"/>
  <c r="D589" i="14"/>
  <c r="U208" i="14"/>
  <c r="D588" i="14"/>
  <c r="F555" i="14"/>
  <c r="J258" i="14"/>
  <c r="T101" i="14" s="1"/>
  <c r="K258" i="14"/>
  <c r="P258" i="14" s="1"/>
  <c r="T100" i="14"/>
  <c r="I113" i="14"/>
  <c r="I261" i="14"/>
  <c r="I84" i="14"/>
  <c r="X206" i="14"/>
  <c r="X214" i="14" s="1"/>
  <c r="G584" i="14"/>
  <c r="H379" i="14"/>
  <c r="I380" i="14" s="1"/>
  <c r="AE28" i="14" s="1"/>
  <c r="K231" i="14"/>
  <c r="P231" i="14" s="1"/>
  <c r="J231" i="14"/>
  <c r="V91" i="14" s="1"/>
  <c r="V90" i="14"/>
  <c r="W228" i="14"/>
  <c r="F352" i="14"/>
  <c r="U276" i="14"/>
  <c r="U277" i="14" s="1"/>
  <c r="X220" i="14"/>
  <c r="X126" i="14"/>
  <c r="X134" i="14" s="1"/>
  <c r="X242" i="14" s="1"/>
  <c r="G352" i="14"/>
  <c r="J436" i="14"/>
  <c r="X161" i="14" s="1"/>
  <c r="K436" i="14"/>
  <c r="P436" i="14" s="1"/>
  <c r="X160" i="14"/>
  <c r="J288" i="14"/>
  <c r="U111" i="14" s="1"/>
  <c r="K288" i="14"/>
  <c r="P288" i="14" s="1"/>
  <c r="U110" i="14"/>
  <c r="F265" i="14"/>
  <c r="T198" i="14"/>
  <c r="U116" i="14"/>
  <c r="U124" i="14" s="1"/>
  <c r="U241" i="14" s="1"/>
  <c r="D323" i="14"/>
  <c r="V186" i="14"/>
  <c r="V194" i="14" s="1"/>
  <c r="V248" i="14" s="1"/>
  <c r="E526" i="14"/>
  <c r="C381" i="14"/>
  <c r="E236" i="14"/>
  <c r="AA164" i="14"/>
  <c r="F502" i="14"/>
  <c r="W178" i="14"/>
  <c r="K202" i="14"/>
  <c r="P202" i="14" s="1"/>
  <c r="J202" i="14"/>
  <c r="V81" i="14" s="1"/>
  <c r="V80" i="14"/>
  <c r="W220" i="14"/>
  <c r="K433" i="14"/>
  <c r="P433" i="14" s="1"/>
  <c r="J433" i="14"/>
  <c r="U161" i="14" s="1"/>
  <c r="U160" i="14"/>
  <c r="X276" i="14"/>
  <c r="X277" i="14" s="1"/>
  <c r="J201" i="14"/>
  <c r="U81" i="14" s="1"/>
  <c r="K201" i="14"/>
  <c r="P201" i="14" s="1"/>
  <c r="U80" i="14"/>
  <c r="G441" i="14"/>
  <c r="G444" i="14"/>
  <c r="X158" i="14"/>
  <c r="G443" i="14"/>
  <c r="V196" i="14"/>
  <c r="V204" i="14" s="1"/>
  <c r="E555" i="14"/>
  <c r="V36" i="14"/>
  <c r="V44" i="14" s="1"/>
  <c r="V233" i="14" s="1"/>
  <c r="E91" i="14"/>
  <c r="W116" i="14"/>
  <c r="W124" i="14" s="1"/>
  <c r="W241" i="14" s="1"/>
  <c r="F323" i="14"/>
  <c r="H553" i="14"/>
  <c r="I554" i="14" s="1"/>
  <c r="AE34" i="14" s="1"/>
  <c r="C91" i="14"/>
  <c r="F294" i="14"/>
  <c r="W146" i="14"/>
  <c r="W154" i="14" s="1"/>
  <c r="W244" i="14" s="1"/>
  <c r="F410" i="14"/>
  <c r="K522" i="14"/>
  <c r="P522" i="14" s="1"/>
  <c r="J525" i="14" s="1"/>
  <c r="AF33" i="14" s="1"/>
  <c r="J522" i="14"/>
  <c r="W191" i="14" s="1"/>
  <c r="W190" i="14"/>
  <c r="H437" i="14"/>
  <c r="I438" i="14" s="1"/>
  <c r="AE30" i="14" s="1"/>
  <c r="H60" i="14"/>
  <c r="I61" i="14" s="1"/>
  <c r="AE17" i="14" s="1"/>
  <c r="W276" i="14"/>
  <c r="W277" i="14" s="1"/>
  <c r="K291" i="14"/>
  <c r="P291" i="14" s="1"/>
  <c r="J291" i="14"/>
  <c r="X111" i="14" s="1"/>
  <c r="X110" i="14"/>
  <c r="D530" i="14"/>
  <c r="D531" i="14"/>
  <c r="D528" i="14"/>
  <c r="U188" i="14"/>
  <c r="D470" i="14"/>
  <c r="D473" i="14"/>
  <c r="U168" i="14"/>
  <c r="D472" i="14"/>
  <c r="AS95" i="12"/>
  <c r="AM114" i="12" s="1"/>
  <c r="AT95" i="12"/>
  <c r="AY95" i="12" s="1"/>
  <c r="AS97" i="12"/>
  <c r="AO114" i="12" s="1"/>
  <c r="AN101" i="12"/>
  <c r="AN111" i="12" s="1"/>
  <c r="BI128" i="12"/>
  <c r="BJ128" i="12" s="1"/>
  <c r="BI105" i="12"/>
  <c r="BJ105" i="12" s="1"/>
  <c r="BI71" i="12"/>
  <c r="BJ71" i="12" s="1"/>
  <c r="BI141" i="12"/>
  <c r="BJ141" i="12" s="1"/>
  <c r="BI85" i="12"/>
  <c r="BJ85" i="12" s="1"/>
  <c r="BI135" i="12"/>
  <c r="BJ135" i="12" s="1"/>
  <c r="BI147" i="12"/>
  <c r="BJ147" i="12" s="1"/>
  <c r="BI104" i="12"/>
  <c r="BJ104" i="12" s="1"/>
  <c r="BI87" i="12"/>
  <c r="BJ87" i="12" s="1"/>
  <c r="BI150" i="12"/>
  <c r="BJ150" i="12" s="1"/>
  <c r="BI140" i="12"/>
  <c r="BJ140" i="12" s="1"/>
  <c r="BI100" i="12"/>
  <c r="BJ100" i="12" s="1"/>
  <c r="BI99" i="12"/>
  <c r="BJ99" i="12" s="1"/>
  <c r="BI108" i="12"/>
  <c r="BJ108" i="12" s="1"/>
  <c r="BI80" i="12"/>
  <c r="BJ80" i="12" s="1"/>
  <c r="BI159" i="12"/>
  <c r="BJ159" i="12" s="1"/>
  <c r="BI74" i="12"/>
  <c r="BJ74" i="12" s="1"/>
  <c r="BI130" i="12"/>
  <c r="BJ130" i="12" s="1"/>
  <c r="BI78" i="12"/>
  <c r="BJ78" i="12" s="1"/>
  <c r="BI79" i="12"/>
  <c r="BJ79" i="12" s="1"/>
  <c r="BI75" i="12"/>
  <c r="BJ75" i="12" s="1"/>
  <c r="BI82" i="12"/>
  <c r="BJ82" i="12" s="1"/>
  <c r="BI76" i="12"/>
  <c r="BJ76" i="12" s="1"/>
  <c r="BI77" i="12"/>
  <c r="BJ77" i="12" s="1"/>
  <c r="BI89" i="12"/>
  <c r="BJ89" i="12" s="1"/>
  <c r="BI127" i="12"/>
  <c r="BJ127" i="12" s="1"/>
  <c r="BI72" i="12"/>
  <c r="BJ72" i="12" s="1"/>
  <c r="BI117" i="12"/>
  <c r="BJ117" i="12" s="1"/>
  <c r="BI116" i="12"/>
  <c r="BJ116" i="12" s="1"/>
  <c r="BI131" i="12"/>
  <c r="BJ131" i="12" s="1"/>
  <c r="BI69" i="12"/>
  <c r="BJ69" i="12" s="1"/>
  <c r="BI101" i="12"/>
  <c r="BJ101" i="12" s="1"/>
  <c r="BI93" i="12"/>
  <c r="BJ93" i="12" s="1"/>
  <c r="BI133" i="12"/>
  <c r="BJ133" i="12" s="1"/>
  <c r="BI97" i="12"/>
  <c r="BJ97" i="12" s="1"/>
  <c r="BI83" i="12"/>
  <c r="BJ83" i="12" s="1"/>
  <c r="BI143" i="12"/>
  <c r="BJ143" i="12" s="1"/>
  <c r="BI86" i="12"/>
  <c r="BJ86" i="12" s="1"/>
  <c r="BI120" i="12"/>
  <c r="BJ120" i="12" s="1"/>
  <c r="BI98" i="12"/>
  <c r="BJ98" i="12" s="1"/>
  <c r="BI103" i="12"/>
  <c r="BJ103" i="12" s="1"/>
  <c r="BI106" i="12"/>
  <c r="BJ106" i="12" s="1"/>
  <c r="BI146" i="12"/>
  <c r="BJ146" i="12" s="1"/>
  <c r="BI92" i="12"/>
  <c r="BJ92" i="12" s="1"/>
  <c r="BI109" i="12"/>
  <c r="BJ109" i="12" s="1"/>
  <c r="BI124" i="12"/>
  <c r="BJ124" i="12" s="1"/>
  <c r="BI137" i="12"/>
  <c r="BJ137" i="12" s="1"/>
  <c r="BI113" i="12"/>
  <c r="BJ113" i="12" s="1"/>
  <c r="BI94" i="12"/>
  <c r="BJ94" i="12" s="1"/>
  <c r="BI110" i="12"/>
  <c r="BJ110" i="12" s="1"/>
  <c r="BI123" i="12"/>
  <c r="BJ123" i="12" s="1"/>
  <c r="BI155" i="12"/>
  <c r="BJ155" i="12" s="1"/>
  <c r="BI148" i="12"/>
  <c r="BJ148" i="12" s="1"/>
  <c r="BI139" i="12"/>
  <c r="BJ139" i="12" s="1"/>
  <c r="BI70" i="12"/>
  <c r="BJ70" i="12" s="1"/>
  <c r="BI122" i="12"/>
  <c r="BJ122" i="12" s="1"/>
  <c r="BI91" i="12"/>
  <c r="BJ91" i="12" s="1"/>
  <c r="BI68" i="12"/>
  <c r="BJ68" i="12" s="1"/>
  <c r="BI111" i="12"/>
  <c r="BJ111" i="12" s="1"/>
  <c r="BI107" i="12"/>
  <c r="BJ107" i="12" s="1"/>
  <c r="BI136" i="12"/>
  <c r="BJ136" i="12" s="1"/>
  <c r="BI73" i="12"/>
  <c r="BJ73" i="12" s="1"/>
  <c r="BI154" i="12"/>
  <c r="BJ154" i="12" s="1"/>
  <c r="BI66" i="12"/>
  <c r="BJ66" i="12" s="1"/>
  <c r="BI95" i="12"/>
  <c r="BJ95" i="12" s="1"/>
  <c r="BI153" i="12"/>
  <c r="BJ153" i="12" s="1"/>
  <c r="BI88" i="12"/>
  <c r="BJ88" i="12" s="1"/>
  <c r="BI138" i="12"/>
  <c r="BJ138" i="12" s="1"/>
  <c r="BI115" i="12"/>
  <c r="BJ115" i="12" s="1"/>
  <c r="BI134" i="12"/>
  <c r="BJ134" i="12" s="1"/>
  <c r="BI144" i="12"/>
  <c r="BJ144" i="12" s="1"/>
  <c r="BI81" i="12"/>
  <c r="BJ81" i="12" s="1"/>
  <c r="BI96" i="12"/>
  <c r="BJ96" i="12" s="1"/>
  <c r="BI121" i="12"/>
  <c r="BJ121" i="12" s="1"/>
  <c r="BI156" i="12"/>
  <c r="BJ156" i="12" s="1"/>
  <c r="BI142" i="12"/>
  <c r="BJ142" i="12" s="1"/>
  <c r="BI118" i="12"/>
  <c r="BJ118" i="12" s="1"/>
  <c r="BI129" i="12"/>
  <c r="BJ129" i="12" s="1"/>
  <c r="BI125" i="12"/>
  <c r="BJ125" i="12" s="1"/>
  <c r="BI145" i="12"/>
  <c r="BJ145" i="12" s="1"/>
  <c r="BI151" i="12"/>
  <c r="BJ151" i="12" s="1"/>
  <c r="BI149" i="12"/>
  <c r="BJ149" i="12" s="1"/>
  <c r="BI158" i="12"/>
  <c r="BJ158" i="12" s="1"/>
  <c r="BI102" i="12"/>
  <c r="BJ102" i="12" s="1"/>
  <c r="BI112" i="12"/>
  <c r="BJ112" i="12" s="1"/>
  <c r="BI126" i="12"/>
  <c r="BJ126" i="12" s="1"/>
  <c r="BI84" i="12"/>
  <c r="BJ84" i="12" s="1"/>
  <c r="BI157" i="12"/>
  <c r="BJ157" i="12" s="1"/>
  <c r="BI67" i="12"/>
  <c r="BJ67" i="12" s="1"/>
  <c r="BI132" i="12"/>
  <c r="BJ132" i="12" s="1"/>
  <c r="BI114" i="12"/>
  <c r="BJ114" i="12" s="1"/>
  <c r="BI119" i="12"/>
  <c r="BJ119" i="12" s="1"/>
  <c r="AO113" i="12"/>
  <c r="AL109" i="12"/>
  <c r="AL117" i="12" s="1"/>
  <c r="AM101" i="12"/>
  <c r="AM111" i="12" s="1"/>
  <c r="AS94" i="12"/>
  <c r="AL114" i="12" s="1"/>
  <c r="AT94" i="12"/>
  <c r="AY94" i="12" s="1"/>
  <c r="AQ99" i="12"/>
  <c r="AR100" i="12" s="1"/>
  <c r="H582" i="12"/>
  <c r="I583" i="12" s="1"/>
  <c r="AE35" i="12" s="1"/>
  <c r="D555" i="12"/>
  <c r="D557" i="12" s="1"/>
  <c r="C555" i="12"/>
  <c r="C557" i="12" s="1"/>
  <c r="G555" i="12"/>
  <c r="G559" i="12" s="1"/>
  <c r="H495" i="12"/>
  <c r="I496" i="12" s="1"/>
  <c r="AE32" i="12" s="1"/>
  <c r="D468" i="12"/>
  <c r="U168" i="12" s="1"/>
  <c r="K464" i="12"/>
  <c r="P464" i="12" s="1"/>
  <c r="I462" i="12"/>
  <c r="K462" i="12" s="1"/>
  <c r="P462" i="12" s="1"/>
  <c r="H437" i="12"/>
  <c r="I438" i="12" s="1"/>
  <c r="AE30" i="12" s="1"/>
  <c r="G439" i="12"/>
  <c r="G441" i="12" s="1"/>
  <c r="E439" i="12"/>
  <c r="E444" i="12" s="1"/>
  <c r="G410" i="12"/>
  <c r="G415" i="12" s="1"/>
  <c r="E410" i="12"/>
  <c r="E412" i="12" s="1"/>
  <c r="E381" i="12"/>
  <c r="E385" i="12" s="1"/>
  <c r="D352" i="12"/>
  <c r="D357" i="12" s="1"/>
  <c r="C352" i="12"/>
  <c r="G323" i="12"/>
  <c r="G328" i="12" s="1"/>
  <c r="C294" i="12"/>
  <c r="W100" i="12"/>
  <c r="H263" i="12"/>
  <c r="I264" i="12" s="1"/>
  <c r="AE24" i="12" s="1"/>
  <c r="J261" i="12"/>
  <c r="W101" i="12" s="1"/>
  <c r="F236" i="12"/>
  <c r="F241" i="12" s="1"/>
  <c r="X86" i="12"/>
  <c r="X94" i="12" s="1"/>
  <c r="D236" i="12"/>
  <c r="D240" i="12" s="1"/>
  <c r="E236" i="12"/>
  <c r="E238" i="12" s="1"/>
  <c r="H234" i="12"/>
  <c r="I235" i="12" s="1"/>
  <c r="AE23" i="12" s="1"/>
  <c r="G207" i="12"/>
  <c r="G212" i="12" s="1"/>
  <c r="V80" i="12"/>
  <c r="J202" i="12"/>
  <c r="V81" i="12" s="1"/>
  <c r="F178" i="12"/>
  <c r="F183" i="12" s="1"/>
  <c r="D178" i="12"/>
  <c r="D180" i="12" s="1"/>
  <c r="F149" i="12"/>
  <c r="F151" i="12" s="1"/>
  <c r="D124" i="12"/>
  <c r="D125" i="12"/>
  <c r="D121" i="12" s="1"/>
  <c r="U49" i="12" s="1"/>
  <c r="U48" i="12"/>
  <c r="E122" i="12"/>
  <c r="G124" i="12"/>
  <c r="G121" i="12" s="1"/>
  <c r="X49" i="12" s="1"/>
  <c r="X48" i="12"/>
  <c r="G122" i="12"/>
  <c r="V48" i="12"/>
  <c r="E124" i="12"/>
  <c r="E121" i="12" s="1"/>
  <c r="V49" i="12" s="1"/>
  <c r="W46" i="12"/>
  <c r="W54" i="12" s="1"/>
  <c r="F120" i="12"/>
  <c r="F91" i="12"/>
  <c r="F93" i="12" s="1"/>
  <c r="H89" i="12"/>
  <c r="I90" i="12" s="1"/>
  <c r="AE18" i="12" s="1"/>
  <c r="G91" i="12"/>
  <c r="X38" i="12" s="1"/>
  <c r="D62" i="12"/>
  <c r="U28" i="12" s="1"/>
  <c r="W30" i="12"/>
  <c r="G62" i="12"/>
  <c r="G64" i="12" s="1"/>
  <c r="D526" i="12"/>
  <c r="D531" i="12" s="1"/>
  <c r="H524" i="12"/>
  <c r="I525" i="12" s="1"/>
  <c r="AE33" i="12" s="1"/>
  <c r="AA164" i="12"/>
  <c r="D439" i="12"/>
  <c r="D441" i="12" s="1"/>
  <c r="I432" i="12"/>
  <c r="T160" i="12" s="1"/>
  <c r="C410" i="12"/>
  <c r="T148" i="12" s="1"/>
  <c r="F410" i="12"/>
  <c r="F415" i="12" s="1"/>
  <c r="C381" i="12"/>
  <c r="C383" i="12" s="1"/>
  <c r="H350" i="12"/>
  <c r="I351" i="12" s="1"/>
  <c r="AE27" i="12" s="1"/>
  <c r="W110" i="12"/>
  <c r="K290" i="12"/>
  <c r="P290" i="12" s="1"/>
  <c r="J290" i="12"/>
  <c r="W111" i="12" s="1"/>
  <c r="H292" i="12"/>
  <c r="I293" i="12" s="1"/>
  <c r="AE25" i="12" s="1"/>
  <c r="I258" i="12"/>
  <c r="J258" i="12" s="1"/>
  <c r="T101" i="12" s="1"/>
  <c r="C265" i="12"/>
  <c r="C270" i="12" s="1"/>
  <c r="X66" i="12"/>
  <c r="X74" i="12" s="1"/>
  <c r="G178" i="12"/>
  <c r="E149" i="12"/>
  <c r="V58" i="12" s="1"/>
  <c r="C149" i="12"/>
  <c r="C154" i="12" s="1"/>
  <c r="J119" i="12"/>
  <c r="AF19" i="12" s="1"/>
  <c r="I87" i="12"/>
  <c r="W40" i="12" s="1"/>
  <c r="F62" i="12"/>
  <c r="F67" i="12" s="1"/>
  <c r="J58" i="12"/>
  <c r="W31" i="12" s="1"/>
  <c r="J30" i="12"/>
  <c r="X21" i="12" s="1"/>
  <c r="T276" i="12"/>
  <c r="T277" i="12" s="1"/>
  <c r="K30" i="12"/>
  <c r="P30" i="12" s="1"/>
  <c r="T228" i="12"/>
  <c r="K29" i="12"/>
  <c r="P29" i="12" s="1"/>
  <c r="W228" i="12"/>
  <c r="H31" i="12"/>
  <c r="I32" i="12" s="1"/>
  <c r="AE16" i="12" s="1"/>
  <c r="E33" i="12"/>
  <c r="E38" i="12" s="1"/>
  <c r="W20" i="12"/>
  <c r="V228" i="12"/>
  <c r="F33" i="12"/>
  <c r="F38" i="12" s="1"/>
  <c r="C33" i="12"/>
  <c r="C38" i="12" s="1"/>
  <c r="D33" i="12"/>
  <c r="U18" i="12" s="1"/>
  <c r="G33" i="12"/>
  <c r="G35" i="12" s="1"/>
  <c r="K376" i="12"/>
  <c r="P376" i="12" s="1"/>
  <c r="J376" i="12"/>
  <c r="V141" i="12" s="1"/>
  <c r="V140" i="12"/>
  <c r="J232" i="12"/>
  <c r="W91" i="12" s="1"/>
  <c r="K232" i="12"/>
  <c r="P232" i="12" s="1"/>
  <c r="W90" i="12"/>
  <c r="K201" i="12"/>
  <c r="P201" i="12"/>
  <c r="J206" i="12" s="1"/>
  <c r="AF22" i="12" s="1"/>
  <c r="J201" i="12"/>
  <c r="U81" i="12" s="1"/>
  <c r="U80" i="12"/>
  <c r="K231" i="12"/>
  <c r="P231" i="12" s="1"/>
  <c r="J231" i="12"/>
  <c r="V91" i="12" s="1"/>
  <c r="V90" i="12"/>
  <c r="K88" i="12"/>
  <c r="P88" i="12" s="1"/>
  <c r="J88" i="12"/>
  <c r="X41" i="12" s="1"/>
  <c r="X40" i="12"/>
  <c r="K520" i="12"/>
  <c r="P520" i="12" s="1"/>
  <c r="J520" i="12"/>
  <c r="U191" i="12" s="1"/>
  <c r="U190" i="12"/>
  <c r="J172" i="12"/>
  <c r="U71" i="12" s="1"/>
  <c r="K172" i="12"/>
  <c r="P172" i="12" s="1"/>
  <c r="U70" i="12"/>
  <c r="K581" i="12"/>
  <c r="P581" i="12" s="1"/>
  <c r="J581" i="12"/>
  <c r="X211" i="12" s="1"/>
  <c r="X210" i="12"/>
  <c r="K320" i="12"/>
  <c r="P320" i="12" s="1"/>
  <c r="J320" i="12"/>
  <c r="X121" i="12" s="1"/>
  <c r="X120" i="12"/>
  <c r="K374" i="12"/>
  <c r="P374" i="12" s="1"/>
  <c r="J374" i="12"/>
  <c r="T141" i="12" s="1"/>
  <c r="T140" i="12"/>
  <c r="T30" i="12"/>
  <c r="J55" i="12"/>
  <c r="T31" i="12" s="1"/>
  <c r="K55" i="12"/>
  <c r="P55" i="12" s="1"/>
  <c r="K144" i="12"/>
  <c r="P144" i="12" s="1"/>
  <c r="J144" i="12"/>
  <c r="V61" i="12" s="1"/>
  <c r="V60" i="12"/>
  <c r="J434" i="12"/>
  <c r="V161" i="12" s="1"/>
  <c r="K434" i="12"/>
  <c r="P434" i="12" s="1"/>
  <c r="V160" i="12"/>
  <c r="K552" i="12"/>
  <c r="P552" i="12" s="1"/>
  <c r="J552" i="12"/>
  <c r="X201" i="12" s="1"/>
  <c r="X200" i="12"/>
  <c r="AN113" i="12"/>
  <c r="AT96" i="12"/>
  <c r="AY96" i="12" s="1"/>
  <c r="AS96" i="12"/>
  <c r="AN114" i="12" s="1"/>
  <c r="J171" i="12"/>
  <c r="T71" i="12" s="1"/>
  <c r="K171" i="12"/>
  <c r="P171" i="12" s="1"/>
  <c r="T70" i="12"/>
  <c r="J405" i="12"/>
  <c r="V151" i="12" s="1"/>
  <c r="K405" i="12"/>
  <c r="P405" i="12" s="1"/>
  <c r="V150" i="12"/>
  <c r="J435" i="12"/>
  <c r="W161" i="12" s="1"/>
  <c r="K435" i="12"/>
  <c r="P435" i="12" s="1"/>
  <c r="W160" i="12"/>
  <c r="J230" i="12"/>
  <c r="U91" i="12" s="1"/>
  <c r="K230" i="12"/>
  <c r="P230" i="12" s="1"/>
  <c r="U90" i="12"/>
  <c r="T166" i="12"/>
  <c r="T174" i="12" s="1"/>
  <c r="T246" i="12" s="1"/>
  <c r="C468" i="12"/>
  <c r="J404" i="12"/>
  <c r="U151" i="12" s="1"/>
  <c r="K404" i="12"/>
  <c r="P404" i="12" s="1"/>
  <c r="U150" i="12"/>
  <c r="U106" i="12"/>
  <c r="U114" i="12" s="1"/>
  <c r="U240" i="12" s="1"/>
  <c r="D294" i="12"/>
  <c r="H408" i="12"/>
  <c r="I409" i="12" s="1"/>
  <c r="AE29" i="12" s="1"/>
  <c r="X126" i="12"/>
  <c r="X134" i="12" s="1"/>
  <c r="X242" i="12" s="1"/>
  <c r="G352" i="12"/>
  <c r="W206" i="12"/>
  <c r="W214" i="12" s="1"/>
  <c r="W250" i="12" s="1"/>
  <c r="F584" i="12"/>
  <c r="K578" i="12"/>
  <c r="P578" i="12" s="1"/>
  <c r="J578" i="12"/>
  <c r="U211" i="12" s="1"/>
  <c r="U210" i="12"/>
  <c r="F182" i="12"/>
  <c r="W186" i="12"/>
  <c r="W194" i="12" s="1"/>
  <c r="W248" i="12" s="1"/>
  <c r="F526" i="12"/>
  <c r="X186" i="12"/>
  <c r="X194" i="12" s="1"/>
  <c r="X248" i="12" s="1"/>
  <c r="G526" i="12"/>
  <c r="C178" i="12"/>
  <c r="D584" i="12"/>
  <c r="V20" i="12"/>
  <c r="K28" i="12"/>
  <c r="P28" i="12" s="1"/>
  <c r="J28" i="12"/>
  <c r="V21" i="12" s="1"/>
  <c r="J407" i="12"/>
  <c r="X151" i="12" s="1"/>
  <c r="K407" i="12"/>
  <c r="P407" i="12" s="1"/>
  <c r="X150" i="12"/>
  <c r="G584" i="12"/>
  <c r="C62" i="12"/>
  <c r="J174" i="12"/>
  <c r="W71" i="12" s="1"/>
  <c r="K174" i="12"/>
  <c r="P174" i="12" s="1"/>
  <c r="W70" i="12"/>
  <c r="K550" i="12"/>
  <c r="P550" i="12" s="1"/>
  <c r="J550" i="12"/>
  <c r="V201" i="12" s="1"/>
  <c r="V200" i="12"/>
  <c r="V220" i="12"/>
  <c r="AP101" i="12"/>
  <c r="W24" i="12"/>
  <c r="W231" i="12" s="1"/>
  <c r="X96" i="12"/>
  <c r="X104" i="12" s="1"/>
  <c r="X239" i="12" s="1"/>
  <c r="G265" i="12"/>
  <c r="K461" i="12"/>
  <c r="P461" i="12" s="1"/>
  <c r="J461" i="12"/>
  <c r="T171" i="12" s="1"/>
  <c r="T170" i="12"/>
  <c r="E35" i="12"/>
  <c r="V36" i="12"/>
  <c r="V44" i="12" s="1"/>
  <c r="V233" i="12" s="1"/>
  <c r="E91" i="12"/>
  <c r="C236" i="12"/>
  <c r="E555" i="12"/>
  <c r="V276" i="12"/>
  <c r="V277" i="12" s="1"/>
  <c r="C323" i="12"/>
  <c r="T76" i="12"/>
  <c r="T84" i="12" s="1"/>
  <c r="T237" i="12" s="1"/>
  <c r="C207" i="12"/>
  <c r="I287" i="12"/>
  <c r="AL106" i="12"/>
  <c r="AL111" i="12"/>
  <c r="AL105" i="12"/>
  <c r="AL103" i="12"/>
  <c r="U228" i="12"/>
  <c r="G499" i="12"/>
  <c r="G502" i="12"/>
  <c r="G501" i="12"/>
  <c r="X178" i="12"/>
  <c r="K346" i="12"/>
  <c r="P346" i="12" s="1"/>
  <c r="J346" i="12"/>
  <c r="U131" i="12" s="1"/>
  <c r="U130" i="12"/>
  <c r="J173" i="12"/>
  <c r="V71" i="12" s="1"/>
  <c r="K173" i="12"/>
  <c r="P173" i="12" s="1"/>
  <c r="V70" i="12"/>
  <c r="X166" i="12"/>
  <c r="X174" i="12" s="1"/>
  <c r="X246" i="12" s="1"/>
  <c r="G468" i="12"/>
  <c r="K490" i="12"/>
  <c r="P490" i="12" s="1"/>
  <c r="J490" i="12"/>
  <c r="T181" i="12" s="1"/>
  <c r="T180" i="12"/>
  <c r="E386" i="12"/>
  <c r="H321" i="12"/>
  <c r="I322" i="12" s="1"/>
  <c r="AE26" i="12" s="1"/>
  <c r="X228" i="12"/>
  <c r="U220" i="12"/>
  <c r="J145" i="12"/>
  <c r="W61" i="12" s="1"/>
  <c r="K145" i="12"/>
  <c r="P145" i="12" s="1"/>
  <c r="W60" i="12"/>
  <c r="AP113" i="12"/>
  <c r="AT98" i="12"/>
  <c r="AY98" i="12" s="1"/>
  <c r="AS98" i="12"/>
  <c r="AP114" i="12" s="1"/>
  <c r="W116" i="12"/>
  <c r="W124" i="12" s="1"/>
  <c r="W241" i="12" s="1"/>
  <c r="F323" i="12"/>
  <c r="H205" i="12"/>
  <c r="I206" i="12" s="1"/>
  <c r="AE22" i="12" s="1"/>
  <c r="J549" i="12"/>
  <c r="U201" i="12" s="1"/>
  <c r="K549" i="12"/>
  <c r="P549" i="12" s="1"/>
  <c r="U200" i="12"/>
  <c r="K59" i="12"/>
  <c r="P59" i="12" s="1"/>
  <c r="X30" i="12"/>
  <c r="J59" i="12"/>
  <c r="X31" i="12" s="1"/>
  <c r="E180" i="12"/>
  <c r="E183" i="12"/>
  <c r="V68" i="12"/>
  <c r="E182" i="12"/>
  <c r="H176" i="12"/>
  <c r="I177" i="12" s="1"/>
  <c r="AE21" i="12" s="1"/>
  <c r="V96" i="12"/>
  <c r="V104" i="12" s="1"/>
  <c r="V239" i="12" s="1"/>
  <c r="E265" i="12"/>
  <c r="H553" i="12"/>
  <c r="I554" i="12" s="1"/>
  <c r="AE34" i="12" s="1"/>
  <c r="K406" i="12"/>
  <c r="P406" i="12" s="1"/>
  <c r="J406" i="12"/>
  <c r="W151" i="12" s="1"/>
  <c r="W150" i="12"/>
  <c r="C497" i="12"/>
  <c r="T176" i="12"/>
  <c r="T184" i="12" s="1"/>
  <c r="T247" i="12" s="1"/>
  <c r="T206" i="12"/>
  <c r="T214" i="12" s="1"/>
  <c r="T250" i="12" s="1"/>
  <c r="C584" i="12"/>
  <c r="I229" i="12"/>
  <c r="V106" i="12"/>
  <c r="V114" i="12" s="1"/>
  <c r="V240" i="12" s="1"/>
  <c r="E294" i="12"/>
  <c r="K316" i="12"/>
  <c r="P316" i="12" s="1"/>
  <c r="J316" i="12"/>
  <c r="T121" i="12" s="1"/>
  <c r="T120" i="12"/>
  <c r="U136" i="12"/>
  <c r="U144" i="12" s="1"/>
  <c r="U243" i="12" s="1"/>
  <c r="D381" i="12"/>
  <c r="V26" i="12"/>
  <c r="E62" i="12"/>
  <c r="X220" i="12"/>
  <c r="U276" i="12"/>
  <c r="U277" i="12" s="1"/>
  <c r="H379" i="12"/>
  <c r="I380" i="12" s="1"/>
  <c r="AE28" i="12" s="1"/>
  <c r="AO109" i="12"/>
  <c r="AO117" i="12" s="1"/>
  <c r="AO101" i="12"/>
  <c r="F470" i="12"/>
  <c r="F473" i="12"/>
  <c r="F472" i="12"/>
  <c r="W168" i="12"/>
  <c r="W220" i="12"/>
  <c r="K548" i="12"/>
  <c r="P548" i="12" s="1"/>
  <c r="J548" i="12"/>
  <c r="T201" i="12" s="1"/>
  <c r="T200" i="12"/>
  <c r="K377" i="12"/>
  <c r="P377" i="12" s="1"/>
  <c r="J377" i="12"/>
  <c r="W141" i="12" s="1"/>
  <c r="W140" i="12"/>
  <c r="V166" i="12"/>
  <c r="V174" i="12" s="1"/>
  <c r="V246" i="12" s="1"/>
  <c r="E468" i="12"/>
  <c r="X276" i="12"/>
  <c r="X277" i="12" s="1"/>
  <c r="C125" i="12"/>
  <c r="C122" i="12"/>
  <c r="T48" i="12"/>
  <c r="C124" i="12"/>
  <c r="W276" i="12"/>
  <c r="W277" i="12" s="1"/>
  <c r="AA204" i="12"/>
  <c r="F555" i="12"/>
  <c r="H147" i="12"/>
  <c r="I148" i="12" s="1"/>
  <c r="AE20" i="12" s="1"/>
  <c r="I519" i="12"/>
  <c r="E497" i="12"/>
  <c r="F381" i="12"/>
  <c r="U116" i="12"/>
  <c r="U124" i="12" s="1"/>
  <c r="U241" i="12" s="1"/>
  <c r="D323" i="12"/>
  <c r="V126" i="12"/>
  <c r="V134" i="12" s="1"/>
  <c r="V242" i="12" s="1"/>
  <c r="E352" i="12"/>
  <c r="K85" i="12"/>
  <c r="P85" i="12" s="1"/>
  <c r="J85" i="12"/>
  <c r="U41" i="12" s="1"/>
  <c r="U40" i="12"/>
  <c r="D96" i="12"/>
  <c r="D93" i="12"/>
  <c r="U38" i="12"/>
  <c r="D95" i="12"/>
  <c r="V116" i="12"/>
  <c r="V124" i="12" s="1"/>
  <c r="V241" i="12" s="1"/>
  <c r="E323" i="12"/>
  <c r="U56" i="12"/>
  <c r="U275" i="12" s="1"/>
  <c r="D149" i="12"/>
  <c r="X56" i="12"/>
  <c r="G149" i="12"/>
  <c r="J551" i="12"/>
  <c r="W201" i="12" s="1"/>
  <c r="K551" i="12"/>
  <c r="P551" i="12" s="1"/>
  <c r="W200" i="12"/>
  <c r="J142" i="12"/>
  <c r="T61" i="12" s="1"/>
  <c r="K142" i="12"/>
  <c r="T60" i="12"/>
  <c r="P142" i="12"/>
  <c r="K492" i="12"/>
  <c r="P492" i="12" s="1"/>
  <c r="J492" i="12"/>
  <c r="V181" i="12" s="1"/>
  <c r="V180" i="12"/>
  <c r="W126" i="12"/>
  <c r="W134" i="12" s="1"/>
  <c r="W242" i="12" s="1"/>
  <c r="F352" i="12"/>
  <c r="F439" i="12"/>
  <c r="K56" i="12"/>
  <c r="P56" i="12" s="1"/>
  <c r="U30" i="12"/>
  <c r="J56" i="12"/>
  <c r="U31" i="12" s="1"/>
  <c r="T36" i="12"/>
  <c r="C91" i="12"/>
  <c r="I345" i="12"/>
  <c r="K57" i="12"/>
  <c r="P57" i="12" s="1"/>
  <c r="V30" i="12"/>
  <c r="J57" i="12"/>
  <c r="V31" i="12" s="1"/>
  <c r="W76" i="12"/>
  <c r="W84" i="12" s="1"/>
  <c r="W237" i="12" s="1"/>
  <c r="F207" i="12"/>
  <c r="D207" i="12"/>
  <c r="W96" i="12"/>
  <c r="W104" i="12" s="1"/>
  <c r="W239" i="12" s="1"/>
  <c r="F265" i="12"/>
  <c r="I403" i="12"/>
  <c r="C526" i="12"/>
  <c r="BI42" i="12"/>
  <c r="BJ42" i="12" s="1"/>
  <c r="BI48" i="12"/>
  <c r="BJ48" i="12" s="1"/>
  <c r="BI49" i="12"/>
  <c r="BJ49" i="12" s="1"/>
  <c r="BI43" i="12"/>
  <c r="BJ43" i="12" s="1"/>
  <c r="BI50" i="12"/>
  <c r="BJ50" i="12" s="1"/>
  <c r="BI44" i="12"/>
  <c r="BJ44" i="12" s="1"/>
  <c r="BI45" i="12"/>
  <c r="BJ45" i="12" s="1"/>
  <c r="BI53" i="12"/>
  <c r="BJ53" i="12" s="1"/>
  <c r="BI41" i="12"/>
  <c r="BJ41" i="12" s="1"/>
  <c r="BI54" i="12"/>
  <c r="BJ54" i="12" s="1"/>
  <c r="BI51" i="12"/>
  <c r="BJ51" i="12" s="1"/>
  <c r="BI55" i="12"/>
  <c r="BJ55" i="12" s="1"/>
  <c r="BI56" i="12"/>
  <c r="BJ56" i="12" s="1"/>
  <c r="BI46" i="12"/>
  <c r="BJ46" i="12" s="1"/>
  <c r="BI52" i="12"/>
  <c r="BJ52" i="12" s="1"/>
  <c r="BI47" i="12"/>
  <c r="BJ47" i="12" s="1"/>
  <c r="W106" i="12"/>
  <c r="W114" i="12" s="1"/>
  <c r="W240" i="12" s="1"/>
  <c r="F294" i="12"/>
  <c r="D502" i="12"/>
  <c r="D499" i="12"/>
  <c r="U178" i="12"/>
  <c r="D501" i="12"/>
  <c r="C299" i="12"/>
  <c r="T282" i="12"/>
  <c r="T283" i="12" s="1"/>
  <c r="T220" i="12"/>
  <c r="C439" i="12"/>
  <c r="V76" i="12"/>
  <c r="V84" i="12" s="1"/>
  <c r="V237" i="12" s="1"/>
  <c r="E207" i="12"/>
  <c r="V186" i="12"/>
  <c r="V194" i="12" s="1"/>
  <c r="V248" i="12" s="1"/>
  <c r="E526" i="12"/>
  <c r="AA154" i="12"/>
  <c r="W176" i="12"/>
  <c r="W184" i="12" s="1"/>
  <c r="W247" i="12" s="1"/>
  <c r="F497" i="12"/>
  <c r="D473" i="12"/>
  <c r="D470" i="12"/>
  <c r="J577" i="12"/>
  <c r="T211" i="12" s="1"/>
  <c r="K577" i="12"/>
  <c r="P577" i="12" s="1"/>
  <c r="T210" i="12"/>
  <c r="U96" i="12"/>
  <c r="U104" i="12" s="1"/>
  <c r="U239" i="12" s="1"/>
  <c r="D265" i="12"/>
  <c r="AN103" i="12"/>
  <c r="G241" i="12"/>
  <c r="G238" i="12"/>
  <c r="X88" i="12"/>
  <c r="G240" i="12"/>
  <c r="X106" i="12"/>
  <c r="X114" i="12" s="1"/>
  <c r="X240" i="12" s="1"/>
  <c r="G294" i="12"/>
  <c r="H60" i="12"/>
  <c r="I61" i="12" s="1"/>
  <c r="AE17" i="12" s="1"/>
  <c r="D410" i="12"/>
  <c r="K433" i="12"/>
  <c r="P433" i="12" s="1"/>
  <c r="J433" i="12"/>
  <c r="U161" i="12" s="1"/>
  <c r="U160" i="12"/>
  <c r="X136" i="12"/>
  <c r="X144" i="12" s="1"/>
  <c r="X243" i="12" s="1"/>
  <c r="G381" i="12"/>
  <c r="E586" i="12"/>
  <c r="E589" i="12"/>
  <c r="V208" i="12"/>
  <c r="E588" i="12"/>
  <c r="AN113" i="9"/>
  <c r="AP101" i="9"/>
  <c r="AP111" i="9" s="1"/>
  <c r="AT96" i="9"/>
  <c r="AY96" i="9" s="1"/>
  <c r="AT98" i="9"/>
  <c r="AY98" i="9" s="1"/>
  <c r="AM114" i="9"/>
  <c r="E11" i="27" s="1"/>
  <c r="AM113" i="9"/>
  <c r="AL109" i="9"/>
  <c r="AL117" i="9" s="1"/>
  <c r="AS98" i="9"/>
  <c r="AP114" i="9" s="1"/>
  <c r="AQ99" i="9"/>
  <c r="AR100" i="9" s="1"/>
  <c r="AL111" i="9"/>
  <c r="AL106" i="9"/>
  <c r="AL103" i="9"/>
  <c r="AM103" i="9"/>
  <c r="AM111" i="9"/>
  <c r="E8" i="27" s="1"/>
  <c r="AM105" i="9"/>
  <c r="AM106" i="9"/>
  <c r="AT94" i="9"/>
  <c r="AY94" i="9" s="1"/>
  <c r="AL113" i="9"/>
  <c r="AL114" i="9"/>
  <c r="D11" i="27" s="1"/>
  <c r="AO109" i="9"/>
  <c r="AO117" i="9" s="1"/>
  <c r="AO101" i="9"/>
  <c r="AN101" i="9"/>
  <c r="AN117" i="9"/>
  <c r="F14" i="27" s="1"/>
  <c r="AO113" i="9"/>
  <c r="AT97" i="9"/>
  <c r="AY97" i="9" s="1"/>
  <c r="AS97" i="9"/>
  <c r="AO114" i="9" s="1"/>
  <c r="BH263" i="9"/>
  <c r="BH262" i="9"/>
  <c r="BH66" i="9"/>
  <c r="BK61" i="9"/>
  <c r="BL68" i="9"/>
  <c r="BL67" i="9"/>
  <c r="BL63" i="9"/>
  <c r="BH82" i="9"/>
  <c r="BH83" i="9"/>
  <c r="BH84" i="9"/>
  <c r="BH85" i="9"/>
  <c r="BH86" i="9"/>
  <c r="BH87" i="9"/>
  <c r="BH88" i="9"/>
  <c r="BH89" i="9"/>
  <c r="BH90" i="9"/>
  <c r="BH91" i="9"/>
  <c r="BH92" i="9"/>
  <c r="BH93" i="9"/>
  <c r="BH94" i="9"/>
  <c r="BH95" i="9"/>
  <c r="BH96" i="9"/>
  <c r="BH97" i="9"/>
  <c r="BH98" i="9"/>
  <c r="BH99" i="9"/>
  <c r="BH100" i="9"/>
  <c r="BH101" i="9"/>
  <c r="BH102" i="9"/>
  <c r="BH103" i="9"/>
  <c r="BH104" i="9"/>
  <c r="BH105" i="9"/>
  <c r="BH106" i="9"/>
  <c r="BH107" i="9"/>
  <c r="BH108" i="9"/>
  <c r="BH109" i="9"/>
  <c r="BH110" i="9"/>
  <c r="BH111" i="9"/>
  <c r="BH112" i="9"/>
  <c r="BH113" i="9"/>
  <c r="BH114" i="9"/>
  <c r="BH115" i="9"/>
  <c r="BH116" i="9"/>
  <c r="BH117" i="9"/>
  <c r="BH118" i="9"/>
  <c r="BH119" i="9"/>
  <c r="BH120" i="9"/>
  <c r="BH121" i="9"/>
  <c r="BH122" i="9"/>
  <c r="BH123" i="9"/>
  <c r="BH124" i="9"/>
  <c r="BH125" i="9"/>
  <c r="BH126" i="9"/>
  <c r="BH127" i="9"/>
  <c r="BH128" i="9"/>
  <c r="BH129" i="9"/>
  <c r="BH130" i="9"/>
  <c r="BH131" i="9"/>
  <c r="BH132" i="9"/>
  <c r="BH133" i="9"/>
  <c r="BH134" i="9"/>
  <c r="BH135" i="9"/>
  <c r="BH136" i="9"/>
  <c r="BH137" i="9"/>
  <c r="BH138" i="9"/>
  <c r="BH139" i="9"/>
  <c r="BH140" i="9"/>
  <c r="BH141" i="9"/>
  <c r="BH142" i="9"/>
  <c r="BH143" i="9"/>
  <c r="BH144" i="9"/>
  <c r="BH145" i="9"/>
  <c r="BH146" i="9"/>
  <c r="BH147" i="9"/>
  <c r="BH148" i="9"/>
  <c r="BH149" i="9"/>
  <c r="BH150" i="9"/>
  <c r="BH151" i="9"/>
  <c r="BH152" i="9"/>
  <c r="BH153" i="9"/>
  <c r="BH154" i="9"/>
  <c r="BH155" i="9"/>
  <c r="BH156" i="9"/>
  <c r="BH157" i="9"/>
  <c r="BH158" i="9"/>
  <c r="BH159" i="9"/>
  <c r="BH160" i="9"/>
  <c r="BH161" i="9"/>
  <c r="BH162" i="9"/>
  <c r="BH163" i="9"/>
  <c r="BH164" i="9"/>
  <c r="BH165" i="9"/>
  <c r="BH166" i="9"/>
  <c r="BH167" i="9"/>
  <c r="BH168" i="9"/>
  <c r="BH169" i="9"/>
  <c r="BH170" i="9"/>
  <c r="BH171" i="9"/>
  <c r="BH172" i="9"/>
  <c r="BH173" i="9"/>
  <c r="BH174" i="9"/>
  <c r="BH175" i="9"/>
  <c r="BH176" i="9"/>
  <c r="BH177" i="9"/>
  <c r="BH178" i="9"/>
  <c r="BH179" i="9"/>
  <c r="BH180" i="9"/>
  <c r="BH181" i="9"/>
  <c r="BH182" i="9"/>
  <c r="BH183" i="9"/>
  <c r="BH184" i="9"/>
  <c r="BH185" i="9"/>
  <c r="BH186" i="9"/>
  <c r="BH187" i="9"/>
  <c r="BH188" i="9"/>
  <c r="BH189" i="9"/>
  <c r="BH190" i="9"/>
  <c r="BH191" i="9"/>
  <c r="BH192" i="9"/>
  <c r="BH193" i="9"/>
  <c r="BH194" i="9"/>
  <c r="BH195" i="9"/>
  <c r="BH196" i="9"/>
  <c r="BH197" i="9"/>
  <c r="BH198" i="9"/>
  <c r="BH199" i="9"/>
  <c r="BH200" i="9"/>
  <c r="BH201" i="9"/>
  <c r="BH202" i="9"/>
  <c r="BH203" i="9"/>
  <c r="BH204" i="9"/>
  <c r="BH205" i="9"/>
  <c r="BH206" i="9"/>
  <c r="BH207" i="9"/>
  <c r="BH208" i="9"/>
  <c r="BH209" i="9"/>
  <c r="BH210" i="9"/>
  <c r="BH211" i="9"/>
  <c r="BH212" i="9"/>
  <c r="BH213" i="9"/>
  <c r="BH214" i="9"/>
  <c r="BH215" i="9"/>
  <c r="BH216" i="9"/>
  <c r="BH217" i="9"/>
  <c r="BH218" i="9"/>
  <c r="BH219" i="9"/>
  <c r="BH220" i="9"/>
  <c r="BH221" i="9"/>
  <c r="BH222" i="9"/>
  <c r="BH223" i="9"/>
  <c r="BH224" i="9"/>
  <c r="BH225" i="9"/>
  <c r="BH226" i="9"/>
  <c r="BH227" i="9"/>
  <c r="BH228" i="9"/>
  <c r="BH229" i="9"/>
  <c r="BH230" i="9"/>
  <c r="BH231" i="9"/>
  <c r="BH232" i="9"/>
  <c r="BH233" i="9"/>
  <c r="BH234" i="9"/>
  <c r="BH235" i="9"/>
  <c r="BH236" i="9"/>
  <c r="BH237" i="9"/>
  <c r="BH238" i="9"/>
  <c r="BH239" i="9"/>
  <c r="BH240" i="9"/>
  <c r="BH241" i="9"/>
  <c r="BH242" i="9"/>
  <c r="BH243" i="9"/>
  <c r="BH244" i="9"/>
  <c r="BH245" i="9"/>
  <c r="BH246" i="9"/>
  <c r="BH247" i="9"/>
  <c r="BH248" i="9"/>
  <c r="BH249" i="9"/>
  <c r="BH250" i="9"/>
  <c r="BH251" i="9"/>
  <c r="BH252" i="9"/>
  <c r="BH253" i="9"/>
  <c r="BH254" i="9"/>
  <c r="BH255" i="9"/>
  <c r="BH256" i="9"/>
  <c r="BH257" i="9"/>
  <c r="BH258" i="9"/>
  <c r="BH259" i="9"/>
  <c r="BH260" i="9"/>
  <c r="BH261" i="9"/>
  <c r="BH67" i="9"/>
  <c r="BH68" i="9"/>
  <c r="BH69" i="9"/>
  <c r="BH70" i="9"/>
  <c r="BH71" i="9"/>
  <c r="BH72" i="9"/>
  <c r="BH73" i="9"/>
  <c r="BH74" i="9"/>
  <c r="BH75" i="9"/>
  <c r="BH76" i="9"/>
  <c r="BH77" i="9"/>
  <c r="BH78" i="9"/>
  <c r="BH79" i="9"/>
  <c r="BH80" i="9"/>
  <c r="BH81" i="9"/>
  <c r="BH65" i="9"/>
  <c r="BH64" i="9"/>
  <c r="BH39" i="9"/>
  <c r="BL43" i="9"/>
  <c r="BL42" i="9"/>
  <c r="BL38" i="9"/>
  <c r="BH40" i="9"/>
  <c r="BH41" i="9"/>
  <c r="BH42" i="9"/>
  <c r="BH43" i="9"/>
  <c r="BH44" i="9"/>
  <c r="BH45" i="9"/>
  <c r="BH46" i="9"/>
  <c r="BH47" i="9"/>
  <c r="BH48" i="9"/>
  <c r="BH49" i="9"/>
  <c r="BH50" i="9"/>
  <c r="BH51" i="9"/>
  <c r="BH52" i="9"/>
  <c r="BH53" i="9"/>
  <c r="BH54" i="9"/>
  <c r="BH55" i="9"/>
  <c r="BH56" i="9"/>
  <c r="BH57" i="9"/>
  <c r="BH58" i="9"/>
  <c r="BK36" i="9"/>
  <c r="T213" i="9"/>
  <c r="U213" i="9"/>
  <c r="V213" i="9"/>
  <c r="W213" i="9"/>
  <c r="X213" i="9"/>
  <c r="T203" i="9"/>
  <c r="U203" i="9"/>
  <c r="V203" i="9"/>
  <c r="W203" i="9"/>
  <c r="X203" i="9"/>
  <c r="T193" i="9"/>
  <c r="U193" i="9"/>
  <c r="V193" i="9"/>
  <c r="W193" i="9"/>
  <c r="X193" i="9"/>
  <c r="T183" i="9"/>
  <c r="U183" i="9"/>
  <c r="V183" i="9"/>
  <c r="W183" i="9"/>
  <c r="X183" i="9"/>
  <c r="T73" i="9"/>
  <c r="U73" i="9"/>
  <c r="V73" i="9"/>
  <c r="W73" i="9"/>
  <c r="X73" i="9"/>
  <c r="T173" i="9"/>
  <c r="U173" i="9"/>
  <c r="V173" i="9"/>
  <c r="W173" i="9"/>
  <c r="X173" i="9"/>
  <c r="U163" i="9"/>
  <c r="V163" i="9"/>
  <c r="W163" i="9"/>
  <c r="X163" i="9"/>
  <c r="T163" i="9"/>
  <c r="U153" i="9"/>
  <c r="V153" i="9"/>
  <c r="W153" i="9"/>
  <c r="X153" i="9"/>
  <c r="T153" i="9"/>
  <c r="U133" i="9"/>
  <c r="V133" i="9"/>
  <c r="W133" i="9"/>
  <c r="X133" i="9"/>
  <c r="T133" i="9"/>
  <c r="U143" i="9"/>
  <c r="V143" i="9"/>
  <c r="W143" i="9"/>
  <c r="X143" i="9"/>
  <c r="T143" i="9"/>
  <c r="U123" i="9"/>
  <c r="V123" i="9"/>
  <c r="W123" i="9"/>
  <c r="X123" i="9"/>
  <c r="T123" i="9"/>
  <c r="U113" i="9"/>
  <c r="V113" i="9"/>
  <c r="W113" i="9"/>
  <c r="X113" i="9"/>
  <c r="T113" i="9"/>
  <c r="U103" i="9"/>
  <c r="V103" i="9"/>
  <c r="W103" i="9"/>
  <c r="X103" i="9"/>
  <c r="T103" i="9"/>
  <c r="X93" i="9"/>
  <c r="U93" i="9"/>
  <c r="V93" i="9"/>
  <c r="W93" i="9"/>
  <c r="T93" i="9"/>
  <c r="U83" i="9"/>
  <c r="V83" i="9"/>
  <c r="W83" i="9"/>
  <c r="X83" i="9"/>
  <c r="T83" i="9"/>
  <c r="T53" i="9"/>
  <c r="T43" i="9"/>
  <c r="N582" i="9"/>
  <c r="G571" i="9"/>
  <c r="G572" i="9" s="1"/>
  <c r="G573" i="9" s="1"/>
  <c r="F571" i="9"/>
  <c r="F572" i="9" s="1"/>
  <c r="F573" i="9" s="1"/>
  <c r="E571" i="9"/>
  <c r="E572" i="9" s="1"/>
  <c r="D571" i="9"/>
  <c r="D572" i="9" s="1"/>
  <c r="C571" i="9"/>
  <c r="C587" i="9" s="1"/>
  <c r="H570" i="9"/>
  <c r="L581" i="9" s="1"/>
  <c r="H569" i="9"/>
  <c r="H568" i="9"/>
  <c r="L579" i="9" s="1"/>
  <c r="H567" i="9"/>
  <c r="L578" i="9" s="1"/>
  <c r="H566" i="9"/>
  <c r="N553" i="9"/>
  <c r="G542" i="9"/>
  <c r="G543" i="9" s="1"/>
  <c r="G544" i="9" s="1"/>
  <c r="F542" i="9"/>
  <c r="F558" i="9" s="1"/>
  <c r="E542" i="9"/>
  <c r="E558" i="9" s="1"/>
  <c r="D542" i="9"/>
  <c r="D558" i="9" s="1"/>
  <c r="C542" i="9"/>
  <c r="C543" i="9" s="1"/>
  <c r="H541" i="9"/>
  <c r="H540" i="9"/>
  <c r="L551" i="9" s="1"/>
  <c r="H539" i="9"/>
  <c r="I539" i="9" s="1"/>
  <c r="J539" i="9" s="1"/>
  <c r="H538" i="9"/>
  <c r="H537" i="9"/>
  <c r="I537" i="9" s="1"/>
  <c r="J537" i="9" s="1"/>
  <c r="N524" i="9"/>
  <c r="G513" i="9"/>
  <c r="G529" i="9" s="1"/>
  <c r="F513" i="9"/>
  <c r="F529" i="9" s="1"/>
  <c r="E513" i="9"/>
  <c r="E529" i="9" s="1"/>
  <c r="D513" i="9"/>
  <c r="D529" i="9" s="1"/>
  <c r="C513" i="9"/>
  <c r="C529" i="9" s="1"/>
  <c r="H512" i="9"/>
  <c r="H511" i="9"/>
  <c r="I511" i="9" s="1"/>
  <c r="J511" i="9" s="1"/>
  <c r="H510" i="9"/>
  <c r="L521" i="9" s="1"/>
  <c r="H509" i="9"/>
  <c r="H508" i="9"/>
  <c r="N495" i="9"/>
  <c r="G484" i="9"/>
  <c r="G485" i="9" s="1"/>
  <c r="F484" i="9"/>
  <c r="F500" i="9" s="1"/>
  <c r="E484" i="9"/>
  <c r="E485" i="9" s="1"/>
  <c r="E486" i="9" s="1"/>
  <c r="D484" i="9"/>
  <c r="D485" i="9" s="1"/>
  <c r="D486" i="9" s="1"/>
  <c r="C484" i="9"/>
  <c r="C485" i="9" s="1"/>
  <c r="C486" i="9" s="1"/>
  <c r="H483" i="9"/>
  <c r="H482" i="9"/>
  <c r="I482" i="9" s="1"/>
  <c r="J482" i="9" s="1"/>
  <c r="H481" i="9"/>
  <c r="I481" i="9" s="1"/>
  <c r="H480" i="9"/>
  <c r="H479" i="9"/>
  <c r="N466" i="9"/>
  <c r="G455" i="9"/>
  <c r="G456" i="9" s="1"/>
  <c r="G457" i="9" s="1"/>
  <c r="F455" i="9"/>
  <c r="E455" i="9"/>
  <c r="D455" i="9"/>
  <c r="D456" i="9" s="1"/>
  <c r="D457" i="9" s="1"/>
  <c r="C455" i="9"/>
  <c r="C456" i="9" s="1"/>
  <c r="H454" i="9"/>
  <c r="L465" i="9" s="1"/>
  <c r="H453" i="9"/>
  <c r="H452" i="9"/>
  <c r="L463" i="9" s="1"/>
  <c r="H451" i="9"/>
  <c r="H450" i="9"/>
  <c r="N437" i="9"/>
  <c r="G426" i="9"/>
  <c r="G427" i="9" s="1"/>
  <c r="G428" i="9" s="1"/>
  <c r="F426" i="9"/>
  <c r="F442" i="9" s="1"/>
  <c r="E426" i="9"/>
  <c r="E442" i="9" s="1"/>
  <c r="D426" i="9"/>
  <c r="D442" i="9" s="1"/>
  <c r="C426" i="9"/>
  <c r="C442" i="9" s="1"/>
  <c r="H425" i="9"/>
  <c r="H424" i="9"/>
  <c r="L435" i="9" s="1"/>
  <c r="H423" i="9"/>
  <c r="L434" i="9" s="1"/>
  <c r="H422" i="9"/>
  <c r="L433" i="9" s="1"/>
  <c r="H421" i="9"/>
  <c r="I421" i="9" s="1"/>
  <c r="J421" i="9" s="1"/>
  <c r="N408" i="9"/>
  <c r="G397" i="9"/>
  <c r="G413" i="9" s="1"/>
  <c r="F397" i="9"/>
  <c r="F413" i="9" s="1"/>
  <c r="E397" i="9"/>
  <c r="E398" i="9" s="1"/>
  <c r="E399" i="9" s="1"/>
  <c r="D397" i="9"/>
  <c r="D413" i="9" s="1"/>
  <c r="C397" i="9"/>
  <c r="C413" i="9" s="1"/>
  <c r="H396" i="9"/>
  <c r="H395" i="9"/>
  <c r="I395" i="9" s="1"/>
  <c r="J395" i="9" s="1"/>
  <c r="H394" i="9"/>
  <c r="H393" i="9"/>
  <c r="I393" i="9" s="1"/>
  <c r="J393" i="9" s="1"/>
  <c r="H392" i="9"/>
  <c r="N379" i="9"/>
  <c r="G368" i="9"/>
  <c r="G369" i="9" s="1"/>
  <c r="G370" i="9" s="1"/>
  <c r="F368" i="9"/>
  <c r="F369" i="9" s="1"/>
  <c r="F370" i="9" s="1"/>
  <c r="E368" i="9"/>
  <c r="E384" i="9" s="1"/>
  <c r="D368" i="9"/>
  <c r="D369" i="9" s="1"/>
  <c r="C368" i="9"/>
  <c r="H367" i="9"/>
  <c r="H366" i="9"/>
  <c r="H365" i="9"/>
  <c r="I365" i="9" s="1"/>
  <c r="J365" i="9" s="1"/>
  <c r="H364" i="9"/>
  <c r="L375" i="9" s="1"/>
  <c r="H363" i="9"/>
  <c r="L374" i="9" s="1"/>
  <c r="N350" i="9"/>
  <c r="G339" i="9"/>
  <c r="G355" i="9" s="1"/>
  <c r="F339" i="9"/>
  <c r="F340" i="9" s="1"/>
  <c r="F341" i="9" s="1"/>
  <c r="E339" i="9"/>
  <c r="E340" i="9" s="1"/>
  <c r="E341" i="9" s="1"/>
  <c r="D339" i="9"/>
  <c r="D340" i="9" s="1"/>
  <c r="D341" i="9" s="1"/>
  <c r="C339" i="9"/>
  <c r="H338" i="9"/>
  <c r="L349" i="9" s="1"/>
  <c r="H337" i="9"/>
  <c r="L348" i="9" s="1"/>
  <c r="H336" i="9"/>
  <c r="L347" i="9" s="1"/>
  <c r="H335" i="9"/>
  <c r="L346" i="9" s="1"/>
  <c r="H334" i="9"/>
  <c r="I334" i="9" s="1"/>
  <c r="J334" i="9" s="1"/>
  <c r="N321" i="9"/>
  <c r="O316" i="9" s="1"/>
  <c r="G310" i="9"/>
  <c r="G311" i="9" s="1"/>
  <c r="F310" i="9"/>
  <c r="F326" i="9" s="1"/>
  <c r="E310" i="9"/>
  <c r="E326" i="9" s="1"/>
  <c r="D310" i="9"/>
  <c r="D326" i="9" s="1"/>
  <c r="C310" i="9"/>
  <c r="C326" i="9" s="1"/>
  <c r="H309" i="9"/>
  <c r="L320" i="9" s="1"/>
  <c r="H308" i="9"/>
  <c r="L319" i="9" s="1"/>
  <c r="H307" i="9"/>
  <c r="L318" i="9" s="1"/>
  <c r="H306" i="9"/>
  <c r="I306" i="9" s="1"/>
  <c r="J306" i="9" s="1"/>
  <c r="H305" i="9"/>
  <c r="I305" i="9" s="1"/>
  <c r="J305" i="9" s="1"/>
  <c r="N292" i="9"/>
  <c r="G281" i="9"/>
  <c r="G282" i="9" s="1"/>
  <c r="F281" i="9"/>
  <c r="F282" i="9" s="1"/>
  <c r="E281" i="9"/>
  <c r="E297" i="9" s="1"/>
  <c r="D281" i="9"/>
  <c r="D297" i="9" s="1"/>
  <c r="C281" i="9"/>
  <c r="C297" i="9" s="1"/>
  <c r="H280" i="9"/>
  <c r="H279" i="9"/>
  <c r="L290" i="9" s="1"/>
  <c r="H278" i="9"/>
  <c r="H277" i="9"/>
  <c r="H276" i="9"/>
  <c r="I276" i="9" s="1"/>
  <c r="N263" i="9"/>
  <c r="G252" i="9"/>
  <c r="G268" i="9" s="1"/>
  <c r="F252" i="9"/>
  <c r="F268" i="9" s="1"/>
  <c r="E252" i="9"/>
  <c r="E268" i="9" s="1"/>
  <c r="D252" i="9"/>
  <c r="D268" i="9" s="1"/>
  <c r="C252" i="9"/>
  <c r="C268" i="9" s="1"/>
  <c r="H251" i="9"/>
  <c r="L262" i="9" s="1"/>
  <c r="H250" i="9"/>
  <c r="I250" i="9" s="1"/>
  <c r="H249" i="9"/>
  <c r="L260" i="9" s="1"/>
  <c r="H248" i="9"/>
  <c r="L259" i="9" s="1"/>
  <c r="H247" i="9"/>
  <c r="L258" i="9" s="1"/>
  <c r="N234" i="9"/>
  <c r="G223" i="9"/>
  <c r="G239" i="9" s="1"/>
  <c r="F223" i="9"/>
  <c r="F239" i="9" s="1"/>
  <c r="E223" i="9"/>
  <c r="E224" i="9" s="1"/>
  <c r="D223" i="9"/>
  <c r="D224" i="9" s="1"/>
  <c r="C223" i="9"/>
  <c r="C224" i="9" s="1"/>
  <c r="H222" i="9"/>
  <c r="L233" i="9" s="1"/>
  <c r="H221" i="9"/>
  <c r="I221" i="9" s="1"/>
  <c r="J221" i="9" s="1"/>
  <c r="H220" i="9"/>
  <c r="L231" i="9" s="1"/>
  <c r="H219" i="9"/>
  <c r="H218" i="9"/>
  <c r="N205" i="9"/>
  <c r="G194" i="9"/>
  <c r="G195" i="9" s="1"/>
  <c r="F194" i="9"/>
  <c r="F195" i="9" s="1"/>
  <c r="E194" i="9"/>
  <c r="E195" i="9" s="1"/>
  <c r="D194" i="9"/>
  <c r="D195" i="9" s="1"/>
  <c r="C194" i="9"/>
  <c r="C195" i="9" s="1"/>
  <c r="H193" i="9"/>
  <c r="H192" i="9"/>
  <c r="H191" i="9"/>
  <c r="I191" i="9" s="1"/>
  <c r="J191" i="9" s="1"/>
  <c r="H190" i="9"/>
  <c r="H189" i="9"/>
  <c r="N176" i="9"/>
  <c r="G165" i="9"/>
  <c r="G166" i="9" s="1"/>
  <c r="F165" i="9"/>
  <c r="F166" i="9" s="1"/>
  <c r="E165" i="9"/>
  <c r="E181" i="9" s="1"/>
  <c r="D165" i="9"/>
  <c r="D181" i="9" s="1"/>
  <c r="C165" i="9"/>
  <c r="C181" i="9" s="1"/>
  <c r="H164" i="9"/>
  <c r="H163" i="9"/>
  <c r="L174" i="9" s="1"/>
  <c r="H162" i="9"/>
  <c r="L173" i="9" s="1"/>
  <c r="H161" i="9"/>
  <c r="L172" i="9" s="1"/>
  <c r="H160" i="9"/>
  <c r="L171" i="9" s="1"/>
  <c r="X63" i="9"/>
  <c r="W63" i="9"/>
  <c r="V63" i="9"/>
  <c r="U63" i="9"/>
  <c r="T63" i="9"/>
  <c r="W393" i="9"/>
  <c r="V393" i="9"/>
  <c r="W392" i="9"/>
  <c r="V392" i="9"/>
  <c r="W391" i="9"/>
  <c r="V391" i="9"/>
  <c r="W390" i="9"/>
  <c r="V390" i="9"/>
  <c r="X53" i="9"/>
  <c r="W53" i="9"/>
  <c r="V53" i="9"/>
  <c r="U53" i="9"/>
  <c r="X43" i="9"/>
  <c r="W43" i="9"/>
  <c r="V43" i="9"/>
  <c r="U43" i="9"/>
  <c r="X33" i="9"/>
  <c r="W33" i="9"/>
  <c r="V33" i="9"/>
  <c r="U33" i="9"/>
  <c r="T33" i="9"/>
  <c r="X23" i="9"/>
  <c r="W23" i="9"/>
  <c r="V23" i="9"/>
  <c r="U23" i="9"/>
  <c r="T23" i="9"/>
  <c r="N147" i="9"/>
  <c r="G136" i="9"/>
  <c r="G137" i="9" s="1"/>
  <c r="F136" i="9"/>
  <c r="F137" i="9" s="1"/>
  <c r="E136" i="9"/>
  <c r="E152" i="9" s="1"/>
  <c r="D136" i="9"/>
  <c r="D152" i="9" s="1"/>
  <c r="C136" i="9"/>
  <c r="H135" i="9"/>
  <c r="I135" i="9" s="1"/>
  <c r="J135" i="9" s="1"/>
  <c r="H134" i="9"/>
  <c r="H133" i="9"/>
  <c r="I133" i="9" s="1"/>
  <c r="J133" i="9" s="1"/>
  <c r="H132" i="9"/>
  <c r="I132" i="9" s="1"/>
  <c r="J132" i="9" s="1"/>
  <c r="H131" i="9"/>
  <c r="N118" i="9"/>
  <c r="G107" i="9"/>
  <c r="G108" i="9" s="1"/>
  <c r="F107" i="9"/>
  <c r="F108" i="9" s="1"/>
  <c r="F109" i="9" s="1"/>
  <c r="E107" i="9"/>
  <c r="D107" i="9"/>
  <c r="D108" i="9" s="1"/>
  <c r="C107" i="9"/>
  <c r="C123" i="9" s="1"/>
  <c r="H106" i="9"/>
  <c r="I106" i="9" s="1"/>
  <c r="J106" i="9" s="1"/>
  <c r="H105" i="9"/>
  <c r="H104" i="9"/>
  <c r="L115" i="9" s="1"/>
  <c r="H103" i="9"/>
  <c r="I103" i="9" s="1"/>
  <c r="J103" i="9" s="1"/>
  <c r="H102" i="9"/>
  <c r="L113" i="9" s="1"/>
  <c r="N89" i="9"/>
  <c r="G78" i="9"/>
  <c r="G79" i="9" s="1"/>
  <c r="G80" i="9" s="1"/>
  <c r="F78" i="9"/>
  <c r="F79" i="9" s="1"/>
  <c r="E78" i="9"/>
  <c r="E79" i="9" s="1"/>
  <c r="D78" i="9"/>
  <c r="D94" i="9" s="1"/>
  <c r="C78" i="9"/>
  <c r="C94" i="9" s="1"/>
  <c r="H77" i="9"/>
  <c r="L88" i="9" s="1"/>
  <c r="H76" i="9"/>
  <c r="L87" i="9" s="1"/>
  <c r="H75" i="9"/>
  <c r="H74" i="9"/>
  <c r="I74" i="9" s="1"/>
  <c r="J74" i="9" s="1"/>
  <c r="H73" i="9"/>
  <c r="I73" i="9" s="1"/>
  <c r="J73" i="9" s="1"/>
  <c r="N60" i="9"/>
  <c r="G49" i="9"/>
  <c r="F49" i="9"/>
  <c r="E49" i="9"/>
  <c r="D49" i="9"/>
  <c r="C49" i="9"/>
  <c r="H48" i="9"/>
  <c r="I48" i="9" s="1"/>
  <c r="J48" i="9" s="1"/>
  <c r="H47" i="9"/>
  <c r="H46" i="9"/>
  <c r="I46" i="9" s="1"/>
  <c r="J46" i="9" s="1"/>
  <c r="H45" i="9"/>
  <c r="H44" i="9"/>
  <c r="N31" i="9"/>
  <c r="G20" i="9"/>
  <c r="G21" i="9" s="1"/>
  <c r="F20" i="9"/>
  <c r="F21" i="9" s="1"/>
  <c r="E20" i="9"/>
  <c r="D20" i="9"/>
  <c r="C20" i="9"/>
  <c r="C36" i="9" s="1"/>
  <c r="H19" i="9"/>
  <c r="L30" i="9" s="1"/>
  <c r="H18" i="9"/>
  <c r="L29" i="9" s="1"/>
  <c r="H17" i="9"/>
  <c r="H16" i="9"/>
  <c r="H15" i="9"/>
  <c r="I15" i="9" s="1"/>
  <c r="I10" i="9"/>
  <c r="B8" i="9"/>
  <c r="C5" i="9" s="1"/>
  <c r="E5" i="9" s="1"/>
  <c r="H209" i="27" l="1"/>
  <c r="H210" i="27"/>
  <c r="D209" i="27"/>
  <c r="D210" i="27"/>
  <c r="E209" i="27"/>
  <c r="E210" i="27"/>
  <c r="F209" i="27"/>
  <c r="F210" i="27"/>
  <c r="G209" i="27"/>
  <c r="G210" i="27"/>
  <c r="D113" i="27"/>
  <c r="D114" i="27"/>
  <c r="F113" i="27"/>
  <c r="F114" i="27"/>
  <c r="G113" i="27"/>
  <c r="G114" i="27"/>
  <c r="H113" i="27"/>
  <c r="H114" i="27"/>
  <c r="E113" i="27"/>
  <c r="E114" i="27"/>
  <c r="F17" i="27"/>
  <c r="F18" i="27"/>
  <c r="G17" i="27"/>
  <c r="G18" i="27"/>
  <c r="H17" i="27"/>
  <c r="H18" i="27"/>
  <c r="D17" i="27"/>
  <c r="D18" i="27"/>
  <c r="E17" i="27"/>
  <c r="E18" i="27"/>
  <c r="K14" i="27"/>
  <c r="I14" i="27" s="1"/>
  <c r="I15" i="27" s="1"/>
  <c r="F15" i="27"/>
  <c r="C441" i="14"/>
  <c r="F444" i="14"/>
  <c r="U180" i="14"/>
  <c r="J491" i="14"/>
  <c r="U181" i="14" s="1"/>
  <c r="K491" i="14"/>
  <c r="P491" i="14" s="1"/>
  <c r="J496" i="14" s="1"/>
  <c r="AF32" i="14" s="1"/>
  <c r="G327" i="14"/>
  <c r="AA54" i="14"/>
  <c r="X118" i="14"/>
  <c r="C443" i="14"/>
  <c r="C440" i="14" s="1"/>
  <c r="T159" i="14" s="1"/>
  <c r="C559" i="14"/>
  <c r="E499" i="14"/>
  <c r="E441" i="14"/>
  <c r="F499" i="14"/>
  <c r="E383" i="14"/>
  <c r="G267" i="14"/>
  <c r="E501" i="14"/>
  <c r="E443" i="14"/>
  <c r="V158" i="14"/>
  <c r="AA214" i="14"/>
  <c r="X250" i="14"/>
  <c r="AA204" i="14"/>
  <c r="V249" i="14"/>
  <c r="C557" i="14"/>
  <c r="X188" i="14"/>
  <c r="G528" i="14"/>
  <c r="G530" i="14"/>
  <c r="G498" i="14"/>
  <c r="X179" i="14" s="1"/>
  <c r="AA174" i="14"/>
  <c r="T246" i="14"/>
  <c r="D469" i="14"/>
  <c r="U169" i="14" s="1"/>
  <c r="E415" i="14"/>
  <c r="E412" i="14"/>
  <c r="V148" i="14"/>
  <c r="E414" i="14"/>
  <c r="G383" i="14"/>
  <c r="G386" i="14"/>
  <c r="G382" i="14" s="1"/>
  <c r="X139" i="14" s="1"/>
  <c r="AA144" i="14"/>
  <c r="U243" i="14"/>
  <c r="G328" i="14"/>
  <c r="G324" i="14" s="1"/>
  <c r="X119" i="14" s="1"/>
  <c r="AA114" i="14"/>
  <c r="V240" i="14"/>
  <c r="AA104" i="14"/>
  <c r="T239" i="14"/>
  <c r="AA84" i="14"/>
  <c r="T237" i="14"/>
  <c r="E183" i="14"/>
  <c r="E179" i="14" s="1"/>
  <c r="V69" i="14" s="1"/>
  <c r="AA74" i="14"/>
  <c r="X236" i="14"/>
  <c r="AA64" i="14"/>
  <c r="V235" i="14"/>
  <c r="AP106" i="9"/>
  <c r="D560" i="12"/>
  <c r="U170" i="12"/>
  <c r="J462" i="12"/>
  <c r="U171" i="12" s="1"/>
  <c r="G327" i="12"/>
  <c r="AA54" i="12"/>
  <c r="W234" i="12"/>
  <c r="W68" i="12"/>
  <c r="AA74" i="12"/>
  <c r="X236" i="12"/>
  <c r="C298" i="12"/>
  <c r="F180" i="12"/>
  <c r="AA94" i="12"/>
  <c r="X238" i="12"/>
  <c r="K432" i="12"/>
  <c r="P432" i="12" s="1"/>
  <c r="J438" i="12" s="1"/>
  <c r="AF30" i="12" s="1"/>
  <c r="AN113" i="14"/>
  <c r="AT96" i="14"/>
  <c r="AY96" i="14" s="1"/>
  <c r="AN105" i="14"/>
  <c r="AN102" i="14" s="1"/>
  <c r="AN112" i="14" s="1"/>
  <c r="G65" i="9"/>
  <c r="F50" i="9"/>
  <c r="C50" i="9"/>
  <c r="D50" i="9"/>
  <c r="E50" i="9"/>
  <c r="T108" i="14"/>
  <c r="C296" i="14"/>
  <c r="C298" i="14"/>
  <c r="C295" i="14" s="1"/>
  <c r="T109" i="14" s="1"/>
  <c r="X108" i="14"/>
  <c r="G298" i="14"/>
  <c r="G295" i="14" s="1"/>
  <c r="X109" i="14" s="1"/>
  <c r="E270" i="14"/>
  <c r="G266" i="14"/>
  <c r="X99" i="14" s="1"/>
  <c r="D240" i="14"/>
  <c r="U88" i="14"/>
  <c r="D241" i="14"/>
  <c r="E211" i="14"/>
  <c r="V78" i="14"/>
  <c r="E212" i="14"/>
  <c r="F212" i="14"/>
  <c r="D211" i="14"/>
  <c r="D209" i="14"/>
  <c r="F211" i="14"/>
  <c r="E180" i="14"/>
  <c r="V68" i="14"/>
  <c r="C180" i="14"/>
  <c r="K174" i="14"/>
  <c r="P174" i="14" s="1"/>
  <c r="D183" i="14"/>
  <c r="U68" i="14"/>
  <c r="D180" i="14"/>
  <c r="W70" i="14"/>
  <c r="F182" i="14"/>
  <c r="C183" i="14"/>
  <c r="F180" i="14"/>
  <c r="F183" i="14"/>
  <c r="W68" i="14"/>
  <c r="C182" i="14"/>
  <c r="F122" i="14"/>
  <c r="V282" i="14"/>
  <c r="V283" i="14" s="1"/>
  <c r="E124" i="14"/>
  <c r="E121" i="14" s="1"/>
  <c r="V49" i="14" s="1"/>
  <c r="V48" i="14"/>
  <c r="E122" i="14"/>
  <c r="X38" i="14"/>
  <c r="G93" i="14"/>
  <c r="G95" i="14"/>
  <c r="G92" i="14" s="1"/>
  <c r="X39" i="14" s="1"/>
  <c r="F64" i="14"/>
  <c r="W28" i="14"/>
  <c r="F67" i="14"/>
  <c r="F63" i="14" s="1"/>
  <c r="W29" i="14" s="1"/>
  <c r="V28" i="14"/>
  <c r="E64" i="14"/>
  <c r="G296" i="14"/>
  <c r="D298" i="14"/>
  <c r="U108" i="14"/>
  <c r="D299" i="14"/>
  <c r="E269" i="14"/>
  <c r="V98" i="14"/>
  <c r="AA94" i="14"/>
  <c r="J146" i="14"/>
  <c r="X61" i="14" s="1"/>
  <c r="X282" i="14" s="1"/>
  <c r="X283" i="14" s="1"/>
  <c r="C151" i="14"/>
  <c r="T58" i="14"/>
  <c r="D151" i="14"/>
  <c r="U58" i="14"/>
  <c r="D153" i="14"/>
  <c r="D154" i="14"/>
  <c r="C153" i="14"/>
  <c r="C154" i="14"/>
  <c r="F124" i="14"/>
  <c r="F121" i="14" s="1"/>
  <c r="W49" i="14" s="1"/>
  <c r="C122" i="14"/>
  <c r="W48" i="14"/>
  <c r="AA44" i="14"/>
  <c r="E66" i="14"/>
  <c r="E63" i="14" s="1"/>
  <c r="V29" i="14" s="1"/>
  <c r="AA34" i="14"/>
  <c r="D585" i="14"/>
  <c r="U209" i="14" s="1"/>
  <c r="F585" i="14"/>
  <c r="W209" i="14" s="1"/>
  <c r="C556" i="14"/>
  <c r="T199" i="14" s="1"/>
  <c r="G527" i="14"/>
  <c r="X189" i="14" s="1"/>
  <c r="D498" i="14"/>
  <c r="U179" i="14" s="1"/>
  <c r="E469" i="14"/>
  <c r="V169" i="14" s="1"/>
  <c r="F469" i="14"/>
  <c r="W169" i="14" s="1"/>
  <c r="F440" i="14"/>
  <c r="W159" i="14" s="1"/>
  <c r="E440" i="14"/>
  <c r="V159" i="14" s="1"/>
  <c r="G440" i="14"/>
  <c r="X159" i="14" s="1"/>
  <c r="P407" i="14"/>
  <c r="J409" i="14" s="1"/>
  <c r="AF29" i="14" s="1"/>
  <c r="AA154" i="14"/>
  <c r="E385" i="14"/>
  <c r="E382" i="14" s="1"/>
  <c r="V139" i="14" s="1"/>
  <c r="V224" i="14"/>
  <c r="E353" i="14"/>
  <c r="V129" i="14" s="1"/>
  <c r="AA124" i="14"/>
  <c r="F209" i="14"/>
  <c r="D212" i="14"/>
  <c r="G182" i="14"/>
  <c r="G179" i="14" s="1"/>
  <c r="X69" i="14" s="1"/>
  <c r="X68" i="14"/>
  <c r="G180" i="14"/>
  <c r="D179" i="14"/>
  <c r="U69" i="14" s="1"/>
  <c r="P146" i="14"/>
  <c r="J148" i="14" s="1"/>
  <c r="AF20" i="14" s="1"/>
  <c r="G153" i="14"/>
  <c r="G150" i="14" s="1"/>
  <c r="X59" i="14" s="1"/>
  <c r="V281" i="14"/>
  <c r="T48" i="14"/>
  <c r="U275" i="14"/>
  <c r="G38" i="14"/>
  <c r="BC20" i="14"/>
  <c r="AY20" i="14"/>
  <c r="G37" i="14"/>
  <c r="G35" i="14"/>
  <c r="J554" i="14"/>
  <c r="AF34" i="14" s="1"/>
  <c r="J206" i="14"/>
  <c r="AF22" i="14" s="1"/>
  <c r="F560" i="14"/>
  <c r="F557" i="14"/>
  <c r="W198" i="14"/>
  <c r="F559" i="14"/>
  <c r="AZ21" i="14"/>
  <c r="T291" i="14"/>
  <c r="T292" i="14" s="1"/>
  <c r="T290" i="14"/>
  <c r="T227" i="14"/>
  <c r="X281" i="14"/>
  <c r="D64" i="14"/>
  <c r="D67" i="14"/>
  <c r="U28" i="14"/>
  <c r="D66" i="14"/>
  <c r="BB13" i="14"/>
  <c r="AZ18" i="14"/>
  <c r="BA14" i="14"/>
  <c r="AX17" i="14"/>
  <c r="BB23" i="14"/>
  <c r="BB22" i="14"/>
  <c r="D328" i="14"/>
  <c r="D325" i="14"/>
  <c r="U118" i="14"/>
  <c r="D327" i="14"/>
  <c r="BC19" i="14"/>
  <c r="G589" i="14"/>
  <c r="G586" i="14"/>
  <c r="X208" i="14"/>
  <c r="G588" i="14"/>
  <c r="T219" i="14"/>
  <c r="G560" i="14"/>
  <c r="G557" i="14"/>
  <c r="X198" i="14"/>
  <c r="G559" i="14"/>
  <c r="AO111" i="14"/>
  <c r="AO103" i="14"/>
  <c r="AO106" i="14"/>
  <c r="AO105" i="14"/>
  <c r="F386" i="14"/>
  <c r="F383" i="14"/>
  <c r="W138" i="14"/>
  <c r="F385" i="14"/>
  <c r="AM111" i="14"/>
  <c r="AM103" i="14"/>
  <c r="AM106" i="14"/>
  <c r="AM105" i="14"/>
  <c r="J322" i="14"/>
  <c r="AF26" i="14" s="1"/>
  <c r="E328" i="14"/>
  <c r="E325" i="14"/>
  <c r="V118" i="14"/>
  <c r="E327" i="14"/>
  <c r="U223" i="14"/>
  <c r="U281" i="14"/>
  <c r="AZ17" i="14"/>
  <c r="BB19" i="14"/>
  <c r="AZ15" i="14"/>
  <c r="AY22" i="14"/>
  <c r="BB18" i="14"/>
  <c r="AY19" i="14"/>
  <c r="E154" i="14"/>
  <c r="E151" i="14"/>
  <c r="V58" i="14"/>
  <c r="E153" i="14"/>
  <c r="T28" i="14"/>
  <c r="C64" i="14"/>
  <c r="C67" i="14"/>
  <c r="C66" i="14"/>
  <c r="BC15" i="14"/>
  <c r="D527" i="14"/>
  <c r="U189" i="14" s="1"/>
  <c r="G354" i="14"/>
  <c r="G357" i="14"/>
  <c r="X128" i="14"/>
  <c r="G356" i="14"/>
  <c r="F357" i="14"/>
  <c r="F354" i="14"/>
  <c r="W128" i="14"/>
  <c r="F356" i="14"/>
  <c r="D440" i="14"/>
  <c r="U159" i="14" s="1"/>
  <c r="U282" i="14"/>
  <c r="U283" i="14" s="1"/>
  <c r="U224" i="14"/>
  <c r="BC13" i="14"/>
  <c r="AX20" i="14"/>
  <c r="AX13" i="14"/>
  <c r="BA13" i="14"/>
  <c r="BC23" i="14"/>
  <c r="AZ20" i="14"/>
  <c r="C267" i="14"/>
  <c r="C270" i="14"/>
  <c r="C269" i="14"/>
  <c r="T98" i="14"/>
  <c r="BA16" i="14"/>
  <c r="F415" i="14"/>
  <c r="F414" i="14"/>
  <c r="F412" i="14"/>
  <c r="W148" i="14"/>
  <c r="E241" i="14"/>
  <c r="E238" i="14"/>
  <c r="V88" i="14"/>
  <c r="E240" i="14"/>
  <c r="K84" i="14"/>
  <c r="J84" i="14"/>
  <c r="T41" i="14" s="1"/>
  <c r="T40" i="14"/>
  <c r="F238" i="14"/>
  <c r="F241" i="14"/>
  <c r="W88" i="14"/>
  <c r="F240" i="14"/>
  <c r="G67" i="14"/>
  <c r="X28" i="14"/>
  <c r="G64" i="14"/>
  <c r="G66" i="14"/>
  <c r="C241" i="14"/>
  <c r="C238" i="14"/>
  <c r="T88" i="14"/>
  <c r="C240" i="14"/>
  <c r="C38" i="14"/>
  <c r="T18" i="14"/>
  <c r="C35" i="14"/>
  <c r="C37" i="14"/>
  <c r="J438" i="14"/>
  <c r="AF30" i="14" s="1"/>
  <c r="K26" i="14"/>
  <c r="P26" i="14" s="1"/>
  <c r="J32" i="14" s="1"/>
  <c r="AF16" i="14" s="1"/>
  <c r="J26" i="14"/>
  <c r="T21" i="14" s="1"/>
  <c r="T20" i="14"/>
  <c r="AL111" i="14"/>
  <c r="AL103" i="14"/>
  <c r="AL106" i="14"/>
  <c r="AL105" i="14"/>
  <c r="V223" i="14"/>
  <c r="BB17" i="14"/>
  <c r="AX14" i="14"/>
  <c r="BB14" i="14"/>
  <c r="AY17" i="14"/>
  <c r="AY14" i="14"/>
  <c r="BA21" i="14"/>
  <c r="G125" i="14"/>
  <c r="G122" i="14"/>
  <c r="X48" i="14"/>
  <c r="G124" i="14"/>
  <c r="E560" i="14"/>
  <c r="E557" i="14"/>
  <c r="V198" i="14"/>
  <c r="E559" i="14"/>
  <c r="C383" i="14"/>
  <c r="C386" i="14"/>
  <c r="T138" i="14"/>
  <c r="C385" i="14"/>
  <c r="C498" i="14"/>
  <c r="T179" i="14" s="1"/>
  <c r="D93" i="14"/>
  <c r="D96" i="14"/>
  <c r="U38" i="14"/>
  <c r="D95" i="14"/>
  <c r="AS117" i="14"/>
  <c r="AX16" i="14"/>
  <c r="AX15" i="14"/>
  <c r="BA15" i="14"/>
  <c r="BA22" i="14"/>
  <c r="AY16" i="14"/>
  <c r="BC22" i="14"/>
  <c r="F296" i="14"/>
  <c r="F299" i="14"/>
  <c r="W108" i="14"/>
  <c r="F298" i="14"/>
  <c r="F270" i="14"/>
  <c r="F267" i="14"/>
  <c r="W98" i="14"/>
  <c r="F269" i="14"/>
  <c r="K261" i="14"/>
  <c r="P261" i="14" s="1"/>
  <c r="J264" i="14" s="1"/>
  <c r="AF24" i="14" s="1"/>
  <c r="J261" i="14"/>
  <c r="W101" i="14" s="1"/>
  <c r="W224" i="14" s="1"/>
  <c r="W100" i="14"/>
  <c r="J287" i="14"/>
  <c r="T111" i="14" s="1"/>
  <c r="K287" i="14"/>
  <c r="P287" i="14" s="1"/>
  <c r="J293" i="14" s="1"/>
  <c r="AF25" i="14" s="1"/>
  <c r="T110" i="14"/>
  <c r="J465" i="14"/>
  <c r="X171" i="14" s="1"/>
  <c r="X224" i="14" s="1"/>
  <c r="K465" i="14"/>
  <c r="P465" i="14" s="1"/>
  <c r="J467" i="14" s="1"/>
  <c r="AF31" i="14" s="1"/>
  <c r="X170" i="14"/>
  <c r="X223" i="14" s="1"/>
  <c r="G241" i="14"/>
  <c r="G238" i="14"/>
  <c r="X88" i="14"/>
  <c r="G240" i="14"/>
  <c r="C531" i="14"/>
  <c r="C528" i="14"/>
  <c r="C530" i="14"/>
  <c r="T188" i="14"/>
  <c r="W281" i="14"/>
  <c r="BC17" i="14"/>
  <c r="BB16" i="14"/>
  <c r="BA23" i="14"/>
  <c r="AZ19" i="14"/>
  <c r="BA17" i="14"/>
  <c r="AX23" i="14"/>
  <c r="C95" i="14"/>
  <c r="T38" i="14"/>
  <c r="C96" i="14"/>
  <c r="C93" i="14"/>
  <c r="K113" i="14"/>
  <c r="P113" i="14" s="1"/>
  <c r="J119" i="14" s="1"/>
  <c r="AF19" i="14" s="1"/>
  <c r="J113" i="14"/>
  <c r="T51" i="14" s="1"/>
  <c r="T50" i="14"/>
  <c r="G412" i="14"/>
  <c r="G415" i="14"/>
  <c r="X148" i="14"/>
  <c r="G414" i="14"/>
  <c r="F35" i="14"/>
  <c r="F38" i="14"/>
  <c r="W18" i="14"/>
  <c r="F37" i="14"/>
  <c r="D35" i="14"/>
  <c r="U18" i="14"/>
  <c r="D38" i="14"/>
  <c r="D37" i="14"/>
  <c r="U290" i="14"/>
  <c r="U227" i="14"/>
  <c r="U291" i="14"/>
  <c r="U292" i="14" s="1"/>
  <c r="X290" i="14"/>
  <c r="X291" i="14"/>
  <c r="X292" i="14" s="1"/>
  <c r="X227" i="14"/>
  <c r="C357" i="14"/>
  <c r="C354" i="14"/>
  <c r="T128" i="14"/>
  <c r="C356" i="14"/>
  <c r="D560" i="14"/>
  <c r="D557" i="14"/>
  <c r="U198" i="14"/>
  <c r="D559" i="14"/>
  <c r="AA194" i="14"/>
  <c r="AX18" i="14"/>
  <c r="BA18" i="14"/>
  <c r="AY13" i="14"/>
  <c r="BA20" i="14"/>
  <c r="BC18" i="14"/>
  <c r="Z275" i="14"/>
  <c r="J380" i="14"/>
  <c r="AF28" i="14" s="1"/>
  <c r="W275" i="14"/>
  <c r="W219" i="14"/>
  <c r="W24" i="14"/>
  <c r="W231" i="14" s="1"/>
  <c r="AS100" i="14"/>
  <c r="C586" i="14"/>
  <c r="C589" i="14"/>
  <c r="T208" i="14"/>
  <c r="C588" i="14"/>
  <c r="X219" i="14"/>
  <c r="AP111" i="14"/>
  <c r="AP103" i="14"/>
  <c r="AP106" i="14"/>
  <c r="AP105" i="14"/>
  <c r="AA134" i="14"/>
  <c r="V18" i="14"/>
  <c r="E35" i="14"/>
  <c r="E38" i="14"/>
  <c r="E37" i="14"/>
  <c r="J235" i="14"/>
  <c r="AF23" i="14" s="1"/>
  <c r="D122" i="14"/>
  <c r="U48" i="14"/>
  <c r="D125" i="14"/>
  <c r="D124" i="14"/>
  <c r="F527" i="14"/>
  <c r="W189" i="14" s="1"/>
  <c r="W282" i="14"/>
  <c r="W283" i="14" s="1"/>
  <c r="AY21" i="14"/>
  <c r="BB20" i="14"/>
  <c r="BC14" i="14"/>
  <c r="BB21" i="14"/>
  <c r="AX21" i="14"/>
  <c r="F328" i="14"/>
  <c r="F325" i="14"/>
  <c r="W118" i="14"/>
  <c r="F327" i="14"/>
  <c r="J345" i="14"/>
  <c r="T131" i="14" s="1"/>
  <c r="K345" i="14"/>
  <c r="P345" i="14" s="1"/>
  <c r="J351" i="14" s="1"/>
  <c r="AF27" i="14" s="1"/>
  <c r="T130" i="14"/>
  <c r="C124" i="14"/>
  <c r="C121" i="14" s="1"/>
  <c r="T49" i="14" s="1"/>
  <c r="C412" i="14"/>
  <c r="C415" i="14"/>
  <c r="T148" i="14"/>
  <c r="C414" i="14"/>
  <c r="D411" i="14"/>
  <c r="U149" i="14" s="1"/>
  <c r="C328" i="14"/>
  <c r="C325" i="14"/>
  <c r="T118" i="14"/>
  <c r="C327" i="14"/>
  <c r="U219" i="14"/>
  <c r="D354" i="14"/>
  <c r="D357" i="14"/>
  <c r="U128" i="14"/>
  <c r="D356" i="14"/>
  <c r="D353" i="14" s="1"/>
  <c r="U129" i="14" s="1"/>
  <c r="X275" i="14"/>
  <c r="D386" i="14"/>
  <c r="D383" i="14"/>
  <c r="U138" i="14"/>
  <c r="D385" i="14"/>
  <c r="V275" i="14"/>
  <c r="V219" i="14"/>
  <c r="V24" i="14"/>
  <c r="V231" i="14" s="1"/>
  <c r="E299" i="14"/>
  <c r="V108" i="14"/>
  <c r="E296" i="14"/>
  <c r="E298" i="14"/>
  <c r="G208" i="14"/>
  <c r="X79" i="14" s="1"/>
  <c r="AZ16" i="14"/>
  <c r="AZ14" i="14"/>
  <c r="BB15" i="14"/>
  <c r="AY23" i="14"/>
  <c r="AZ22" i="14"/>
  <c r="E531" i="14"/>
  <c r="E528" i="14"/>
  <c r="V188" i="14"/>
  <c r="E530" i="14"/>
  <c r="C209" i="14"/>
  <c r="C212" i="14"/>
  <c r="T78" i="14"/>
  <c r="C211" i="14"/>
  <c r="G470" i="14"/>
  <c r="G473" i="14"/>
  <c r="X168" i="14"/>
  <c r="G472" i="14"/>
  <c r="J583" i="14"/>
  <c r="AF35" i="14" s="1"/>
  <c r="C470" i="14"/>
  <c r="C473" i="14"/>
  <c r="C472" i="14"/>
  <c r="T168" i="14"/>
  <c r="J61" i="14"/>
  <c r="AF17" i="14" s="1"/>
  <c r="AY18" i="14"/>
  <c r="AY15" i="14"/>
  <c r="AX22" i="14"/>
  <c r="BC21" i="14"/>
  <c r="AX19" i="14"/>
  <c r="E96" i="14"/>
  <c r="E93" i="14"/>
  <c r="V38" i="14"/>
  <c r="E95" i="14"/>
  <c r="F498" i="14"/>
  <c r="W179" i="14" s="1"/>
  <c r="F93" i="14"/>
  <c r="F96" i="14"/>
  <c r="W38" i="14"/>
  <c r="F95" i="14"/>
  <c r="K171" i="14"/>
  <c r="P171" i="14" s="1"/>
  <c r="J171" i="14"/>
  <c r="T71" i="14" s="1"/>
  <c r="T70" i="14"/>
  <c r="E498" i="14"/>
  <c r="V179" i="14" s="1"/>
  <c r="F151" i="14"/>
  <c r="F154" i="14"/>
  <c r="W58" i="14"/>
  <c r="F153" i="14"/>
  <c r="D267" i="14"/>
  <c r="D270" i="14"/>
  <c r="U98" i="14"/>
  <c r="D269" i="14"/>
  <c r="BA19" i="14"/>
  <c r="BC16" i="14"/>
  <c r="AZ13" i="14"/>
  <c r="AZ23" i="14"/>
  <c r="AN105" i="12"/>
  <c r="AM105" i="12"/>
  <c r="AN106" i="12"/>
  <c r="AM106" i="12"/>
  <c r="BJ164" i="12"/>
  <c r="BM66" i="12" s="1"/>
  <c r="BL66" i="12"/>
  <c r="BL69" i="12" s="1"/>
  <c r="BL70" i="12" s="1"/>
  <c r="BL71" i="12" s="1"/>
  <c r="BJ59" i="12"/>
  <c r="BM41" i="12" s="1"/>
  <c r="AM103" i="12"/>
  <c r="AS117" i="12"/>
  <c r="J583" i="12"/>
  <c r="AF35" i="12" s="1"/>
  <c r="AA214" i="12"/>
  <c r="E585" i="12"/>
  <c r="V209" i="12" s="1"/>
  <c r="D559" i="12"/>
  <c r="D556" i="12" s="1"/>
  <c r="U199" i="12" s="1"/>
  <c r="U198" i="12"/>
  <c r="C559" i="12"/>
  <c r="G560" i="12"/>
  <c r="G556" i="12" s="1"/>
  <c r="X199" i="12" s="1"/>
  <c r="X198" i="12"/>
  <c r="G557" i="12"/>
  <c r="T198" i="12"/>
  <c r="C560" i="12"/>
  <c r="D530" i="12"/>
  <c r="D527" i="12" s="1"/>
  <c r="U189" i="12" s="1"/>
  <c r="U188" i="12"/>
  <c r="D528" i="12"/>
  <c r="AA194" i="12"/>
  <c r="D472" i="12"/>
  <c r="D469" i="12" s="1"/>
  <c r="U169" i="12" s="1"/>
  <c r="J432" i="12"/>
  <c r="T161" i="12" s="1"/>
  <c r="G444" i="12"/>
  <c r="D444" i="12"/>
  <c r="E443" i="12"/>
  <c r="E440" i="12" s="1"/>
  <c r="V159" i="12" s="1"/>
  <c r="G443" i="12"/>
  <c r="X158" i="12"/>
  <c r="E441" i="12"/>
  <c r="D443" i="12"/>
  <c r="U158" i="12"/>
  <c r="V158" i="12"/>
  <c r="W148" i="12"/>
  <c r="G414" i="12"/>
  <c r="G411" i="12" s="1"/>
  <c r="X149" i="12" s="1"/>
  <c r="X148" i="12"/>
  <c r="G412" i="12"/>
  <c r="E414" i="12"/>
  <c r="C412" i="12"/>
  <c r="F414" i="12"/>
  <c r="F411" i="12" s="1"/>
  <c r="W149" i="12" s="1"/>
  <c r="V148" i="12"/>
  <c r="F412" i="12"/>
  <c r="E415" i="12"/>
  <c r="C415" i="12"/>
  <c r="C386" i="12"/>
  <c r="V138" i="12"/>
  <c r="E383" i="12"/>
  <c r="AA144" i="12"/>
  <c r="C385" i="12"/>
  <c r="T138" i="12"/>
  <c r="C356" i="12"/>
  <c r="C354" i="12"/>
  <c r="D354" i="12"/>
  <c r="U128" i="12"/>
  <c r="D356" i="12"/>
  <c r="T128" i="12"/>
  <c r="C357" i="12"/>
  <c r="X118" i="12"/>
  <c r="G325" i="12"/>
  <c r="C296" i="12"/>
  <c r="T108" i="12"/>
  <c r="T100" i="12"/>
  <c r="K258" i="12"/>
  <c r="P258" i="12" s="1"/>
  <c r="J264" i="12" s="1"/>
  <c r="AF24" i="12" s="1"/>
  <c r="C267" i="12"/>
  <c r="W88" i="12"/>
  <c r="F240" i="12"/>
  <c r="F237" i="12" s="1"/>
  <c r="W89" i="12" s="1"/>
  <c r="D238" i="12"/>
  <c r="F238" i="12"/>
  <c r="U88" i="12"/>
  <c r="D241" i="12"/>
  <c r="D237" i="12" s="1"/>
  <c r="U89" i="12" s="1"/>
  <c r="E241" i="12"/>
  <c r="E240" i="12"/>
  <c r="V88" i="12"/>
  <c r="G211" i="12"/>
  <c r="G208" i="12" s="1"/>
  <c r="X79" i="12" s="1"/>
  <c r="X78" i="12"/>
  <c r="G209" i="12"/>
  <c r="D183" i="12"/>
  <c r="U68" i="12"/>
  <c r="D182" i="12"/>
  <c r="T281" i="12"/>
  <c r="W58" i="12"/>
  <c r="E153" i="12"/>
  <c r="E154" i="12"/>
  <c r="F153" i="12"/>
  <c r="E151" i="12"/>
  <c r="F154" i="12"/>
  <c r="F150" i="12" s="1"/>
  <c r="W59" i="12" s="1"/>
  <c r="W275" i="12"/>
  <c r="F122" i="12"/>
  <c r="F125" i="12"/>
  <c r="W48" i="12"/>
  <c r="F124" i="12"/>
  <c r="W38" i="12"/>
  <c r="X281" i="12"/>
  <c r="F96" i="12"/>
  <c r="F95" i="12"/>
  <c r="K87" i="12"/>
  <c r="P87" i="12" s="1"/>
  <c r="J90" i="12" s="1"/>
  <c r="AF18" i="12" s="1"/>
  <c r="J87" i="12"/>
  <c r="W41" i="12" s="1"/>
  <c r="W224" i="12" s="1"/>
  <c r="G93" i="12"/>
  <c r="D92" i="12"/>
  <c r="U39" i="12" s="1"/>
  <c r="G95" i="12"/>
  <c r="G96" i="12"/>
  <c r="D67" i="12"/>
  <c r="D64" i="12"/>
  <c r="D66" i="12"/>
  <c r="X28" i="12"/>
  <c r="G66" i="12"/>
  <c r="G67" i="12"/>
  <c r="F66" i="12"/>
  <c r="F64" i="12"/>
  <c r="W28" i="12"/>
  <c r="J496" i="12"/>
  <c r="AF32" i="12" s="1"/>
  <c r="T219" i="12"/>
  <c r="E382" i="12"/>
  <c r="V139" i="12" s="1"/>
  <c r="AA134" i="12"/>
  <c r="X224" i="12"/>
  <c r="AA124" i="12"/>
  <c r="J322" i="12"/>
  <c r="AF26" i="12" s="1"/>
  <c r="G324" i="12"/>
  <c r="X119" i="12" s="1"/>
  <c r="AA114" i="12"/>
  <c r="C295" i="12"/>
  <c r="T109" i="12" s="1"/>
  <c r="AA104" i="12"/>
  <c r="C269" i="12"/>
  <c r="C266" i="12" s="1"/>
  <c r="T99" i="12" s="1"/>
  <c r="T98" i="12"/>
  <c r="G237" i="12"/>
  <c r="X89" i="12" s="1"/>
  <c r="F179" i="12"/>
  <c r="W69" i="12" s="1"/>
  <c r="BB22" i="12"/>
  <c r="G183" i="12"/>
  <c r="G180" i="12"/>
  <c r="X68" i="12"/>
  <c r="G182" i="12"/>
  <c r="E179" i="12"/>
  <c r="V69" i="12" s="1"/>
  <c r="C153" i="12"/>
  <c r="C150" i="12" s="1"/>
  <c r="T59" i="12" s="1"/>
  <c r="T58" i="12"/>
  <c r="C151" i="12"/>
  <c r="U223" i="12"/>
  <c r="U224" i="12"/>
  <c r="U282" i="12"/>
  <c r="U283" i="12" s="1"/>
  <c r="X282" i="12"/>
  <c r="X283" i="12" s="1"/>
  <c r="E37" i="12"/>
  <c r="E34" i="12" s="1"/>
  <c r="V19" i="12" s="1"/>
  <c r="D38" i="12"/>
  <c r="J32" i="12"/>
  <c r="AF16" i="12" s="1"/>
  <c r="V18" i="12"/>
  <c r="Z275" i="12"/>
  <c r="AZ14" i="12"/>
  <c r="BC13" i="12"/>
  <c r="W223" i="12"/>
  <c r="BC16" i="12"/>
  <c r="C35" i="12"/>
  <c r="D35" i="12"/>
  <c r="T18" i="12"/>
  <c r="X18" i="12"/>
  <c r="C37" i="12"/>
  <c r="C34" i="12" s="1"/>
  <c r="T19" i="12" s="1"/>
  <c r="D37" i="12"/>
  <c r="F37" i="12"/>
  <c r="W18" i="12"/>
  <c r="F35" i="12"/>
  <c r="G37" i="12"/>
  <c r="G38" i="12"/>
  <c r="J380" i="12"/>
  <c r="AF28" i="12" s="1"/>
  <c r="AS100" i="12"/>
  <c r="D415" i="12"/>
  <c r="D412" i="12"/>
  <c r="U148" i="12"/>
  <c r="D414" i="12"/>
  <c r="E531" i="12"/>
  <c r="E528" i="12"/>
  <c r="V188" i="12"/>
  <c r="E530" i="12"/>
  <c r="AZ16" i="12"/>
  <c r="BB14" i="12"/>
  <c r="AY21" i="12"/>
  <c r="AZ19" i="12"/>
  <c r="BA17" i="12"/>
  <c r="C444" i="12"/>
  <c r="C441" i="12"/>
  <c r="T158" i="12"/>
  <c r="C443" i="12"/>
  <c r="F444" i="12"/>
  <c r="F441" i="12"/>
  <c r="W158" i="12"/>
  <c r="F443" i="12"/>
  <c r="K229" i="12"/>
  <c r="J229" i="12"/>
  <c r="T91" i="12" s="1"/>
  <c r="T90" i="12"/>
  <c r="G498" i="12"/>
  <c r="X179" i="12" s="1"/>
  <c r="U281" i="12"/>
  <c r="BB17" i="12"/>
  <c r="AZ15" i="12"/>
  <c r="BA22" i="12"/>
  <c r="BB13" i="12"/>
  <c r="BA20" i="12"/>
  <c r="AX17" i="12"/>
  <c r="F354" i="12"/>
  <c r="F357" i="12"/>
  <c r="W128" i="12"/>
  <c r="F356" i="12"/>
  <c r="D328" i="12"/>
  <c r="D325" i="12"/>
  <c r="U118" i="12"/>
  <c r="D327" i="12"/>
  <c r="AO103" i="12"/>
  <c r="AO106" i="12"/>
  <c r="AO111" i="12"/>
  <c r="AO105" i="12"/>
  <c r="C589" i="12"/>
  <c r="C586" i="12"/>
  <c r="C588" i="12"/>
  <c r="T208" i="12"/>
  <c r="G473" i="12"/>
  <c r="G470" i="12"/>
  <c r="X168" i="12"/>
  <c r="G472" i="12"/>
  <c r="G267" i="12"/>
  <c r="G270" i="12"/>
  <c r="X98" i="12"/>
  <c r="G269" i="12"/>
  <c r="C470" i="12"/>
  <c r="C473" i="12"/>
  <c r="T168" i="12"/>
  <c r="C472" i="12"/>
  <c r="G299" i="12"/>
  <c r="G296" i="12"/>
  <c r="X108" i="12"/>
  <c r="G298" i="12"/>
  <c r="E212" i="12"/>
  <c r="E209" i="12"/>
  <c r="E211" i="12"/>
  <c r="V78" i="12"/>
  <c r="AX22" i="12"/>
  <c r="BB16" i="12"/>
  <c r="BC15" i="12"/>
  <c r="BB21" i="12"/>
  <c r="AZ18" i="12"/>
  <c r="E64" i="12"/>
  <c r="E67" i="12"/>
  <c r="V28" i="12"/>
  <c r="E66" i="12"/>
  <c r="F328" i="12"/>
  <c r="F325" i="12"/>
  <c r="F327" i="12"/>
  <c r="W118" i="12"/>
  <c r="V282" i="12"/>
  <c r="V283" i="12" s="1"/>
  <c r="V224" i="12"/>
  <c r="AA174" i="12"/>
  <c r="J61" i="12"/>
  <c r="AF17" i="12" s="1"/>
  <c r="AX21" i="12"/>
  <c r="AY19" i="12"/>
  <c r="AY23" i="12"/>
  <c r="BB19" i="12"/>
  <c r="F386" i="12"/>
  <c r="F383" i="12"/>
  <c r="W138" i="12"/>
  <c r="F385" i="12"/>
  <c r="J554" i="12"/>
  <c r="AF34" i="12" s="1"/>
  <c r="V34" i="12"/>
  <c r="V232" i="12" s="1"/>
  <c r="V219" i="12"/>
  <c r="V275" i="12"/>
  <c r="AA184" i="12"/>
  <c r="W291" i="12"/>
  <c r="W292" i="12" s="1"/>
  <c r="W290" i="12"/>
  <c r="W227" i="12"/>
  <c r="AA24" i="12"/>
  <c r="D299" i="12"/>
  <c r="D296" i="12"/>
  <c r="U108" i="12"/>
  <c r="D298" i="12"/>
  <c r="J177" i="12"/>
  <c r="AF21" i="12" s="1"/>
  <c r="AX13" i="12"/>
  <c r="AZ22" i="12"/>
  <c r="BC18" i="12"/>
  <c r="AZ20" i="12"/>
  <c r="BC20" i="12"/>
  <c r="J148" i="12"/>
  <c r="AF20" i="12" s="1"/>
  <c r="G154" i="12"/>
  <c r="G151" i="12"/>
  <c r="X58" i="12"/>
  <c r="G153" i="12"/>
  <c r="E502" i="12"/>
  <c r="E499" i="12"/>
  <c r="V178" i="12"/>
  <c r="E501" i="12"/>
  <c r="E470" i="12"/>
  <c r="E473" i="12"/>
  <c r="V168" i="12"/>
  <c r="E472" i="12"/>
  <c r="D383" i="12"/>
  <c r="D386" i="12"/>
  <c r="D385" i="12"/>
  <c r="U138" i="12"/>
  <c r="C499" i="12"/>
  <c r="C502" i="12"/>
  <c r="T178" i="12"/>
  <c r="C501" i="12"/>
  <c r="W219" i="12"/>
  <c r="X223" i="12"/>
  <c r="V223" i="12"/>
  <c r="V281" i="12"/>
  <c r="AX14" i="12"/>
  <c r="BA14" i="12"/>
  <c r="BA13" i="12"/>
  <c r="BA21" i="12"/>
  <c r="BA23" i="12"/>
  <c r="C528" i="12"/>
  <c r="C531" i="12"/>
  <c r="T188" i="12"/>
  <c r="C530" i="12"/>
  <c r="K345" i="12"/>
  <c r="P345" i="12" s="1"/>
  <c r="J351" i="12" s="1"/>
  <c r="AF27" i="12" s="1"/>
  <c r="J345" i="12"/>
  <c r="T131" i="12" s="1"/>
  <c r="T130" i="12"/>
  <c r="X64" i="12"/>
  <c r="X235" i="12" s="1"/>
  <c r="X275" i="12"/>
  <c r="X219" i="12"/>
  <c r="K519" i="12"/>
  <c r="P519" i="12" s="1"/>
  <c r="J525" i="12" s="1"/>
  <c r="AF33" i="12" s="1"/>
  <c r="J519" i="12"/>
  <c r="T191" i="12" s="1"/>
  <c r="T190" i="12"/>
  <c r="AL102" i="12"/>
  <c r="AL112" i="12" s="1"/>
  <c r="E557" i="12"/>
  <c r="E560" i="12"/>
  <c r="V198" i="12"/>
  <c r="E559" i="12"/>
  <c r="D589" i="12"/>
  <c r="D586" i="12"/>
  <c r="U208" i="12"/>
  <c r="D588" i="12"/>
  <c r="G386" i="12"/>
  <c r="G383" i="12"/>
  <c r="G385" i="12"/>
  <c r="X138" i="12"/>
  <c r="D267" i="12"/>
  <c r="D270" i="12"/>
  <c r="U98" i="12"/>
  <c r="D269" i="12"/>
  <c r="F502" i="12"/>
  <c r="F499" i="12"/>
  <c r="W178" i="12"/>
  <c r="F501" i="12"/>
  <c r="AX16" i="12"/>
  <c r="AY15" i="12"/>
  <c r="AY16" i="12"/>
  <c r="BB15" i="12"/>
  <c r="BC22" i="12"/>
  <c r="AY18" i="12"/>
  <c r="D498" i="12"/>
  <c r="U179" i="12" s="1"/>
  <c r="C96" i="12"/>
  <c r="C93" i="12"/>
  <c r="C95" i="12"/>
  <c r="T38" i="12"/>
  <c r="D151" i="12"/>
  <c r="D154" i="12"/>
  <c r="U58" i="12"/>
  <c r="U278" i="12" s="1"/>
  <c r="D153" i="12"/>
  <c r="C241" i="12"/>
  <c r="C238" i="12"/>
  <c r="T88" i="12"/>
  <c r="C240" i="12"/>
  <c r="AP105" i="12"/>
  <c r="AP106" i="12"/>
  <c r="AP111" i="12"/>
  <c r="AP103" i="12"/>
  <c r="C180" i="12"/>
  <c r="C183" i="12"/>
  <c r="T68" i="12"/>
  <c r="C182" i="12"/>
  <c r="AZ17" i="12"/>
  <c r="BA16" i="12"/>
  <c r="AZ13" i="12"/>
  <c r="AX19" i="12"/>
  <c r="AX23" i="12"/>
  <c r="BA19" i="12"/>
  <c r="AY17" i="12"/>
  <c r="K403" i="12"/>
  <c r="P403" i="12" s="1"/>
  <c r="J409" i="12" s="1"/>
  <c r="AF29" i="12" s="1"/>
  <c r="J403" i="12"/>
  <c r="T151" i="12" s="1"/>
  <c r="T150" i="12"/>
  <c r="T44" i="12"/>
  <c r="T233" i="12" s="1"/>
  <c r="T275" i="12"/>
  <c r="F63" i="12"/>
  <c r="W29" i="12" s="1"/>
  <c r="U64" i="12"/>
  <c r="U235" i="12" s="1"/>
  <c r="U219" i="12"/>
  <c r="F560" i="12"/>
  <c r="F557" i="12"/>
  <c r="W198" i="12"/>
  <c r="F559" i="12"/>
  <c r="E96" i="12"/>
  <c r="E93" i="12"/>
  <c r="V38" i="12"/>
  <c r="E95" i="12"/>
  <c r="C64" i="12"/>
  <c r="C67" i="12"/>
  <c r="T28" i="12"/>
  <c r="C66" i="12"/>
  <c r="G528" i="12"/>
  <c r="G531" i="12"/>
  <c r="X188" i="12"/>
  <c r="G530" i="12"/>
  <c r="BL41" i="12"/>
  <c r="BL44" i="12" s="1"/>
  <c r="BL45" i="12" s="1"/>
  <c r="BL46" i="12" s="1"/>
  <c r="BB18" i="12"/>
  <c r="BC17" i="12"/>
  <c r="BC14" i="12"/>
  <c r="AY20" i="12"/>
  <c r="BB20" i="12"/>
  <c r="BA18" i="12"/>
  <c r="F267" i="12"/>
  <c r="F270" i="12"/>
  <c r="W98" i="12"/>
  <c r="F269" i="12"/>
  <c r="E328" i="12"/>
  <c r="E325" i="12"/>
  <c r="V118" i="12"/>
  <c r="E327" i="12"/>
  <c r="J287" i="12"/>
  <c r="T111" i="12" s="1"/>
  <c r="K287" i="12"/>
  <c r="P287" i="12" s="1"/>
  <c r="J293" i="12" s="1"/>
  <c r="AF25" i="12" s="1"/>
  <c r="T110" i="12"/>
  <c r="G589" i="12"/>
  <c r="G586" i="12"/>
  <c r="X208" i="12"/>
  <c r="G588" i="12"/>
  <c r="G354" i="12"/>
  <c r="G357" i="12"/>
  <c r="G356" i="12"/>
  <c r="G353" i="12" s="1"/>
  <c r="X129" i="12" s="1"/>
  <c r="X128" i="12"/>
  <c r="BC23" i="12"/>
  <c r="AY22" i="12"/>
  <c r="BA15" i="12"/>
  <c r="AZ21" i="12"/>
  <c r="AY14" i="12"/>
  <c r="BC21" i="12"/>
  <c r="BC19" i="12"/>
  <c r="C212" i="12"/>
  <c r="C211" i="12"/>
  <c r="C209" i="12"/>
  <c r="T78" i="12"/>
  <c r="J467" i="12"/>
  <c r="AF31" i="12" s="1"/>
  <c r="W281" i="12"/>
  <c r="F531" i="12"/>
  <c r="F528" i="12"/>
  <c r="F530" i="12"/>
  <c r="W188" i="12"/>
  <c r="C414" i="12"/>
  <c r="AZ23" i="12"/>
  <c r="BB23" i="12"/>
  <c r="D209" i="12"/>
  <c r="D212" i="12"/>
  <c r="U78" i="12"/>
  <c r="D211" i="12"/>
  <c r="D34" i="12"/>
  <c r="U19" i="12" s="1"/>
  <c r="F469" i="12"/>
  <c r="W169" i="12" s="1"/>
  <c r="E299" i="12"/>
  <c r="E296" i="12"/>
  <c r="V108" i="12"/>
  <c r="E298" i="12"/>
  <c r="E270" i="12"/>
  <c r="E267" i="12"/>
  <c r="E269" i="12"/>
  <c r="V98" i="12"/>
  <c r="D353" i="12"/>
  <c r="U129" i="12" s="1"/>
  <c r="AA84" i="12"/>
  <c r="AX15" i="12"/>
  <c r="AY13" i="12"/>
  <c r="AX20" i="12"/>
  <c r="AX18" i="12"/>
  <c r="F299" i="12"/>
  <c r="F296" i="12"/>
  <c r="W108" i="12"/>
  <c r="F298" i="12"/>
  <c r="F209" i="12"/>
  <c r="F212" i="12"/>
  <c r="W78" i="12"/>
  <c r="F211" i="12"/>
  <c r="E354" i="12"/>
  <c r="E357" i="12"/>
  <c r="V128" i="12"/>
  <c r="E356" i="12"/>
  <c r="C121" i="12"/>
  <c r="T49" i="12" s="1"/>
  <c r="C325" i="12"/>
  <c r="C328" i="12"/>
  <c r="T118" i="12"/>
  <c r="C327" i="12"/>
  <c r="F34" i="12"/>
  <c r="W19" i="12" s="1"/>
  <c r="F589" i="12"/>
  <c r="F586" i="12"/>
  <c r="W208" i="12"/>
  <c r="F588" i="12"/>
  <c r="AP105" i="9"/>
  <c r="AP102" i="9" s="1"/>
  <c r="AP112" i="9" s="1"/>
  <c r="AP103" i="9"/>
  <c r="AL102" i="9"/>
  <c r="AL112" i="9" s="1"/>
  <c r="BL64" i="9"/>
  <c r="BI263" i="9" s="1"/>
  <c r="BL39" i="9"/>
  <c r="BI57" i="9" s="1"/>
  <c r="AS117" i="9"/>
  <c r="AM102" i="9"/>
  <c r="AM112" i="9" s="1"/>
  <c r="E9" i="27" s="1"/>
  <c r="AA83" i="9"/>
  <c r="O202" i="9"/>
  <c r="O204" i="9"/>
  <c r="O203" i="9"/>
  <c r="O201" i="9"/>
  <c r="O200" i="9"/>
  <c r="AA203" i="9"/>
  <c r="O550" i="9"/>
  <c r="O552" i="9"/>
  <c r="O551" i="9"/>
  <c r="O549" i="9"/>
  <c r="O548" i="9"/>
  <c r="AA193" i="9"/>
  <c r="O522" i="9"/>
  <c r="O521" i="9"/>
  <c r="G521" i="9" s="1"/>
  <c r="O520" i="9"/>
  <c r="O519" i="9"/>
  <c r="O523" i="9"/>
  <c r="AA183" i="9"/>
  <c r="O494" i="9"/>
  <c r="O493" i="9"/>
  <c r="O491" i="9"/>
  <c r="O492" i="9"/>
  <c r="O490" i="9"/>
  <c r="AA173" i="9"/>
  <c r="O465" i="9"/>
  <c r="O464" i="9"/>
  <c r="O463" i="9"/>
  <c r="F463" i="9" s="1"/>
  <c r="O462" i="9"/>
  <c r="O461" i="9"/>
  <c r="AA73" i="9"/>
  <c r="O174" i="9"/>
  <c r="E174" i="9" s="1"/>
  <c r="O173" i="9"/>
  <c r="E173" i="9" s="1"/>
  <c r="O172" i="9"/>
  <c r="E172" i="9" s="1"/>
  <c r="O171" i="9"/>
  <c r="E171" i="9" s="1"/>
  <c r="O175" i="9"/>
  <c r="AA163" i="9"/>
  <c r="O432" i="9"/>
  <c r="O433" i="9"/>
  <c r="G433" i="9" s="1"/>
  <c r="O436" i="9"/>
  <c r="O435" i="9"/>
  <c r="C435" i="9" s="1"/>
  <c r="O434" i="9"/>
  <c r="G434" i="9" s="1"/>
  <c r="AA123" i="9"/>
  <c r="O320" i="9"/>
  <c r="F320" i="9" s="1"/>
  <c r="O319" i="9"/>
  <c r="E319" i="9" s="1"/>
  <c r="O318" i="9"/>
  <c r="G318" i="9" s="1"/>
  <c r="O317" i="9"/>
  <c r="AA33" i="9"/>
  <c r="O59" i="9"/>
  <c r="O58" i="9"/>
  <c r="O57" i="9"/>
  <c r="O56" i="9"/>
  <c r="O55" i="9"/>
  <c r="AA153" i="9"/>
  <c r="O407" i="9"/>
  <c r="O406" i="9"/>
  <c r="O405" i="9"/>
  <c r="O404" i="9"/>
  <c r="O403" i="9"/>
  <c r="AN103" i="9"/>
  <c r="AN111" i="9"/>
  <c r="F8" i="27" s="1"/>
  <c r="AN105" i="9"/>
  <c r="AN106" i="9"/>
  <c r="AA143" i="9"/>
  <c r="O376" i="9"/>
  <c r="O375" i="9"/>
  <c r="O374" i="9"/>
  <c r="G374" i="9" s="1"/>
  <c r="O378" i="9"/>
  <c r="O377" i="9"/>
  <c r="AO111" i="9"/>
  <c r="AO105" i="9"/>
  <c r="AO103" i="9"/>
  <c r="AO106" i="9"/>
  <c r="AA63" i="9"/>
  <c r="O146" i="9"/>
  <c r="O145" i="9"/>
  <c r="O144" i="9"/>
  <c r="O143" i="9"/>
  <c r="O142" i="9"/>
  <c r="AA133" i="9"/>
  <c r="O349" i="9"/>
  <c r="C349" i="9" s="1"/>
  <c r="O348" i="9"/>
  <c r="F348" i="9" s="1"/>
  <c r="O347" i="9"/>
  <c r="G347" i="9" s="1"/>
  <c r="O346" i="9"/>
  <c r="D346" i="9" s="1"/>
  <c r="O345" i="9"/>
  <c r="AA53" i="9"/>
  <c r="O117" i="9"/>
  <c r="O116" i="9"/>
  <c r="O115" i="9"/>
  <c r="F115" i="9" s="1"/>
  <c r="O114" i="9"/>
  <c r="O113" i="9"/>
  <c r="AA43" i="9"/>
  <c r="O84" i="9"/>
  <c r="O88" i="9"/>
  <c r="D88" i="9" s="1"/>
  <c r="O87" i="9"/>
  <c r="G87" i="9" s="1"/>
  <c r="O86" i="9"/>
  <c r="O85" i="9"/>
  <c r="AA113" i="9"/>
  <c r="O289" i="9"/>
  <c r="O288" i="9"/>
  <c r="O287" i="9"/>
  <c r="O291" i="9"/>
  <c r="O290" i="9"/>
  <c r="G290" i="9" s="1"/>
  <c r="AA103" i="9"/>
  <c r="O258" i="9"/>
  <c r="C258" i="9" s="1"/>
  <c r="O262" i="9"/>
  <c r="E262" i="9" s="1"/>
  <c r="O261" i="9"/>
  <c r="O260" i="9"/>
  <c r="G260" i="9" s="1"/>
  <c r="O259" i="9"/>
  <c r="E259" i="9" s="1"/>
  <c r="O28" i="9"/>
  <c r="O27" i="9"/>
  <c r="O26" i="9"/>
  <c r="O30" i="9"/>
  <c r="G30" i="9" s="1"/>
  <c r="O29" i="9"/>
  <c r="C29" i="9" s="1"/>
  <c r="AA93" i="9"/>
  <c r="O230" i="9"/>
  <c r="O229" i="9"/>
  <c r="O233" i="9"/>
  <c r="E233" i="9" s="1"/>
  <c r="O232" i="9"/>
  <c r="O231" i="9"/>
  <c r="E231" i="9" s="1"/>
  <c r="AA213" i="9"/>
  <c r="O578" i="9"/>
  <c r="E578" i="9" s="1"/>
  <c r="O577" i="9"/>
  <c r="O581" i="9"/>
  <c r="F581" i="9" s="1"/>
  <c r="O580" i="9"/>
  <c r="O579" i="9"/>
  <c r="E579" i="9" s="1"/>
  <c r="W226" i="9"/>
  <c r="U226" i="9"/>
  <c r="T226" i="9"/>
  <c r="X226" i="9"/>
  <c r="V226" i="9"/>
  <c r="AA23" i="9"/>
  <c r="K131" i="9"/>
  <c r="D587" i="9"/>
  <c r="I567" i="9"/>
  <c r="J567" i="9" s="1"/>
  <c r="D398" i="9"/>
  <c r="D399" i="9" s="1"/>
  <c r="K392" i="9"/>
  <c r="K394" i="9"/>
  <c r="D123" i="9"/>
  <c r="I222" i="9"/>
  <c r="J222" i="9" s="1"/>
  <c r="L493" i="9"/>
  <c r="D311" i="9"/>
  <c r="D312" i="9" s="1"/>
  <c r="C471" i="9"/>
  <c r="I161" i="9"/>
  <c r="J161" i="9" s="1"/>
  <c r="F123" i="9"/>
  <c r="T288" i="9"/>
  <c r="T289" i="9" s="1"/>
  <c r="K162" i="9"/>
  <c r="G181" i="9"/>
  <c r="C210" i="9"/>
  <c r="E543" i="9"/>
  <c r="N539" i="9" s="1"/>
  <c r="V202" i="9" s="1"/>
  <c r="H223" i="9"/>
  <c r="I224" i="9" s="1"/>
  <c r="AD23" i="9" s="1"/>
  <c r="K164" i="9"/>
  <c r="K190" i="9"/>
  <c r="C558" i="9"/>
  <c r="C398" i="9"/>
  <c r="C399" i="9" s="1"/>
  <c r="F398" i="9"/>
  <c r="F399" i="9" s="1"/>
  <c r="K538" i="9"/>
  <c r="I249" i="9"/>
  <c r="J249" i="9" s="1"/>
  <c r="G398" i="9"/>
  <c r="G399" i="9" s="1"/>
  <c r="C427" i="9"/>
  <c r="C428" i="9" s="1"/>
  <c r="I452" i="9"/>
  <c r="J452" i="9" s="1"/>
  <c r="K393" i="9"/>
  <c r="F543" i="9"/>
  <c r="F544" i="9" s="1"/>
  <c r="D210" i="9"/>
  <c r="G340" i="9"/>
  <c r="G341" i="9" s="1"/>
  <c r="D427" i="9"/>
  <c r="D428" i="9" s="1"/>
  <c r="D471" i="9"/>
  <c r="F210" i="9"/>
  <c r="E94" i="9"/>
  <c r="D282" i="9"/>
  <c r="D283" i="9" s="1"/>
  <c r="D514" i="9"/>
  <c r="D515" i="9" s="1"/>
  <c r="E427" i="9"/>
  <c r="E428" i="9" s="1"/>
  <c r="K45" i="9"/>
  <c r="C514" i="9"/>
  <c r="C515" i="9" s="1"/>
  <c r="I247" i="9"/>
  <c r="J247" i="9" s="1"/>
  <c r="K75" i="9"/>
  <c r="L114" i="9"/>
  <c r="K193" i="9"/>
  <c r="K508" i="9"/>
  <c r="L519" i="9"/>
  <c r="G558" i="9"/>
  <c r="I104" i="9"/>
  <c r="J104" i="9" s="1"/>
  <c r="I162" i="9"/>
  <c r="J162" i="9" s="1"/>
  <c r="C282" i="9"/>
  <c r="C283" i="9" s="1"/>
  <c r="K192" i="9"/>
  <c r="I75" i="9"/>
  <c r="J75" i="9" s="1"/>
  <c r="K102" i="9"/>
  <c r="L117" i="9"/>
  <c r="K277" i="9"/>
  <c r="K338" i="9"/>
  <c r="K509" i="9"/>
  <c r="K566" i="9"/>
  <c r="C6" i="9"/>
  <c r="E6" i="9" s="1"/>
  <c r="K161" i="9"/>
  <c r="K278" i="9"/>
  <c r="F297" i="9"/>
  <c r="C311" i="9"/>
  <c r="C312" i="9" s="1"/>
  <c r="K483" i="9"/>
  <c r="L522" i="9"/>
  <c r="K306" i="9"/>
  <c r="H107" i="9"/>
  <c r="I108" i="9" s="1"/>
  <c r="AD19" i="9" s="1"/>
  <c r="I568" i="9"/>
  <c r="J568" i="9" s="1"/>
  <c r="K568" i="9"/>
  <c r="H571" i="9"/>
  <c r="I572" i="9" s="1"/>
  <c r="AD35" i="9" s="1"/>
  <c r="E587" i="9"/>
  <c r="C544" i="9"/>
  <c r="N537" i="9"/>
  <c r="T202" i="9" s="1"/>
  <c r="I248" i="9"/>
  <c r="J248" i="9" s="1"/>
  <c r="B9" i="9"/>
  <c r="C21" i="9"/>
  <c r="C22" i="9" s="1"/>
  <c r="G123" i="9"/>
  <c r="G152" i="9"/>
  <c r="I160" i="9"/>
  <c r="J160" i="9" s="1"/>
  <c r="L175" i="9"/>
  <c r="F224" i="9"/>
  <c r="N221" i="9" s="1"/>
  <c r="H252" i="9"/>
  <c r="I253" i="9" s="1"/>
  <c r="AD24" i="9" s="1"/>
  <c r="L288" i="9"/>
  <c r="I422" i="9"/>
  <c r="J422" i="9" s="1"/>
  <c r="F427" i="9"/>
  <c r="F428" i="9" s="1"/>
  <c r="K482" i="9"/>
  <c r="L494" i="9"/>
  <c r="E514" i="9"/>
  <c r="L520" i="9"/>
  <c r="L548" i="9"/>
  <c r="I566" i="9"/>
  <c r="J566" i="9" s="1"/>
  <c r="L577" i="9"/>
  <c r="K191" i="9"/>
  <c r="I105" i="9"/>
  <c r="N105" i="9" s="1"/>
  <c r="W52" i="9" s="1"/>
  <c r="G94" i="9"/>
  <c r="K221" i="9"/>
  <c r="D253" i="9"/>
  <c r="D254" i="9" s="1"/>
  <c r="K280" i="9"/>
  <c r="L289" i="9"/>
  <c r="K307" i="9"/>
  <c r="L316" i="9"/>
  <c r="K367" i="9"/>
  <c r="K424" i="9"/>
  <c r="K511" i="9"/>
  <c r="G514" i="9"/>
  <c r="G515" i="9" s="1"/>
  <c r="L549" i="9"/>
  <c r="K46" i="9"/>
  <c r="C166" i="9"/>
  <c r="F181" i="9"/>
  <c r="C239" i="9"/>
  <c r="K250" i="9"/>
  <c r="E253" i="9"/>
  <c r="E254" i="9" s="1"/>
  <c r="I483" i="9"/>
  <c r="J483" i="9" s="1"/>
  <c r="G500" i="9"/>
  <c r="K160" i="9"/>
  <c r="G224" i="9"/>
  <c r="G225" i="9" s="1"/>
  <c r="H368" i="9"/>
  <c r="I369" i="9" s="1"/>
  <c r="AD28" i="9" s="1"/>
  <c r="L404" i="9"/>
  <c r="F514" i="9"/>
  <c r="D166" i="9"/>
  <c r="D167" i="9" s="1"/>
  <c r="L202" i="9"/>
  <c r="E239" i="9"/>
  <c r="F253" i="9"/>
  <c r="F254" i="9" s="1"/>
  <c r="G326" i="9"/>
  <c r="K336" i="9"/>
  <c r="G384" i="9"/>
  <c r="H513" i="9"/>
  <c r="I514" i="9" s="1"/>
  <c r="AD33" i="9" s="1"/>
  <c r="F94" i="9"/>
  <c r="C253" i="9"/>
  <c r="C254" i="9" s="1"/>
  <c r="L57" i="9"/>
  <c r="C108" i="9"/>
  <c r="C109" i="9" s="1"/>
  <c r="H194" i="9"/>
  <c r="I195" i="9" s="1"/>
  <c r="AD22" i="9" s="1"/>
  <c r="L204" i="9"/>
  <c r="K222" i="9"/>
  <c r="I251" i="9"/>
  <c r="J251" i="9" s="1"/>
  <c r="G253" i="9"/>
  <c r="G254" i="9" s="1"/>
  <c r="L291" i="9"/>
  <c r="L432" i="9"/>
  <c r="F465" i="9"/>
  <c r="I508" i="9"/>
  <c r="J508" i="9" s="1"/>
  <c r="I538" i="9"/>
  <c r="J538" i="9" s="1"/>
  <c r="D551" i="9"/>
  <c r="K567" i="9"/>
  <c r="K17" i="9"/>
  <c r="K251" i="9"/>
  <c r="L317" i="9"/>
  <c r="D543" i="9"/>
  <c r="D544" i="9" s="1"/>
  <c r="H339" i="9"/>
  <c r="I340" i="9" s="1"/>
  <c r="AD27" i="9" s="1"/>
  <c r="H397" i="9"/>
  <c r="I398" i="9" s="1"/>
  <c r="AD29" i="9" s="1"/>
  <c r="K276" i="9"/>
  <c r="I336" i="9"/>
  <c r="J336" i="9" s="1"/>
  <c r="I509" i="9"/>
  <c r="J509" i="9" s="1"/>
  <c r="G297" i="9"/>
  <c r="K247" i="9"/>
  <c r="I277" i="9"/>
  <c r="J277" i="9" s="1"/>
  <c r="K421" i="9"/>
  <c r="L287" i="9"/>
  <c r="I337" i="9"/>
  <c r="J337" i="9" s="1"/>
  <c r="I364" i="9"/>
  <c r="J364" i="9" s="1"/>
  <c r="K510" i="9"/>
  <c r="K540" i="9"/>
  <c r="K219" i="9"/>
  <c r="K248" i="9"/>
  <c r="K305" i="9"/>
  <c r="K337" i="9"/>
  <c r="G375" i="9"/>
  <c r="F485" i="9"/>
  <c r="F486" i="9" s="1"/>
  <c r="I510" i="9"/>
  <c r="J510" i="9" s="1"/>
  <c r="H542" i="9"/>
  <c r="I543" i="9" s="1"/>
  <c r="AD34" i="9" s="1"/>
  <c r="K569" i="9"/>
  <c r="G312" i="9"/>
  <c r="J481" i="9"/>
  <c r="N481" i="9"/>
  <c r="V182" i="9" s="1"/>
  <c r="L464" i="9"/>
  <c r="K453" i="9"/>
  <c r="I453" i="9"/>
  <c r="J453" i="9" s="1"/>
  <c r="I308" i="9"/>
  <c r="J308" i="9" s="1"/>
  <c r="K308" i="9"/>
  <c r="H310" i="9"/>
  <c r="I311" i="9" s="1"/>
  <c r="AD26" i="9" s="1"/>
  <c r="K334" i="9"/>
  <c r="I363" i="9"/>
  <c r="J363" i="9" s="1"/>
  <c r="F384" i="9"/>
  <c r="I394" i="9"/>
  <c r="J394" i="9" s="1"/>
  <c r="L405" i="9"/>
  <c r="K422" i="9"/>
  <c r="E573" i="9"/>
  <c r="L461" i="9"/>
  <c r="H455" i="9"/>
  <c r="I456" i="9" s="1"/>
  <c r="AD31" i="9" s="1"/>
  <c r="I309" i="9"/>
  <c r="J309" i="9" s="1"/>
  <c r="L345" i="9"/>
  <c r="D355" i="9"/>
  <c r="K395" i="9"/>
  <c r="I450" i="9"/>
  <c r="J450" i="9" s="1"/>
  <c r="D573" i="9"/>
  <c r="I335" i="9"/>
  <c r="J335" i="9" s="1"/>
  <c r="F311" i="9"/>
  <c r="E355" i="9"/>
  <c r="E500" i="9"/>
  <c r="C369" i="9"/>
  <c r="C384" i="9"/>
  <c r="E311" i="9"/>
  <c r="I307" i="9"/>
  <c r="J307" i="9" s="1"/>
  <c r="K309" i="9"/>
  <c r="K335" i="9"/>
  <c r="I338" i="9"/>
  <c r="J338" i="9" s="1"/>
  <c r="F355" i="9"/>
  <c r="L376" i="9"/>
  <c r="K396" i="9"/>
  <c r="L407" i="9"/>
  <c r="I396" i="9"/>
  <c r="K450" i="9"/>
  <c r="I392" i="9"/>
  <c r="J392" i="9" s="1"/>
  <c r="L403" i="9"/>
  <c r="L436" i="9"/>
  <c r="K425" i="9"/>
  <c r="K451" i="9"/>
  <c r="L462" i="9"/>
  <c r="I451" i="9"/>
  <c r="J451" i="9" s="1"/>
  <c r="G486" i="9"/>
  <c r="K423" i="9"/>
  <c r="I423" i="9"/>
  <c r="J423" i="9" s="1"/>
  <c r="K365" i="9"/>
  <c r="E369" i="9"/>
  <c r="I425" i="9"/>
  <c r="J425" i="9" s="1"/>
  <c r="C355" i="9"/>
  <c r="C340" i="9"/>
  <c r="E456" i="9"/>
  <c r="E471" i="9"/>
  <c r="H484" i="9"/>
  <c r="I485" i="9" s="1"/>
  <c r="AD32" i="9" s="1"/>
  <c r="K479" i="9"/>
  <c r="I479" i="9"/>
  <c r="J479" i="9" s="1"/>
  <c r="L377" i="9"/>
  <c r="K366" i="9"/>
  <c r="I366" i="9"/>
  <c r="J366" i="9" s="1"/>
  <c r="D370" i="9"/>
  <c r="F456" i="9"/>
  <c r="F471" i="9"/>
  <c r="K480" i="9"/>
  <c r="L491" i="9"/>
  <c r="I480" i="9"/>
  <c r="L490" i="9"/>
  <c r="G442" i="9"/>
  <c r="L523" i="9"/>
  <c r="I512" i="9"/>
  <c r="J512" i="9" s="1"/>
  <c r="K541" i="9"/>
  <c r="L552" i="9"/>
  <c r="K363" i="9"/>
  <c r="I367" i="9"/>
  <c r="J367" i="9" s="1"/>
  <c r="L378" i="9"/>
  <c r="D384" i="9"/>
  <c r="L406" i="9"/>
  <c r="E413" i="9"/>
  <c r="K452" i="9"/>
  <c r="C457" i="9"/>
  <c r="L492" i="9"/>
  <c r="K481" i="9"/>
  <c r="K512" i="9"/>
  <c r="I541" i="9"/>
  <c r="J541" i="9" s="1"/>
  <c r="K539" i="9"/>
  <c r="C572" i="9"/>
  <c r="F587" i="9"/>
  <c r="K570" i="9"/>
  <c r="G587" i="9"/>
  <c r="K364" i="9"/>
  <c r="K454" i="9"/>
  <c r="G471" i="9"/>
  <c r="C500" i="9"/>
  <c r="I540" i="9"/>
  <c r="J540" i="9" s="1"/>
  <c r="I570" i="9"/>
  <c r="J570" i="9" s="1"/>
  <c r="I424" i="9"/>
  <c r="J424" i="9" s="1"/>
  <c r="I454" i="9"/>
  <c r="J454" i="9" s="1"/>
  <c r="D500" i="9"/>
  <c r="K537" i="9"/>
  <c r="H426" i="9"/>
  <c r="I427" i="9" s="1"/>
  <c r="AD30" i="9" s="1"/>
  <c r="L550" i="9"/>
  <c r="L580" i="9"/>
  <c r="I569" i="9"/>
  <c r="J569" i="9" s="1"/>
  <c r="E196" i="9"/>
  <c r="N191" i="9"/>
  <c r="C196" i="9"/>
  <c r="D196" i="9"/>
  <c r="F167" i="9"/>
  <c r="G167" i="9"/>
  <c r="F196" i="9"/>
  <c r="J250" i="9"/>
  <c r="C225" i="9"/>
  <c r="D225" i="9"/>
  <c r="J276" i="9"/>
  <c r="G283" i="9"/>
  <c r="G196" i="9"/>
  <c r="G109" i="9"/>
  <c r="N106" i="9"/>
  <c r="X52" i="9" s="1"/>
  <c r="F283" i="9"/>
  <c r="I163" i="9"/>
  <c r="J163" i="9" s="1"/>
  <c r="K15" i="9"/>
  <c r="K105" i="9"/>
  <c r="E210" i="9"/>
  <c r="I220" i="9"/>
  <c r="J220" i="9" s="1"/>
  <c r="I279" i="9"/>
  <c r="J279" i="9" s="1"/>
  <c r="H20" i="9"/>
  <c r="I21" i="9" s="1"/>
  <c r="AD16" i="9" s="1"/>
  <c r="L26" i="9"/>
  <c r="F36" i="9"/>
  <c r="C65" i="9"/>
  <c r="K163" i="9"/>
  <c r="H165" i="9"/>
  <c r="I166" i="9" s="1"/>
  <c r="AD21" i="9" s="1"/>
  <c r="K189" i="9"/>
  <c r="L200" i="9"/>
  <c r="L201" i="9"/>
  <c r="L203" i="9"/>
  <c r="K279" i="9"/>
  <c r="H281" i="9"/>
  <c r="I282" i="9" s="1"/>
  <c r="AD25" i="9" s="1"/>
  <c r="I189" i="9"/>
  <c r="J189" i="9" s="1"/>
  <c r="E3" i="9"/>
  <c r="K16" i="9"/>
  <c r="E65" i="9"/>
  <c r="I102" i="9"/>
  <c r="J102" i="9" s="1"/>
  <c r="K106" i="9"/>
  <c r="D137" i="9"/>
  <c r="I192" i="9"/>
  <c r="J192" i="9" s="1"/>
  <c r="G210" i="9"/>
  <c r="I218" i="9"/>
  <c r="J218" i="9" s="1"/>
  <c r="K220" i="9"/>
  <c r="D239" i="9"/>
  <c r="K132" i="9"/>
  <c r="C7" i="9"/>
  <c r="E7" i="9" s="1"/>
  <c r="I17" i="9"/>
  <c r="J17" i="9" s="1"/>
  <c r="L27" i="9"/>
  <c r="I164" i="9"/>
  <c r="J164" i="9" s="1"/>
  <c r="E166" i="9"/>
  <c r="I190" i="9"/>
  <c r="J190" i="9" s="1"/>
  <c r="K218" i="9"/>
  <c r="E225" i="9"/>
  <c r="L229" i="9"/>
  <c r="L230" i="9"/>
  <c r="L232" i="9"/>
  <c r="I280" i="9"/>
  <c r="J280" i="9" s="1"/>
  <c r="E282" i="9"/>
  <c r="J15" i="9"/>
  <c r="I77" i="9"/>
  <c r="J77" i="9" s="1"/>
  <c r="K103" i="9"/>
  <c r="L144" i="9"/>
  <c r="K249" i="9"/>
  <c r="K19" i="9"/>
  <c r="L28" i="9"/>
  <c r="L116" i="9"/>
  <c r="K133" i="9"/>
  <c r="I278" i="9"/>
  <c r="J278" i="9" s="1"/>
  <c r="I193" i="9"/>
  <c r="J193" i="9" s="1"/>
  <c r="I219" i="9"/>
  <c r="J219" i="9" s="1"/>
  <c r="L261" i="9"/>
  <c r="E137" i="9"/>
  <c r="E138" i="9" s="1"/>
  <c r="K47" i="9"/>
  <c r="H78" i="9"/>
  <c r="I79" i="9" s="1"/>
  <c r="AD18" i="9" s="1"/>
  <c r="I47" i="9"/>
  <c r="J47" i="9" s="1"/>
  <c r="K76" i="9"/>
  <c r="F22" i="9"/>
  <c r="F138" i="9"/>
  <c r="N135" i="9"/>
  <c r="X62" i="9" s="1"/>
  <c r="G138" i="9"/>
  <c r="G22" i="9"/>
  <c r="C51" i="9"/>
  <c r="H49" i="9"/>
  <c r="I50" i="9" s="1"/>
  <c r="AD17" i="9" s="1"/>
  <c r="L55" i="9"/>
  <c r="K44" i="9"/>
  <c r="I44" i="9"/>
  <c r="J44" i="9" s="1"/>
  <c r="D51" i="9"/>
  <c r="K18" i="9"/>
  <c r="I18" i="9"/>
  <c r="J18" i="9" s="1"/>
  <c r="N46" i="9"/>
  <c r="V32" i="9" s="1"/>
  <c r="E51" i="9"/>
  <c r="E80" i="9"/>
  <c r="D36" i="9"/>
  <c r="D21" i="9"/>
  <c r="F51" i="9"/>
  <c r="E21" i="9"/>
  <c r="E36" i="9"/>
  <c r="K48" i="9"/>
  <c r="G50" i="9"/>
  <c r="K74" i="9"/>
  <c r="D79" i="9"/>
  <c r="F152" i="9"/>
  <c r="G36" i="9"/>
  <c r="D65" i="9"/>
  <c r="N103" i="9"/>
  <c r="U52" i="9" s="1"/>
  <c r="D109" i="9"/>
  <c r="K77" i="9"/>
  <c r="H136" i="9"/>
  <c r="I137" i="9" s="1"/>
  <c r="AD20" i="9" s="1"/>
  <c r="K134" i="9"/>
  <c r="L142" i="9"/>
  <c r="L145" i="9"/>
  <c r="I16" i="9"/>
  <c r="J16" i="9" s="1"/>
  <c r="L56" i="9"/>
  <c r="L58" i="9"/>
  <c r="L59" i="9"/>
  <c r="F65" i="9"/>
  <c r="L86" i="9"/>
  <c r="D113" i="9"/>
  <c r="I131" i="9"/>
  <c r="J131" i="9" s="1"/>
  <c r="I134" i="9"/>
  <c r="J134" i="9" s="1"/>
  <c r="I19" i="9"/>
  <c r="J19" i="9" s="1"/>
  <c r="I45" i="9"/>
  <c r="J45" i="9" s="1"/>
  <c r="K73" i="9"/>
  <c r="L84" i="9"/>
  <c r="L85" i="9"/>
  <c r="U288" i="9"/>
  <c r="U289" i="9" s="1"/>
  <c r="U287" i="9"/>
  <c r="K135" i="9"/>
  <c r="C4" i="9"/>
  <c r="E4" i="9" s="1"/>
  <c r="I76" i="9"/>
  <c r="J76" i="9" s="1"/>
  <c r="F80" i="9"/>
  <c r="V288" i="9"/>
  <c r="V289" i="9" s="1"/>
  <c r="V287" i="9"/>
  <c r="E108" i="9"/>
  <c r="E123" i="9"/>
  <c r="C137" i="9"/>
  <c r="C152" i="9"/>
  <c r="W288" i="9"/>
  <c r="W289" i="9" s="1"/>
  <c r="K104" i="9"/>
  <c r="X287" i="9"/>
  <c r="X288" i="9"/>
  <c r="X289" i="9" s="1"/>
  <c r="W287" i="9"/>
  <c r="C79" i="9"/>
  <c r="L143" i="9"/>
  <c r="L146" i="9"/>
  <c r="T287" i="9"/>
  <c r="D25" i="6"/>
  <c r="G24" i="6"/>
  <c r="F24" i="6"/>
  <c r="G23" i="6"/>
  <c r="F23" i="6"/>
  <c r="F22" i="6"/>
  <c r="G22" i="6" s="1"/>
  <c r="F21" i="6"/>
  <c r="G21" i="6" s="1"/>
  <c r="F20" i="6"/>
  <c r="F11" i="6"/>
  <c r="G11" i="6" s="1"/>
  <c r="F12" i="6"/>
  <c r="G12" i="6" s="1"/>
  <c r="F13" i="6"/>
  <c r="G13" i="6" s="1"/>
  <c r="F14" i="6"/>
  <c r="G14" i="6" s="1"/>
  <c r="G10" i="6"/>
  <c r="D15" i="6"/>
  <c r="F211" i="27" l="1"/>
  <c r="F562" i="27"/>
  <c r="E211" i="27"/>
  <c r="E562" i="27"/>
  <c r="D211" i="27"/>
  <c r="D562" i="27"/>
  <c r="G211" i="27"/>
  <c r="G562" i="27"/>
  <c r="H211" i="27"/>
  <c r="H562" i="27"/>
  <c r="E115" i="27"/>
  <c r="E560" i="27"/>
  <c r="H115" i="27"/>
  <c r="H560" i="27"/>
  <c r="G115" i="27"/>
  <c r="G560" i="27"/>
  <c r="F115" i="27"/>
  <c r="F560" i="27"/>
  <c r="D115" i="27"/>
  <c r="D560" i="27"/>
  <c r="H558" i="27"/>
  <c r="H538" i="27"/>
  <c r="H539" i="27"/>
  <c r="H537" i="27"/>
  <c r="H536" i="27"/>
  <c r="H19" i="27"/>
  <c r="G558" i="27"/>
  <c r="G19" i="27"/>
  <c r="G538" i="27"/>
  <c r="G539" i="27"/>
  <c r="G537" i="27"/>
  <c r="G536" i="27"/>
  <c r="F558" i="27"/>
  <c r="F536" i="27"/>
  <c r="F539" i="27"/>
  <c r="F538" i="27"/>
  <c r="F19" i="27"/>
  <c r="F537" i="27"/>
  <c r="D19" i="27"/>
  <c r="D537" i="27"/>
  <c r="D539" i="27"/>
  <c r="D538" i="27"/>
  <c r="D536" i="27"/>
  <c r="D558" i="27"/>
  <c r="E558" i="27"/>
  <c r="E19" i="27"/>
  <c r="E539" i="27"/>
  <c r="E536" i="27"/>
  <c r="E537" i="27"/>
  <c r="E538" i="27"/>
  <c r="J15" i="27"/>
  <c r="C411" i="14"/>
  <c r="T149" i="14" s="1"/>
  <c r="D237" i="14"/>
  <c r="U89" i="14" s="1"/>
  <c r="G585" i="14"/>
  <c r="X209" i="14" s="1"/>
  <c r="E527" i="14"/>
  <c r="V189" i="14" s="1"/>
  <c r="E411" i="14"/>
  <c r="V149" i="14" s="1"/>
  <c r="F382" i="14"/>
  <c r="W139" i="14" s="1"/>
  <c r="C353" i="14"/>
  <c r="T129" i="14" s="1"/>
  <c r="E324" i="14"/>
  <c r="V119" i="14" s="1"/>
  <c r="D121" i="14"/>
  <c r="U49" i="14" s="1"/>
  <c r="AM102" i="12"/>
  <c r="AM112" i="12" s="1"/>
  <c r="E411" i="12"/>
  <c r="V149" i="12" s="1"/>
  <c r="D63" i="12"/>
  <c r="U29" i="12" s="1"/>
  <c r="AO102" i="14"/>
  <c r="AO112" i="14" s="1"/>
  <c r="AL102" i="14"/>
  <c r="AL112" i="14" s="1"/>
  <c r="D295" i="14"/>
  <c r="U109" i="14" s="1"/>
  <c r="E266" i="14"/>
  <c r="V99" i="14" s="1"/>
  <c r="F208" i="14"/>
  <c r="W79" i="14" s="1"/>
  <c r="E208" i="14"/>
  <c r="V79" i="14" s="1"/>
  <c r="D208" i="14"/>
  <c r="U79" i="14" s="1"/>
  <c r="J177" i="14"/>
  <c r="AF21" i="14" s="1"/>
  <c r="F179" i="14"/>
  <c r="W69" i="14" s="1"/>
  <c r="C179" i="14"/>
  <c r="T69" i="14" s="1"/>
  <c r="W223" i="14"/>
  <c r="P84" i="14"/>
  <c r="J90" i="14" s="1"/>
  <c r="AF18" i="14" s="1"/>
  <c r="AA275" i="14" s="1"/>
  <c r="C92" i="14"/>
  <c r="T39" i="14" s="1"/>
  <c r="G63" i="14"/>
  <c r="X29" i="14" s="1"/>
  <c r="E295" i="14"/>
  <c r="V109" i="14" s="1"/>
  <c r="C150" i="14"/>
  <c r="T59" i="14" s="1"/>
  <c r="D150" i="14"/>
  <c r="U59" i="14" s="1"/>
  <c r="C585" i="14"/>
  <c r="T209" i="14" s="1"/>
  <c r="F556" i="14"/>
  <c r="W199" i="14" s="1"/>
  <c r="C469" i="14"/>
  <c r="T169" i="14" s="1"/>
  <c r="F411" i="14"/>
  <c r="W149" i="14" s="1"/>
  <c r="C382" i="14"/>
  <c r="T139" i="14" s="1"/>
  <c r="F353" i="14"/>
  <c r="W129" i="14" s="1"/>
  <c r="C266" i="14"/>
  <c r="T99" i="14" s="1"/>
  <c r="D266" i="14"/>
  <c r="U99" i="14" s="1"/>
  <c r="E237" i="14"/>
  <c r="V89" i="14" s="1"/>
  <c r="G237" i="14"/>
  <c r="X89" i="14" s="1"/>
  <c r="F150" i="14"/>
  <c r="W59" i="14" s="1"/>
  <c r="E150" i="14"/>
  <c r="V59" i="14" s="1"/>
  <c r="X278" i="14"/>
  <c r="D92" i="14"/>
  <c r="U39" i="14" s="1"/>
  <c r="X221" i="14"/>
  <c r="G34" i="14"/>
  <c r="X19" i="14" s="1"/>
  <c r="BD20" i="14"/>
  <c r="E34" i="14"/>
  <c r="V19" i="14" s="1"/>
  <c r="F34" i="14"/>
  <c r="W19" i="14" s="1"/>
  <c r="BD15" i="14"/>
  <c r="D34" i="14"/>
  <c r="U19" i="14" s="1"/>
  <c r="C208" i="14"/>
  <c r="T79" i="14" s="1"/>
  <c r="AP102" i="14"/>
  <c r="AP112" i="14" s="1"/>
  <c r="C63" i="14"/>
  <c r="T29" i="14" s="1"/>
  <c r="BD19" i="14"/>
  <c r="BD23" i="14"/>
  <c r="U278" i="14"/>
  <c r="U221" i="14"/>
  <c r="T281" i="14"/>
  <c r="T223" i="14"/>
  <c r="BD21" i="14"/>
  <c r="BD16" i="14"/>
  <c r="T282" i="14"/>
  <c r="T283" i="14" s="1"/>
  <c r="T224" i="14"/>
  <c r="BD13" i="14"/>
  <c r="E92" i="14"/>
  <c r="V39" i="14" s="1"/>
  <c r="D63" i="14"/>
  <c r="U29" i="14" s="1"/>
  <c r="W278" i="14"/>
  <c r="W221" i="14"/>
  <c r="F266" i="14"/>
  <c r="W99" i="14" s="1"/>
  <c r="BD14" i="14"/>
  <c r="G353" i="14"/>
  <c r="X129" i="14" s="1"/>
  <c r="V291" i="14"/>
  <c r="V292" i="14" s="1"/>
  <c r="V290" i="14"/>
  <c r="V227" i="14"/>
  <c r="E556" i="14"/>
  <c r="V199" i="14" s="1"/>
  <c r="C34" i="14"/>
  <c r="T19" i="14" s="1"/>
  <c r="F237" i="14"/>
  <c r="W89" i="14" s="1"/>
  <c r="D324" i="14"/>
  <c r="U119" i="14" s="1"/>
  <c r="G469" i="14"/>
  <c r="X169" i="14" s="1"/>
  <c r="BD17" i="14"/>
  <c r="C324" i="14"/>
  <c r="T119" i="14" s="1"/>
  <c r="G411" i="14"/>
  <c r="X149" i="14" s="1"/>
  <c r="T278" i="14"/>
  <c r="T221" i="14"/>
  <c r="BD18" i="14"/>
  <c r="AM102" i="14"/>
  <c r="AM112" i="14" s="1"/>
  <c r="G556" i="14"/>
  <c r="X199" i="14" s="1"/>
  <c r="D382" i="14"/>
  <c r="U139" i="14" s="1"/>
  <c r="V221" i="14"/>
  <c r="V278" i="14"/>
  <c r="F92" i="14"/>
  <c r="W39" i="14" s="1"/>
  <c r="F324" i="14"/>
  <c r="W119" i="14" s="1"/>
  <c r="W227" i="14"/>
  <c r="W291" i="14"/>
  <c r="W292" i="14" s="1"/>
  <c r="W290" i="14"/>
  <c r="D556" i="14"/>
  <c r="U199" i="14" s="1"/>
  <c r="C527" i="14"/>
  <c r="T189" i="14" s="1"/>
  <c r="F295" i="14"/>
  <c r="W109" i="14" s="1"/>
  <c r="G121" i="14"/>
  <c r="X49" i="14" s="1"/>
  <c r="C237" i="14"/>
  <c r="T89" i="14" s="1"/>
  <c r="BD22" i="14"/>
  <c r="AA24" i="14"/>
  <c r="AN102" i="12"/>
  <c r="AN112" i="12" s="1"/>
  <c r="G25" i="6"/>
  <c r="AP102" i="12"/>
  <c r="AP112" i="12" s="1"/>
  <c r="C556" i="12"/>
  <c r="T199" i="12" s="1"/>
  <c r="F556" i="12"/>
  <c r="W199" i="12" s="1"/>
  <c r="E527" i="12"/>
  <c r="V189" i="12" s="1"/>
  <c r="E498" i="12"/>
  <c r="V179" i="12" s="1"/>
  <c r="G440" i="12"/>
  <c r="X159" i="12" s="1"/>
  <c r="D440" i="12"/>
  <c r="U159" i="12" s="1"/>
  <c r="C411" i="12"/>
  <c r="T149" i="12" s="1"/>
  <c r="D411" i="12"/>
  <c r="U149" i="12" s="1"/>
  <c r="C382" i="12"/>
  <c r="T139" i="12" s="1"/>
  <c r="G382" i="12"/>
  <c r="X139" i="12" s="1"/>
  <c r="C353" i="12"/>
  <c r="T129" i="12" s="1"/>
  <c r="E353" i="12"/>
  <c r="V129" i="12" s="1"/>
  <c r="F324" i="12"/>
  <c r="W119" i="12" s="1"/>
  <c r="G295" i="12"/>
  <c r="X109" i="12" s="1"/>
  <c r="F295" i="12"/>
  <c r="W109" i="12" s="1"/>
  <c r="P229" i="12"/>
  <c r="J235" i="12" s="1"/>
  <c r="AF23" i="12" s="1"/>
  <c r="E237" i="12"/>
  <c r="V89" i="12" s="1"/>
  <c r="C237" i="12"/>
  <c r="T89" i="12" s="1"/>
  <c r="E208" i="12"/>
  <c r="V79" i="12" s="1"/>
  <c r="D179" i="12"/>
  <c r="U69" i="12" s="1"/>
  <c r="E150" i="12"/>
  <c r="V59" i="12" s="1"/>
  <c r="F121" i="12"/>
  <c r="W49" i="12" s="1"/>
  <c r="F92" i="12"/>
  <c r="W39" i="12" s="1"/>
  <c r="W282" i="12"/>
  <c r="W283" i="12" s="1"/>
  <c r="G92" i="12"/>
  <c r="X39" i="12" s="1"/>
  <c r="W278" i="12"/>
  <c r="G63" i="12"/>
  <c r="X29" i="12" s="1"/>
  <c r="C527" i="12"/>
  <c r="T189" i="12" s="1"/>
  <c r="F527" i="12"/>
  <c r="W189" i="12" s="1"/>
  <c r="C498" i="12"/>
  <c r="T179" i="12" s="1"/>
  <c r="D382" i="12"/>
  <c r="U139" i="12" s="1"/>
  <c r="F382" i="12"/>
  <c r="W139" i="12" s="1"/>
  <c r="F353" i="12"/>
  <c r="W129" i="12" s="1"/>
  <c r="U221" i="12"/>
  <c r="E266" i="12"/>
  <c r="V99" i="12" s="1"/>
  <c r="W221" i="12"/>
  <c r="D266" i="12"/>
  <c r="U99" i="12" s="1"/>
  <c r="C208" i="12"/>
  <c r="T79" i="12" s="1"/>
  <c r="G179" i="12"/>
  <c r="X69" i="12" s="1"/>
  <c r="D150" i="12"/>
  <c r="U59" i="12" s="1"/>
  <c r="U279" i="12" s="1"/>
  <c r="U280" i="12" s="1"/>
  <c r="V221" i="12"/>
  <c r="V278" i="12"/>
  <c r="AA275" i="12"/>
  <c r="X221" i="12"/>
  <c r="X278" i="12"/>
  <c r="G34" i="12"/>
  <c r="X19" i="12" s="1"/>
  <c r="T278" i="12"/>
  <c r="T221" i="12"/>
  <c r="BD22" i="12"/>
  <c r="BD15" i="12"/>
  <c r="C324" i="12"/>
  <c r="T119" i="12" s="1"/>
  <c r="D208" i="12"/>
  <c r="U79" i="12" s="1"/>
  <c r="BD20" i="12"/>
  <c r="D585" i="12"/>
  <c r="U209" i="12" s="1"/>
  <c r="BD21" i="12"/>
  <c r="BD17" i="12"/>
  <c r="BD19" i="12"/>
  <c r="C469" i="12"/>
  <c r="T169" i="12" s="1"/>
  <c r="U290" i="12"/>
  <c r="U291" i="12"/>
  <c r="U292" i="12" s="1"/>
  <c r="U227" i="12"/>
  <c r="AA64" i="12"/>
  <c r="E324" i="12"/>
  <c r="V119" i="12" s="1"/>
  <c r="E92" i="12"/>
  <c r="V39" i="12" s="1"/>
  <c r="BD16" i="12"/>
  <c r="C440" i="12"/>
  <c r="T159" i="12" s="1"/>
  <c r="BD23" i="12"/>
  <c r="X291" i="12"/>
  <c r="X292" i="12" s="1"/>
  <c r="X227" i="12"/>
  <c r="X290" i="12"/>
  <c r="C585" i="12"/>
  <c r="T209" i="12" s="1"/>
  <c r="G585" i="12"/>
  <c r="X209" i="12" s="1"/>
  <c r="BD18" i="12"/>
  <c r="AA44" i="12"/>
  <c r="T227" i="12"/>
  <c r="T291" i="12"/>
  <c r="T292" i="12" s="1"/>
  <c r="T290" i="12"/>
  <c r="C179" i="12"/>
  <c r="T69" i="12" s="1"/>
  <c r="E556" i="12"/>
  <c r="V199" i="12" s="1"/>
  <c r="E63" i="12"/>
  <c r="V29" i="12" s="1"/>
  <c r="G266" i="12"/>
  <c r="X99" i="12" s="1"/>
  <c r="G150" i="12"/>
  <c r="X59" i="12" s="1"/>
  <c r="D295" i="12"/>
  <c r="U109" i="12" s="1"/>
  <c r="F266" i="12"/>
  <c r="W99" i="12" s="1"/>
  <c r="G527" i="12"/>
  <c r="X189" i="12" s="1"/>
  <c r="V290" i="12"/>
  <c r="V291" i="12"/>
  <c r="V292" i="12" s="1"/>
  <c r="V227" i="12"/>
  <c r="AA34" i="12"/>
  <c r="AO102" i="12"/>
  <c r="AO112" i="12" s="1"/>
  <c r="T223" i="12"/>
  <c r="F585" i="12"/>
  <c r="W209" i="12" s="1"/>
  <c r="E295" i="12"/>
  <c r="V109" i="12" s="1"/>
  <c r="T224" i="12"/>
  <c r="BD13" i="12"/>
  <c r="F208" i="12"/>
  <c r="W79" i="12" s="1"/>
  <c r="F498" i="12"/>
  <c r="W179" i="12" s="1"/>
  <c r="E469" i="12"/>
  <c r="V169" i="12" s="1"/>
  <c r="C63" i="12"/>
  <c r="T29" i="12" s="1"/>
  <c r="C92" i="12"/>
  <c r="T39" i="12" s="1"/>
  <c r="G469" i="12"/>
  <c r="X169" i="12" s="1"/>
  <c r="D324" i="12"/>
  <c r="U119" i="12" s="1"/>
  <c r="F440" i="12"/>
  <c r="W159" i="12" s="1"/>
  <c r="BD14" i="12"/>
  <c r="AN102" i="9"/>
  <c r="AN112" i="9" s="1"/>
  <c r="F9" i="27" s="1"/>
  <c r="BI58" i="9"/>
  <c r="BL40" i="9" s="1"/>
  <c r="BI262" i="9"/>
  <c r="AA287" i="9"/>
  <c r="AO102" i="9"/>
  <c r="AO112" i="9" s="1"/>
  <c r="BI40" i="9"/>
  <c r="BJ57" i="9"/>
  <c r="AA288" i="9"/>
  <c r="C26" i="9"/>
  <c r="V82" i="9"/>
  <c r="C84" i="9"/>
  <c r="N567" i="9"/>
  <c r="U212" i="9" s="1"/>
  <c r="W92" i="9"/>
  <c r="G463" i="9"/>
  <c r="C30" i="9"/>
  <c r="F57" i="9"/>
  <c r="N393" i="9"/>
  <c r="U152" i="9" s="1"/>
  <c r="G465" i="9"/>
  <c r="D348" i="9"/>
  <c r="N75" i="9"/>
  <c r="V42" i="9" s="1"/>
  <c r="D29" i="9"/>
  <c r="E29" i="9"/>
  <c r="G173" i="9"/>
  <c r="F29" i="9"/>
  <c r="D172" i="9"/>
  <c r="N395" i="9"/>
  <c r="W152" i="9" s="1"/>
  <c r="D404" i="9"/>
  <c r="C173" i="9"/>
  <c r="F433" i="9"/>
  <c r="G519" i="9"/>
  <c r="F225" i="9"/>
  <c r="D433" i="9"/>
  <c r="D320" i="9"/>
  <c r="F30" i="9"/>
  <c r="G320" i="9"/>
  <c r="E30" i="9"/>
  <c r="N47" i="9"/>
  <c r="W32" i="9" s="1"/>
  <c r="F202" i="9"/>
  <c r="N306" i="9"/>
  <c r="F579" i="9"/>
  <c r="N421" i="9"/>
  <c r="T162" i="9" s="1"/>
  <c r="C433" i="9"/>
  <c r="G172" i="9"/>
  <c r="C317" i="9"/>
  <c r="E433" i="9"/>
  <c r="C172" i="9"/>
  <c r="D347" i="9"/>
  <c r="C57" i="9"/>
  <c r="F172" i="9"/>
  <c r="F434" i="9"/>
  <c r="F290" i="9"/>
  <c r="E290" i="9"/>
  <c r="D288" i="9"/>
  <c r="D374" i="9"/>
  <c r="G581" i="9"/>
  <c r="C579" i="9"/>
  <c r="D581" i="9"/>
  <c r="C522" i="9"/>
  <c r="D465" i="9"/>
  <c r="C347" i="9"/>
  <c r="F347" i="9"/>
  <c r="E347" i="9"/>
  <c r="C320" i="9"/>
  <c r="E320" i="9"/>
  <c r="D319" i="9"/>
  <c r="F319" i="9"/>
  <c r="D174" i="9"/>
  <c r="E544" i="9"/>
  <c r="E522" i="9"/>
  <c r="E519" i="9"/>
  <c r="N482" i="9"/>
  <c r="W182" i="9" s="1"/>
  <c r="N364" i="9"/>
  <c r="U142" i="9" s="1"/>
  <c r="O176" i="9"/>
  <c r="G174" i="9"/>
  <c r="F174" i="9"/>
  <c r="D171" i="9"/>
  <c r="G171" i="9"/>
  <c r="F171" i="9"/>
  <c r="C171" i="9"/>
  <c r="G29" i="9"/>
  <c r="N338" i="9"/>
  <c r="X132" i="9" s="1"/>
  <c r="D349" i="9"/>
  <c r="C434" i="9"/>
  <c r="C432" i="9"/>
  <c r="F519" i="9"/>
  <c r="G115" i="9"/>
  <c r="C290" i="9"/>
  <c r="E349" i="9"/>
  <c r="E434" i="9"/>
  <c r="D290" i="9"/>
  <c r="E581" i="9"/>
  <c r="E348" i="9"/>
  <c r="D434" i="9"/>
  <c r="E287" i="9"/>
  <c r="C316" i="9"/>
  <c r="N394" i="9"/>
  <c r="V152" i="9" s="1"/>
  <c r="E346" i="9"/>
  <c r="E175" i="9"/>
  <c r="E176" i="9" s="1"/>
  <c r="D144" i="9"/>
  <c r="G346" i="9"/>
  <c r="F549" i="9"/>
  <c r="E494" i="9"/>
  <c r="N161" i="9"/>
  <c r="U72" i="9" s="1"/>
  <c r="D30" i="9"/>
  <c r="C174" i="9"/>
  <c r="F578" i="9"/>
  <c r="E374" i="9"/>
  <c r="D202" i="9"/>
  <c r="G493" i="9"/>
  <c r="C374" i="9"/>
  <c r="N337" i="9"/>
  <c r="W132" i="9" s="1"/>
  <c r="F374" i="9"/>
  <c r="C581" i="9"/>
  <c r="N276" i="9"/>
  <c r="T112" i="9" s="1"/>
  <c r="D521" i="9"/>
  <c r="G349" i="9"/>
  <c r="D375" i="9"/>
  <c r="O524" i="9"/>
  <c r="D493" i="9"/>
  <c r="C493" i="9"/>
  <c r="E435" i="9"/>
  <c r="G288" i="9"/>
  <c r="E493" i="9"/>
  <c r="F494" i="9"/>
  <c r="N247" i="9"/>
  <c r="T102" i="9" s="1"/>
  <c r="F493" i="9"/>
  <c r="J105" i="9"/>
  <c r="C287" i="9"/>
  <c r="N508" i="9"/>
  <c r="T192" i="9" s="1"/>
  <c r="D494" i="9"/>
  <c r="F317" i="9"/>
  <c r="D173" i="9"/>
  <c r="G57" i="9"/>
  <c r="D26" i="9"/>
  <c r="F173" i="9"/>
  <c r="C465" i="9"/>
  <c r="E404" i="9"/>
  <c r="C319" i="9"/>
  <c r="E291" i="9"/>
  <c r="N222" i="9"/>
  <c r="C346" i="9"/>
  <c r="F204" i="9"/>
  <c r="F349" i="9"/>
  <c r="E465" i="9"/>
  <c r="N568" i="9"/>
  <c r="V212" i="9" s="1"/>
  <c r="F346" i="9"/>
  <c r="G319" i="9"/>
  <c r="O495" i="9"/>
  <c r="E26" i="9"/>
  <c r="N249" i="9"/>
  <c r="V102" i="9" s="1"/>
  <c r="C289" i="9"/>
  <c r="D519" i="9"/>
  <c r="G579" i="9"/>
  <c r="N422" i="9"/>
  <c r="U162" i="9" s="1"/>
  <c r="E117" i="9"/>
  <c r="O60" i="9"/>
  <c r="C204" i="9"/>
  <c r="C288" i="9"/>
  <c r="C521" i="9"/>
  <c r="D463" i="9"/>
  <c r="G435" i="9"/>
  <c r="O437" i="9"/>
  <c r="G522" i="9"/>
  <c r="F521" i="9"/>
  <c r="F288" i="9"/>
  <c r="N250" i="9"/>
  <c r="W102" i="9" s="1"/>
  <c r="D435" i="9"/>
  <c r="C463" i="9"/>
  <c r="N15" i="9"/>
  <c r="T22" i="9" s="1"/>
  <c r="D57" i="9"/>
  <c r="G28" i="9"/>
  <c r="D204" i="9"/>
  <c r="F435" i="9"/>
  <c r="F404" i="9"/>
  <c r="E463" i="9"/>
  <c r="F258" i="9"/>
  <c r="E113" i="9"/>
  <c r="G204" i="9"/>
  <c r="D579" i="9"/>
  <c r="C404" i="9"/>
  <c r="C519" i="9"/>
  <c r="E288" i="9"/>
  <c r="C113" i="9"/>
  <c r="E521" i="9"/>
  <c r="F522" i="9"/>
  <c r="O292" i="9"/>
  <c r="F114" i="9"/>
  <c r="N164" i="9"/>
  <c r="X72" i="9" s="1"/>
  <c r="N336" i="9"/>
  <c r="V132" i="9" s="1"/>
  <c r="N305" i="9"/>
  <c r="T122" i="9" s="1"/>
  <c r="O553" i="9"/>
  <c r="F27" i="9"/>
  <c r="G404" i="9"/>
  <c r="G289" i="9"/>
  <c r="D522" i="9"/>
  <c r="N569" i="9"/>
  <c r="W212" i="9" s="1"/>
  <c r="O379" i="9"/>
  <c r="G202" i="9"/>
  <c r="O466" i="9"/>
  <c r="G578" i="9"/>
  <c r="F548" i="9"/>
  <c r="G548" i="9"/>
  <c r="E548" i="9"/>
  <c r="C318" i="9"/>
  <c r="G291" i="9"/>
  <c r="G175" i="9"/>
  <c r="F289" i="9"/>
  <c r="O321" i="9"/>
  <c r="G494" i="9"/>
  <c r="C494" i="9"/>
  <c r="G316" i="9"/>
  <c r="E316" i="9"/>
  <c r="D316" i="9"/>
  <c r="F28" i="9"/>
  <c r="C202" i="9"/>
  <c r="C548" i="9"/>
  <c r="C549" i="9"/>
  <c r="F551" i="9"/>
  <c r="F515" i="9"/>
  <c r="N511" i="9"/>
  <c r="W192" i="9" s="1"/>
  <c r="C27" i="9"/>
  <c r="F287" i="9"/>
  <c r="E289" i="9"/>
  <c r="D549" i="9"/>
  <c r="F375" i="9"/>
  <c r="O582" i="9"/>
  <c r="G114" i="9"/>
  <c r="F175" i="9"/>
  <c r="G26" i="9"/>
  <c r="D548" i="9"/>
  <c r="E549" i="9"/>
  <c r="N392" i="9"/>
  <c r="T152" i="9" s="1"/>
  <c r="G317" i="9"/>
  <c r="E317" i="9"/>
  <c r="D317" i="9"/>
  <c r="E520" i="9"/>
  <c r="G520" i="9"/>
  <c r="F520" i="9"/>
  <c r="D520" i="9"/>
  <c r="F291" i="9"/>
  <c r="G27" i="9"/>
  <c r="D115" i="9"/>
  <c r="N102" i="9"/>
  <c r="T52" i="9" s="1"/>
  <c r="E204" i="9"/>
  <c r="D291" i="9"/>
  <c r="C260" i="9"/>
  <c r="N450" i="9"/>
  <c r="T172" i="9" s="1"/>
  <c r="F316" i="9"/>
  <c r="O408" i="9"/>
  <c r="D318" i="9"/>
  <c r="E318" i="9"/>
  <c r="G113" i="9"/>
  <c r="C28" i="9"/>
  <c r="E202" i="9"/>
  <c r="N277" i="9"/>
  <c r="U112" i="9" s="1"/>
  <c r="D289" i="9"/>
  <c r="G233" i="9"/>
  <c r="F259" i="9"/>
  <c r="O350" i="9"/>
  <c r="N483" i="9"/>
  <c r="X182" i="9" s="1"/>
  <c r="N251" i="9"/>
  <c r="X102" i="9" s="1"/>
  <c r="D175" i="9"/>
  <c r="F233" i="9"/>
  <c r="N190" i="9"/>
  <c r="U82" i="9" s="1"/>
  <c r="G259" i="9"/>
  <c r="C520" i="9"/>
  <c r="N512" i="9"/>
  <c r="X192" i="9" s="1"/>
  <c r="N479" i="9"/>
  <c r="T182" i="9" s="1"/>
  <c r="E551" i="9"/>
  <c r="C578" i="9"/>
  <c r="E432" i="9"/>
  <c r="G432" i="9"/>
  <c r="F432" i="9"/>
  <c r="D432" i="9"/>
  <c r="G549" i="9"/>
  <c r="N248" i="9"/>
  <c r="U102" i="9" s="1"/>
  <c r="E515" i="9"/>
  <c r="N510" i="9"/>
  <c r="V192" i="9" s="1"/>
  <c r="E28" i="9"/>
  <c r="N77" i="9"/>
  <c r="X42" i="9" s="1"/>
  <c r="D287" i="9"/>
  <c r="C175" i="9"/>
  <c r="D233" i="9"/>
  <c r="N541" i="9"/>
  <c r="X202" i="9" s="1"/>
  <c r="G551" i="9"/>
  <c r="C551" i="9"/>
  <c r="E375" i="9"/>
  <c r="D578" i="9"/>
  <c r="G348" i="9"/>
  <c r="F318" i="9"/>
  <c r="E57" i="9"/>
  <c r="C167" i="9"/>
  <c r="N160" i="9"/>
  <c r="T72" i="9" s="1"/>
  <c r="G577" i="9"/>
  <c r="E577" i="9"/>
  <c r="D577" i="9"/>
  <c r="C577" i="9"/>
  <c r="F577" i="9"/>
  <c r="E88" i="9"/>
  <c r="C291" i="9"/>
  <c r="D258" i="9"/>
  <c r="N538" i="9"/>
  <c r="U202" i="9" s="1"/>
  <c r="C375" i="9"/>
  <c r="N509" i="9"/>
  <c r="U192" i="9" s="1"/>
  <c r="N454" i="9"/>
  <c r="X172" i="9" s="1"/>
  <c r="G287" i="9"/>
  <c r="C348" i="9"/>
  <c r="G464" i="9"/>
  <c r="F464" i="9"/>
  <c r="D464" i="9"/>
  <c r="C464" i="9"/>
  <c r="E464" i="9"/>
  <c r="F523" i="9"/>
  <c r="E523" i="9"/>
  <c r="D523" i="9"/>
  <c r="C523" i="9"/>
  <c r="G523" i="9"/>
  <c r="N334" i="9"/>
  <c r="T132" i="9" s="1"/>
  <c r="C341" i="9"/>
  <c r="E370" i="9"/>
  <c r="N365" i="9"/>
  <c r="V142" i="9" s="1"/>
  <c r="G345" i="9"/>
  <c r="E345" i="9"/>
  <c r="D345" i="9"/>
  <c r="F345" i="9"/>
  <c r="C345" i="9"/>
  <c r="E492" i="9"/>
  <c r="D492" i="9"/>
  <c r="F492" i="9"/>
  <c r="G492" i="9"/>
  <c r="C492" i="9"/>
  <c r="N425" i="9"/>
  <c r="X162" i="9" s="1"/>
  <c r="N367" i="9"/>
  <c r="X142" i="9" s="1"/>
  <c r="G550" i="9"/>
  <c r="F550" i="9"/>
  <c r="E550" i="9"/>
  <c r="C550" i="9"/>
  <c r="D550" i="9"/>
  <c r="C403" i="9"/>
  <c r="G403" i="9"/>
  <c r="F403" i="9"/>
  <c r="E403" i="9"/>
  <c r="D403" i="9"/>
  <c r="E490" i="9"/>
  <c r="D490" i="9"/>
  <c r="G490" i="9"/>
  <c r="F490" i="9"/>
  <c r="C490" i="9"/>
  <c r="D376" i="9"/>
  <c r="F376" i="9"/>
  <c r="C376" i="9"/>
  <c r="E376" i="9"/>
  <c r="G376" i="9"/>
  <c r="N335" i="9"/>
  <c r="U132" i="9" s="1"/>
  <c r="N309" i="9"/>
  <c r="F406" i="9"/>
  <c r="D406" i="9"/>
  <c r="C406" i="9"/>
  <c r="G406" i="9"/>
  <c r="E406" i="9"/>
  <c r="N540" i="9"/>
  <c r="W202" i="9" s="1"/>
  <c r="J480" i="9"/>
  <c r="N480" i="9"/>
  <c r="U182" i="9" s="1"/>
  <c r="E377" i="9"/>
  <c r="D377" i="9"/>
  <c r="F377" i="9"/>
  <c r="C377" i="9"/>
  <c r="G377" i="9"/>
  <c r="N451" i="9"/>
  <c r="U172" i="9" s="1"/>
  <c r="G462" i="9"/>
  <c r="F462" i="9"/>
  <c r="E462" i="9"/>
  <c r="D462" i="9"/>
  <c r="C462" i="9"/>
  <c r="N423" i="9"/>
  <c r="V162" i="9" s="1"/>
  <c r="C370" i="9"/>
  <c r="N363" i="9"/>
  <c r="T142" i="9" s="1"/>
  <c r="G407" i="9"/>
  <c r="E407" i="9"/>
  <c r="D407" i="9"/>
  <c r="C407" i="9"/>
  <c r="F407" i="9"/>
  <c r="E312" i="9"/>
  <c r="N307" i="9"/>
  <c r="N570" i="9"/>
  <c r="X212" i="9" s="1"/>
  <c r="G580" i="9"/>
  <c r="F580" i="9"/>
  <c r="E580" i="9"/>
  <c r="D580" i="9"/>
  <c r="C580" i="9"/>
  <c r="F552" i="9"/>
  <c r="C552" i="9"/>
  <c r="G552" i="9"/>
  <c r="E552" i="9"/>
  <c r="D552" i="9"/>
  <c r="E491" i="9"/>
  <c r="D491" i="9"/>
  <c r="G491" i="9"/>
  <c r="C491" i="9"/>
  <c r="F491" i="9"/>
  <c r="N366" i="9"/>
  <c r="W142" i="9" s="1"/>
  <c r="E378" i="9"/>
  <c r="D378" i="9"/>
  <c r="C378" i="9"/>
  <c r="G378" i="9"/>
  <c r="F378" i="9"/>
  <c r="E457" i="9"/>
  <c r="N452" i="9"/>
  <c r="V172" i="9" s="1"/>
  <c r="N396" i="9"/>
  <c r="X152" i="9" s="1"/>
  <c r="J396" i="9"/>
  <c r="F312" i="9"/>
  <c r="N308" i="9"/>
  <c r="N566" i="9"/>
  <c r="T212" i="9" s="1"/>
  <c r="C573" i="9"/>
  <c r="F457" i="9"/>
  <c r="N453" i="9"/>
  <c r="W172" i="9" s="1"/>
  <c r="F436" i="9"/>
  <c r="D436" i="9"/>
  <c r="C436" i="9"/>
  <c r="G436" i="9"/>
  <c r="E436" i="9"/>
  <c r="G461" i="9"/>
  <c r="D461" i="9"/>
  <c r="E461" i="9"/>
  <c r="F461" i="9"/>
  <c r="C461" i="9"/>
  <c r="E405" i="9"/>
  <c r="C405" i="9"/>
  <c r="D405" i="9"/>
  <c r="F405" i="9"/>
  <c r="G405" i="9"/>
  <c r="N424" i="9"/>
  <c r="W162" i="9" s="1"/>
  <c r="N162" i="9"/>
  <c r="E167" i="9"/>
  <c r="N218" i="9"/>
  <c r="T92" i="9" s="1"/>
  <c r="G258" i="9"/>
  <c r="D260" i="9"/>
  <c r="D28" i="9"/>
  <c r="C114" i="9"/>
  <c r="D27" i="9"/>
  <c r="F26" i="9"/>
  <c r="O234" i="9"/>
  <c r="E230" i="9"/>
  <c r="D230" i="9"/>
  <c r="C230" i="9"/>
  <c r="G230" i="9"/>
  <c r="F230" i="9"/>
  <c r="N163" i="9"/>
  <c r="W72" i="9" s="1"/>
  <c r="E260" i="9"/>
  <c r="N189" i="9"/>
  <c r="T82" i="9" s="1"/>
  <c r="N133" i="9"/>
  <c r="C261" i="9"/>
  <c r="G261" i="9"/>
  <c r="D261" i="9"/>
  <c r="F261" i="9"/>
  <c r="E261" i="9"/>
  <c r="E232" i="9"/>
  <c r="D232" i="9"/>
  <c r="C232" i="9"/>
  <c r="F232" i="9"/>
  <c r="G232" i="9"/>
  <c r="E229" i="9"/>
  <c r="D229" i="9"/>
  <c r="C229" i="9"/>
  <c r="F229" i="9"/>
  <c r="G229" i="9"/>
  <c r="N193" i="9"/>
  <c r="G231" i="9"/>
  <c r="F260" i="9"/>
  <c r="E27" i="9"/>
  <c r="N279" i="9"/>
  <c r="W112" i="9" s="1"/>
  <c r="F231" i="9"/>
  <c r="C116" i="9"/>
  <c r="N280" i="9"/>
  <c r="X112" i="9" s="1"/>
  <c r="C233" i="9"/>
  <c r="D231" i="9"/>
  <c r="E114" i="9"/>
  <c r="C231" i="9"/>
  <c r="D114" i="9"/>
  <c r="D262" i="9"/>
  <c r="O31" i="9"/>
  <c r="G203" i="9"/>
  <c r="F203" i="9"/>
  <c r="E203" i="9"/>
  <c r="D203" i="9"/>
  <c r="C203" i="9"/>
  <c r="F262" i="9"/>
  <c r="D259" i="9"/>
  <c r="N278" i="9"/>
  <c r="V112" i="9" s="1"/>
  <c r="E283" i="9"/>
  <c r="N132" i="9"/>
  <c r="U62" i="9" s="1"/>
  <c r="D138" i="9"/>
  <c r="C88" i="9"/>
  <c r="O263" i="9"/>
  <c r="G201" i="9"/>
  <c r="F201" i="9"/>
  <c r="E201" i="9"/>
  <c r="D201" i="9"/>
  <c r="C201" i="9"/>
  <c r="G262" i="9"/>
  <c r="F113" i="9"/>
  <c r="E115" i="9"/>
  <c r="O205" i="9"/>
  <c r="G200" i="9"/>
  <c r="F200" i="9"/>
  <c r="E200" i="9"/>
  <c r="D200" i="9"/>
  <c r="C200" i="9"/>
  <c r="C262" i="9"/>
  <c r="N219" i="9"/>
  <c r="U92" i="9" s="1"/>
  <c r="E258" i="9"/>
  <c r="N192" i="9"/>
  <c r="N220" i="9"/>
  <c r="C259" i="9"/>
  <c r="D143" i="9"/>
  <c r="C143" i="9"/>
  <c r="G143" i="9"/>
  <c r="F143" i="9"/>
  <c r="E143" i="9"/>
  <c r="F144" i="9"/>
  <c r="E144" i="9"/>
  <c r="C144" i="9"/>
  <c r="G116" i="9"/>
  <c r="G117" i="9"/>
  <c r="N17" i="9"/>
  <c r="V22" i="9" s="1"/>
  <c r="E22" i="9"/>
  <c r="N134" i="9"/>
  <c r="W62" i="9" s="1"/>
  <c r="O89" i="9"/>
  <c r="G58" i="9"/>
  <c r="F58" i="9"/>
  <c r="E58" i="9"/>
  <c r="D58" i="9"/>
  <c r="C58" i="9"/>
  <c r="N44" i="9"/>
  <c r="T32" i="9" s="1"/>
  <c r="E87" i="9"/>
  <c r="G59" i="9"/>
  <c r="F59" i="9"/>
  <c r="E59" i="9"/>
  <c r="D59" i="9"/>
  <c r="C59" i="9"/>
  <c r="N45" i="9"/>
  <c r="U32" i="9" s="1"/>
  <c r="D87" i="9"/>
  <c r="N131" i="9"/>
  <c r="T62" i="9" s="1"/>
  <c r="C138" i="9"/>
  <c r="N73" i="9"/>
  <c r="T42" i="9" s="1"/>
  <c r="C80" i="9"/>
  <c r="C117" i="9"/>
  <c r="D85" i="9"/>
  <c r="C85" i="9"/>
  <c r="G85" i="9"/>
  <c r="E85" i="9"/>
  <c r="F85" i="9"/>
  <c r="O147" i="9"/>
  <c r="G56" i="9"/>
  <c r="F56" i="9"/>
  <c r="E56" i="9"/>
  <c r="D56" i="9"/>
  <c r="C56" i="9"/>
  <c r="F87" i="9"/>
  <c r="D116" i="9"/>
  <c r="D84" i="9"/>
  <c r="G84" i="9"/>
  <c r="E84" i="9"/>
  <c r="F84" i="9"/>
  <c r="D80" i="9"/>
  <c r="N74" i="9"/>
  <c r="U42" i="9" s="1"/>
  <c r="G55" i="9"/>
  <c r="F55" i="9"/>
  <c r="E55" i="9"/>
  <c r="D55" i="9"/>
  <c r="C55" i="9"/>
  <c r="N19" i="9"/>
  <c r="X22" i="9" s="1"/>
  <c r="C87" i="9"/>
  <c r="N16" i="9"/>
  <c r="U22" i="9" s="1"/>
  <c r="D22" i="9"/>
  <c r="D145" i="9"/>
  <c r="C145" i="9"/>
  <c r="F145" i="9"/>
  <c r="E145" i="9"/>
  <c r="G145" i="9"/>
  <c r="C8" i="9"/>
  <c r="D142" i="9"/>
  <c r="C142" i="9"/>
  <c r="F142" i="9"/>
  <c r="E142" i="9"/>
  <c r="G142" i="9"/>
  <c r="D117" i="9"/>
  <c r="G88" i="9"/>
  <c r="E86" i="9"/>
  <c r="D86" i="9"/>
  <c r="C86" i="9"/>
  <c r="F86" i="9"/>
  <c r="G86" i="9"/>
  <c r="N76" i="9"/>
  <c r="W42" i="9" s="1"/>
  <c r="F88" i="9"/>
  <c r="N18" i="9"/>
  <c r="W22" i="9" s="1"/>
  <c r="G51" i="9"/>
  <c r="N48" i="9"/>
  <c r="X32" i="9" s="1"/>
  <c r="C115" i="9"/>
  <c r="N104" i="9"/>
  <c r="V52" i="9" s="1"/>
  <c r="E109" i="9"/>
  <c r="O118" i="9"/>
  <c r="G144" i="9"/>
  <c r="D146" i="9"/>
  <c r="C146" i="9"/>
  <c r="E146" i="9"/>
  <c r="G146" i="9"/>
  <c r="F146" i="9"/>
  <c r="F116" i="9"/>
  <c r="F117" i="9"/>
  <c r="E116" i="9"/>
  <c r="G15" i="6"/>
  <c r="H10" i="6" s="1"/>
  <c r="W279" i="12" l="1"/>
  <c r="W280" i="12" s="1"/>
  <c r="U279" i="14"/>
  <c r="U280" i="14" s="1"/>
  <c r="V279" i="14"/>
  <c r="V280" i="14" s="1"/>
  <c r="X222" i="14"/>
  <c r="W279" i="14"/>
  <c r="W280" i="14" s="1"/>
  <c r="AA290" i="14"/>
  <c r="V222" i="14"/>
  <c r="U222" i="14"/>
  <c r="W222" i="14"/>
  <c r="T279" i="14"/>
  <c r="T280" i="14" s="1"/>
  <c r="T222" i="14"/>
  <c r="X279" i="14"/>
  <c r="X280" i="14" s="1"/>
  <c r="W222" i="12"/>
  <c r="U222" i="12"/>
  <c r="X222" i="12"/>
  <c r="V279" i="12"/>
  <c r="V280" i="12" s="1"/>
  <c r="V222" i="12"/>
  <c r="T279" i="12"/>
  <c r="T280" i="12" s="1"/>
  <c r="T222" i="12"/>
  <c r="X279" i="12"/>
  <c r="X280" i="12" s="1"/>
  <c r="AA290" i="12"/>
  <c r="BI39" i="9"/>
  <c r="BJ39" i="9" s="1"/>
  <c r="BJ58" i="9"/>
  <c r="BI42" i="9"/>
  <c r="BJ42" i="9" s="1"/>
  <c r="BI52" i="9"/>
  <c r="BJ52" i="9" s="1"/>
  <c r="BI41" i="9"/>
  <c r="BJ41" i="9" s="1"/>
  <c r="BI45" i="9"/>
  <c r="BJ45" i="9" s="1"/>
  <c r="BI55" i="9"/>
  <c r="BJ55" i="9" s="1"/>
  <c r="BI43" i="9"/>
  <c r="BJ43" i="9" s="1"/>
  <c r="BI46" i="9"/>
  <c r="BJ46" i="9" s="1"/>
  <c r="BI44" i="9"/>
  <c r="BJ44" i="9" s="1"/>
  <c r="BI56" i="9"/>
  <c r="BJ56" i="9" s="1"/>
  <c r="BI53" i="9"/>
  <c r="BJ53" i="9" s="1"/>
  <c r="BI54" i="9"/>
  <c r="BJ54" i="9" s="1"/>
  <c r="BI51" i="9"/>
  <c r="BJ51" i="9" s="1"/>
  <c r="BI50" i="9"/>
  <c r="BJ50" i="9" s="1"/>
  <c r="BI49" i="9"/>
  <c r="BJ49" i="9" s="1"/>
  <c r="BI48" i="9"/>
  <c r="BJ48" i="9" s="1"/>
  <c r="BI47" i="9"/>
  <c r="BJ47" i="9" s="1"/>
  <c r="BJ40" i="9"/>
  <c r="T225" i="9"/>
  <c r="X122" i="9"/>
  <c r="W122" i="9"/>
  <c r="U122" i="9"/>
  <c r="U225" i="9" s="1"/>
  <c r="V122" i="9"/>
  <c r="V62" i="9"/>
  <c r="V285" i="9" s="1"/>
  <c r="V286" i="9" s="1"/>
  <c r="X82" i="9"/>
  <c r="V72" i="9"/>
  <c r="V92" i="9"/>
  <c r="W82" i="9"/>
  <c r="X92" i="9"/>
  <c r="H29" i="9"/>
  <c r="I29" i="9" s="1"/>
  <c r="K29" i="9" s="1"/>
  <c r="P29" i="9" s="1"/>
  <c r="H30" i="9"/>
  <c r="I30" i="9" s="1"/>
  <c r="J30" i="9" s="1"/>
  <c r="X21" i="9" s="1"/>
  <c r="H172" i="9"/>
  <c r="I172" i="9" s="1"/>
  <c r="U70" i="9" s="1"/>
  <c r="H320" i="9"/>
  <c r="I320" i="9" s="1"/>
  <c r="H290" i="9"/>
  <c r="I290" i="9" s="1"/>
  <c r="H433" i="9"/>
  <c r="I433" i="9" s="1"/>
  <c r="H581" i="9"/>
  <c r="I581" i="9" s="1"/>
  <c r="X210" i="9" s="1"/>
  <c r="D31" i="9"/>
  <c r="U16" i="9" s="1"/>
  <c r="H57" i="9"/>
  <c r="I57" i="9" s="1"/>
  <c r="J57" i="9" s="1"/>
  <c r="V31" i="9" s="1"/>
  <c r="H347" i="9"/>
  <c r="I347" i="9" s="1"/>
  <c r="C32" i="9"/>
  <c r="T17" i="9" s="1"/>
  <c r="D119" i="9"/>
  <c r="G32" i="9"/>
  <c r="X17" i="9" s="1"/>
  <c r="H171" i="9"/>
  <c r="H494" i="9"/>
  <c r="I494" i="9" s="1"/>
  <c r="F321" i="9"/>
  <c r="G176" i="9"/>
  <c r="G178" i="9" s="1"/>
  <c r="E582" i="9"/>
  <c r="H434" i="9"/>
  <c r="I434" i="9" s="1"/>
  <c r="H432" i="9"/>
  <c r="H374" i="9"/>
  <c r="H375" i="9"/>
  <c r="I375" i="9" s="1"/>
  <c r="C292" i="9"/>
  <c r="C176" i="9"/>
  <c r="C178" i="9" s="1"/>
  <c r="H173" i="9"/>
  <c r="I173" i="9" s="1"/>
  <c r="D176" i="9"/>
  <c r="D178" i="9" s="1"/>
  <c r="E178" i="9"/>
  <c r="V66" i="9"/>
  <c r="V74" i="9" s="1"/>
  <c r="V236" i="9" s="1"/>
  <c r="H174" i="9"/>
  <c r="I174" i="9" s="1"/>
  <c r="W70" i="9" s="1"/>
  <c r="C177" i="9"/>
  <c r="T67" i="9" s="1"/>
  <c r="T75" i="9" s="1"/>
  <c r="E177" i="9"/>
  <c r="V67" i="9" s="1"/>
  <c r="V75" i="9" s="1"/>
  <c r="C321" i="9"/>
  <c r="H521" i="9"/>
  <c r="I521" i="9" s="1"/>
  <c r="H319" i="9"/>
  <c r="I319" i="9" s="1"/>
  <c r="K319" i="9" s="1"/>
  <c r="P319" i="9" s="1"/>
  <c r="H465" i="9"/>
  <c r="I465" i="9" s="1"/>
  <c r="G438" i="9"/>
  <c r="X157" i="9" s="1"/>
  <c r="X165" i="9" s="1"/>
  <c r="F177" i="9"/>
  <c r="W67" i="9" s="1"/>
  <c r="W75" i="9" s="1"/>
  <c r="G177" i="9"/>
  <c r="X67" i="9" s="1"/>
  <c r="X75" i="9" s="1"/>
  <c r="E524" i="9"/>
  <c r="H463" i="9"/>
  <c r="I463" i="9" s="1"/>
  <c r="H435" i="9"/>
  <c r="I435" i="9" s="1"/>
  <c r="C524" i="9"/>
  <c r="D525" i="9"/>
  <c r="U187" i="9" s="1"/>
  <c r="U195" i="9" s="1"/>
  <c r="F293" i="9"/>
  <c r="W107" i="9" s="1"/>
  <c r="W115" i="9" s="1"/>
  <c r="H579" i="9"/>
  <c r="I579" i="9" s="1"/>
  <c r="H493" i="9"/>
  <c r="I493" i="9" s="1"/>
  <c r="W180" i="9" s="1"/>
  <c r="H519" i="9"/>
  <c r="I519" i="9" s="1"/>
  <c r="H346" i="9"/>
  <c r="I346" i="9" s="1"/>
  <c r="G31" i="9"/>
  <c r="X16" i="9" s="1"/>
  <c r="H349" i="9"/>
  <c r="I349" i="9" s="1"/>
  <c r="X130" i="9" s="1"/>
  <c r="G379" i="9"/>
  <c r="D206" i="9"/>
  <c r="U77" i="9" s="1"/>
  <c r="U85" i="9" s="1"/>
  <c r="F176" i="9"/>
  <c r="E525" i="9"/>
  <c r="V187" i="9" s="1"/>
  <c r="V195" i="9" s="1"/>
  <c r="H551" i="9"/>
  <c r="I551" i="9" s="1"/>
  <c r="F90" i="9"/>
  <c r="C31" i="9"/>
  <c r="D582" i="9"/>
  <c r="G264" i="9"/>
  <c r="X97" i="9" s="1"/>
  <c r="X105" i="9" s="1"/>
  <c r="H491" i="9"/>
  <c r="I491" i="9" s="1"/>
  <c r="U180" i="9" s="1"/>
  <c r="G583" i="9"/>
  <c r="X207" i="9" s="1"/>
  <c r="X215" i="9" s="1"/>
  <c r="H287" i="9"/>
  <c r="I287" i="9" s="1"/>
  <c r="T110" i="9" s="1"/>
  <c r="H404" i="9"/>
  <c r="I404" i="9" s="1"/>
  <c r="G119" i="9"/>
  <c r="X47" i="9" s="1"/>
  <c r="X55" i="9" s="1"/>
  <c r="C293" i="9"/>
  <c r="T107" i="9" s="1"/>
  <c r="T115" i="9" s="1"/>
  <c r="F438" i="9"/>
  <c r="W157" i="9" s="1"/>
  <c r="W165" i="9" s="1"/>
  <c r="H27" i="9"/>
  <c r="I27" i="9" s="1"/>
  <c r="K27" i="9" s="1"/>
  <c r="P27" i="9" s="1"/>
  <c r="D380" i="9"/>
  <c r="U137" i="9" s="1"/>
  <c r="U145" i="9" s="1"/>
  <c r="H291" i="9"/>
  <c r="I291" i="9" s="1"/>
  <c r="G321" i="9"/>
  <c r="H316" i="9"/>
  <c r="H288" i="9"/>
  <c r="I288" i="9" s="1"/>
  <c r="G437" i="9"/>
  <c r="D553" i="9"/>
  <c r="G292" i="9"/>
  <c r="H348" i="9"/>
  <c r="I348" i="9" s="1"/>
  <c r="E292" i="9"/>
  <c r="C264" i="9"/>
  <c r="T97" i="9" s="1"/>
  <c r="T105" i="9" s="1"/>
  <c r="E31" i="9"/>
  <c r="V16" i="9" s="1"/>
  <c r="H175" i="9"/>
  <c r="I175" i="9" s="1"/>
  <c r="X70" i="9" s="1"/>
  <c r="D438" i="9"/>
  <c r="U157" i="9" s="1"/>
  <c r="U165" i="9" s="1"/>
  <c r="D554" i="9"/>
  <c r="U197" i="9" s="1"/>
  <c r="U205" i="9" s="1"/>
  <c r="H578" i="9"/>
  <c r="I578" i="9" s="1"/>
  <c r="U210" i="9" s="1"/>
  <c r="H204" i="9"/>
  <c r="I204" i="9" s="1"/>
  <c r="D322" i="9"/>
  <c r="U117" i="9" s="1"/>
  <c r="U125" i="9" s="1"/>
  <c r="H548" i="9"/>
  <c r="I548" i="9" s="1"/>
  <c r="H522" i="9"/>
  <c r="I522" i="9" s="1"/>
  <c r="W190" i="9" s="1"/>
  <c r="E118" i="9"/>
  <c r="V46" i="9" s="1"/>
  <c r="V54" i="9" s="1"/>
  <c r="V234" i="9" s="1"/>
  <c r="C322" i="9"/>
  <c r="T117" i="9" s="1"/>
  <c r="T125" i="9" s="1"/>
  <c r="D583" i="9"/>
  <c r="U207" i="9" s="1"/>
  <c r="U215" i="9" s="1"/>
  <c r="E206" i="9"/>
  <c r="V77" i="9" s="1"/>
  <c r="V85" i="9" s="1"/>
  <c r="F205" i="9"/>
  <c r="H233" i="9"/>
  <c r="I233" i="9" s="1"/>
  <c r="D177" i="9"/>
  <c r="U67" i="9" s="1"/>
  <c r="U75" i="9" s="1"/>
  <c r="H462" i="9"/>
  <c r="I462" i="9" s="1"/>
  <c r="U170" i="9" s="1"/>
  <c r="D379" i="9"/>
  <c r="G235" i="9"/>
  <c r="X87" i="9" s="1"/>
  <c r="X95" i="9" s="1"/>
  <c r="E583" i="9"/>
  <c r="V207" i="9" s="1"/>
  <c r="V215" i="9" s="1"/>
  <c r="D321" i="9"/>
  <c r="G293" i="9"/>
  <c r="X107" i="9" s="1"/>
  <c r="X115" i="9" s="1"/>
  <c r="F235" i="9"/>
  <c r="W87" i="9" s="1"/>
  <c r="W95" i="9" s="1"/>
  <c r="H113" i="9"/>
  <c r="H58" i="9"/>
  <c r="I58" i="9" s="1"/>
  <c r="F379" i="9"/>
  <c r="F264" i="9"/>
  <c r="W97" i="9" s="1"/>
  <c r="W105" i="9" s="1"/>
  <c r="H317" i="9"/>
  <c r="I317" i="9" s="1"/>
  <c r="F380" i="9"/>
  <c r="W137" i="9" s="1"/>
  <c r="W145" i="9" s="1"/>
  <c r="H202" i="9"/>
  <c r="I202" i="9" s="1"/>
  <c r="H289" i="9"/>
  <c r="I289" i="9" s="1"/>
  <c r="V110" i="9" s="1"/>
  <c r="H376" i="9"/>
  <c r="D292" i="9"/>
  <c r="E321" i="9"/>
  <c r="E322" i="9"/>
  <c r="V117" i="9" s="1"/>
  <c r="V125" i="9" s="1"/>
  <c r="G148" i="9"/>
  <c r="X57" i="9" s="1"/>
  <c r="X65" i="9" s="1"/>
  <c r="H377" i="9"/>
  <c r="I377" i="9" s="1"/>
  <c r="W140" i="9" s="1"/>
  <c r="F292" i="9"/>
  <c r="D293" i="9"/>
  <c r="U107" i="9" s="1"/>
  <c r="U115" i="9" s="1"/>
  <c r="H28" i="9"/>
  <c r="I28" i="9" s="1"/>
  <c r="J28" i="9" s="1"/>
  <c r="V21" i="9" s="1"/>
  <c r="E380" i="9"/>
  <c r="V137" i="9" s="1"/>
  <c r="V145" i="9" s="1"/>
  <c r="H378" i="9"/>
  <c r="I378" i="9" s="1"/>
  <c r="X140" i="9" s="1"/>
  <c r="G322" i="9"/>
  <c r="X117" i="9" s="1"/>
  <c r="X125" i="9" s="1"/>
  <c r="H260" i="9"/>
  <c r="I260" i="9" s="1"/>
  <c r="V100" i="9" s="1"/>
  <c r="E379" i="9"/>
  <c r="G205" i="9"/>
  <c r="H577" i="9"/>
  <c r="E32" i="9"/>
  <c r="V17" i="9" s="1"/>
  <c r="D147" i="9"/>
  <c r="U56" i="9" s="1"/>
  <c r="U64" i="9" s="1"/>
  <c r="U235" i="9" s="1"/>
  <c r="E263" i="9"/>
  <c r="F32" i="9"/>
  <c r="W17" i="9" s="1"/>
  <c r="H464" i="9"/>
  <c r="I464" i="9" s="1"/>
  <c r="W170" i="9" s="1"/>
  <c r="F263" i="9"/>
  <c r="H201" i="9"/>
  <c r="I201" i="9" s="1"/>
  <c r="U80" i="9" s="1"/>
  <c r="H203" i="9"/>
  <c r="I203" i="9" s="1"/>
  <c r="H114" i="9"/>
  <c r="I114" i="9" s="1"/>
  <c r="H407" i="9"/>
  <c r="I407" i="9" s="1"/>
  <c r="X150" i="9" s="1"/>
  <c r="F322" i="9"/>
  <c r="W117" i="9" s="1"/>
  <c r="W125" i="9" s="1"/>
  <c r="D524" i="9"/>
  <c r="F148" i="9"/>
  <c r="W57" i="9" s="1"/>
  <c r="W65" i="9" s="1"/>
  <c r="C553" i="9"/>
  <c r="H549" i="9"/>
  <c r="I549" i="9" s="1"/>
  <c r="H117" i="9"/>
  <c r="I117" i="9" s="1"/>
  <c r="X50" i="9" s="1"/>
  <c r="C554" i="9"/>
  <c r="T197" i="9" s="1"/>
  <c r="T205" i="9" s="1"/>
  <c r="F553" i="9"/>
  <c r="H520" i="9"/>
  <c r="I520" i="9" s="1"/>
  <c r="U190" i="9" s="1"/>
  <c r="G380" i="9"/>
  <c r="X137" i="9" s="1"/>
  <c r="X145" i="9" s="1"/>
  <c r="C583" i="9"/>
  <c r="T207" i="9" s="1"/>
  <c r="T215" i="9" s="1"/>
  <c r="E293" i="9"/>
  <c r="V107" i="9" s="1"/>
  <c r="V115" i="9" s="1"/>
  <c r="H406" i="9"/>
  <c r="I406" i="9" s="1"/>
  <c r="W150" i="9" s="1"/>
  <c r="H318" i="9"/>
  <c r="I318" i="9" s="1"/>
  <c r="V120" i="9" s="1"/>
  <c r="D495" i="9"/>
  <c r="D496" i="9"/>
  <c r="U177" i="9" s="1"/>
  <c r="U185" i="9" s="1"/>
  <c r="H436" i="9"/>
  <c r="I436" i="9" s="1"/>
  <c r="X160" i="9" s="1"/>
  <c r="C350" i="9"/>
  <c r="H345" i="9"/>
  <c r="C351" i="9"/>
  <c r="T127" i="9" s="1"/>
  <c r="T135" i="9" s="1"/>
  <c r="H405" i="9"/>
  <c r="I405" i="9" s="1"/>
  <c r="V150" i="9" s="1"/>
  <c r="E408" i="9"/>
  <c r="E409" i="9"/>
  <c r="V147" i="9" s="1"/>
  <c r="V155" i="9" s="1"/>
  <c r="H492" i="9"/>
  <c r="I492" i="9" s="1"/>
  <c r="V180" i="9" s="1"/>
  <c r="E350" i="9"/>
  <c r="E351" i="9"/>
  <c r="V127" i="9" s="1"/>
  <c r="V135" i="9" s="1"/>
  <c r="D408" i="9"/>
  <c r="D409" i="9"/>
  <c r="U147" i="9" s="1"/>
  <c r="U155" i="9" s="1"/>
  <c r="D437" i="9"/>
  <c r="F409" i="9"/>
  <c r="W147" i="9" s="1"/>
  <c r="W155" i="9" s="1"/>
  <c r="F408" i="9"/>
  <c r="G350" i="9"/>
  <c r="G351" i="9"/>
  <c r="X127" i="9" s="1"/>
  <c r="X135" i="9" s="1"/>
  <c r="F524" i="9"/>
  <c r="F525" i="9"/>
  <c r="W187" i="9" s="1"/>
  <c r="W195" i="9" s="1"/>
  <c r="D350" i="9"/>
  <c r="D351" i="9"/>
  <c r="U127" i="9" s="1"/>
  <c r="U135" i="9" s="1"/>
  <c r="H461" i="9"/>
  <c r="C466" i="9"/>
  <c r="C467" i="9"/>
  <c r="T167" i="9" s="1"/>
  <c r="T175" i="9" s="1"/>
  <c r="F583" i="9"/>
  <c r="W207" i="9" s="1"/>
  <c r="W215" i="9" s="1"/>
  <c r="G409" i="9"/>
  <c r="X147" i="9" s="1"/>
  <c r="X155" i="9" s="1"/>
  <c r="G408" i="9"/>
  <c r="F466" i="9"/>
  <c r="F467" i="9"/>
  <c r="W167" i="9" s="1"/>
  <c r="W175" i="9" s="1"/>
  <c r="H490" i="9"/>
  <c r="C495" i="9"/>
  <c r="C496" i="9"/>
  <c r="T177" i="9" s="1"/>
  <c r="T185" i="9" s="1"/>
  <c r="C437" i="9"/>
  <c r="C408" i="9"/>
  <c r="H403" i="9"/>
  <c r="C409" i="9"/>
  <c r="T147" i="9" s="1"/>
  <c r="T155" i="9" s="1"/>
  <c r="E466" i="9"/>
  <c r="E467" i="9"/>
  <c r="V167" i="9" s="1"/>
  <c r="V175" i="9" s="1"/>
  <c r="F495" i="9"/>
  <c r="F496" i="9"/>
  <c r="W177" i="9" s="1"/>
  <c r="W185" i="9" s="1"/>
  <c r="C380" i="9"/>
  <c r="T137" i="9" s="1"/>
  <c r="T145" i="9" s="1"/>
  <c r="F437" i="9"/>
  <c r="G582" i="9"/>
  <c r="D466" i="9"/>
  <c r="D467" i="9"/>
  <c r="U167" i="9" s="1"/>
  <c r="U175" i="9" s="1"/>
  <c r="H552" i="9"/>
  <c r="I552" i="9" s="1"/>
  <c r="X200" i="9" s="1"/>
  <c r="G495" i="9"/>
  <c r="G496" i="9"/>
  <c r="X177" i="9" s="1"/>
  <c r="X185" i="9" s="1"/>
  <c r="H550" i="9"/>
  <c r="C438" i="9"/>
  <c r="T157" i="9" s="1"/>
  <c r="T165" i="9" s="1"/>
  <c r="G466" i="9"/>
  <c r="G467" i="9"/>
  <c r="X167" i="9" s="1"/>
  <c r="X175" i="9" s="1"/>
  <c r="E554" i="9"/>
  <c r="V197" i="9" s="1"/>
  <c r="V205" i="9" s="1"/>
  <c r="E553" i="9"/>
  <c r="F350" i="9"/>
  <c r="F351" i="9"/>
  <c r="W127" i="9" s="1"/>
  <c r="W135" i="9" s="1"/>
  <c r="G525" i="9"/>
  <c r="X187" i="9" s="1"/>
  <c r="X195" i="9" s="1"/>
  <c r="G524" i="9"/>
  <c r="F554" i="9"/>
  <c r="W197" i="9" s="1"/>
  <c r="W205" i="9" s="1"/>
  <c r="H523" i="9"/>
  <c r="F582" i="9"/>
  <c r="E437" i="9"/>
  <c r="E438" i="9"/>
  <c r="V157" i="9" s="1"/>
  <c r="V165" i="9" s="1"/>
  <c r="H580" i="9"/>
  <c r="E495" i="9"/>
  <c r="E496" i="9"/>
  <c r="V177" i="9" s="1"/>
  <c r="V185" i="9" s="1"/>
  <c r="C525" i="9"/>
  <c r="T187" i="9" s="1"/>
  <c r="T195" i="9" s="1"/>
  <c r="G554" i="9"/>
  <c r="X197" i="9" s="1"/>
  <c r="X205" i="9" s="1"/>
  <c r="G553" i="9"/>
  <c r="C582" i="9"/>
  <c r="C379" i="9"/>
  <c r="E89" i="9"/>
  <c r="V36" i="9" s="1"/>
  <c r="V44" i="9" s="1"/>
  <c r="V233" i="9" s="1"/>
  <c r="D264" i="9"/>
  <c r="U97" i="9" s="1"/>
  <c r="U105" i="9" s="1"/>
  <c r="H261" i="9"/>
  <c r="I261" i="9" s="1"/>
  <c r="W100" i="9" s="1"/>
  <c r="E119" i="9"/>
  <c r="F119" i="9"/>
  <c r="W47" i="9" s="1"/>
  <c r="W55" i="9" s="1"/>
  <c r="H87" i="9"/>
  <c r="I87" i="9" s="1"/>
  <c r="G89" i="9"/>
  <c r="X36" i="9" s="1"/>
  <c r="X44" i="9" s="1"/>
  <c r="X233" i="9" s="1"/>
  <c r="D32" i="9"/>
  <c r="U17" i="9" s="1"/>
  <c r="H259" i="9"/>
  <c r="I259" i="9" s="1"/>
  <c r="U100" i="9" s="1"/>
  <c r="C206" i="9"/>
  <c r="T77" i="9" s="1"/>
  <c r="T85" i="9" s="1"/>
  <c r="E264" i="9"/>
  <c r="V97" i="9" s="1"/>
  <c r="V105" i="9" s="1"/>
  <c r="C148" i="9"/>
  <c r="T57" i="9" s="1"/>
  <c r="T65" i="9" s="1"/>
  <c r="H115" i="9"/>
  <c r="I115" i="9" s="1"/>
  <c r="F31" i="9"/>
  <c r="H26" i="9"/>
  <c r="F206" i="9"/>
  <c r="W77" i="9" s="1"/>
  <c r="W85" i="9" s="1"/>
  <c r="C234" i="9"/>
  <c r="H229" i="9"/>
  <c r="H232" i="9"/>
  <c r="I232" i="9" s="1"/>
  <c r="G234" i="9"/>
  <c r="H262" i="9"/>
  <c r="I262" i="9" s="1"/>
  <c r="X100" i="9" s="1"/>
  <c r="G206" i="9"/>
  <c r="X77" i="9" s="1"/>
  <c r="X85" i="9" s="1"/>
  <c r="D234" i="9"/>
  <c r="H258" i="9"/>
  <c r="H144" i="9"/>
  <c r="I144" i="9" s="1"/>
  <c r="C263" i="9"/>
  <c r="F234" i="9"/>
  <c r="H200" i="9"/>
  <c r="C205" i="9"/>
  <c r="E234" i="9"/>
  <c r="D235" i="9"/>
  <c r="U87" i="9" s="1"/>
  <c r="U95" i="9" s="1"/>
  <c r="G263" i="9"/>
  <c r="H86" i="9"/>
  <c r="I86" i="9" s="1"/>
  <c r="F118" i="9"/>
  <c r="W46" i="9" s="1"/>
  <c r="W54" i="9" s="1"/>
  <c r="W234" i="9" s="1"/>
  <c r="H116" i="9"/>
  <c r="H230" i="9"/>
  <c r="I230" i="9" s="1"/>
  <c r="U90" i="9" s="1"/>
  <c r="H146" i="9"/>
  <c r="I146" i="9" s="1"/>
  <c r="D205" i="9"/>
  <c r="E235" i="9"/>
  <c r="V87" i="9" s="1"/>
  <c r="V95" i="9" s="1"/>
  <c r="D263" i="9"/>
  <c r="H88" i="9"/>
  <c r="I88" i="9" s="1"/>
  <c r="H56" i="9"/>
  <c r="I56" i="9" s="1"/>
  <c r="G118" i="9"/>
  <c r="X46" i="9" s="1"/>
  <c r="X54" i="9" s="1"/>
  <c r="X234" i="9" s="1"/>
  <c r="E205" i="9"/>
  <c r="H231" i="9"/>
  <c r="I231" i="9" s="1"/>
  <c r="C235" i="9"/>
  <c r="T87" i="9" s="1"/>
  <c r="T95" i="9" s="1"/>
  <c r="H145" i="9"/>
  <c r="I145" i="9" s="1"/>
  <c r="F60" i="9"/>
  <c r="W26" i="9" s="1"/>
  <c r="W34" i="9" s="1"/>
  <c r="W232" i="9" s="1"/>
  <c r="F61" i="9"/>
  <c r="W27" i="9" s="1"/>
  <c r="W35" i="9" s="1"/>
  <c r="H59" i="9"/>
  <c r="I59" i="9" s="1"/>
  <c r="G90" i="9"/>
  <c r="X37" i="9" s="1"/>
  <c r="X45" i="9" s="1"/>
  <c r="G147" i="9"/>
  <c r="X56" i="9" s="1"/>
  <c r="X64" i="9" s="1"/>
  <c r="X235" i="9" s="1"/>
  <c r="D148" i="9"/>
  <c r="U57" i="9" s="1"/>
  <c r="U65" i="9" s="1"/>
  <c r="E147" i="9"/>
  <c r="V56" i="9" s="1"/>
  <c r="V64" i="9" s="1"/>
  <c r="V235" i="9" s="1"/>
  <c r="U284" i="9"/>
  <c r="U285" i="9"/>
  <c r="U286" i="9" s="1"/>
  <c r="G60" i="9"/>
  <c r="X26" i="9" s="1"/>
  <c r="X34" i="9" s="1"/>
  <c r="X232" i="9" s="1"/>
  <c r="G61" i="9"/>
  <c r="X27" i="9" s="1"/>
  <c r="X35" i="9" s="1"/>
  <c r="F147" i="9"/>
  <c r="W56" i="9" s="1"/>
  <c r="W64" i="9" s="1"/>
  <c r="W235" i="9" s="1"/>
  <c r="F89" i="9"/>
  <c r="W36" i="9" s="1"/>
  <c r="W44" i="9" s="1"/>
  <c r="W233" i="9" s="1"/>
  <c r="E148" i="9"/>
  <c r="V57" i="9" s="1"/>
  <c r="V65" i="9" s="1"/>
  <c r="W285" i="9"/>
  <c r="W286" i="9" s="1"/>
  <c r="W284" i="9"/>
  <c r="C147" i="9"/>
  <c r="T56" i="9" s="1"/>
  <c r="T64" i="9" s="1"/>
  <c r="T235" i="9" s="1"/>
  <c r="H142" i="9"/>
  <c r="C118" i="9"/>
  <c r="T46" i="9" s="1"/>
  <c r="T54" i="9" s="1"/>
  <c r="T234" i="9" s="1"/>
  <c r="H84" i="9"/>
  <c r="C89" i="9"/>
  <c r="T36" i="9" s="1"/>
  <c r="T44" i="9" s="1"/>
  <c r="T233" i="9" s="1"/>
  <c r="C60" i="9"/>
  <c r="T26" i="9" s="1"/>
  <c r="T34" i="9" s="1"/>
  <c r="T232" i="9" s="1"/>
  <c r="C61" i="9"/>
  <c r="T27" i="9" s="1"/>
  <c r="T35" i="9" s="1"/>
  <c r="H55" i="9"/>
  <c r="D89" i="9"/>
  <c r="U36" i="9" s="1"/>
  <c r="U44" i="9" s="1"/>
  <c r="U233" i="9" s="1"/>
  <c r="D60" i="9"/>
  <c r="U26" i="9" s="1"/>
  <c r="U34" i="9" s="1"/>
  <c r="U232" i="9" s="1"/>
  <c r="D61" i="9"/>
  <c r="U27" i="9" s="1"/>
  <c r="U35" i="9" s="1"/>
  <c r="H143" i="9"/>
  <c r="I143" i="9" s="1"/>
  <c r="D118" i="9"/>
  <c r="U46" i="9" s="1"/>
  <c r="U54" i="9" s="1"/>
  <c r="U234" i="9" s="1"/>
  <c r="X285" i="9"/>
  <c r="X286" i="9" s="1"/>
  <c r="X284" i="9"/>
  <c r="C90" i="9"/>
  <c r="T37" i="9" s="1"/>
  <c r="T45" i="9" s="1"/>
  <c r="D90" i="9"/>
  <c r="U37" i="9" s="1"/>
  <c r="U45" i="9" s="1"/>
  <c r="C119" i="9"/>
  <c r="T47" i="9" s="1"/>
  <c r="T55" i="9" s="1"/>
  <c r="E60" i="9"/>
  <c r="E61" i="9"/>
  <c r="V27" i="9" s="1"/>
  <c r="V35" i="9" s="1"/>
  <c r="H85" i="9"/>
  <c r="I85" i="9" s="1"/>
  <c r="T285" i="9"/>
  <c r="T286" i="9" s="1"/>
  <c r="T284" i="9"/>
  <c r="E90" i="9"/>
  <c r="V37" i="9" s="1"/>
  <c r="V45" i="9" s="1"/>
  <c r="V284" i="9" l="1"/>
  <c r="K30" i="9"/>
  <c r="P30" i="9" s="1"/>
  <c r="X20" i="9"/>
  <c r="I113" i="9"/>
  <c r="T50" i="9" s="1"/>
  <c r="H118" i="9"/>
  <c r="I119" i="9" s="1"/>
  <c r="AE19" i="9" s="1"/>
  <c r="H147" i="9"/>
  <c r="I148" i="9" s="1"/>
  <c r="AE20" i="9" s="1"/>
  <c r="I171" i="9"/>
  <c r="T70" i="9" s="1"/>
  <c r="H176" i="9"/>
  <c r="I177" i="9" s="1"/>
  <c r="AE21" i="9" s="1"/>
  <c r="H205" i="9"/>
  <c r="I206" i="9" s="1"/>
  <c r="I316" i="9"/>
  <c r="H321" i="9"/>
  <c r="I322" i="9" s="1"/>
  <c r="AE26" i="9" s="1"/>
  <c r="H350" i="9"/>
  <c r="I351" i="9" s="1"/>
  <c r="AE27" i="9" s="1"/>
  <c r="I374" i="9"/>
  <c r="K374" i="9" s="1"/>
  <c r="P374" i="9" s="1"/>
  <c r="H379" i="9"/>
  <c r="I380" i="9" s="1"/>
  <c r="AE28" i="9" s="1"/>
  <c r="H408" i="9"/>
  <c r="I409" i="9" s="1"/>
  <c r="AE29" i="9" s="1"/>
  <c r="I432" i="9"/>
  <c r="J432" i="9" s="1"/>
  <c r="T161" i="9" s="1"/>
  <c r="H437" i="9"/>
  <c r="I438" i="9" s="1"/>
  <c r="AE30" i="9" s="1"/>
  <c r="H466" i="9"/>
  <c r="I467" i="9" s="1"/>
  <c r="AE31" i="9" s="1"/>
  <c r="I490" i="9"/>
  <c r="T180" i="9" s="1"/>
  <c r="H495" i="9"/>
  <c r="I496" i="9" s="1"/>
  <c r="AE32" i="9" s="1"/>
  <c r="J581" i="9"/>
  <c r="X211" i="9" s="1"/>
  <c r="K581" i="9"/>
  <c r="P581" i="9" s="1"/>
  <c r="I577" i="9"/>
  <c r="T210" i="9" s="1"/>
  <c r="H582" i="9"/>
  <c r="I583" i="9" s="1"/>
  <c r="AE35" i="9" s="1"/>
  <c r="W225" i="9"/>
  <c r="V225" i="9"/>
  <c r="BL41" i="9"/>
  <c r="BL44" i="9" s="1"/>
  <c r="BL45" i="9" s="1"/>
  <c r="BL46" i="9" s="1"/>
  <c r="BJ59" i="9"/>
  <c r="BM41" i="9" s="1"/>
  <c r="X225" i="9"/>
  <c r="T25" i="9"/>
  <c r="T228" i="9" s="1"/>
  <c r="T220" i="9"/>
  <c r="G468" i="9"/>
  <c r="X168" i="9" s="1"/>
  <c r="X166" i="9"/>
  <c r="X174" i="9" s="1"/>
  <c r="X246" i="9" s="1"/>
  <c r="F497" i="9"/>
  <c r="W178" i="9" s="1"/>
  <c r="W176" i="9"/>
  <c r="W184" i="9" s="1"/>
  <c r="W247" i="9" s="1"/>
  <c r="G410" i="9"/>
  <c r="X148" i="9" s="1"/>
  <c r="X146" i="9"/>
  <c r="X154" i="9" s="1"/>
  <c r="X244" i="9" s="1"/>
  <c r="F410" i="9"/>
  <c r="W148" i="9" s="1"/>
  <c r="W146" i="9"/>
  <c r="W154" i="9" s="1"/>
  <c r="W244" i="9" s="1"/>
  <c r="X24" i="9"/>
  <c r="J465" i="9"/>
  <c r="X171" i="9" s="1"/>
  <c r="X170" i="9"/>
  <c r="J548" i="9"/>
  <c r="T201" i="9" s="1"/>
  <c r="T200" i="9"/>
  <c r="G439" i="9"/>
  <c r="X158" i="9" s="1"/>
  <c r="X156" i="9"/>
  <c r="X164" i="9" s="1"/>
  <c r="X245" i="9" s="1"/>
  <c r="J433" i="9"/>
  <c r="U161" i="9" s="1"/>
  <c r="U160" i="9"/>
  <c r="F584" i="9"/>
  <c r="W208" i="9" s="1"/>
  <c r="W206" i="9"/>
  <c r="W214" i="9" s="1"/>
  <c r="W250" i="9" s="1"/>
  <c r="E468" i="9"/>
  <c r="V168" i="9" s="1"/>
  <c r="V166" i="9"/>
  <c r="V174" i="9" s="1"/>
  <c r="V246" i="9" s="1"/>
  <c r="D439" i="9"/>
  <c r="U158" i="9" s="1"/>
  <c r="U156" i="9"/>
  <c r="U164" i="9" s="1"/>
  <c r="U245" i="9" s="1"/>
  <c r="D584" i="9"/>
  <c r="D589" i="9" s="1"/>
  <c r="U206" i="9"/>
  <c r="U214" i="9" s="1"/>
  <c r="U250" i="9" s="1"/>
  <c r="K435" i="9"/>
  <c r="P435" i="9" s="1"/>
  <c r="W160" i="9"/>
  <c r="J521" i="9"/>
  <c r="V191" i="9" s="1"/>
  <c r="V190" i="9"/>
  <c r="X25" i="9"/>
  <c r="X228" i="9" s="1"/>
  <c r="X220" i="9"/>
  <c r="D555" i="9"/>
  <c r="D559" i="9" s="1"/>
  <c r="U196" i="9"/>
  <c r="U204" i="9" s="1"/>
  <c r="U249" i="9" s="1"/>
  <c r="C526" i="9"/>
  <c r="C530" i="9" s="1"/>
  <c r="T186" i="9"/>
  <c r="T194" i="9" s="1"/>
  <c r="T248" i="9" s="1"/>
  <c r="W25" i="9"/>
  <c r="J463" i="9"/>
  <c r="V171" i="9" s="1"/>
  <c r="V170" i="9"/>
  <c r="G555" i="9"/>
  <c r="X198" i="9" s="1"/>
  <c r="X196" i="9"/>
  <c r="X204" i="9" s="1"/>
  <c r="X249" i="9" s="1"/>
  <c r="G497" i="9"/>
  <c r="X178" i="9" s="1"/>
  <c r="X176" i="9"/>
  <c r="X184" i="9" s="1"/>
  <c r="X247" i="9" s="1"/>
  <c r="C468" i="9"/>
  <c r="T168" i="9" s="1"/>
  <c r="T166" i="9"/>
  <c r="T174" i="9" s="1"/>
  <c r="T246" i="9" s="1"/>
  <c r="D410" i="9"/>
  <c r="U148" i="9" s="1"/>
  <c r="U146" i="9"/>
  <c r="U154" i="9" s="1"/>
  <c r="U244" i="9" s="1"/>
  <c r="D497" i="9"/>
  <c r="U178" i="9" s="1"/>
  <c r="U176" i="9"/>
  <c r="U184" i="9" s="1"/>
  <c r="U247" i="9" s="1"/>
  <c r="J549" i="9"/>
  <c r="U201" i="9" s="1"/>
  <c r="U200" i="9"/>
  <c r="E526" i="9"/>
  <c r="E530" i="9" s="1"/>
  <c r="V186" i="9"/>
  <c r="V194" i="9" s="1"/>
  <c r="V248" i="9" s="1"/>
  <c r="K434" i="9"/>
  <c r="P434" i="9" s="1"/>
  <c r="V160" i="9"/>
  <c r="C584" i="9"/>
  <c r="T208" i="9" s="1"/>
  <c r="T206" i="9"/>
  <c r="T214" i="9" s="1"/>
  <c r="T250" i="9" s="1"/>
  <c r="G526" i="9"/>
  <c r="X188" i="9" s="1"/>
  <c r="X186" i="9"/>
  <c r="X194" i="9" s="1"/>
  <c r="X248" i="9" s="1"/>
  <c r="C410" i="9"/>
  <c r="T148" i="9" s="1"/>
  <c r="T146" i="9"/>
  <c r="T154" i="9" s="1"/>
  <c r="T244" i="9" s="1"/>
  <c r="C555" i="9"/>
  <c r="C559" i="9" s="1"/>
  <c r="T196" i="9"/>
  <c r="T204" i="9" s="1"/>
  <c r="T249" i="9" s="1"/>
  <c r="V24" i="9"/>
  <c r="V231" i="9" s="1"/>
  <c r="K551" i="9"/>
  <c r="P551" i="9" s="1"/>
  <c r="W200" i="9"/>
  <c r="K519" i="9"/>
  <c r="P519" i="9" s="1"/>
  <c r="T190" i="9"/>
  <c r="E584" i="9"/>
  <c r="E588" i="9" s="1"/>
  <c r="V206" i="9"/>
  <c r="V214" i="9" s="1"/>
  <c r="V250" i="9" s="1"/>
  <c r="V25" i="9"/>
  <c r="F555" i="9"/>
  <c r="F560" i="9" s="1"/>
  <c r="W196" i="9"/>
  <c r="W204" i="9" s="1"/>
  <c r="W249" i="9" s="1"/>
  <c r="D526" i="9"/>
  <c r="D530" i="9" s="1"/>
  <c r="U186" i="9"/>
  <c r="U194" i="9" s="1"/>
  <c r="U248" i="9" s="1"/>
  <c r="U24" i="9"/>
  <c r="U231" i="9" s="1"/>
  <c r="C439" i="9"/>
  <c r="T158" i="9" s="1"/>
  <c r="T156" i="9"/>
  <c r="T164" i="9" s="1"/>
  <c r="T245" i="9" s="1"/>
  <c r="E497" i="9"/>
  <c r="V178" i="9" s="1"/>
  <c r="V176" i="9"/>
  <c r="V184" i="9" s="1"/>
  <c r="V247" i="9" s="1"/>
  <c r="G584" i="9"/>
  <c r="X208" i="9" s="1"/>
  <c r="X206" i="9"/>
  <c r="X214" i="9" s="1"/>
  <c r="X250" i="9" s="1"/>
  <c r="C497" i="9"/>
  <c r="T178" i="9" s="1"/>
  <c r="T176" i="9"/>
  <c r="T184" i="9" s="1"/>
  <c r="T247" i="9" s="1"/>
  <c r="K579" i="9"/>
  <c r="P579" i="9" s="1"/>
  <c r="V210" i="9"/>
  <c r="J494" i="9"/>
  <c r="X181" i="9" s="1"/>
  <c r="X180" i="9"/>
  <c r="E439" i="9"/>
  <c r="V158" i="9" s="1"/>
  <c r="V156" i="9"/>
  <c r="V164" i="9" s="1"/>
  <c r="V245" i="9" s="1"/>
  <c r="F468" i="9"/>
  <c r="W168" i="9" s="1"/>
  <c r="W166" i="9"/>
  <c r="W174" i="9" s="1"/>
  <c r="W246" i="9" s="1"/>
  <c r="U25" i="9"/>
  <c r="D468" i="9"/>
  <c r="U168" i="9" s="1"/>
  <c r="U166" i="9"/>
  <c r="U174" i="9" s="1"/>
  <c r="U246" i="9" s="1"/>
  <c r="E555" i="9"/>
  <c r="V198" i="9" s="1"/>
  <c r="V196" i="9"/>
  <c r="V204" i="9" s="1"/>
  <c r="V249" i="9" s="1"/>
  <c r="F439" i="9"/>
  <c r="W158" i="9" s="1"/>
  <c r="W156" i="9"/>
  <c r="W164" i="9" s="1"/>
  <c r="W245" i="9" s="1"/>
  <c r="F526" i="9"/>
  <c r="W188" i="9" s="1"/>
  <c r="W186" i="9"/>
  <c r="W194" i="9" s="1"/>
  <c r="W248" i="9" s="1"/>
  <c r="E410" i="9"/>
  <c r="V148" i="9" s="1"/>
  <c r="V146" i="9"/>
  <c r="V154" i="9" s="1"/>
  <c r="V244" i="9" s="1"/>
  <c r="J404" i="9"/>
  <c r="U151" i="9" s="1"/>
  <c r="U150" i="9"/>
  <c r="J29" i="9"/>
  <c r="W21" i="9" s="1"/>
  <c r="D352" i="9"/>
  <c r="U128" i="9" s="1"/>
  <c r="U126" i="9"/>
  <c r="F352" i="9"/>
  <c r="W128" i="9" s="1"/>
  <c r="W126" i="9"/>
  <c r="E381" i="9"/>
  <c r="V138" i="9" s="1"/>
  <c r="V136" i="9"/>
  <c r="V144" i="9" s="1"/>
  <c r="V243" i="9" s="1"/>
  <c r="G381" i="9"/>
  <c r="X138" i="9" s="1"/>
  <c r="X136" i="9"/>
  <c r="X144" i="9" s="1"/>
  <c r="X243" i="9" s="1"/>
  <c r="G352" i="9"/>
  <c r="X128" i="9" s="1"/>
  <c r="X126" i="9"/>
  <c r="D381" i="9"/>
  <c r="D385" i="9" s="1"/>
  <c r="U136" i="9"/>
  <c r="U144" i="9" s="1"/>
  <c r="U243" i="9" s="1"/>
  <c r="C352" i="9"/>
  <c r="T128" i="9" s="1"/>
  <c r="T126" i="9"/>
  <c r="C381" i="9"/>
  <c r="T138" i="9" s="1"/>
  <c r="T136" i="9"/>
  <c r="T144" i="9" s="1"/>
  <c r="T243" i="9" s="1"/>
  <c r="F381" i="9"/>
  <c r="W138" i="9" s="1"/>
  <c r="W136" i="9"/>
  <c r="W144" i="9" s="1"/>
  <c r="W243" i="9" s="1"/>
  <c r="J375" i="9"/>
  <c r="U141" i="9" s="1"/>
  <c r="U140" i="9"/>
  <c r="K347" i="9"/>
  <c r="P347" i="9" s="1"/>
  <c r="V130" i="9"/>
  <c r="W20" i="9"/>
  <c r="E352" i="9"/>
  <c r="V128" i="9" s="1"/>
  <c r="V126" i="9"/>
  <c r="K346" i="9"/>
  <c r="P346" i="9" s="1"/>
  <c r="U130" i="9"/>
  <c r="K348" i="9"/>
  <c r="P348" i="9" s="1"/>
  <c r="W130" i="9"/>
  <c r="J288" i="9"/>
  <c r="U111" i="9" s="1"/>
  <c r="U110" i="9"/>
  <c r="J320" i="9"/>
  <c r="X121" i="9" s="1"/>
  <c r="X120" i="9"/>
  <c r="K317" i="9"/>
  <c r="P317" i="9" s="1"/>
  <c r="U120" i="9"/>
  <c r="G323" i="9"/>
  <c r="G328" i="9" s="1"/>
  <c r="X116" i="9"/>
  <c r="K291" i="9"/>
  <c r="P291" i="9" s="1"/>
  <c r="X110" i="9"/>
  <c r="C294" i="9"/>
  <c r="C298" i="9" s="1"/>
  <c r="T106" i="9"/>
  <c r="T114" i="9" s="1"/>
  <c r="T240" i="9" s="1"/>
  <c r="F294" i="9"/>
  <c r="F298" i="9" s="1"/>
  <c r="W106" i="9"/>
  <c r="J319" i="9"/>
  <c r="W121" i="9" s="1"/>
  <c r="W120" i="9"/>
  <c r="E294" i="9"/>
  <c r="E299" i="9" s="1"/>
  <c r="V106" i="9"/>
  <c r="V114" i="9" s="1"/>
  <c r="V240" i="9" s="1"/>
  <c r="C323" i="9"/>
  <c r="C328" i="9" s="1"/>
  <c r="T116" i="9"/>
  <c r="T124" i="9" s="1"/>
  <c r="T241" i="9" s="1"/>
  <c r="J290" i="9"/>
  <c r="W111" i="9" s="1"/>
  <c r="W110" i="9"/>
  <c r="E323" i="9"/>
  <c r="V118" i="9" s="1"/>
  <c r="V116" i="9"/>
  <c r="D294" i="9"/>
  <c r="U108" i="9" s="1"/>
  <c r="U106" i="9"/>
  <c r="U114" i="9" s="1"/>
  <c r="U240" i="9" s="1"/>
  <c r="D323" i="9"/>
  <c r="U118" i="9" s="1"/>
  <c r="U116" i="9"/>
  <c r="G294" i="9"/>
  <c r="G299" i="9" s="1"/>
  <c r="X106" i="9"/>
  <c r="X114" i="9" s="1"/>
  <c r="X240" i="9" s="1"/>
  <c r="F323" i="9"/>
  <c r="F327" i="9" s="1"/>
  <c r="W116" i="9"/>
  <c r="C207" i="9"/>
  <c r="C212" i="9" s="1"/>
  <c r="T76" i="9"/>
  <c r="T84" i="9" s="1"/>
  <c r="T237" i="9" s="1"/>
  <c r="D265" i="9"/>
  <c r="U98" i="9" s="1"/>
  <c r="U96" i="9"/>
  <c r="U104" i="9" s="1"/>
  <c r="U239" i="9" s="1"/>
  <c r="V47" i="9"/>
  <c r="V55" i="9" s="1"/>
  <c r="D207" i="9"/>
  <c r="D212" i="9" s="1"/>
  <c r="U76" i="9"/>
  <c r="U84" i="9" s="1"/>
  <c r="U237" i="9" s="1"/>
  <c r="C265" i="9"/>
  <c r="T98" i="9" s="1"/>
  <c r="T96" i="9"/>
  <c r="T104" i="9" s="1"/>
  <c r="T239" i="9" s="1"/>
  <c r="K115" i="9"/>
  <c r="P115" i="9" s="1"/>
  <c r="V50" i="9"/>
  <c r="F265" i="9"/>
  <c r="W98" i="9" s="1"/>
  <c r="W96" i="9"/>
  <c r="W104" i="9" s="1"/>
  <c r="W239" i="9" s="1"/>
  <c r="V80" i="9"/>
  <c r="K204" i="9"/>
  <c r="P204" i="9" s="1"/>
  <c r="X80" i="9"/>
  <c r="V70" i="9"/>
  <c r="D236" i="9"/>
  <c r="D238" i="9" s="1"/>
  <c r="U86" i="9"/>
  <c r="U94" i="9" s="1"/>
  <c r="U238" i="9" s="1"/>
  <c r="AA44" i="9"/>
  <c r="E265" i="9"/>
  <c r="V98" i="9" s="1"/>
  <c r="V96" i="9"/>
  <c r="V104" i="9" s="1"/>
  <c r="V239" i="9" s="1"/>
  <c r="J233" i="9"/>
  <c r="X90" i="9"/>
  <c r="T16" i="9"/>
  <c r="C33" i="9"/>
  <c r="C38" i="9" s="1"/>
  <c r="V90" i="9"/>
  <c r="F207" i="9"/>
  <c r="F209" i="9" s="1"/>
  <c r="W76" i="9"/>
  <c r="W84" i="9" s="1"/>
  <c r="W237" i="9" s="1"/>
  <c r="W37" i="9"/>
  <c r="W45" i="9" s="1"/>
  <c r="AA54" i="9"/>
  <c r="E207" i="9"/>
  <c r="E211" i="9" s="1"/>
  <c r="V76" i="9"/>
  <c r="V84" i="9" s="1"/>
  <c r="V237" i="9" s="1"/>
  <c r="G265" i="9"/>
  <c r="X98" i="9" s="1"/>
  <c r="X96" i="9"/>
  <c r="X104" i="9" s="1"/>
  <c r="X239" i="9" s="1"/>
  <c r="G236" i="9"/>
  <c r="G241" i="9" s="1"/>
  <c r="X86" i="9"/>
  <c r="X94" i="9" s="1"/>
  <c r="X238" i="9" s="1"/>
  <c r="E236" i="9"/>
  <c r="E238" i="9" s="1"/>
  <c r="V86" i="9"/>
  <c r="V94" i="9" s="1"/>
  <c r="V238" i="9" s="1"/>
  <c r="G207" i="9"/>
  <c r="G212" i="9" s="1"/>
  <c r="X76" i="9"/>
  <c r="X84" i="9" s="1"/>
  <c r="X237" i="9" s="1"/>
  <c r="W90" i="9"/>
  <c r="C236" i="9"/>
  <c r="C238" i="9" s="1"/>
  <c r="T86" i="9"/>
  <c r="T94" i="9" s="1"/>
  <c r="T238" i="9" s="1"/>
  <c r="K114" i="9"/>
  <c r="P114" i="9" s="1"/>
  <c r="U50" i="9"/>
  <c r="F236" i="9"/>
  <c r="F238" i="9" s="1"/>
  <c r="W86" i="9"/>
  <c r="W94" i="9" s="1"/>
  <c r="W238" i="9" s="1"/>
  <c r="W80" i="9"/>
  <c r="K57" i="9"/>
  <c r="P57" i="9" s="1"/>
  <c r="U47" i="9"/>
  <c r="U55" i="9" s="1"/>
  <c r="K320" i="9"/>
  <c r="P320" i="9" s="1"/>
  <c r="D33" i="9"/>
  <c r="D35" i="9" s="1"/>
  <c r="J347" i="9"/>
  <c r="V131" i="9" s="1"/>
  <c r="K172" i="9"/>
  <c r="P172" i="9" s="1"/>
  <c r="J172" i="9"/>
  <c r="U71" i="9" s="1"/>
  <c r="E91" i="9"/>
  <c r="V30" i="9"/>
  <c r="X66" i="9"/>
  <c r="X74" i="9" s="1"/>
  <c r="X236" i="9" s="1"/>
  <c r="X68" i="9"/>
  <c r="G180" i="9"/>
  <c r="K290" i="9"/>
  <c r="P290" i="9" s="1"/>
  <c r="J434" i="9"/>
  <c r="V161" i="9" s="1"/>
  <c r="K433" i="9"/>
  <c r="P433" i="9" s="1"/>
  <c r="E33" i="9"/>
  <c r="V18" i="9" s="1"/>
  <c r="G33" i="9"/>
  <c r="X18" i="9" s="1"/>
  <c r="J173" i="9"/>
  <c r="K494" i="9"/>
  <c r="P494" i="9" s="1"/>
  <c r="J204" i="9"/>
  <c r="K233" i="9"/>
  <c r="P233" i="9" s="1"/>
  <c r="J346" i="9"/>
  <c r="U131" i="9" s="1"/>
  <c r="K375" i="9"/>
  <c r="P375" i="9" s="1"/>
  <c r="J519" i="9"/>
  <c r="T191" i="9" s="1"/>
  <c r="H31" i="9"/>
  <c r="K173" i="9"/>
  <c r="P173" i="9" s="1"/>
  <c r="K548" i="9"/>
  <c r="P548" i="9" s="1"/>
  <c r="E120" i="9"/>
  <c r="E182" i="9"/>
  <c r="J551" i="9"/>
  <c r="W201" i="9" s="1"/>
  <c r="K521" i="9"/>
  <c r="P521" i="9" s="1"/>
  <c r="K465" i="9"/>
  <c r="P465" i="9" s="1"/>
  <c r="J435" i="9"/>
  <c r="W161" i="9" s="1"/>
  <c r="K288" i="9"/>
  <c r="P288" i="9" s="1"/>
  <c r="G182" i="9"/>
  <c r="J175" i="9"/>
  <c r="X71" i="9" s="1"/>
  <c r="K175" i="9"/>
  <c r="P175" i="9" s="1"/>
  <c r="K404" i="9"/>
  <c r="P404" i="9" s="1"/>
  <c r="K349" i="9"/>
  <c r="P349" i="9" s="1"/>
  <c r="J349" i="9"/>
  <c r="X131" i="9" s="1"/>
  <c r="J291" i="9"/>
  <c r="X111" i="9" s="1"/>
  <c r="U68" i="9"/>
  <c r="D180" i="9"/>
  <c r="T68" i="9"/>
  <c r="C180" i="9"/>
  <c r="U66" i="9"/>
  <c r="U74" i="9" s="1"/>
  <c r="U236" i="9" s="1"/>
  <c r="J174" i="9"/>
  <c r="W71" i="9" s="1"/>
  <c r="K174" i="9"/>
  <c r="P174" i="9" s="1"/>
  <c r="T66" i="9"/>
  <c r="T74" i="9" s="1"/>
  <c r="T236" i="9" s="1"/>
  <c r="G183" i="9"/>
  <c r="C183" i="9"/>
  <c r="D182" i="9"/>
  <c r="F178" i="9"/>
  <c r="W66" i="9"/>
  <c r="W74" i="9" s="1"/>
  <c r="W236" i="9" s="1"/>
  <c r="E183" i="9"/>
  <c r="D183" i="9"/>
  <c r="E180" i="9"/>
  <c r="V68" i="9"/>
  <c r="H524" i="9"/>
  <c r="I525" i="9" s="1"/>
  <c r="AE33" i="9" s="1"/>
  <c r="K493" i="9"/>
  <c r="P493" i="9" s="1"/>
  <c r="J493" i="9"/>
  <c r="W181" i="9" s="1"/>
  <c r="K463" i="9"/>
  <c r="P463" i="9" s="1"/>
  <c r="J27" i="9"/>
  <c r="U21" i="9" s="1"/>
  <c r="J348" i="9"/>
  <c r="W131" i="9" s="1"/>
  <c r="U20" i="9"/>
  <c r="J579" i="9"/>
  <c r="V211" i="9" s="1"/>
  <c r="J114" i="9"/>
  <c r="U51" i="9" s="1"/>
  <c r="K549" i="9"/>
  <c r="P549" i="9" s="1"/>
  <c r="J317" i="9"/>
  <c r="U121" i="9" s="1"/>
  <c r="H60" i="9"/>
  <c r="I61" i="9" s="1"/>
  <c r="AE17" i="9" s="1"/>
  <c r="H292" i="9"/>
  <c r="I293" i="9" s="1"/>
  <c r="AE25" i="9" s="1"/>
  <c r="K289" i="9"/>
  <c r="P289" i="9" s="1"/>
  <c r="J289" i="9"/>
  <c r="V111" i="9" s="1"/>
  <c r="J202" i="9"/>
  <c r="K202" i="9"/>
  <c r="P202" i="9" s="1"/>
  <c r="I26" i="9"/>
  <c r="T20" i="9" s="1"/>
  <c r="K28" i="9"/>
  <c r="P28" i="9" s="1"/>
  <c r="V20" i="9"/>
  <c r="G62" i="9"/>
  <c r="X28" i="9" s="1"/>
  <c r="H553" i="9"/>
  <c r="I554" i="9" s="1"/>
  <c r="AE34" i="9" s="1"/>
  <c r="J522" i="9"/>
  <c r="W191" i="9" s="1"/>
  <c r="K522" i="9"/>
  <c r="P522" i="9" s="1"/>
  <c r="G149" i="9"/>
  <c r="G151" i="9" s="1"/>
  <c r="F120" i="9"/>
  <c r="W48" i="9" s="1"/>
  <c r="I376" i="9"/>
  <c r="I345" i="9"/>
  <c r="K318" i="9"/>
  <c r="P318" i="9" s="1"/>
  <c r="J318" i="9"/>
  <c r="V121" i="9" s="1"/>
  <c r="K578" i="9"/>
  <c r="P578" i="9" s="1"/>
  <c r="H234" i="9"/>
  <c r="I235" i="9" s="1"/>
  <c r="J578" i="9"/>
  <c r="U211" i="9" s="1"/>
  <c r="I550" i="9"/>
  <c r="G91" i="9"/>
  <c r="X38" i="9" s="1"/>
  <c r="J520" i="9"/>
  <c r="U191" i="9" s="1"/>
  <c r="K520" i="9"/>
  <c r="P520" i="9" s="1"/>
  <c r="D149" i="9"/>
  <c r="U58" i="9" s="1"/>
  <c r="C149" i="9"/>
  <c r="C151" i="9" s="1"/>
  <c r="K436" i="9"/>
  <c r="P436" i="9" s="1"/>
  <c r="J436" i="9"/>
  <c r="X161" i="9" s="1"/>
  <c r="K406" i="9"/>
  <c r="P406" i="9" s="1"/>
  <c r="J406" i="9"/>
  <c r="W151" i="9" s="1"/>
  <c r="J491" i="9"/>
  <c r="U181" i="9" s="1"/>
  <c r="K491" i="9"/>
  <c r="P491" i="9" s="1"/>
  <c r="K407" i="9"/>
  <c r="P407" i="9" s="1"/>
  <c r="J407" i="9"/>
  <c r="X151" i="9" s="1"/>
  <c r="J405" i="9"/>
  <c r="V151" i="9" s="1"/>
  <c r="K405" i="9"/>
  <c r="P405" i="9" s="1"/>
  <c r="I523" i="9"/>
  <c r="X190" i="9" s="1"/>
  <c r="K552" i="9"/>
  <c r="P552" i="9" s="1"/>
  <c r="J552" i="9"/>
  <c r="X201" i="9" s="1"/>
  <c r="K464" i="9"/>
  <c r="P464" i="9" s="1"/>
  <c r="J464" i="9"/>
  <c r="W171" i="9" s="1"/>
  <c r="J378" i="9"/>
  <c r="X141" i="9" s="1"/>
  <c r="K378" i="9"/>
  <c r="P378" i="9" s="1"/>
  <c r="K462" i="9"/>
  <c r="P462" i="9" s="1"/>
  <c r="J462" i="9"/>
  <c r="U171" i="9" s="1"/>
  <c r="J377" i="9"/>
  <c r="W141" i="9" s="1"/>
  <c r="K377" i="9"/>
  <c r="P377" i="9" s="1"/>
  <c r="I580" i="9"/>
  <c r="I403" i="9"/>
  <c r="I461" i="9"/>
  <c r="K492" i="9"/>
  <c r="P492" i="9" s="1"/>
  <c r="J492" i="9"/>
  <c r="V181" i="9" s="1"/>
  <c r="K261" i="9"/>
  <c r="P261" i="9" s="1"/>
  <c r="J261" i="9"/>
  <c r="W101" i="9" s="1"/>
  <c r="K262" i="9"/>
  <c r="P262" i="9" s="1"/>
  <c r="J262" i="9"/>
  <c r="X101" i="9" s="1"/>
  <c r="K259" i="9"/>
  <c r="P259" i="9" s="1"/>
  <c r="J259" i="9"/>
  <c r="U101" i="9" s="1"/>
  <c r="K232" i="9"/>
  <c r="P232" i="9" s="1"/>
  <c r="J232" i="9"/>
  <c r="I229" i="9"/>
  <c r="I116" i="9"/>
  <c r="H263" i="9"/>
  <c r="I264" i="9" s="1"/>
  <c r="AE24" i="9" s="1"/>
  <c r="I258" i="9"/>
  <c r="F62" i="9"/>
  <c r="F64" i="9" s="1"/>
  <c r="K230" i="9"/>
  <c r="P230" i="9" s="1"/>
  <c r="J230" i="9"/>
  <c r="U91" i="9" s="1"/>
  <c r="I200" i="9"/>
  <c r="G120" i="9"/>
  <c r="X48" i="9" s="1"/>
  <c r="J115" i="9"/>
  <c r="V51" i="9" s="1"/>
  <c r="K287" i="9"/>
  <c r="P287" i="9" s="1"/>
  <c r="J287" i="9"/>
  <c r="T111" i="9" s="1"/>
  <c r="C91" i="9"/>
  <c r="K231" i="9"/>
  <c r="P231" i="9" s="1"/>
  <c r="J231" i="9"/>
  <c r="K260" i="9"/>
  <c r="P260" i="9" s="1"/>
  <c r="J260" i="9"/>
  <c r="V101" i="9" s="1"/>
  <c r="K201" i="9"/>
  <c r="P201" i="9" s="1"/>
  <c r="J201" i="9"/>
  <c r="U81" i="9" s="1"/>
  <c r="X275" i="9"/>
  <c r="D91" i="9"/>
  <c r="U38" i="9" s="1"/>
  <c r="K203" i="9"/>
  <c r="P203" i="9" s="1"/>
  <c r="J203" i="9"/>
  <c r="W16" i="9"/>
  <c r="F33" i="9"/>
  <c r="K143" i="9"/>
  <c r="P143" i="9" s="1"/>
  <c r="J143" i="9"/>
  <c r="U61" i="9" s="1"/>
  <c r="U60" i="9"/>
  <c r="U30" i="9"/>
  <c r="K56" i="9"/>
  <c r="P56" i="9" s="1"/>
  <c r="J56" i="9"/>
  <c r="U31" i="9" s="1"/>
  <c r="J88" i="9"/>
  <c r="X41" i="9" s="1"/>
  <c r="K88" i="9"/>
  <c r="P88" i="9" s="1"/>
  <c r="X40" i="9"/>
  <c r="K117" i="9"/>
  <c r="P117" i="9" s="1"/>
  <c r="J117" i="9"/>
  <c r="X51" i="9" s="1"/>
  <c r="F149" i="9"/>
  <c r="I55" i="9"/>
  <c r="X30" i="9"/>
  <c r="K59" i="9"/>
  <c r="P59" i="9" s="1"/>
  <c r="J59" i="9"/>
  <c r="X31" i="9" s="1"/>
  <c r="AA64" i="9"/>
  <c r="E149" i="9"/>
  <c r="X276" i="9"/>
  <c r="X277" i="9" s="1"/>
  <c r="X60" i="9"/>
  <c r="K146" i="9"/>
  <c r="P146" i="9" s="1"/>
  <c r="J146" i="9"/>
  <c r="X61" i="9" s="1"/>
  <c r="K144" i="9"/>
  <c r="P144" i="9" s="1"/>
  <c r="J144" i="9"/>
  <c r="V60" i="9"/>
  <c r="U40" i="9"/>
  <c r="K85" i="9"/>
  <c r="P85" i="9" s="1"/>
  <c r="J85" i="9"/>
  <c r="U41" i="9" s="1"/>
  <c r="I142" i="9"/>
  <c r="C62" i="9"/>
  <c r="T276" i="9"/>
  <c r="T277" i="9" s="1"/>
  <c r="D62" i="9"/>
  <c r="J87" i="9"/>
  <c r="W41" i="9" s="1"/>
  <c r="K87" i="9"/>
  <c r="P87" i="9" s="1"/>
  <c r="W40" i="9"/>
  <c r="V26" i="9"/>
  <c r="V34" i="9" s="1"/>
  <c r="E62" i="9"/>
  <c r="F91" i="9"/>
  <c r="W38" i="9" s="1"/>
  <c r="H89" i="9"/>
  <c r="D120" i="9"/>
  <c r="U48" i="9" s="1"/>
  <c r="I84" i="9"/>
  <c r="W60" i="9"/>
  <c r="K145" i="9"/>
  <c r="P145" i="9" s="1"/>
  <c r="J145" i="9"/>
  <c r="W61" i="9" s="1"/>
  <c r="C120" i="9"/>
  <c r="T48" i="9" s="1"/>
  <c r="W30" i="9"/>
  <c r="K58" i="9"/>
  <c r="P58" i="9" s="1"/>
  <c r="J58" i="9"/>
  <c r="W31" i="9" s="1"/>
  <c r="J86" i="9"/>
  <c r="V41" i="9" s="1"/>
  <c r="K86" i="9"/>
  <c r="P86" i="9" s="1"/>
  <c r="V40" i="9"/>
  <c r="E470" i="9" l="1"/>
  <c r="AA34" i="9"/>
  <c r="V232" i="9"/>
  <c r="X291" i="9"/>
  <c r="X292" i="9" s="1"/>
  <c r="X231" i="9"/>
  <c r="E472" i="9"/>
  <c r="C209" i="9"/>
  <c r="T120" i="9"/>
  <c r="K577" i="9"/>
  <c r="P577" i="9" s="1"/>
  <c r="J577" i="9"/>
  <c r="T211" i="9" s="1"/>
  <c r="G588" i="9"/>
  <c r="C586" i="9"/>
  <c r="F586" i="9"/>
  <c r="C588" i="9"/>
  <c r="C560" i="9"/>
  <c r="F559" i="9"/>
  <c r="F556" i="9" s="1"/>
  <c r="W199" i="9" s="1"/>
  <c r="E531" i="9"/>
  <c r="E527" i="9" s="1"/>
  <c r="V189" i="9" s="1"/>
  <c r="D531" i="9"/>
  <c r="D527" i="9" s="1"/>
  <c r="U189" i="9" s="1"/>
  <c r="K490" i="9"/>
  <c r="P490" i="9" s="1"/>
  <c r="J496" i="9" s="1"/>
  <c r="AF32" i="9" s="1"/>
  <c r="J490" i="9"/>
  <c r="T181" i="9" s="1"/>
  <c r="F501" i="9"/>
  <c r="F499" i="9"/>
  <c r="C502" i="9"/>
  <c r="C499" i="9"/>
  <c r="E502" i="9"/>
  <c r="C501" i="9"/>
  <c r="E499" i="9"/>
  <c r="D473" i="9"/>
  <c r="C473" i="9"/>
  <c r="D472" i="9"/>
  <c r="D470" i="9"/>
  <c r="F470" i="9"/>
  <c r="F472" i="9"/>
  <c r="F473" i="9"/>
  <c r="K432" i="9"/>
  <c r="P432" i="9" s="1"/>
  <c r="J438" i="9" s="1"/>
  <c r="AF30" i="9" s="1"/>
  <c r="G444" i="9"/>
  <c r="G441" i="9"/>
  <c r="G443" i="9"/>
  <c r="G414" i="9"/>
  <c r="G412" i="9"/>
  <c r="G415" i="9"/>
  <c r="C412" i="9"/>
  <c r="E414" i="9"/>
  <c r="C386" i="9"/>
  <c r="J374" i="9"/>
  <c r="T141" i="9" s="1"/>
  <c r="D386" i="9"/>
  <c r="D382" i="9" s="1"/>
  <c r="U139" i="9" s="1"/>
  <c r="F386" i="9"/>
  <c r="E386" i="9"/>
  <c r="G383" i="9"/>
  <c r="F385" i="9"/>
  <c r="G385" i="9"/>
  <c r="G386" i="9"/>
  <c r="F383" i="9"/>
  <c r="E356" i="9"/>
  <c r="D357" i="9"/>
  <c r="J316" i="9"/>
  <c r="T121" i="9" s="1"/>
  <c r="K316" i="9"/>
  <c r="P316" i="9" s="1"/>
  <c r="J322" i="9" s="1"/>
  <c r="AF26" i="9" s="1"/>
  <c r="G327" i="9"/>
  <c r="G324" i="9" s="1"/>
  <c r="X119" i="9" s="1"/>
  <c r="D328" i="9"/>
  <c r="D325" i="9"/>
  <c r="D327" i="9"/>
  <c r="C299" i="9"/>
  <c r="C295" i="9" s="1"/>
  <c r="T109" i="9" s="1"/>
  <c r="F299" i="9"/>
  <c r="F295" i="9" s="1"/>
  <c r="W109" i="9" s="1"/>
  <c r="G270" i="9"/>
  <c r="G269" i="9"/>
  <c r="G267" i="9"/>
  <c r="E270" i="9"/>
  <c r="E267" i="9"/>
  <c r="C270" i="9"/>
  <c r="D269" i="9"/>
  <c r="E269" i="9"/>
  <c r="D267" i="9"/>
  <c r="D270" i="9"/>
  <c r="G238" i="9"/>
  <c r="G240" i="9"/>
  <c r="G237" i="9" s="1"/>
  <c r="C241" i="9"/>
  <c r="E240" i="9"/>
  <c r="E241" i="9"/>
  <c r="D211" i="9"/>
  <c r="D208" i="9" s="1"/>
  <c r="J171" i="9"/>
  <c r="T71" i="9" s="1"/>
  <c r="K171" i="9"/>
  <c r="P171" i="9" s="1"/>
  <c r="C182" i="9"/>
  <c r="C179" i="9" s="1"/>
  <c r="K113" i="9"/>
  <c r="P113" i="9" s="1"/>
  <c r="J113" i="9"/>
  <c r="T51" i="9" s="1"/>
  <c r="U276" i="9"/>
  <c r="U277" i="9" s="1"/>
  <c r="T160" i="9"/>
  <c r="E557" i="9"/>
  <c r="E560" i="9"/>
  <c r="E383" i="9"/>
  <c r="D356" i="9"/>
  <c r="T140" i="9"/>
  <c r="D354" i="9"/>
  <c r="X290" i="9"/>
  <c r="V276" i="9"/>
  <c r="V277" i="9" s="1"/>
  <c r="E212" i="9"/>
  <c r="E208" i="9" s="1"/>
  <c r="D209" i="9"/>
  <c r="F269" i="9"/>
  <c r="F267" i="9"/>
  <c r="F270" i="9"/>
  <c r="F328" i="9"/>
  <c r="F324" i="9" s="1"/>
  <c r="W119" i="9" s="1"/>
  <c r="E325" i="9"/>
  <c r="E327" i="9"/>
  <c r="E328" i="9"/>
  <c r="E354" i="9"/>
  <c r="E357" i="9"/>
  <c r="E412" i="9"/>
  <c r="E415" i="9"/>
  <c r="C415" i="9"/>
  <c r="E444" i="9"/>
  <c r="E473" i="9"/>
  <c r="F502" i="9"/>
  <c r="E501" i="9"/>
  <c r="F530" i="9"/>
  <c r="F531" i="9"/>
  <c r="F528" i="9"/>
  <c r="G559" i="9"/>
  <c r="G557" i="9"/>
  <c r="G560" i="9"/>
  <c r="G589" i="9"/>
  <c r="G586" i="9"/>
  <c r="E209" i="9"/>
  <c r="C531" i="9"/>
  <c r="C527" i="9" s="1"/>
  <c r="T189" i="9" s="1"/>
  <c r="D588" i="9"/>
  <c r="D585" i="9" s="1"/>
  <c r="U209" i="9" s="1"/>
  <c r="G472" i="9"/>
  <c r="V228" i="9"/>
  <c r="G470" i="9"/>
  <c r="E443" i="9"/>
  <c r="G473" i="9"/>
  <c r="E441" i="9"/>
  <c r="C470" i="9"/>
  <c r="G501" i="9"/>
  <c r="U219" i="9"/>
  <c r="D560" i="9"/>
  <c r="D556" i="9" s="1"/>
  <c r="U199" i="9" s="1"/>
  <c r="E298" i="9"/>
  <c r="E295" i="9" s="1"/>
  <c r="V109" i="9" s="1"/>
  <c r="G38" i="9"/>
  <c r="G499" i="9"/>
  <c r="U220" i="9"/>
  <c r="G502" i="9"/>
  <c r="D443" i="9"/>
  <c r="X223" i="9"/>
  <c r="D441" i="9"/>
  <c r="AA214" i="9"/>
  <c r="D444" i="9"/>
  <c r="C589" i="9"/>
  <c r="G528" i="9"/>
  <c r="W276" i="9"/>
  <c r="W277" i="9" s="1"/>
  <c r="U223" i="9"/>
  <c r="C327" i="9"/>
  <c r="C324" i="9" s="1"/>
  <c r="T119" i="9" s="1"/>
  <c r="AA174" i="9"/>
  <c r="W228" i="9"/>
  <c r="G531" i="9"/>
  <c r="D528" i="9"/>
  <c r="U188" i="9"/>
  <c r="AA194" i="9"/>
  <c r="F443" i="9"/>
  <c r="W24" i="9"/>
  <c r="W219" i="9"/>
  <c r="F357" i="9"/>
  <c r="F441" i="9"/>
  <c r="G298" i="9"/>
  <c r="G295" i="9" s="1"/>
  <c r="X109" i="9" s="1"/>
  <c r="G211" i="9"/>
  <c r="G208" i="9" s="1"/>
  <c r="AA184" i="9"/>
  <c r="V219" i="9"/>
  <c r="T188" i="9"/>
  <c r="C528" i="9"/>
  <c r="D586" i="9"/>
  <c r="U208" i="9"/>
  <c r="D501" i="9"/>
  <c r="C443" i="9"/>
  <c r="F356" i="9"/>
  <c r="F354" i="9"/>
  <c r="F444" i="9"/>
  <c r="D240" i="9"/>
  <c r="C472" i="9"/>
  <c r="T170" i="9"/>
  <c r="D502" i="9"/>
  <c r="F414" i="9"/>
  <c r="C441" i="9"/>
  <c r="C354" i="9"/>
  <c r="T24" i="9"/>
  <c r="T231" i="9" s="1"/>
  <c r="T219" i="9"/>
  <c r="U228" i="9"/>
  <c r="F557" i="9"/>
  <c r="W198" i="9"/>
  <c r="AA204" i="9"/>
  <c r="D557" i="9"/>
  <c r="U198" i="9"/>
  <c r="E586" i="9"/>
  <c r="V208" i="9"/>
  <c r="C383" i="9"/>
  <c r="C444" i="9"/>
  <c r="C357" i="9"/>
  <c r="U224" i="9"/>
  <c r="C557" i="9"/>
  <c r="T198" i="9"/>
  <c r="E528" i="9"/>
  <c r="V188" i="9"/>
  <c r="F211" i="9"/>
  <c r="D241" i="9"/>
  <c r="D415" i="9"/>
  <c r="C414" i="9"/>
  <c r="T150" i="9"/>
  <c r="F212" i="9"/>
  <c r="D414" i="9"/>
  <c r="F588" i="9"/>
  <c r="W210" i="9"/>
  <c r="F412" i="9"/>
  <c r="V220" i="9"/>
  <c r="AA154" i="9"/>
  <c r="D499" i="9"/>
  <c r="U291" i="9"/>
  <c r="U292" i="9" s="1"/>
  <c r="D412" i="9"/>
  <c r="X219" i="9"/>
  <c r="W220" i="9"/>
  <c r="F415" i="9"/>
  <c r="C267" i="9"/>
  <c r="C385" i="9"/>
  <c r="E589" i="9"/>
  <c r="E585" i="9" s="1"/>
  <c r="V209" i="9" s="1"/>
  <c r="F589" i="9"/>
  <c r="K550" i="9"/>
  <c r="P550" i="9" s="1"/>
  <c r="J554" i="9" s="1"/>
  <c r="AF34" i="9" s="1"/>
  <c r="V200" i="9"/>
  <c r="AA164" i="9"/>
  <c r="K376" i="9"/>
  <c r="P376" i="9" s="1"/>
  <c r="J380" i="9" s="1"/>
  <c r="AF28" i="9" s="1"/>
  <c r="V140" i="9"/>
  <c r="D296" i="9"/>
  <c r="D298" i="9"/>
  <c r="G356" i="9"/>
  <c r="AA144" i="9"/>
  <c r="F240" i="9"/>
  <c r="G354" i="9"/>
  <c r="G357" i="9"/>
  <c r="F241" i="9"/>
  <c r="D299" i="9"/>
  <c r="C356" i="9"/>
  <c r="T130" i="9"/>
  <c r="D383" i="9"/>
  <c r="U138" i="9"/>
  <c r="G325" i="9"/>
  <c r="X118" i="9"/>
  <c r="F296" i="9"/>
  <c r="W108" i="9"/>
  <c r="C296" i="9"/>
  <c r="T108" i="9"/>
  <c r="F325" i="9"/>
  <c r="W118" i="9"/>
  <c r="C325" i="9"/>
  <c r="T118" i="9"/>
  <c r="G296" i="9"/>
  <c r="X108" i="9"/>
  <c r="E296" i="9"/>
  <c r="V108" i="9"/>
  <c r="V61" i="9"/>
  <c r="V282" i="9" s="1"/>
  <c r="V283" i="9" s="1"/>
  <c r="I90" i="9"/>
  <c r="AE18" i="9" s="1"/>
  <c r="AE22" i="9"/>
  <c r="E125" i="9"/>
  <c r="V48" i="9"/>
  <c r="AA104" i="9"/>
  <c r="AA94" i="9"/>
  <c r="C37" i="9"/>
  <c r="C34" i="9" s="1"/>
  <c r="T19" i="9" s="1"/>
  <c r="T134" i="9"/>
  <c r="T242" i="9" s="1"/>
  <c r="T88" i="9"/>
  <c r="V78" i="9"/>
  <c r="V124" i="9"/>
  <c r="V241" i="9" s="1"/>
  <c r="V71" i="9"/>
  <c r="U78" i="9"/>
  <c r="U124" i="9"/>
  <c r="U241" i="9" s="1"/>
  <c r="V91" i="9"/>
  <c r="C269" i="9"/>
  <c r="T100" i="9"/>
  <c r="I32" i="9"/>
  <c r="AE16" i="9" s="1"/>
  <c r="W81" i="9"/>
  <c r="C211" i="9"/>
  <c r="C208" i="9" s="1"/>
  <c r="T80" i="9"/>
  <c r="C240" i="9"/>
  <c r="T90" i="9"/>
  <c r="X91" i="9"/>
  <c r="G209" i="9"/>
  <c r="X78" i="9"/>
  <c r="X124" i="9"/>
  <c r="X241" i="9" s="1"/>
  <c r="W78" i="9"/>
  <c r="W124" i="9"/>
  <c r="W241" i="9" s="1"/>
  <c r="C93" i="9"/>
  <c r="T38" i="9"/>
  <c r="V88" i="9"/>
  <c r="V134" i="9"/>
  <c r="V242" i="9" s="1"/>
  <c r="AE23" i="9"/>
  <c r="K116" i="9"/>
  <c r="P116" i="9" s="1"/>
  <c r="J119" i="9" s="1"/>
  <c r="AF19" i="9" s="1"/>
  <c r="W50" i="9"/>
  <c r="W281" i="9" s="1"/>
  <c r="V81" i="9"/>
  <c r="X81" i="9"/>
  <c r="E96" i="9"/>
  <c r="V38" i="9"/>
  <c r="AA84" i="9"/>
  <c r="W91" i="9"/>
  <c r="F183" i="9"/>
  <c r="W114" i="9"/>
  <c r="W134" i="9"/>
  <c r="W242" i="9" s="1"/>
  <c r="W88" i="9"/>
  <c r="X88" i="9"/>
  <c r="X134" i="9"/>
  <c r="X242" i="9" s="1"/>
  <c r="U88" i="9"/>
  <c r="U134" i="9"/>
  <c r="U242" i="9" s="1"/>
  <c r="T78" i="9"/>
  <c r="E95" i="9"/>
  <c r="E93" i="9"/>
  <c r="E559" i="9"/>
  <c r="K345" i="9"/>
  <c r="P345" i="9" s="1"/>
  <c r="J351" i="9" s="1"/>
  <c r="AF27" i="9" s="1"/>
  <c r="J345" i="9"/>
  <c r="T131" i="9" s="1"/>
  <c r="U18" i="9"/>
  <c r="D38" i="9"/>
  <c r="D37" i="9"/>
  <c r="E385" i="9"/>
  <c r="F180" i="9"/>
  <c r="E38" i="9"/>
  <c r="E35" i="9"/>
  <c r="E37" i="9"/>
  <c r="G37" i="9"/>
  <c r="G154" i="9"/>
  <c r="C35" i="9"/>
  <c r="T18" i="9"/>
  <c r="G35" i="9"/>
  <c r="E179" i="9"/>
  <c r="J177" i="9"/>
  <c r="AF21" i="9" s="1"/>
  <c r="W28" i="9"/>
  <c r="D151" i="9"/>
  <c r="E122" i="9"/>
  <c r="W275" i="9"/>
  <c r="E124" i="9"/>
  <c r="C154" i="9"/>
  <c r="F122" i="9"/>
  <c r="AA74" i="9"/>
  <c r="F125" i="9"/>
  <c r="G179" i="9"/>
  <c r="D179" i="9"/>
  <c r="W68" i="9"/>
  <c r="F182" i="9"/>
  <c r="G66" i="9"/>
  <c r="G67" i="9"/>
  <c r="G64" i="9"/>
  <c r="D153" i="9"/>
  <c r="D154" i="9"/>
  <c r="J293" i="9"/>
  <c r="AF25" i="9" s="1"/>
  <c r="J26" i="9"/>
  <c r="T21" i="9" s="1"/>
  <c r="C95" i="9"/>
  <c r="G153" i="9"/>
  <c r="C96" i="9"/>
  <c r="F66" i="9"/>
  <c r="X58" i="9"/>
  <c r="X278" i="9" s="1"/>
  <c r="F67" i="9"/>
  <c r="T58" i="9"/>
  <c r="J376" i="9"/>
  <c r="V141" i="9" s="1"/>
  <c r="K26" i="9"/>
  <c r="P26" i="9" s="1"/>
  <c r="J32" i="9" s="1"/>
  <c r="AF16" i="9" s="1"/>
  <c r="C556" i="9"/>
  <c r="T199" i="9" s="1"/>
  <c r="U275" i="9"/>
  <c r="F124" i="9"/>
  <c r="U281" i="9"/>
  <c r="G95" i="9"/>
  <c r="G93" i="9"/>
  <c r="G96" i="9"/>
  <c r="J550" i="9"/>
  <c r="V201" i="9" s="1"/>
  <c r="X281" i="9"/>
  <c r="K523" i="9"/>
  <c r="P523" i="9" s="1"/>
  <c r="J525" i="9" s="1"/>
  <c r="AF33" i="9" s="1"/>
  <c r="J523" i="9"/>
  <c r="X191" i="9" s="1"/>
  <c r="K461" i="9"/>
  <c r="P461" i="9" s="1"/>
  <c r="J467" i="9" s="1"/>
  <c r="AF31" i="9" s="1"/>
  <c r="J461" i="9"/>
  <c r="T171" i="9" s="1"/>
  <c r="J403" i="9"/>
  <c r="T151" i="9" s="1"/>
  <c r="K403" i="9"/>
  <c r="P403" i="9" s="1"/>
  <c r="J409" i="9" s="1"/>
  <c r="AF29" i="9" s="1"/>
  <c r="K580" i="9"/>
  <c r="P580" i="9" s="1"/>
  <c r="J580" i="9"/>
  <c r="W211" i="9" s="1"/>
  <c r="G530" i="9"/>
  <c r="D95" i="9"/>
  <c r="K229" i="9"/>
  <c r="P229" i="9" s="1"/>
  <c r="J235" i="9" s="1"/>
  <c r="J229" i="9"/>
  <c r="T91" i="9" s="1"/>
  <c r="V281" i="9"/>
  <c r="T275" i="9"/>
  <c r="D93" i="9"/>
  <c r="D96" i="9"/>
  <c r="X282" i="9"/>
  <c r="X283" i="9" s="1"/>
  <c r="J116" i="9"/>
  <c r="G124" i="9"/>
  <c r="G122" i="9"/>
  <c r="W18" i="9"/>
  <c r="F38" i="9"/>
  <c r="F35" i="9"/>
  <c r="F37" i="9"/>
  <c r="G125" i="9"/>
  <c r="J200" i="9"/>
  <c r="T81" i="9" s="1"/>
  <c r="K200" i="9"/>
  <c r="P200" i="9" s="1"/>
  <c r="J206" i="9" s="1"/>
  <c r="K258" i="9"/>
  <c r="P258" i="9" s="1"/>
  <c r="J264" i="9" s="1"/>
  <c r="AF24" i="9" s="1"/>
  <c r="J258" i="9"/>
  <c r="T101" i="9" s="1"/>
  <c r="E64" i="9"/>
  <c r="V28" i="9"/>
  <c r="E67" i="9"/>
  <c r="E66" i="9"/>
  <c r="C125" i="9"/>
  <c r="C122" i="9"/>
  <c r="C124" i="9"/>
  <c r="T40" i="9"/>
  <c r="K84" i="9"/>
  <c r="P84" i="9" s="1"/>
  <c r="J90" i="9" s="1"/>
  <c r="AF18" i="9" s="1"/>
  <c r="J84" i="9"/>
  <c r="T41" i="9" s="1"/>
  <c r="U290" i="9"/>
  <c r="C67" i="9"/>
  <c r="C64" i="9"/>
  <c r="C66" i="9"/>
  <c r="T28" i="9"/>
  <c r="F96" i="9"/>
  <c r="F93" i="9"/>
  <c r="F95" i="9"/>
  <c r="W58" i="9"/>
  <c r="F154" i="9"/>
  <c r="F151" i="9"/>
  <c r="F153" i="9"/>
  <c r="D122" i="9"/>
  <c r="D125" i="9"/>
  <c r="D124" i="9"/>
  <c r="T30" i="9"/>
  <c r="K55" i="9"/>
  <c r="P55" i="9" s="1"/>
  <c r="J61" i="9" s="1"/>
  <c r="AF17" i="9" s="1"/>
  <c r="J55" i="9"/>
  <c r="T31" i="9" s="1"/>
  <c r="E154" i="9"/>
  <c r="V58" i="9"/>
  <c r="E151" i="9"/>
  <c r="E153" i="9"/>
  <c r="T60" i="9"/>
  <c r="K142" i="9"/>
  <c r="P142" i="9" s="1"/>
  <c r="J148" i="9" s="1"/>
  <c r="AF20" i="9" s="1"/>
  <c r="J142" i="9"/>
  <c r="T61" i="9" s="1"/>
  <c r="U282" i="9"/>
  <c r="U283" i="9" s="1"/>
  <c r="C153" i="9"/>
  <c r="D64" i="9"/>
  <c r="U28" i="9"/>
  <c r="D67" i="9"/>
  <c r="D66" i="9"/>
  <c r="V275" i="9"/>
  <c r="E469" i="9" l="1"/>
  <c r="V169" i="9" s="1"/>
  <c r="AA114" i="9"/>
  <c r="W240" i="9"/>
  <c r="W291" i="9"/>
  <c r="W292" i="9" s="1"/>
  <c r="W231" i="9"/>
  <c r="T291" i="9"/>
  <c r="T292" i="9" s="1"/>
  <c r="T227" i="9"/>
  <c r="AA275" i="9"/>
  <c r="Z275" i="9"/>
  <c r="AX13" i="9"/>
  <c r="W290" i="9"/>
  <c r="J583" i="9"/>
  <c r="AF35" i="9" s="1"/>
  <c r="G585" i="9"/>
  <c r="X209" i="9" s="1"/>
  <c r="C585" i="9"/>
  <c r="T209" i="9" s="1"/>
  <c r="G556" i="9"/>
  <c r="X199" i="9" s="1"/>
  <c r="F498" i="9"/>
  <c r="W179" i="9" s="1"/>
  <c r="E498" i="9"/>
  <c r="V179" i="9" s="1"/>
  <c r="C498" i="9"/>
  <c r="T179" i="9" s="1"/>
  <c r="C469" i="9"/>
  <c r="T169" i="9" s="1"/>
  <c r="D469" i="9"/>
  <c r="U169" i="9" s="1"/>
  <c r="F469" i="9"/>
  <c r="W169" i="9" s="1"/>
  <c r="G440" i="9"/>
  <c r="X159" i="9" s="1"/>
  <c r="G411" i="9"/>
  <c r="X149" i="9" s="1"/>
  <c r="E411" i="9"/>
  <c r="V149" i="9" s="1"/>
  <c r="C411" i="9"/>
  <c r="T149" i="9" s="1"/>
  <c r="C382" i="9"/>
  <c r="T139" i="9" s="1"/>
  <c r="E382" i="9"/>
  <c r="V139" i="9" s="1"/>
  <c r="F382" i="9"/>
  <c r="W139" i="9" s="1"/>
  <c r="G382" i="9"/>
  <c r="X139" i="9" s="1"/>
  <c r="E353" i="9"/>
  <c r="V129" i="9" s="1"/>
  <c r="D353" i="9"/>
  <c r="U129" i="9" s="1"/>
  <c r="D324" i="9"/>
  <c r="U119" i="9" s="1"/>
  <c r="G266" i="9"/>
  <c r="X99" i="9" s="1"/>
  <c r="E266" i="9"/>
  <c r="V99" i="9" s="1"/>
  <c r="C266" i="9"/>
  <c r="T99" i="9" s="1"/>
  <c r="D266" i="9"/>
  <c r="U99" i="9" s="1"/>
  <c r="E237" i="9"/>
  <c r="V89" i="9" s="1"/>
  <c r="C237" i="9"/>
  <c r="T89" i="9" s="1"/>
  <c r="D440" i="9"/>
  <c r="U159" i="9" s="1"/>
  <c r="E556" i="9"/>
  <c r="V199" i="9" s="1"/>
  <c r="G469" i="9"/>
  <c r="X169" i="9" s="1"/>
  <c r="E324" i="9"/>
  <c r="V119" i="9" s="1"/>
  <c r="F527" i="9"/>
  <c r="W189" i="9" s="1"/>
  <c r="F411" i="9"/>
  <c r="W149" i="9" s="1"/>
  <c r="V223" i="9"/>
  <c r="V227" i="9"/>
  <c r="G34" i="9"/>
  <c r="X19" i="9" s="1"/>
  <c r="F440" i="9"/>
  <c r="W159" i="9" s="1"/>
  <c r="G498" i="9"/>
  <c r="X179" i="9" s="1"/>
  <c r="F266" i="9"/>
  <c r="W99" i="9" s="1"/>
  <c r="F237" i="9"/>
  <c r="W89" i="9" s="1"/>
  <c r="E440" i="9"/>
  <c r="V159" i="9" s="1"/>
  <c r="G353" i="9"/>
  <c r="X129" i="9" s="1"/>
  <c r="D237" i="9"/>
  <c r="U89" i="9" s="1"/>
  <c r="F353" i="9"/>
  <c r="W129" i="9" s="1"/>
  <c r="D498" i="9"/>
  <c r="U179" i="9" s="1"/>
  <c r="F585" i="9"/>
  <c r="W209" i="9" s="1"/>
  <c r="F208" i="9"/>
  <c r="W79" i="9" s="1"/>
  <c r="X227" i="9"/>
  <c r="U227" i="9"/>
  <c r="D295" i="9"/>
  <c r="U109" i="9" s="1"/>
  <c r="F179" i="9"/>
  <c r="W69" i="9" s="1"/>
  <c r="X224" i="9"/>
  <c r="V224" i="9"/>
  <c r="T223" i="9"/>
  <c r="V221" i="9"/>
  <c r="AA24" i="9"/>
  <c r="C440" i="9"/>
  <c r="T159" i="9" s="1"/>
  <c r="AZ25" i="9"/>
  <c r="BB21" i="9"/>
  <c r="AZ19" i="9"/>
  <c r="AX17" i="9"/>
  <c r="BC15" i="9"/>
  <c r="AX18" i="9"/>
  <c r="AZ24" i="9"/>
  <c r="BA21" i="9"/>
  <c r="AY19" i="9"/>
  <c r="BC16" i="9"/>
  <c r="BC14" i="9"/>
  <c r="AX15" i="9"/>
  <c r="AZ23" i="9"/>
  <c r="AZ21" i="9"/>
  <c r="BC18" i="9"/>
  <c r="BB16" i="9"/>
  <c r="BB14" i="9"/>
  <c r="AX14" i="9"/>
  <c r="BC25" i="9"/>
  <c r="AY25" i="9"/>
  <c r="AY21" i="9"/>
  <c r="BB18" i="9"/>
  <c r="BA16" i="9"/>
  <c r="BA14" i="9"/>
  <c r="BC24" i="9"/>
  <c r="AY24" i="9"/>
  <c r="BC20" i="9"/>
  <c r="BA18" i="9"/>
  <c r="AZ16" i="9"/>
  <c r="AZ14" i="9"/>
  <c r="BA13" i="9"/>
  <c r="BC23" i="9"/>
  <c r="AY23" i="9"/>
  <c r="BB20" i="9"/>
  <c r="AZ18" i="9"/>
  <c r="AY16" i="9"/>
  <c r="AX25" i="9"/>
  <c r="AZ13" i="9"/>
  <c r="BB25" i="9"/>
  <c r="BC22" i="9"/>
  <c r="BA20" i="9"/>
  <c r="AY18" i="9"/>
  <c r="AX16" i="9"/>
  <c r="AX24" i="9"/>
  <c r="AY13" i="9"/>
  <c r="BB24" i="9"/>
  <c r="BB22" i="9"/>
  <c r="AZ20" i="9"/>
  <c r="BC17" i="9"/>
  <c r="BB15" i="9"/>
  <c r="AX23" i="9"/>
  <c r="BC13" i="9"/>
  <c r="BB23" i="9"/>
  <c r="BA22" i="9"/>
  <c r="AY20" i="9"/>
  <c r="BB17" i="9"/>
  <c r="AY15" i="9"/>
  <c r="AX22" i="9"/>
  <c r="BB13" i="9"/>
  <c r="BA25" i="9"/>
  <c r="AZ22" i="9"/>
  <c r="BC19" i="9"/>
  <c r="BA17" i="9"/>
  <c r="AY14" i="9"/>
  <c r="AX21" i="9"/>
  <c r="BA24" i="9"/>
  <c r="AY22" i="9"/>
  <c r="BB19" i="9"/>
  <c r="AZ17" i="9"/>
  <c r="AZ15" i="9"/>
  <c r="AX20" i="9"/>
  <c r="BA23" i="9"/>
  <c r="BC21" i="9"/>
  <c r="BA19" i="9"/>
  <c r="AY17" i="9"/>
  <c r="BA15" i="9"/>
  <c r="AX19" i="9"/>
  <c r="C353" i="9"/>
  <c r="T129" i="9" s="1"/>
  <c r="D411" i="9"/>
  <c r="U149" i="9" s="1"/>
  <c r="U221" i="9"/>
  <c r="T224" i="9"/>
  <c r="X221" i="9"/>
  <c r="W227" i="9"/>
  <c r="E121" i="9"/>
  <c r="V49" i="9" s="1"/>
  <c r="W221" i="9"/>
  <c r="G527" i="9"/>
  <c r="X189" i="9" s="1"/>
  <c r="T290" i="9"/>
  <c r="T221" i="9"/>
  <c r="W223" i="9"/>
  <c r="T79" i="9"/>
  <c r="W51" i="9"/>
  <c r="T69" i="9"/>
  <c r="E92" i="9"/>
  <c r="V39" i="9" s="1"/>
  <c r="U79" i="9"/>
  <c r="AF23" i="9"/>
  <c r="X89" i="9"/>
  <c r="X79" i="9"/>
  <c r="V69" i="9"/>
  <c r="AA124" i="9"/>
  <c r="U69" i="9"/>
  <c r="X69" i="9"/>
  <c r="AA134" i="9"/>
  <c r="V79" i="9"/>
  <c r="AF22" i="9"/>
  <c r="D34" i="9"/>
  <c r="U19" i="9" s="1"/>
  <c r="E34" i="9"/>
  <c r="V19" i="9" s="1"/>
  <c r="G150" i="9"/>
  <c r="X59" i="9" s="1"/>
  <c r="C150" i="9"/>
  <c r="T59" i="9" s="1"/>
  <c r="D150" i="9"/>
  <c r="U59" i="9" s="1"/>
  <c r="F121" i="9"/>
  <c r="W49" i="9" s="1"/>
  <c r="C92" i="9"/>
  <c r="T39" i="9" s="1"/>
  <c r="F92" i="9"/>
  <c r="W39" i="9" s="1"/>
  <c r="G63" i="9"/>
  <c r="X29" i="9" s="1"/>
  <c r="F63" i="9"/>
  <c r="W29" i="9" s="1"/>
  <c r="G92" i="9"/>
  <c r="X39" i="9" s="1"/>
  <c r="T278" i="9"/>
  <c r="U278" i="9"/>
  <c r="F150" i="9"/>
  <c r="W59" i="9" s="1"/>
  <c r="E150" i="9"/>
  <c r="V59" i="9" s="1"/>
  <c r="C121" i="9"/>
  <c r="T49" i="9" s="1"/>
  <c r="E63" i="9"/>
  <c r="V29" i="9" s="1"/>
  <c r="G121" i="9"/>
  <c r="X49" i="9" s="1"/>
  <c r="D121" i="9"/>
  <c r="U49" i="9" s="1"/>
  <c r="D92" i="9"/>
  <c r="U39" i="9" s="1"/>
  <c r="T281" i="9"/>
  <c r="F34" i="9"/>
  <c r="W19" i="9" s="1"/>
  <c r="C63" i="9"/>
  <c r="T29" i="9" s="1"/>
  <c r="V291" i="9"/>
  <c r="V292" i="9" s="1"/>
  <c r="V290" i="9"/>
  <c r="D63" i="9"/>
  <c r="U29" i="9" s="1"/>
  <c r="W278" i="9"/>
  <c r="T282" i="9"/>
  <c r="T283" i="9" s="1"/>
  <c r="V278" i="9"/>
  <c r="BD19" i="9" l="1"/>
  <c r="BD24" i="9"/>
  <c r="BD13" i="9"/>
  <c r="BD22" i="9"/>
  <c r="BD20" i="9"/>
  <c r="BD18" i="9"/>
  <c r="BD17" i="9"/>
  <c r="BD23" i="9"/>
  <c r="BD14" i="9"/>
  <c r="BD25" i="9"/>
  <c r="BD16" i="9"/>
  <c r="BD15" i="9"/>
  <c r="BD21" i="9"/>
  <c r="X222" i="9"/>
  <c r="T222" i="9"/>
  <c r="W282" i="9"/>
  <c r="W283" i="9" s="1"/>
  <c r="W224" i="9"/>
  <c r="V222" i="9"/>
  <c r="AA290" i="9"/>
  <c r="U222" i="9"/>
  <c r="W222" i="9"/>
  <c r="V279" i="9"/>
  <c r="V280" i="9" s="1"/>
  <c r="X279" i="9"/>
  <c r="X280" i="9" s="1"/>
  <c r="W279" i="9"/>
  <c r="W280" i="9" s="1"/>
  <c r="T279" i="9"/>
  <c r="T280" i="9" s="1"/>
  <c r="U279" i="9"/>
  <c r="U280" i="9" s="1"/>
  <c r="BI64" i="9" l="1"/>
  <c r="BJ64" i="9" s="1"/>
  <c r="BJ263" i="9"/>
  <c r="BJ262" i="9"/>
  <c r="BI65" i="9"/>
  <c r="BJ65" i="9" s="1"/>
  <c r="BL65" i="9"/>
  <c r="BI66" i="9" l="1"/>
  <c r="BI68" i="9"/>
  <c r="BJ68" i="9" s="1"/>
  <c r="BI80" i="9"/>
  <c r="BJ80" i="9" s="1"/>
  <c r="BI69" i="9"/>
  <c r="BJ69" i="9" s="1"/>
  <c r="BI81" i="9"/>
  <c r="BJ81" i="9" s="1"/>
  <c r="BI93" i="9"/>
  <c r="BJ93" i="9" s="1"/>
  <c r="BI105" i="9"/>
  <c r="BJ105" i="9" s="1"/>
  <c r="BI117" i="9"/>
  <c r="BJ117" i="9" s="1"/>
  <c r="BI129" i="9"/>
  <c r="BJ129" i="9" s="1"/>
  <c r="BI141" i="9"/>
  <c r="BJ141" i="9" s="1"/>
  <c r="BI153" i="9"/>
  <c r="BJ153" i="9" s="1"/>
  <c r="BI165" i="9"/>
  <c r="BJ165" i="9" s="1"/>
  <c r="BI177" i="9"/>
  <c r="BJ177" i="9" s="1"/>
  <c r="BI189" i="9"/>
  <c r="BJ189" i="9" s="1"/>
  <c r="BI201" i="9"/>
  <c r="BJ201" i="9" s="1"/>
  <c r="BI213" i="9"/>
  <c r="BJ213" i="9" s="1"/>
  <c r="BI225" i="9"/>
  <c r="BJ225" i="9" s="1"/>
  <c r="BI237" i="9"/>
  <c r="BJ237" i="9" s="1"/>
  <c r="BI249" i="9"/>
  <c r="BJ249" i="9" s="1"/>
  <c r="BI261" i="9"/>
  <c r="BJ261" i="9" s="1"/>
  <c r="BI70" i="9"/>
  <c r="BJ70" i="9" s="1"/>
  <c r="BI98" i="9"/>
  <c r="BJ98" i="9" s="1"/>
  <c r="BI170" i="9"/>
  <c r="BJ170" i="9" s="1"/>
  <c r="BI254" i="9"/>
  <c r="BJ254" i="9" s="1"/>
  <c r="BI146" i="9"/>
  <c r="BJ146" i="9" s="1"/>
  <c r="BI218" i="9"/>
  <c r="BJ218" i="9" s="1"/>
  <c r="BI86" i="9"/>
  <c r="BJ86" i="9" s="1"/>
  <c r="BI134" i="9"/>
  <c r="BJ134" i="9" s="1"/>
  <c r="BI194" i="9"/>
  <c r="BJ194" i="9" s="1"/>
  <c r="BI230" i="9"/>
  <c r="BJ230" i="9" s="1"/>
  <c r="BI110" i="9"/>
  <c r="BJ110" i="9" s="1"/>
  <c r="BI158" i="9"/>
  <c r="BJ158" i="9" s="1"/>
  <c r="BI206" i="9"/>
  <c r="BJ206" i="9" s="1"/>
  <c r="BI122" i="9"/>
  <c r="BJ122" i="9" s="1"/>
  <c r="BI182" i="9"/>
  <c r="BJ182" i="9" s="1"/>
  <c r="BI242" i="9"/>
  <c r="BJ242" i="9" s="1"/>
  <c r="BI90" i="9"/>
  <c r="BJ90" i="9" s="1"/>
  <c r="BI102" i="9"/>
  <c r="BJ102" i="9" s="1"/>
  <c r="BI114" i="9"/>
  <c r="BJ114" i="9" s="1"/>
  <c r="BI126" i="9"/>
  <c r="BJ126" i="9" s="1"/>
  <c r="BI138" i="9"/>
  <c r="BJ138" i="9" s="1"/>
  <c r="BI150" i="9"/>
  <c r="BJ150" i="9" s="1"/>
  <c r="BI162" i="9"/>
  <c r="BJ162" i="9" s="1"/>
  <c r="BI174" i="9"/>
  <c r="BJ174" i="9" s="1"/>
  <c r="BI186" i="9"/>
  <c r="BJ186" i="9" s="1"/>
  <c r="BI198" i="9"/>
  <c r="BJ198" i="9" s="1"/>
  <c r="BI210" i="9"/>
  <c r="BJ210" i="9" s="1"/>
  <c r="BI222" i="9"/>
  <c r="BJ222" i="9" s="1"/>
  <c r="BI234" i="9"/>
  <c r="BJ234" i="9" s="1"/>
  <c r="BI246" i="9"/>
  <c r="BJ246" i="9" s="1"/>
  <c r="BI258" i="9"/>
  <c r="BJ258" i="9" s="1"/>
  <c r="BI173" i="9"/>
  <c r="BJ173" i="9" s="1"/>
  <c r="BI121" i="9"/>
  <c r="BJ121" i="9" s="1"/>
  <c r="BI191" i="9"/>
  <c r="BJ191" i="9" s="1"/>
  <c r="BI168" i="9"/>
  <c r="BJ168" i="9" s="1"/>
  <c r="BI166" i="9"/>
  <c r="BJ166" i="9" s="1"/>
  <c r="BI228" i="9"/>
  <c r="BJ228" i="9" s="1"/>
  <c r="BI176" i="9"/>
  <c r="BJ176" i="9" s="1"/>
  <c r="BI211" i="9"/>
  <c r="BJ211" i="9" s="1"/>
  <c r="BI259" i="9"/>
  <c r="BJ259" i="9" s="1"/>
  <c r="BI101" i="9"/>
  <c r="BJ101" i="9" s="1"/>
  <c r="BI172" i="9"/>
  <c r="BJ172" i="9" s="1"/>
  <c r="BI231" i="9"/>
  <c r="BJ231" i="9" s="1"/>
  <c r="BI87" i="9"/>
  <c r="BJ87" i="9" s="1"/>
  <c r="BI253" i="9"/>
  <c r="BJ253" i="9" s="1"/>
  <c r="BI109" i="9"/>
  <c r="BJ109" i="9" s="1"/>
  <c r="BI179" i="9"/>
  <c r="BJ179" i="9" s="1"/>
  <c r="BI132" i="9"/>
  <c r="BJ132" i="9" s="1"/>
  <c r="BI154" i="9"/>
  <c r="BJ154" i="9" s="1"/>
  <c r="BI180" i="9"/>
  <c r="BJ180" i="9" s="1"/>
  <c r="BI164" i="9"/>
  <c r="BJ164" i="9" s="1"/>
  <c r="BI199" i="9"/>
  <c r="BJ199" i="9" s="1"/>
  <c r="BI127" i="9"/>
  <c r="BJ127" i="9" s="1"/>
  <c r="BI89" i="9"/>
  <c r="BJ89" i="9" s="1"/>
  <c r="BI160" i="9"/>
  <c r="BJ160" i="9" s="1"/>
  <c r="BI219" i="9"/>
  <c r="BJ219" i="9" s="1"/>
  <c r="BI161" i="9"/>
  <c r="BJ161" i="9" s="1"/>
  <c r="BI243" i="9"/>
  <c r="BJ243" i="9" s="1"/>
  <c r="BI241" i="9"/>
  <c r="BJ241" i="9" s="1"/>
  <c r="BI97" i="9"/>
  <c r="BJ97" i="9" s="1"/>
  <c r="BI167" i="9"/>
  <c r="BJ167" i="9" s="1"/>
  <c r="BI84" i="9"/>
  <c r="BJ84" i="9" s="1"/>
  <c r="BI142" i="9"/>
  <c r="BJ142" i="9" s="1"/>
  <c r="BI144" i="9"/>
  <c r="BJ144" i="9" s="1"/>
  <c r="BI152" i="9"/>
  <c r="BJ152" i="9" s="1"/>
  <c r="BI187" i="9"/>
  <c r="BJ187" i="9" s="1"/>
  <c r="BI75" i="9"/>
  <c r="BJ75" i="9" s="1"/>
  <c r="BI74" i="9"/>
  <c r="BJ74" i="9" s="1"/>
  <c r="BI148" i="9"/>
  <c r="BJ148" i="9" s="1"/>
  <c r="BI207" i="9"/>
  <c r="BJ207" i="9" s="1"/>
  <c r="BI71" i="9"/>
  <c r="BJ71" i="9" s="1"/>
  <c r="BI188" i="9"/>
  <c r="BJ188" i="9" s="1"/>
  <c r="BI229" i="9"/>
  <c r="BJ229" i="9" s="1"/>
  <c r="BI85" i="9"/>
  <c r="BJ85" i="9" s="1"/>
  <c r="BI155" i="9"/>
  <c r="BJ155" i="9" s="1"/>
  <c r="BI79" i="9"/>
  <c r="BJ79" i="9" s="1"/>
  <c r="BI130" i="9"/>
  <c r="BJ130" i="9" s="1"/>
  <c r="BI96" i="9"/>
  <c r="BJ96" i="9" s="1"/>
  <c r="BI140" i="9"/>
  <c r="BJ140" i="9" s="1"/>
  <c r="BI175" i="9"/>
  <c r="BJ175" i="9" s="1"/>
  <c r="BI257" i="9"/>
  <c r="BJ257" i="9" s="1"/>
  <c r="BI125" i="9"/>
  <c r="BJ125" i="9" s="1"/>
  <c r="BI136" i="9"/>
  <c r="BJ136" i="9" s="1"/>
  <c r="BI195" i="9"/>
  <c r="BJ195" i="9" s="1"/>
  <c r="BI113" i="9"/>
  <c r="BJ113" i="9" s="1"/>
  <c r="BI217" i="9"/>
  <c r="BJ217" i="9" s="1"/>
  <c r="BI240" i="9"/>
  <c r="BJ240" i="9" s="1"/>
  <c r="BI143" i="9"/>
  <c r="BJ143" i="9" s="1"/>
  <c r="BI67" i="9"/>
  <c r="BJ67" i="9" s="1"/>
  <c r="BI118" i="9"/>
  <c r="BJ118" i="9" s="1"/>
  <c r="BI77" i="9"/>
  <c r="BJ77" i="9" s="1"/>
  <c r="BI128" i="9"/>
  <c r="BJ128" i="9" s="1"/>
  <c r="BI163" i="9"/>
  <c r="BJ163" i="9" s="1"/>
  <c r="BI245" i="9"/>
  <c r="BJ245" i="9" s="1"/>
  <c r="BI73" i="9"/>
  <c r="BJ73" i="9" s="1"/>
  <c r="BI124" i="9"/>
  <c r="BJ124" i="9" s="1"/>
  <c r="BI183" i="9"/>
  <c r="BJ183" i="9" s="1"/>
  <c r="BI223" i="9"/>
  <c r="BJ223" i="9" s="1"/>
  <c r="BI205" i="9"/>
  <c r="BJ205" i="9" s="1"/>
  <c r="BI192" i="9"/>
  <c r="BJ192" i="9" s="1"/>
  <c r="BI131" i="9"/>
  <c r="BJ131" i="9" s="1"/>
  <c r="BI250" i="9"/>
  <c r="BJ250" i="9" s="1"/>
  <c r="BI106" i="9"/>
  <c r="BJ106" i="9" s="1"/>
  <c r="BI260" i="9"/>
  <c r="BJ260" i="9" s="1"/>
  <c r="BI116" i="9"/>
  <c r="BJ116" i="9" s="1"/>
  <c r="BI151" i="9"/>
  <c r="BJ151" i="9" s="1"/>
  <c r="BI233" i="9"/>
  <c r="BJ233" i="9" s="1"/>
  <c r="BI256" i="9"/>
  <c r="BJ256" i="9" s="1"/>
  <c r="BI112" i="9"/>
  <c r="BJ112" i="9" s="1"/>
  <c r="BI171" i="9"/>
  <c r="BJ171" i="9" s="1"/>
  <c r="BI184" i="9"/>
  <c r="BJ184" i="9" s="1"/>
  <c r="BI193" i="9"/>
  <c r="BJ193" i="9" s="1"/>
  <c r="BI120" i="9"/>
  <c r="BJ120" i="9" s="1"/>
  <c r="BI119" i="9"/>
  <c r="BJ119" i="9" s="1"/>
  <c r="BI238" i="9"/>
  <c r="BJ238" i="9" s="1"/>
  <c r="BI94" i="9"/>
  <c r="BJ94" i="9" s="1"/>
  <c r="BI248" i="9"/>
  <c r="BJ248" i="9" s="1"/>
  <c r="BI104" i="9"/>
  <c r="BJ104" i="9" s="1"/>
  <c r="BI139" i="9"/>
  <c r="BJ139" i="9" s="1"/>
  <c r="BI221" i="9"/>
  <c r="BJ221" i="9" s="1"/>
  <c r="BI244" i="9"/>
  <c r="BJ244" i="9" s="1"/>
  <c r="BI100" i="9"/>
  <c r="BJ100" i="9" s="1"/>
  <c r="BI159" i="9"/>
  <c r="BJ159" i="9" s="1"/>
  <c r="BI204" i="9"/>
  <c r="BJ204" i="9" s="1"/>
  <c r="BI181" i="9"/>
  <c r="BJ181" i="9" s="1"/>
  <c r="BI251" i="9"/>
  <c r="BJ251" i="9" s="1"/>
  <c r="BI107" i="9"/>
  <c r="BJ107" i="9" s="1"/>
  <c r="BI226" i="9"/>
  <c r="BJ226" i="9" s="1"/>
  <c r="BI82" i="9"/>
  <c r="BJ82" i="9" s="1"/>
  <c r="BI236" i="9"/>
  <c r="BJ236" i="9" s="1"/>
  <c r="BI92" i="9"/>
  <c r="BJ92" i="9" s="1"/>
  <c r="BI115" i="9"/>
  <c r="BJ115" i="9" s="1"/>
  <c r="BI209" i="9"/>
  <c r="BJ209" i="9" s="1"/>
  <c r="BI232" i="9"/>
  <c r="BJ232" i="9" s="1"/>
  <c r="BI88" i="9"/>
  <c r="BJ88" i="9" s="1"/>
  <c r="BI147" i="9"/>
  <c r="BJ147" i="9" s="1"/>
  <c r="BI203" i="9"/>
  <c r="BJ203" i="9" s="1"/>
  <c r="BI169" i="9"/>
  <c r="BJ169" i="9" s="1"/>
  <c r="BI239" i="9"/>
  <c r="BJ239" i="9" s="1"/>
  <c r="BI95" i="9"/>
  <c r="BJ95" i="9" s="1"/>
  <c r="BI214" i="9"/>
  <c r="BJ214" i="9" s="1"/>
  <c r="BI216" i="9"/>
  <c r="BJ216" i="9" s="1"/>
  <c r="BI224" i="9"/>
  <c r="BJ224" i="9" s="1"/>
  <c r="BI76" i="9"/>
  <c r="BJ76" i="9" s="1"/>
  <c r="BI103" i="9"/>
  <c r="BJ103" i="9" s="1"/>
  <c r="BI185" i="9"/>
  <c r="BJ185" i="9" s="1"/>
  <c r="BI220" i="9"/>
  <c r="BJ220" i="9" s="1"/>
  <c r="BI197" i="9"/>
  <c r="BJ197" i="9" s="1"/>
  <c r="BI135" i="9"/>
  <c r="BJ135" i="9" s="1"/>
  <c r="BI178" i="9"/>
  <c r="BJ178" i="9" s="1"/>
  <c r="BI157" i="9"/>
  <c r="BJ157" i="9" s="1"/>
  <c r="BI227" i="9"/>
  <c r="BJ227" i="9" s="1"/>
  <c r="BI83" i="9"/>
  <c r="BJ83" i="9" s="1"/>
  <c r="BI202" i="9"/>
  <c r="BJ202" i="9" s="1"/>
  <c r="BI156" i="9"/>
  <c r="BJ156" i="9" s="1"/>
  <c r="BI212" i="9"/>
  <c r="BJ212" i="9" s="1"/>
  <c r="BI247" i="9"/>
  <c r="BJ247" i="9" s="1"/>
  <c r="BI91" i="9"/>
  <c r="BJ91" i="9" s="1"/>
  <c r="BI149" i="9"/>
  <c r="BJ149" i="9" s="1"/>
  <c r="BI208" i="9"/>
  <c r="BJ208" i="9" s="1"/>
  <c r="BI72" i="9"/>
  <c r="BJ72" i="9" s="1"/>
  <c r="BI123" i="9"/>
  <c r="BJ123" i="9" s="1"/>
  <c r="BI78" i="9"/>
  <c r="BJ78" i="9" s="1"/>
  <c r="BI145" i="9"/>
  <c r="BJ145" i="9" s="1"/>
  <c r="BI215" i="9"/>
  <c r="BJ215" i="9" s="1"/>
  <c r="BI252" i="9"/>
  <c r="BJ252" i="9" s="1"/>
  <c r="BI190" i="9"/>
  <c r="BJ190" i="9" s="1"/>
  <c r="BI108" i="9"/>
  <c r="BJ108" i="9" s="1"/>
  <c r="BI200" i="9"/>
  <c r="BJ200" i="9" s="1"/>
  <c r="BI235" i="9"/>
  <c r="BJ235" i="9" s="1"/>
  <c r="BI137" i="9"/>
  <c r="BJ137" i="9" s="1"/>
  <c r="BI196" i="9"/>
  <c r="BJ196" i="9" s="1"/>
  <c r="BI255" i="9"/>
  <c r="BJ255" i="9" s="1"/>
  <c r="BI111" i="9"/>
  <c r="BJ111" i="9" s="1"/>
  <c r="BI133" i="9"/>
  <c r="BJ133" i="9" s="1"/>
  <c r="BI99" i="9"/>
  <c r="BJ99" i="9" s="1"/>
  <c r="BL66" i="9" l="1"/>
  <c r="BL69" i="9" s="1"/>
  <c r="BL70" i="9" s="1"/>
  <c r="BL71" i="9" s="1"/>
  <c r="BJ66" i="9"/>
  <c r="BJ264" i="9" s="1"/>
  <c r="BM66" i="9" s="1"/>
  <c r="I183" i="34" l="1"/>
  <c r="I184" i="34"/>
  <c r="D199" i="34" l="1"/>
  <c r="D200" i="34" s="1"/>
  <c r="H199" i="34"/>
  <c r="H200" i="34" s="1"/>
  <c r="G199" i="34"/>
  <c r="F199" i="34"/>
  <c r="F200" i="34" s="1"/>
  <c r="E199" i="34"/>
  <c r="E200" i="34" s="1"/>
  <c r="I185" i="34"/>
  <c r="M185" i="34" s="1"/>
  <c r="M183" i="34"/>
  <c r="H447" i="34"/>
  <c r="K389" i="34" l="1"/>
  <c r="F201" i="34"/>
  <c r="K376" i="34" s="1"/>
  <c r="L200" i="34"/>
  <c r="L460" i="34" s="1"/>
  <c r="I199" i="34"/>
  <c r="G200" i="34"/>
  <c r="K200" i="34" s="1"/>
  <c r="K460" i="34" s="1"/>
  <c r="E201" i="34"/>
  <c r="J376" i="34" s="1"/>
  <c r="J389" i="34"/>
  <c r="M389" i="34"/>
  <c r="H201" i="34"/>
  <c r="M376" i="34" s="1"/>
  <c r="I389" i="34"/>
  <c r="D201" i="34"/>
  <c r="I376" i="34" s="1"/>
  <c r="K201" i="34" l="1"/>
  <c r="K447" i="34" s="1"/>
  <c r="L389" i="34"/>
  <c r="G201" i="34"/>
  <c r="L376" i="34" s="1"/>
  <c r="L201" i="34"/>
  <c r="L447" i="34" s="1"/>
  <c r="D322" i="34" s="1"/>
  <c r="H321" i="34" s="1"/>
</calcChain>
</file>

<file path=xl/sharedStrings.xml><?xml version="1.0" encoding="utf-8"?>
<sst xmlns="http://schemas.openxmlformats.org/spreadsheetml/2006/main" count="25006" uniqueCount="958">
  <si>
    <t>Map</t>
  </si>
  <si>
    <t>UA</t>
  </si>
  <si>
    <t>PA</t>
  </si>
  <si>
    <t>Water</t>
  </si>
  <si>
    <t>Bare-Rock-Built</t>
  </si>
  <si>
    <t>Agriculture-Grass</t>
  </si>
  <si>
    <t>Forest</t>
  </si>
  <si>
    <t>Shrubland-Wetland</t>
  </si>
  <si>
    <t>Class</t>
  </si>
  <si>
    <t>Area[Ha]</t>
  </si>
  <si>
    <t>Sample</t>
  </si>
  <si>
    <t>Area[%]</t>
  </si>
  <si>
    <t>OA</t>
  </si>
  <si>
    <t>com_error</t>
  </si>
  <si>
    <t>omi_error</t>
  </si>
  <si>
    <t>Error Matrix 4.1</t>
  </si>
  <si>
    <t>Total Area[Ha]</t>
  </si>
  <si>
    <t>RF Result</t>
  </si>
  <si>
    <r>
      <t>W</t>
    </r>
    <r>
      <rPr>
        <vertAlign val="subscript"/>
        <sz val="11"/>
        <color theme="1"/>
        <rFont val="Aptos Narrow"/>
        <family val="2"/>
        <scheme val="minor"/>
      </rPr>
      <t>i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</si>
  <si>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+k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</si>
  <si>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k+</t>
    </r>
  </si>
  <si>
    <t>Population</t>
  </si>
  <si>
    <t>Error Matrix 4.2</t>
  </si>
  <si>
    <t>Stratified Random Sampling</t>
  </si>
  <si>
    <t>O</t>
  </si>
  <si>
    <r>
      <t>n</t>
    </r>
    <r>
      <rPr>
        <vertAlign val="subscript"/>
        <sz val="11"/>
        <color theme="1"/>
        <rFont val="Aptos Narrow"/>
        <family val="2"/>
        <scheme val="minor"/>
      </rPr>
      <t>+k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</si>
  <si>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k+</t>
    </r>
  </si>
  <si>
    <r>
      <t>W</t>
    </r>
    <r>
      <rPr>
        <vertAlign val="subscript"/>
        <sz val="11"/>
        <color theme="1"/>
        <rFont val="Aptos Narrow"/>
        <family val="2"/>
        <scheme val="minor"/>
      </rPr>
      <t>k</t>
    </r>
  </si>
  <si>
    <t>Total%</t>
  </si>
  <si>
    <t>(SE)</t>
  </si>
  <si>
    <t>Prod%</t>
  </si>
  <si>
    <t>User%</t>
  </si>
  <si>
    <r>
      <t>U</t>
    </r>
    <r>
      <rPr>
        <vertAlign val="subscript"/>
        <sz val="11"/>
        <color theme="1"/>
        <rFont val="Aptos Narrow"/>
        <family val="2"/>
        <scheme val="minor"/>
      </rPr>
      <t>i</t>
    </r>
  </si>
  <si>
    <r>
      <t>W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2*Ui*(1-Ui)/(ni+-1)</t>
    </r>
  </si>
  <si>
    <t>Term 1</t>
  </si>
  <si>
    <t>Term 2</t>
  </si>
  <si>
    <t>Total</t>
  </si>
  <si>
    <t>omi_error%</t>
  </si>
  <si>
    <t>com_error%</t>
  </si>
  <si>
    <t>(SE%)</t>
  </si>
  <si>
    <r>
      <t>S</t>
    </r>
    <r>
      <rPr>
        <i/>
        <vertAlign val="subscript"/>
        <sz val="12"/>
        <color theme="1"/>
        <rFont val="Times New Roman"/>
        <family val="1"/>
      </rPr>
      <t xml:space="preserve">i </t>
    </r>
    <r>
      <rPr>
        <sz val="12"/>
        <color theme="1"/>
        <rFont val="Times New Roman"/>
        <family val="1"/>
      </rPr>
      <t xml:space="preserve">=    </t>
    </r>
  </si>
  <si>
    <t>GUE</t>
  </si>
  <si>
    <r>
      <t>S</t>
    </r>
    <r>
      <rPr>
        <vertAlign val="subscript"/>
        <sz val="11"/>
        <color theme="1"/>
        <rFont val="Aptos Narrow"/>
        <family val="2"/>
        <scheme val="minor"/>
      </rPr>
      <t>i</t>
    </r>
  </si>
  <si>
    <r>
      <t>W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*S</t>
    </r>
    <r>
      <rPr>
        <vertAlign val="subscript"/>
        <sz val="11"/>
        <color theme="1"/>
        <rFont val="Aptos Narrow"/>
        <family val="2"/>
        <scheme val="minor"/>
      </rPr>
      <t>i</t>
    </r>
  </si>
  <si>
    <t>n</t>
  </si>
  <si>
    <t>ACB_G</t>
  </si>
  <si>
    <t>Random column is added to each class sample</t>
  </si>
  <si>
    <t>Train test ratio is now 0,7-0,3</t>
  </si>
  <si>
    <t>px</t>
  </si>
  <si>
    <t>+</t>
  </si>
  <si>
    <t>Number of Trees is set to 18</t>
  </si>
  <si>
    <t>Sample%</t>
  </si>
  <si>
    <t>Random Seed: 0</t>
  </si>
  <si>
    <t>Random Seed: 1</t>
  </si>
  <si>
    <t>Train Size</t>
  </si>
  <si>
    <t>Spatial filter is set to 1000m to reduce autocorrelation</t>
  </si>
  <si>
    <t>F-score</t>
  </si>
  <si>
    <t>Prec.</t>
  </si>
  <si>
    <t>Recall</t>
  </si>
  <si>
    <t>(Spatial Filter)</t>
  </si>
  <si>
    <t>Test Size</t>
  </si>
  <si>
    <t>Random Seed: 2</t>
  </si>
  <si>
    <t>Random Seed: 3</t>
  </si>
  <si>
    <t>Stats</t>
  </si>
  <si>
    <t>Random Seed: 4</t>
  </si>
  <si>
    <t>CI_95</t>
  </si>
  <si>
    <t>px count</t>
  </si>
  <si>
    <t>SE</t>
  </si>
  <si>
    <r>
      <t>A</t>
    </r>
    <r>
      <rPr>
        <vertAlign val="subscript"/>
        <sz val="11"/>
        <color theme="1"/>
        <rFont val="Aptos Narrow"/>
        <family val="2"/>
        <scheme val="minor"/>
      </rPr>
      <t>j</t>
    </r>
    <r>
      <rPr>
        <sz val="11"/>
        <color theme="1"/>
        <rFont val="Aptos Narrow"/>
        <family val="2"/>
        <scheme val="minor"/>
      </rPr>
      <t>[Ha]</t>
    </r>
  </si>
  <si>
    <t>Acc. Derived</t>
  </si>
  <si>
    <t>Seed: 0</t>
  </si>
  <si>
    <t>Seed: 1</t>
  </si>
  <si>
    <t>Seed: 2</t>
  </si>
  <si>
    <t>Seed: 3</t>
  </si>
  <si>
    <t>Acc. Derived (M)</t>
  </si>
  <si>
    <t>px count (M)</t>
  </si>
  <si>
    <t>Seed: 4</t>
  </si>
  <si>
    <t>Ô</t>
  </si>
  <si>
    <t>mean</t>
  </si>
  <si>
    <t>Q25</t>
  </si>
  <si>
    <t>Q75</t>
  </si>
  <si>
    <t>Min</t>
  </si>
  <si>
    <t>Median</t>
  </si>
  <si>
    <t>Random Seed: 5</t>
  </si>
  <si>
    <t>Random Seed: 6</t>
  </si>
  <si>
    <t>Random Seed: 7</t>
  </si>
  <si>
    <t>Random Seed: 8</t>
  </si>
  <si>
    <t>Random Seed: 9</t>
  </si>
  <si>
    <t>Random Seed: 10</t>
  </si>
  <si>
    <t>Random Seed: 11</t>
  </si>
  <si>
    <t>Random Seed: 12</t>
  </si>
  <si>
    <t>Random Seed: 13</t>
  </si>
  <si>
    <t>Random Seed: 14</t>
  </si>
  <si>
    <t>Random Seed: 15</t>
  </si>
  <si>
    <t>Random Seed: 16</t>
  </si>
  <si>
    <t>Random Seed: 17</t>
  </si>
  <si>
    <t>Random Seed: 18</t>
  </si>
  <si>
    <t>Random Seed: 19</t>
  </si>
  <si>
    <t>Seed: 5</t>
  </si>
  <si>
    <t>Seed: 6</t>
  </si>
  <si>
    <t>Seed: 7</t>
  </si>
  <si>
    <t>Seed: 8</t>
  </si>
  <si>
    <t>Seed: 9</t>
  </si>
  <si>
    <t>Seed: 10</t>
  </si>
  <si>
    <t>Seed: 11</t>
  </si>
  <si>
    <t>Seed: 12</t>
  </si>
  <si>
    <t>Seed: 13</t>
  </si>
  <si>
    <t>Seed: 14</t>
  </si>
  <si>
    <t>Seed: 15</t>
  </si>
  <si>
    <t>Seed: 16</t>
  </si>
  <si>
    <t>Seed: 17</t>
  </si>
  <si>
    <t>Seed: 18</t>
  </si>
  <si>
    <t>Seed: 19</t>
  </si>
  <si>
    <t>Seed: 20</t>
  </si>
  <si>
    <t>Seed: 21</t>
  </si>
  <si>
    <t>Seed: 22</t>
  </si>
  <si>
    <t>Seed: 23</t>
  </si>
  <si>
    <t>Seed: 24</t>
  </si>
  <si>
    <t>Seed: 25</t>
  </si>
  <si>
    <t>Seed: 26</t>
  </si>
  <si>
    <t>Seed: 27</t>
  </si>
  <si>
    <t>Seed: 28</t>
  </si>
  <si>
    <t>Seed: 29</t>
  </si>
  <si>
    <t>tot-prod</t>
  </si>
  <si>
    <t>f-score</t>
  </si>
  <si>
    <t>oa</t>
  </si>
  <si>
    <t>o - se</t>
  </si>
  <si>
    <t>OA_5</t>
  </si>
  <si>
    <t>OA_10</t>
  </si>
  <si>
    <t>OA_20</t>
  </si>
  <si>
    <t>OA_30</t>
  </si>
  <si>
    <t>Ô_5</t>
  </si>
  <si>
    <t>Ô_20</t>
  </si>
  <si>
    <t>Ô_30</t>
  </si>
  <si>
    <t>Ô_10</t>
  </si>
  <si>
    <t>Seed: 30</t>
  </si>
  <si>
    <t>Seed: 31</t>
  </si>
  <si>
    <t>Seed: 32</t>
  </si>
  <si>
    <t>Seed: 33</t>
  </si>
  <si>
    <t>Seed: 34</t>
  </si>
  <si>
    <t>Seed: 35</t>
  </si>
  <si>
    <t>Seed: 36</t>
  </si>
  <si>
    <t>Seed: 37</t>
  </si>
  <si>
    <t>Seed: 38</t>
  </si>
  <si>
    <t>Seed: 39</t>
  </si>
  <si>
    <t>Seed: 40</t>
  </si>
  <si>
    <t>Seed: 41</t>
  </si>
  <si>
    <t>Seed: 42</t>
  </si>
  <si>
    <t>Seed: 43</t>
  </si>
  <si>
    <t>Seed: 44</t>
  </si>
  <si>
    <t>Seed: 45</t>
  </si>
  <si>
    <t>Seed: 46</t>
  </si>
  <si>
    <t>Seed: 47</t>
  </si>
  <si>
    <t>Seed: 48</t>
  </si>
  <si>
    <t>Seed: 49</t>
  </si>
  <si>
    <t>OA_40</t>
  </si>
  <si>
    <t>OA_50</t>
  </si>
  <si>
    <t>Ô_40</t>
  </si>
  <si>
    <t>Ô_50</t>
  </si>
  <si>
    <t>Seed: 56</t>
  </si>
  <si>
    <t>Seed: 95</t>
  </si>
  <si>
    <t>Seed: 97</t>
  </si>
  <si>
    <t>user-pxcount</t>
  </si>
  <si>
    <t>Seed: 50</t>
  </si>
  <si>
    <t>Seed: 51</t>
  </si>
  <si>
    <t>Seed: 52</t>
  </si>
  <si>
    <t>Seed: 53</t>
  </si>
  <si>
    <t>Seed: 54</t>
  </si>
  <si>
    <t>Seed: 55</t>
  </si>
  <si>
    <t>Seed: 57</t>
  </si>
  <si>
    <t>Seed: 58</t>
  </si>
  <si>
    <t>Seed: 59</t>
  </si>
  <si>
    <t>Seed: 60</t>
  </si>
  <si>
    <t>Seed: 61</t>
  </si>
  <si>
    <t>Seed: 62</t>
  </si>
  <si>
    <t>Seed: 63</t>
  </si>
  <si>
    <t>Seed: 64</t>
  </si>
  <si>
    <t>Seed: 65</t>
  </si>
  <si>
    <t>Seed: 66</t>
  </si>
  <si>
    <t>Seed: 67</t>
  </si>
  <si>
    <t>Seed: 68</t>
  </si>
  <si>
    <t>Seed: 69</t>
  </si>
  <si>
    <t>Seed: 70</t>
  </si>
  <si>
    <t>Seed: 71</t>
  </si>
  <si>
    <t>Seed: 72</t>
  </si>
  <si>
    <t>Seed: 73</t>
  </si>
  <si>
    <t>Seed: 74</t>
  </si>
  <si>
    <t>Seed: 75</t>
  </si>
  <si>
    <t>Seed: 76</t>
  </si>
  <si>
    <t>Seed: 77</t>
  </si>
  <si>
    <t>Seed: 78</t>
  </si>
  <si>
    <t>Seed: 79</t>
  </si>
  <si>
    <t>Seed: 80</t>
  </si>
  <si>
    <t>Seed: 81</t>
  </si>
  <si>
    <t>Seed: 82</t>
  </si>
  <si>
    <t>Seed: 83</t>
  </si>
  <si>
    <t>Seed: 84</t>
  </si>
  <si>
    <t>Seed: 85</t>
  </si>
  <si>
    <t>Seed: 86</t>
  </si>
  <si>
    <t>Seed: 87</t>
  </si>
  <si>
    <t>Seed: 88</t>
  </si>
  <si>
    <t>Seed: 89</t>
  </si>
  <si>
    <t>Seed: 90</t>
  </si>
  <si>
    <t>Seed: 91</t>
  </si>
  <si>
    <t>Seed: 92</t>
  </si>
  <si>
    <t>Seed: 93</t>
  </si>
  <si>
    <t>Seed: 94</t>
  </si>
  <si>
    <t>Seed: 96</t>
  </si>
  <si>
    <t>Seed: 98</t>
  </si>
  <si>
    <t>Seed: 99</t>
  </si>
  <si>
    <t>OA_60</t>
  </si>
  <si>
    <t>OA_70</t>
  </si>
  <si>
    <t>OA_80</t>
  </si>
  <si>
    <t>OA_90</t>
  </si>
  <si>
    <t>OA_100</t>
  </si>
  <si>
    <t>Ô_60</t>
  </si>
  <si>
    <t>Ô_70</t>
  </si>
  <si>
    <t>Ô_80</t>
  </si>
  <si>
    <t>Ô_90</t>
  </si>
  <si>
    <t>Ô_100</t>
  </si>
  <si>
    <t>Seed: 100</t>
  </si>
  <si>
    <t>Seed: 101</t>
  </si>
  <si>
    <t>Seed: 102</t>
  </si>
  <si>
    <t>Seed: 103</t>
  </si>
  <si>
    <t>Seed: 104</t>
  </si>
  <si>
    <t>Seed: 105</t>
  </si>
  <si>
    <t>Seed: 106</t>
  </si>
  <si>
    <t>Seed: 107</t>
  </si>
  <si>
    <t>Seed: 108</t>
  </si>
  <si>
    <t>Seed: 109</t>
  </si>
  <si>
    <t>Seed: 110</t>
  </si>
  <si>
    <t>Seed: 111</t>
  </si>
  <si>
    <t>Seed: 112</t>
  </si>
  <si>
    <t>Seed: 113</t>
  </si>
  <si>
    <t>Seed: 114</t>
  </si>
  <si>
    <t>Seed: 115</t>
  </si>
  <si>
    <t>Seed: 116</t>
  </si>
  <si>
    <t>Seed: 117</t>
  </si>
  <si>
    <t>Seed: 118</t>
  </si>
  <si>
    <t>Seed: 119</t>
  </si>
  <si>
    <t>Seed: 120</t>
  </si>
  <si>
    <t>Seed: 121</t>
  </si>
  <si>
    <t>Seed: 122</t>
  </si>
  <si>
    <t>Seed: 123</t>
  </si>
  <si>
    <t>Seed: 124</t>
  </si>
  <si>
    <t>Seed: 125</t>
  </si>
  <si>
    <t>Seed: 126</t>
  </si>
  <si>
    <t>Seed: 127</t>
  </si>
  <si>
    <t>Seed: 128</t>
  </si>
  <si>
    <t>Seed: 129</t>
  </si>
  <si>
    <t>Seed: 130</t>
  </si>
  <si>
    <t>Seed: 131</t>
  </si>
  <si>
    <t>Seed: 132</t>
  </si>
  <si>
    <t>Seed: 133</t>
  </si>
  <si>
    <t>Seed: 134</t>
  </si>
  <si>
    <t>Seed: 135</t>
  </si>
  <si>
    <t>Seed: 136</t>
  </si>
  <si>
    <t>Seed: 137</t>
  </si>
  <si>
    <t>Seed: 138</t>
  </si>
  <si>
    <t>Seed: 139</t>
  </si>
  <si>
    <t>Seed: 140</t>
  </si>
  <si>
    <t>Seed: 141</t>
  </si>
  <si>
    <t>Seed: 142</t>
  </si>
  <si>
    <t>Seed: 143</t>
  </si>
  <si>
    <t>Seed: 144</t>
  </si>
  <si>
    <t>Seed: 145</t>
  </si>
  <si>
    <t>Seed: 146</t>
  </si>
  <si>
    <t>Seed: 147</t>
  </si>
  <si>
    <t>Seed: 148</t>
  </si>
  <si>
    <t>Seed: 149</t>
  </si>
  <si>
    <t>Seed: 150</t>
  </si>
  <si>
    <t>Seed: 151</t>
  </si>
  <si>
    <t>Seed: 152</t>
  </si>
  <si>
    <t>Seed: 153</t>
  </si>
  <si>
    <t>Seed: 154</t>
  </si>
  <si>
    <t>Seed: 155</t>
  </si>
  <si>
    <t>Seed: 156</t>
  </si>
  <si>
    <t>Seed: 157</t>
  </si>
  <si>
    <t>Seed: 158</t>
  </si>
  <si>
    <t>Seed: 159</t>
  </si>
  <si>
    <t>Seed: 160</t>
  </si>
  <si>
    <t>Seed: 161</t>
  </si>
  <si>
    <t>Seed: 162</t>
  </si>
  <si>
    <t>Seed: 163</t>
  </si>
  <si>
    <t>Seed: 164</t>
  </si>
  <si>
    <t>Seed: 165</t>
  </si>
  <si>
    <t>Seed: 166</t>
  </si>
  <si>
    <t>Seed: 167</t>
  </si>
  <si>
    <t>Seed: 168</t>
  </si>
  <si>
    <t>Seed: 169</t>
  </si>
  <si>
    <t>Seed: 170</t>
  </si>
  <si>
    <t>Seed: 171</t>
  </si>
  <si>
    <t>Seed: 172</t>
  </si>
  <si>
    <t>Seed: 173</t>
  </si>
  <si>
    <t>Seed: 174</t>
  </si>
  <si>
    <t>Seed: 175</t>
  </si>
  <si>
    <t>Seed: 176</t>
  </si>
  <si>
    <t>Seed: 177</t>
  </si>
  <si>
    <t>Seed: 178</t>
  </si>
  <si>
    <t>Seed: 179</t>
  </si>
  <si>
    <t>Seed: 180</t>
  </si>
  <si>
    <t>Seed: 181</t>
  </si>
  <si>
    <t>Seed: 182</t>
  </si>
  <si>
    <t>Seed: 183</t>
  </si>
  <si>
    <t>Seed: 184</t>
  </si>
  <si>
    <t>Seed: 185</t>
  </si>
  <si>
    <t>Seed: 186</t>
  </si>
  <si>
    <t>Seed: 187</t>
  </si>
  <si>
    <t>Seed: 188</t>
  </si>
  <si>
    <t>Seed: 189</t>
  </si>
  <si>
    <t>Seed: 190</t>
  </si>
  <si>
    <t>Seed: 191</t>
  </si>
  <si>
    <t>Seed: 192</t>
  </si>
  <si>
    <t>Seed: 193</t>
  </si>
  <si>
    <t>Seed: 194</t>
  </si>
  <si>
    <t>Seed: 195</t>
  </si>
  <si>
    <t>Seed: 196</t>
  </si>
  <si>
    <t>Seed: 197</t>
  </si>
  <si>
    <t>Seed: 198</t>
  </si>
  <si>
    <t>Seed: 199</t>
  </si>
  <si>
    <t>Error Matrix 4,1</t>
  </si>
  <si>
    <t>Prec,</t>
  </si>
  <si>
    <t>Error Matrix 4,2</t>
  </si>
  <si>
    <t>Acc, Derived</t>
  </si>
  <si>
    <t>OA_150</t>
  </si>
  <si>
    <t>OA_200</t>
  </si>
  <si>
    <t>Ô_150</t>
  </si>
  <si>
    <t>Ô_200</t>
  </si>
  <si>
    <t>min</t>
  </si>
  <si>
    <t>median</t>
  </si>
  <si>
    <t>avg</t>
  </si>
  <si>
    <t>Q1(25%)</t>
  </si>
  <si>
    <t>Q3(75%)</t>
  </si>
  <si>
    <t>max</t>
  </si>
  <si>
    <t>Ô (ordered)</t>
  </si>
  <si>
    <t>α=</t>
  </si>
  <si>
    <t>n=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</si>
  <si>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</si>
  <si>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</si>
  <si>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</si>
  <si>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</si>
  <si>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</si>
  <si>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</si>
  <si>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</si>
  <si>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</si>
  <si>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</si>
  <si>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</si>
  <si>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SS=</t>
  </si>
  <si>
    <t>a*diff</t>
  </si>
  <si>
    <t>b=</t>
  </si>
  <si>
    <t>W</t>
  </si>
  <si>
    <t>W=</t>
  </si>
  <si>
    <t>α</t>
  </si>
  <si>
    <t>diff</t>
  </si>
  <si>
    <t>p-value</t>
  </si>
  <si>
    <t>m</t>
  </si>
  <si>
    <t>x</t>
  </si>
  <si>
    <t>y</t>
  </si>
  <si>
    <t>reject H0</t>
  </si>
  <si>
    <t>Normality Tests</t>
  </si>
  <si>
    <t>Shapiro-Wilk Test</t>
  </si>
  <si>
    <t>Expanded Shapiro-Wilk Test</t>
  </si>
  <si>
    <t>index</t>
  </si>
  <si>
    <t>u</t>
  </si>
  <si>
    <t>ε</t>
  </si>
  <si>
    <t>sum</t>
  </si>
  <si>
    <t>z</t>
  </si>
  <si>
    <r>
      <t>m</t>
    </r>
    <r>
      <rPr>
        <b/>
        <vertAlign val="subscript"/>
        <sz val="11"/>
        <color theme="1"/>
        <rFont val="Aptos Narrow"/>
        <family val="2"/>
        <scheme val="minor"/>
      </rPr>
      <t>i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</si>
  <si>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i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</si>
  <si>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>*x</t>
    </r>
    <r>
      <rPr>
        <b/>
        <vertAlign val="subscript"/>
        <sz val="11"/>
        <color theme="1"/>
        <rFont val="Aptos Narrow"/>
        <family val="2"/>
        <scheme val="minor"/>
      </rPr>
      <t>i</t>
    </r>
  </si>
  <si>
    <t>stdev</t>
  </si>
  <si>
    <t>Seed Mean</t>
  </si>
  <si>
    <t>Q3-Q1/median</t>
  </si>
  <si>
    <t>1977 Mode</t>
  </si>
  <si>
    <t>Random Seeds: 0 to 19</t>
  </si>
  <si>
    <t>20 Seed Mode</t>
  </si>
  <si>
    <t>H0 = Data sample follows a Normal Distribution</t>
  </si>
  <si>
    <t>(SE)[Ha]</t>
  </si>
  <si>
    <t>Accuracy Derived</t>
  </si>
  <si>
    <t>Pixel count</t>
  </si>
  <si>
    <t>&lt;50%</t>
  </si>
  <si>
    <t>50-60%</t>
  </si>
  <si>
    <t>60-70%</t>
  </si>
  <si>
    <t>50-70%</t>
  </si>
  <si>
    <t>70-90%</t>
  </si>
  <si>
    <t>&gt;90%</t>
  </si>
  <si>
    <t>Agreement</t>
  </si>
  <si>
    <t>70-80%</t>
  </si>
  <si>
    <t>80-90%</t>
  </si>
  <si>
    <t>1988 Mode</t>
  </si>
  <si>
    <t>ACB_A px count</t>
  </si>
  <si>
    <t>Area%</t>
  </si>
  <si>
    <t>GUE 1977</t>
  </si>
  <si>
    <t>ACB_A 1977</t>
  </si>
  <si>
    <t>(SE)[Ha]*</t>
  </si>
  <si>
    <t>GUE 1988</t>
  </si>
  <si>
    <t>ACB_A 1988</t>
  </si>
  <si>
    <t>1988T</t>
  </si>
  <si>
    <t>1988T Mode</t>
  </si>
  <si>
    <t>GUE 1988T</t>
  </si>
  <si>
    <t>ACB_A 1988T</t>
  </si>
  <si>
    <t>1991T</t>
  </si>
  <si>
    <t>1991T Mode</t>
  </si>
  <si>
    <t>GUE 1991T</t>
  </si>
  <si>
    <t>ACB_A 1991T</t>
  </si>
  <si>
    <t>2001T</t>
  </si>
  <si>
    <t>2001T Mode</t>
  </si>
  <si>
    <t>GUE 2001T</t>
  </si>
  <si>
    <t>ACB_A 2001T</t>
  </si>
  <si>
    <t>Mode Pixel count</t>
  </si>
  <si>
    <t>Mean Pixel count</t>
  </si>
  <si>
    <t>RF Result for PA</t>
  </si>
  <si>
    <t>ACB_A</t>
  </si>
  <si>
    <t>GUE 1977 PA</t>
  </si>
  <si>
    <t>ACB_A 1977 PA</t>
  </si>
  <si>
    <t>gue</t>
  </si>
  <si>
    <t>acb_a</t>
  </si>
  <si>
    <t>GUE PA [Ha]</t>
  </si>
  <si>
    <t>GUE A0</t>
  </si>
  <si>
    <t>GUE A1</t>
  </si>
  <si>
    <t>GUE A2</t>
  </si>
  <si>
    <t>GUE A3</t>
  </si>
  <si>
    <t>GUE A4</t>
  </si>
  <si>
    <t>GUE 1988 PA</t>
  </si>
  <si>
    <t>ACB_A 1988 PA</t>
  </si>
  <si>
    <t>GUE 1988T PA</t>
  </si>
  <si>
    <t>ACB_A 1988T PA</t>
  </si>
  <si>
    <t>GUE 1991T PA</t>
  </si>
  <si>
    <t>ACB_A 1991T PA</t>
  </si>
  <si>
    <t>2007E</t>
  </si>
  <si>
    <t>2007E Mode</t>
  </si>
  <si>
    <t>GUE 2007E</t>
  </si>
  <si>
    <t>ACB_A 2007E</t>
  </si>
  <si>
    <t>GUE 2007E PA</t>
  </si>
  <si>
    <t>ACB_A 2007E PA</t>
  </si>
  <si>
    <t>GUE 2001E PA</t>
  </si>
  <si>
    <t>ACB_A 2001E PA</t>
  </si>
  <si>
    <t>2011E</t>
  </si>
  <si>
    <t>2011E Mode</t>
  </si>
  <si>
    <t>GUE 2011E</t>
  </si>
  <si>
    <t>ACB_A 2011E</t>
  </si>
  <si>
    <t>2015O</t>
  </si>
  <si>
    <t>2015O Mode</t>
  </si>
  <si>
    <t>GUE 2015O</t>
  </si>
  <si>
    <t>ACB_A 2015O</t>
  </si>
  <si>
    <t>GUE 2015O PA</t>
  </si>
  <si>
    <t>ACB_A 2015O PA</t>
  </si>
  <si>
    <t>GUE 2011E PA</t>
  </si>
  <si>
    <t>ACB_A 2011E PA</t>
  </si>
  <si>
    <t>2019O</t>
  </si>
  <si>
    <t>2019O Mode</t>
  </si>
  <si>
    <t>GUE 2019O</t>
  </si>
  <si>
    <t>ACB_A 2019O</t>
  </si>
  <si>
    <t>GUE 2019O PA</t>
  </si>
  <si>
    <t>ACB_A 2019O PA</t>
  </si>
  <si>
    <t>2019M</t>
  </si>
  <si>
    <t>2019M Mode</t>
  </si>
  <si>
    <t>GUE 2019M</t>
  </si>
  <si>
    <t>ACB_A 2019M</t>
  </si>
  <si>
    <t>GUE 2019M PA</t>
  </si>
  <si>
    <t>ACB_A 2019M PA</t>
  </si>
  <si>
    <t>2024M</t>
  </si>
  <si>
    <t>2024M Mode</t>
  </si>
  <si>
    <t>GUE 2024M</t>
  </si>
  <si>
    <t>ACB_A 2024M</t>
  </si>
  <si>
    <t>GUE 2024M PA</t>
  </si>
  <si>
    <t>ACB_A 2024M PA</t>
  </si>
  <si>
    <t>Aj[Ha]</t>
  </si>
  <si>
    <t>W_77_MSS</t>
  </si>
  <si>
    <t>B_77_MSS</t>
  </si>
  <si>
    <t>A_77_MSS</t>
  </si>
  <si>
    <t>F_77_MSS</t>
  </si>
  <si>
    <t>S_77_MSS</t>
  </si>
  <si>
    <t>W_88_MSS</t>
  </si>
  <si>
    <t>B_88_MSS</t>
  </si>
  <si>
    <t>A_88_MSS</t>
  </si>
  <si>
    <t>F_88_MSS</t>
  </si>
  <si>
    <t>S_88_MSS</t>
  </si>
  <si>
    <t>W_88_TM</t>
  </si>
  <si>
    <t>B_88_TM</t>
  </si>
  <si>
    <t>A_88_TM</t>
  </si>
  <si>
    <t>F_88_TM</t>
  </si>
  <si>
    <t>S_88_TM</t>
  </si>
  <si>
    <t>W_91_TM</t>
  </si>
  <si>
    <t>B_91_TM</t>
  </si>
  <si>
    <t>A_91_TM</t>
  </si>
  <si>
    <t>F_91_TM</t>
  </si>
  <si>
    <t>S_91_TM</t>
  </si>
  <si>
    <t>W_01_TM</t>
  </si>
  <si>
    <t>B_01_TM</t>
  </si>
  <si>
    <t>A_01_TM</t>
  </si>
  <si>
    <t>F_01_TM</t>
  </si>
  <si>
    <t>S_01_TM</t>
  </si>
  <si>
    <t>W_07_ETM</t>
  </si>
  <si>
    <t>B_07_ETM</t>
  </si>
  <si>
    <t>A_07_ETM</t>
  </si>
  <si>
    <t>F_07_ETM</t>
  </si>
  <si>
    <t>S_07_ETM</t>
  </si>
  <si>
    <t>W_11_ETM</t>
  </si>
  <si>
    <t>B_11_ETM</t>
  </si>
  <si>
    <t>A_11_ETM</t>
  </si>
  <si>
    <t>F_11_ETM</t>
  </si>
  <si>
    <t>S_11_ETM</t>
  </si>
  <si>
    <t>W_15_OLI</t>
  </si>
  <si>
    <t>B_15_OLI</t>
  </si>
  <si>
    <t>A_15_OLI</t>
  </si>
  <si>
    <t>F_15_OLI</t>
  </si>
  <si>
    <t>S_15_OLI</t>
  </si>
  <si>
    <t>W_19_OLI</t>
  </si>
  <si>
    <t>B_19_OLI</t>
  </si>
  <si>
    <t>A_19_OLI</t>
  </si>
  <si>
    <t>F_19_OLI</t>
  </si>
  <si>
    <t>S_19_OLI</t>
  </si>
  <si>
    <t>W_19_MSI</t>
  </si>
  <si>
    <t>B_19_MSI</t>
  </si>
  <si>
    <t>A_19_MSI</t>
  </si>
  <si>
    <t>F_19_MSI</t>
  </si>
  <si>
    <t>S_19_MSI</t>
  </si>
  <si>
    <t>W_24_MSI</t>
  </si>
  <si>
    <t>B_24_MSI</t>
  </si>
  <si>
    <t>A_24_MSI</t>
  </si>
  <si>
    <t>F_24_MSI</t>
  </si>
  <si>
    <t>S_24_MSI</t>
  </si>
  <si>
    <t>1 / B</t>
  </si>
  <si>
    <t>0 / W</t>
  </si>
  <si>
    <t>2 / A</t>
  </si>
  <si>
    <t>3 / F</t>
  </si>
  <si>
    <t>4 / S</t>
  </si>
  <si>
    <t>GUE [Ha]</t>
  </si>
  <si>
    <t>N.D.</t>
  </si>
  <si>
    <t>15O</t>
  </si>
  <si>
    <t xml:space="preserve"> 2019O</t>
  </si>
  <si>
    <t xml:space="preserve"> 2019M</t>
  </si>
  <si>
    <t>Area%**</t>
  </si>
  <si>
    <t>Area**</t>
  </si>
  <si>
    <t>ACB_A [Ha]</t>
  </si>
  <si>
    <t>ACB_A PA [Ha]</t>
  </si>
  <si>
    <t>(SE)[%]**</t>
  </si>
  <si>
    <t>(CI_95)[Ha]*</t>
  </si>
  <si>
    <t>(CI_95)[%]**</t>
  </si>
  <si>
    <t>Mean</t>
  </si>
  <si>
    <t>Max</t>
  </si>
  <si>
    <t>SE [%]**</t>
  </si>
  <si>
    <t>Mode</t>
  </si>
  <si>
    <t>Mode GUE Acc. Der.</t>
  </si>
  <si>
    <t>Mean Gue Px count</t>
  </si>
  <si>
    <t>Mean ACB_A Px count</t>
  </si>
  <si>
    <t>Mean GUE PA Px count</t>
  </si>
  <si>
    <t>Mean ACB_A PA Px count</t>
  </si>
  <si>
    <t>'1_Green'</t>
  </si>
  <si>
    <t>'2_Red'</t>
  </si>
  <si>
    <t>'3_NIR1'</t>
  </si>
  <si>
    <t>'4_NIR2'</t>
  </si>
  <si>
    <t>std</t>
  </si>
  <si>
    <t>B4</t>
  </si>
  <si>
    <t>B5</t>
  </si>
  <si>
    <t>B6</t>
  </si>
  <si>
    <t>B7</t>
  </si>
  <si>
    <t>B1</t>
  </si>
  <si>
    <t>B2</t>
  </si>
  <si>
    <t>B3</t>
  </si>
  <si>
    <t>Training and Testing Areas Spectral Signatures</t>
  </si>
  <si>
    <t>'SR_B1'</t>
  </si>
  <si>
    <t>'SR_B2'</t>
  </si>
  <si>
    <t>'SR_B3'</t>
  </si>
  <si>
    <t>'SR_B4'</t>
  </si>
  <si>
    <t>'SR_B5'</t>
  </si>
  <si>
    <t>'SR_B7'</t>
  </si>
  <si>
    <t>'1_Blue'</t>
  </si>
  <si>
    <t>'2_Green'</t>
  </si>
  <si>
    <t>'3_Red'</t>
  </si>
  <si>
    <t>'4_NIR'</t>
  </si>
  <si>
    <t>'5_SWIR1'</t>
  </si>
  <si>
    <t>'6_SWIR2'</t>
  </si>
  <si>
    <t>Band Name</t>
  </si>
  <si>
    <t>Band</t>
  </si>
  <si>
    <t>CV</t>
  </si>
  <si>
    <t>'B2'</t>
  </si>
  <si>
    <t xml:space="preserve"> 'B3'</t>
  </si>
  <si>
    <t xml:space="preserve"> 'B4'</t>
  </si>
  <si>
    <t xml:space="preserve"> 'B5'</t>
  </si>
  <si>
    <t xml:space="preserve"> 'B6'</t>
  </si>
  <si>
    <t xml:space="preserve"> 'B7'</t>
  </si>
  <si>
    <t xml:space="preserve"> 'B8'</t>
  </si>
  <si>
    <t xml:space="preserve"> 'B8A'</t>
  </si>
  <si>
    <t xml:space="preserve"> 'B11'</t>
  </si>
  <si>
    <t xml:space="preserve"> 'B12'</t>
  </si>
  <si>
    <t>'4_RE1'</t>
  </si>
  <si>
    <t>'5_RE2'</t>
  </si>
  <si>
    <t>'6_RE3'</t>
  </si>
  <si>
    <t>'7_NIR'</t>
  </si>
  <si>
    <t>'8_RE4'</t>
  </si>
  <si>
    <t>'90_SWIR1'</t>
  </si>
  <si>
    <t>'91_SWIR2'</t>
  </si>
  <si>
    <t>Wav. Range</t>
  </si>
  <si>
    <t>560nm (S2A) / 559nm (S2B)</t>
  </si>
  <si>
    <t>Class Code</t>
  </si>
  <si>
    <t>Class Name</t>
  </si>
  <si>
    <t>High Confidence</t>
  </si>
  <si>
    <t>L.C.</t>
  </si>
  <si>
    <t>Not 2 / A</t>
  </si>
  <si>
    <t>L.C. px[Ha]</t>
  </si>
  <si>
    <t>L.C. px[%]</t>
  </si>
  <si>
    <t>Q1</t>
  </si>
  <si>
    <t>Q2</t>
  </si>
  <si>
    <t>Q3</t>
  </si>
  <si>
    <t>MAX</t>
  </si>
  <si>
    <t>AVG</t>
  </si>
  <si>
    <t>P0,7</t>
  </si>
  <si>
    <t>HC Total</t>
  </si>
  <si>
    <t>GUE 2001T PA</t>
  </si>
  <si>
    <t>ACB_A 2001T PA</t>
  </si>
  <si>
    <t>GUE PA</t>
  </si>
  <si>
    <t>L.C. pixels [%]</t>
  </si>
  <si>
    <t>Relative to Area%</t>
  </si>
  <si>
    <t>-</t>
  </si>
  <si>
    <t>ACB_A PA</t>
  </si>
  <si>
    <t>215-1082</t>
  </si>
  <si>
    <t>1082-1518</t>
  </si>
  <si>
    <t>1519-4283</t>
  </si>
  <si>
    <t>4284-65482</t>
  </si>
  <si>
    <t>1-214</t>
  </si>
  <si>
    <t>ACB_G PA [Ha]</t>
  </si>
  <si>
    <t>ACB_G 1977 PA</t>
  </si>
  <si>
    <t>ACB_G 1988 PA</t>
  </si>
  <si>
    <t>ACB_G 1988T PA</t>
  </si>
  <si>
    <t>ACB_G 1991T PA</t>
  </si>
  <si>
    <t>ACB_G 2001E PA</t>
  </si>
  <si>
    <t>ACB_G 2007E PA</t>
  </si>
  <si>
    <t>ACB_G 2011E PA</t>
  </si>
  <si>
    <t>ACB_G 2015O PA</t>
  </si>
  <si>
    <t>ACB_G 2019O PA</t>
  </si>
  <si>
    <t>ACB_G 2019M PA</t>
  </si>
  <si>
    <t>ACB_G 2024M PA</t>
  </si>
  <si>
    <t>ACB_G PA</t>
  </si>
  <si>
    <t>Error Matrix</t>
  </si>
  <si>
    <t>Agriculture-Grass (HC)</t>
  </si>
  <si>
    <t>Not Agriculture-Grass (HC)</t>
  </si>
  <si>
    <t>Not Agriculture-Grass</t>
  </si>
  <si>
    <t>Agriculture HC [%]</t>
  </si>
  <si>
    <t>0 / W (HC)</t>
  </si>
  <si>
    <t>1 / B (HC)</t>
  </si>
  <si>
    <t>2 / A (HC)</t>
  </si>
  <si>
    <t>3 / F (HC)</t>
  </si>
  <si>
    <t>4 / S (HC)</t>
  </si>
  <si>
    <t>Pixels [%]</t>
  </si>
  <si>
    <t>L.C. Pixels [%]</t>
  </si>
  <si>
    <t>Area [Ha]</t>
  </si>
  <si>
    <t>L.C. Pixels [Ha]</t>
  </si>
  <si>
    <t>Not 2 / A (HC)</t>
  </si>
  <si>
    <t>Cumulative Mode GUE (All)</t>
  </si>
  <si>
    <t>Cumulative (All)</t>
  </si>
  <si>
    <t>Cumulative (MSS)</t>
  </si>
  <si>
    <t>Cumulative (TM/ETM)</t>
  </si>
  <si>
    <t>Cumulative (OLI)</t>
  </si>
  <si>
    <t>Cumulative (MSI)</t>
  </si>
  <si>
    <t>MEDIAN CV</t>
  </si>
  <si>
    <t>Cumulative Mode GUE (MSS)</t>
  </si>
  <si>
    <t>1-10</t>
  </si>
  <si>
    <t>121-228</t>
  </si>
  <si>
    <t>228-3380</t>
  </si>
  <si>
    <t>11-66</t>
  </si>
  <si>
    <t>67-121</t>
  </si>
  <si>
    <t>Cumulative Mode GUE (TM/ETM)</t>
  </si>
  <si>
    <t>1-108</t>
  </si>
  <si>
    <t>109-561</t>
  </si>
  <si>
    <t>562-741</t>
  </si>
  <si>
    <t>742-2206</t>
  </si>
  <si>
    <t>2207-33771</t>
  </si>
  <si>
    <t>W_All</t>
  </si>
  <si>
    <t>B_All</t>
  </si>
  <si>
    <t>A_All</t>
  </si>
  <si>
    <t>F_All</t>
  </si>
  <si>
    <t>S_All</t>
  </si>
  <si>
    <t>W_MSS</t>
  </si>
  <si>
    <t>B_MSS</t>
  </si>
  <si>
    <t>A_MSS</t>
  </si>
  <si>
    <t>F_MSS</t>
  </si>
  <si>
    <t>S_MSS</t>
  </si>
  <si>
    <t>W_TM/ETM</t>
  </si>
  <si>
    <t>B_TM/ETM</t>
  </si>
  <si>
    <t>A_TM/ETM</t>
  </si>
  <si>
    <t>F_TM/ETM</t>
  </si>
  <si>
    <t>S_TM/ETM</t>
  </si>
  <si>
    <t>Cumulative Mode GUE (OLI)</t>
  </si>
  <si>
    <t>1-35</t>
  </si>
  <si>
    <t>36-178</t>
  </si>
  <si>
    <t>179-325</t>
  </si>
  <si>
    <t>325-921</t>
  </si>
  <si>
    <t>922-14270</t>
  </si>
  <si>
    <t>Cumulative Mode GUE (MSI)</t>
  </si>
  <si>
    <t>1-25</t>
  </si>
  <si>
    <t>26-283</t>
  </si>
  <si>
    <t>283-395</t>
  </si>
  <si>
    <t>395-926</t>
  </si>
  <si>
    <t>927-14061</t>
  </si>
  <si>
    <t>W_OLI</t>
  </si>
  <si>
    <t>B_OLI</t>
  </si>
  <si>
    <t>A_OLI</t>
  </si>
  <si>
    <t>F_OLI</t>
  </si>
  <si>
    <t>S_OLI</t>
  </si>
  <si>
    <t>W_MSI</t>
  </si>
  <si>
    <t>B_MSI</t>
  </si>
  <si>
    <t>A_MSI</t>
  </si>
  <si>
    <t>F_MSI</t>
  </si>
  <si>
    <t>S_MSI</t>
  </si>
  <si>
    <t>Dates</t>
  </si>
  <si>
    <t>JAN</t>
  </si>
  <si>
    <t>MAR-APR</t>
  </si>
  <si>
    <t>DEC-MAR-APR</t>
  </si>
  <si>
    <t>MAR</t>
  </si>
  <si>
    <t>JAN-FEB</t>
  </si>
  <si>
    <t>DEC-JAN-FEB</t>
  </si>
  <si>
    <t>DEC-FEB</t>
  </si>
  <si>
    <t>1-62</t>
  </si>
  <si>
    <t>63-260</t>
  </si>
  <si>
    <t>261-391</t>
  </si>
  <si>
    <t>392-1039</t>
  </si>
  <si>
    <t>1040-15730</t>
  </si>
  <si>
    <t>W_JAN</t>
  </si>
  <si>
    <t>B_JAN</t>
  </si>
  <si>
    <t>A_JAN</t>
  </si>
  <si>
    <t>F_JAN</t>
  </si>
  <si>
    <t>S_JAN</t>
  </si>
  <si>
    <t>Cumulative Mode GUE (JAN)</t>
  </si>
  <si>
    <t>1-date</t>
  </si>
  <si>
    <t>2-date</t>
  </si>
  <si>
    <t>3-date</t>
  </si>
  <si>
    <t>4-date</t>
  </si>
  <si>
    <t>5-date</t>
  </si>
  <si>
    <t>Time</t>
  </si>
  <si>
    <t>Cumulative (JAN)</t>
  </si>
  <si>
    <t>Cumulative (JAN-FEB)</t>
  </si>
  <si>
    <t>Cumulative (DEC-FEB)</t>
  </si>
  <si>
    <t>Cumulative (MAR-APR)</t>
  </si>
  <si>
    <t>Cumulative (DEC-APR)</t>
  </si>
  <si>
    <t>Cumulative (MAR)</t>
  </si>
  <si>
    <t>Cumulative Mode GUE (JAN-FEB)</t>
  </si>
  <si>
    <t>1-33</t>
  </si>
  <si>
    <t>34-221</t>
  </si>
  <si>
    <t>222-299</t>
  </si>
  <si>
    <t>300-823</t>
  </si>
  <si>
    <t>824-12617</t>
  </si>
  <si>
    <t>W_JAN-FEB</t>
  </si>
  <si>
    <t>B_JAN-FEB</t>
  </si>
  <si>
    <t>A_JAN-FEB</t>
  </si>
  <si>
    <t>F_JAN-FEB</t>
  </si>
  <si>
    <t>S_JAN-FEB</t>
  </si>
  <si>
    <t>1-64</t>
  </si>
  <si>
    <t>65-279</t>
  </si>
  <si>
    <t>280-487</t>
  </si>
  <si>
    <t>489-1384</t>
  </si>
  <si>
    <t>1384-21396</t>
  </si>
  <si>
    <t>Cumulative Mode GUE (DEC-FEB)</t>
  </si>
  <si>
    <t>W_DEC-FEB</t>
  </si>
  <si>
    <t>B_DEC-FEB</t>
  </si>
  <si>
    <t>A_DEC-FEB</t>
  </si>
  <si>
    <t>F_DEC-FEB</t>
  </si>
  <si>
    <t>S_DEC-FEB</t>
  </si>
  <si>
    <t>Cumulative Mode GUE (MAR) -1991T</t>
  </si>
  <si>
    <t>1-21</t>
  </si>
  <si>
    <t>22-97</t>
  </si>
  <si>
    <t>98-183</t>
  </si>
  <si>
    <t>184-458</t>
  </si>
  <si>
    <t>458-6911</t>
  </si>
  <si>
    <t>W_MAR</t>
  </si>
  <si>
    <t>B_MAR</t>
  </si>
  <si>
    <t>A_MAR</t>
  </si>
  <si>
    <t>F_MAR</t>
  </si>
  <si>
    <t>S_MAR</t>
  </si>
  <si>
    <t>1-2</t>
  </si>
  <si>
    <t>3-33</t>
  </si>
  <si>
    <t>34-73</t>
  </si>
  <si>
    <t>74-114</t>
  </si>
  <si>
    <t>115-1657</t>
  </si>
  <si>
    <t>Cumulative Mode GUE (MAR-APR) -1988</t>
  </si>
  <si>
    <t>1</t>
  </si>
  <si>
    <t>2-88</t>
  </si>
  <si>
    <t>89-161</t>
  </si>
  <si>
    <t>162-462</t>
  </si>
  <si>
    <t>463-7171</t>
  </si>
  <si>
    <t>W_MAR-APR</t>
  </si>
  <si>
    <t>B_MAR-APR</t>
  </si>
  <si>
    <t>A_MAR-APR</t>
  </si>
  <si>
    <t>F_MAR-APR</t>
  </si>
  <si>
    <t>S_MAR-APR</t>
  </si>
  <si>
    <t>Cumulative Mode GUE (DEC-MAR-APR) -1988T</t>
  </si>
  <si>
    <t>DEC-APR</t>
  </si>
  <si>
    <t>W_DEC-APR</t>
  </si>
  <si>
    <t>B_DEC-APR</t>
  </si>
  <si>
    <t>A_DEC-APR</t>
  </si>
  <si>
    <t>F_DEC-APR</t>
  </si>
  <si>
    <t>S_DEC-APR</t>
  </si>
  <si>
    <t>1977(M)</t>
  </si>
  <si>
    <t>1988(M)</t>
  </si>
  <si>
    <t>2015(M)</t>
  </si>
  <si>
    <t>2011(M)</t>
  </si>
  <si>
    <t>2001(M)</t>
  </si>
  <si>
    <t>1991(M)</t>
  </si>
  <si>
    <t>Estimate</t>
  </si>
  <si>
    <t>ND proportion</t>
  </si>
  <si>
    <t>LC proportion</t>
  </si>
  <si>
    <t>LC+ND</t>
  </si>
  <si>
    <t>Error[Ha]</t>
  </si>
  <si>
    <t>Error[%]</t>
  </si>
  <si>
    <t>Pixel error [%]</t>
  </si>
  <si>
    <t>Area Error [Ha]</t>
  </si>
  <si>
    <t>Mode Change</t>
  </si>
  <si>
    <t>GUE 1977 PA HC</t>
  </si>
  <si>
    <t>GUE 1988 PA HC</t>
  </si>
  <si>
    <t>Other</t>
  </si>
  <si>
    <t>Agriculture</t>
  </si>
  <si>
    <t>t1\t2</t>
  </si>
  <si>
    <t>Data %</t>
  </si>
  <si>
    <t>PA %</t>
  </si>
  <si>
    <t>Ha</t>
  </si>
  <si>
    <t>ACB_A 1977 PA HC</t>
  </si>
  <si>
    <t>ACB_A 1988 PA HC</t>
  </si>
  <si>
    <t>ACB_G 1977 PA HC</t>
  </si>
  <si>
    <t>ACB_G 1988 PA HC</t>
  </si>
  <si>
    <t>No Data &amp; Low Confidence Joint Mask</t>
  </si>
  <si>
    <t>Stable Other</t>
  </si>
  <si>
    <t>Stepped Gain</t>
  </si>
  <si>
    <t>(Stable Other)</t>
  </si>
  <si>
    <t>Cyclical</t>
  </si>
  <si>
    <t>(Cyclical)</t>
  </si>
  <si>
    <t>Stepped Loss</t>
  </si>
  <si>
    <t>(Stable Agriculture)</t>
  </si>
  <si>
    <t>Stable Agriculture</t>
  </si>
  <si>
    <t>Mode Trajectory</t>
  </si>
  <si>
    <t>GUE TM-ETM-OLI PA HC</t>
  </si>
  <si>
    <t>Stable O</t>
  </si>
  <si>
    <t>Stable A</t>
  </si>
  <si>
    <t>ACB_A TM-ETM-OLI PA HC</t>
  </si>
  <si>
    <t>ACB_G TM-ETM-OLI PA HC</t>
  </si>
  <si>
    <t>MSS</t>
  </si>
  <si>
    <t>TM-ETM-OLI</t>
  </si>
  <si>
    <t>MSI</t>
  </si>
  <si>
    <t>GUE 2019M PA HC</t>
  </si>
  <si>
    <t>ACB_A 2019M PA HC</t>
  </si>
  <si>
    <t>ACB_G 2019M PA HC</t>
  </si>
  <si>
    <t>GUE 2024M PA HC</t>
  </si>
  <si>
    <t>ACB_A 2024M PA HC</t>
  </si>
  <si>
    <t>ACB_G 2024M PA HC</t>
  </si>
  <si>
    <t>Kruskal-Wallis test</t>
  </si>
  <si>
    <t>H-statistic</t>
  </si>
  <si>
    <r>
      <t>reject H</t>
    </r>
    <r>
      <rPr>
        <vertAlign val="subscript"/>
        <sz val="11"/>
        <color theme="1"/>
        <rFont val="Aptos Narrow"/>
        <family val="2"/>
        <scheme val="minor"/>
      </rPr>
      <t>0</t>
    </r>
  </si>
  <si>
    <t>Tukey HSD test</t>
  </si>
  <si>
    <t>Pairwise Multiple Comparison of Means</t>
  </si>
  <si>
    <t>Class 0 / W</t>
  </si>
  <si>
    <t>Class 1 / B</t>
  </si>
  <si>
    <t>F-statistic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</si>
  <si>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 xml:space="preserve"> = Data samples means are equal</t>
    </r>
  </si>
  <si>
    <t>ANOVA one-way test</t>
  </si>
  <si>
    <t>Normality</t>
  </si>
  <si>
    <t>Equal Variance</t>
  </si>
  <si>
    <t>Random &amp; Independent</t>
  </si>
  <si>
    <t>Dunn test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</si>
  <si>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 xml:space="preserve"> = Data samples distibutions and medians are equal</t>
    </r>
  </si>
  <si>
    <t>Independent</t>
  </si>
  <si>
    <t>Ordinal &amp; Continuous</t>
  </si>
  <si>
    <t>Non-Parametric / Non-Normal</t>
  </si>
  <si>
    <t>Homegeneity: Similar Distribution</t>
  </si>
  <si>
    <t>Data Assumptions:</t>
  </si>
  <si>
    <t>Normal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</si>
  <si>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 xml:space="preserve"> = There is no difference in the ranks of the two Data Samples being compared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</si>
  <si>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 xml:space="preserve"> = All Data Samples being compared have equal means</t>
    </r>
  </si>
  <si>
    <t>Equal Variance (Homoscedasticity)</t>
  </si>
  <si>
    <t>Homegeneity: Similar Variance (Homoscedasticity)</t>
  </si>
  <si>
    <t>Independent &amp; Equal size</t>
  </si>
  <si>
    <t>Class 2 / A</t>
  </si>
  <si>
    <t>Class 3 / F</t>
  </si>
  <si>
    <t>Class 4 / S</t>
  </si>
  <si>
    <t>All 5 Classes combined result, only reject if at least 3 classes agree on (Yes)</t>
  </si>
  <si>
    <t>Top 3 Area Classes combined result, only reject if at least 2 classes agree on (Yes)</t>
  </si>
  <si>
    <t>All 5 Classes combined result, only reject if at least 1 class agree on (Yes)</t>
  </si>
  <si>
    <t>Criteria: Loose Change</t>
  </si>
  <si>
    <t>Criteria: Plain Mayority</t>
  </si>
  <si>
    <t>Criteria: Loose Top 3 Mayority</t>
  </si>
  <si>
    <t>Top 3 Area Classes combined result, only reject if at least 1 class agree on (Yes)</t>
  </si>
  <si>
    <t>Criteria: Top 3 Plain Mayority</t>
  </si>
  <si>
    <t>Criteria: Others Plain Mayority</t>
  </si>
  <si>
    <t>Overall</t>
  </si>
  <si>
    <t>The 4 Other classes, without Agriculture, only reject if at least 3 classes agree on (Yes)</t>
  </si>
  <si>
    <t>Criteria: Top 1 (Agriculture)</t>
  </si>
  <si>
    <t>Net A Change</t>
  </si>
  <si>
    <t>Disturbance Index</t>
  </si>
  <si>
    <t>∑W</t>
  </si>
  <si>
    <r>
      <t>W</t>
    </r>
    <r>
      <rPr>
        <b/>
        <vertAlign val="subscript"/>
        <sz val="11"/>
        <color theme="1"/>
        <rFont val="Aptos Narrow"/>
        <family val="2"/>
        <scheme val="minor"/>
      </rPr>
      <t>MSS</t>
    </r>
  </si>
  <si>
    <r>
      <t>W</t>
    </r>
    <r>
      <rPr>
        <b/>
        <vertAlign val="subscript"/>
        <sz val="11"/>
        <color theme="1"/>
        <rFont val="Aptos Narrow"/>
        <family val="2"/>
        <scheme val="minor"/>
      </rPr>
      <t>TEO</t>
    </r>
  </si>
  <si>
    <r>
      <t>W</t>
    </r>
    <r>
      <rPr>
        <b/>
        <vertAlign val="subscript"/>
        <sz val="11"/>
        <color theme="1"/>
        <rFont val="Aptos Narrow"/>
        <family val="2"/>
        <scheme val="minor"/>
      </rPr>
      <t>MSI</t>
    </r>
  </si>
  <si>
    <t>Weights</t>
  </si>
  <si>
    <t>77→88</t>
  </si>
  <si>
    <t>88→19</t>
  </si>
  <si>
    <t>19→24</t>
  </si>
  <si>
    <r>
      <t>I</t>
    </r>
    <r>
      <rPr>
        <b/>
        <vertAlign val="subscript"/>
        <sz val="11"/>
        <color theme="1"/>
        <rFont val="Aptos Narrow"/>
        <family val="2"/>
        <scheme val="minor"/>
      </rPr>
      <t>GUE</t>
    </r>
  </si>
  <si>
    <r>
      <t>I</t>
    </r>
    <r>
      <rPr>
        <b/>
        <vertAlign val="subscript"/>
        <sz val="11"/>
        <color theme="1"/>
        <rFont val="Aptos Narrow"/>
        <family val="2"/>
        <scheme val="minor"/>
      </rPr>
      <t>ACB_A</t>
    </r>
  </si>
  <si>
    <t>MSS 77-88</t>
  </si>
  <si>
    <t>TEO 88-19</t>
  </si>
  <si>
    <t>MSI 19-24</t>
  </si>
  <si>
    <t>ND/LC</t>
  </si>
  <si>
    <t>Step Partial Index</t>
  </si>
  <si>
    <t>Central λ (μm)</t>
  </si>
  <si>
    <t>0,5 - 0,6 μm+CC6:C115</t>
  </si>
  <si>
    <t>0,6 - 0,7 μm</t>
  </si>
  <si>
    <t>0,7 - 0,8 μm</t>
  </si>
  <si>
    <t xml:space="preserve">0,8 - 1,1 μm </t>
  </si>
  <si>
    <t>Wav, Range</t>
  </si>
  <si>
    <t>0,5 - 0,6 μm</t>
  </si>
  <si>
    <t>0,45-0,52 μm</t>
  </si>
  <si>
    <t>0,52-0,60 μm</t>
  </si>
  <si>
    <t xml:space="preserve">0,63-0,69 μm </t>
  </si>
  <si>
    <t>0,77-0,90 μm</t>
  </si>
  <si>
    <t xml:space="preserve">1,55-1,75 μm </t>
  </si>
  <si>
    <t>2,08-2,35 μm</t>
  </si>
  <si>
    <t>0,441-0,514 μm</t>
  </si>
  <si>
    <t>0,519-0,601 μm</t>
  </si>
  <si>
    <t xml:space="preserve">0,631-0,692 μm </t>
  </si>
  <si>
    <t>0,772-0,898 μm</t>
  </si>
  <si>
    <t xml:space="preserve">1,547-1,749 μm </t>
  </si>
  <si>
    <t>2,064-2,345 μm</t>
  </si>
  <si>
    <t>0,452-0,512 μm</t>
  </si>
  <si>
    <t>0,533-0,590 μm</t>
  </si>
  <si>
    <t>0,636-0,673 μm</t>
  </si>
  <si>
    <t>0,851-0,879 μm</t>
  </si>
  <si>
    <t>1,566-1,651 μm</t>
  </si>
  <si>
    <t>2,107-2,294 μm</t>
  </si>
  <si>
    <t>496,6nm (S2A) / 492,1nm (S2B)</t>
  </si>
  <si>
    <t>664,5nm (S2A) / 665nm (S2B)</t>
  </si>
  <si>
    <t>703,9nm (S2A) / 703,8nm (S2B)</t>
  </si>
  <si>
    <t>740,2nm (S2A) / 739,1nm (S2B)</t>
  </si>
  <si>
    <t xml:space="preserve">782,5nm (S2A) / 779,7nm (S2B) </t>
  </si>
  <si>
    <t xml:space="preserve">835,1nm (S2A) / 833nm (S2B) </t>
  </si>
  <si>
    <t>864,8nm (S2A) / 864nm (S2B)</t>
  </si>
  <si>
    <t>1613,7nm (S2A) / 1610,4nm (S2B)</t>
  </si>
  <si>
    <t>2202,4nm (S2A) / 2185,7nm (S2B)</t>
  </si>
  <si>
    <t>dt+B+Rad_bit</t>
  </si>
  <si>
    <t>dt+B</t>
  </si>
  <si>
    <t>dt</t>
  </si>
  <si>
    <r>
      <t>W</t>
    </r>
    <r>
      <rPr>
        <vertAlign val="subscript"/>
        <sz val="11"/>
        <color theme="1"/>
        <rFont val="Aptos Narrow"/>
        <family val="2"/>
        <scheme val="minor"/>
      </rPr>
      <t>MSS</t>
    </r>
  </si>
  <si>
    <r>
      <t>W</t>
    </r>
    <r>
      <rPr>
        <vertAlign val="subscript"/>
        <sz val="11"/>
        <color theme="1"/>
        <rFont val="Aptos Narrow"/>
        <family val="2"/>
        <scheme val="minor"/>
      </rPr>
      <t>TEO</t>
    </r>
  </si>
  <si>
    <r>
      <t>W</t>
    </r>
    <r>
      <rPr>
        <vertAlign val="subscript"/>
        <sz val="11"/>
        <color theme="1"/>
        <rFont val="Aptos Narrow"/>
        <family val="2"/>
        <scheme val="minor"/>
      </rPr>
      <t>MSI</t>
    </r>
  </si>
  <si>
    <t>dt+px size</t>
  </si>
  <si>
    <t>dt+Rad_bit</t>
  </si>
  <si>
    <t>dt+Rad_bit+px size</t>
  </si>
  <si>
    <t>dt+B+Rad_bit+px size</t>
  </si>
  <si>
    <t>(Area%)</t>
  </si>
  <si>
    <t>(Target UA)</t>
  </si>
  <si>
    <t>(Target S)</t>
  </si>
  <si>
    <r>
      <t>W</t>
    </r>
    <r>
      <rPr>
        <b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</si>
  <si>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b/>
        <vertAlign val="subscript"/>
        <sz val="11"/>
        <color theme="1"/>
        <rFont val="Aptos Narrow"/>
        <family val="2"/>
        <scheme val="minor"/>
      </rPr>
      <t>i</t>
    </r>
  </si>
  <si>
    <r>
      <t>S</t>
    </r>
    <r>
      <rPr>
        <b/>
        <vertAlign val="subscript"/>
        <sz val="11"/>
        <color theme="1"/>
        <rFont val="Aptos Narrow"/>
        <family val="2"/>
        <scheme val="minor"/>
      </rPr>
      <t>i</t>
    </r>
  </si>
  <si>
    <r>
      <t>W</t>
    </r>
    <r>
      <rPr>
        <b/>
        <vertAlign val="sub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>*S</t>
    </r>
    <r>
      <rPr>
        <b/>
        <vertAlign val="subscript"/>
        <sz val="11"/>
        <color theme="1"/>
        <rFont val="Aptos Narrow"/>
        <family val="2"/>
        <scheme val="minor"/>
      </rPr>
      <t>i</t>
    </r>
  </si>
  <si>
    <t>(min. Sample)</t>
  </si>
  <si>
    <t>Total [Ha]</t>
  </si>
  <si>
    <t>Total [60 m px]</t>
  </si>
  <si>
    <t>GUE Samples</t>
  </si>
  <si>
    <t>A priori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</si>
</sst>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%"/>
    <numFmt numFmtId="165" formatCode="0.00000"/>
    <numFmt numFmtId="166" formatCode="0.000"/>
    <numFmt numFmtId="167" formatCode="0.0"/>
    <numFmt numFmtId="168" formatCode="0.0000"/>
    <numFmt numFmtId="169" formatCode="0.000000"/>
    <numFmt numFmtId="170" formatCode="0.000%"/>
    <numFmt numFmtId="171" formatCode="0.E+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Times New Roman"/>
      <family val="1"/>
    </font>
    <font>
      <i/>
      <sz val="12"/>
      <color theme="1"/>
      <name val="Times New Roman"/>
      <family val="1"/>
    </font>
    <font>
      <i/>
      <vertAlign val="subscript"/>
      <sz val="12"/>
      <color theme="1"/>
      <name val="Times New Roman"/>
      <family val="1"/>
    </font>
    <font>
      <sz val="11"/>
      <color theme="1"/>
      <name val="Aptos Narrow"/>
      <family val="2"/>
    </font>
    <font>
      <b/>
      <vertAlign val="subscript"/>
      <sz val="11"/>
      <color theme="1"/>
      <name val="Aptos Narrow"/>
      <family val="2"/>
      <scheme val="minor"/>
    </font>
    <font>
      <b/>
      <sz val="11"/>
      <color theme="1"/>
      <name val="Aptos Narrow"/>
      <family val="2"/>
    </font>
    <font>
      <b/>
      <sz val="14"/>
      <color theme="1"/>
      <name val="Aptos Narrow"/>
      <family val="2"/>
      <scheme val="minor"/>
    </font>
    <font>
      <sz val="1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i/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1F9DFF"/>
        <bgColor indexed="64"/>
      </patternFill>
    </fill>
    <fill>
      <patternFill patternType="solid">
        <fgColor rgb="FFCACDDE"/>
        <bgColor indexed="64"/>
      </patternFill>
    </fill>
    <fill>
      <patternFill patternType="solid">
        <fgColor rgb="FFB1EE2D"/>
        <bgColor indexed="64"/>
      </patternFill>
    </fill>
    <fill>
      <patternFill patternType="solid">
        <fgColor rgb="FFAD8D06"/>
        <bgColor indexed="64"/>
      </patternFill>
    </fill>
    <fill>
      <patternFill patternType="solid">
        <fgColor rgb="FF1497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12F40"/>
        <bgColor indexed="64"/>
      </patternFill>
    </fill>
    <fill>
      <patternFill patternType="solid">
        <fgColor rgb="FFFFC100"/>
        <bgColor indexed="64"/>
      </patternFill>
    </fill>
    <fill>
      <patternFill patternType="solid">
        <fgColor rgb="FF725AC1"/>
        <bgColor indexed="64"/>
      </patternFill>
    </fill>
    <fill>
      <patternFill patternType="solid">
        <fgColor rgb="FFE7CC58"/>
        <bgColor indexed="64"/>
      </patternFill>
    </fill>
    <fill>
      <patternFill patternType="solid">
        <fgColor rgb="FF8EA5B6"/>
        <bgColor indexed="64"/>
      </patternFill>
    </fill>
    <fill>
      <patternFill patternType="solid">
        <fgColor rgb="FFDAE9F8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double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5">
    <xf numFmtId="0" fontId="0" fillId="0" borderId="0" xfId="0"/>
    <xf numFmtId="0" fontId="0" fillId="0" borderId="0" xfId="0" applyAlignment="1">
      <alignment horizontal="center"/>
    </xf>
    <xf numFmtId="20" fontId="0" fillId="0" borderId="0" xfId="0" applyNumberForma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9" fontId="0" fillId="0" borderId="0" xfId="1" applyFont="1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10" fontId="2" fillId="0" borderId="0" xfId="1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7" fontId="0" fillId="0" borderId="0" xfId="1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1" applyNumberFormat="1" applyFont="1" applyBorder="1" applyAlignment="1">
      <alignment horizontal="center"/>
    </xf>
    <xf numFmtId="167" fontId="0" fillId="0" borderId="5" xfId="1" applyNumberFormat="1" applyFont="1" applyBorder="1" applyAlignment="1">
      <alignment horizontal="center"/>
    </xf>
    <xf numFmtId="167" fontId="0" fillId="0" borderId="7" xfId="1" applyNumberFormat="1" applyFont="1" applyBorder="1" applyAlignment="1">
      <alignment horizontal="center"/>
    </xf>
    <xf numFmtId="164" fontId="2" fillId="0" borderId="0" xfId="1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0" xfId="0" applyNumberFormat="1"/>
    <xf numFmtId="167" fontId="0" fillId="0" borderId="0" xfId="0" applyNumberFormat="1"/>
    <xf numFmtId="0" fontId="0" fillId="2" borderId="1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8" xfId="0" applyFill="1" applyBorder="1" applyAlignment="1">
      <alignment horizontal="center"/>
    </xf>
    <xf numFmtId="167" fontId="2" fillId="2" borderId="1" xfId="1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67" fontId="0" fillId="0" borderId="2" xfId="0" applyNumberFormat="1" applyBorder="1" applyAlignment="1">
      <alignment horizontal="center"/>
    </xf>
    <xf numFmtId="167" fontId="0" fillId="0" borderId="3" xfId="0" applyNumberFormat="1" applyBorder="1" applyAlignment="1">
      <alignment horizontal="center"/>
    </xf>
    <xf numFmtId="167" fontId="0" fillId="0" borderId="4" xfId="0" applyNumberFormat="1" applyBorder="1" applyAlignment="1">
      <alignment horizontal="center"/>
    </xf>
    <xf numFmtId="167" fontId="2" fillId="2" borderId="0" xfId="1" applyNumberFormat="1" applyFont="1" applyFill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167" fontId="0" fillId="0" borderId="7" xfId="0" applyNumberFormat="1" applyBorder="1" applyAlignment="1">
      <alignment horizontal="center"/>
    </xf>
    <xf numFmtId="167" fontId="2" fillId="2" borderId="8" xfId="1" applyNumberFormat="1" applyFont="1" applyFill="1" applyBorder="1" applyAlignment="1">
      <alignment horizontal="center"/>
    </xf>
    <xf numFmtId="0" fontId="6" fillId="0" borderId="0" xfId="0" applyFont="1"/>
    <xf numFmtId="0" fontId="5" fillId="0" borderId="0" xfId="0" applyFont="1"/>
    <xf numFmtId="167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  <xf numFmtId="164" fontId="0" fillId="0" borderId="0" xfId="1" applyNumberFormat="1" applyFont="1"/>
    <xf numFmtId="10" fontId="0" fillId="0" borderId="0" xfId="1" applyNumberFormat="1" applyFont="1"/>
    <xf numFmtId="0" fontId="2" fillId="0" borderId="7" xfId="0" applyFont="1" applyBorder="1" applyAlignment="1">
      <alignment horizontal="center"/>
    </xf>
    <xf numFmtId="169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0" fontId="2" fillId="0" borderId="0" xfId="0" applyNumberFormat="1" applyFont="1"/>
    <xf numFmtId="10" fontId="2" fillId="0" borderId="0" xfId="0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170" fontId="2" fillId="0" borderId="0" xfId="1" applyNumberFormat="1" applyFont="1" applyFill="1" applyBorder="1" applyAlignment="1">
      <alignment horizontal="center"/>
    </xf>
    <xf numFmtId="170" fontId="2" fillId="0" borderId="0" xfId="0" applyNumberFormat="1" applyFont="1"/>
    <xf numFmtId="170" fontId="2" fillId="0" borderId="0" xfId="0" applyNumberFormat="1" applyFont="1" applyAlignment="1">
      <alignment horizontal="center"/>
    </xf>
    <xf numFmtId="10" fontId="2" fillId="0" borderId="0" xfId="1" applyNumberFormat="1" applyFon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7" xfId="0" applyBorder="1"/>
    <xf numFmtId="0" fontId="2" fillId="0" borderId="0" xfId="0" applyFont="1" applyAlignment="1">
      <alignment horizontal="right"/>
    </xf>
    <xf numFmtId="166" fontId="2" fillId="0" borderId="0" xfId="0" applyNumberFormat="1" applyFont="1" applyAlignment="1">
      <alignment horizontal="center"/>
    </xf>
    <xf numFmtId="9" fontId="2" fillId="0" borderId="0" xfId="1" applyFont="1" applyAlignment="1">
      <alignment horizontal="center"/>
    </xf>
    <xf numFmtId="0" fontId="0" fillId="0" borderId="9" xfId="0" applyBorder="1"/>
    <xf numFmtId="0" fontId="2" fillId="0" borderId="9" xfId="0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0" fontId="0" fillId="0" borderId="12" xfId="0" applyBorder="1"/>
    <xf numFmtId="2" fontId="0" fillId="0" borderId="12" xfId="0" applyNumberFormat="1" applyBorder="1" applyAlignment="1">
      <alignment horizontal="center"/>
    </xf>
    <xf numFmtId="0" fontId="0" fillId="0" borderId="11" xfId="0" applyBorder="1"/>
    <xf numFmtId="0" fontId="0" fillId="0" borderId="2" xfId="0" applyBorder="1"/>
    <xf numFmtId="0" fontId="0" fillId="0" borderId="10" xfId="0" applyBorder="1"/>
    <xf numFmtId="2" fontId="0" fillId="0" borderId="0" xfId="1" applyNumberFormat="1" applyFont="1" applyBorder="1" applyAlignment="1">
      <alignment horizontal="center"/>
    </xf>
    <xf numFmtId="170" fontId="2" fillId="0" borderId="0" xfId="1" applyNumberFormat="1" applyFont="1" applyAlignment="1">
      <alignment horizontal="center"/>
    </xf>
    <xf numFmtId="170" fontId="2" fillId="0" borderId="0" xfId="1" applyNumberFormat="1" applyFont="1" applyFill="1" applyAlignment="1">
      <alignment horizontal="center"/>
    </xf>
    <xf numFmtId="0" fontId="10" fillId="0" borderId="0" xfId="0" applyFont="1" applyAlignment="1">
      <alignment horizontal="center"/>
    </xf>
    <xf numFmtId="0" fontId="0" fillId="0" borderId="12" xfId="0" applyBorder="1" applyAlignment="1">
      <alignment horizontal="left"/>
    </xf>
    <xf numFmtId="2" fontId="0" fillId="0" borderId="12" xfId="1" applyNumberFormat="1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46" fontId="0" fillId="0" borderId="0" xfId="0" applyNumberFormat="1"/>
    <xf numFmtId="10" fontId="2" fillId="0" borderId="12" xfId="0" applyNumberFormat="1" applyFont="1" applyBorder="1" applyAlignment="1">
      <alignment horizontal="center"/>
    </xf>
    <xf numFmtId="170" fontId="0" fillId="0" borderId="0" xfId="1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11" fillId="0" borderId="0" xfId="0" applyFont="1"/>
    <xf numFmtId="0" fontId="0" fillId="2" borderId="0" xfId="0" applyFill="1"/>
    <xf numFmtId="9" fontId="2" fillId="0" borderId="0" xfId="1" applyFont="1" applyAlignment="1">
      <alignment horizontal="center" vertical="center"/>
    </xf>
    <xf numFmtId="164" fontId="2" fillId="0" borderId="0" xfId="0" applyNumberFormat="1" applyFont="1"/>
    <xf numFmtId="1" fontId="2" fillId="0" borderId="0" xfId="0" applyNumberFormat="1" applyFont="1" applyAlignment="1">
      <alignment horizontal="center"/>
    </xf>
    <xf numFmtId="10" fontId="2" fillId="0" borderId="0" xfId="1" applyNumberFormat="1" applyFont="1"/>
    <xf numFmtId="164" fontId="2" fillId="0" borderId="0" xfId="1" applyNumberFormat="1" applyFont="1"/>
    <xf numFmtId="0" fontId="2" fillId="3" borderId="7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2" fillId="5" borderId="7" xfId="0" applyFont="1" applyFill="1" applyBorder="1" applyAlignment="1">
      <alignment horizontal="center"/>
    </xf>
    <xf numFmtId="0" fontId="0" fillId="8" borderId="0" xfId="0" applyFill="1"/>
    <xf numFmtId="2" fontId="0" fillId="9" borderId="0" xfId="1" applyNumberFormat="1" applyFont="1" applyFill="1" applyBorder="1" applyAlignment="1">
      <alignment horizontal="center"/>
    </xf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2" fontId="2" fillId="0" borderId="0" xfId="0" applyNumberFormat="1" applyFont="1" applyAlignment="1">
      <alignment horizontal="center"/>
    </xf>
    <xf numFmtId="0" fontId="0" fillId="18" borderId="0" xfId="0" applyFill="1"/>
    <xf numFmtId="0" fontId="0" fillId="0" borderId="2" xfId="0" applyBorder="1" applyAlignment="1">
      <alignment horizontal="right"/>
    </xf>
    <xf numFmtId="0" fontId="2" fillId="19" borderId="0" xfId="0" applyFont="1" applyFill="1"/>
    <xf numFmtId="0" fontId="0" fillId="19" borderId="0" xfId="0" applyFill="1"/>
    <xf numFmtId="2" fontId="0" fillId="19" borderId="0" xfId="0" applyNumberFormat="1" applyFill="1" applyAlignment="1">
      <alignment horizontal="center"/>
    </xf>
    <xf numFmtId="0" fontId="0" fillId="19" borderId="12" xfId="0" applyFill="1" applyBorder="1"/>
    <xf numFmtId="2" fontId="0" fillId="19" borderId="12" xfId="0" applyNumberFormat="1" applyFill="1" applyBorder="1" applyAlignment="1">
      <alignment horizontal="center"/>
    </xf>
    <xf numFmtId="0" fontId="0" fillId="19" borderId="0" xfId="0" applyFill="1" applyAlignment="1">
      <alignment horizontal="left"/>
    </xf>
    <xf numFmtId="2" fontId="0" fillId="19" borderId="0" xfId="1" applyNumberFormat="1" applyFont="1" applyFill="1" applyBorder="1" applyAlignment="1">
      <alignment horizontal="center"/>
    </xf>
    <xf numFmtId="0" fontId="0" fillId="19" borderId="12" xfId="0" applyFill="1" applyBorder="1" applyAlignment="1">
      <alignment horizontal="left"/>
    </xf>
    <xf numFmtId="2" fontId="0" fillId="19" borderId="12" xfId="1" applyNumberFormat="1" applyFont="1" applyFill="1" applyBorder="1" applyAlignment="1">
      <alignment horizontal="center"/>
    </xf>
    <xf numFmtId="0" fontId="0" fillId="19" borderId="0" xfId="0" applyFill="1" applyAlignment="1">
      <alignment horizontal="right"/>
    </xf>
    <xf numFmtId="0" fontId="0" fillId="19" borderId="0" xfId="0" applyFill="1" applyAlignment="1">
      <alignment horizontal="center"/>
    </xf>
    <xf numFmtId="167" fontId="0" fillId="19" borderId="0" xfId="0" applyNumberFormat="1" applyFill="1" applyAlignment="1">
      <alignment horizontal="left"/>
    </xf>
    <xf numFmtId="0" fontId="2" fillId="0" borderId="7" xfId="0" applyFont="1" applyBorder="1"/>
    <xf numFmtId="0" fontId="2" fillId="19" borderId="0" xfId="0" applyFont="1" applyFill="1" applyAlignment="1">
      <alignment horizontal="left"/>
    </xf>
    <xf numFmtId="10" fontId="2" fillId="0" borderId="7" xfId="0" applyNumberFormat="1" applyFont="1" applyBorder="1" applyAlignment="1">
      <alignment horizontal="center"/>
    </xf>
    <xf numFmtId="170" fontId="2" fillId="0" borderId="7" xfId="0" applyNumberFormat="1" applyFont="1" applyBorder="1" applyAlignment="1">
      <alignment horizontal="center"/>
    </xf>
    <xf numFmtId="0" fontId="0" fillId="19" borderId="2" xfId="0" applyFill="1" applyBorder="1"/>
    <xf numFmtId="0" fontId="2" fillId="6" borderId="7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2" fontId="0" fillId="19" borderId="7" xfId="0" applyNumberFormat="1" applyFill="1" applyBorder="1" applyAlignment="1">
      <alignment horizontal="center"/>
    </xf>
    <xf numFmtId="170" fontId="0" fillId="20" borderId="0" xfId="1" applyNumberFormat="1" applyFont="1" applyFill="1" applyAlignment="1">
      <alignment horizontal="center"/>
    </xf>
    <xf numFmtId="10" fontId="2" fillId="0" borderId="7" xfId="1" applyNumberFormat="1" applyFont="1" applyFill="1" applyBorder="1" applyAlignment="1">
      <alignment horizontal="center"/>
    </xf>
    <xf numFmtId="10" fontId="2" fillId="0" borderId="0" xfId="1" applyNumberFormat="1" applyFont="1" applyFill="1" applyBorder="1" applyAlignment="1">
      <alignment horizontal="center"/>
    </xf>
    <xf numFmtId="0" fontId="12" fillId="19" borderId="7" xfId="0" applyFont="1" applyFill="1" applyBorder="1"/>
    <xf numFmtId="0" fontId="2" fillId="0" borderId="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2" fontId="2" fillId="0" borderId="0" xfId="0" applyNumberFormat="1" applyFont="1"/>
    <xf numFmtId="2" fontId="0" fillId="19" borderId="2" xfId="0" applyNumberFormat="1" applyFill="1" applyBorder="1" applyAlignment="1">
      <alignment horizontal="center"/>
    </xf>
    <xf numFmtId="2" fontId="0" fillId="19" borderId="0" xfId="0" applyNumberFormat="1" applyFill="1" applyAlignment="1">
      <alignment horizontal="left"/>
    </xf>
    <xf numFmtId="1" fontId="2" fillId="0" borderId="13" xfId="0" applyNumberFormat="1" applyFont="1" applyBorder="1" applyAlignment="1">
      <alignment horizontal="center"/>
    </xf>
    <xf numFmtId="2" fontId="13" fillId="19" borderId="2" xfId="0" applyNumberFormat="1" applyFont="1" applyFill="1" applyBorder="1" applyAlignment="1">
      <alignment horizontal="center"/>
    </xf>
    <xf numFmtId="2" fontId="14" fillId="19" borderId="2" xfId="0" applyNumberFormat="1" applyFont="1" applyFill="1" applyBorder="1" applyAlignment="1">
      <alignment horizontal="center"/>
    </xf>
    <xf numFmtId="0" fontId="0" fillId="19" borderId="7" xfId="0" applyFill="1" applyBorder="1"/>
    <xf numFmtId="2" fontId="0" fillId="19" borderId="0" xfId="0" applyNumberFormat="1" applyFill="1"/>
    <xf numFmtId="0" fontId="2" fillId="0" borderId="2" xfId="0" applyFont="1" applyBorder="1"/>
    <xf numFmtId="167" fontId="0" fillId="19" borderId="0" xfId="0" applyNumberFormat="1" applyFill="1" applyAlignment="1">
      <alignment horizontal="center"/>
    </xf>
    <xf numFmtId="10" fontId="0" fillId="19" borderId="0" xfId="0" applyNumberFormat="1" applyFill="1"/>
    <xf numFmtId="10" fontId="0" fillId="19" borderId="0" xfId="1" applyNumberFormat="1" applyFont="1" applyFill="1" applyAlignment="1">
      <alignment horizontal="center"/>
    </xf>
    <xf numFmtId="10" fontId="0" fillId="19" borderId="0" xfId="1" applyNumberFormat="1" applyFont="1" applyFill="1" applyBorder="1" applyAlignment="1">
      <alignment horizontal="center"/>
    </xf>
    <xf numFmtId="0" fontId="12" fillId="19" borderId="0" xfId="0" applyFont="1" applyFill="1"/>
    <xf numFmtId="170" fontId="0" fillId="19" borderId="0" xfId="1" applyNumberFormat="1" applyFont="1" applyFill="1" applyBorder="1" applyAlignment="1">
      <alignment horizontal="center"/>
    </xf>
    <xf numFmtId="170" fontId="0" fillId="19" borderId="7" xfId="1" applyNumberFormat="1" applyFont="1" applyFill="1" applyBorder="1" applyAlignment="1">
      <alignment horizontal="center"/>
    </xf>
    <xf numFmtId="10" fontId="0" fillId="19" borderId="7" xfId="1" applyNumberFormat="1" applyFont="1" applyFill="1" applyBorder="1" applyAlignment="1">
      <alignment horizontal="center"/>
    </xf>
    <xf numFmtId="10" fontId="0" fillId="19" borderId="0" xfId="0" applyNumberFormat="1" applyFill="1" applyAlignment="1">
      <alignment horizontal="center"/>
    </xf>
    <xf numFmtId="170" fontId="0" fillId="0" borderId="0" xfId="0" applyNumberFormat="1"/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170" fontId="0" fillId="0" borderId="0" xfId="0" applyNumberFormat="1" applyAlignment="1">
      <alignment horizontal="center"/>
    </xf>
    <xf numFmtId="170" fontId="0" fillId="0" borderId="2" xfId="0" applyNumberFormat="1" applyBorder="1" applyAlignment="1">
      <alignment horizontal="center"/>
    </xf>
    <xf numFmtId="170" fontId="0" fillId="0" borderId="3" xfId="0" applyNumberForma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170" fontId="0" fillId="0" borderId="7" xfId="0" applyNumberFormat="1" applyBorder="1" applyAlignment="1">
      <alignment horizontal="center"/>
    </xf>
    <xf numFmtId="170" fontId="0" fillId="0" borderId="8" xfId="0" applyNumberFormat="1" applyBorder="1" applyAlignment="1">
      <alignment horizontal="center"/>
    </xf>
    <xf numFmtId="0" fontId="0" fillId="19" borderId="1" xfId="0" applyFill="1" applyBorder="1"/>
    <xf numFmtId="0" fontId="0" fillId="19" borderId="4" xfId="0" applyFill="1" applyBorder="1"/>
    <xf numFmtId="0" fontId="0" fillId="19" borderId="6" xfId="0" applyFill="1" applyBorder="1"/>
    <xf numFmtId="170" fontId="0" fillId="19" borderId="0" xfId="0" applyNumberFormat="1" applyFill="1" applyAlignment="1">
      <alignment horizontal="center"/>
    </xf>
    <xf numFmtId="170" fontId="0" fillId="19" borderId="5" xfId="0" applyNumberFormat="1" applyFill="1" applyBorder="1" applyAlignment="1">
      <alignment horizontal="center"/>
    </xf>
    <xf numFmtId="0" fontId="2" fillId="19" borderId="1" xfId="0" applyFont="1" applyFill="1" applyBorder="1" applyAlignment="1">
      <alignment horizontal="left"/>
    </xf>
    <xf numFmtId="0" fontId="2" fillId="19" borderId="4" xfId="0" applyFont="1" applyFill="1" applyBorder="1" applyAlignment="1">
      <alignment horizontal="left"/>
    </xf>
    <xf numFmtId="0" fontId="2" fillId="19" borderId="6" xfId="0" applyFont="1" applyFill="1" applyBorder="1" applyAlignment="1">
      <alignment horizontal="left"/>
    </xf>
    <xf numFmtId="10" fontId="0" fillId="0" borderId="0" xfId="1" applyNumberFormat="1" applyFont="1" applyAlignment="1">
      <alignment horizontal="center"/>
    </xf>
    <xf numFmtId="168" fontId="0" fillId="12" borderId="0" xfId="0" applyNumberFormat="1" applyFill="1" applyAlignment="1">
      <alignment horizontal="center"/>
    </xf>
    <xf numFmtId="0" fontId="0" fillId="0" borderId="13" xfId="0" applyBorder="1"/>
    <xf numFmtId="0" fontId="0" fillId="3" borderId="13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0" fontId="0" fillId="0" borderId="0" xfId="0" applyNumberFormat="1"/>
    <xf numFmtId="2" fontId="0" fillId="0" borderId="0" xfId="1" applyNumberFormat="1" applyFont="1" applyAlignment="1">
      <alignment horizontal="center"/>
    </xf>
    <xf numFmtId="0" fontId="16" fillId="21" borderId="0" xfId="0" applyFont="1" applyFill="1" applyAlignment="1">
      <alignment horizontal="center"/>
    </xf>
    <xf numFmtId="0" fontId="16" fillId="22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3" borderId="0" xfId="0" applyFill="1" applyAlignment="1">
      <alignment horizontal="center"/>
    </xf>
    <xf numFmtId="0" fontId="0" fillId="13" borderId="5" xfId="0" applyFill="1" applyBorder="1" applyAlignment="1">
      <alignment horizontal="center"/>
    </xf>
    <xf numFmtId="0" fontId="0" fillId="12" borderId="0" xfId="0" applyFill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3" borderId="7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16" borderId="5" xfId="0" applyFill="1" applyBorder="1" applyAlignment="1">
      <alignment horizontal="center"/>
    </xf>
    <xf numFmtId="0" fontId="0" fillId="16" borderId="7" xfId="0" applyFill="1" applyBorder="1" applyAlignment="1">
      <alignment horizontal="center"/>
    </xf>
    <xf numFmtId="10" fontId="0" fillId="19" borderId="0" xfId="1" applyNumberFormat="1" applyFont="1" applyFill="1"/>
    <xf numFmtId="2" fontId="0" fillId="19" borderId="0" xfId="0" applyNumberFormat="1" applyFill="1" applyAlignment="1">
      <alignment horizontal="right"/>
    </xf>
    <xf numFmtId="0" fontId="16" fillId="22" borderId="2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166" fontId="0" fillId="0" borderId="2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13" borderId="13" xfId="0" applyFill="1" applyBorder="1"/>
    <xf numFmtId="0" fontId="0" fillId="12" borderId="13" xfId="0" applyFill="1" applyBorder="1"/>
    <xf numFmtId="0" fontId="0" fillId="16" borderId="13" xfId="0" applyFill="1" applyBorder="1"/>
    <xf numFmtId="0" fontId="0" fillId="22" borderId="13" xfId="0" applyFill="1" applyBorder="1"/>
    <xf numFmtId="0" fontId="0" fillId="21" borderId="13" xfId="0" applyFill="1" applyBorder="1"/>
    <xf numFmtId="0" fontId="16" fillId="21" borderId="8" xfId="0" applyFont="1" applyFill="1" applyBorder="1" applyAlignment="1">
      <alignment horizontal="center"/>
    </xf>
    <xf numFmtId="0" fontId="15" fillId="24" borderId="7" xfId="0" applyFont="1" applyFill="1" applyBorder="1" applyAlignment="1">
      <alignment horizontal="center"/>
    </xf>
    <xf numFmtId="0" fontId="15" fillId="12" borderId="7" xfId="0" applyFont="1" applyFill="1" applyBorder="1" applyAlignment="1">
      <alignment horizontal="center"/>
    </xf>
    <xf numFmtId="0" fontId="15" fillId="23" borderId="7" xfId="0" applyFont="1" applyFill="1" applyBorder="1" applyAlignment="1">
      <alignment horizontal="center"/>
    </xf>
    <xf numFmtId="0" fontId="17" fillId="5" borderId="7" xfId="0" applyFont="1" applyFill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0" fontId="0" fillId="0" borderId="0" xfId="0" applyNumberFormat="1" applyAlignment="1">
      <alignment horizontal="center"/>
    </xf>
    <xf numFmtId="49" fontId="0" fillId="0" borderId="13" xfId="0" applyNumberFormat="1" applyBorder="1" applyAlignment="1">
      <alignment horizontal="center"/>
    </xf>
    <xf numFmtId="0" fontId="16" fillId="22" borderId="5" xfId="0" applyFont="1" applyFill="1" applyBorder="1" applyAlignment="1">
      <alignment horizontal="center"/>
    </xf>
    <xf numFmtId="0" fontId="16" fillId="22" borderId="7" xfId="0" applyFont="1" applyFill="1" applyBorder="1" applyAlignment="1">
      <alignment horizontal="center"/>
    </xf>
    <xf numFmtId="14" fontId="0" fillId="0" borderId="0" xfId="0" applyNumberFormat="1"/>
    <xf numFmtId="14" fontId="0" fillId="25" borderId="0" xfId="0" applyNumberFormat="1" applyFill="1"/>
    <xf numFmtId="21" fontId="0" fillId="0" borderId="0" xfId="0" applyNumberFormat="1"/>
    <xf numFmtId="0" fontId="16" fillId="22" borderId="8" xfId="0" applyFont="1" applyFill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12" fillId="12" borderId="0" xfId="0" applyFont="1" applyFill="1" applyAlignment="1">
      <alignment horizontal="center"/>
    </xf>
    <xf numFmtId="2" fontId="0" fillId="19" borderId="0" xfId="1" applyNumberFormat="1" applyFont="1" applyFill="1" applyAlignment="1">
      <alignment horizontal="center"/>
    </xf>
    <xf numFmtId="0" fontId="0" fillId="0" borderId="4" xfId="0" applyBorder="1"/>
    <xf numFmtId="0" fontId="2" fillId="19" borderId="13" xfId="0" applyFont="1" applyFill="1" applyBorder="1" applyAlignment="1">
      <alignment horizontal="center"/>
    </xf>
    <xf numFmtId="10" fontId="2" fillId="19" borderId="13" xfId="0" applyNumberFormat="1" applyFont="1" applyFill="1" applyBorder="1" applyAlignment="1">
      <alignment horizontal="center"/>
    </xf>
    <xf numFmtId="170" fontId="2" fillId="19" borderId="13" xfId="0" applyNumberFormat="1" applyFont="1" applyFill="1" applyBorder="1" applyAlignment="1">
      <alignment horizontal="center"/>
    </xf>
    <xf numFmtId="0" fontId="15" fillId="23" borderId="0" xfId="0" applyFont="1" applyFill="1" applyAlignment="1">
      <alignment horizontal="center" vertical="center"/>
    </xf>
    <xf numFmtId="0" fontId="17" fillId="5" borderId="0" xfId="0" applyFont="1" applyFill="1" applyAlignment="1">
      <alignment horizontal="center" vertical="center"/>
    </xf>
    <xf numFmtId="0" fontId="15" fillId="23" borderId="17" xfId="0" applyFont="1" applyFill="1" applyBorder="1" applyAlignment="1">
      <alignment horizontal="center" vertical="center"/>
    </xf>
    <xf numFmtId="0" fontId="15" fillId="26" borderId="17" xfId="0" applyFont="1" applyFill="1" applyBorder="1" applyAlignment="1">
      <alignment horizontal="center" vertical="center"/>
    </xf>
    <xf numFmtId="0" fontId="17" fillId="27" borderId="18" xfId="0" applyFont="1" applyFill="1" applyBorder="1" applyAlignment="1">
      <alignment horizontal="center" vertical="center"/>
    </xf>
    <xf numFmtId="0" fontId="17" fillId="5" borderId="19" xfId="0" applyFont="1" applyFill="1" applyBorder="1" applyAlignment="1">
      <alignment horizontal="center" vertical="center"/>
    </xf>
    <xf numFmtId="0" fontId="0" fillId="19" borderId="1" xfId="0" applyFill="1" applyBorder="1" applyAlignment="1">
      <alignment horizontal="center"/>
    </xf>
    <xf numFmtId="10" fontId="0" fillId="19" borderId="2" xfId="1" applyNumberFormat="1" applyFont="1" applyFill="1" applyBorder="1" applyAlignment="1">
      <alignment horizontal="center"/>
    </xf>
    <xf numFmtId="10" fontId="0" fillId="19" borderId="0" xfId="0" applyNumberFormat="1" applyFill="1" applyAlignment="1">
      <alignment horizontal="right"/>
    </xf>
    <xf numFmtId="0" fontId="16" fillId="26" borderId="17" xfId="0" applyFont="1" applyFill="1" applyBorder="1" applyAlignment="1">
      <alignment horizontal="center" vertical="center"/>
    </xf>
    <xf numFmtId="10" fontId="12" fillId="27" borderId="18" xfId="1" applyNumberFormat="1" applyFont="1" applyFill="1" applyBorder="1" applyAlignment="1">
      <alignment horizontal="center" vertical="center"/>
    </xf>
    <xf numFmtId="10" fontId="12" fillId="5" borderId="19" xfId="1" applyNumberFormat="1" applyFont="1" applyFill="1" applyBorder="1" applyAlignment="1">
      <alignment horizontal="center" vertical="center"/>
    </xf>
    <xf numFmtId="10" fontId="16" fillId="23" borderId="21" xfId="1" applyNumberFormat="1" applyFont="1" applyFill="1" applyBorder="1" applyAlignment="1">
      <alignment horizontal="center" vertical="center"/>
    </xf>
    <xf numFmtId="0" fontId="15" fillId="23" borderId="20" xfId="0" applyFont="1" applyFill="1" applyBorder="1" applyAlignment="1">
      <alignment horizontal="center"/>
    </xf>
    <xf numFmtId="10" fontId="16" fillId="26" borderId="21" xfId="1" applyNumberFormat="1" applyFont="1" applyFill="1" applyBorder="1" applyAlignment="1">
      <alignment horizontal="center" vertical="center"/>
    </xf>
    <xf numFmtId="0" fontId="17" fillId="5" borderId="20" xfId="0" applyFont="1" applyFill="1" applyBorder="1" applyAlignment="1">
      <alignment horizontal="center"/>
    </xf>
    <xf numFmtId="0" fontId="17" fillId="5" borderId="22" xfId="0" applyFont="1" applyFill="1" applyBorder="1" applyAlignment="1">
      <alignment horizontal="center"/>
    </xf>
    <xf numFmtId="10" fontId="12" fillId="5" borderId="17" xfId="1" applyNumberFormat="1" applyFont="1" applyFill="1" applyBorder="1" applyAlignment="1">
      <alignment horizontal="center" vertical="center"/>
    </xf>
    <xf numFmtId="0" fontId="17" fillId="5" borderId="15" xfId="0" applyFont="1" applyFill="1" applyBorder="1" applyAlignment="1">
      <alignment horizontal="center"/>
    </xf>
    <xf numFmtId="0" fontId="15" fillId="23" borderId="0" xfId="0" applyFont="1" applyFill="1" applyAlignment="1">
      <alignment horizontal="center"/>
    </xf>
    <xf numFmtId="0" fontId="17" fillId="5" borderId="0" xfId="0" applyFont="1" applyFill="1" applyAlignment="1">
      <alignment horizontal="center"/>
    </xf>
    <xf numFmtId="2" fontId="16" fillId="23" borderId="21" xfId="1" applyNumberFormat="1" applyFont="1" applyFill="1" applyBorder="1" applyAlignment="1">
      <alignment horizontal="center" vertical="center"/>
    </xf>
    <xf numFmtId="2" fontId="16" fillId="26" borderId="21" xfId="1" applyNumberFormat="1" applyFont="1" applyFill="1" applyBorder="1" applyAlignment="1">
      <alignment horizontal="center" vertical="center"/>
    </xf>
    <xf numFmtId="2" fontId="12" fillId="27" borderId="18" xfId="1" applyNumberFormat="1" applyFont="1" applyFill="1" applyBorder="1" applyAlignment="1">
      <alignment horizontal="center" vertical="center"/>
    </xf>
    <xf numFmtId="2" fontId="12" fillId="5" borderId="19" xfId="1" applyNumberFormat="1" applyFont="1" applyFill="1" applyBorder="1" applyAlignment="1">
      <alignment horizontal="center" vertical="center"/>
    </xf>
    <xf numFmtId="0" fontId="15" fillId="0" borderId="23" xfId="0" applyFont="1" applyBorder="1" applyAlignment="1">
      <alignment horizontal="center"/>
    </xf>
    <xf numFmtId="0" fontId="0" fillId="19" borderId="24" xfId="0" applyFill="1" applyBorder="1"/>
    <xf numFmtId="0" fontId="15" fillId="28" borderId="0" xfId="0" applyFont="1" applyFill="1" applyAlignment="1">
      <alignment horizontal="center" vertical="center"/>
    </xf>
    <xf numFmtId="0" fontId="16" fillId="23" borderId="0" xfId="0" applyFont="1" applyFill="1" applyAlignment="1">
      <alignment horizontal="center" vertical="center"/>
    </xf>
    <xf numFmtId="0" fontId="16" fillId="28" borderId="0" xfId="0" applyFont="1" applyFill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0" fontId="2" fillId="19" borderId="0" xfId="0" applyFont="1" applyFill="1" applyAlignment="1">
      <alignment horizontal="center"/>
    </xf>
    <xf numFmtId="9" fontId="2" fillId="19" borderId="0" xfId="1" applyFont="1" applyFill="1" applyAlignment="1">
      <alignment horizontal="center"/>
    </xf>
    <xf numFmtId="0" fontId="15" fillId="28" borderId="25" xfId="0" applyFont="1" applyFill="1" applyBorder="1" applyAlignment="1">
      <alignment horizontal="center" vertical="center"/>
    </xf>
    <xf numFmtId="0" fontId="15" fillId="28" borderId="19" xfId="0" applyFont="1" applyFill="1" applyBorder="1" applyAlignment="1">
      <alignment horizontal="center" vertical="center"/>
    </xf>
    <xf numFmtId="0" fontId="16" fillId="26" borderId="18" xfId="0" applyFont="1" applyFill="1" applyBorder="1" applyAlignment="1">
      <alignment horizontal="center" vertical="center"/>
    </xf>
    <xf numFmtId="0" fontId="15" fillId="23" borderId="25" xfId="0" applyFont="1" applyFill="1" applyBorder="1" applyAlignment="1">
      <alignment horizontal="center" vertical="center"/>
    </xf>
    <xf numFmtId="0" fontId="12" fillId="27" borderId="17" xfId="0" applyFont="1" applyFill="1" applyBorder="1" applyAlignment="1">
      <alignment horizontal="center" vertical="center"/>
    </xf>
    <xf numFmtId="0" fontId="16" fillId="28" borderId="26" xfId="0" applyFont="1" applyFill="1" applyBorder="1" applyAlignment="1">
      <alignment horizontal="center" vertical="center"/>
    </xf>
    <xf numFmtId="0" fontId="12" fillId="5" borderId="26" xfId="0" applyFont="1" applyFill="1" applyBorder="1" applyAlignment="1">
      <alignment horizontal="center" vertical="center"/>
    </xf>
    <xf numFmtId="0" fontId="12" fillId="5" borderId="21" xfId="0" applyFont="1" applyFill="1" applyBorder="1" applyAlignment="1">
      <alignment horizontal="center" vertical="center"/>
    </xf>
    <xf numFmtId="0" fontId="15" fillId="23" borderId="27" xfId="0" applyFont="1" applyFill="1" applyBorder="1" applyAlignment="1">
      <alignment horizontal="center" vertical="center"/>
    </xf>
    <xf numFmtId="0" fontId="16" fillId="23" borderId="28" xfId="0" applyFont="1" applyFill="1" applyBorder="1" applyAlignment="1">
      <alignment horizontal="center" vertical="center"/>
    </xf>
    <xf numFmtId="0" fontId="15" fillId="23" borderId="26" xfId="0" applyFont="1" applyFill="1" applyBorder="1" applyAlignment="1">
      <alignment horizontal="center" vertical="center"/>
    </xf>
    <xf numFmtId="0" fontId="16" fillId="23" borderId="25" xfId="0" applyFont="1" applyFill="1" applyBorder="1" applyAlignment="1">
      <alignment horizontal="center" vertical="center"/>
    </xf>
    <xf numFmtId="0" fontId="16" fillId="23" borderId="18" xfId="0" applyFont="1" applyFill="1" applyBorder="1" applyAlignment="1">
      <alignment horizontal="center" vertical="center"/>
    </xf>
    <xf numFmtId="0" fontId="15" fillId="28" borderId="21" xfId="0" applyFont="1" applyFill="1" applyBorder="1" applyAlignment="1">
      <alignment horizontal="center" vertical="center"/>
    </xf>
    <xf numFmtId="0" fontId="16" fillId="28" borderId="19" xfId="0" applyFont="1" applyFill="1" applyBorder="1" applyAlignment="1">
      <alignment horizontal="center" vertical="center"/>
    </xf>
    <xf numFmtId="0" fontId="16" fillId="28" borderId="25" xfId="0" applyFont="1" applyFill="1" applyBorder="1" applyAlignment="1">
      <alignment horizontal="center" vertical="center"/>
    </xf>
    <xf numFmtId="0" fontId="17" fillId="27" borderId="29" xfId="0" applyFont="1" applyFill="1" applyBorder="1" applyAlignment="1">
      <alignment horizontal="center" vertical="center"/>
    </xf>
    <xf numFmtId="0" fontId="15" fillId="28" borderId="30" xfId="0" applyFont="1" applyFill="1" applyBorder="1" applyAlignment="1">
      <alignment horizontal="center" vertical="center"/>
    </xf>
    <xf numFmtId="0" fontId="17" fillId="5" borderId="30" xfId="0" applyFont="1" applyFill="1" applyBorder="1" applyAlignment="1">
      <alignment horizontal="center" vertical="center"/>
    </xf>
    <xf numFmtId="0" fontId="17" fillId="5" borderId="31" xfId="0" applyFont="1" applyFill="1" applyBorder="1" applyAlignment="1">
      <alignment horizontal="center" vertical="center"/>
    </xf>
    <xf numFmtId="0" fontId="15" fillId="28" borderId="27" xfId="0" applyFont="1" applyFill="1" applyBorder="1" applyAlignment="1">
      <alignment horizontal="center" vertical="center"/>
    </xf>
    <xf numFmtId="0" fontId="17" fillId="5" borderId="26" xfId="0" applyFont="1" applyFill="1" applyBorder="1" applyAlignment="1">
      <alignment horizontal="center" vertical="center"/>
    </xf>
    <xf numFmtId="0" fontId="17" fillId="27" borderId="17" xfId="0" applyFont="1" applyFill="1" applyBorder="1" applyAlignment="1">
      <alignment horizontal="center" vertical="center"/>
    </xf>
    <xf numFmtId="0" fontId="17" fillId="5" borderId="21" xfId="0" applyFont="1" applyFill="1" applyBorder="1" applyAlignment="1">
      <alignment horizontal="center" vertical="center"/>
    </xf>
    <xf numFmtId="0" fontId="16" fillId="28" borderId="17" xfId="0" applyFont="1" applyFill="1" applyBorder="1" applyAlignment="1">
      <alignment horizontal="center" vertical="center"/>
    </xf>
    <xf numFmtId="0" fontId="16" fillId="28" borderId="30" xfId="0" applyFont="1" applyFill="1" applyBorder="1" applyAlignment="1">
      <alignment horizontal="center" vertical="center"/>
    </xf>
    <xf numFmtId="0" fontId="15" fillId="28" borderId="17" xfId="0" applyFont="1" applyFill="1" applyBorder="1" applyAlignment="1">
      <alignment horizontal="center" vertical="center"/>
    </xf>
    <xf numFmtId="0" fontId="16" fillId="28" borderId="29" xfId="0" applyFont="1" applyFill="1" applyBorder="1" applyAlignment="1">
      <alignment horizontal="center" vertical="center"/>
    </xf>
    <xf numFmtId="0" fontId="2" fillId="19" borderId="25" xfId="0" applyFont="1" applyFill="1" applyBorder="1" applyAlignment="1">
      <alignment horizontal="left"/>
    </xf>
    <xf numFmtId="0" fontId="15" fillId="28" borderId="29" xfId="0" applyFont="1" applyFill="1" applyBorder="1" applyAlignment="1">
      <alignment horizontal="center" vertical="center"/>
    </xf>
    <xf numFmtId="0" fontId="15" fillId="23" borderId="19" xfId="0" applyFont="1" applyFill="1" applyBorder="1" applyAlignment="1">
      <alignment horizontal="center" vertical="center"/>
    </xf>
    <xf numFmtId="0" fontId="15" fillId="26" borderId="18" xfId="0" applyFont="1" applyFill="1" applyBorder="1" applyAlignment="1">
      <alignment horizontal="center" vertical="center"/>
    </xf>
    <xf numFmtId="0" fontId="17" fillId="5" borderId="28" xfId="0" applyFont="1" applyFill="1" applyBorder="1" applyAlignment="1">
      <alignment horizontal="center" vertical="center"/>
    </xf>
    <xf numFmtId="0" fontId="15" fillId="28" borderId="28" xfId="0" applyFont="1" applyFill="1" applyBorder="1" applyAlignment="1">
      <alignment horizontal="center" vertical="center"/>
    </xf>
    <xf numFmtId="0" fontId="12" fillId="5" borderId="29" xfId="0" applyFont="1" applyFill="1" applyBorder="1" applyAlignment="1">
      <alignment horizontal="center" vertical="center"/>
    </xf>
    <xf numFmtId="0" fontId="0" fillId="19" borderId="14" xfId="0" applyFill="1" applyBorder="1" applyAlignment="1">
      <alignment horizontal="right"/>
    </xf>
    <xf numFmtId="0" fontId="0" fillId="23" borderId="0" xfId="0" applyFill="1"/>
    <xf numFmtId="0" fontId="0" fillId="19" borderId="13" xfId="0" applyFill="1" applyBorder="1"/>
    <xf numFmtId="0" fontId="0" fillId="23" borderId="13" xfId="0" applyFill="1" applyBorder="1"/>
    <xf numFmtId="0" fontId="0" fillId="19" borderId="13" xfId="0" applyFill="1" applyBorder="1" applyAlignment="1">
      <alignment horizontal="right"/>
    </xf>
    <xf numFmtId="0" fontId="0" fillId="19" borderId="13" xfId="0" applyFill="1" applyBorder="1" applyAlignment="1">
      <alignment horizontal="center"/>
    </xf>
    <xf numFmtId="2" fontId="0" fillId="19" borderId="13" xfId="0" applyNumberFormat="1" applyFill="1" applyBorder="1" applyAlignment="1">
      <alignment horizontal="center"/>
    </xf>
    <xf numFmtId="11" fontId="0" fillId="19" borderId="13" xfId="0" applyNumberFormat="1" applyFill="1" applyBorder="1" applyAlignment="1">
      <alignment horizontal="center"/>
    </xf>
    <xf numFmtId="171" fontId="0" fillId="19" borderId="13" xfId="0" applyNumberFormat="1" applyFill="1" applyBorder="1" applyAlignment="1">
      <alignment horizontal="center"/>
    </xf>
    <xf numFmtId="1" fontId="0" fillId="19" borderId="13" xfId="0" applyNumberFormat="1" applyFill="1" applyBorder="1" applyAlignment="1">
      <alignment horizontal="center"/>
    </xf>
    <xf numFmtId="167" fontId="0" fillId="19" borderId="13" xfId="0" applyNumberFormat="1" applyFill="1" applyBorder="1" applyAlignment="1">
      <alignment horizontal="center"/>
    </xf>
    <xf numFmtId="166" fontId="0" fillId="19" borderId="13" xfId="0" applyNumberFormat="1" applyFill="1" applyBorder="1" applyAlignment="1">
      <alignment horizontal="center"/>
    </xf>
    <xf numFmtId="171" fontId="0" fillId="23" borderId="13" xfId="0" applyNumberFormat="1" applyFill="1" applyBorder="1"/>
    <xf numFmtId="168" fontId="0" fillId="19" borderId="13" xfId="0" applyNumberFormat="1" applyFill="1" applyBorder="1" applyAlignment="1">
      <alignment horizontal="center"/>
    </xf>
    <xf numFmtId="0" fontId="2" fillId="19" borderId="7" xfId="0" applyFont="1" applyFill="1" applyBorder="1" applyAlignment="1">
      <alignment horizontal="center"/>
    </xf>
    <xf numFmtId="0" fontId="2" fillId="29" borderId="13" xfId="0" applyFont="1" applyFill="1" applyBorder="1" applyAlignment="1">
      <alignment horizontal="center"/>
    </xf>
    <xf numFmtId="2" fontId="2" fillId="19" borderId="13" xfId="0" applyNumberFormat="1" applyFont="1" applyFill="1" applyBorder="1" applyAlignment="1">
      <alignment horizontal="center"/>
    </xf>
    <xf numFmtId="10" fontId="2" fillId="19" borderId="13" xfId="1" applyNumberFormat="1" applyFont="1" applyFill="1" applyBorder="1" applyAlignment="1">
      <alignment horizontal="center"/>
    </xf>
    <xf numFmtId="0" fontId="16" fillId="26" borderId="32" xfId="0" applyFont="1" applyFill="1" applyBorder="1" applyAlignment="1">
      <alignment horizontal="center" vertical="center"/>
    </xf>
    <xf numFmtId="0" fontId="16" fillId="26" borderId="29" xfId="0" applyFont="1" applyFill="1" applyBorder="1" applyAlignment="1">
      <alignment horizontal="center" vertical="center"/>
    </xf>
    <xf numFmtId="10" fontId="1" fillId="19" borderId="17" xfId="1" applyNumberFormat="1" applyFont="1" applyFill="1" applyBorder="1" applyAlignment="1">
      <alignment horizontal="center"/>
    </xf>
    <xf numFmtId="0" fontId="12" fillId="27" borderId="32" xfId="0" applyFont="1" applyFill="1" applyBorder="1" applyAlignment="1">
      <alignment horizontal="center" vertical="center"/>
    </xf>
    <xf numFmtId="0" fontId="16" fillId="28" borderId="31" xfId="0" applyFont="1" applyFill="1" applyBorder="1" applyAlignment="1">
      <alignment horizontal="center" vertical="center"/>
    </xf>
    <xf numFmtId="0" fontId="16" fillId="23" borderId="29" xfId="0" applyFont="1" applyFill="1" applyBorder="1" applyAlignment="1">
      <alignment horizontal="center" vertical="center"/>
    </xf>
    <xf numFmtId="0" fontId="12" fillId="5" borderId="20" xfId="0" applyFont="1" applyFill="1" applyBorder="1" applyAlignment="1">
      <alignment horizontal="center" vertical="center"/>
    </xf>
    <xf numFmtId="0" fontId="2" fillId="29" borderId="16" xfId="0" applyFont="1" applyFill="1" applyBorder="1" applyAlignment="1">
      <alignment horizontal="center"/>
    </xf>
    <xf numFmtId="10" fontId="1" fillId="19" borderId="21" xfId="1" applyNumberFormat="1" applyFont="1" applyFill="1" applyBorder="1" applyAlignment="1">
      <alignment horizontal="center"/>
    </xf>
    <xf numFmtId="0" fontId="15" fillId="0" borderId="13" xfId="0" applyFont="1" applyBorder="1" applyAlignment="1">
      <alignment horizontal="center"/>
    </xf>
    <xf numFmtId="10" fontId="2" fillId="19" borderId="0" xfId="1" applyNumberFormat="1" applyFont="1" applyFill="1" applyAlignment="1">
      <alignment horizontal="center"/>
    </xf>
    <xf numFmtId="0" fontId="2" fillId="19" borderId="13" xfId="0" applyFont="1" applyFill="1" applyBorder="1" applyAlignment="1">
      <alignment horizontal="right"/>
    </xf>
    <xf numFmtId="166" fontId="0" fillId="19" borderId="13" xfId="0" applyNumberFormat="1" applyFill="1" applyBorder="1" applyAlignment="1">
      <alignment horizontal="center" vertical="center"/>
    </xf>
    <xf numFmtId="168" fontId="0" fillId="19" borderId="13" xfId="0" applyNumberFormat="1" applyFill="1" applyBorder="1" applyAlignment="1">
      <alignment horizontal="center" vertical="center"/>
    </xf>
    <xf numFmtId="2" fontId="2" fillId="19" borderId="13" xfId="0" applyNumberFormat="1" applyFont="1" applyFill="1" applyBorder="1" applyAlignment="1">
      <alignment horizontal="center" vertical="center"/>
    </xf>
    <xf numFmtId="0" fontId="0" fillId="19" borderId="2" xfId="0" applyFill="1" applyBorder="1" applyAlignment="1">
      <alignment horizontal="center"/>
    </xf>
    <xf numFmtId="10" fontId="1" fillId="19" borderId="0" xfId="1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9" fontId="0" fillId="0" borderId="7" xfId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/>
    </xf>
    <xf numFmtId="168" fontId="0" fillId="0" borderId="7" xfId="0" applyNumberFormat="1" applyBorder="1" applyAlignment="1">
      <alignment horizontal="center" vertical="center"/>
    </xf>
    <xf numFmtId="0" fontId="2" fillId="30" borderId="0" xfId="0" applyFont="1" applyFill="1" applyAlignment="1">
      <alignment horizontal="center"/>
    </xf>
    <xf numFmtId="0" fontId="2" fillId="30" borderId="0" xfId="0" applyFont="1" applyFill="1" applyAlignment="1">
      <alignment horizontal="center" vertical="center"/>
    </xf>
    <xf numFmtId="0" fontId="2" fillId="30" borderId="9" xfId="0" applyFont="1" applyFill="1" applyBorder="1" applyAlignment="1">
      <alignment horizontal="center"/>
    </xf>
    <xf numFmtId="0" fontId="2" fillId="30" borderId="9" xfId="0" applyFont="1" applyFill="1" applyBorder="1" applyAlignment="1">
      <alignment vertical="center"/>
    </xf>
    <xf numFmtId="2" fontId="0" fillId="0" borderId="0" xfId="1" applyNumberFormat="1" applyFont="1" applyAlignment="1">
      <alignment horizontal="center" vertical="center"/>
    </xf>
    <xf numFmtId="0" fontId="0" fillId="0" borderId="1" xfId="0" applyBorder="1"/>
    <xf numFmtId="10" fontId="2" fillId="0" borderId="2" xfId="1" applyNumberFormat="1" applyFont="1" applyBorder="1" applyAlignment="1">
      <alignment horizontal="center"/>
    </xf>
    <xf numFmtId="0" fontId="0" fillId="0" borderId="3" xfId="0" applyBorder="1"/>
    <xf numFmtId="0" fontId="0" fillId="0" borderId="6" xfId="0" applyBorder="1"/>
    <xf numFmtId="167" fontId="2" fillId="19" borderId="13" xfId="0" applyNumberFormat="1" applyFont="1" applyFill="1" applyBorder="1" applyAlignment="1">
      <alignment horizontal="center"/>
    </xf>
    <xf numFmtId="0" fontId="0" fillId="31" borderId="0" xfId="0" applyFill="1"/>
    <xf numFmtId="0" fontId="2" fillId="30" borderId="0" xfId="0" applyFont="1" applyFill="1" applyAlignment="1">
      <alignment horizontal="center" vertical="center"/>
    </xf>
    <xf numFmtId="0" fontId="2" fillId="30" borderId="9" xfId="0" applyFont="1" applyFill="1" applyBorder="1" applyAlignment="1">
      <alignment horizontal="center" vertical="center"/>
    </xf>
    <xf numFmtId="1" fontId="0" fillId="0" borderId="33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0" fillId="19" borderId="13" xfId="0" applyFill="1" applyBorder="1" applyAlignment="1">
      <alignment horizontal="center"/>
    </xf>
    <xf numFmtId="0" fontId="2" fillId="19" borderId="13" xfId="0" applyFont="1" applyFill="1" applyBorder="1" applyAlignment="1">
      <alignment horizontal="center"/>
    </xf>
  </cellXfs>
  <cellStyles count="2">
    <cellStyle name="Normal" xfId="0" builtinId="0"/>
    <cellStyle name="Porcentaje" xfId="1" builtinId="5"/>
  </cellStyles>
  <dxfs count="3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AE9F8"/>
      <color rgb="FF725AC1"/>
      <color rgb="FFB1EE2D"/>
      <color rgb="FFFFC100"/>
      <color rgb="FF912F40"/>
      <color rgb="FFE7CC58"/>
      <color rgb="FFA5A14C"/>
      <color rgb="FFBE5014"/>
      <color rgb="FF515C48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4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2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Ex2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Ex2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Ex25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Ex2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Ex27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Ex28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Ex29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Ex30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Ex3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Ex32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Ex33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Ex34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Ex35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Ex36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Ex37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Ex38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Ex39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Ex40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Ex4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Ex4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Ex43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Ex44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Ex45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Ex46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Ex47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Ex48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Ex49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Ex50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Ex51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Ex52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Ex53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Ex54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Ex55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Ex56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Ex57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Ex58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Ex59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Ex60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Ex6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Ex6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Ex6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Ex6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Ex65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Ex66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Ex67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Ex68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Ex69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Ex70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Ex71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Ex72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Ex73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Ex74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Ex75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Ex76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Ex77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1977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'77_Seeds'!$T$14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'77_Seeds'!$T$278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'77_Seeds'!$T$281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AA-4B38-A394-D4F0C458CD1E}"/>
            </c:ext>
          </c:extLst>
        </c:ser>
        <c:ser>
          <c:idx val="9"/>
          <c:order val="1"/>
          <c:tx>
            <c:strRef>
              <c:f>'77_Seeds'!$U$14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'77_Seeds'!$U$279</c:f>
                <c:numCache>
                  <c:formatCode>General</c:formatCode>
                  <c:ptCount val="1"/>
                  <c:pt idx="0">
                    <c:v>3.8386273037854286</c:v>
                  </c:pt>
                </c:numCache>
              </c:numRef>
            </c:plus>
            <c:minus>
              <c:numRef>
                <c:f>'77_Seeds'!$U$279</c:f>
                <c:numCache>
                  <c:formatCode>General</c:formatCode>
                  <c:ptCount val="1"/>
                  <c:pt idx="0">
                    <c:v>3.8386273037854286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'77_Seeds'!$U$282</c:f>
                <c:numCache>
                  <c:formatCode>General</c:formatCode>
                  <c:ptCount val="1"/>
                  <c:pt idx="0">
                    <c:v>2.4231770171829212</c:v>
                  </c:pt>
                </c:numCache>
              </c:numRef>
            </c:plus>
            <c:minus>
              <c:numRef>
                <c:f>'77_Seeds'!$U$282</c:f>
                <c:numCache>
                  <c:formatCode>General</c:formatCode>
                  <c:ptCount val="1"/>
                  <c:pt idx="0">
                    <c:v>2.4231770171829212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'77_Seeds'!$U$278</c:f>
              <c:numCache>
                <c:formatCode>0.00</c:formatCode>
                <c:ptCount val="1"/>
                <c:pt idx="0">
                  <c:v>84.774517288217396</c:v>
                </c:pt>
              </c:numCache>
            </c:numRef>
          </c:xVal>
          <c:yVal>
            <c:numRef>
              <c:f>'77_Seeds'!$U$281</c:f>
              <c:numCache>
                <c:formatCode>0.00</c:formatCode>
                <c:ptCount val="1"/>
                <c:pt idx="0">
                  <c:v>94.130434782608702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AA-4B38-A394-D4F0C458CD1E}"/>
            </c:ext>
          </c:extLst>
        </c:ser>
        <c:ser>
          <c:idx val="7"/>
          <c:order val="2"/>
          <c:tx>
            <c:strRef>
              <c:f>'77_Seeds'!$V$14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'77_Seeds'!$V$282</c:f>
                <c:numCache>
                  <c:formatCode>General</c:formatCode>
                  <c:ptCount val="1"/>
                  <c:pt idx="0">
                    <c:v>0.49092087840406268</c:v>
                  </c:pt>
                </c:numCache>
              </c:numRef>
            </c:plus>
            <c:minus>
              <c:numRef>
                <c:f>'77_Seeds'!$V$282</c:f>
                <c:numCache>
                  <c:formatCode>General</c:formatCode>
                  <c:ptCount val="1"/>
                  <c:pt idx="0">
                    <c:v>0.49092087840406268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'77_Seeds'!$V$282</c:f>
                <c:numCache>
                  <c:formatCode>General</c:formatCode>
                  <c:ptCount val="1"/>
                  <c:pt idx="0">
                    <c:v>0.49092087840406268</c:v>
                  </c:pt>
                </c:numCache>
              </c:numRef>
            </c:plus>
            <c:minus>
              <c:numRef>
                <c:f>'77_Seeds'!$V$282</c:f>
                <c:numCache>
                  <c:formatCode>General</c:formatCode>
                  <c:ptCount val="1"/>
                  <c:pt idx="0">
                    <c:v>0.49092087840406268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'77_Seeds'!$V$278</c:f>
              <c:numCache>
                <c:formatCode>0.00</c:formatCode>
                <c:ptCount val="1"/>
                <c:pt idx="0">
                  <c:v>97.195700133570256</c:v>
                </c:pt>
              </c:numCache>
            </c:numRef>
          </c:xVal>
          <c:yVal>
            <c:numRef>
              <c:f>'77_Seeds'!$V$281</c:f>
              <c:numCache>
                <c:formatCode>0.00</c:formatCode>
                <c:ptCount val="1"/>
                <c:pt idx="0">
                  <c:v>95.431415929203538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AA-4B38-A394-D4F0C458CD1E}"/>
            </c:ext>
          </c:extLst>
        </c:ser>
        <c:ser>
          <c:idx val="0"/>
          <c:order val="3"/>
          <c:tx>
            <c:strRef>
              <c:f>'77_Seeds'!$W$14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'77_Seeds'!$W$279</c:f>
                <c:numCache>
                  <c:formatCode>General</c:formatCode>
                  <c:ptCount val="1"/>
                  <c:pt idx="0">
                    <c:v>2.0099944544921629</c:v>
                  </c:pt>
                </c:numCache>
              </c:numRef>
            </c:plus>
            <c:minus>
              <c:numRef>
                <c:f>'77_Seeds'!$W$279</c:f>
                <c:numCache>
                  <c:formatCode>General</c:formatCode>
                  <c:ptCount val="1"/>
                  <c:pt idx="0">
                    <c:v>2.0099944544921629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'77_Seeds'!$W$282</c:f>
                <c:numCache>
                  <c:formatCode>General</c:formatCode>
                  <c:ptCount val="1"/>
                  <c:pt idx="0">
                    <c:v>1.3965109923775518</c:v>
                  </c:pt>
                </c:numCache>
              </c:numRef>
            </c:plus>
            <c:minus>
              <c:numRef>
                <c:f>'77_Seeds'!$W$282</c:f>
                <c:numCache>
                  <c:formatCode>General</c:formatCode>
                  <c:ptCount val="1"/>
                  <c:pt idx="0">
                    <c:v>1.3965109923775518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'77_Seeds'!$W$278</c:f>
              <c:numCache>
                <c:formatCode>0.00</c:formatCode>
                <c:ptCount val="1"/>
                <c:pt idx="0">
                  <c:v>89.193648239248134</c:v>
                </c:pt>
              </c:numCache>
            </c:numRef>
          </c:xVal>
          <c:yVal>
            <c:numRef>
              <c:f>'77_Seeds'!$W$281</c:f>
              <c:numCache>
                <c:formatCode>0.00</c:formatCode>
                <c:ptCount val="1"/>
                <c:pt idx="0">
                  <c:v>85.022970903522221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AA-4B38-A394-D4F0C458CD1E}"/>
            </c:ext>
          </c:extLst>
        </c:ser>
        <c:ser>
          <c:idx val="6"/>
          <c:order val="4"/>
          <c:tx>
            <c:strRef>
              <c:f>'77_Seeds'!$X$14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'77_Seeds'!$X$279</c:f>
                <c:numCache>
                  <c:formatCode>General</c:formatCode>
                  <c:ptCount val="1"/>
                  <c:pt idx="0">
                    <c:v>5.774261500558195</c:v>
                  </c:pt>
                </c:numCache>
              </c:numRef>
            </c:plus>
            <c:minus>
              <c:numRef>
                <c:f>'77_Seeds'!$X$279</c:f>
                <c:numCache>
                  <c:formatCode>General</c:formatCode>
                  <c:ptCount val="1"/>
                  <c:pt idx="0">
                    <c:v>5.774261500558195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'77_Seeds'!$X$282</c:f>
                <c:numCache>
                  <c:formatCode>General</c:formatCode>
                  <c:ptCount val="1"/>
                  <c:pt idx="0">
                    <c:v>2.4828827319449154</c:v>
                  </c:pt>
                </c:numCache>
              </c:numRef>
            </c:plus>
            <c:minus>
              <c:numRef>
                <c:f>'77_Seeds'!$X$282</c:f>
                <c:numCache>
                  <c:formatCode>General</c:formatCode>
                  <c:ptCount val="1"/>
                  <c:pt idx="0">
                    <c:v>2.4828827319449154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'77_Seeds'!$X$278</c:f>
              <c:numCache>
                <c:formatCode>0.00</c:formatCode>
                <c:ptCount val="1"/>
                <c:pt idx="0">
                  <c:v>76.156946776555046</c:v>
                </c:pt>
              </c:numCache>
            </c:numRef>
          </c:xVal>
          <c:yVal>
            <c:numRef>
              <c:f>'77_Seeds'!$X$281</c:f>
              <c:numCache>
                <c:formatCode>0.00</c:formatCode>
                <c:ptCount val="1"/>
                <c:pt idx="0">
                  <c:v>81.908713692946051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4AA-4B38-A394-D4F0C458C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6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65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1977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'77_Seeds'!$T$14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'77_Seeds'!$T$221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'77_Seeds'!$T$223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A3-4463-BDF3-23C569637E58}"/>
            </c:ext>
          </c:extLst>
        </c:ser>
        <c:ser>
          <c:idx val="9"/>
          <c:order val="1"/>
          <c:tx>
            <c:strRef>
              <c:f>'77_Seeds'!$U$14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'77_Seeds'!$U$222</c:f>
                <c:numCache>
                  <c:formatCode>General</c:formatCode>
                  <c:ptCount val="1"/>
                  <c:pt idx="0">
                    <c:v>3.8276524620823018</c:v>
                  </c:pt>
                </c:numCache>
              </c:numRef>
            </c:plus>
            <c:minus>
              <c:numRef>
                <c:f>'77_Seeds'!$U$222</c:f>
                <c:numCache>
                  <c:formatCode>General</c:formatCode>
                  <c:ptCount val="1"/>
                  <c:pt idx="0">
                    <c:v>3.8276524620823018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'77_Seeds'!$U$224</c:f>
                <c:numCache>
                  <c:formatCode>General</c:formatCode>
                  <c:ptCount val="1"/>
                  <c:pt idx="0">
                    <c:v>2.3427233130230407</c:v>
                  </c:pt>
                </c:numCache>
              </c:numRef>
            </c:plus>
            <c:minus>
              <c:numRef>
                <c:f>'77_Seeds'!$U$224</c:f>
                <c:numCache>
                  <c:formatCode>General</c:formatCode>
                  <c:ptCount val="1"/>
                  <c:pt idx="0">
                    <c:v>2.3427233130230407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'77_Seeds'!$U$221</c:f>
              <c:numCache>
                <c:formatCode>0.00</c:formatCode>
                <c:ptCount val="1"/>
                <c:pt idx="0">
                  <c:v>84.090715733546133</c:v>
                </c:pt>
              </c:numCache>
            </c:numRef>
          </c:xVal>
          <c:yVal>
            <c:numRef>
              <c:f>'77_Seeds'!$U$223</c:f>
              <c:numCache>
                <c:formatCode>0.00</c:formatCode>
                <c:ptCount val="1"/>
                <c:pt idx="0">
                  <c:v>94.619565217391298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A3-4463-BDF3-23C569637E58}"/>
            </c:ext>
          </c:extLst>
        </c:ser>
        <c:ser>
          <c:idx val="7"/>
          <c:order val="2"/>
          <c:tx>
            <c:strRef>
              <c:f>'77_Seeds'!$V$14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'77_Seeds'!$V$222</c:f>
                <c:numCache>
                  <c:formatCode>General</c:formatCode>
                  <c:ptCount val="1"/>
                  <c:pt idx="0">
                    <c:v>0.66855192585149381</c:v>
                  </c:pt>
                </c:numCache>
              </c:numRef>
            </c:plus>
            <c:minus>
              <c:numRef>
                <c:f>'77_Seeds'!$V$222</c:f>
                <c:numCache>
                  <c:formatCode>General</c:formatCode>
                  <c:ptCount val="1"/>
                  <c:pt idx="0">
                    <c:v>0.66855192585149381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'77_Seeds'!$V$224</c:f>
                <c:numCache>
                  <c:formatCode>General</c:formatCode>
                  <c:ptCount val="1"/>
                  <c:pt idx="0">
                    <c:v>0.49159497165363897</c:v>
                  </c:pt>
                </c:numCache>
              </c:numRef>
            </c:plus>
            <c:minus>
              <c:numRef>
                <c:f>'77_Seeds'!$V$224</c:f>
                <c:numCache>
                  <c:formatCode>General</c:formatCode>
                  <c:ptCount val="1"/>
                  <c:pt idx="0">
                    <c:v>0.49159497165363897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'77_Seeds'!$V$221</c:f>
              <c:numCache>
                <c:formatCode>0.00</c:formatCode>
                <c:ptCount val="1"/>
                <c:pt idx="0">
                  <c:v>97.248167418865719</c:v>
                </c:pt>
              </c:numCache>
            </c:numRef>
          </c:xVal>
          <c:yVal>
            <c:numRef>
              <c:f>'77_Seeds'!$V$223</c:f>
              <c:numCache>
                <c:formatCode>0.00</c:formatCode>
                <c:ptCount val="1"/>
                <c:pt idx="0">
                  <c:v>95.420353982300895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A3-4463-BDF3-23C569637E58}"/>
            </c:ext>
          </c:extLst>
        </c:ser>
        <c:ser>
          <c:idx val="0"/>
          <c:order val="3"/>
          <c:tx>
            <c:strRef>
              <c:f>'77_Seeds'!$W$14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'77_Seeds'!$W$222</c:f>
                <c:numCache>
                  <c:formatCode>General</c:formatCode>
                  <c:ptCount val="1"/>
                  <c:pt idx="0">
                    <c:v>1.9915990614655468</c:v>
                  </c:pt>
                </c:numCache>
              </c:numRef>
            </c:plus>
            <c:minus>
              <c:numRef>
                <c:f>'77_Seeds'!$W$222</c:f>
                <c:numCache>
                  <c:formatCode>General</c:formatCode>
                  <c:ptCount val="1"/>
                  <c:pt idx="0">
                    <c:v>1.9915990614655468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'77_Seeds'!$W$224</c:f>
                <c:numCache>
                  <c:formatCode>General</c:formatCode>
                  <c:ptCount val="1"/>
                  <c:pt idx="0">
                    <c:v>1.4034240380183503</c:v>
                  </c:pt>
                </c:numCache>
              </c:numRef>
            </c:plus>
            <c:minus>
              <c:numRef>
                <c:f>'77_Seeds'!$W$224</c:f>
                <c:numCache>
                  <c:formatCode>General</c:formatCode>
                  <c:ptCount val="1"/>
                  <c:pt idx="0">
                    <c:v>1.4034240380183503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'77_Seeds'!$W$221</c:f>
              <c:numCache>
                <c:formatCode>0.00</c:formatCode>
                <c:ptCount val="1"/>
                <c:pt idx="0">
                  <c:v>89.418284005620222</c:v>
                </c:pt>
              </c:numCache>
            </c:numRef>
          </c:xVal>
          <c:yVal>
            <c:numRef>
              <c:f>'77_Seeds'!$W$223</c:f>
              <c:numCache>
                <c:formatCode>0.00</c:formatCode>
                <c:ptCount val="1"/>
                <c:pt idx="0">
                  <c:v>84.846860643185309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A3-4463-BDF3-23C569637E58}"/>
            </c:ext>
          </c:extLst>
        </c:ser>
        <c:ser>
          <c:idx val="6"/>
          <c:order val="4"/>
          <c:tx>
            <c:strRef>
              <c:f>'77_Seeds'!$X$14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'77_Seeds'!$X$222</c:f>
                <c:numCache>
                  <c:formatCode>General</c:formatCode>
                  <c:ptCount val="1"/>
                  <c:pt idx="0">
                    <c:v>5.7161669342937254</c:v>
                  </c:pt>
                </c:numCache>
              </c:numRef>
            </c:plus>
            <c:minus>
              <c:numRef>
                <c:f>'77_Seeds'!$X$222</c:f>
                <c:numCache>
                  <c:formatCode>General</c:formatCode>
                  <c:ptCount val="1"/>
                  <c:pt idx="0">
                    <c:v>5.7161669342937254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'77_Seeds'!$X$224</c:f>
                <c:numCache>
                  <c:formatCode>General</c:formatCode>
                  <c:ptCount val="1"/>
                  <c:pt idx="0">
                    <c:v>2.4675774724037618</c:v>
                  </c:pt>
                </c:numCache>
              </c:numRef>
            </c:plus>
            <c:minus>
              <c:numRef>
                <c:f>'77_Seeds'!$X$224</c:f>
                <c:numCache>
                  <c:formatCode>General</c:formatCode>
                  <c:ptCount val="1"/>
                  <c:pt idx="0">
                    <c:v>2.4675774724037618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'77_Seeds'!$X$221</c:f>
              <c:numCache>
                <c:formatCode>0.00</c:formatCode>
                <c:ptCount val="1"/>
                <c:pt idx="0">
                  <c:v>76.213726547309449</c:v>
                </c:pt>
              </c:numCache>
            </c:numRef>
          </c:xVal>
          <c:yVal>
            <c:numRef>
              <c:f>'77_Seeds'!$X$223</c:f>
              <c:numCache>
                <c:formatCode>0.00</c:formatCode>
                <c:ptCount val="1"/>
                <c:pt idx="0">
                  <c:v>82.199170124481327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A3-4463-BDF3-23C569637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1977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'77_Seeds'!$T$14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'77_Seeds'!$AL$111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'77_Seeds'!$AL$113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98-4854-9C63-26D1272C9786}"/>
            </c:ext>
          </c:extLst>
        </c:ser>
        <c:ser>
          <c:idx val="9"/>
          <c:order val="1"/>
          <c:tx>
            <c:strRef>
              <c:f>'77_Seeds'!$U$14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'77_Seeds'!$U$222</c:f>
                <c:numCache>
                  <c:formatCode>General</c:formatCode>
                  <c:ptCount val="1"/>
                  <c:pt idx="0">
                    <c:v>3.8276524620823018</c:v>
                  </c:pt>
                </c:numCache>
              </c:numRef>
            </c:plus>
            <c:minus>
              <c:numRef>
                <c:f>'77_Seeds'!$U$222</c:f>
                <c:numCache>
                  <c:formatCode>General</c:formatCode>
                  <c:ptCount val="1"/>
                  <c:pt idx="0">
                    <c:v>3.8276524620823018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'77_Seeds'!$U$224</c:f>
                <c:numCache>
                  <c:formatCode>General</c:formatCode>
                  <c:ptCount val="1"/>
                  <c:pt idx="0">
                    <c:v>2.3427233130230407</c:v>
                  </c:pt>
                </c:numCache>
              </c:numRef>
            </c:plus>
            <c:minus>
              <c:numRef>
                <c:f>'77_Seeds'!$U$224</c:f>
                <c:numCache>
                  <c:formatCode>General</c:formatCode>
                  <c:ptCount val="1"/>
                  <c:pt idx="0">
                    <c:v>2.3427233130230407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'77_Seeds'!$AM$111</c:f>
              <c:numCache>
                <c:formatCode>0.00</c:formatCode>
                <c:ptCount val="1"/>
                <c:pt idx="0">
                  <c:v>84.532221426595456</c:v>
                </c:pt>
              </c:numCache>
            </c:numRef>
          </c:xVal>
          <c:yVal>
            <c:numRef>
              <c:f>'77_Seeds'!$AM$113</c:f>
              <c:numCache>
                <c:formatCode>0.00</c:formatCode>
                <c:ptCount val="1"/>
                <c:pt idx="0">
                  <c:v>95.652173913043484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98-4854-9C63-26D1272C9786}"/>
            </c:ext>
          </c:extLst>
        </c:ser>
        <c:ser>
          <c:idx val="7"/>
          <c:order val="2"/>
          <c:tx>
            <c:strRef>
              <c:f>'77_Seeds'!$V$14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'77_Seeds'!$AN$112</c:f>
                <c:numCache>
                  <c:formatCode>General</c:formatCode>
                  <c:ptCount val="1"/>
                  <c:pt idx="0">
                    <c:v>0.6500485800386161</c:v>
                  </c:pt>
                </c:numCache>
              </c:numRef>
            </c:plus>
            <c:minus>
              <c:numRef>
                <c:f>'77_Seeds'!$AN$112</c:f>
                <c:numCache>
                  <c:formatCode>General</c:formatCode>
                  <c:ptCount val="1"/>
                  <c:pt idx="0">
                    <c:v>0.6500485800386161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'77_Seeds'!$AN$114</c:f>
                <c:numCache>
                  <c:formatCode>General</c:formatCode>
                  <c:ptCount val="1"/>
                  <c:pt idx="0">
                    <c:v>0.49793723016302543</c:v>
                  </c:pt>
                </c:numCache>
              </c:numRef>
            </c:plus>
            <c:minus>
              <c:numRef>
                <c:f>'77_Seeds'!$AN$114</c:f>
                <c:numCache>
                  <c:formatCode>General</c:formatCode>
                  <c:ptCount val="1"/>
                  <c:pt idx="0">
                    <c:v>0.49793723016302543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'77_Seeds'!$AN$111</c:f>
              <c:numCache>
                <c:formatCode>0.00</c:formatCode>
                <c:ptCount val="1"/>
                <c:pt idx="0">
                  <c:v>97.383260553767045</c:v>
                </c:pt>
              </c:numCache>
            </c:numRef>
          </c:xVal>
          <c:yVal>
            <c:numRef>
              <c:f>'77_Seeds'!$AN$113</c:f>
              <c:numCache>
                <c:formatCode>0.00</c:formatCode>
                <c:ptCount val="1"/>
                <c:pt idx="0">
                  <c:v>95.298672566371707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98-4854-9C63-26D1272C9786}"/>
            </c:ext>
          </c:extLst>
        </c:ser>
        <c:ser>
          <c:idx val="0"/>
          <c:order val="3"/>
          <c:tx>
            <c:strRef>
              <c:f>'77_Seeds'!$W$14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'77_Seeds'!$AO$112</c:f>
                <c:numCache>
                  <c:formatCode>General</c:formatCode>
                  <c:ptCount val="1"/>
                  <c:pt idx="0">
                    <c:v>1.8837822882175099</c:v>
                  </c:pt>
                </c:numCache>
              </c:numRef>
            </c:plus>
            <c:minus>
              <c:numRef>
                <c:f>'77_Seeds'!$AO$112</c:f>
                <c:numCache>
                  <c:formatCode>General</c:formatCode>
                  <c:ptCount val="1"/>
                  <c:pt idx="0">
                    <c:v>1.8837822882175099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'77_Seeds'!$AO$114</c:f>
                <c:numCache>
                  <c:formatCode>General</c:formatCode>
                  <c:ptCount val="1"/>
                  <c:pt idx="0">
                    <c:v>1.3436853315309185</c:v>
                  </c:pt>
                </c:numCache>
              </c:numRef>
            </c:plus>
            <c:minus>
              <c:numRef>
                <c:f>'77_Seeds'!$AO$114</c:f>
                <c:numCache>
                  <c:formatCode>General</c:formatCode>
                  <c:ptCount val="1"/>
                  <c:pt idx="0">
                    <c:v>1.3436853315309185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'77_Seeds'!$AO$111</c:f>
              <c:numCache>
                <c:formatCode>0.00</c:formatCode>
                <c:ptCount val="1"/>
                <c:pt idx="0">
                  <c:v>89.665278305413196</c:v>
                </c:pt>
              </c:numCache>
            </c:numRef>
          </c:xVal>
          <c:yVal>
            <c:numRef>
              <c:f>'77_Seeds'!$AO$113</c:f>
              <c:numCache>
                <c:formatCode>0.00</c:formatCode>
                <c:ptCount val="1"/>
                <c:pt idx="0">
                  <c:v>86.370597243491574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98-4854-9C63-26D1272C9786}"/>
            </c:ext>
          </c:extLst>
        </c:ser>
        <c:ser>
          <c:idx val="6"/>
          <c:order val="4"/>
          <c:tx>
            <c:strRef>
              <c:f>'77_Seeds'!$X$14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'77_Seeds'!$AP$112</c:f>
                <c:numCache>
                  <c:formatCode>General</c:formatCode>
                  <c:ptCount val="1"/>
                  <c:pt idx="0">
                    <c:v>5.3359983030271971</c:v>
                  </c:pt>
                </c:numCache>
              </c:numRef>
            </c:plus>
            <c:minus>
              <c:numRef>
                <c:f>'77_Seeds'!$AP$112</c:f>
                <c:numCache>
                  <c:formatCode>General</c:formatCode>
                  <c:ptCount val="1"/>
                  <c:pt idx="0">
                    <c:v>5.3359983030271971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'77_Seeds'!$AP$114</c:f>
                <c:numCache>
                  <c:formatCode>General</c:formatCode>
                  <c:ptCount val="1"/>
                  <c:pt idx="0">
                    <c:v>2.4486601865262365</c:v>
                  </c:pt>
                </c:numCache>
              </c:numRef>
            </c:plus>
            <c:minus>
              <c:numRef>
                <c:f>'77_Seeds'!$AP$114</c:f>
                <c:numCache>
                  <c:formatCode>General</c:formatCode>
                  <c:ptCount val="1"/>
                  <c:pt idx="0">
                    <c:v>2.4486601865262365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'77_Seeds'!$AP$111</c:f>
              <c:numCache>
                <c:formatCode>0.00</c:formatCode>
                <c:ptCount val="1"/>
                <c:pt idx="0">
                  <c:v>78.271776326033319</c:v>
                </c:pt>
              </c:numCache>
            </c:numRef>
          </c:xVal>
          <c:yVal>
            <c:numRef>
              <c:f>'77_Seeds'!$AP$113</c:f>
              <c:numCache>
                <c:formatCode>0.00</c:formatCode>
                <c:ptCount val="1"/>
                <c:pt idx="0">
                  <c:v>82.572614107883808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98-4854-9C63-26D1272C9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'88_Seeds'!$T$14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'88_Seeds'!$T$278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'88_Seeds'!$T$281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03-4D7C-AF31-4631DA0120CB}"/>
            </c:ext>
          </c:extLst>
        </c:ser>
        <c:ser>
          <c:idx val="9"/>
          <c:order val="1"/>
          <c:tx>
            <c:strRef>
              <c:f>'88_Seeds'!$U$14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'88_Seeds'!$U$279</c:f>
                <c:numCache>
                  <c:formatCode>General</c:formatCode>
                  <c:ptCount val="1"/>
                  <c:pt idx="0">
                    <c:v>1.9442658339724921</c:v>
                  </c:pt>
                </c:numCache>
              </c:numRef>
            </c:plus>
            <c:minus>
              <c:numRef>
                <c:f>'88_Seeds'!$U$279</c:f>
                <c:numCache>
                  <c:formatCode>General</c:formatCode>
                  <c:ptCount val="1"/>
                  <c:pt idx="0">
                    <c:v>1.9442658339724921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'88_Seeds'!$U$282</c:f>
                <c:numCache>
                  <c:formatCode>General</c:formatCode>
                  <c:ptCount val="1"/>
                  <c:pt idx="0">
                    <c:v>1.5069949164317522</c:v>
                  </c:pt>
                </c:numCache>
              </c:numRef>
            </c:plus>
            <c:minus>
              <c:numRef>
                <c:f>'88_Seeds'!$U$282</c:f>
                <c:numCache>
                  <c:formatCode>General</c:formatCode>
                  <c:ptCount val="1"/>
                  <c:pt idx="0">
                    <c:v>1.5069949164317522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'88_Seeds'!$U$278</c:f>
              <c:numCache>
                <c:formatCode>0.00</c:formatCode>
                <c:ptCount val="1"/>
                <c:pt idx="0">
                  <c:v>94.541286146773956</c:v>
                </c:pt>
              </c:numCache>
            </c:numRef>
          </c:xVal>
          <c:yVal>
            <c:numRef>
              <c:f>'88_Seeds'!$U$281</c:f>
              <c:numCache>
                <c:formatCode>0.00</c:formatCode>
                <c:ptCount val="1"/>
                <c:pt idx="0">
                  <c:v>97.826086956521735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03-4D7C-AF31-4631DA0120CB}"/>
            </c:ext>
          </c:extLst>
        </c:ser>
        <c:ser>
          <c:idx val="7"/>
          <c:order val="2"/>
          <c:tx>
            <c:strRef>
              <c:f>'88_Seeds'!$V$14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'88_Seeds'!$V$282</c:f>
                <c:numCache>
                  <c:formatCode>General</c:formatCode>
                  <c:ptCount val="1"/>
                  <c:pt idx="0">
                    <c:v>0.66045631692045004</c:v>
                  </c:pt>
                </c:numCache>
              </c:numRef>
            </c:plus>
            <c:minus>
              <c:numRef>
                <c:f>'88_Seeds'!$V$282</c:f>
                <c:numCache>
                  <c:formatCode>General</c:formatCode>
                  <c:ptCount val="1"/>
                  <c:pt idx="0">
                    <c:v>0.66045631692045004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'88_Seeds'!$V$282</c:f>
                <c:numCache>
                  <c:formatCode>General</c:formatCode>
                  <c:ptCount val="1"/>
                  <c:pt idx="0">
                    <c:v>0.66045631692045004</c:v>
                  </c:pt>
                </c:numCache>
              </c:numRef>
            </c:plus>
            <c:minus>
              <c:numRef>
                <c:f>'88_Seeds'!$V$282</c:f>
                <c:numCache>
                  <c:formatCode>General</c:formatCode>
                  <c:ptCount val="1"/>
                  <c:pt idx="0">
                    <c:v>0.66045631692045004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'88_Seeds'!$V$278</c:f>
              <c:numCache>
                <c:formatCode>0.00</c:formatCode>
                <c:ptCount val="1"/>
                <c:pt idx="0">
                  <c:v>96.138886538399248</c:v>
                </c:pt>
              </c:numCache>
            </c:numRef>
          </c:xVal>
          <c:yVal>
            <c:numRef>
              <c:f>'88_Seeds'!$V$281</c:f>
              <c:numCache>
                <c:formatCode>0.00</c:formatCode>
                <c:ptCount val="1"/>
                <c:pt idx="0">
                  <c:v>91.371681415929203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03-4D7C-AF31-4631DA0120CB}"/>
            </c:ext>
          </c:extLst>
        </c:ser>
        <c:ser>
          <c:idx val="0"/>
          <c:order val="3"/>
          <c:tx>
            <c:strRef>
              <c:f>'88_Seeds'!$W$14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'88_Seeds'!$W$279</c:f>
                <c:numCache>
                  <c:formatCode>General</c:formatCode>
                  <c:ptCount val="1"/>
                  <c:pt idx="0">
                    <c:v>3.1127055669857406</c:v>
                  </c:pt>
                </c:numCache>
              </c:numRef>
            </c:plus>
            <c:minus>
              <c:numRef>
                <c:f>'88_Seeds'!$W$279</c:f>
                <c:numCache>
                  <c:formatCode>General</c:formatCode>
                  <c:ptCount val="1"/>
                  <c:pt idx="0">
                    <c:v>3.1127055669857406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'88_Seeds'!$W$282</c:f>
                <c:numCache>
                  <c:formatCode>General</c:formatCode>
                  <c:ptCount val="1"/>
                  <c:pt idx="0">
                    <c:v>1.5094733363714332</c:v>
                  </c:pt>
                </c:numCache>
              </c:numRef>
            </c:plus>
            <c:minus>
              <c:numRef>
                <c:f>'88_Seeds'!$W$282</c:f>
                <c:numCache>
                  <c:formatCode>General</c:formatCode>
                  <c:ptCount val="1"/>
                  <c:pt idx="0">
                    <c:v>1.5094733363714332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'88_Seeds'!$W$278</c:f>
              <c:numCache>
                <c:formatCode>0.00</c:formatCode>
                <c:ptCount val="1"/>
                <c:pt idx="0">
                  <c:v>83.43480939228894</c:v>
                </c:pt>
              </c:numCache>
            </c:numRef>
          </c:xVal>
          <c:yVal>
            <c:numRef>
              <c:f>'88_Seeds'!$W$281</c:f>
              <c:numCache>
                <c:formatCode>0.00</c:formatCode>
                <c:ptCount val="1"/>
                <c:pt idx="0">
                  <c:v>81.83767228177642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03-4D7C-AF31-4631DA0120CB}"/>
            </c:ext>
          </c:extLst>
        </c:ser>
        <c:ser>
          <c:idx val="6"/>
          <c:order val="4"/>
          <c:tx>
            <c:strRef>
              <c:f>'88_Seeds'!$X$14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'88_Seeds'!$X$279</c:f>
                <c:numCache>
                  <c:formatCode>General</c:formatCode>
                  <c:ptCount val="1"/>
                  <c:pt idx="0">
                    <c:v>7.0239345045845836</c:v>
                  </c:pt>
                </c:numCache>
              </c:numRef>
            </c:plus>
            <c:minus>
              <c:numRef>
                <c:f>'88_Seeds'!$X$279</c:f>
                <c:numCache>
                  <c:formatCode>General</c:formatCode>
                  <c:ptCount val="1"/>
                  <c:pt idx="0">
                    <c:v>7.0239345045845836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'88_Seeds'!$X$282</c:f>
                <c:numCache>
                  <c:formatCode>General</c:formatCode>
                  <c:ptCount val="1"/>
                  <c:pt idx="0">
                    <c:v>2.5671844979212017</c:v>
                  </c:pt>
                </c:numCache>
              </c:numRef>
            </c:plus>
            <c:minus>
              <c:numRef>
                <c:f>'88_Seeds'!$X$282</c:f>
                <c:numCache>
                  <c:formatCode>General</c:formatCode>
                  <c:ptCount val="1"/>
                  <c:pt idx="0">
                    <c:v>2.5671844979212017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'88_Seeds'!$X$278</c:f>
              <c:numCache>
                <c:formatCode>0.00</c:formatCode>
                <c:ptCount val="1"/>
                <c:pt idx="0">
                  <c:v>68.725267886289345</c:v>
                </c:pt>
              </c:numCache>
            </c:numRef>
          </c:xVal>
          <c:yVal>
            <c:numRef>
              <c:f>'88_Seeds'!$X$281</c:f>
              <c:numCache>
                <c:formatCode>0.00</c:formatCode>
                <c:ptCount val="1"/>
                <c:pt idx="0">
                  <c:v>80.248962655601673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03-4D7C-AF31-4631DA012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6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6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'88_Seeds'!$T$14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'88_Seeds'!$T$221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'88_Seeds'!$T$223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8E-4F96-AD42-95834E85F25F}"/>
            </c:ext>
          </c:extLst>
        </c:ser>
        <c:ser>
          <c:idx val="9"/>
          <c:order val="1"/>
          <c:tx>
            <c:strRef>
              <c:f>'88_Seeds'!$U$14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'88_Seeds'!$U$222</c:f>
                <c:numCache>
                  <c:formatCode>General</c:formatCode>
                  <c:ptCount val="1"/>
                  <c:pt idx="0">
                    <c:v>1.850315193699227</c:v>
                  </c:pt>
                </c:numCache>
              </c:numRef>
            </c:plus>
            <c:minus>
              <c:numRef>
                <c:f>'88_Seeds'!$U$222</c:f>
                <c:numCache>
                  <c:formatCode>General</c:formatCode>
                  <c:ptCount val="1"/>
                  <c:pt idx="0">
                    <c:v>1.850315193699227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'88_Seeds'!$U$224</c:f>
                <c:numCache>
                  <c:formatCode>General</c:formatCode>
                  <c:ptCount val="1"/>
                  <c:pt idx="0">
                    <c:v>1.5069949164317511</c:v>
                  </c:pt>
                </c:numCache>
              </c:numRef>
            </c:plus>
            <c:minus>
              <c:numRef>
                <c:f>'88_Seeds'!$U$224</c:f>
                <c:numCache>
                  <c:formatCode>General</c:formatCode>
                  <c:ptCount val="1"/>
                  <c:pt idx="0">
                    <c:v>1.5069949164317511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'88_Seeds'!$U$221</c:f>
              <c:numCache>
                <c:formatCode>0.00</c:formatCode>
                <c:ptCount val="1"/>
                <c:pt idx="0">
                  <c:v>95.135537570767525</c:v>
                </c:pt>
              </c:numCache>
            </c:numRef>
          </c:xVal>
          <c:yVal>
            <c:numRef>
              <c:f>'88_Seeds'!$U$223</c:f>
              <c:numCache>
                <c:formatCode>0.00</c:formatCode>
                <c:ptCount val="1"/>
                <c:pt idx="0">
                  <c:v>97.826086956521721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8E-4F96-AD42-95834E85F25F}"/>
            </c:ext>
          </c:extLst>
        </c:ser>
        <c:ser>
          <c:idx val="7"/>
          <c:order val="2"/>
          <c:tx>
            <c:strRef>
              <c:f>'88_Seeds'!$V$14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'88_Seeds'!$V$222</c:f>
                <c:numCache>
                  <c:formatCode>General</c:formatCode>
                  <c:ptCount val="1"/>
                  <c:pt idx="0">
                    <c:v>0.65177872470791098</c:v>
                  </c:pt>
                </c:numCache>
              </c:numRef>
            </c:plus>
            <c:minus>
              <c:numRef>
                <c:f>'88_Seeds'!$V$222</c:f>
                <c:numCache>
                  <c:formatCode>General</c:formatCode>
                  <c:ptCount val="1"/>
                  <c:pt idx="0">
                    <c:v>0.65177872470791098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'88_Seeds'!$V$224</c:f>
                <c:numCache>
                  <c:formatCode>General</c:formatCode>
                  <c:ptCount val="1"/>
                  <c:pt idx="0">
                    <c:v>0.66026103614875287</c:v>
                  </c:pt>
                </c:numCache>
              </c:numRef>
            </c:plus>
            <c:minus>
              <c:numRef>
                <c:f>'88_Seeds'!$V$224</c:f>
                <c:numCache>
                  <c:formatCode>General</c:formatCode>
                  <c:ptCount val="1"/>
                  <c:pt idx="0">
                    <c:v>0.66026103614875287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'88_Seeds'!$V$221</c:f>
              <c:numCache>
                <c:formatCode>0.00</c:formatCode>
                <c:ptCount val="1"/>
                <c:pt idx="0">
                  <c:v>96.381140725276055</c:v>
                </c:pt>
              </c:numCache>
            </c:numRef>
          </c:xVal>
          <c:yVal>
            <c:numRef>
              <c:f>'88_Seeds'!$V$223</c:f>
              <c:numCache>
                <c:formatCode>0.00</c:formatCode>
                <c:ptCount val="1"/>
                <c:pt idx="0">
                  <c:v>91.377212389380517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8E-4F96-AD42-95834E85F25F}"/>
            </c:ext>
          </c:extLst>
        </c:ser>
        <c:ser>
          <c:idx val="0"/>
          <c:order val="3"/>
          <c:tx>
            <c:strRef>
              <c:f>'88_Seeds'!$W$14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'88_Seeds'!$W$222</c:f>
                <c:numCache>
                  <c:formatCode>General</c:formatCode>
                  <c:ptCount val="1"/>
                  <c:pt idx="0">
                    <c:v>3.11650723430696</c:v>
                  </c:pt>
                </c:numCache>
              </c:numRef>
            </c:plus>
            <c:minus>
              <c:numRef>
                <c:f>'88_Seeds'!$W$222</c:f>
                <c:numCache>
                  <c:formatCode>General</c:formatCode>
                  <c:ptCount val="1"/>
                  <c:pt idx="0">
                    <c:v>3.11650723430696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'88_Seeds'!$W$224</c:f>
                <c:numCache>
                  <c:formatCode>General</c:formatCode>
                  <c:ptCount val="1"/>
                  <c:pt idx="0">
                    <c:v>1.5042226453421752</c:v>
                  </c:pt>
                </c:numCache>
              </c:numRef>
            </c:plus>
            <c:minus>
              <c:numRef>
                <c:f>'88_Seeds'!$W$224</c:f>
                <c:numCache>
                  <c:formatCode>General</c:formatCode>
                  <c:ptCount val="1"/>
                  <c:pt idx="0">
                    <c:v>1.5042226453421752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'88_Seeds'!$W$221</c:f>
              <c:numCache>
                <c:formatCode>0.00</c:formatCode>
                <c:ptCount val="1"/>
                <c:pt idx="0">
                  <c:v>83.37961643548617</c:v>
                </c:pt>
              </c:numCache>
            </c:numRef>
          </c:xVal>
          <c:yVal>
            <c:numRef>
              <c:f>'88_Seeds'!$W$223</c:f>
              <c:numCache>
                <c:formatCode>0.00</c:formatCode>
                <c:ptCount val="1"/>
                <c:pt idx="0">
                  <c:v>81.990811638591111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58E-4F96-AD42-95834E85F25F}"/>
            </c:ext>
          </c:extLst>
        </c:ser>
        <c:ser>
          <c:idx val="6"/>
          <c:order val="4"/>
          <c:tx>
            <c:strRef>
              <c:f>'88_Seeds'!$X$14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'88_Seeds'!$X$222</c:f>
                <c:numCache>
                  <c:formatCode>General</c:formatCode>
                  <c:ptCount val="1"/>
                  <c:pt idx="0">
                    <c:v>6.8595926631063504</c:v>
                  </c:pt>
                </c:numCache>
              </c:numRef>
            </c:plus>
            <c:minus>
              <c:numRef>
                <c:f>'88_Seeds'!$X$222</c:f>
                <c:numCache>
                  <c:formatCode>General</c:formatCode>
                  <c:ptCount val="1"/>
                  <c:pt idx="0">
                    <c:v>6.8595926631063504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'88_Seeds'!$X$224</c:f>
                <c:numCache>
                  <c:formatCode>General</c:formatCode>
                  <c:ptCount val="1"/>
                  <c:pt idx="0">
                    <c:v>2.5383952401451255</c:v>
                  </c:pt>
                </c:numCache>
              </c:numRef>
            </c:plus>
            <c:minus>
              <c:numRef>
                <c:f>'88_Seeds'!$X$224</c:f>
                <c:numCache>
                  <c:formatCode>General</c:formatCode>
                  <c:ptCount val="1"/>
                  <c:pt idx="0">
                    <c:v>2.5383952401451255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'88_Seeds'!$X$221</c:f>
              <c:numCache>
                <c:formatCode>0.00</c:formatCode>
                <c:ptCount val="1"/>
                <c:pt idx="0">
                  <c:v>69.04295618387539</c:v>
                </c:pt>
              </c:numCache>
            </c:numRef>
          </c:xVal>
          <c:yVal>
            <c:numRef>
              <c:f>'88_Seeds'!$X$223</c:f>
              <c:numCache>
                <c:formatCode>0.00</c:formatCode>
                <c:ptCount val="1"/>
                <c:pt idx="0">
                  <c:v>80.82987551867221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8E-4F96-AD42-95834E85F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'88_Seeds'!$T$14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'88_Seeds'!$AL$111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'88_Seeds'!$AL$113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0-4A04-B147-58EAA10B3115}"/>
            </c:ext>
          </c:extLst>
        </c:ser>
        <c:ser>
          <c:idx val="9"/>
          <c:order val="1"/>
          <c:tx>
            <c:strRef>
              <c:f>'88_Seeds'!$U$14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'88_Seeds'!$U$222</c:f>
                <c:numCache>
                  <c:formatCode>General</c:formatCode>
                  <c:ptCount val="1"/>
                  <c:pt idx="0">
                    <c:v>1.850315193699227</c:v>
                  </c:pt>
                </c:numCache>
              </c:numRef>
            </c:plus>
            <c:minus>
              <c:numRef>
                <c:f>'88_Seeds'!$U$222</c:f>
                <c:numCache>
                  <c:formatCode>General</c:formatCode>
                  <c:ptCount val="1"/>
                  <c:pt idx="0">
                    <c:v>1.850315193699227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'88_Seeds'!$U$224</c:f>
                <c:numCache>
                  <c:formatCode>General</c:formatCode>
                  <c:ptCount val="1"/>
                  <c:pt idx="0">
                    <c:v>1.5069949164317511</c:v>
                  </c:pt>
                </c:numCache>
              </c:numRef>
            </c:plus>
            <c:minus>
              <c:numRef>
                <c:f>'88_Seeds'!$U$224</c:f>
                <c:numCache>
                  <c:formatCode>General</c:formatCode>
                  <c:ptCount val="1"/>
                  <c:pt idx="0">
                    <c:v>1.5069949164317511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'88_Seeds'!$AM$111</c:f>
              <c:numCache>
                <c:formatCode>0.00</c:formatCode>
                <c:ptCount val="1"/>
                <c:pt idx="0">
                  <c:v>95.805803120536709</c:v>
                </c:pt>
              </c:numCache>
            </c:numRef>
          </c:xVal>
          <c:yVal>
            <c:numRef>
              <c:f>'88_Seeds'!$AM$113</c:f>
              <c:numCache>
                <c:formatCode>0.00</c:formatCode>
                <c:ptCount val="1"/>
                <c:pt idx="0">
                  <c:v>97.826086956521735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60-4A04-B147-58EAA10B3115}"/>
            </c:ext>
          </c:extLst>
        </c:ser>
        <c:ser>
          <c:idx val="7"/>
          <c:order val="2"/>
          <c:tx>
            <c:strRef>
              <c:f>'88_Seeds'!$V$14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'88_Seeds'!$AN$112</c:f>
                <c:numCache>
                  <c:formatCode>General</c:formatCode>
                  <c:ptCount val="1"/>
                  <c:pt idx="0">
                    <c:v>0.62274478762877639</c:v>
                  </c:pt>
                </c:numCache>
              </c:numRef>
            </c:plus>
            <c:minus>
              <c:numRef>
                <c:f>'88_Seeds'!$AN$112</c:f>
                <c:numCache>
                  <c:formatCode>General</c:formatCode>
                  <c:ptCount val="1"/>
                  <c:pt idx="0">
                    <c:v>0.62274478762877639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'88_Seeds'!$AN$114</c:f>
                <c:numCache>
                  <c:formatCode>General</c:formatCode>
                  <c:ptCount val="1"/>
                  <c:pt idx="0">
                    <c:v>0.6508369863389688</c:v>
                  </c:pt>
                </c:numCache>
              </c:numRef>
            </c:plus>
            <c:minus>
              <c:numRef>
                <c:f>'88_Seeds'!$AN$114</c:f>
                <c:numCache>
                  <c:formatCode>General</c:formatCode>
                  <c:ptCount val="1"/>
                  <c:pt idx="0">
                    <c:v>0.6508369863389688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'88_Seeds'!$AN$111</c:f>
              <c:numCache>
                <c:formatCode>0.00</c:formatCode>
                <c:ptCount val="1"/>
                <c:pt idx="0">
                  <c:v>96.670800472577696</c:v>
                </c:pt>
              </c:numCache>
            </c:numRef>
          </c:xVal>
          <c:yVal>
            <c:numRef>
              <c:f>'88_Seeds'!$AN$113</c:f>
              <c:numCache>
                <c:formatCode>0.00</c:formatCode>
                <c:ptCount val="1"/>
                <c:pt idx="0">
                  <c:v>91.648230088495581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60-4A04-B147-58EAA10B3115}"/>
            </c:ext>
          </c:extLst>
        </c:ser>
        <c:ser>
          <c:idx val="0"/>
          <c:order val="3"/>
          <c:tx>
            <c:strRef>
              <c:f>'88_Seeds'!$W$14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'88_Seeds'!$AO$112</c:f>
                <c:numCache>
                  <c:formatCode>General</c:formatCode>
                  <c:ptCount val="1"/>
                  <c:pt idx="0">
                    <c:v>3.0705092571012704</c:v>
                  </c:pt>
                </c:numCache>
              </c:numRef>
            </c:plus>
            <c:minus>
              <c:numRef>
                <c:f>'88_Seeds'!$AO$112</c:f>
                <c:numCache>
                  <c:formatCode>General</c:formatCode>
                  <c:ptCount val="1"/>
                  <c:pt idx="0">
                    <c:v>3.0705092571012704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'88_Seeds'!$AO$114</c:f>
                <c:numCache>
                  <c:formatCode>General</c:formatCode>
                  <c:ptCount val="1"/>
                  <c:pt idx="0">
                    <c:v>1.4657478918855846</c:v>
                  </c:pt>
                </c:numCache>
              </c:numRef>
            </c:plus>
            <c:minus>
              <c:numRef>
                <c:f>'88_Seeds'!$AO$114</c:f>
                <c:numCache>
                  <c:formatCode>General</c:formatCode>
                  <c:ptCount val="1"/>
                  <c:pt idx="0">
                    <c:v>1.4657478918855846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'88_Seeds'!$AO$111</c:f>
              <c:numCache>
                <c:formatCode>0.00</c:formatCode>
                <c:ptCount val="1"/>
                <c:pt idx="0">
                  <c:v>82.884240549199234</c:v>
                </c:pt>
              </c:numCache>
            </c:numRef>
          </c:xVal>
          <c:yVal>
            <c:numRef>
              <c:f>'88_Seeds'!$AO$113</c:f>
              <c:numCache>
                <c:formatCode>0.00</c:formatCode>
                <c:ptCount val="1"/>
                <c:pt idx="0">
                  <c:v>83.154670750382863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60-4A04-B147-58EAA10B3115}"/>
            </c:ext>
          </c:extLst>
        </c:ser>
        <c:ser>
          <c:idx val="6"/>
          <c:order val="4"/>
          <c:tx>
            <c:strRef>
              <c:f>'88_Seeds'!$X$14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'88_Seeds'!$AP$112</c:f>
                <c:numCache>
                  <c:formatCode>General</c:formatCode>
                  <c:ptCount val="1"/>
                  <c:pt idx="0">
                    <c:v>6.98244848169601</c:v>
                  </c:pt>
                </c:numCache>
              </c:numRef>
            </c:plus>
            <c:minus>
              <c:numRef>
                <c:f>'88_Seeds'!$AP$112</c:f>
                <c:numCache>
                  <c:formatCode>General</c:formatCode>
                  <c:ptCount val="1"/>
                  <c:pt idx="0">
                    <c:v>6.98244848169601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'88_Seeds'!$AP$114</c:f>
                <c:numCache>
                  <c:formatCode>General</c:formatCode>
                  <c:ptCount val="1"/>
                  <c:pt idx="0">
                    <c:v>2.5779625837359448</c:v>
                  </c:pt>
                </c:numCache>
              </c:numRef>
            </c:plus>
            <c:minus>
              <c:numRef>
                <c:f>'88_Seeds'!$AP$114</c:f>
                <c:numCache>
                  <c:formatCode>General</c:formatCode>
                  <c:ptCount val="1"/>
                  <c:pt idx="0">
                    <c:v>2.5779625837359448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'88_Seeds'!$AP$111</c:f>
              <c:numCache>
                <c:formatCode>0.00</c:formatCode>
                <c:ptCount val="1"/>
                <c:pt idx="0">
                  <c:v>69.380060633295685</c:v>
                </c:pt>
              </c:numCache>
            </c:numRef>
          </c:xVal>
          <c:yVal>
            <c:numRef>
              <c:f>'88_Seeds'!$AP$113</c:f>
              <c:numCache>
                <c:formatCode>0.00</c:formatCode>
                <c:ptCount val="1"/>
                <c:pt idx="0">
                  <c:v>80.08298755186722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60-4A04-B147-58EAA10B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'88T_Seeds'!$T$14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'88T_Seeds'!$T$279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'88T_Seeds'!$T$282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'88T_Seeds'!$T$278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'88T_Seeds'!$T$281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CD-4219-937E-73C48F02420F}"/>
            </c:ext>
          </c:extLst>
        </c:ser>
        <c:ser>
          <c:idx val="9"/>
          <c:order val="1"/>
          <c:tx>
            <c:strRef>
              <c:f>'88T_Seeds'!$U$14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'88T_Seeds'!$U$279</c:f>
                <c:numCache>
                  <c:formatCode>General</c:formatCode>
                  <c:ptCount val="1"/>
                  <c:pt idx="0">
                    <c:v>1.0557312525767482</c:v>
                  </c:pt>
                </c:numCache>
              </c:numRef>
            </c:plus>
            <c:minus>
              <c:numRef>
                <c:f>'88T_Seeds'!$U$279</c:f>
                <c:numCache>
                  <c:formatCode>General</c:formatCode>
                  <c:ptCount val="1"/>
                  <c:pt idx="0">
                    <c:v>1.0557312525767482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'88T_Seeds'!$U$282</c:f>
                <c:numCache>
                  <c:formatCode>General</c:formatCode>
                  <c:ptCount val="1"/>
                  <c:pt idx="0">
                    <c:v>0.42065741902618187</c:v>
                  </c:pt>
                </c:numCache>
              </c:numRef>
            </c:plus>
            <c:minus>
              <c:numRef>
                <c:f>'88T_Seeds'!$U$282</c:f>
                <c:numCache>
                  <c:formatCode>General</c:formatCode>
                  <c:ptCount val="1"/>
                  <c:pt idx="0">
                    <c:v>0.42065741902618187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'88T_Seeds'!$U$278</c:f>
              <c:numCache>
                <c:formatCode>0.00</c:formatCode>
                <c:ptCount val="1"/>
                <c:pt idx="0">
                  <c:v>90.043055824639154</c:v>
                </c:pt>
              </c:numCache>
            </c:numRef>
          </c:xVal>
          <c:yVal>
            <c:numRef>
              <c:f>'88T_Seeds'!$U$281</c:f>
              <c:numCache>
                <c:formatCode>0.00</c:formatCode>
                <c:ptCount val="1"/>
                <c:pt idx="0">
                  <c:v>99.351032448377595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CD-4219-937E-73C48F02420F}"/>
            </c:ext>
          </c:extLst>
        </c:ser>
        <c:ser>
          <c:idx val="7"/>
          <c:order val="2"/>
          <c:tx>
            <c:strRef>
              <c:f>'88T_Seeds'!$V$14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'88T_Seeds'!$V$282</c:f>
                <c:numCache>
                  <c:formatCode>General</c:formatCode>
                  <c:ptCount val="1"/>
                  <c:pt idx="0">
                    <c:v>0.20329518590632772</c:v>
                  </c:pt>
                </c:numCache>
              </c:numRef>
            </c:plus>
            <c:minus>
              <c:numRef>
                <c:f>'88T_Seeds'!$V$282</c:f>
                <c:numCache>
                  <c:formatCode>General</c:formatCode>
                  <c:ptCount val="1"/>
                  <c:pt idx="0">
                    <c:v>0.20329518590632772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'88T_Seeds'!$V$282</c:f>
                <c:numCache>
                  <c:formatCode>General</c:formatCode>
                  <c:ptCount val="1"/>
                  <c:pt idx="0">
                    <c:v>0.20329518590632772</c:v>
                  </c:pt>
                </c:numCache>
              </c:numRef>
            </c:plus>
            <c:minus>
              <c:numRef>
                <c:f>'88T_Seeds'!$V$282</c:f>
                <c:numCache>
                  <c:formatCode>General</c:formatCode>
                  <c:ptCount val="1"/>
                  <c:pt idx="0">
                    <c:v>0.20329518590632772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'88T_Seeds'!$V$278</c:f>
              <c:numCache>
                <c:formatCode>0.00</c:formatCode>
                <c:ptCount val="1"/>
                <c:pt idx="0">
                  <c:v>99.009931058726494</c:v>
                </c:pt>
              </c:numCache>
            </c:numRef>
          </c:xVal>
          <c:yVal>
            <c:numRef>
              <c:f>'88T_Seeds'!$V$281</c:f>
              <c:numCache>
                <c:formatCode>0.00</c:formatCode>
                <c:ptCount val="1"/>
                <c:pt idx="0">
                  <c:v>96.840113528855255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CD-4219-937E-73C48F02420F}"/>
            </c:ext>
          </c:extLst>
        </c:ser>
        <c:ser>
          <c:idx val="0"/>
          <c:order val="3"/>
          <c:tx>
            <c:strRef>
              <c:f>'88T_Seeds'!$W$14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'88T_Seeds'!$W$279</c:f>
                <c:numCache>
                  <c:formatCode>General</c:formatCode>
                  <c:ptCount val="1"/>
                  <c:pt idx="0">
                    <c:v>0.77905857136503642</c:v>
                  </c:pt>
                </c:numCache>
              </c:numRef>
            </c:plus>
            <c:minus>
              <c:numRef>
                <c:f>'88T_Seeds'!$W$279</c:f>
                <c:numCache>
                  <c:formatCode>General</c:formatCode>
                  <c:ptCount val="1"/>
                  <c:pt idx="0">
                    <c:v>0.77905857136503642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'88T_Seeds'!$W$282</c:f>
                <c:numCache>
                  <c:formatCode>General</c:formatCode>
                  <c:ptCount val="1"/>
                  <c:pt idx="0">
                    <c:v>0.56258578292897499</c:v>
                  </c:pt>
                </c:numCache>
              </c:numRef>
            </c:plus>
            <c:minus>
              <c:numRef>
                <c:f>'88T_Seeds'!$W$282</c:f>
                <c:numCache>
                  <c:formatCode>General</c:formatCode>
                  <c:ptCount val="1"/>
                  <c:pt idx="0">
                    <c:v>0.56258578292897499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'88T_Seeds'!$W$278</c:f>
              <c:numCache>
                <c:formatCode>0.00</c:formatCode>
                <c:ptCount val="1"/>
                <c:pt idx="0">
                  <c:v>90.644684555229873</c:v>
                </c:pt>
              </c:numCache>
            </c:numRef>
          </c:xVal>
          <c:yVal>
            <c:numRef>
              <c:f>'88T_Seeds'!$W$281</c:f>
              <c:numCache>
                <c:formatCode>0.00</c:formatCode>
                <c:ptCount val="1"/>
                <c:pt idx="0">
                  <c:v>90.941221667306948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CD-4219-937E-73C48F02420F}"/>
            </c:ext>
          </c:extLst>
        </c:ser>
        <c:ser>
          <c:idx val="6"/>
          <c:order val="4"/>
          <c:tx>
            <c:strRef>
              <c:f>'88T_Seeds'!$X$14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'88T_Seeds'!$X$279</c:f>
                <c:numCache>
                  <c:formatCode>General</c:formatCode>
                  <c:ptCount val="1"/>
                  <c:pt idx="0">
                    <c:v>2.5264012713802528</c:v>
                  </c:pt>
                </c:numCache>
              </c:numRef>
            </c:plus>
            <c:minus>
              <c:numRef>
                <c:f>'88T_Seeds'!$X$279</c:f>
                <c:numCache>
                  <c:formatCode>General</c:formatCode>
                  <c:ptCount val="1"/>
                  <c:pt idx="0">
                    <c:v>2.5264012713802528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'88T_Seeds'!$X$282</c:f>
                <c:numCache>
                  <c:formatCode>General</c:formatCode>
                  <c:ptCount val="1"/>
                  <c:pt idx="0">
                    <c:v>1.1935556009653669</c:v>
                  </c:pt>
                </c:numCache>
              </c:numRef>
            </c:plus>
            <c:minus>
              <c:numRef>
                <c:f>'88T_Seeds'!$X$282</c:f>
                <c:numCache>
                  <c:formatCode>General</c:formatCode>
                  <c:ptCount val="1"/>
                  <c:pt idx="0">
                    <c:v>1.1935556009653669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'88T_Seeds'!$X$278</c:f>
              <c:numCache>
                <c:formatCode>0.00</c:formatCode>
                <c:ptCount val="1"/>
                <c:pt idx="0">
                  <c:v>79.254133914516274</c:v>
                </c:pt>
              </c:numCache>
            </c:numRef>
          </c:xVal>
          <c:yVal>
            <c:numRef>
              <c:f>'88T_Seeds'!$X$281</c:f>
              <c:numCache>
                <c:formatCode>0.00</c:formatCode>
                <c:ptCount val="1"/>
                <c:pt idx="0">
                  <c:v>83.666666666666671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CD-4219-937E-73C48F02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'88T_Seeds'!$T$14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'88T_Seeds'!$T$222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'88T_Seeds'!$T$224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'88T_Seeds'!$T$221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'88T_Seeds'!$T$223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99-48FE-8067-CA5C08858716}"/>
            </c:ext>
          </c:extLst>
        </c:ser>
        <c:ser>
          <c:idx val="9"/>
          <c:order val="1"/>
          <c:tx>
            <c:strRef>
              <c:f>'88T_Seeds'!$U$14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'88T_Seeds'!$U$222</c:f>
                <c:numCache>
                  <c:formatCode>General</c:formatCode>
                  <c:ptCount val="1"/>
                  <c:pt idx="0">
                    <c:v>1.0774840754688313</c:v>
                  </c:pt>
                </c:numCache>
              </c:numRef>
            </c:plus>
            <c:minus>
              <c:numRef>
                <c:f>'88T_Seeds'!$U$222</c:f>
                <c:numCache>
                  <c:formatCode>General</c:formatCode>
                  <c:ptCount val="1"/>
                  <c:pt idx="0">
                    <c:v>1.0774840754688313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'88T_Seeds'!$U$224</c:f>
                <c:numCache>
                  <c:formatCode>General</c:formatCode>
                  <c:ptCount val="1"/>
                  <c:pt idx="0">
                    <c:v>0.44764207601023137</c:v>
                  </c:pt>
                </c:numCache>
              </c:numRef>
            </c:plus>
            <c:minus>
              <c:numRef>
                <c:f>'88T_Seeds'!$U$224</c:f>
                <c:numCache>
                  <c:formatCode>General</c:formatCode>
                  <c:ptCount val="1"/>
                  <c:pt idx="0">
                    <c:v>0.44764207601023137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'88T_Seeds'!$U$221</c:f>
              <c:numCache>
                <c:formatCode>0.00</c:formatCode>
                <c:ptCount val="1"/>
                <c:pt idx="0">
                  <c:v>89.81075328950719</c:v>
                </c:pt>
              </c:numCache>
            </c:numRef>
          </c:xVal>
          <c:yVal>
            <c:numRef>
              <c:f>'88T_Seeds'!$U$223</c:f>
              <c:numCache>
                <c:formatCode>0.00</c:formatCode>
                <c:ptCount val="1"/>
                <c:pt idx="0">
                  <c:v>99.277286135693231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99-48FE-8067-CA5C08858716}"/>
            </c:ext>
          </c:extLst>
        </c:ser>
        <c:ser>
          <c:idx val="7"/>
          <c:order val="2"/>
          <c:tx>
            <c:strRef>
              <c:f>'88T_Seeds'!$V$14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'88T_Seeds'!$V$222</c:f>
                <c:numCache>
                  <c:formatCode>General</c:formatCode>
                  <c:ptCount val="1"/>
                  <c:pt idx="0">
                    <c:v>0.13114152129167742</c:v>
                  </c:pt>
                </c:numCache>
              </c:numRef>
            </c:plus>
            <c:minus>
              <c:numRef>
                <c:f>'88T_Seeds'!$V$222</c:f>
                <c:numCache>
                  <c:formatCode>General</c:formatCode>
                  <c:ptCount val="1"/>
                  <c:pt idx="0">
                    <c:v>0.13114152129167742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'88T_Seeds'!$V$224</c:f>
                <c:numCache>
                  <c:formatCode>General</c:formatCode>
                  <c:ptCount val="1"/>
                  <c:pt idx="0">
                    <c:v>0.2018959675581784</c:v>
                  </c:pt>
                </c:numCache>
              </c:numRef>
            </c:plus>
            <c:minus>
              <c:numRef>
                <c:f>'88T_Seeds'!$V$224</c:f>
                <c:numCache>
                  <c:formatCode>General</c:formatCode>
                  <c:ptCount val="1"/>
                  <c:pt idx="0">
                    <c:v>0.2018959675581784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'88T_Seeds'!$V$221</c:f>
              <c:numCache>
                <c:formatCode>0.00</c:formatCode>
                <c:ptCount val="1"/>
                <c:pt idx="0">
                  <c:v>98.980709602114104</c:v>
                </c:pt>
              </c:numCache>
            </c:numRef>
          </c:xVal>
          <c:yVal>
            <c:numRef>
              <c:f>'88T_Seeds'!$V$223</c:f>
              <c:numCache>
                <c:formatCode>0.00</c:formatCode>
                <c:ptCount val="1"/>
                <c:pt idx="0">
                  <c:v>96.886065684551994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99-48FE-8067-CA5C08858716}"/>
            </c:ext>
          </c:extLst>
        </c:ser>
        <c:ser>
          <c:idx val="0"/>
          <c:order val="3"/>
          <c:tx>
            <c:strRef>
              <c:f>'88T_Seeds'!$W$14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'88T_Seeds'!$W$222</c:f>
                <c:numCache>
                  <c:formatCode>General</c:formatCode>
                  <c:ptCount val="1"/>
                  <c:pt idx="0">
                    <c:v>0.78354457419917978</c:v>
                  </c:pt>
                </c:numCache>
              </c:numRef>
            </c:plus>
            <c:minus>
              <c:numRef>
                <c:f>'88T_Seeds'!$W$222</c:f>
                <c:numCache>
                  <c:formatCode>General</c:formatCode>
                  <c:ptCount val="1"/>
                  <c:pt idx="0">
                    <c:v>0.78354457419917978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'88T_Seeds'!$W$224</c:f>
                <c:numCache>
                  <c:formatCode>General</c:formatCode>
                  <c:ptCount val="1"/>
                  <c:pt idx="0">
                    <c:v>0.56100526872836809</c:v>
                  </c:pt>
                </c:numCache>
              </c:numRef>
            </c:plus>
            <c:minus>
              <c:numRef>
                <c:f>'88T_Seeds'!$W$224</c:f>
                <c:numCache>
                  <c:formatCode>General</c:formatCode>
                  <c:ptCount val="1"/>
                  <c:pt idx="0">
                    <c:v>0.56100526872836809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'88T_Seeds'!$W$221</c:f>
              <c:numCache>
                <c:formatCode>0.00</c:formatCode>
                <c:ptCount val="1"/>
                <c:pt idx="0">
                  <c:v>90.480129136391682</c:v>
                </c:pt>
              </c:numCache>
            </c:numRef>
          </c:xVal>
          <c:yVal>
            <c:numRef>
              <c:f>'88T_Seeds'!$W$223</c:f>
              <c:numCache>
                <c:formatCode>0.00</c:formatCode>
                <c:ptCount val="1"/>
                <c:pt idx="0">
                  <c:v>90.995005762581641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99-48FE-8067-CA5C08858716}"/>
            </c:ext>
          </c:extLst>
        </c:ser>
        <c:ser>
          <c:idx val="6"/>
          <c:order val="4"/>
          <c:tx>
            <c:strRef>
              <c:f>'88T_Seeds'!$X$14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'88T_Seeds'!$X$222</c:f>
                <c:numCache>
                  <c:formatCode>General</c:formatCode>
                  <c:ptCount val="1"/>
                  <c:pt idx="0">
                    <c:v>2.5772873451597182</c:v>
                  </c:pt>
                </c:numCache>
              </c:numRef>
            </c:plus>
            <c:minus>
              <c:numRef>
                <c:f>'88T_Seeds'!$X$222</c:f>
                <c:numCache>
                  <c:formatCode>General</c:formatCode>
                  <c:ptCount val="1"/>
                  <c:pt idx="0">
                    <c:v>2.5772873451597182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'88T_Seeds'!$X$224</c:f>
                <c:numCache>
                  <c:formatCode>General</c:formatCode>
                  <c:ptCount val="1"/>
                  <c:pt idx="0">
                    <c:v>1.2124810979245586</c:v>
                  </c:pt>
                </c:numCache>
              </c:numRef>
            </c:plus>
            <c:minus>
              <c:numRef>
                <c:f>'88T_Seeds'!$X$224</c:f>
                <c:numCache>
                  <c:formatCode>General</c:formatCode>
                  <c:ptCount val="1"/>
                  <c:pt idx="0">
                    <c:v>1.2124810979245586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'88T_Seeds'!$X$221</c:f>
              <c:numCache>
                <c:formatCode>0.00</c:formatCode>
                <c:ptCount val="1"/>
                <c:pt idx="0">
                  <c:v>79.311800030794316</c:v>
                </c:pt>
              </c:numCache>
            </c:numRef>
          </c:xVal>
          <c:yVal>
            <c:numRef>
              <c:f>'88T_Seeds'!$X$223</c:f>
              <c:numCache>
                <c:formatCode>0.00</c:formatCode>
                <c:ptCount val="1"/>
                <c:pt idx="0">
                  <c:v>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99-48FE-8067-CA5C08858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'88T_Seeds'!$T$14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'88T_Seeds'!$AL$112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'88T_Seeds'!$AL$114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'88T_Seeds'!$AL$111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'88T_Seeds'!$AL$113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1E-4EA7-8EE0-C55776EAB05F}"/>
            </c:ext>
          </c:extLst>
        </c:ser>
        <c:ser>
          <c:idx val="9"/>
          <c:order val="1"/>
          <c:tx>
            <c:strRef>
              <c:f>'88T_Seeds'!$U$14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'88T_Seeds'!$U$222</c:f>
                <c:numCache>
                  <c:formatCode>General</c:formatCode>
                  <c:ptCount val="1"/>
                  <c:pt idx="0">
                    <c:v>1.0774840754688313</c:v>
                  </c:pt>
                </c:numCache>
              </c:numRef>
            </c:plus>
            <c:minus>
              <c:numRef>
                <c:f>'88T_Seeds'!$U$222</c:f>
                <c:numCache>
                  <c:formatCode>General</c:formatCode>
                  <c:ptCount val="1"/>
                  <c:pt idx="0">
                    <c:v>1.0774840754688313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'88T_Seeds'!$U$224</c:f>
                <c:numCache>
                  <c:formatCode>General</c:formatCode>
                  <c:ptCount val="1"/>
                  <c:pt idx="0">
                    <c:v>0.44764207601023137</c:v>
                  </c:pt>
                </c:numCache>
              </c:numRef>
            </c:plus>
            <c:minus>
              <c:numRef>
                <c:f>'88T_Seeds'!$U$224</c:f>
                <c:numCache>
                  <c:formatCode>General</c:formatCode>
                  <c:ptCount val="1"/>
                  <c:pt idx="0">
                    <c:v>0.44764207601023137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'88T_Seeds'!$AM$111</c:f>
              <c:numCache>
                <c:formatCode>0.00</c:formatCode>
                <c:ptCount val="1"/>
                <c:pt idx="0">
                  <c:v>89.877919012353431</c:v>
                </c:pt>
              </c:numCache>
            </c:numRef>
          </c:xVal>
          <c:yVal>
            <c:numRef>
              <c:f>'88T_Seeds'!$AM$113</c:f>
              <c:numCache>
                <c:formatCode>0.00</c:formatCode>
                <c:ptCount val="1"/>
                <c:pt idx="0">
                  <c:v>99.705014749262531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1E-4EA7-8EE0-C55776EAB05F}"/>
            </c:ext>
          </c:extLst>
        </c:ser>
        <c:ser>
          <c:idx val="7"/>
          <c:order val="2"/>
          <c:tx>
            <c:strRef>
              <c:f>'88T_Seeds'!$V$14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'88T_Seeds'!$AN$112</c:f>
                <c:numCache>
                  <c:formatCode>General</c:formatCode>
                  <c:ptCount val="1"/>
                  <c:pt idx="0">
                    <c:v>0.12250712461439517</c:v>
                  </c:pt>
                </c:numCache>
              </c:numRef>
            </c:plus>
            <c:minus>
              <c:numRef>
                <c:f>'88T_Seeds'!$AN$112</c:f>
                <c:numCache>
                  <c:formatCode>General</c:formatCode>
                  <c:ptCount val="1"/>
                  <c:pt idx="0">
                    <c:v>0.12250712461439517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'88T_Seeds'!$AN$114</c:f>
                <c:numCache>
                  <c:formatCode>General</c:formatCode>
                  <c:ptCount val="1"/>
                  <c:pt idx="0">
                    <c:v>0.20092181559870553</c:v>
                  </c:pt>
                </c:numCache>
              </c:numRef>
            </c:plus>
            <c:minus>
              <c:numRef>
                <c:f>'88T_Seeds'!$AN$114</c:f>
                <c:numCache>
                  <c:formatCode>General</c:formatCode>
                  <c:ptCount val="1"/>
                  <c:pt idx="0">
                    <c:v>0.20092181559870553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'88T_Seeds'!$AN$111</c:f>
              <c:numCache>
                <c:formatCode>0.00</c:formatCode>
                <c:ptCount val="1"/>
                <c:pt idx="0">
                  <c:v>99.070406022095511</c:v>
                </c:pt>
              </c:numCache>
            </c:numRef>
          </c:xVal>
          <c:yVal>
            <c:numRef>
              <c:f>'88T_Seeds'!$AN$113</c:f>
              <c:numCache>
                <c:formatCode>0.00</c:formatCode>
                <c:ptCount val="1"/>
                <c:pt idx="0">
                  <c:v>96.918502500337894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1E-4EA7-8EE0-C55776EAB05F}"/>
            </c:ext>
          </c:extLst>
        </c:ser>
        <c:ser>
          <c:idx val="0"/>
          <c:order val="3"/>
          <c:tx>
            <c:strRef>
              <c:f>'88T_Seeds'!$W$14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'88T_Seeds'!$AO$112</c:f>
                <c:numCache>
                  <c:formatCode>General</c:formatCode>
                  <c:ptCount val="1"/>
                  <c:pt idx="0">
                    <c:v>0.75844646730943432</c:v>
                  </c:pt>
                </c:numCache>
              </c:numRef>
            </c:plus>
            <c:minus>
              <c:numRef>
                <c:f>'88T_Seeds'!$AO$112</c:f>
                <c:numCache>
                  <c:formatCode>General</c:formatCode>
                  <c:ptCount val="1"/>
                  <c:pt idx="0">
                    <c:v>0.75844646730943432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'88T_Seeds'!$AO$114</c:f>
                <c:numCache>
                  <c:formatCode>General</c:formatCode>
                  <c:ptCount val="1"/>
                  <c:pt idx="0">
                    <c:v>0.55089568409461287</c:v>
                  </c:pt>
                </c:numCache>
              </c:numRef>
            </c:plus>
            <c:minus>
              <c:numRef>
                <c:f>'88T_Seeds'!$AO$114</c:f>
                <c:numCache>
                  <c:formatCode>General</c:formatCode>
                  <c:ptCount val="1"/>
                  <c:pt idx="0">
                    <c:v>0.55089568409461287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'88T_Seeds'!$AO$111</c:f>
              <c:numCache>
                <c:formatCode>0.00</c:formatCode>
                <c:ptCount val="1"/>
                <c:pt idx="0">
                  <c:v>90.800359491934117</c:v>
                </c:pt>
              </c:numCache>
            </c:numRef>
          </c:xVal>
          <c:yVal>
            <c:numRef>
              <c:f>'88T_Seeds'!$AO$113</c:f>
              <c:numCache>
                <c:formatCode>0.00</c:formatCode>
                <c:ptCount val="1"/>
                <c:pt idx="0">
                  <c:v>91.356127545140225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1E-4EA7-8EE0-C55776EAB05F}"/>
            </c:ext>
          </c:extLst>
        </c:ser>
        <c:ser>
          <c:idx val="6"/>
          <c:order val="4"/>
          <c:tx>
            <c:strRef>
              <c:f>'88T_Seeds'!$X$14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'88T_Seeds'!$AP$112</c:f>
                <c:numCache>
                  <c:formatCode>General</c:formatCode>
                  <c:ptCount val="1"/>
                  <c:pt idx="0">
                    <c:v>2.4667415158523145</c:v>
                  </c:pt>
                </c:numCache>
              </c:numRef>
            </c:plus>
            <c:minus>
              <c:numRef>
                <c:f>'88T_Seeds'!$AP$112</c:f>
                <c:numCache>
                  <c:formatCode>General</c:formatCode>
                  <c:ptCount val="1"/>
                  <c:pt idx="0">
                    <c:v>2.4667415158523145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'88T_Seeds'!$AP$114</c:f>
                <c:numCache>
                  <c:formatCode>General</c:formatCode>
                  <c:ptCount val="1"/>
                  <c:pt idx="0">
                    <c:v>1.1912688532439153</c:v>
                  </c:pt>
                </c:numCache>
              </c:numRef>
            </c:plus>
            <c:minus>
              <c:numRef>
                <c:f>'88T_Seeds'!$AP$114</c:f>
                <c:numCache>
                  <c:formatCode>General</c:formatCode>
                  <c:ptCount val="1"/>
                  <c:pt idx="0">
                    <c:v>1.1912688532439153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'88T_Seeds'!$AP$111</c:f>
              <c:numCache>
                <c:formatCode>0.00</c:formatCode>
                <c:ptCount val="1"/>
                <c:pt idx="0">
                  <c:v>79.965486896400463</c:v>
                </c:pt>
              </c:numCache>
            </c:numRef>
          </c:xVal>
          <c:yVal>
            <c:numRef>
              <c:f>'88T_Seeds'!$AP$113</c:f>
              <c:numCache>
                <c:formatCode>0.00</c:formatCode>
                <c:ptCount val="1"/>
                <c:pt idx="0">
                  <c:v>83.749999999999986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1E-4EA7-8EE0-C55776EAB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'91T_Seeds'!$T$14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'91T_Seeds'!$T$279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'91T_Seeds'!$T$282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'91T_Seeds'!$T$278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'91T_Seeds'!$T$281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F-4681-B55B-67E8F5ADBD07}"/>
            </c:ext>
          </c:extLst>
        </c:ser>
        <c:ser>
          <c:idx val="9"/>
          <c:order val="1"/>
          <c:tx>
            <c:strRef>
              <c:f>'91T_Seeds'!$U$14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'91T_Seeds'!$U$279</c:f>
                <c:numCache>
                  <c:formatCode>General</c:formatCode>
                  <c:ptCount val="1"/>
                  <c:pt idx="0">
                    <c:v>5.4160211100985407</c:v>
                  </c:pt>
                </c:numCache>
              </c:numRef>
            </c:plus>
            <c:minus>
              <c:numRef>
                <c:f>'91T_Seeds'!$U$279</c:f>
                <c:numCache>
                  <c:formatCode>General</c:formatCode>
                  <c:ptCount val="1"/>
                  <c:pt idx="0">
                    <c:v>5.4160211100985407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'91T_Seeds'!$U$282</c:f>
                <c:numCache>
                  <c:formatCode>General</c:formatCode>
                  <c:ptCount val="1"/>
                  <c:pt idx="0">
                    <c:v>1.8734749986012258</c:v>
                  </c:pt>
                </c:numCache>
              </c:numRef>
            </c:plus>
            <c:minus>
              <c:numRef>
                <c:f>'91T_Seeds'!$U$282</c:f>
                <c:numCache>
                  <c:formatCode>General</c:formatCode>
                  <c:ptCount val="1"/>
                  <c:pt idx="0">
                    <c:v>1.8734749986012258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'91T_Seeds'!$U$278</c:f>
              <c:numCache>
                <c:formatCode>0.00</c:formatCode>
                <c:ptCount val="1"/>
                <c:pt idx="0">
                  <c:v>58.248495489601964</c:v>
                </c:pt>
              </c:numCache>
            </c:numRef>
          </c:xVal>
          <c:yVal>
            <c:numRef>
              <c:f>'91T_Seeds'!$U$281</c:f>
              <c:numCache>
                <c:formatCode>0.00</c:formatCode>
                <c:ptCount val="1"/>
                <c:pt idx="0">
                  <c:v>86.194690265486727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F-4681-B55B-67E8F5ADBD07}"/>
            </c:ext>
          </c:extLst>
        </c:ser>
        <c:ser>
          <c:idx val="7"/>
          <c:order val="2"/>
          <c:tx>
            <c:strRef>
              <c:f>'91T_Seeds'!$V$14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'91T_Seeds'!$V$282</c:f>
                <c:numCache>
                  <c:formatCode>General</c:formatCode>
                  <c:ptCount val="1"/>
                  <c:pt idx="0">
                    <c:v>0.2870218900027931</c:v>
                  </c:pt>
                </c:numCache>
              </c:numRef>
            </c:plus>
            <c:minus>
              <c:numRef>
                <c:f>'91T_Seeds'!$V$282</c:f>
                <c:numCache>
                  <c:formatCode>General</c:formatCode>
                  <c:ptCount val="1"/>
                  <c:pt idx="0">
                    <c:v>0.2870218900027931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'91T_Seeds'!$V$282</c:f>
                <c:numCache>
                  <c:formatCode>General</c:formatCode>
                  <c:ptCount val="1"/>
                  <c:pt idx="0">
                    <c:v>0.2870218900027931</c:v>
                  </c:pt>
                </c:numCache>
              </c:numRef>
            </c:plus>
            <c:minus>
              <c:numRef>
                <c:f>'91T_Seeds'!$V$282</c:f>
                <c:numCache>
                  <c:formatCode>General</c:formatCode>
                  <c:ptCount val="1"/>
                  <c:pt idx="0">
                    <c:v>0.2870218900027931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'91T_Seeds'!$V$278</c:f>
              <c:numCache>
                <c:formatCode>0.00</c:formatCode>
                <c:ptCount val="1"/>
                <c:pt idx="0">
                  <c:v>97.691000701828884</c:v>
                </c:pt>
              </c:numCache>
            </c:numRef>
          </c:xVal>
          <c:yVal>
            <c:numRef>
              <c:f>'91T_Seeds'!$V$281</c:f>
              <c:numCache>
                <c:formatCode>0.00</c:formatCode>
                <c:ptCount val="1"/>
                <c:pt idx="0">
                  <c:v>93.461278551155573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F-4681-B55B-67E8F5ADBD07}"/>
            </c:ext>
          </c:extLst>
        </c:ser>
        <c:ser>
          <c:idx val="0"/>
          <c:order val="3"/>
          <c:tx>
            <c:strRef>
              <c:f>'91T_Seeds'!$W$14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'91T_Seeds'!$W$279</c:f>
                <c:numCache>
                  <c:formatCode>General</c:formatCode>
                  <c:ptCount val="1"/>
                  <c:pt idx="0">
                    <c:v>0.67685785677002297</c:v>
                  </c:pt>
                </c:numCache>
              </c:numRef>
            </c:plus>
            <c:minus>
              <c:numRef>
                <c:f>'91T_Seeds'!$W$279</c:f>
                <c:numCache>
                  <c:formatCode>General</c:formatCode>
                  <c:ptCount val="1"/>
                  <c:pt idx="0">
                    <c:v>0.67685785677002297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'91T_Seeds'!$W$282</c:f>
                <c:numCache>
                  <c:formatCode>General</c:formatCode>
                  <c:ptCount val="1"/>
                  <c:pt idx="0">
                    <c:v>0.41686268593056647</c:v>
                  </c:pt>
                </c:numCache>
              </c:numRef>
            </c:plus>
            <c:minus>
              <c:numRef>
                <c:f>'91T_Seeds'!$W$282</c:f>
                <c:numCache>
                  <c:formatCode>General</c:formatCode>
                  <c:ptCount val="1"/>
                  <c:pt idx="0">
                    <c:v>0.41686268593056647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'91T_Seeds'!$W$278</c:f>
              <c:numCache>
                <c:formatCode>0.00</c:formatCode>
                <c:ptCount val="1"/>
                <c:pt idx="0">
                  <c:v>90.91631308788223</c:v>
                </c:pt>
              </c:numCache>
            </c:numRef>
          </c:xVal>
          <c:yVal>
            <c:numRef>
              <c:f>'91T_Seeds'!$W$281</c:f>
              <c:numCache>
                <c:formatCode>0.00</c:formatCode>
                <c:ptCount val="1"/>
                <c:pt idx="0">
                  <c:v>95.404761904761898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F-4681-B55B-67E8F5ADBD07}"/>
            </c:ext>
          </c:extLst>
        </c:ser>
        <c:ser>
          <c:idx val="6"/>
          <c:order val="4"/>
          <c:tx>
            <c:strRef>
              <c:f>'91T_Seeds'!$X$14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'91T_Seeds'!$X$279</c:f>
                <c:numCache>
                  <c:formatCode>General</c:formatCode>
                  <c:ptCount val="1"/>
                  <c:pt idx="0">
                    <c:v>2.1538056758015141</c:v>
                  </c:pt>
                </c:numCache>
              </c:numRef>
            </c:plus>
            <c:minus>
              <c:numRef>
                <c:f>'91T_Seeds'!$X$279</c:f>
                <c:numCache>
                  <c:formatCode>General</c:formatCode>
                  <c:ptCount val="1"/>
                  <c:pt idx="0">
                    <c:v>2.1538056758015141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'91T_Seeds'!$X$282</c:f>
                <c:numCache>
                  <c:formatCode>General</c:formatCode>
                  <c:ptCount val="1"/>
                  <c:pt idx="0">
                    <c:v>1.3766368229190122</c:v>
                  </c:pt>
                </c:numCache>
              </c:numRef>
            </c:plus>
            <c:minus>
              <c:numRef>
                <c:f>'91T_Seeds'!$X$282</c:f>
                <c:numCache>
                  <c:formatCode>General</c:formatCode>
                  <c:ptCount val="1"/>
                  <c:pt idx="0">
                    <c:v>1.3766368229190122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'91T_Seeds'!$X$278</c:f>
              <c:numCache>
                <c:formatCode>0.00</c:formatCode>
                <c:ptCount val="1"/>
                <c:pt idx="0">
                  <c:v>87.467187426480308</c:v>
                </c:pt>
              </c:numCache>
            </c:numRef>
          </c:xVal>
          <c:yVal>
            <c:numRef>
              <c:f>'91T_Seeds'!$X$281</c:f>
              <c:numCache>
                <c:formatCode>0.00</c:formatCode>
                <c:ptCount val="1"/>
                <c:pt idx="0">
                  <c:v>76.656084656084658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EF-4681-B55B-67E8F5ADB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1991T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'91T_Seeds'!$T$14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'91T_Seeds'!$T$222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'91T_Seeds'!$T$224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'91T_Seeds'!$T$221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'91T_Seeds'!$T$223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AC-4CF3-9E4F-CCD8B0563B87}"/>
            </c:ext>
          </c:extLst>
        </c:ser>
        <c:ser>
          <c:idx val="9"/>
          <c:order val="1"/>
          <c:tx>
            <c:strRef>
              <c:f>'91T_Seeds'!$U$14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'91T_Seeds'!$U$222</c:f>
                <c:numCache>
                  <c:formatCode>General</c:formatCode>
                  <c:ptCount val="1"/>
                  <c:pt idx="0">
                    <c:v>5.3425225625021495</c:v>
                  </c:pt>
                </c:numCache>
              </c:numRef>
            </c:plus>
            <c:minus>
              <c:numRef>
                <c:f>'91T_Seeds'!$U$222</c:f>
                <c:numCache>
                  <c:formatCode>General</c:formatCode>
                  <c:ptCount val="1"/>
                  <c:pt idx="0">
                    <c:v>5.3425225625021495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'91T_Seeds'!$U$224</c:f>
                <c:numCache>
                  <c:formatCode>General</c:formatCode>
                  <c:ptCount val="1"/>
                  <c:pt idx="0">
                    <c:v>1.8466390592936075</c:v>
                  </c:pt>
                </c:numCache>
              </c:numRef>
            </c:plus>
            <c:minus>
              <c:numRef>
                <c:f>'91T_Seeds'!$U$224</c:f>
                <c:numCache>
                  <c:formatCode>General</c:formatCode>
                  <c:ptCount val="1"/>
                  <c:pt idx="0">
                    <c:v>1.8466390592936075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'91T_Seeds'!$U$221</c:f>
              <c:numCache>
                <c:formatCode>0.00</c:formatCode>
                <c:ptCount val="1"/>
                <c:pt idx="0">
                  <c:v>57.179402113510108</c:v>
                </c:pt>
              </c:numCache>
            </c:numRef>
          </c:xVal>
          <c:yVal>
            <c:numRef>
              <c:f>'91T_Seeds'!$U$223</c:f>
              <c:numCache>
                <c:formatCode>0.00</c:formatCode>
                <c:ptCount val="1"/>
                <c:pt idx="0">
                  <c:v>86.651917404129776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AC-4CF3-9E4F-CCD8B0563B87}"/>
            </c:ext>
          </c:extLst>
        </c:ser>
        <c:ser>
          <c:idx val="7"/>
          <c:order val="2"/>
          <c:tx>
            <c:strRef>
              <c:f>'91T_Seeds'!$V$14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'91T_Seeds'!$V$222</c:f>
                <c:numCache>
                  <c:formatCode>General</c:formatCode>
                  <c:ptCount val="1"/>
                  <c:pt idx="0">
                    <c:v>0.24073382993527209</c:v>
                  </c:pt>
                </c:numCache>
              </c:numRef>
            </c:plus>
            <c:minus>
              <c:numRef>
                <c:f>'91T_Seeds'!$V$222</c:f>
                <c:numCache>
                  <c:formatCode>General</c:formatCode>
                  <c:ptCount val="1"/>
                  <c:pt idx="0">
                    <c:v>0.24073382993527209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'91T_Seeds'!$V$224</c:f>
                <c:numCache>
                  <c:formatCode>General</c:formatCode>
                  <c:ptCount val="1"/>
                  <c:pt idx="0">
                    <c:v>0.29351335426923164</c:v>
                  </c:pt>
                </c:numCache>
              </c:numRef>
            </c:plus>
            <c:minus>
              <c:numRef>
                <c:f>'91T_Seeds'!$V$224</c:f>
                <c:numCache>
                  <c:formatCode>General</c:formatCode>
                  <c:ptCount val="1"/>
                  <c:pt idx="0">
                    <c:v>0.29351335426923164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'91T_Seeds'!$V$221</c:f>
              <c:numCache>
                <c:formatCode>0.00</c:formatCode>
                <c:ptCount val="1"/>
                <c:pt idx="0">
                  <c:v>97.719138235535326</c:v>
                </c:pt>
              </c:numCache>
            </c:numRef>
          </c:xVal>
          <c:yVal>
            <c:numRef>
              <c:f>'91T_Seeds'!$V$223</c:f>
              <c:numCache>
                <c:formatCode>0.00</c:formatCode>
                <c:ptCount val="1"/>
                <c:pt idx="0">
                  <c:v>93.142316529260697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AC-4CF3-9E4F-CCD8B0563B87}"/>
            </c:ext>
          </c:extLst>
        </c:ser>
        <c:ser>
          <c:idx val="0"/>
          <c:order val="3"/>
          <c:tx>
            <c:strRef>
              <c:f>'91T_Seeds'!$W$14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'91T_Seeds'!$W$222</c:f>
                <c:numCache>
                  <c:formatCode>General</c:formatCode>
                  <c:ptCount val="1"/>
                  <c:pt idx="0">
                    <c:v>0.66480916861523132</c:v>
                  </c:pt>
                </c:numCache>
              </c:numRef>
            </c:plus>
            <c:minus>
              <c:numRef>
                <c:f>'91T_Seeds'!$W$222</c:f>
                <c:numCache>
                  <c:formatCode>General</c:formatCode>
                  <c:ptCount val="1"/>
                  <c:pt idx="0">
                    <c:v>0.66480916861523132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'91T_Seeds'!$W$224</c:f>
                <c:numCache>
                  <c:formatCode>General</c:formatCode>
                  <c:ptCount val="1"/>
                  <c:pt idx="0">
                    <c:v>0.41377554220551327</c:v>
                  </c:pt>
                </c:numCache>
              </c:numRef>
            </c:plus>
            <c:minus>
              <c:numRef>
                <c:f>'91T_Seeds'!$W$224</c:f>
                <c:numCache>
                  <c:formatCode>General</c:formatCode>
                  <c:ptCount val="1"/>
                  <c:pt idx="0">
                    <c:v>0.41377554220551327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'91T_Seeds'!$W$221</c:f>
              <c:numCache>
                <c:formatCode>0.00</c:formatCode>
                <c:ptCount val="1"/>
                <c:pt idx="0">
                  <c:v>91.190538349293746</c:v>
                </c:pt>
              </c:numCache>
            </c:numRef>
          </c:xVal>
          <c:yVal>
            <c:numRef>
              <c:f>'91T_Seeds'!$W$223</c:f>
              <c:numCache>
                <c:formatCode>0.00</c:formatCode>
                <c:ptCount val="1"/>
                <c:pt idx="0">
                  <c:v>95.478174603174608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AAC-4CF3-9E4F-CCD8B0563B87}"/>
            </c:ext>
          </c:extLst>
        </c:ser>
        <c:ser>
          <c:idx val="6"/>
          <c:order val="4"/>
          <c:tx>
            <c:strRef>
              <c:f>'91T_Seeds'!$X$14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'91T_Seeds'!$X$222</c:f>
                <c:numCache>
                  <c:formatCode>General</c:formatCode>
                  <c:ptCount val="1"/>
                  <c:pt idx="0">
                    <c:v>2.1292696000560221</c:v>
                  </c:pt>
                </c:numCache>
              </c:numRef>
            </c:plus>
            <c:minus>
              <c:numRef>
                <c:f>'91T_Seeds'!$X$222</c:f>
                <c:numCache>
                  <c:formatCode>General</c:formatCode>
                  <c:ptCount val="1"/>
                  <c:pt idx="0">
                    <c:v>2.1292696000560221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'91T_Seeds'!$X$224</c:f>
                <c:numCache>
                  <c:formatCode>General</c:formatCode>
                  <c:ptCount val="1"/>
                  <c:pt idx="0">
                    <c:v>1.3708821357714722</c:v>
                  </c:pt>
                </c:numCache>
              </c:numRef>
            </c:plus>
            <c:minus>
              <c:numRef>
                <c:f>'91T_Seeds'!$X$224</c:f>
                <c:numCache>
                  <c:formatCode>General</c:formatCode>
                  <c:ptCount val="1"/>
                  <c:pt idx="0">
                    <c:v>1.3708821357714722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'91T_Seeds'!$X$221</c:f>
              <c:numCache>
                <c:formatCode>0.00</c:formatCode>
                <c:ptCount val="1"/>
                <c:pt idx="0">
                  <c:v>87.561243420077133</c:v>
                </c:pt>
              </c:numCache>
            </c:numRef>
          </c:xVal>
          <c:yVal>
            <c:numRef>
              <c:f>'91T_Seeds'!$X$223</c:f>
              <c:numCache>
                <c:formatCode>0.00</c:formatCode>
                <c:ptCount val="1"/>
                <c:pt idx="0">
                  <c:v>76.920634920634924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AAC-4CF3-9E4F-CCD8B0563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1991T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'91T_Seeds'!$T$14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'91T_Seeds'!$AL$112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'91T_Seeds'!$AL$114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'91T_Seeds'!$AL$111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'91T_Seeds'!$AL$113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93-4A94-8818-0EE1F70C697F}"/>
            </c:ext>
          </c:extLst>
        </c:ser>
        <c:ser>
          <c:idx val="9"/>
          <c:order val="1"/>
          <c:tx>
            <c:strRef>
              <c:f>'91T_Seeds'!$U$14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'91T_Seeds'!$U$222</c:f>
                <c:numCache>
                  <c:formatCode>General</c:formatCode>
                  <c:ptCount val="1"/>
                  <c:pt idx="0">
                    <c:v>5.3425225625021495</c:v>
                  </c:pt>
                </c:numCache>
              </c:numRef>
            </c:plus>
            <c:minus>
              <c:numRef>
                <c:f>'91T_Seeds'!$U$222</c:f>
                <c:numCache>
                  <c:formatCode>General</c:formatCode>
                  <c:ptCount val="1"/>
                  <c:pt idx="0">
                    <c:v>5.3425225625021495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'91T_Seeds'!$U$224</c:f>
                <c:numCache>
                  <c:formatCode>General</c:formatCode>
                  <c:ptCount val="1"/>
                  <c:pt idx="0">
                    <c:v>1.8466390592936075</c:v>
                  </c:pt>
                </c:numCache>
              </c:numRef>
            </c:plus>
            <c:minus>
              <c:numRef>
                <c:f>'91T_Seeds'!$U$224</c:f>
                <c:numCache>
                  <c:formatCode>General</c:formatCode>
                  <c:ptCount val="1"/>
                  <c:pt idx="0">
                    <c:v>1.8466390592936075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'91T_Seeds'!$AM$111</c:f>
              <c:numCache>
                <c:formatCode>0.00</c:formatCode>
                <c:ptCount val="1"/>
                <c:pt idx="0">
                  <c:v>57.419139761296556</c:v>
                </c:pt>
              </c:numCache>
            </c:numRef>
          </c:xVal>
          <c:yVal>
            <c:numRef>
              <c:f>'91T_Seeds'!$AM$113</c:f>
              <c:numCache>
                <c:formatCode>0.00</c:formatCode>
                <c:ptCount val="1"/>
                <c:pt idx="0">
                  <c:v>86.430678466076699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93-4A94-8818-0EE1F70C697F}"/>
            </c:ext>
          </c:extLst>
        </c:ser>
        <c:ser>
          <c:idx val="7"/>
          <c:order val="2"/>
          <c:tx>
            <c:strRef>
              <c:f>'91T_Seeds'!$V$14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'91T_Seeds'!$AN$112</c:f>
                <c:numCache>
                  <c:formatCode>General</c:formatCode>
                  <c:ptCount val="1"/>
                  <c:pt idx="0">
                    <c:v>0.23337877767773202</c:v>
                  </c:pt>
                </c:numCache>
              </c:numRef>
            </c:plus>
            <c:minus>
              <c:numRef>
                <c:f>'91T_Seeds'!$AN$112</c:f>
                <c:numCache>
                  <c:formatCode>General</c:formatCode>
                  <c:ptCount val="1"/>
                  <c:pt idx="0">
                    <c:v>0.23337877767773202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'91T_Seeds'!$AN$114</c:f>
                <c:numCache>
                  <c:formatCode>General</c:formatCode>
                  <c:ptCount val="1"/>
                  <c:pt idx="0">
                    <c:v>0.28856932705211469</c:v>
                  </c:pt>
                </c:numCache>
              </c:numRef>
            </c:plus>
            <c:minus>
              <c:numRef>
                <c:f>'91T_Seeds'!$AN$114</c:f>
                <c:numCache>
                  <c:formatCode>General</c:formatCode>
                  <c:ptCount val="1"/>
                  <c:pt idx="0">
                    <c:v>0.28856932705211469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'91T_Seeds'!$AN$111</c:f>
              <c:numCache>
                <c:formatCode>0.00</c:formatCode>
                <c:ptCount val="1"/>
                <c:pt idx="0">
                  <c:v>97.849476671103162</c:v>
                </c:pt>
              </c:numCache>
            </c:numRef>
          </c:xVal>
          <c:yVal>
            <c:numRef>
              <c:f>'91T_Seeds'!$AN$113</c:f>
              <c:numCache>
                <c:formatCode>0.00</c:formatCode>
                <c:ptCount val="1"/>
                <c:pt idx="0">
                  <c:v>93.40451412353022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93-4A94-8818-0EE1F70C697F}"/>
            </c:ext>
          </c:extLst>
        </c:ser>
        <c:ser>
          <c:idx val="0"/>
          <c:order val="3"/>
          <c:tx>
            <c:strRef>
              <c:f>'91T_Seeds'!$W$14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'91T_Seeds'!$AO$112</c:f>
                <c:numCache>
                  <c:formatCode>General</c:formatCode>
                  <c:ptCount val="1"/>
                  <c:pt idx="0">
                    <c:v>0.63536852981085323</c:v>
                  </c:pt>
                </c:numCache>
              </c:numRef>
            </c:plus>
            <c:minus>
              <c:numRef>
                <c:f>'91T_Seeds'!$AO$112</c:f>
                <c:numCache>
                  <c:formatCode>General</c:formatCode>
                  <c:ptCount val="1"/>
                  <c:pt idx="0">
                    <c:v>0.63536852981085323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'91T_Seeds'!$AO$114</c:f>
                <c:numCache>
                  <c:formatCode>General</c:formatCode>
                  <c:ptCount val="1"/>
                  <c:pt idx="0">
                    <c:v>0.39265724002115482</c:v>
                  </c:pt>
                </c:numCache>
              </c:numRef>
            </c:plus>
            <c:minus>
              <c:numRef>
                <c:f>'91T_Seeds'!$AO$114</c:f>
                <c:numCache>
                  <c:formatCode>General</c:formatCode>
                  <c:ptCount val="1"/>
                  <c:pt idx="0">
                    <c:v>0.39265724002115482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'91T_Seeds'!$AO$111</c:f>
              <c:numCache>
                <c:formatCode>0.00</c:formatCode>
                <c:ptCount val="1"/>
                <c:pt idx="0">
                  <c:v>91.653706329224988</c:v>
                </c:pt>
              </c:numCache>
            </c:numRef>
          </c:xVal>
          <c:yVal>
            <c:numRef>
              <c:f>'91T_Seeds'!$AO$113</c:f>
              <c:numCache>
                <c:formatCode>0.00</c:formatCode>
                <c:ptCount val="1"/>
                <c:pt idx="0">
                  <c:v>95.952380952380949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93-4A94-8818-0EE1F70C697F}"/>
            </c:ext>
          </c:extLst>
        </c:ser>
        <c:ser>
          <c:idx val="6"/>
          <c:order val="4"/>
          <c:tx>
            <c:strRef>
              <c:f>'91T_Seeds'!$X$14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'91T_Seeds'!$AP$112</c:f>
                <c:numCache>
                  <c:formatCode>General</c:formatCode>
                  <c:ptCount val="1"/>
                  <c:pt idx="0">
                    <c:v>2.0471241424842521</c:v>
                  </c:pt>
                </c:numCache>
              </c:numRef>
            </c:plus>
            <c:minus>
              <c:numRef>
                <c:f>'91T_Seeds'!$AP$112</c:f>
                <c:numCache>
                  <c:formatCode>General</c:formatCode>
                  <c:ptCount val="1"/>
                  <c:pt idx="0">
                    <c:v>2.0471241424842521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'91T_Seeds'!$AP$114</c:f>
                <c:numCache>
                  <c:formatCode>General</c:formatCode>
                  <c:ptCount val="1"/>
                  <c:pt idx="0">
                    <c:v>1.3622216223481378</c:v>
                  </c:pt>
                </c:numCache>
              </c:numRef>
            </c:plus>
            <c:minus>
              <c:numRef>
                <c:f>'91T_Seeds'!$AP$114</c:f>
                <c:numCache>
                  <c:formatCode>General</c:formatCode>
                  <c:ptCount val="1"/>
                  <c:pt idx="0">
                    <c:v>1.3622216223481378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'91T_Seeds'!$AP$111</c:f>
              <c:numCache>
                <c:formatCode>0.00</c:formatCode>
                <c:ptCount val="1"/>
                <c:pt idx="0">
                  <c:v>88.04874879558588</c:v>
                </c:pt>
              </c:numCache>
            </c:numRef>
          </c:xVal>
          <c:yVal>
            <c:numRef>
              <c:f>'91T_Seeds'!$AP$113</c:f>
              <c:numCache>
                <c:formatCode>0.00</c:formatCode>
                <c:ptCount val="1"/>
                <c:pt idx="0">
                  <c:v>77.354497354497369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B93-4A94-8818-0EE1F70C6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'01T_Seeds'!$T$14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'01T_Seeds'!$T$279</c:f>
                <c:numCache>
                  <c:formatCode>General</c:formatCode>
                  <c:ptCount val="1"/>
                  <c:pt idx="0">
                    <c:v>0.36874717516885402</c:v>
                  </c:pt>
                </c:numCache>
              </c:numRef>
            </c:plus>
            <c:minus>
              <c:numRef>
                <c:f>'01T_Seeds'!$T$279</c:f>
                <c:numCache>
                  <c:formatCode>General</c:formatCode>
                  <c:ptCount val="1"/>
                  <c:pt idx="0">
                    <c:v>0.36874717516885402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'01T_Seeds'!$T$282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'01T_Seeds'!$T$278</c:f>
              <c:numCache>
                <c:formatCode>0.00</c:formatCode>
                <c:ptCount val="1"/>
                <c:pt idx="0">
                  <c:v>99.628958206964484</c:v>
                </c:pt>
              </c:numCache>
            </c:numRef>
          </c:xVal>
          <c:yVal>
            <c:numRef>
              <c:f>'01T_Seeds'!$T$281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84-4569-B67C-4C889AA97662}"/>
            </c:ext>
          </c:extLst>
        </c:ser>
        <c:ser>
          <c:idx val="9"/>
          <c:order val="1"/>
          <c:tx>
            <c:strRef>
              <c:f>'01T_Seeds'!$U$14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'01T_Seeds'!$U$279</c:f>
                <c:numCache>
                  <c:formatCode>General</c:formatCode>
                  <c:ptCount val="1"/>
                  <c:pt idx="0">
                    <c:v>2.434534350052675</c:v>
                  </c:pt>
                </c:numCache>
              </c:numRef>
            </c:plus>
            <c:minus>
              <c:numRef>
                <c:f>'01T_Seeds'!$U$279</c:f>
                <c:numCache>
                  <c:formatCode>General</c:formatCode>
                  <c:ptCount val="1"/>
                  <c:pt idx="0">
                    <c:v>2.434534350052675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'01T_Seeds'!$U$282</c:f>
                <c:numCache>
                  <c:formatCode>General</c:formatCode>
                  <c:ptCount val="1"/>
                  <c:pt idx="0">
                    <c:v>1.272195820941076</c:v>
                  </c:pt>
                </c:numCache>
              </c:numRef>
            </c:plus>
            <c:minus>
              <c:numRef>
                <c:f>'01T_Seeds'!$U$282</c:f>
                <c:numCache>
                  <c:formatCode>General</c:formatCode>
                  <c:ptCount val="1"/>
                  <c:pt idx="0">
                    <c:v>1.272195820941076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'01T_Seeds'!$U$278</c:f>
              <c:numCache>
                <c:formatCode>0.00</c:formatCode>
                <c:ptCount val="1"/>
                <c:pt idx="0">
                  <c:v>80.881386237929235</c:v>
                </c:pt>
              </c:numCache>
            </c:numRef>
          </c:xVal>
          <c:yVal>
            <c:numRef>
              <c:f>'01T_Seeds'!$U$281</c:f>
              <c:numCache>
                <c:formatCode>0.00</c:formatCode>
                <c:ptCount val="1"/>
                <c:pt idx="0">
                  <c:v>94.159292035398224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84-4569-B67C-4C889AA97662}"/>
            </c:ext>
          </c:extLst>
        </c:ser>
        <c:ser>
          <c:idx val="7"/>
          <c:order val="2"/>
          <c:tx>
            <c:strRef>
              <c:f>'01T_Seeds'!$V$14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'01T_Seeds'!$V$282</c:f>
                <c:numCache>
                  <c:formatCode>General</c:formatCode>
                  <c:ptCount val="1"/>
                  <c:pt idx="0">
                    <c:v>0.24355387837541084</c:v>
                  </c:pt>
                </c:numCache>
              </c:numRef>
            </c:plus>
            <c:minus>
              <c:numRef>
                <c:f>'01T_Seeds'!$V$282</c:f>
                <c:numCache>
                  <c:formatCode>General</c:formatCode>
                  <c:ptCount val="1"/>
                  <c:pt idx="0">
                    <c:v>0.24355387837541084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'01T_Seeds'!$V$282</c:f>
                <c:numCache>
                  <c:formatCode>General</c:formatCode>
                  <c:ptCount val="1"/>
                  <c:pt idx="0">
                    <c:v>0.24355387837541084</c:v>
                  </c:pt>
                </c:numCache>
              </c:numRef>
            </c:plus>
            <c:minus>
              <c:numRef>
                <c:f>'01T_Seeds'!$V$282</c:f>
                <c:numCache>
                  <c:formatCode>General</c:formatCode>
                  <c:ptCount val="1"/>
                  <c:pt idx="0">
                    <c:v>0.24355387837541084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'01T_Seeds'!$V$278</c:f>
              <c:numCache>
                <c:formatCode>0.00</c:formatCode>
                <c:ptCount val="1"/>
                <c:pt idx="0">
                  <c:v>96.08758587444207</c:v>
                </c:pt>
              </c:numCache>
            </c:numRef>
          </c:xVal>
          <c:yVal>
            <c:numRef>
              <c:f>'01T_Seeds'!$V$281</c:f>
              <c:numCache>
                <c:formatCode>0.00</c:formatCode>
                <c:ptCount val="1"/>
                <c:pt idx="0">
                  <c:v>95.399378294364098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84-4569-B67C-4C889AA97662}"/>
            </c:ext>
          </c:extLst>
        </c:ser>
        <c:ser>
          <c:idx val="0"/>
          <c:order val="3"/>
          <c:tx>
            <c:strRef>
              <c:f>'01T_Seeds'!$W$14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'01T_Seeds'!$W$279</c:f>
                <c:numCache>
                  <c:formatCode>General</c:formatCode>
                  <c:ptCount val="1"/>
                  <c:pt idx="0">
                    <c:v>0.83326631920255867</c:v>
                  </c:pt>
                </c:numCache>
              </c:numRef>
            </c:plus>
            <c:minus>
              <c:numRef>
                <c:f>'01T_Seeds'!$W$279</c:f>
                <c:numCache>
                  <c:formatCode>General</c:formatCode>
                  <c:ptCount val="1"/>
                  <c:pt idx="0">
                    <c:v>0.83326631920255867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'01T_Seeds'!$W$282</c:f>
                <c:numCache>
                  <c:formatCode>General</c:formatCode>
                  <c:ptCount val="1"/>
                  <c:pt idx="0">
                    <c:v>0.5665893239909463</c:v>
                  </c:pt>
                </c:numCache>
              </c:numRef>
            </c:plus>
            <c:minus>
              <c:numRef>
                <c:f>'01T_Seeds'!$W$282</c:f>
                <c:numCache>
                  <c:formatCode>General</c:formatCode>
                  <c:ptCount val="1"/>
                  <c:pt idx="0">
                    <c:v>0.5665893239909463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'01T_Seeds'!$W$278</c:f>
              <c:numCache>
                <c:formatCode>0.00</c:formatCode>
                <c:ptCount val="1"/>
                <c:pt idx="0">
                  <c:v>89.887104752484746</c:v>
                </c:pt>
              </c:numCache>
            </c:numRef>
          </c:xVal>
          <c:yVal>
            <c:numRef>
              <c:f>'01T_Seeds'!$W$281</c:f>
              <c:numCache>
                <c:formatCode>0.00</c:formatCode>
                <c:ptCount val="1"/>
                <c:pt idx="0">
                  <c:v>90.795236265847095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84-4569-B67C-4C889AA97662}"/>
            </c:ext>
          </c:extLst>
        </c:ser>
        <c:ser>
          <c:idx val="6"/>
          <c:order val="4"/>
          <c:tx>
            <c:strRef>
              <c:f>'01T_Seeds'!$X$14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'01T_Seeds'!$X$279</c:f>
                <c:numCache>
                  <c:formatCode>General</c:formatCode>
                  <c:ptCount val="1"/>
                  <c:pt idx="0">
                    <c:v>1.7641147291220414</c:v>
                  </c:pt>
                </c:numCache>
              </c:numRef>
            </c:plus>
            <c:minus>
              <c:numRef>
                <c:f>'01T_Seeds'!$X$279</c:f>
                <c:numCache>
                  <c:formatCode>General</c:formatCode>
                  <c:ptCount val="1"/>
                  <c:pt idx="0">
                    <c:v>1.7641147291220414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'01T_Seeds'!$X$282</c:f>
                <c:numCache>
                  <c:formatCode>General</c:formatCode>
                  <c:ptCount val="1"/>
                  <c:pt idx="0">
                    <c:v>1.2085695329414523</c:v>
                  </c:pt>
                </c:numCache>
              </c:numRef>
            </c:plus>
            <c:minus>
              <c:numRef>
                <c:f>'01T_Seeds'!$X$282</c:f>
                <c:numCache>
                  <c:formatCode>General</c:formatCode>
                  <c:ptCount val="1"/>
                  <c:pt idx="0">
                    <c:v>1.2085695329414523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'01T_Seeds'!$X$278</c:f>
              <c:numCache>
                <c:formatCode>0.00</c:formatCode>
                <c:ptCount val="1"/>
                <c:pt idx="0">
                  <c:v>87.574189133337697</c:v>
                </c:pt>
              </c:numCache>
            </c:numRef>
          </c:xVal>
          <c:yVal>
            <c:numRef>
              <c:f>'01T_Seeds'!$X$281</c:f>
              <c:numCache>
                <c:formatCode>0.00</c:formatCode>
                <c:ptCount val="1"/>
                <c:pt idx="0">
                  <c:v>83.145833333333343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84-4569-B67C-4C889AA97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'01T_Seeds'!$T$14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'01T_Seeds'!$T$222</c:f>
                <c:numCache>
                  <c:formatCode>General</c:formatCode>
                  <c:ptCount val="1"/>
                  <c:pt idx="0">
                    <c:v>0.17365531367570369</c:v>
                  </c:pt>
                </c:numCache>
              </c:numRef>
            </c:plus>
            <c:minus>
              <c:numRef>
                <c:f>'01T_Seeds'!$T$222</c:f>
                <c:numCache>
                  <c:formatCode>General</c:formatCode>
                  <c:ptCount val="1"/>
                  <c:pt idx="0">
                    <c:v>0.17365531367570369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'01T_Seeds'!$T$224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'01T_Seeds'!$T$221</c:f>
              <c:numCache>
                <c:formatCode>0.00</c:formatCode>
                <c:ptCount val="1"/>
                <c:pt idx="0">
                  <c:v>99.786074962272522</c:v>
                </c:pt>
              </c:numCache>
            </c:numRef>
          </c:xVal>
          <c:yVal>
            <c:numRef>
              <c:f>'01T_Seeds'!$T$223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20-45D5-8B34-0AE53993290C}"/>
            </c:ext>
          </c:extLst>
        </c:ser>
        <c:ser>
          <c:idx val="9"/>
          <c:order val="1"/>
          <c:tx>
            <c:strRef>
              <c:f>'01T_Seeds'!$U$14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'01T_Seeds'!$U$222</c:f>
                <c:numCache>
                  <c:formatCode>General</c:formatCode>
                  <c:ptCount val="1"/>
                  <c:pt idx="0">
                    <c:v>2.3810582966637592</c:v>
                  </c:pt>
                </c:numCache>
              </c:numRef>
            </c:plus>
            <c:minus>
              <c:numRef>
                <c:f>'01T_Seeds'!$U$222</c:f>
                <c:numCache>
                  <c:formatCode>General</c:formatCode>
                  <c:ptCount val="1"/>
                  <c:pt idx="0">
                    <c:v>2.3810582966637592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'01T_Seeds'!$U$224</c:f>
                <c:numCache>
                  <c:formatCode>General</c:formatCode>
                  <c:ptCount val="1"/>
                  <c:pt idx="0">
                    <c:v>1.2295143785809821</c:v>
                  </c:pt>
                </c:numCache>
              </c:numRef>
            </c:plus>
            <c:minus>
              <c:numRef>
                <c:f>'01T_Seeds'!$U$224</c:f>
                <c:numCache>
                  <c:formatCode>General</c:formatCode>
                  <c:ptCount val="1"/>
                  <c:pt idx="0">
                    <c:v>1.2295143785809821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'01T_Seeds'!$U$221</c:f>
              <c:numCache>
                <c:formatCode>0.00</c:formatCode>
                <c:ptCount val="1"/>
                <c:pt idx="0">
                  <c:v>80.736603556286653</c:v>
                </c:pt>
              </c:numCache>
            </c:numRef>
          </c:xVal>
          <c:yVal>
            <c:numRef>
              <c:f>'01T_Seeds'!$U$223</c:f>
              <c:numCache>
                <c:formatCode>0.00</c:formatCode>
                <c:ptCount val="1"/>
                <c:pt idx="0">
                  <c:v>94.557522123893747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20-45D5-8B34-0AE53993290C}"/>
            </c:ext>
          </c:extLst>
        </c:ser>
        <c:ser>
          <c:idx val="7"/>
          <c:order val="2"/>
          <c:tx>
            <c:strRef>
              <c:f>'01T_Seeds'!$V$14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'01T_Seeds'!$V$222</c:f>
                <c:numCache>
                  <c:formatCode>General</c:formatCode>
                  <c:ptCount val="1"/>
                  <c:pt idx="0">
                    <c:v>0.27668964815189684</c:v>
                  </c:pt>
                </c:numCache>
              </c:numRef>
            </c:plus>
            <c:minus>
              <c:numRef>
                <c:f>'01T_Seeds'!$V$222</c:f>
                <c:numCache>
                  <c:formatCode>General</c:formatCode>
                  <c:ptCount val="1"/>
                  <c:pt idx="0">
                    <c:v>0.27668964815189684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'01T_Seeds'!$V$224</c:f>
                <c:numCache>
                  <c:formatCode>General</c:formatCode>
                  <c:ptCount val="1"/>
                  <c:pt idx="0">
                    <c:v>0.24481596913764628</c:v>
                  </c:pt>
                </c:numCache>
              </c:numRef>
            </c:plus>
            <c:minus>
              <c:numRef>
                <c:f>'01T_Seeds'!$V$224</c:f>
                <c:numCache>
                  <c:formatCode>General</c:formatCode>
                  <c:ptCount val="1"/>
                  <c:pt idx="0">
                    <c:v>0.24481596913764628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'01T_Seeds'!$V$221</c:f>
              <c:numCache>
                <c:formatCode>0.00</c:formatCode>
                <c:ptCount val="1"/>
                <c:pt idx="0">
                  <c:v>96.204650478100604</c:v>
                </c:pt>
              </c:numCache>
            </c:numRef>
          </c:xVal>
          <c:yVal>
            <c:numRef>
              <c:f>'01T_Seeds'!$V$223</c:f>
              <c:numCache>
                <c:formatCode>0.00</c:formatCode>
                <c:ptCount val="1"/>
                <c:pt idx="0">
                  <c:v>95.348695769698566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20-45D5-8B34-0AE53993290C}"/>
            </c:ext>
          </c:extLst>
        </c:ser>
        <c:ser>
          <c:idx val="0"/>
          <c:order val="3"/>
          <c:tx>
            <c:strRef>
              <c:f>'01T_Seeds'!$W$14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'01T_Seeds'!$W$222</c:f>
                <c:numCache>
                  <c:formatCode>General</c:formatCode>
                  <c:ptCount val="1"/>
                  <c:pt idx="0">
                    <c:v>0.83180339076419862</c:v>
                  </c:pt>
                </c:numCache>
              </c:numRef>
            </c:plus>
            <c:minus>
              <c:numRef>
                <c:f>'01T_Seeds'!$W$222</c:f>
                <c:numCache>
                  <c:formatCode>General</c:formatCode>
                  <c:ptCount val="1"/>
                  <c:pt idx="0">
                    <c:v>0.83180339076419862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'01T_Seeds'!$W$224</c:f>
                <c:numCache>
                  <c:formatCode>General</c:formatCode>
                  <c:ptCount val="1"/>
                  <c:pt idx="0">
                    <c:v>0.56207275455015027</c:v>
                  </c:pt>
                </c:numCache>
              </c:numRef>
            </c:plus>
            <c:minus>
              <c:numRef>
                <c:f>'01T_Seeds'!$W$224</c:f>
                <c:numCache>
                  <c:formatCode>General</c:formatCode>
                  <c:ptCount val="1"/>
                  <c:pt idx="0">
                    <c:v>0.56207275455015027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'01T_Seeds'!$W$221</c:f>
              <c:numCache>
                <c:formatCode>0.00</c:formatCode>
                <c:ptCount val="1"/>
                <c:pt idx="0">
                  <c:v>89.822959379436156</c:v>
                </c:pt>
              </c:numCache>
            </c:numRef>
          </c:xVal>
          <c:yVal>
            <c:numRef>
              <c:f>'01T_Seeds'!$W$223</c:f>
              <c:numCache>
                <c:formatCode>0.00</c:formatCode>
                <c:ptCount val="1"/>
                <c:pt idx="0">
                  <c:v>90.960430272762167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B20-45D5-8B34-0AE53993290C}"/>
            </c:ext>
          </c:extLst>
        </c:ser>
        <c:ser>
          <c:idx val="6"/>
          <c:order val="4"/>
          <c:tx>
            <c:strRef>
              <c:f>'01T_Seeds'!$X$14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'01T_Seeds'!$X$222</c:f>
                <c:numCache>
                  <c:formatCode>General</c:formatCode>
                  <c:ptCount val="1"/>
                  <c:pt idx="0">
                    <c:v>1.7395374542453079</c:v>
                  </c:pt>
                </c:numCache>
              </c:numRef>
            </c:plus>
            <c:minus>
              <c:numRef>
                <c:f>'01T_Seeds'!$X$222</c:f>
                <c:numCache>
                  <c:formatCode>General</c:formatCode>
                  <c:ptCount val="1"/>
                  <c:pt idx="0">
                    <c:v>1.7395374542453079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'01T_Seeds'!$X$224</c:f>
                <c:numCache>
                  <c:formatCode>General</c:formatCode>
                  <c:ptCount val="1"/>
                  <c:pt idx="0">
                    <c:v>1.2028878203065447</c:v>
                  </c:pt>
                </c:numCache>
              </c:numRef>
            </c:plus>
            <c:minus>
              <c:numRef>
                <c:f>'01T_Seeds'!$X$224</c:f>
                <c:numCache>
                  <c:formatCode>General</c:formatCode>
                  <c:ptCount val="1"/>
                  <c:pt idx="0">
                    <c:v>1.2028878203065447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'01T_Seeds'!$X$221</c:f>
              <c:numCache>
                <c:formatCode>0.00</c:formatCode>
                <c:ptCount val="1"/>
                <c:pt idx="0">
                  <c:v>87.710481740410202</c:v>
                </c:pt>
              </c:numCache>
            </c:numRef>
          </c:xVal>
          <c:yVal>
            <c:numRef>
              <c:f>'01T_Seeds'!$X$223</c:f>
              <c:numCache>
                <c:formatCode>0.00</c:formatCode>
                <c:ptCount val="1"/>
                <c:pt idx="0">
                  <c:v>83.343750000000028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20-45D5-8B34-0AE539932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'01T_Seeds'!$T$14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'01T_Seeds'!$AL$112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'01T_Seeds'!$AL$114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'01T_Seeds'!$AL$111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'01T_Seeds'!$AL$113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F0-499C-AAAD-14B7EEDDC052}"/>
            </c:ext>
          </c:extLst>
        </c:ser>
        <c:ser>
          <c:idx val="9"/>
          <c:order val="1"/>
          <c:tx>
            <c:strRef>
              <c:f>'01T_Seeds'!$U$14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'01T_Seeds'!$U$222</c:f>
                <c:numCache>
                  <c:formatCode>General</c:formatCode>
                  <c:ptCount val="1"/>
                  <c:pt idx="0">
                    <c:v>2.3810582966637592</c:v>
                  </c:pt>
                </c:numCache>
              </c:numRef>
            </c:plus>
            <c:minus>
              <c:numRef>
                <c:f>'01T_Seeds'!$U$222</c:f>
                <c:numCache>
                  <c:formatCode>General</c:formatCode>
                  <c:ptCount val="1"/>
                  <c:pt idx="0">
                    <c:v>2.3810582966637592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'01T_Seeds'!$U$224</c:f>
                <c:numCache>
                  <c:formatCode>General</c:formatCode>
                  <c:ptCount val="1"/>
                  <c:pt idx="0">
                    <c:v>1.2295143785809821</c:v>
                  </c:pt>
                </c:numCache>
              </c:numRef>
            </c:plus>
            <c:minus>
              <c:numRef>
                <c:f>'01T_Seeds'!$U$224</c:f>
                <c:numCache>
                  <c:formatCode>General</c:formatCode>
                  <c:ptCount val="1"/>
                  <c:pt idx="0">
                    <c:v>1.2295143785809821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'01T_Seeds'!$AM$111</c:f>
              <c:numCache>
                <c:formatCode>0.00</c:formatCode>
                <c:ptCount val="1"/>
                <c:pt idx="0">
                  <c:v>81.579020354369035</c:v>
                </c:pt>
              </c:numCache>
            </c:numRef>
          </c:xVal>
          <c:yVal>
            <c:numRef>
              <c:f>'01T_Seeds'!$AM$113</c:f>
              <c:numCache>
                <c:formatCode>0.00</c:formatCode>
                <c:ptCount val="1"/>
                <c:pt idx="0">
                  <c:v>93.215339233038335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F0-499C-AAAD-14B7EEDDC052}"/>
            </c:ext>
          </c:extLst>
        </c:ser>
        <c:ser>
          <c:idx val="7"/>
          <c:order val="2"/>
          <c:tx>
            <c:strRef>
              <c:f>'01T_Seeds'!$V$14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'01T_Seeds'!$AN$112</c:f>
                <c:numCache>
                  <c:formatCode>General</c:formatCode>
                  <c:ptCount val="1"/>
                  <c:pt idx="0">
                    <c:v>0.27449026131463011</c:v>
                  </c:pt>
                </c:numCache>
              </c:numRef>
            </c:plus>
            <c:minus>
              <c:numRef>
                <c:f>'01T_Seeds'!$AN$112</c:f>
                <c:numCache>
                  <c:formatCode>General</c:formatCode>
                  <c:ptCount val="1"/>
                  <c:pt idx="0">
                    <c:v>0.27449026131463011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'01T_Seeds'!$AN$114</c:f>
                <c:numCache>
                  <c:formatCode>General</c:formatCode>
                  <c:ptCount val="1"/>
                  <c:pt idx="0">
                    <c:v>0.23895427878015812</c:v>
                  </c:pt>
                </c:numCache>
              </c:numRef>
            </c:plus>
            <c:minus>
              <c:numRef>
                <c:f>'01T_Seeds'!$AN$114</c:f>
                <c:numCache>
                  <c:formatCode>General</c:formatCode>
                  <c:ptCount val="1"/>
                  <c:pt idx="0">
                    <c:v>0.23895427878015812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'01T_Seeds'!$AN$111</c:f>
              <c:numCache>
                <c:formatCode>0.00</c:formatCode>
                <c:ptCount val="1"/>
                <c:pt idx="0">
                  <c:v>96.233124820910405</c:v>
                </c:pt>
              </c:numCache>
            </c:numRef>
          </c:xVal>
          <c:yVal>
            <c:numRef>
              <c:f>'01T_Seeds'!$AN$113</c:f>
              <c:numCache>
                <c:formatCode>0.00</c:formatCode>
                <c:ptCount val="1"/>
                <c:pt idx="0">
                  <c:v>95.5804838491688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F0-499C-AAAD-14B7EEDDC052}"/>
            </c:ext>
          </c:extLst>
        </c:ser>
        <c:ser>
          <c:idx val="0"/>
          <c:order val="3"/>
          <c:tx>
            <c:strRef>
              <c:f>'01T_Seeds'!$W$14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'01T_Seeds'!$AO$112</c:f>
                <c:numCache>
                  <c:formatCode>General</c:formatCode>
                  <c:ptCount val="1"/>
                  <c:pt idx="0">
                    <c:v>0.81264922131588224</c:v>
                  </c:pt>
                </c:numCache>
              </c:numRef>
            </c:plus>
            <c:minus>
              <c:numRef>
                <c:f>'01T_Seeds'!$AO$112</c:f>
                <c:numCache>
                  <c:formatCode>General</c:formatCode>
                  <c:ptCount val="1"/>
                  <c:pt idx="0">
                    <c:v>0.81264922131588224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'01T_Seeds'!$AO$114</c:f>
                <c:numCache>
                  <c:formatCode>General</c:formatCode>
                  <c:ptCount val="1"/>
                  <c:pt idx="0">
                    <c:v>0.5531059527269635</c:v>
                  </c:pt>
                </c:numCache>
              </c:numRef>
            </c:plus>
            <c:minus>
              <c:numRef>
                <c:f>'01T_Seeds'!$AO$114</c:f>
                <c:numCache>
                  <c:formatCode>General</c:formatCode>
                  <c:ptCount val="1"/>
                  <c:pt idx="0">
                    <c:v>0.5531059527269635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'01T_Seeds'!$AO$111</c:f>
              <c:numCache>
                <c:formatCode>0.00</c:formatCode>
                <c:ptCount val="1"/>
                <c:pt idx="0">
                  <c:v>89.990530339464598</c:v>
                </c:pt>
              </c:numCache>
            </c:numRef>
          </c:xVal>
          <c:yVal>
            <c:numRef>
              <c:f>'01T_Seeds'!$AO$113</c:f>
              <c:numCache>
                <c:formatCode>0.00</c:formatCode>
                <c:ptCount val="1"/>
                <c:pt idx="0">
                  <c:v>91.279293123319235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F0-499C-AAAD-14B7EEDDC052}"/>
            </c:ext>
          </c:extLst>
        </c:ser>
        <c:ser>
          <c:idx val="6"/>
          <c:order val="4"/>
          <c:tx>
            <c:strRef>
              <c:f>'01T_Seeds'!$X$14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'01T_Seeds'!$AP$112</c:f>
                <c:numCache>
                  <c:formatCode>General</c:formatCode>
                  <c:ptCount val="1"/>
                  <c:pt idx="0">
                    <c:v>1.6656578062102736</c:v>
                  </c:pt>
                </c:numCache>
              </c:numRef>
            </c:plus>
            <c:minus>
              <c:numRef>
                <c:f>'01T_Seeds'!$AP$112</c:f>
                <c:numCache>
                  <c:formatCode>General</c:formatCode>
                  <c:ptCount val="1"/>
                  <c:pt idx="0">
                    <c:v>1.6656578062102736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'01T_Seeds'!$AP$114</c:f>
                <c:numCache>
                  <c:formatCode>General</c:formatCode>
                  <c:ptCount val="1"/>
                  <c:pt idx="0">
                    <c:v>1.1912688532439148</c:v>
                  </c:pt>
                </c:numCache>
              </c:numRef>
            </c:plus>
            <c:minus>
              <c:numRef>
                <c:f>'01T_Seeds'!$AP$114</c:f>
                <c:numCache>
                  <c:formatCode>General</c:formatCode>
                  <c:ptCount val="1"/>
                  <c:pt idx="0">
                    <c:v>1.1912688532439148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'01T_Seeds'!$AP$111</c:f>
              <c:numCache>
                <c:formatCode>0.00</c:formatCode>
                <c:ptCount val="1"/>
                <c:pt idx="0">
                  <c:v>88.243327455260911</c:v>
                </c:pt>
              </c:numCache>
            </c:numRef>
          </c:xVal>
          <c:yVal>
            <c:numRef>
              <c:f>'01T_Seeds'!$AP$113</c:f>
              <c:numCache>
                <c:formatCode>0.00</c:formatCode>
                <c:ptCount val="1"/>
                <c:pt idx="0">
                  <c:v>83.75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F0-499C-AAAD-14B7EEDDC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'07E_Seeds'!$T$14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'07E_Seeds'!$T$279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'07E_Seeds'!$T$282</c:f>
                <c:numCache>
                  <c:formatCode>General</c:formatCode>
                  <c:ptCount val="1"/>
                  <c:pt idx="0">
                    <c:v>0.66666666666666763</c:v>
                  </c:pt>
                </c:numCache>
              </c:numRef>
            </c:plus>
            <c:minus>
              <c:numRef>
                <c:f>'07E_Seeds'!$T$282</c:f>
                <c:numCache>
                  <c:formatCode>General</c:formatCode>
                  <c:ptCount val="1"/>
                  <c:pt idx="0">
                    <c:v>0.66666666666666763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'07E_Seeds'!$T$278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'07E_Seeds'!$T$281</c:f>
              <c:numCache>
                <c:formatCode>0.00</c:formatCode>
                <c:ptCount val="1"/>
                <c:pt idx="0">
                  <c:v>99.333333333333343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19-4677-88C8-1EFAE042F6A9}"/>
            </c:ext>
          </c:extLst>
        </c:ser>
        <c:ser>
          <c:idx val="9"/>
          <c:order val="1"/>
          <c:tx>
            <c:strRef>
              <c:f>'07E_Seeds'!$U$14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'07E_Seeds'!$U$279</c:f>
                <c:numCache>
                  <c:formatCode>General</c:formatCode>
                  <c:ptCount val="1"/>
                  <c:pt idx="0">
                    <c:v>3.4828124225846366</c:v>
                  </c:pt>
                </c:numCache>
              </c:numRef>
            </c:plus>
            <c:minus>
              <c:numRef>
                <c:f>'07E_Seeds'!$U$279</c:f>
                <c:numCache>
                  <c:formatCode>General</c:formatCode>
                  <c:ptCount val="1"/>
                  <c:pt idx="0">
                    <c:v>3.4828124225846366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'07E_Seeds'!$U$282</c:f>
                <c:numCache>
                  <c:formatCode>General</c:formatCode>
                  <c:ptCount val="1"/>
                  <c:pt idx="0">
                    <c:v>1.6213177570462125</c:v>
                  </c:pt>
                </c:numCache>
              </c:numRef>
            </c:plus>
            <c:minus>
              <c:numRef>
                <c:f>'07E_Seeds'!$U$282</c:f>
                <c:numCache>
                  <c:formatCode>General</c:formatCode>
                  <c:ptCount val="1"/>
                  <c:pt idx="0">
                    <c:v>1.6213177570462125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'07E_Seeds'!$U$278</c:f>
              <c:numCache>
                <c:formatCode>0.00</c:formatCode>
                <c:ptCount val="1"/>
                <c:pt idx="0">
                  <c:v>76.173009724094399</c:v>
                </c:pt>
              </c:numCache>
            </c:numRef>
          </c:xVal>
          <c:yVal>
            <c:numRef>
              <c:f>'07E_Seeds'!$U$281</c:f>
              <c:numCache>
                <c:formatCode>0.00</c:formatCode>
                <c:ptCount val="1"/>
                <c:pt idx="0">
                  <c:v>94.328358208955223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19-4677-88C8-1EFAE042F6A9}"/>
            </c:ext>
          </c:extLst>
        </c:ser>
        <c:ser>
          <c:idx val="7"/>
          <c:order val="2"/>
          <c:tx>
            <c:strRef>
              <c:f>'07E_Seeds'!$V$14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'07E_Seeds'!$V$282</c:f>
                <c:numCache>
                  <c:formatCode>General</c:formatCode>
                  <c:ptCount val="1"/>
                  <c:pt idx="0">
                    <c:v>0.23422785102569321</c:v>
                  </c:pt>
                </c:numCache>
              </c:numRef>
            </c:plus>
            <c:minus>
              <c:numRef>
                <c:f>'07E_Seeds'!$V$282</c:f>
                <c:numCache>
                  <c:formatCode>General</c:formatCode>
                  <c:ptCount val="1"/>
                  <c:pt idx="0">
                    <c:v>0.23422785102569321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'07E_Seeds'!$V$282</c:f>
                <c:numCache>
                  <c:formatCode>General</c:formatCode>
                  <c:ptCount val="1"/>
                  <c:pt idx="0">
                    <c:v>0.23422785102569321</c:v>
                  </c:pt>
                </c:numCache>
              </c:numRef>
            </c:plus>
            <c:minus>
              <c:numRef>
                <c:f>'07E_Seeds'!$V$282</c:f>
                <c:numCache>
                  <c:formatCode>General</c:formatCode>
                  <c:ptCount val="1"/>
                  <c:pt idx="0">
                    <c:v>0.23422785102569321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'07E_Seeds'!$V$278</c:f>
              <c:numCache>
                <c:formatCode>0.00</c:formatCode>
                <c:ptCount val="1"/>
                <c:pt idx="0">
                  <c:v>97.588832098995738</c:v>
                </c:pt>
              </c:numCache>
            </c:numRef>
          </c:xVal>
          <c:yVal>
            <c:numRef>
              <c:f>'07E_Seeds'!$V$281</c:f>
              <c:numCache>
                <c:formatCode>0.00</c:formatCode>
                <c:ptCount val="1"/>
                <c:pt idx="0">
                  <c:v>96.621848739495789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19-4677-88C8-1EFAE042F6A9}"/>
            </c:ext>
          </c:extLst>
        </c:ser>
        <c:ser>
          <c:idx val="0"/>
          <c:order val="3"/>
          <c:tx>
            <c:strRef>
              <c:f>'07E_Seeds'!$W$14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'07E_Seeds'!$W$279</c:f>
                <c:numCache>
                  <c:formatCode>General</c:formatCode>
                  <c:ptCount val="1"/>
                  <c:pt idx="0">
                    <c:v>0.94950471097301326</c:v>
                  </c:pt>
                </c:numCache>
              </c:numRef>
            </c:plus>
            <c:minus>
              <c:numRef>
                <c:f>'07E_Seeds'!$W$279</c:f>
                <c:numCache>
                  <c:formatCode>General</c:formatCode>
                  <c:ptCount val="1"/>
                  <c:pt idx="0">
                    <c:v>0.94950471097301326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'07E_Seeds'!$W$282</c:f>
                <c:numCache>
                  <c:formatCode>General</c:formatCode>
                  <c:ptCount val="1"/>
                  <c:pt idx="0">
                    <c:v>0.56858919452759904</c:v>
                  </c:pt>
                </c:numCache>
              </c:numRef>
            </c:plus>
            <c:minus>
              <c:numRef>
                <c:f>'07E_Seeds'!$W$282</c:f>
                <c:numCache>
                  <c:formatCode>General</c:formatCode>
                  <c:ptCount val="1"/>
                  <c:pt idx="0">
                    <c:v>0.56858919452759904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'07E_Seeds'!$W$278</c:f>
              <c:numCache>
                <c:formatCode>0.00</c:formatCode>
                <c:ptCount val="1"/>
                <c:pt idx="0">
                  <c:v>87.510588210794324</c:v>
                </c:pt>
              </c:numCache>
            </c:numRef>
          </c:xVal>
          <c:yVal>
            <c:numRef>
              <c:f>'07E_Seeds'!$W$281</c:f>
              <c:numCache>
                <c:formatCode>0.00</c:formatCode>
                <c:ptCount val="1"/>
                <c:pt idx="0">
                  <c:v>91.923244657653726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19-4677-88C8-1EFAE042F6A9}"/>
            </c:ext>
          </c:extLst>
        </c:ser>
        <c:ser>
          <c:idx val="6"/>
          <c:order val="4"/>
          <c:tx>
            <c:strRef>
              <c:f>'07E_Seeds'!$X$14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'07E_Seeds'!$X$279</c:f>
                <c:numCache>
                  <c:formatCode>General</c:formatCode>
                  <c:ptCount val="1"/>
                  <c:pt idx="0">
                    <c:v>2.6595269862239848</c:v>
                  </c:pt>
                </c:numCache>
              </c:numRef>
            </c:plus>
            <c:minus>
              <c:numRef>
                <c:f>'07E_Seeds'!$X$279</c:f>
                <c:numCache>
                  <c:formatCode>General</c:formatCode>
                  <c:ptCount val="1"/>
                  <c:pt idx="0">
                    <c:v>2.6595269862239848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'07E_Seeds'!$X$282</c:f>
                <c:numCache>
                  <c:formatCode>General</c:formatCode>
                  <c:ptCount val="1"/>
                  <c:pt idx="0">
                    <c:v>1.6006848195525933</c:v>
                  </c:pt>
                </c:numCache>
              </c:numRef>
            </c:plus>
            <c:minus>
              <c:numRef>
                <c:f>'07E_Seeds'!$X$282</c:f>
                <c:numCache>
                  <c:formatCode>General</c:formatCode>
                  <c:ptCount val="1"/>
                  <c:pt idx="0">
                    <c:v>1.6006848195525933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'07E_Seeds'!$X$278</c:f>
              <c:numCache>
                <c:formatCode>0.00</c:formatCode>
                <c:ptCount val="1"/>
                <c:pt idx="0">
                  <c:v>86.958406313756171</c:v>
                </c:pt>
              </c:numCache>
            </c:numRef>
          </c:xVal>
          <c:yVal>
            <c:numRef>
              <c:f>'07E_Seeds'!$X$281</c:f>
              <c:numCache>
                <c:formatCode>0.00</c:formatCode>
                <c:ptCount val="1"/>
                <c:pt idx="0">
                  <c:v>74.007989347536636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19-4677-88C8-1EFAE042F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'07E_Seeds'!$T$14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'07E_Seeds'!$T$222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'07E_Seeds'!$T$224</c:f>
                <c:numCache>
                  <c:formatCode>General</c:formatCode>
                  <c:ptCount val="1"/>
                  <c:pt idx="0">
                    <c:v>0.33333333333333381</c:v>
                  </c:pt>
                </c:numCache>
              </c:numRef>
            </c:plus>
            <c:minus>
              <c:numRef>
                <c:f>'07E_Seeds'!$T$224</c:f>
                <c:numCache>
                  <c:formatCode>General</c:formatCode>
                  <c:ptCount val="1"/>
                  <c:pt idx="0">
                    <c:v>0.33333333333333381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'07E_Seeds'!$T$221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'07E_Seeds'!$T$223</c:f>
              <c:numCache>
                <c:formatCode>0.00</c:formatCode>
                <c:ptCount val="1"/>
                <c:pt idx="0">
                  <c:v>99.666666666666671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58-444F-ACED-947AC6A31663}"/>
            </c:ext>
          </c:extLst>
        </c:ser>
        <c:ser>
          <c:idx val="9"/>
          <c:order val="1"/>
          <c:tx>
            <c:strRef>
              <c:f>'07E_Seeds'!$U$14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'07E_Seeds'!$U$222</c:f>
                <c:numCache>
                  <c:formatCode>General</c:formatCode>
                  <c:ptCount val="1"/>
                  <c:pt idx="0">
                    <c:v>3.7011557663166181</c:v>
                  </c:pt>
                </c:numCache>
              </c:numRef>
            </c:plus>
            <c:minus>
              <c:numRef>
                <c:f>'07E_Seeds'!$U$222</c:f>
                <c:numCache>
                  <c:formatCode>General</c:formatCode>
                  <c:ptCount val="1"/>
                  <c:pt idx="0">
                    <c:v>3.7011557663166181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'07E_Seeds'!$U$224</c:f>
                <c:numCache>
                  <c:formatCode>General</c:formatCode>
                  <c:ptCount val="1"/>
                  <c:pt idx="0">
                    <c:v>1.7231766137414553</c:v>
                  </c:pt>
                </c:numCache>
              </c:numRef>
            </c:plus>
            <c:minus>
              <c:numRef>
                <c:f>'07E_Seeds'!$U$224</c:f>
                <c:numCache>
                  <c:formatCode>General</c:formatCode>
                  <c:ptCount val="1"/>
                  <c:pt idx="0">
                    <c:v>1.7231766137414553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'07E_Seeds'!$U$221</c:f>
              <c:numCache>
                <c:formatCode>0.00</c:formatCode>
                <c:ptCount val="1"/>
                <c:pt idx="0">
                  <c:v>76.029071641015619</c:v>
                </c:pt>
              </c:numCache>
            </c:numRef>
          </c:xVal>
          <c:yVal>
            <c:numRef>
              <c:f>'07E_Seeds'!$U$223</c:f>
              <c:numCache>
                <c:formatCode>0.00</c:formatCode>
                <c:ptCount val="1"/>
                <c:pt idx="0">
                  <c:v>93.557213930348269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58-444F-ACED-947AC6A31663}"/>
            </c:ext>
          </c:extLst>
        </c:ser>
        <c:ser>
          <c:idx val="7"/>
          <c:order val="2"/>
          <c:tx>
            <c:strRef>
              <c:f>'07E_Seeds'!$V$14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'07E_Seeds'!$V$222</c:f>
                <c:numCache>
                  <c:formatCode>General</c:formatCode>
                  <c:ptCount val="1"/>
                  <c:pt idx="0">
                    <c:v>0.23685139037498501</c:v>
                  </c:pt>
                </c:numCache>
              </c:numRef>
            </c:plus>
            <c:minus>
              <c:numRef>
                <c:f>'07E_Seeds'!$V$222</c:f>
                <c:numCache>
                  <c:formatCode>General</c:formatCode>
                  <c:ptCount val="1"/>
                  <c:pt idx="0">
                    <c:v>0.23685139037498501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'07E_Seeds'!$V$224</c:f>
                <c:numCache>
                  <c:formatCode>General</c:formatCode>
                  <c:ptCount val="1"/>
                  <c:pt idx="0">
                    <c:v>0.23438799543365058</c:v>
                  </c:pt>
                </c:numCache>
              </c:numRef>
            </c:plus>
            <c:minus>
              <c:numRef>
                <c:f>'07E_Seeds'!$V$224</c:f>
                <c:numCache>
                  <c:formatCode>General</c:formatCode>
                  <c:ptCount val="1"/>
                  <c:pt idx="0">
                    <c:v>0.23438799543365058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'07E_Seeds'!$V$221</c:f>
              <c:numCache>
                <c:formatCode>0.00</c:formatCode>
                <c:ptCount val="1"/>
                <c:pt idx="0">
                  <c:v>97.536572166725733</c:v>
                </c:pt>
              </c:numCache>
            </c:numRef>
          </c:xVal>
          <c:yVal>
            <c:numRef>
              <c:f>'07E_Seeds'!$V$223</c:f>
              <c:numCache>
                <c:formatCode>0.00</c:formatCode>
                <c:ptCount val="1"/>
                <c:pt idx="0">
                  <c:v>96.616806722689063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58-444F-ACED-947AC6A31663}"/>
            </c:ext>
          </c:extLst>
        </c:ser>
        <c:ser>
          <c:idx val="0"/>
          <c:order val="3"/>
          <c:tx>
            <c:strRef>
              <c:f>'07E_Seeds'!$W$14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'07E_Seeds'!$W$222</c:f>
                <c:numCache>
                  <c:formatCode>General</c:formatCode>
                  <c:ptCount val="1"/>
                  <c:pt idx="0">
                    <c:v>0.93385818508271556</c:v>
                  </c:pt>
                </c:numCache>
              </c:numRef>
            </c:plus>
            <c:minus>
              <c:numRef>
                <c:f>'07E_Seeds'!$W$222</c:f>
                <c:numCache>
                  <c:formatCode>General</c:formatCode>
                  <c:ptCount val="1"/>
                  <c:pt idx="0">
                    <c:v>0.93385818508271556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'07E_Seeds'!$W$224</c:f>
                <c:numCache>
                  <c:formatCode>General</c:formatCode>
                  <c:ptCount val="1"/>
                  <c:pt idx="0">
                    <c:v>0.56232324080567975</c:v>
                  </c:pt>
                </c:numCache>
              </c:numRef>
            </c:plus>
            <c:minus>
              <c:numRef>
                <c:f>'07E_Seeds'!$W$224</c:f>
                <c:numCache>
                  <c:formatCode>General</c:formatCode>
                  <c:ptCount val="1"/>
                  <c:pt idx="0">
                    <c:v>0.56232324080567975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'07E_Seeds'!$W$221</c:f>
              <c:numCache>
                <c:formatCode>0.00</c:formatCode>
                <c:ptCount val="1"/>
                <c:pt idx="0">
                  <c:v>87.710819481080819</c:v>
                </c:pt>
              </c:numCache>
            </c:numRef>
          </c:xVal>
          <c:yVal>
            <c:numRef>
              <c:f>'07E_Seeds'!$W$223</c:f>
              <c:numCache>
                <c:formatCode>0.00</c:formatCode>
                <c:ptCount val="1"/>
                <c:pt idx="0">
                  <c:v>92.121674662014826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58-444F-ACED-947AC6A31663}"/>
            </c:ext>
          </c:extLst>
        </c:ser>
        <c:ser>
          <c:idx val="6"/>
          <c:order val="4"/>
          <c:tx>
            <c:strRef>
              <c:f>'07E_Seeds'!$X$14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'07E_Seeds'!$X$222</c:f>
                <c:numCache>
                  <c:formatCode>General</c:formatCode>
                  <c:ptCount val="1"/>
                  <c:pt idx="0">
                    <c:v>2.6390570363245973</c:v>
                  </c:pt>
                </c:numCache>
              </c:numRef>
            </c:plus>
            <c:minus>
              <c:numRef>
                <c:f>'07E_Seeds'!$X$222</c:f>
                <c:numCache>
                  <c:formatCode>General</c:formatCode>
                  <c:ptCount val="1"/>
                  <c:pt idx="0">
                    <c:v>2.6390570363245973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'07E_Seeds'!$X$224</c:f>
                <c:numCache>
                  <c:formatCode>General</c:formatCode>
                  <c:ptCount val="1"/>
                  <c:pt idx="0">
                    <c:v>1.5984618112151643</c:v>
                  </c:pt>
                </c:numCache>
              </c:numRef>
            </c:plus>
            <c:minus>
              <c:numRef>
                <c:f>'07E_Seeds'!$X$224</c:f>
                <c:numCache>
                  <c:formatCode>General</c:formatCode>
                  <c:ptCount val="1"/>
                  <c:pt idx="0">
                    <c:v>1.5984618112151643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'07E_Seeds'!$X$221</c:f>
              <c:numCache>
                <c:formatCode>0.00</c:formatCode>
                <c:ptCount val="1"/>
                <c:pt idx="0">
                  <c:v>87.04234436501757</c:v>
                </c:pt>
              </c:numCache>
            </c:numRef>
          </c:xVal>
          <c:yVal>
            <c:numRef>
              <c:f>'07E_Seeds'!$X$223</c:f>
              <c:numCache>
                <c:formatCode>0.00</c:formatCode>
                <c:ptCount val="1"/>
                <c:pt idx="0">
                  <c:v>74.134487350199748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58-444F-ACED-947AC6A31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'07E_Seeds'!$T$14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'07E_Seeds'!$AL$112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'07E_Seeds'!$AL$114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'07E_Seeds'!$AL$111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'07E_Seeds'!$AL$113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56-4474-B844-D1D7E30A0D9E}"/>
            </c:ext>
          </c:extLst>
        </c:ser>
        <c:ser>
          <c:idx val="9"/>
          <c:order val="1"/>
          <c:tx>
            <c:strRef>
              <c:f>'07E_Seeds'!$U$14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'07E_Seeds'!$U$222</c:f>
                <c:numCache>
                  <c:formatCode>General</c:formatCode>
                  <c:ptCount val="1"/>
                  <c:pt idx="0">
                    <c:v>3.7011557663166181</c:v>
                  </c:pt>
                </c:numCache>
              </c:numRef>
            </c:plus>
            <c:minus>
              <c:numRef>
                <c:f>'07E_Seeds'!$U$222</c:f>
                <c:numCache>
                  <c:formatCode>General</c:formatCode>
                  <c:ptCount val="1"/>
                  <c:pt idx="0">
                    <c:v>3.7011557663166181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'07E_Seeds'!$U$224</c:f>
                <c:numCache>
                  <c:formatCode>General</c:formatCode>
                  <c:ptCount val="1"/>
                  <c:pt idx="0">
                    <c:v>1.7231766137414553</c:v>
                  </c:pt>
                </c:numCache>
              </c:numRef>
            </c:plus>
            <c:minus>
              <c:numRef>
                <c:f>'07E_Seeds'!$U$224</c:f>
                <c:numCache>
                  <c:formatCode>General</c:formatCode>
                  <c:ptCount val="1"/>
                  <c:pt idx="0">
                    <c:v>1.7231766137414553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'07E_Seeds'!$AM$111</c:f>
              <c:numCache>
                <c:formatCode>0.00</c:formatCode>
                <c:ptCount val="1"/>
                <c:pt idx="0">
                  <c:v>76.234502183087443</c:v>
                </c:pt>
              </c:numCache>
            </c:numRef>
          </c:xVal>
          <c:yVal>
            <c:numRef>
              <c:f>'07E_Seeds'!$AM$113</c:f>
              <c:numCache>
                <c:formatCode>0.00</c:formatCode>
                <c:ptCount val="1"/>
                <c:pt idx="0">
                  <c:v>93.03482587064677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56-4474-B844-D1D7E30A0D9E}"/>
            </c:ext>
          </c:extLst>
        </c:ser>
        <c:ser>
          <c:idx val="7"/>
          <c:order val="2"/>
          <c:tx>
            <c:strRef>
              <c:f>'07E_Seeds'!$V$14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'07E_Seeds'!$AN$112</c:f>
                <c:numCache>
                  <c:formatCode>General</c:formatCode>
                  <c:ptCount val="1"/>
                  <c:pt idx="0">
                    <c:v>0.24369856602539555</c:v>
                  </c:pt>
                </c:numCache>
              </c:numRef>
            </c:plus>
            <c:minus>
              <c:numRef>
                <c:f>'07E_Seeds'!$AN$112</c:f>
                <c:numCache>
                  <c:formatCode>General</c:formatCode>
                  <c:ptCount val="1"/>
                  <c:pt idx="0">
                    <c:v>0.24369856602539555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'07E_Seeds'!$AN$114</c:f>
                <c:numCache>
                  <c:formatCode>General</c:formatCode>
                  <c:ptCount val="1"/>
                  <c:pt idx="0">
                    <c:v>0.23197508893876798</c:v>
                  </c:pt>
                </c:numCache>
              </c:numRef>
            </c:plus>
            <c:minus>
              <c:numRef>
                <c:f>'07E_Seeds'!$AN$114</c:f>
                <c:numCache>
                  <c:formatCode>General</c:formatCode>
                  <c:ptCount val="1"/>
                  <c:pt idx="0">
                    <c:v>0.23197508893876798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'07E_Seeds'!$AN$111</c:f>
              <c:numCache>
                <c:formatCode>0.00</c:formatCode>
                <c:ptCount val="1"/>
                <c:pt idx="0">
                  <c:v>97.416530664631907</c:v>
                </c:pt>
              </c:numCache>
            </c:numRef>
          </c:xVal>
          <c:yVal>
            <c:numRef>
              <c:f>'07E_Seeds'!$AN$113</c:f>
              <c:numCache>
                <c:formatCode>0.00</c:formatCode>
                <c:ptCount val="1"/>
                <c:pt idx="0">
                  <c:v>96.689075630252091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56-4474-B844-D1D7E30A0D9E}"/>
            </c:ext>
          </c:extLst>
        </c:ser>
        <c:ser>
          <c:idx val="0"/>
          <c:order val="3"/>
          <c:tx>
            <c:strRef>
              <c:f>'07E_Seeds'!$W$14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'07E_Seeds'!$AO$112</c:f>
                <c:numCache>
                  <c:formatCode>General</c:formatCode>
                  <c:ptCount val="1"/>
                  <c:pt idx="0">
                    <c:v>0.92824244358332397</c:v>
                  </c:pt>
                </c:numCache>
              </c:numRef>
            </c:plus>
            <c:minus>
              <c:numRef>
                <c:f>'07E_Seeds'!$AO$112</c:f>
                <c:numCache>
                  <c:formatCode>General</c:formatCode>
                  <c:ptCount val="1"/>
                  <c:pt idx="0">
                    <c:v>0.92824244358332397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'07E_Seeds'!$AO$114</c:f>
                <c:numCache>
                  <c:formatCode>General</c:formatCode>
                  <c:ptCount val="1"/>
                  <c:pt idx="0">
                    <c:v>0.55892537340948734</c:v>
                  </c:pt>
                </c:numCache>
              </c:numRef>
            </c:plus>
            <c:minus>
              <c:numRef>
                <c:f>'07E_Seeds'!$AO$114</c:f>
                <c:numCache>
                  <c:formatCode>General</c:formatCode>
                  <c:ptCount val="1"/>
                  <c:pt idx="0">
                    <c:v>0.55892537340948734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'07E_Seeds'!$AO$111</c:f>
              <c:numCache>
                <c:formatCode>0.00</c:formatCode>
                <c:ptCount val="1"/>
                <c:pt idx="0">
                  <c:v>87.705836516974827</c:v>
                </c:pt>
              </c:numCache>
            </c:numRef>
          </c:xVal>
          <c:yVal>
            <c:numRef>
              <c:f>'07E_Seeds'!$AO$113</c:f>
              <c:numCache>
                <c:formatCode>0.00</c:formatCode>
                <c:ptCount val="1"/>
                <c:pt idx="0">
                  <c:v>92.237243785433932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56-4474-B844-D1D7E30A0D9E}"/>
            </c:ext>
          </c:extLst>
        </c:ser>
        <c:ser>
          <c:idx val="6"/>
          <c:order val="4"/>
          <c:tx>
            <c:strRef>
              <c:f>'07E_Seeds'!$X$14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'07E_Seeds'!$AP$112</c:f>
                <c:numCache>
                  <c:formatCode>General</c:formatCode>
                  <c:ptCount val="1"/>
                  <c:pt idx="0">
                    <c:v>2.5734091835796948</c:v>
                  </c:pt>
                </c:numCache>
              </c:numRef>
            </c:plus>
            <c:minus>
              <c:numRef>
                <c:f>'07E_Seeds'!$AP$112</c:f>
                <c:numCache>
                  <c:formatCode>General</c:formatCode>
                  <c:ptCount val="1"/>
                  <c:pt idx="0">
                    <c:v>2.5734091835796948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'07E_Seeds'!$AP$114</c:f>
                <c:numCache>
                  <c:formatCode>General</c:formatCode>
                  <c:ptCount val="1"/>
                  <c:pt idx="0">
                    <c:v>1.6062658522237578</c:v>
                  </c:pt>
                </c:numCache>
              </c:numRef>
            </c:plus>
            <c:minus>
              <c:numRef>
                <c:f>'07E_Seeds'!$AP$114</c:f>
                <c:numCache>
                  <c:formatCode>General</c:formatCode>
                  <c:ptCount val="1"/>
                  <c:pt idx="0">
                    <c:v>1.6062658522237578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'07E_Seeds'!$AP$111</c:f>
              <c:numCache>
                <c:formatCode>0.00</c:formatCode>
                <c:ptCount val="1"/>
                <c:pt idx="0">
                  <c:v>87.600513986293791</c:v>
                </c:pt>
              </c:numCache>
            </c:numRef>
          </c:xVal>
          <c:yVal>
            <c:numRef>
              <c:f>'07E_Seeds'!$AP$113</c:f>
              <c:numCache>
                <c:formatCode>0.00</c:formatCode>
                <c:ptCount val="1"/>
                <c:pt idx="0">
                  <c:v>73.768308921438091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56-4474-B844-D1D7E30A0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'11E_Seeds'!$T$14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'11E_Seeds'!$T$279</c:f>
                <c:numCache>
                  <c:formatCode>General</c:formatCode>
                  <c:ptCount val="1"/>
                  <c:pt idx="0">
                    <c:v>1.3505850473369885</c:v>
                  </c:pt>
                </c:numCache>
              </c:numRef>
            </c:plus>
            <c:minus>
              <c:numRef>
                <c:f>'11E_Seeds'!$T$279</c:f>
                <c:numCache>
                  <c:formatCode>General</c:formatCode>
                  <c:ptCount val="1"/>
                  <c:pt idx="0">
                    <c:v>1.3505850473369885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'11E_Seeds'!$T$282</c:f>
                <c:numCache>
                  <c:formatCode>General</c:formatCode>
                  <c:ptCount val="1"/>
                  <c:pt idx="0">
                    <c:v>0.39775773153609989</c:v>
                  </c:pt>
                </c:numCache>
              </c:numRef>
            </c:plus>
            <c:minus>
              <c:numRef>
                <c:f>'11E_Seeds'!$T$282</c:f>
                <c:numCache>
                  <c:formatCode>General</c:formatCode>
                  <c:ptCount val="1"/>
                  <c:pt idx="0">
                    <c:v>0.39775773153609989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'11E_Seeds'!$T$278</c:f>
              <c:numCache>
                <c:formatCode>0.00</c:formatCode>
                <c:ptCount val="1"/>
                <c:pt idx="0">
                  <c:v>98.477279896773126</c:v>
                </c:pt>
              </c:numCache>
            </c:numRef>
          </c:xVal>
          <c:yVal>
            <c:numRef>
              <c:f>'11E_Seeds'!$T$281</c:f>
              <c:numCache>
                <c:formatCode>0.00</c:formatCode>
                <c:ptCount val="1"/>
                <c:pt idx="0">
                  <c:v>99.227799227799224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1E-45B4-907E-36E0897C96FD}"/>
            </c:ext>
          </c:extLst>
        </c:ser>
        <c:ser>
          <c:idx val="9"/>
          <c:order val="1"/>
          <c:tx>
            <c:strRef>
              <c:f>'11E_Seeds'!$U$14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'11E_Seeds'!$U$279</c:f>
                <c:numCache>
                  <c:formatCode>General</c:formatCode>
                  <c:ptCount val="1"/>
                  <c:pt idx="0">
                    <c:v>4.4702613470147252</c:v>
                  </c:pt>
                </c:numCache>
              </c:numRef>
            </c:plus>
            <c:minus>
              <c:numRef>
                <c:f>'11E_Seeds'!$U$279</c:f>
                <c:numCache>
                  <c:formatCode>General</c:formatCode>
                  <c:ptCount val="1"/>
                  <c:pt idx="0">
                    <c:v>4.4702613470147252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'11E_Seeds'!$U$282</c:f>
                <c:numCache>
                  <c:formatCode>General</c:formatCode>
                  <c:ptCount val="1"/>
                  <c:pt idx="0">
                    <c:v>1.7144470052042233</c:v>
                  </c:pt>
                </c:numCache>
              </c:numRef>
            </c:plus>
            <c:minus>
              <c:numRef>
                <c:f>'11E_Seeds'!$U$282</c:f>
                <c:numCache>
                  <c:formatCode>General</c:formatCode>
                  <c:ptCount val="1"/>
                  <c:pt idx="0">
                    <c:v>1.7144470052042233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'11E_Seeds'!$U$278</c:f>
              <c:numCache>
                <c:formatCode>0.00</c:formatCode>
                <c:ptCount val="1"/>
                <c:pt idx="0">
                  <c:v>67.771522065262531</c:v>
                </c:pt>
              </c:numCache>
            </c:numRef>
          </c:xVal>
          <c:yVal>
            <c:numRef>
              <c:f>'11E_Seeds'!$U$281</c:f>
              <c:numCache>
                <c:formatCode>0.00</c:formatCode>
                <c:ptCount val="1"/>
                <c:pt idx="0">
                  <c:v>88.790560471976406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1E-45B4-907E-36E0897C96FD}"/>
            </c:ext>
          </c:extLst>
        </c:ser>
        <c:ser>
          <c:idx val="7"/>
          <c:order val="2"/>
          <c:tx>
            <c:strRef>
              <c:f>'11E_Seeds'!$V$14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'11E_Seeds'!$V$282</c:f>
                <c:numCache>
                  <c:formatCode>General</c:formatCode>
                  <c:ptCount val="1"/>
                  <c:pt idx="0">
                    <c:v>0.23676600502783626</c:v>
                  </c:pt>
                </c:numCache>
              </c:numRef>
            </c:plus>
            <c:minus>
              <c:numRef>
                <c:f>'11E_Seeds'!$V$282</c:f>
                <c:numCache>
                  <c:formatCode>General</c:formatCode>
                  <c:ptCount val="1"/>
                  <c:pt idx="0">
                    <c:v>0.23676600502783626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'11E_Seeds'!$V$282</c:f>
                <c:numCache>
                  <c:formatCode>General</c:formatCode>
                  <c:ptCount val="1"/>
                  <c:pt idx="0">
                    <c:v>0.23676600502783626</c:v>
                  </c:pt>
                </c:numCache>
              </c:numRef>
            </c:plus>
            <c:minus>
              <c:numRef>
                <c:f>'11E_Seeds'!$V$282</c:f>
                <c:numCache>
                  <c:formatCode>General</c:formatCode>
                  <c:ptCount val="1"/>
                  <c:pt idx="0">
                    <c:v>0.23676600502783626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'11E_Seeds'!$V$278</c:f>
              <c:numCache>
                <c:formatCode>0.00</c:formatCode>
                <c:ptCount val="1"/>
                <c:pt idx="0">
                  <c:v>97.985380550570568</c:v>
                </c:pt>
              </c:numCache>
            </c:numRef>
          </c:xVal>
          <c:yVal>
            <c:numRef>
              <c:f>'11E_Seeds'!$V$281</c:f>
              <c:numCache>
                <c:formatCode>0.00</c:formatCode>
                <c:ptCount val="1"/>
                <c:pt idx="0">
                  <c:v>95.80415678616265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1E-45B4-907E-36E0897C96FD}"/>
            </c:ext>
          </c:extLst>
        </c:ser>
        <c:ser>
          <c:idx val="0"/>
          <c:order val="3"/>
          <c:tx>
            <c:strRef>
              <c:f>'11E_Seeds'!$W$14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'11E_Seeds'!$W$279</c:f>
                <c:numCache>
                  <c:formatCode>General</c:formatCode>
                  <c:ptCount val="1"/>
                  <c:pt idx="0">
                    <c:v>0.65133447522396959</c:v>
                  </c:pt>
                </c:numCache>
              </c:numRef>
            </c:plus>
            <c:minus>
              <c:numRef>
                <c:f>'11E_Seeds'!$W$279</c:f>
                <c:numCache>
                  <c:formatCode>General</c:formatCode>
                  <c:ptCount val="1"/>
                  <c:pt idx="0">
                    <c:v>0.65133447522396959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'11E_Seeds'!$W$282</c:f>
                <c:numCache>
                  <c:formatCode>General</c:formatCode>
                  <c:ptCount val="1"/>
                  <c:pt idx="0">
                    <c:v>0.58475314600493611</c:v>
                  </c:pt>
                </c:numCache>
              </c:numRef>
            </c:plus>
            <c:minus>
              <c:numRef>
                <c:f>'11E_Seeds'!$W$282</c:f>
                <c:numCache>
                  <c:formatCode>General</c:formatCode>
                  <c:ptCount val="1"/>
                  <c:pt idx="0">
                    <c:v>0.58475314600493611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'11E_Seeds'!$W$278</c:f>
              <c:numCache>
                <c:formatCode>0.00</c:formatCode>
                <c:ptCount val="1"/>
                <c:pt idx="0">
                  <c:v>92.616741073381405</c:v>
                </c:pt>
              </c:numCache>
            </c:numRef>
          </c:xVal>
          <c:yVal>
            <c:numRef>
              <c:f>'11E_Seeds'!$W$281</c:f>
              <c:numCache>
                <c:formatCode>0.00</c:formatCode>
                <c:ptCount val="1"/>
                <c:pt idx="0">
                  <c:v>90.256609642301697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1E-45B4-907E-36E0897C96FD}"/>
            </c:ext>
          </c:extLst>
        </c:ser>
        <c:ser>
          <c:idx val="6"/>
          <c:order val="4"/>
          <c:tx>
            <c:strRef>
              <c:f>'11E_Seeds'!$X$14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'11E_Seeds'!$X$279</c:f>
                <c:numCache>
                  <c:formatCode>General</c:formatCode>
                  <c:ptCount val="1"/>
                  <c:pt idx="0">
                    <c:v>1.9666900670071708</c:v>
                  </c:pt>
                </c:numCache>
              </c:numRef>
            </c:plus>
            <c:minus>
              <c:numRef>
                <c:f>'11E_Seeds'!$X$279</c:f>
                <c:numCache>
                  <c:formatCode>General</c:formatCode>
                  <c:ptCount val="1"/>
                  <c:pt idx="0">
                    <c:v>1.9666900670071708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'11E_Seeds'!$X$282</c:f>
                <c:numCache>
                  <c:formatCode>General</c:formatCode>
                  <c:ptCount val="1"/>
                  <c:pt idx="0">
                    <c:v>1.0442559688266182</c:v>
                  </c:pt>
                </c:numCache>
              </c:numRef>
            </c:plus>
            <c:minus>
              <c:numRef>
                <c:f>'11E_Seeds'!$X$282</c:f>
                <c:numCache>
                  <c:formatCode>General</c:formatCode>
                  <c:ptCount val="1"/>
                  <c:pt idx="0">
                    <c:v>1.0442559688266182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'11E_Seeds'!$X$278</c:f>
              <c:numCache>
                <c:formatCode>0.00</c:formatCode>
                <c:ptCount val="1"/>
                <c:pt idx="0">
                  <c:v>82.915306008893623</c:v>
                </c:pt>
              </c:numCache>
            </c:numRef>
          </c:xVal>
          <c:yVal>
            <c:numRef>
              <c:f>'11E_Seeds'!$X$281</c:f>
              <c:numCache>
                <c:formatCode>0.00</c:formatCode>
                <c:ptCount val="1"/>
                <c:pt idx="0">
                  <c:v>88.125000000000014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1E-45B4-907E-36E0897C9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'11E_Seeds'!$T$14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'11E_Seeds'!$T$222</c:f>
                <c:numCache>
                  <c:formatCode>General</c:formatCode>
                  <c:ptCount val="1"/>
                  <c:pt idx="0">
                    <c:v>0.97993720551517272</c:v>
                  </c:pt>
                </c:numCache>
              </c:numRef>
            </c:plus>
            <c:minus>
              <c:numRef>
                <c:f>'11E_Seeds'!$T$222</c:f>
                <c:numCache>
                  <c:formatCode>General</c:formatCode>
                  <c:ptCount val="1"/>
                  <c:pt idx="0">
                    <c:v>0.97993720551517272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'11E_Seeds'!$T$224</c:f>
                <c:numCache>
                  <c:formatCode>General</c:formatCode>
                  <c:ptCount val="1"/>
                  <c:pt idx="0">
                    <c:v>0.39039539740524631</c:v>
                  </c:pt>
                </c:numCache>
              </c:numRef>
            </c:plus>
            <c:minus>
              <c:numRef>
                <c:f>'11E_Seeds'!$T$224</c:f>
                <c:numCache>
                  <c:formatCode>General</c:formatCode>
                  <c:ptCount val="1"/>
                  <c:pt idx="0">
                    <c:v>0.39039539740524631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'11E_Seeds'!$T$221</c:f>
              <c:numCache>
                <c:formatCode>0.00</c:formatCode>
                <c:ptCount val="1"/>
                <c:pt idx="0">
                  <c:v>98.813350088596991</c:v>
                </c:pt>
              </c:numCache>
            </c:numRef>
          </c:xVal>
          <c:yVal>
            <c:numRef>
              <c:f>'11E_Seeds'!$T$223</c:f>
              <c:numCache>
                <c:formatCode>0.00</c:formatCode>
                <c:ptCount val="1"/>
                <c:pt idx="0">
                  <c:v>99.401544401544413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A9-41F0-A73F-00E37B2419FF}"/>
            </c:ext>
          </c:extLst>
        </c:ser>
        <c:ser>
          <c:idx val="9"/>
          <c:order val="1"/>
          <c:tx>
            <c:strRef>
              <c:f>'11E_Seeds'!$U$14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'11E_Seeds'!$U$222</c:f>
                <c:numCache>
                  <c:formatCode>General</c:formatCode>
                  <c:ptCount val="1"/>
                  <c:pt idx="0">
                    <c:v>4.3641668183656908</c:v>
                  </c:pt>
                </c:numCache>
              </c:numRef>
            </c:plus>
            <c:minus>
              <c:numRef>
                <c:f>'11E_Seeds'!$U$222</c:f>
                <c:numCache>
                  <c:formatCode>General</c:formatCode>
                  <c:ptCount val="1"/>
                  <c:pt idx="0">
                    <c:v>4.3641668183656908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'11E_Seeds'!$U$224</c:f>
                <c:numCache>
                  <c:formatCode>General</c:formatCode>
                  <c:ptCount val="1"/>
                  <c:pt idx="0">
                    <c:v>1.6840373807030393</c:v>
                  </c:pt>
                </c:numCache>
              </c:numRef>
            </c:plus>
            <c:minus>
              <c:numRef>
                <c:f>'11E_Seeds'!$U$224</c:f>
                <c:numCache>
                  <c:formatCode>General</c:formatCode>
                  <c:ptCount val="1"/>
                  <c:pt idx="0">
                    <c:v>1.6840373807030393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'11E_Seeds'!$U$221</c:f>
              <c:numCache>
                <c:formatCode>0.00</c:formatCode>
                <c:ptCount val="1"/>
                <c:pt idx="0">
                  <c:v>67.956319428248719</c:v>
                </c:pt>
              </c:numCache>
            </c:numRef>
          </c:xVal>
          <c:yVal>
            <c:numRef>
              <c:f>'11E_Seeds'!$U$223</c:f>
              <c:numCache>
                <c:formatCode>0.00</c:formatCode>
                <c:ptCount val="1"/>
                <c:pt idx="0">
                  <c:v>89.233038348082601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A9-41F0-A73F-00E37B2419FF}"/>
            </c:ext>
          </c:extLst>
        </c:ser>
        <c:ser>
          <c:idx val="7"/>
          <c:order val="2"/>
          <c:tx>
            <c:strRef>
              <c:f>'11E_Seeds'!$V$14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'11E_Seeds'!$V$222</c:f>
                <c:numCache>
                  <c:formatCode>General</c:formatCode>
                  <c:ptCount val="1"/>
                  <c:pt idx="0">
                    <c:v>0.18679032883804061</c:v>
                  </c:pt>
                </c:numCache>
              </c:numRef>
            </c:plus>
            <c:minus>
              <c:numRef>
                <c:f>'11E_Seeds'!$V$222</c:f>
                <c:numCache>
                  <c:formatCode>General</c:formatCode>
                  <c:ptCount val="1"/>
                  <c:pt idx="0">
                    <c:v>0.18679032883804061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'11E_Seeds'!$V$224</c:f>
                <c:numCache>
                  <c:formatCode>General</c:formatCode>
                  <c:ptCount val="1"/>
                  <c:pt idx="0">
                    <c:v>0.2383214431180376</c:v>
                  </c:pt>
                </c:numCache>
              </c:numRef>
            </c:plus>
            <c:minus>
              <c:numRef>
                <c:f>'11E_Seeds'!$V$224</c:f>
                <c:numCache>
                  <c:formatCode>General</c:formatCode>
                  <c:ptCount val="1"/>
                  <c:pt idx="0">
                    <c:v>0.2383214431180376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'11E_Seeds'!$V$221</c:f>
              <c:numCache>
                <c:formatCode>0.00</c:formatCode>
                <c:ptCount val="1"/>
                <c:pt idx="0">
                  <c:v>98.061387252576893</c:v>
                </c:pt>
              </c:numCache>
            </c:numRef>
          </c:xVal>
          <c:yVal>
            <c:numRef>
              <c:f>'11E_Seeds'!$V$223</c:f>
              <c:numCache>
                <c:formatCode>0.00</c:formatCode>
                <c:ptCount val="1"/>
                <c:pt idx="0">
                  <c:v>95.74626865671641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A9-41F0-A73F-00E37B2419FF}"/>
            </c:ext>
          </c:extLst>
        </c:ser>
        <c:ser>
          <c:idx val="0"/>
          <c:order val="3"/>
          <c:tx>
            <c:strRef>
              <c:f>'11E_Seeds'!$W$14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'11E_Seeds'!$W$222</c:f>
                <c:numCache>
                  <c:formatCode>General</c:formatCode>
                  <c:ptCount val="1"/>
                  <c:pt idx="0">
                    <c:v>0.64192748424881807</c:v>
                  </c:pt>
                </c:numCache>
              </c:numRef>
            </c:plus>
            <c:minus>
              <c:numRef>
                <c:f>'11E_Seeds'!$W$222</c:f>
                <c:numCache>
                  <c:formatCode>General</c:formatCode>
                  <c:ptCount val="1"/>
                  <c:pt idx="0">
                    <c:v>0.64192748424881807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'11E_Seeds'!$W$224</c:f>
                <c:numCache>
                  <c:formatCode>General</c:formatCode>
                  <c:ptCount val="1"/>
                  <c:pt idx="0">
                    <c:v>0.58155213140795348</c:v>
                  </c:pt>
                </c:numCache>
              </c:numRef>
            </c:plus>
            <c:minus>
              <c:numRef>
                <c:f>'11E_Seeds'!$W$224</c:f>
                <c:numCache>
                  <c:formatCode>General</c:formatCode>
                  <c:ptCount val="1"/>
                  <c:pt idx="0">
                    <c:v>0.58155213140795348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'11E_Seeds'!$W$221</c:f>
              <c:numCache>
                <c:formatCode>0.00</c:formatCode>
                <c:ptCount val="1"/>
                <c:pt idx="0">
                  <c:v>92.727181772197341</c:v>
                </c:pt>
              </c:numCache>
            </c:numRef>
          </c:xVal>
          <c:yVal>
            <c:numRef>
              <c:f>'11E_Seeds'!$W$223</c:f>
              <c:numCache>
                <c:formatCode>0.00</c:formatCode>
                <c:ptCount val="1"/>
                <c:pt idx="0">
                  <c:v>90.37130637636082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A9-41F0-A73F-00E37B2419FF}"/>
            </c:ext>
          </c:extLst>
        </c:ser>
        <c:ser>
          <c:idx val="6"/>
          <c:order val="4"/>
          <c:tx>
            <c:strRef>
              <c:f>'11E_Seeds'!$X$14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'11E_Seeds'!$X$222</c:f>
                <c:numCache>
                  <c:formatCode>General</c:formatCode>
                  <c:ptCount val="1"/>
                  <c:pt idx="0">
                    <c:v>1.956804597861685</c:v>
                  </c:pt>
                </c:numCache>
              </c:numRef>
            </c:plus>
            <c:minus>
              <c:numRef>
                <c:f>'11E_Seeds'!$X$222</c:f>
                <c:numCache>
                  <c:formatCode>General</c:formatCode>
                  <c:ptCount val="1"/>
                  <c:pt idx="0">
                    <c:v>1.956804597861685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'11E_Seeds'!$X$224</c:f>
                <c:numCache>
                  <c:formatCode>General</c:formatCode>
                  <c:ptCount val="1"/>
                  <c:pt idx="0">
                    <c:v>1.0318447646500333</c:v>
                  </c:pt>
                </c:numCache>
              </c:numRef>
            </c:plus>
            <c:minus>
              <c:numRef>
                <c:f>'11E_Seeds'!$X$224</c:f>
                <c:numCache>
                  <c:formatCode>General</c:formatCode>
                  <c:ptCount val="1"/>
                  <c:pt idx="0">
                    <c:v>1.0318447646500333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'11E_Seeds'!$X$221</c:f>
              <c:numCache>
                <c:formatCode>0.00</c:formatCode>
                <c:ptCount val="1"/>
                <c:pt idx="0">
                  <c:v>82.757786372762411</c:v>
                </c:pt>
              </c:numCache>
            </c:numRef>
          </c:xVal>
          <c:yVal>
            <c:numRef>
              <c:f>'11E_Seeds'!$X$223</c:f>
              <c:numCache>
                <c:formatCode>0.00</c:formatCode>
                <c:ptCount val="1"/>
                <c:pt idx="0">
                  <c:v>88.447916666666657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A9-41F0-A73F-00E37B241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'11E_Seeds'!$T$14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'11E_Seeds'!$AL$112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'11E_Seeds'!$AL$114</c:f>
                <c:numCache>
                  <c:formatCode>General</c:formatCode>
                  <c:ptCount val="1"/>
                  <c:pt idx="0">
                    <c:v>0.3861003861003835</c:v>
                  </c:pt>
                </c:numCache>
              </c:numRef>
            </c:plus>
            <c:minus>
              <c:numRef>
                <c:f>'11E_Seeds'!$AL$114</c:f>
                <c:numCache>
                  <c:formatCode>General</c:formatCode>
                  <c:ptCount val="1"/>
                  <c:pt idx="0">
                    <c:v>0.3861003861003835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'11E_Seeds'!$AL$111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'11E_Seeds'!$AL$113</c:f>
              <c:numCache>
                <c:formatCode>0.00</c:formatCode>
                <c:ptCount val="1"/>
                <c:pt idx="0">
                  <c:v>99.613899613899619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86-49F3-A774-43AA4D0FFC7C}"/>
            </c:ext>
          </c:extLst>
        </c:ser>
        <c:ser>
          <c:idx val="9"/>
          <c:order val="1"/>
          <c:tx>
            <c:strRef>
              <c:f>'11E_Seeds'!$U$14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'11E_Seeds'!$U$222</c:f>
                <c:numCache>
                  <c:formatCode>General</c:formatCode>
                  <c:ptCount val="1"/>
                  <c:pt idx="0">
                    <c:v>4.3641668183656908</c:v>
                  </c:pt>
                </c:numCache>
              </c:numRef>
            </c:plus>
            <c:minus>
              <c:numRef>
                <c:f>'11E_Seeds'!$U$222</c:f>
                <c:numCache>
                  <c:formatCode>General</c:formatCode>
                  <c:ptCount val="1"/>
                  <c:pt idx="0">
                    <c:v>4.3641668183656908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'11E_Seeds'!$U$224</c:f>
                <c:numCache>
                  <c:formatCode>General</c:formatCode>
                  <c:ptCount val="1"/>
                  <c:pt idx="0">
                    <c:v>1.6840373807030393</c:v>
                  </c:pt>
                </c:numCache>
              </c:numRef>
            </c:plus>
            <c:minus>
              <c:numRef>
                <c:f>'11E_Seeds'!$U$224</c:f>
                <c:numCache>
                  <c:formatCode>General</c:formatCode>
                  <c:ptCount val="1"/>
                  <c:pt idx="0">
                    <c:v>1.6840373807030393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'11E_Seeds'!$AM$111</c:f>
              <c:numCache>
                <c:formatCode>0.00</c:formatCode>
                <c:ptCount val="1"/>
                <c:pt idx="0">
                  <c:v>68.145281961292497</c:v>
                </c:pt>
              </c:numCache>
            </c:numRef>
          </c:xVal>
          <c:yVal>
            <c:numRef>
              <c:f>'11E_Seeds'!$AM$113</c:f>
              <c:numCache>
                <c:formatCode>0.00</c:formatCode>
                <c:ptCount val="1"/>
                <c:pt idx="0">
                  <c:v>89.970501474926252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86-49F3-A774-43AA4D0FFC7C}"/>
            </c:ext>
          </c:extLst>
        </c:ser>
        <c:ser>
          <c:idx val="7"/>
          <c:order val="2"/>
          <c:tx>
            <c:strRef>
              <c:f>'11E_Seeds'!$V$14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'11E_Seeds'!$AN$112</c:f>
                <c:numCache>
                  <c:formatCode>General</c:formatCode>
                  <c:ptCount val="1"/>
                  <c:pt idx="0">
                    <c:v>0.17833862027593847</c:v>
                  </c:pt>
                </c:numCache>
              </c:numRef>
            </c:plus>
            <c:minus>
              <c:numRef>
                <c:f>'11E_Seeds'!$AN$112</c:f>
                <c:numCache>
                  <c:formatCode>General</c:formatCode>
                  <c:ptCount val="1"/>
                  <c:pt idx="0">
                    <c:v>0.17833862027593847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'11E_Seeds'!$AN$114</c:f>
                <c:numCache>
                  <c:formatCode>General</c:formatCode>
                  <c:ptCount val="1"/>
                  <c:pt idx="0">
                    <c:v>0.23838612730840067</c:v>
                  </c:pt>
                </c:numCache>
              </c:numRef>
            </c:plus>
            <c:minus>
              <c:numRef>
                <c:f>'11E_Seeds'!$AN$114</c:f>
                <c:numCache>
                  <c:formatCode>General</c:formatCode>
                  <c:ptCount val="1"/>
                  <c:pt idx="0">
                    <c:v>0.23838612730840067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'11E_Seeds'!$AN$111</c:f>
              <c:numCache>
                <c:formatCode>0.00</c:formatCode>
                <c:ptCount val="1"/>
                <c:pt idx="0">
                  <c:v>98.255706967375062</c:v>
                </c:pt>
              </c:numCache>
            </c:numRef>
          </c:xVal>
          <c:yVal>
            <c:numRef>
              <c:f>'11E_Seeds'!$AN$113</c:f>
              <c:numCache>
                <c:formatCode>0.00</c:formatCode>
                <c:ptCount val="1"/>
                <c:pt idx="0">
                  <c:v>95.745571209373708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86-49F3-A774-43AA4D0FFC7C}"/>
            </c:ext>
          </c:extLst>
        </c:ser>
        <c:ser>
          <c:idx val="0"/>
          <c:order val="3"/>
          <c:tx>
            <c:strRef>
              <c:f>'11E_Seeds'!$W$14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'11E_Seeds'!$AO$112</c:f>
                <c:numCache>
                  <c:formatCode>General</c:formatCode>
                  <c:ptCount val="1"/>
                  <c:pt idx="0">
                    <c:v>0.62950154269041958</c:v>
                  </c:pt>
                </c:numCache>
              </c:numRef>
            </c:plus>
            <c:minus>
              <c:numRef>
                <c:f>'11E_Seeds'!$AO$112</c:f>
                <c:numCache>
                  <c:formatCode>General</c:formatCode>
                  <c:ptCount val="1"/>
                  <c:pt idx="0">
                    <c:v>0.62950154269041958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'11E_Seeds'!$AO$114</c:f>
                <c:numCache>
                  <c:formatCode>General</c:formatCode>
                  <c:ptCount val="1"/>
                  <c:pt idx="0">
                    <c:v>0.57042114084105178</c:v>
                  </c:pt>
                </c:numCache>
              </c:numRef>
            </c:plus>
            <c:minus>
              <c:numRef>
                <c:f>'11E_Seeds'!$AO$114</c:f>
                <c:numCache>
                  <c:formatCode>General</c:formatCode>
                  <c:ptCount val="1"/>
                  <c:pt idx="0">
                    <c:v>0.57042114084105178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'11E_Seeds'!$AO$111</c:f>
              <c:numCache>
                <c:formatCode>0.00</c:formatCode>
                <c:ptCount val="1"/>
                <c:pt idx="0">
                  <c:v>92.79570408854471</c:v>
                </c:pt>
              </c:numCache>
            </c:numRef>
          </c:xVal>
          <c:yVal>
            <c:numRef>
              <c:f>'11E_Seeds'!$AO$113</c:f>
              <c:numCache>
                <c:formatCode>0.00</c:formatCode>
                <c:ptCount val="1"/>
                <c:pt idx="0">
                  <c:v>90.785381026438571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86-49F3-A774-43AA4D0FFC7C}"/>
            </c:ext>
          </c:extLst>
        </c:ser>
        <c:ser>
          <c:idx val="6"/>
          <c:order val="4"/>
          <c:tx>
            <c:strRef>
              <c:f>'11E_Seeds'!$X$14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'11E_Seeds'!$AP$112</c:f>
                <c:numCache>
                  <c:formatCode>General</c:formatCode>
                  <c:ptCount val="1"/>
                  <c:pt idx="0">
                    <c:v>1.8977164103569939</c:v>
                  </c:pt>
                </c:numCache>
              </c:numRef>
            </c:plus>
            <c:minus>
              <c:numRef>
                <c:f>'11E_Seeds'!$AP$112</c:f>
                <c:numCache>
                  <c:formatCode>General</c:formatCode>
                  <c:ptCount val="1"/>
                  <c:pt idx="0">
                    <c:v>1.8977164103569939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'11E_Seeds'!$AP$114</c:f>
                <c:numCache>
                  <c:formatCode>General</c:formatCode>
                  <c:ptCount val="1"/>
                  <c:pt idx="0">
                    <c:v>1.0162156240770146</c:v>
                  </c:pt>
                </c:numCache>
              </c:numRef>
            </c:plus>
            <c:minus>
              <c:numRef>
                <c:f>'11E_Seeds'!$AP$114</c:f>
                <c:numCache>
                  <c:formatCode>General</c:formatCode>
                  <c:ptCount val="1"/>
                  <c:pt idx="0">
                    <c:v>1.0162156240770146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'11E_Seeds'!$AP$111</c:f>
              <c:numCache>
                <c:formatCode>0.00</c:formatCode>
                <c:ptCount val="1"/>
                <c:pt idx="0">
                  <c:v>83.237622965561343</c:v>
                </c:pt>
              </c:numCache>
            </c:numRef>
          </c:xVal>
          <c:yVal>
            <c:numRef>
              <c:f>'11E_Seeds'!$AP$113</c:f>
              <c:numCache>
                <c:formatCode>0.00</c:formatCode>
                <c:ptCount val="1"/>
                <c:pt idx="0">
                  <c:v>88.854166666666671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86-49F3-A774-43AA4D0FF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'15O_Seeds'!$T$14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'15O_Seeds'!$T$279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'15O_Seeds'!$T$282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'15O_Seeds'!$T$278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'15O_Seeds'!$T$281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5-404B-AB74-D13ABFFFAED7}"/>
            </c:ext>
          </c:extLst>
        </c:ser>
        <c:ser>
          <c:idx val="9"/>
          <c:order val="1"/>
          <c:tx>
            <c:strRef>
              <c:f>'15O_Seeds'!$U$14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'15O_Seeds'!$U$279</c:f>
                <c:numCache>
                  <c:formatCode>General</c:formatCode>
                  <c:ptCount val="1"/>
                  <c:pt idx="0">
                    <c:v>4.7268436841661767</c:v>
                  </c:pt>
                </c:numCache>
              </c:numRef>
            </c:plus>
            <c:minus>
              <c:numRef>
                <c:f>'15O_Seeds'!$U$279</c:f>
                <c:numCache>
                  <c:formatCode>General</c:formatCode>
                  <c:ptCount val="1"/>
                  <c:pt idx="0">
                    <c:v>4.7268436841661767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'15O_Seeds'!$U$282</c:f>
                <c:numCache>
                  <c:formatCode>General</c:formatCode>
                  <c:ptCount val="1"/>
                  <c:pt idx="0">
                    <c:v>1.895866099784363</c:v>
                  </c:pt>
                </c:numCache>
              </c:numRef>
            </c:plus>
            <c:minus>
              <c:numRef>
                <c:f>'15O_Seeds'!$U$282</c:f>
                <c:numCache>
                  <c:formatCode>General</c:formatCode>
                  <c:ptCount val="1"/>
                  <c:pt idx="0">
                    <c:v>1.895866099784363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'15O_Seeds'!$U$278</c:f>
              <c:numCache>
                <c:formatCode>0.00</c:formatCode>
                <c:ptCount val="1"/>
                <c:pt idx="0">
                  <c:v>71.380467571803337</c:v>
                </c:pt>
              </c:numCache>
            </c:numRef>
          </c:xVal>
          <c:yVal>
            <c:numRef>
              <c:f>'15O_Seeds'!$U$281</c:f>
              <c:numCache>
                <c:formatCode>0.00</c:formatCode>
                <c:ptCount val="1"/>
                <c:pt idx="0">
                  <c:v>85.840707964601776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25-404B-AB74-D13ABFFFAED7}"/>
            </c:ext>
          </c:extLst>
        </c:ser>
        <c:ser>
          <c:idx val="7"/>
          <c:order val="2"/>
          <c:tx>
            <c:strRef>
              <c:f>'15O_Seeds'!$V$14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'15O_Seeds'!$V$282</c:f>
                <c:numCache>
                  <c:formatCode>General</c:formatCode>
                  <c:ptCount val="1"/>
                  <c:pt idx="0">
                    <c:v>0.227936692056735</c:v>
                  </c:pt>
                </c:numCache>
              </c:numRef>
            </c:plus>
            <c:minus>
              <c:numRef>
                <c:f>'15O_Seeds'!$V$282</c:f>
                <c:numCache>
                  <c:formatCode>General</c:formatCode>
                  <c:ptCount val="1"/>
                  <c:pt idx="0">
                    <c:v>0.227936692056735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'15O_Seeds'!$V$282</c:f>
                <c:numCache>
                  <c:formatCode>General</c:formatCode>
                  <c:ptCount val="1"/>
                  <c:pt idx="0">
                    <c:v>0.227936692056735</c:v>
                  </c:pt>
                </c:numCache>
              </c:numRef>
            </c:plus>
            <c:minus>
              <c:numRef>
                <c:f>'15O_Seeds'!$V$282</c:f>
                <c:numCache>
                  <c:formatCode>General</c:formatCode>
                  <c:ptCount val="1"/>
                  <c:pt idx="0">
                    <c:v>0.227936692056735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'15O_Seeds'!$V$278</c:f>
              <c:numCache>
                <c:formatCode>0.00</c:formatCode>
                <c:ptCount val="1"/>
                <c:pt idx="0">
                  <c:v>98.072252768661002</c:v>
                </c:pt>
              </c:numCache>
            </c:numRef>
          </c:xVal>
          <c:yVal>
            <c:numRef>
              <c:f>'15O_Seeds'!$V$281</c:f>
              <c:numCache>
                <c:formatCode>0.00</c:formatCode>
                <c:ptCount val="1"/>
                <c:pt idx="0">
                  <c:v>95.994053250439237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25-404B-AB74-D13ABFFFAED7}"/>
            </c:ext>
          </c:extLst>
        </c:ser>
        <c:ser>
          <c:idx val="0"/>
          <c:order val="3"/>
          <c:tx>
            <c:strRef>
              <c:f>'15O_Seeds'!$W$14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'15O_Seeds'!$W$279</c:f>
                <c:numCache>
                  <c:formatCode>General</c:formatCode>
                  <c:ptCount val="1"/>
                  <c:pt idx="0">
                    <c:v>0.58982845951871976</c:v>
                  </c:pt>
                </c:numCache>
              </c:numRef>
            </c:plus>
            <c:minus>
              <c:numRef>
                <c:f>'15O_Seeds'!$W$279</c:f>
                <c:numCache>
                  <c:formatCode>General</c:formatCode>
                  <c:ptCount val="1"/>
                  <c:pt idx="0">
                    <c:v>0.58982845951871976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'15O_Seeds'!$W$282</c:f>
                <c:numCache>
                  <c:formatCode>General</c:formatCode>
                  <c:ptCount val="1"/>
                  <c:pt idx="0">
                    <c:v>0.38978029851954499</c:v>
                  </c:pt>
                </c:numCache>
              </c:numRef>
            </c:plus>
            <c:minus>
              <c:numRef>
                <c:f>'15O_Seeds'!$W$282</c:f>
                <c:numCache>
                  <c:formatCode>General</c:formatCode>
                  <c:ptCount val="1"/>
                  <c:pt idx="0">
                    <c:v>0.38978029851954499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'15O_Seeds'!$W$278</c:f>
              <c:numCache>
                <c:formatCode>0.00</c:formatCode>
                <c:ptCount val="1"/>
                <c:pt idx="0">
                  <c:v>90.604552106847905</c:v>
                </c:pt>
              </c:numCache>
            </c:numRef>
          </c:xVal>
          <c:yVal>
            <c:numRef>
              <c:f>'15O_Seeds'!$W$281</c:f>
              <c:numCache>
                <c:formatCode>0.00</c:formatCode>
                <c:ptCount val="1"/>
                <c:pt idx="0">
                  <c:v>95.873991548213596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25-404B-AB74-D13ABFFFAED7}"/>
            </c:ext>
          </c:extLst>
        </c:ser>
        <c:ser>
          <c:idx val="6"/>
          <c:order val="4"/>
          <c:tx>
            <c:strRef>
              <c:f>'15O_Seeds'!$X$14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'15O_Seeds'!$X$279</c:f>
                <c:numCache>
                  <c:formatCode>General</c:formatCode>
                  <c:ptCount val="1"/>
                  <c:pt idx="0">
                    <c:v>2.1915956049690495</c:v>
                  </c:pt>
                </c:numCache>
              </c:numRef>
            </c:plus>
            <c:minus>
              <c:numRef>
                <c:f>'15O_Seeds'!$X$279</c:f>
                <c:numCache>
                  <c:formatCode>General</c:formatCode>
                  <c:ptCount val="1"/>
                  <c:pt idx="0">
                    <c:v>2.1915956049690495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'15O_Seeds'!$X$282</c:f>
                <c:numCache>
                  <c:formatCode>General</c:formatCode>
                  <c:ptCount val="1"/>
                  <c:pt idx="0">
                    <c:v>1.3710027928235724</c:v>
                  </c:pt>
                </c:numCache>
              </c:numRef>
            </c:plus>
            <c:minus>
              <c:numRef>
                <c:f>'15O_Seeds'!$X$282</c:f>
                <c:numCache>
                  <c:formatCode>General</c:formatCode>
                  <c:ptCount val="1"/>
                  <c:pt idx="0">
                    <c:v>1.3710027928235724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'15O_Seeds'!$X$278</c:f>
              <c:numCache>
                <c:formatCode>0.00</c:formatCode>
                <c:ptCount val="1"/>
                <c:pt idx="0">
                  <c:v>87.753678888589221</c:v>
                </c:pt>
              </c:numCache>
            </c:numRef>
          </c:xVal>
          <c:yVal>
            <c:numRef>
              <c:f>'15O_Seeds'!$X$281</c:f>
              <c:numCache>
                <c:formatCode>0.00</c:formatCode>
                <c:ptCount val="1"/>
                <c:pt idx="0">
                  <c:v>76.395833333333329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25-404B-AB74-D13ABFFFA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'15O_Seeds'!$T$14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'15O_Seeds'!$T$222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'15O_Seeds'!$T$224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'15O_Seeds'!$T$221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'15O_Seeds'!$T$223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F7-436D-9F32-077D2D247AF6}"/>
            </c:ext>
          </c:extLst>
        </c:ser>
        <c:ser>
          <c:idx val="9"/>
          <c:order val="1"/>
          <c:tx>
            <c:strRef>
              <c:f>'15O_Seeds'!$U$14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'15O_Seeds'!$U$222</c:f>
                <c:numCache>
                  <c:formatCode>General</c:formatCode>
                  <c:ptCount val="1"/>
                  <c:pt idx="0">
                    <c:v>4.7072562905440289</c:v>
                  </c:pt>
                </c:numCache>
              </c:numRef>
            </c:plus>
            <c:minus>
              <c:numRef>
                <c:f>'15O_Seeds'!$U$222</c:f>
                <c:numCache>
                  <c:formatCode>General</c:formatCode>
                  <c:ptCount val="1"/>
                  <c:pt idx="0">
                    <c:v>4.7072562905440289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'15O_Seeds'!$U$224</c:f>
                <c:numCache>
                  <c:formatCode>General</c:formatCode>
                  <c:ptCount val="1"/>
                  <c:pt idx="0">
                    <c:v>1.8954702337030771</c:v>
                  </c:pt>
                </c:numCache>
              </c:numRef>
            </c:plus>
            <c:minus>
              <c:numRef>
                <c:f>'15O_Seeds'!$U$224</c:f>
                <c:numCache>
                  <c:formatCode>General</c:formatCode>
                  <c:ptCount val="1"/>
                  <c:pt idx="0">
                    <c:v>1.8954702337030771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'15O_Seeds'!$U$221</c:f>
              <c:numCache>
                <c:formatCode>0.00</c:formatCode>
                <c:ptCount val="1"/>
                <c:pt idx="0">
                  <c:v>71.593260973467181</c:v>
                </c:pt>
              </c:numCache>
            </c:numRef>
          </c:xVal>
          <c:yVal>
            <c:numRef>
              <c:f>'15O_Seeds'!$U$223</c:f>
              <c:numCache>
                <c:formatCode>0.00</c:formatCode>
                <c:ptCount val="1"/>
                <c:pt idx="0">
                  <c:v>85.840707964601748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F7-436D-9F32-077D2D247AF6}"/>
            </c:ext>
          </c:extLst>
        </c:ser>
        <c:ser>
          <c:idx val="7"/>
          <c:order val="2"/>
          <c:tx>
            <c:strRef>
              <c:f>'15O_Seeds'!$V$14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'15O_Seeds'!$V$222</c:f>
                <c:numCache>
                  <c:formatCode>General</c:formatCode>
                  <c:ptCount val="1"/>
                  <c:pt idx="0">
                    <c:v>0.20083845955184421</c:v>
                  </c:pt>
                </c:numCache>
              </c:numRef>
            </c:plus>
            <c:minus>
              <c:numRef>
                <c:f>'15O_Seeds'!$V$222</c:f>
                <c:numCache>
                  <c:formatCode>General</c:formatCode>
                  <c:ptCount val="1"/>
                  <c:pt idx="0">
                    <c:v>0.20083845955184421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'15O_Seeds'!$V$224</c:f>
                <c:numCache>
                  <c:formatCode>General</c:formatCode>
                  <c:ptCount val="1"/>
                  <c:pt idx="0">
                    <c:v>0.22800465295393185</c:v>
                  </c:pt>
                </c:numCache>
              </c:numRef>
            </c:plus>
            <c:minus>
              <c:numRef>
                <c:f>'15O_Seeds'!$V$224</c:f>
                <c:numCache>
                  <c:formatCode>General</c:formatCode>
                  <c:ptCount val="1"/>
                  <c:pt idx="0">
                    <c:v>0.22800465295393185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'15O_Seeds'!$V$221</c:f>
              <c:numCache>
                <c:formatCode>0.00</c:formatCode>
                <c:ptCount val="1"/>
                <c:pt idx="0">
                  <c:v>98.017215865025804</c:v>
                </c:pt>
              </c:numCache>
            </c:numRef>
          </c:xVal>
          <c:yVal>
            <c:numRef>
              <c:f>'15O_Seeds'!$V$223</c:f>
              <c:numCache>
                <c:formatCode>0.00</c:formatCode>
                <c:ptCount val="1"/>
                <c:pt idx="0">
                  <c:v>95.992025949452625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F7-436D-9F32-077D2D247AF6}"/>
            </c:ext>
          </c:extLst>
        </c:ser>
        <c:ser>
          <c:idx val="0"/>
          <c:order val="3"/>
          <c:tx>
            <c:strRef>
              <c:f>'15O_Seeds'!$W$14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'15O_Seeds'!$W$222</c:f>
                <c:numCache>
                  <c:formatCode>General</c:formatCode>
                  <c:ptCount val="1"/>
                  <c:pt idx="0">
                    <c:v>0.58446874950807071</c:v>
                  </c:pt>
                </c:numCache>
              </c:numRef>
            </c:plus>
            <c:minus>
              <c:numRef>
                <c:f>'15O_Seeds'!$W$222</c:f>
                <c:numCache>
                  <c:formatCode>General</c:formatCode>
                  <c:ptCount val="1"/>
                  <c:pt idx="0">
                    <c:v>0.58446874950807071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'15O_Seeds'!$W$224</c:f>
                <c:numCache>
                  <c:formatCode>General</c:formatCode>
                  <c:ptCount val="1"/>
                  <c:pt idx="0">
                    <c:v>0.38128544332372066</c:v>
                  </c:pt>
                </c:numCache>
              </c:numRef>
            </c:plus>
            <c:minus>
              <c:numRef>
                <c:f>'15O_Seeds'!$W$224</c:f>
                <c:numCache>
                  <c:formatCode>General</c:formatCode>
                  <c:ptCount val="1"/>
                  <c:pt idx="0">
                    <c:v>0.38128544332372066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'15O_Seeds'!$W$221</c:f>
              <c:numCache>
                <c:formatCode>0.00</c:formatCode>
                <c:ptCount val="1"/>
                <c:pt idx="0">
                  <c:v>90.584519080199954</c:v>
                </c:pt>
              </c:numCache>
            </c:numRef>
          </c:xVal>
          <c:yVal>
            <c:numRef>
              <c:f>'15O_Seeds'!$W$223</c:f>
              <c:numCache>
                <c:formatCode>0.00</c:formatCode>
                <c:ptCount val="1"/>
                <c:pt idx="0">
                  <c:v>96.058394160583916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F7-436D-9F32-077D2D247AF6}"/>
            </c:ext>
          </c:extLst>
        </c:ser>
        <c:ser>
          <c:idx val="6"/>
          <c:order val="4"/>
          <c:tx>
            <c:strRef>
              <c:f>'15O_Seeds'!$X$14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'15O_Seeds'!$X$222</c:f>
                <c:numCache>
                  <c:formatCode>General</c:formatCode>
                  <c:ptCount val="1"/>
                  <c:pt idx="0">
                    <c:v>2.1395217388429457</c:v>
                  </c:pt>
                </c:numCache>
              </c:numRef>
            </c:plus>
            <c:minus>
              <c:numRef>
                <c:f>'15O_Seeds'!$X$222</c:f>
                <c:numCache>
                  <c:formatCode>General</c:formatCode>
                  <c:ptCount val="1"/>
                  <c:pt idx="0">
                    <c:v>2.1395217388429457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'15O_Seeds'!$X$224</c:f>
                <c:numCache>
                  <c:formatCode>General</c:formatCode>
                  <c:ptCount val="1"/>
                  <c:pt idx="0">
                    <c:v>1.3766505121009374</c:v>
                  </c:pt>
                </c:numCache>
              </c:numRef>
            </c:plus>
            <c:minus>
              <c:numRef>
                <c:f>'15O_Seeds'!$X$224</c:f>
                <c:numCache>
                  <c:formatCode>General</c:formatCode>
                  <c:ptCount val="1"/>
                  <c:pt idx="0">
                    <c:v>1.3766505121009374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'15O_Seeds'!$X$221</c:f>
              <c:numCache>
                <c:formatCode>0.00</c:formatCode>
                <c:ptCount val="1"/>
                <c:pt idx="0">
                  <c:v>88.267528571441758</c:v>
                </c:pt>
              </c:numCache>
            </c:numRef>
          </c:xVal>
          <c:yVal>
            <c:numRef>
              <c:f>'15O_Seeds'!$X$223</c:f>
              <c:numCache>
                <c:formatCode>0.00</c:formatCode>
                <c:ptCount val="1"/>
                <c:pt idx="0">
                  <c:v>76.088541666666671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F7-436D-9F32-077D2D247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'15O_Seeds'!$T$14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'15O_Seeds'!$AL$112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'15O_Seeds'!$AL$114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'15O_Seeds'!$AL$111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'15O_Seeds'!$AL$113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A-4648-9CDB-FC5372836584}"/>
            </c:ext>
          </c:extLst>
        </c:ser>
        <c:ser>
          <c:idx val="9"/>
          <c:order val="1"/>
          <c:tx>
            <c:strRef>
              <c:f>'15O_Seeds'!$U$14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'15O_Seeds'!$U$222</c:f>
                <c:numCache>
                  <c:formatCode>General</c:formatCode>
                  <c:ptCount val="1"/>
                  <c:pt idx="0">
                    <c:v>4.7072562905440289</c:v>
                  </c:pt>
                </c:numCache>
              </c:numRef>
            </c:plus>
            <c:minus>
              <c:numRef>
                <c:f>'15O_Seeds'!$U$222</c:f>
                <c:numCache>
                  <c:formatCode>General</c:formatCode>
                  <c:ptCount val="1"/>
                  <c:pt idx="0">
                    <c:v>4.7072562905440289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'15O_Seeds'!$U$224</c:f>
                <c:numCache>
                  <c:formatCode>General</c:formatCode>
                  <c:ptCount val="1"/>
                  <c:pt idx="0">
                    <c:v>1.8954702337030771</c:v>
                  </c:pt>
                </c:numCache>
              </c:numRef>
            </c:plus>
            <c:minus>
              <c:numRef>
                <c:f>'15O_Seeds'!$U$224</c:f>
                <c:numCache>
                  <c:formatCode>General</c:formatCode>
                  <c:ptCount val="1"/>
                  <c:pt idx="0">
                    <c:v>1.8954702337030771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'15O_Seeds'!$AM$111</c:f>
              <c:numCache>
                <c:formatCode>0.00</c:formatCode>
                <c:ptCount val="1"/>
                <c:pt idx="0">
                  <c:v>72.042530366177886</c:v>
                </c:pt>
              </c:numCache>
            </c:numRef>
          </c:xVal>
          <c:yVal>
            <c:numRef>
              <c:f>'15O_Seeds'!$AM$113</c:f>
              <c:numCache>
                <c:formatCode>0.00</c:formatCode>
                <c:ptCount val="1"/>
                <c:pt idx="0">
                  <c:v>86.725663716814154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4A-4648-9CDB-FC5372836584}"/>
            </c:ext>
          </c:extLst>
        </c:ser>
        <c:ser>
          <c:idx val="7"/>
          <c:order val="2"/>
          <c:tx>
            <c:strRef>
              <c:f>'15O_Seeds'!$V$14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'15O_Seeds'!$AN$112</c:f>
                <c:numCache>
                  <c:formatCode>General</c:formatCode>
                  <c:ptCount val="1"/>
                  <c:pt idx="0">
                    <c:v>0.1962703031173918</c:v>
                  </c:pt>
                </c:numCache>
              </c:numRef>
            </c:plus>
            <c:minus>
              <c:numRef>
                <c:f>'15O_Seeds'!$AN$112</c:f>
                <c:numCache>
                  <c:formatCode>General</c:formatCode>
                  <c:ptCount val="1"/>
                  <c:pt idx="0">
                    <c:v>0.1962703031173918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'15O_Seeds'!$AN$114</c:f>
                <c:numCache>
                  <c:formatCode>General</c:formatCode>
                  <c:ptCount val="1"/>
                  <c:pt idx="0">
                    <c:v>0.22524415547237875</c:v>
                  </c:pt>
                </c:numCache>
              </c:numRef>
            </c:plus>
            <c:minus>
              <c:numRef>
                <c:f>'15O_Seeds'!$AN$114</c:f>
                <c:numCache>
                  <c:formatCode>General</c:formatCode>
                  <c:ptCount val="1"/>
                  <c:pt idx="0">
                    <c:v>0.22524415547237875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'15O_Seeds'!$AN$111</c:f>
              <c:numCache>
                <c:formatCode>0.00</c:formatCode>
                <c:ptCount val="1"/>
                <c:pt idx="0">
                  <c:v>98.10862801209457</c:v>
                </c:pt>
              </c:numCache>
            </c:numRef>
          </c:xVal>
          <c:yVal>
            <c:numRef>
              <c:f>'15O_Seeds'!$AN$113</c:f>
              <c:numCache>
                <c:formatCode>0.00</c:formatCode>
                <c:ptCount val="1"/>
                <c:pt idx="0">
                  <c:v>96.094066765779161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4A-4648-9CDB-FC5372836584}"/>
            </c:ext>
          </c:extLst>
        </c:ser>
        <c:ser>
          <c:idx val="0"/>
          <c:order val="3"/>
          <c:tx>
            <c:strRef>
              <c:f>'15O_Seeds'!$W$14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'15O_Seeds'!$AO$112</c:f>
                <c:numCache>
                  <c:formatCode>General</c:formatCode>
                  <c:ptCount val="1"/>
                  <c:pt idx="0">
                    <c:v>0.56012779103475796</c:v>
                  </c:pt>
                </c:numCache>
              </c:numRef>
            </c:plus>
            <c:minus>
              <c:numRef>
                <c:f>'15O_Seeds'!$AO$112</c:f>
                <c:numCache>
                  <c:formatCode>General</c:formatCode>
                  <c:ptCount val="1"/>
                  <c:pt idx="0">
                    <c:v>0.56012779103475796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'15O_Seeds'!$AO$114</c:f>
                <c:numCache>
                  <c:formatCode>General</c:formatCode>
                  <c:ptCount val="1"/>
                  <c:pt idx="0">
                    <c:v>0.37132020901141038</c:v>
                  </c:pt>
                </c:numCache>
              </c:numRef>
            </c:plus>
            <c:minus>
              <c:numRef>
                <c:f>'15O_Seeds'!$AO$114</c:f>
                <c:numCache>
                  <c:formatCode>General</c:formatCode>
                  <c:ptCount val="1"/>
                  <c:pt idx="0">
                    <c:v>0.37132020901141038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'15O_Seeds'!$AO$111</c:f>
              <c:numCache>
                <c:formatCode>0.00</c:formatCode>
                <c:ptCount val="1"/>
                <c:pt idx="0">
                  <c:v>91.057906828471317</c:v>
                </c:pt>
              </c:numCache>
            </c:numRef>
          </c:xVal>
          <c:yVal>
            <c:numRef>
              <c:f>'15O_Seeds'!$AO$113</c:f>
              <c:numCache>
                <c:formatCode>0.00</c:formatCode>
                <c:ptCount val="1"/>
                <c:pt idx="0">
                  <c:v>96.273530541682661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4A-4648-9CDB-FC5372836584}"/>
            </c:ext>
          </c:extLst>
        </c:ser>
        <c:ser>
          <c:idx val="6"/>
          <c:order val="4"/>
          <c:tx>
            <c:strRef>
              <c:f>'15O_Seeds'!$X$14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'15O_Seeds'!$AP$112</c:f>
                <c:numCache>
                  <c:formatCode>General</c:formatCode>
                  <c:ptCount val="1"/>
                  <c:pt idx="0">
                    <c:v>2.0286666977387791</c:v>
                  </c:pt>
                </c:numCache>
              </c:numRef>
            </c:plus>
            <c:minus>
              <c:numRef>
                <c:f>'15O_Seeds'!$AP$112</c:f>
                <c:numCache>
                  <c:formatCode>General</c:formatCode>
                  <c:ptCount val="1"/>
                  <c:pt idx="0">
                    <c:v>2.0286666977387791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'15O_Seeds'!$AP$114</c:f>
                <c:numCache>
                  <c:formatCode>General</c:formatCode>
                  <c:ptCount val="1"/>
                  <c:pt idx="0">
                    <c:v>1.3636585469150411</c:v>
                  </c:pt>
                </c:numCache>
              </c:numRef>
            </c:plus>
            <c:minus>
              <c:numRef>
                <c:f>'15O_Seeds'!$AP$114</c:f>
                <c:numCache>
                  <c:formatCode>General</c:formatCode>
                  <c:ptCount val="1"/>
                  <c:pt idx="0">
                    <c:v>1.3636585469150411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'15O_Seeds'!$AP$111</c:f>
              <c:numCache>
                <c:formatCode>0.00</c:formatCode>
                <c:ptCount val="1"/>
                <c:pt idx="0">
                  <c:v>88.913979832133279</c:v>
                </c:pt>
              </c:numCache>
            </c:numRef>
          </c:xVal>
          <c:yVal>
            <c:numRef>
              <c:f>'15O_Seeds'!$AP$113</c:f>
              <c:numCache>
                <c:formatCode>0.00</c:formatCode>
                <c:ptCount val="1"/>
                <c:pt idx="0">
                  <c:v>76.770833333333329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4A-4648-9CDB-FC5372836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'19O_Seeds'!$T$14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'19O_Seeds'!$T$279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'19O_Seeds'!$T$282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'19O_Seeds'!$T$278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'19O_Seeds'!$T$281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C3-489A-956D-0E3ACBCFE599}"/>
            </c:ext>
          </c:extLst>
        </c:ser>
        <c:ser>
          <c:idx val="9"/>
          <c:order val="1"/>
          <c:tx>
            <c:strRef>
              <c:f>'19O_Seeds'!$U$14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'19O_Seeds'!$U$279</c:f>
                <c:numCache>
                  <c:formatCode>General</c:formatCode>
                  <c:ptCount val="1"/>
                  <c:pt idx="0">
                    <c:v>3.2159903297427506</c:v>
                  </c:pt>
                </c:numCache>
              </c:numRef>
            </c:plus>
            <c:minus>
              <c:numRef>
                <c:f>'19O_Seeds'!$U$279</c:f>
                <c:numCache>
                  <c:formatCode>General</c:formatCode>
                  <c:ptCount val="1"/>
                  <c:pt idx="0">
                    <c:v>3.2159903297427506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'19O_Seeds'!$U$282</c:f>
                <c:numCache>
                  <c:formatCode>General</c:formatCode>
                  <c:ptCount val="1"/>
                  <c:pt idx="0">
                    <c:v>1.5038450920070399</c:v>
                  </c:pt>
                </c:numCache>
              </c:numRef>
            </c:plus>
            <c:minus>
              <c:numRef>
                <c:f>'19O_Seeds'!$U$282</c:f>
                <c:numCache>
                  <c:formatCode>General</c:formatCode>
                  <c:ptCount val="1"/>
                  <c:pt idx="0">
                    <c:v>1.5038450920070399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'19O_Seeds'!$U$278</c:f>
              <c:numCache>
                <c:formatCode>0.00</c:formatCode>
                <c:ptCount val="1"/>
                <c:pt idx="0">
                  <c:v>77.613015012570727</c:v>
                </c:pt>
              </c:numCache>
            </c:numRef>
          </c:xVal>
          <c:yVal>
            <c:numRef>
              <c:f>'19O_Seeds'!$U$281</c:f>
              <c:numCache>
                <c:formatCode>0.00</c:formatCode>
                <c:ptCount val="1"/>
                <c:pt idx="0">
                  <c:v>91.622418879056042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C3-489A-956D-0E3ACBCFE599}"/>
            </c:ext>
          </c:extLst>
        </c:ser>
        <c:ser>
          <c:idx val="7"/>
          <c:order val="2"/>
          <c:tx>
            <c:strRef>
              <c:f>'19O_Seeds'!$V$14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'19O_Seeds'!$V$282</c:f>
                <c:numCache>
                  <c:formatCode>General</c:formatCode>
                  <c:ptCount val="1"/>
                  <c:pt idx="0">
                    <c:v>0.20493954722408686</c:v>
                  </c:pt>
                </c:numCache>
              </c:numRef>
            </c:plus>
            <c:minus>
              <c:numRef>
                <c:f>'19O_Seeds'!$V$282</c:f>
                <c:numCache>
                  <c:formatCode>General</c:formatCode>
                  <c:ptCount val="1"/>
                  <c:pt idx="0">
                    <c:v>0.20493954722408686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'19O_Seeds'!$V$282</c:f>
                <c:numCache>
                  <c:formatCode>General</c:formatCode>
                  <c:ptCount val="1"/>
                  <c:pt idx="0">
                    <c:v>0.20493954722408686</c:v>
                  </c:pt>
                </c:numCache>
              </c:numRef>
            </c:plus>
            <c:minus>
              <c:numRef>
                <c:f>'19O_Seeds'!$V$282</c:f>
                <c:numCache>
                  <c:formatCode>General</c:formatCode>
                  <c:ptCount val="1"/>
                  <c:pt idx="0">
                    <c:v>0.20493954722408686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'19O_Seeds'!$V$278</c:f>
              <c:numCache>
                <c:formatCode>0.00</c:formatCode>
                <c:ptCount val="1"/>
                <c:pt idx="0">
                  <c:v>98.570130606311622</c:v>
                </c:pt>
              </c:numCache>
            </c:numRef>
          </c:xVal>
          <c:yVal>
            <c:numRef>
              <c:f>'19O_Seeds'!$V$281</c:f>
              <c:numCache>
                <c:formatCode>0.00</c:formatCode>
                <c:ptCount val="1"/>
                <c:pt idx="0">
                  <c:v>96.788755237194209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C3-489A-956D-0E3ACBCFE599}"/>
            </c:ext>
          </c:extLst>
        </c:ser>
        <c:ser>
          <c:idx val="0"/>
          <c:order val="3"/>
          <c:tx>
            <c:strRef>
              <c:f>'19O_Seeds'!$W$14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'19O_Seeds'!$W$279</c:f>
                <c:numCache>
                  <c:formatCode>General</c:formatCode>
                  <c:ptCount val="1"/>
                  <c:pt idx="0">
                    <c:v>0.63699559309359421</c:v>
                  </c:pt>
                </c:numCache>
              </c:numRef>
            </c:plus>
            <c:minus>
              <c:numRef>
                <c:f>'19O_Seeds'!$W$279</c:f>
                <c:numCache>
                  <c:formatCode>General</c:formatCode>
                  <c:ptCount val="1"/>
                  <c:pt idx="0">
                    <c:v>0.63699559309359421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'19O_Seeds'!$W$282</c:f>
                <c:numCache>
                  <c:formatCode>General</c:formatCode>
                  <c:ptCount val="1"/>
                  <c:pt idx="0">
                    <c:v>0.44358834128355679</c:v>
                  </c:pt>
                </c:numCache>
              </c:numRef>
            </c:plus>
            <c:minus>
              <c:numRef>
                <c:f>'19O_Seeds'!$W$282</c:f>
                <c:numCache>
                  <c:formatCode>General</c:formatCode>
                  <c:ptCount val="1"/>
                  <c:pt idx="0">
                    <c:v>0.44358834128355679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'19O_Seeds'!$W$278</c:f>
              <c:numCache>
                <c:formatCode>0.00</c:formatCode>
                <c:ptCount val="1"/>
                <c:pt idx="0">
                  <c:v>90.82685450237031</c:v>
                </c:pt>
              </c:numCache>
            </c:numRef>
          </c:xVal>
          <c:yVal>
            <c:numRef>
              <c:f>'19O_Seeds'!$W$281</c:f>
              <c:numCache>
                <c:formatCode>0.00</c:formatCode>
                <c:ptCount val="1"/>
                <c:pt idx="0">
                  <c:v>94.583173261621212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C3-489A-956D-0E3ACBCFE599}"/>
            </c:ext>
          </c:extLst>
        </c:ser>
        <c:ser>
          <c:idx val="6"/>
          <c:order val="4"/>
          <c:tx>
            <c:strRef>
              <c:f>'19O_Seeds'!$X$14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'19O_Seeds'!$X$279</c:f>
                <c:numCache>
                  <c:formatCode>General</c:formatCode>
                  <c:ptCount val="1"/>
                  <c:pt idx="0">
                    <c:v>1.9126034443371338</c:v>
                  </c:pt>
                </c:numCache>
              </c:numRef>
            </c:plus>
            <c:minus>
              <c:numRef>
                <c:f>'19O_Seeds'!$X$279</c:f>
                <c:numCache>
                  <c:formatCode>General</c:formatCode>
                  <c:ptCount val="1"/>
                  <c:pt idx="0">
                    <c:v>1.9126034443371338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'19O_Seeds'!$X$282</c:f>
                <c:numCache>
                  <c:formatCode>General</c:formatCode>
                  <c:ptCount val="1"/>
                  <c:pt idx="0">
                    <c:v>1.2516137595318297</c:v>
                  </c:pt>
                </c:numCache>
              </c:numRef>
            </c:plus>
            <c:minus>
              <c:numRef>
                <c:f>'19O_Seeds'!$X$282</c:f>
                <c:numCache>
                  <c:formatCode>General</c:formatCode>
                  <c:ptCount val="1"/>
                  <c:pt idx="0">
                    <c:v>1.2516137595318297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'19O_Seeds'!$X$278</c:f>
              <c:numCache>
                <c:formatCode>0.00</c:formatCode>
                <c:ptCount val="1"/>
                <c:pt idx="0">
                  <c:v>87.648634551807959</c:v>
                </c:pt>
              </c:numCache>
            </c:numRef>
          </c:xVal>
          <c:yVal>
            <c:numRef>
              <c:f>'19O_Seeds'!$X$281</c:f>
              <c:numCache>
                <c:formatCode>0.00</c:formatCode>
                <c:ptCount val="1"/>
                <c:pt idx="0">
                  <c:v>81.583333333333329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C3-489A-956D-0E3ACBCFE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'19O_Seeds'!$T$14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'19O_Seeds'!$T$222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'19O_Seeds'!$T$224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'19O_Seeds'!$T$221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'19O_Seeds'!$T$223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9B-4717-B7C7-648896A95F9C}"/>
            </c:ext>
          </c:extLst>
        </c:ser>
        <c:ser>
          <c:idx val="9"/>
          <c:order val="1"/>
          <c:tx>
            <c:strRef>
              <c:f>'19O_Seeds'!$U$14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'19O_Seeds'!$U$222</c:f>
                <c:numCache>
                  <c:formatCode>General</c:formatCode>
                  <c:ptCount val="1"/>
                  <c:pt idx="0">
                    <c:v>3.3323980120751377</c:v>
                  </c:pt>
                </c:numCache>
              </c:numRef>
            </c:plus>
            <c:minus>
              <c:numRef>
                <c:f>'19O_Seeds'!$U$222</c:f>
                <c:numCache>
                  <c:formatCode>General</c:formatCode>
                  <c:ptCount val="1"/>
                  <c:pt idx="0">
                    <c:v>3.3323980120751377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'19O_Seeds'!$U$224</c:f>
                <c:numCache>
                  <c:formatCode>General</c:formatCode>
                  <c:ptCount val="1"/>
                  <c:pt idx="0">
                    <c:v>1.5454814903924967</c:v>
                  </c:pt>
                </c:numCache>
              </c:numRef>
            </c:plus>
            <c:minus>
              <c:numRef>
                <c:f>'19O_Seeds'!$U$224</c:f>
                <c:numCache>
                  <c:formatCode>General</c:formatCode>
                  <c:ptCount val="1"/>
                  <c:pt idx="0">
                    <c:v>1.5454814903924967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'19O_Seeds'!$U$221</c:f>
              <c:numCache>
                <c:formatCode>0.00</c:formatCode>
                <c:ptCount val="1"/>
                <c:pt idx="0">
                  <c:v>77.191633472417053</c:v>
                </c:pt>
              </c:numCache>
            </c:numRef>
          </c:xVal>
          <c:yVal>
            <c:numRef>
              <c:f>'19O_Seeds'!$U$223</c:f>
              <c:numCache>
                <c:formatCode>0.00</c:formatCode>
                <c:ptCount val="1"/>
                <c:pt idx="0">
                  <c:v>91.120943952802378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9B-4717-B7C7-648896A95F9C}"/>
            </c:ext>
          </c:extLst>
        </c:ser>
        <c:ser>
          <c:idx val="7"/>
          <c:order val="2"/>
          <c:tx>
            <c:strRef>
              <c:f>'19O_Seeds'!$V$14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'19O_Seeds'!$V$222</c:f>
                <c:numCache>
                  <c:formatCode>General</c:formatCode>
                  <c:ptCount val="1"/>
                  <c:pt idx="0">
                    <c:v>0.16244708394740198</c:v>
                  </c:pt>
                </c:numCache>
              </c:numRef>
            </c:plus>
            <c:minus>
              <c:numRef>
                <c:f>'19O_Seeds'!$V$222</c:f>
                <c:numCache>
                  <c:formatCode>General</c:formatCode>
                  <c:ptCount val="1"/>
                  <c:pt idx="0">
                    <c:v>0.16244708394740198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'19O_Seeds'!$V$224</c:f>
                <c:numCache>
                  <c:formatCode>General</c:formatCode>
                  <c:ptCount val="1"/>
                  <c:pt idx="0">
                    <c:v>0.20566798640815284</c:v>
                  </c:pt>
                </c:numCache>
              </c:numRef>
            </c:plus>
            <c:minus>
              <c:numRef>
                <c:f>'19O_Seeds'!$V$224</c:f>
                <c:numCache>
                  <c:formatCode>General</c:formatCode>
                  <c:ptCount val="1"/>
                  <c:pt idx="0">
                    <c:v>0.20566798640815284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'19O_Seeds'!$V$221</c:f>
              <c:numCache>
                <c:formatCode>0.00</c:formatCode>
                <c:ptCount val="1"/>
                <c:pt idx="0">
                  <c:v>98.556293904163965</c:v>
                </c:pt>
              </c:numCache>
            </c:numRef>
          </c:xVal>
          <c:yVal>
            <c:numRef>
              <c:f>'19O_Seeds'!$V$223</c:f>
              <c:numCache>
                <c:formatCode>0.00</c:formatCode>
                <c:ptCount val="1"/>
                <c:pt idx="0">
                  <c:v>96.764427625354784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9B-4717-B7C7-648896A95F9C}"/>
            </c:ext>
          </c:extLst>
        </c:ser>
        <c:ser>
          <c:idx val="0"/>
          <c:order val="3"/>
          <c:tx>
            <c:strRef>
              <c:f>'19O_Seeds'!$W$14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'19O_Seeds'!$W$222</c:f>
                <c:numCache>
                  <c:formatCode>General</c:formatCode>
                  <c:ptCount val="1"/>
                  <c:pt idx="0">
                    <c:v>0.63794859724426201</c:v>
                  </c:pt>
                </c:numCache>
              </c:numRef>
            </c:plus>
            <c:minus>
              <c:numRef>
                <c:f>'19O_Seeds'!$W$222</c:f>
                <c:numCache>
                  <c:formatCode>General</c:formatCode>
                  <c:ptCount val="1"/>
                  <c:pt idx="0">
                    <c:v>0.63794859724426201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'19O_Seeds'!$W$224</c:f>
                <c:numCache>
                  <c:formatCode>General</c:formatCode>
                  <c:ptCount val="1"/>
                  <c:pt idx="0">
                    <c:v>0.44653245866813718</c:v>
                  </c:pt>
                </c:numCache>
              </c:numRef>
            </c:plus>
            <c:minus>
              <c:numRef>
                <c:f>'19O_Seeds'!$W$224</c:f>
                <c:numCache>
                  <c:formatCode>General</c:formatCode>
                  <c:ptCount val="1"/>
                  <c:pt idx="0">
                    <c:v>0.44653245866813718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'19O_Seeds'!$W$221</c:f>
              <c:numCache>
                <c:formatCode>0.00</c:formatCode>
                <c:ptCount val="1"/>
                <c:pt idx="0">
                  <c:v>90.815284109558405</c:v>
                </c:pt>
              </c:numCache>
            </c:numRef>
          </c:xVal>
          <c:yVal>
            <c:numRef>
              <c:f>'19O_Seeds'!$W$223</c:f>
              <c:numCache>
                <c:formatCode>0.00</c:formatCode>
                <c:ptCount val="1"/>
                <c:pt idx="0">
                  <c:v>94.506338839800236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9B-4717-B7C7-648896A95F9C}"/>
            </c:ext>
          </c:extLst>
        </c:ser>
        <c:ser>
          <c:idx val="6"/>
          <c:order val="4"/>
          <c:tx>
            <c:strRef>
              <c:f>'19O_Seeds'!$X$14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'19O_Seeds'!$X$222</c:f>
                <c:numCache>
                  <c:formatCode>General</c:formatCode>
                  <c:ptCount val="1"/>
                  <c:pt idx="0">
                    <c:v>1.9609269674669521</c:v>
                  </c:pt>
                </c:numCache>
              </c:numRef>
            </c:plus>
            <c:minus>
              <c:numRef>
                <c:f>'19O_Seeds'!$X$222</c:f>
                <c:numCache>
                  <c:formatCode>General</c:formatCode>
                  <c:ptCount val="1"/>
                  <c:pt idx="0">
                    <c:v>1.9609269674669521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'19O_Seeds'!$X$224</c:f>
                <c:numCache>
                  <c:formatCode>General</c:formatCode>
                  <c:ptCount val="1"/>
                  <c:pt idx="0">
                    <c:v>1.2561990013621362</c:v>
                  </c:pt>
                </c:numCache>
              </c:numRef>
            </c:plus>
            <c:minus>
              <c:numRef>
                <c:f>'19O_Seeds'!$X$224</c:f>
                <c:numCache>
                  <c:formatCode>General</c:formatCode>
                  <c:ptCount val="1"/>
                  <c:pt idx="0">
                    <c:v>1.2561990013621362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'19O_Seeds'!$X$221</c:f>
              <c:numCache>
                <c:formatCode>0.00</c:formatCode>
                <c:ptCount val="1"/>
                <c:pt idx="0">
                  <c:v>87.310408489775398</c:v>
                </c:pt>
              </c:numCache>
            </c:numRef>
          </c:xVal>
          <c:yVal>
            <c:numRef>
              <c:f>'19O_Seeds'!$X$223</c:f>
              <c:numCache>
                <c:formatCode>0.00</c:formatCode>
                <c:ptCount val="1"/>
                <c:pt idx="0">
                  <c:v>81.390624999999986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29B-4717-B7C7-648896A95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'19O_Seeds'!$T$14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'19O_Seeds'!$AL$112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'19O_Seeds'!$AL$114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'19O_Seeds'!$AL$111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'19O_Seeds'!$AL$113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F-4761-B52C-A37FB3E22DD0}"/>
            </c:ext>
          </c:extLst>
        </c:ser>
        <c:ser>
          <c:idx val="9"/>
          <c:order val="1"/>
          <c:tx>
            <c:strRef>
              <c:f>'19O_Seeds'!$U$14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'19O_Seeds'!$U$222</c:f>
                <c:numCache>
                  <c:formatCode>General</c:formatCode>
                  <c:ptCount val="1"/>
                  <c:pt idx="0">
                    <c:v>3.3323980120751377</c:v>
                  </c:pt>
                </c:numCache>
              </c:numRef>
            </c:plus>
            <c:minus>
              <c:numRef>
                <c:f>'19O_Seeds'!$U$222</c:f>
                <c:numCache>
                  <c:formatCode>General</c:formatCode>
                  <c:ptCount val="1"/>
                  <c:pt idx="0">
                    <c:v>3.3323980120751377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'19O_Seeds'!$U$224</c:f>
                <c:numCache>
                  <c:formatCode>General</c:formatCode>
                  <c:ptCount val="1"/>
                  <c:pt idx="0">
                    <c:v>1.5454814903924967</c:v>
                  </c:pt>
                </c:numCache>
              </c:numRef>
            </c:plus>
            <c:minus>
              <c:numRef>
                <c:f>'19O_Seeds'!$U$224</c:f>
                <c:numCache>
                  <c:formatCode>General</c:formatCode>
                  <c:ptCount val="1"/>
                  <c:pt idx="0">
                    <c:v>1.5454814903924967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'19O_Seeds'!$AM$111</c:f>
              <c:numCache>
                <c:formatCode>0.00</c:formatCode>
                <c:ptCount val="1"/>
                <c:pt idx="0">
                  <c:v>77.770795302419486</c:v>
                </c:pt>
              </c:numCache>
            </c:numRef>
          </c:xVal>
          <c:yVal>
            <c:numRef>
              <c:f>'19O_Seeds'!$AM$113</c:f>
              <c:numCache>
                <c:formatCode>0.00</c:formatCode>
                <c:ptCount val="1"/>
                <c:pt idx="0">
                  <c:v>91.445427728613566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0F-4761-B52C-A37FB3E22DD0}"/>
            </c:ext>
          </c:extLst>
        </c:ser>
        <c:ser>
          <c:idx val="7"/>
          <c:order val="2"/>
          <c:tx>
            <c:strRef>
              <c:f>'19O_Seeds'!$V$14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'19O_Seeds'!$AN$112</c:f>
                <c:numCache>
                  <c:formatCode>General</c:formatCode>
                  <c:ptCount val="1"/>
                  <c:pt idx="0">
                    <c:v>0.15757504827245009</c:v>
                  </c:pt>
                </c:numCache>
              </c:numRef>
            </c:plus>
            <c:minus>
              <c:numRef>
                <c:f>'19O_Seeds'!$AN$112</c:f>
                <c:numCache>
                  <c:formatCode>General</c:formatCode>
                  <c:ptCount val="1"/>
                  <c:pt idx="0">
                    <c:v>0.15757504827245009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'19O_Seeds'!$AN$114</c:f>
                <c:numCache>
                  <c:formatCode>General</c:formatCode>
                  <c:ptCount val="1"/>
                  <c:pt idx="0">
                    <c:v>0.20555368686988729</c:v>
                  </c:pt>
                </c:numCache>
              </c:numRef>
            </c:plus>
            <c:minus>
              <c:numRef>
                <c:f>'19O_Seeds'!$AN$114</c:f>
                <c:numCache>
                  <c:formatCode>General</c:formatCode>
                  <c:ptCount val="1"/>
                  <c:pt idx="0">
                    <c:v>0.20555368686988729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'19O_Seeds'!$AN$111</c:f>
              <c:numCache>
                <c:formatCode>0.00</c:formatCode>
                <c:ptCount val="1"/>
                <c:pt idx="0">
                  <c:v>98.645320548660123</c:v>
                </c:pt>
              </c:numCache>
            </c:numRef>
          </c:xVal>
          <c:yVal>
            <c:numRef>
              <c:f>'19O_Seeds'!$AN$113</c:f>
              <c:numCache>
                <c:formatCode>0.00</c:formatCode>
                <c:ptCount val="1"/>
                <c:pt idx="0">
                  <c:v>96.769833761319106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0F-4761-B52C-A37FB3E22DD0}"/>
            </c:ext>
          </c:extLst>
        </c:ser>
        <c:ser>
          <c:idx val="0"/>
          <c:order val="3"/>
          <c:tx>
            <c:strRef>
              <c:f>'19O_Seeds'!$W$14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'19O_Seeds'!$AO$112</c:f>
                <c:numCache>
                  <c:formatCode>General</c:formatCode>
                  <c:ptCount val="1"/>
                  <c:pt idx="0">
                    <c:v>0.61769872118223768</c:v>
                  </c:pt>
                </c:numCache>
              </c:numRef>
            </c:plus>
            <c:minus>
              <c:numRef>
                <c:f>'19O_Seeds'!$AO$112</c:f>
                <c:numCache>
                  <c:formatCode>General</c:formatCode>
                  <c:ptCount val="1"/>
                  <c:pt idx="0">
                    <c:v>0.61769872118223768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'19O_Seeds'!$AO$114</c:f>
                <c:numCache>
                  <c:formatCode>General</c:formatCode>
                  <c:ptCount val="1"/>
                  <c:pt idx="0">
                    <c:v>0.41434822549063804</c:v>
                  </c:pt>
                </c:numCache>
              </c:numRef>
            </c:plus>
            <c:minus>
              <c:numRef>
                <c:f>'19O_Seeds'!$AO$114</c:f>
                <c:numCache>
                  <c:formatCode>General</c:formatCode>
                  <c:ptCount val="1"/>
                  <c:pt idx="0">
                    <c:v>0.41434822549063804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'19O_Seeds'!$AO$111</c:f>
              <c:numCache>
                <c:formatCode>0.00</c:formatCode>
                <c:ptCount val="1"/>
                <c:pt idx="0">
                  <c:v>90.671866871729094</c:v>
                </c:pt>
              </c:numCache>
            </c:numRef>
          </c:xVal>
          <c:yVal>
            <c:numRef>
              <c:f>'19O_Seeds'!$AO$113</c:f>
              <c:numCache>
                <c:formatCode>0.00</c:formatCode>
                <c:ptCount val="1"/>
                <c:pt idx="0">
                  <c:v>95.313100268920465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0F-4761-B52C-A37FB3E22DD0}"/>
            </c:ext>
          </c:extLst>
        </c:ser>
        <c:ser>
          <c:idx val="6"/>
          <c:order val="4"/>
          <c:tx>
            <c:strRef>
              <c:f>'19O_Seeds'!$X$14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'19O_Seeds'!$AP$112</c:f>
                <c:numCache>
                  <c:formatCode>General</c:formatCode>
                  <c:ptCount val="1"/>
                  <c:pt idx="0">
                    <c:v>1.8375231045571487</c:v>
                  </c:pt>
                </c:numCache>
              </c:numRef>
            </c:plus>
            <c:minus>
              <c:numRef>
                <c:f>'19O_Seeds'!$AP$112</c:f>
                <c:numCache>
                  <c:formatCode>General</c:formatCode>
                  <c:ptCount val="1"/>
                  <c:pt idx="0">
                    <c:v>1.8375231045571487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'19O_Seeds'!$AP$114</c:f>
                <c:numCache>
                  <c:formatCode>General</c:formatCode>
                  <c:ptCount val="1"/>
                  <c:pt idx="0">
                    <c:v>1.2710400508238462</c:v>
                  </c:pt>
                </c:numCache>
              </c:numRef>
            </c:plus>
            <c:minus>
              <c:numRef>
                <c:f>'19O_Seeds'!$AP$114</c:f>
                <c:numCache>
                  <c:formatCode>General</c:formatCode>
                  <c:ptCount val="1"/>
                  <c:pt idx="0">
                    <c:v>1.2710400508238462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'19O_Seeds'!$AP$111</c:f>
              <c:numCache>
                <c:formatCode>0.00</c:formatCode>
                <c:ptCount val="1"/>
                <c:pt idx="0">
                  <c:v>88.695412506856712</c:v>
                </c:pt>
              </c:numCache>
            </c:numRef>
          </c:xVal>
          <c:yVal>
            <c:numRef>
              <c:f>'19O_Seeds'!$AP$113</c:f>
              <c:numCache>
                <c:formatCode>0.00</c:formatCode>
                <c:ptCount val="1"/>
                <c:pt idx="0">
                  <c:v>80.833333333333329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0F-4761-B52C-A37FB3E22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'19M_Seeds'!$T$14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'19M_Seeds'!$T$279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'19M_Seeds'!$T$282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'19M_Seeds'!$T$278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'19M_Seeds'!$T$281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3A-4C01-8695-64855FC061B6}"/>
            </c:ext>
          </c:extLst>
        </c:ser>
        <c:ser>
          <c:idx val="9"/>
          <c:order val="1"/>
          <c:tx>
            <c:strRef>
              <c:f>'19M_Seeds'!$U$14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'19M_Seeds'!$U$279</c:f>
                <c:numCache>
                  <c:formatCode>General</c:formatCode>
                  <c:ptCount val="1"/>
                  <c:pt idx="0">
                    <c:v>3.1319821106781967</c:v>
                  </c:pt>
                </c:numCache>
              </c:numRef>
            </c:plus>
            <c:minus>
              <c:numRef>
                <c:f>'19M_Seeds'!$U$279</c:f>
                <c:numCache>
                  <c:formatCode>General</c:formatCode>
                  <c:ptCount val="1"/>
                  <c:pt idx="0">
                    <c:v>3.1319821106781967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'19M_Seeds'!$U$282</c:f>
                <c:numCache>
                  <c:formatCode>General</c:formatCode>
                  <c:ptCount val="1"/>
                  <c:pt idx="0">
                    <c:v>1.5578883163865853</c:v>
                  </c:pt>
                </c:numCache>
              </c:numRef>
            </c:plus>
            <c:minus>
              <c:numRef>
                <c:f>'19M_Seeds'!$U$282</c:f>
                <c:numCache>
                  <c:formatCode>General</c:formatCode>
                  <c:ptCount val="1"/>
                  <c:pt idx="0">
                    <c:v>1.5578883163865853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'19M_Seeds'!$U$278</c:f>
              <c:numCache>
                <c:formatCode>0.00</c:formatCode>
                <c:ptCount val="1"/>
                <c:pt idx="0">
                  <c:v>79.858069708468548</c:v>
                </c:pt>
              </c:numCache>
            </c:numRef>
          </c:xVal>
          <c:yVal>
            <c:numRef>
              <c:f>'19M_Seeds'!$U$281</c:f>
              <c:numCache>
                <c:formatCode>0.00</c:formatCode>
                <c:ptCount val="1"/>
                <c:pt idx="0">
                  <c:v>90.720461095100859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3A-4C01-8695-64855FC061B6}"/>
            </c:ext>
          </c:extLst>
        </c:ser>
        <c:ser>
          <c:idx val="7"/>
          <c:order val="2"/>
          <c:tx>
            <c:strRef>
              <c:f>'19M_Seeds'!$V$14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'19M_Seeds'!$V$282</c:f>
                <c:numCache>
                  <c:formatCode>General</c:formatCode>
                  <c:ptCount val="1"/>
                  <c:pt idx="0">
                    <c:v>0.1700878005263492</c:v>
                  </c:pt>
                </c:numCache>
              </c:numRef>
            </c:plus>
            <c:minus>
              <c:numRef>
                <c:f>'19M_Seeds'!$V$282</c:f>
                <c:numCache>
                  <c:formatCode>General</c:formatCode>
                  <c:ptCount val="1"/>
                  <c:pt idx="0">
                    <c:v>0.1700878005263492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'19M_Seeds'!$V$282</c:f>
                <c:numCache>
                  <c:formatCode>General</c:formatCode>
                  <c:ptCount val="1"/>
                  <c:pt idx="0">
                    <c:v>0.1700878005263492</c:v>
                  </c:pt>
                </c:numCache>
              </c:numRef>
            </c:plus>
            <c:minus>
              <c:numRef>
                <c:f>'19M_Seeds'!$V$282</c:f>
                <c:numCache>
                  <c:formatCode>General</c:formatCode>
                  <c:ptCount val="1"/>
                  <c:pt idx="0">
                    <c:v>0.1700878005263492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'19M_Seeds'!$V$278</c:f>
              <c:numCache>
                <c:formatCode>0.00</c:formatCode>
                <c:ptCount val="1"/>
                <c:pt idx="0">
                  <c:v>97.028865988508457</c:v>
                </c:pt>
              </c:numCache>
            </c:numRef>
          </c:xVal>
          <c:yVal>
            <c:numRef>
              <c:f>'19M_Seeds'!$V$281</c:f>
              <c:numCache>
                <c:formatCode>0.00</c:formatCode>
                <c:ptCount val="1"/>
                <c:pt idx="0">
                  <c:v>97.825850340136057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3A-4C01-8695-64855FC061B6}"/>
            </c:ext>
          </c:extLst>
        </c:ser>
        <c:ser>
          <c:idx val="0"/>
          <c:order val="3"/>
          <c:tx>
            <c:strRef>
              <c:f>'19M_Seeds'!$W$14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'19M_Seeds'!$W$279</c:f>
                <c:numCache>
                  <c:formatCode>General</c:formatCode>
                  <c:ptCount val="1"/>
                  <c:pt idx="0">
                    <c:v>0.84328125073596694</c:v>
                  </c:pt>
                </c:numCache>
              </c:numRef>
            </c:plus>
            <c:minus>
              <c:numRef>
                <c:f>'19M_Seeds'!$W$279</c:f>
                <c:numCache>
                  <c:formatCode>General</c:formatCode>
                  <c:ptCount val="1"/>
                  <c:pt idx="0">
                    <c:v>0.84328125073596694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'19M_Seeds'!$W$282</c:f>
                <c:numCache>
                  <c:formatCode>General</c:formatCode>
                  <c:ptCount val="1"/>
                  <c:pt idx="0">
                    <c:v>0.61588239212968598</c:v>
                  </c:pt>
                </c:numCache>
              </c:numRef>
            </c:plus>
            <c:minus>
              <c:numRef>
                <c:f>'19M_Seeds'!$W$282</c:f>
                <c:numCache>
                  <c:formatCode>General</c:formatCode>
                  <c:ptCount val="1"/>
                  <c:pt idx="0">
                    <c:v>0.61588239212968598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'19M_Seeds'!$W$278</c:f>
              <c:numCache>
                <c:formatCode>0.00</c:formatCode>
                <c:ptCount val="1"/>
                <c:pt idx="0">
                  <c:v>89.582700966253725</c:v>
                </c:pt>
              </c:numCache>
            </c:numRef>
          </c:xVal>
          <c:yVal>
            <c:numRef>
              <c:f>'19M_Seeds'!$W$281</c:f>
              <c:numCache>
                <c:formatCode>0.00</c:formatCode>
                <c:ptCount val="1"/>
                <c:pt idx="0">
                  <c:v>88.726307808946174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3A-4C01-8695-64855FC061B6}"/>
            </c:ext>
          </c:extLst>
        </c:ser>
        <c:ser>
          <c:idx val="6"/>
          <c:order val="4"/>
          <c:tx>
            <c:strRef>
              <c:f>'19M_Seeds'!$X$14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'19M_Seeds'!$X$279</c:f>
                <c:numCache>
                  <c:formatCode>General</c:formatCode>
                  <c:ptCount val="1"/>
                  <c:pt idx="0">
                    <c:v>2.1614028748506797</c:v>
                  </c:pt>
                </c:numCache>
              </c:numRef>
            </c:plus>
            <c:minus>
              <c:numRef>
                <c:f>'19M_Seeds'!$X$279</c:f>
                <c:numCache>
                  <c:formatCode>General</c:formatCode>
                  <c:ptCount val="1"/>
                  <c:pt idx="0">
                    <c:v>2.1614028748506797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'19M_Seeds'!$X$282</c:f>
                <c:numCache>
                  <c:formatCode>General</c:formatCode>
                  <c:ptCount val="1"/>
                  <c:pt idx="0">
                    <c:v>1.3127175394591479</c:v>
                  </c:pt>
                </c:numCache>
              </c:numRef>
            </c:plus>
            <c:minus>
              <c:numRef>
                <c:f>'19M_Seeds'!$X$282</c:f>
                <c:numCache>
                  <c:formatCode>General</c:formatCode>
                  <c:ptCount val="1"/>
                  <c:pt idx="0">
                    <c:v>1.3127175394591479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'19M_Seeds'!$X$278</c:f>
              <c:numCache>
                <c:formatCode>0.00</c:formatCode>
                <c:ptCount val="1"/>
                <c:pt idx="0">
                  <c:v>86.814430953971396</c:v>
                </c:pt>
              </c:numCache>
            </c:numRef>
          </c:xVal>
          <c:yVal>
            <c:numRef>
              <c:f>'19M_Seeds'!$X$281</c:f>
              <c:numCache>
                <c:formatCode>0.00</c:formatCode>
                <c:ptCount val="1"/>
                <c:pt idx="0">
                  <c:v>78.181818181818173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93A-4C01-8695-64855FC06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'19M_Seeds'!$T$14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'19M_Seeds'!$T$222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'19M_Seeds'!$T$224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'19M_Seeds'!$T$221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'19M_Seeds'!$T$223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5-4C72-ACA6-CF4344D8717C}"/>
            </c:ext>
          </c:extLst>
        </c:ser>
        <c:ser>
          <c:idx val="9"/>
          <c:order val="1"/>
          <c:tx>
            <c:strRef>
              <c:f>'19M_Seeds'!$U$14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'19M_Seeds'!$U$222</c:f>
                <c:numCache>
                  <c:formatCode>General</c:formatCode>
                  <c:ptCount val="1"/>
                  <c:pt idx="0">
                    <c:v>3.1984020768194581</c:v>
                  </c:pt>
                </c:numCache>
              </c:numRef>
            </c:plus>
            <c:minus>
              <c:numRef>
                <c:f>'19M_Seeds'!$U$222</c:f>
                <c:numCache>
                  <c:formatCode>General</c:formatCode>
                  <c:ptCount val="1"/>
                  <c:pt idx="0">
                    <c:v>3.1984020768194581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'19M_Seeds'!$U$224</c:f>
                <c:numCache>
                  <c:formatCode>General</c:formatCode>
                  <c:ptCount val="1"/>
                  <c:pt idx="0">
                    <c:v>1.5875818512062492</c:v>
                  </c:pt>
                </c:numCache>
              </c:numRef>
            </c:plus>
            <c:minus>
              <c:numRef>
                <c:f>'19M_Seeds'!$U$224</c:f>
                <c:numCache>
                  <c:formatCode>General</c:formatCode>
                  <c:ptCount val="1"/>
                  <c:pt idx="0">
                    <c:v>1.5875818512062492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'19M_Seeds'!$U$221</c:f>
              <c:numCache>
                <c:formatCode>0.00</c:formatCode>
                <c:ptCount val="1"/>
                <c:pt idx="0">
                  <c:v>79.772380835812754</c:v>
                </c:pt>
              </c:numCache>
            </c:numRef>
          </c:xVal>
          <c:yVal>
            <c:numRef>
              <c:f>'19M_Seeds'!$U$223</c:f>
              <c:numCache>
                <c:formatCode>0.00</c:formatCode>
                <c:ptCount val="1"/>
                <c:pt idx="0">
                  <c:v>90.331412103746374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D5-4C72-ACA6-CF4344D8717C}"/>
            </c:ext>
          </c:extLst>
        </c:ser>
        <c:ser>
          <c:idx val="7"/>
          <c:order val="2"/>
          <c:tx>
            <c:strRef>
              <c:f>'19M_Seeds'!$V$14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'19M_Seeds'!$V$222</c:f>
                <c:numCache>
                  <c:formatCode>General</c:formatCode>
                  <c:ptCount val="1"/>
                  <c:pt idx="0">
                    <c:v>0.20239075686404912</c:v>
                  </c:pt>
                </c:numCache>
              </c:numRef>
            </c:plus>
            <c:minus>
              <c:numRef>
                <c:f>'19M_Seeds'!$V$222</c:f>
                <c:numCache>
                  <c:formatCode>General</c:formatCode>
                  <c:ptCount val="1"/>
                  <c:pt idx="0">
                    <c:v>0.20239075686404912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'19M_Seeds'!$V$224</c:f>
                <c:numCache>
                  <c:formatCode>General</c:formatCode>
                  <c:ptCount val="1"/>
                  <c:pt idx="0">
                    <c:v>0.16888287152650064</c:v>
                  </c:pt>
                </c:numCache>
              </c:numRef>
            </c:plus>
            <c:minus>
              <c:numRef>
                <c:f>'19M_Seeds'!$V$224</c:f>
                <c:numCache>
                  <c:formatCode>General</c:formatCode>
                  <c:ptCount val="1"/>
                  <c:pt idx="0">
                    <c:v>0.16888287152650064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'19M_Seeds'!$V$221</c:f>
              <c:numCache>
                <c:formatCode>0.00</c:formatCode>
                <c:ptCount val="1"/>
                <c:pt idx="0">
                  <c:v>96.96894957980723</c:v>
                </c:pt>
              </c:numCache>
            </c:numRef>
          </c:xVal>
          <c:yVal>
            <c:numRef>
              <c:f>'19M_Seeds'!$V$223</c:f>
              <c:numCache>
                <c:formatCode>0.00</c:formatCode>
                <c:ptCount val="1"/>
                <c:pt idx="0">
                  <c:v>97.857142857142875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D5-4C72-ACA6-CF4344D8717C}"/>
            </c:ext>
          </c:extLst>
        </c:ser>
        <c:ser>
          <c:idx val="0"/>
          <c:order val="3"/>
          <c:tx>
            <c:strRef>
              <c:f>'19M_Seeds'!$W$14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'19M_Seeds'!$W$222</c:f>
                <c:numCache>
                  <c:formatCode>General</c:formatCode>
                  <c:ptCount val="1"/>
                  <c:pt idx="0">
                    <c:v>0.85010434363590637</c:v>
                  </c:pt>
                </c:numCache>
              </c:numRef>
            </c:plus>
            <c:minus>
              <c:numRef>
                <c:f>'19M_Seeds'!$W$222</c:f>
                <c:numCache>
                  <c:formatCode>General</c:formatCode>
                  <c:ptCount val="1"/>
                  <c:pt idx="0">
                    <c:v>0.85010434363590637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'19M_Seeds'!$W$224</c:f>
                <c:numCache>
                  <c:formatCode>General</c:formatCode>
                  <c:ptCount val="1"/>
                  <c:pt idx="0">
                    <c:v>0.61822480851408446</c:v>
                  </c:pt>
                </c:numCache>
              </c:numRef>
            </c:plus>
            <c:minus>
              <c:numRef>
                <c:f>'19M_Seeds'!$W$224</c:f>
                <c:numCache>
                  <c:formatCode>General</c:formatCode>
                  <c:ptCount val="1"/>
                  <c:pt idx="0">
                    <c:v>0.61822480851408446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'19M_Seeds'!$W$221</c:f>
              <c:numCache>
                <c:formatCode>0.00</c:formatCode>
                <c:ptCount val="1"/>
                <c:pt idx="0">
                  <c:v>89.494598648380162</c:v>
                </c:pt>
              </c:numCache>
            </c:numRef>
          </c:xVal>
          <c:yVal>
            <c:numRef>
              <c:f>'19M_Seeds'!$W$223</c:f>
              <c:numCache>
                <c:formatCode>0.00</c:formatCode>
                <c:ptCount val="1"/>
                <c:pt idx="0">
                  <c:v>88.625852918877939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D5-4C72-ACA6-CF4344D8717C}"/>
            </c:ext>
          </c:extLst>
        </c:ser>
        <c:ser>
          <c:idx val="6"/>
          <c:order val="4"/>
          <c:tx>
            <c:strRef>
              <c:f>'19M_Seeds'!$X$14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'19M_Seeds'!$X$222</c:f>
                <c:numCache>
                  <c:formatCode>General</c:formatCode>
                  <c:ptCount val="1"/>
                  <c:pt idx="0">
                    <c:v>2.1660785797450735</c:v>
                  </c:pt>
                </c:numCache>
              </c:numRef>
            </c:plus>
            <c:minus>
              <c:numRef>
                <c:f>'19M_Seeds'!$X$222</c:f>
                <c:numCache>
                  <c:formatCode>General</c:formatCode>
                  <c:ptCount val="1"/>
                  <c:pt idx="0">
                    <c:v>2.1660785797450735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'19M_Seeds'!$X$224</c:f>
                <c:numCache>
                  <c:formatCode>General</c:formatCode>
                  <c:ptCount val="1"/>
                  <c:pt idx="0">
                    <c:v>1.3193270068215859</c:v>
                  </c:pt>
                </c:numCache>
              </c:numRef>
            </c:plus>
            <c:minus>
              <c:numRef>
                <c:f>'19M_Seeds'!$X$224</c:f>
                <c:numCache>
                  <c:formatCode>General</c:formatCode>
                  <c:ptCount val="1"/>
                  <c:pt idx="0">
                    <c:v>1.3193270068215859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'19M_Seeds'!$X$221</c:f>
              <c:numCache>
                <c:formatCode>0.00</c:formatCode>
                <c:ptCount val="1"/>
                <c:pt idx="0">
                  <c:v>86.899034036396557</c:v>
                </c:pt>
              </c:numCache>
            </c:numRef>
          </c:xVal>
          <c:yVal>
            <c:numRef>
              <c:f>'19M_Seeds'!$X$223</c:f>
              <c:numCache>
                <c:formatCode>0.00</c:formatCode>
                <c:ptCount val="1"/>
                <c:pt idx="0">
                  <c:v>77.883838383838395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D5-4C72-ACA6-CF4344D87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'19M_Seeds'!$T$14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'19M_Seeds'!$AL$112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'19M_Seeds'!$AL$114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'19M_Seeds'!$AL$111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'19M_Seeds'!$AL$113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F1-4EF7-9A6D-1FC42BC9BC5A}"/>
            </c:ext>
          </c:extLst>
        </c:ser>
        <c:ser>
          <c:idx val="9"/>
          <c:order val="1"/>
          <c:tx>
            <c:strRef>
              <c:f>'19M_Seeds'!$U$14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'19M_Seeds'!$U$222</c:f>
                <c:numCache>
                  <c:formatCode>General</c:formatCode>
                  <c:ptCount val="1"/>
                  <c:pt idx="0">
                    <c:v>3.1984020768194581</c:v>
                  </c:pt>
                </c:numCache>
              </c:numRef>
            </c:plus>
            <c:minus>
              <c:numRef>
                <c:f>'19M_Seeds'!$U$222</c:f>
                <c:numCache>
                  <c:formatCode>General</c:formatCode>
                  <c:ptCount val="1"/>
                  <c:pt idx="0">
                    <c:v>3.1984020768194581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'19M_Seeds'!$U$224</c:f>
                <c:numCache>
                  <c:formatCode>General</c:formatCode>
                  <c:ptCount val="1"/>
                  <c:pt idx="0">
                    <c:v>1.5875818512062492</c:v>
                  </c:pt>
                </c:numCache>
              </c:numRef>
            </c:plus>
            <c:minus>
              <c:numRef>
                <c:f>'19M_Seeds'!$U$224</c:f>
                <c:numCache>
                  <c:formatCode>General</c:formatCode>
                  <c:ptCount val="1"/>
                  <c:pt idx="0">
                    <c:v>1.5875818512062492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'19M_Seeds'!$AM$111</c:f>
              <c:numCache>
                <c:formatCode>0.00</c:formatCode>
                <c:ptCount val="1"/>
                <c:pt idx="0">
                  <c:v>76.062734772658473</c:v>
                </c:pt>
              </c:numCache>
            </c:numRef>
          </c:xVal>
          <c:yVal>
            <c:numRef>
              <c:f>'19M_Seeds'!$AM$113</c:f>
              <c:numCache>
                <c:formatCode>0.00</c:formatCode>
                <c:ptCount val="1"/>
                <c:pt idx="0">
                  <c:v>86.743515850144092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F1-4EF7-9A6D-1FC42BC9BC5A}"/>
            </c:ext>
          </c:extLst>
        </c:ser>
        <c:ser>
          <c:idx val="7"/>
          <c:order val="2"/>
          <c:tx>
            <c:strRef>
              <c:f>'19M_Seeds'!$V$14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'19M_Seeds'!$AN$112</c:f>
                <c:numCache>
                  <c:formatCode>General</c:formatCode>
                  <c:ptCount val="1"/>
                  <c:pt idx="0">
                    <c:v>0.22064334206217287</c:v>
                  </c:pt>
                </c:numCache>
              </c:numRef>
            </c:plus>
            <c:minus>
              <c:numRef>
                <c:f>'19M_Seeds'!$AN$112</c:f>
                <c:numCache>
                  <c:formatCode>General</c:formatCode>
                  <c:ptCount val="1"/>
                  <c:pt idx="0">
                    <c:v>0.22064334206217287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'19M_Seeds'!$AN$114</c:f>
                <c:numCache>
                  <c:formatCode>General</c:formatCode>
                  <c:ptCount val="1"/>
                  <c:pt idx="0">
                    <c:v>0.20051434844630719</c:v>
                  </c:pt>
                </c:numCache>
              </c:numRef>
            </c:plus>
            <c:minus>
              <c:numRef>
                <c:f>'19M_Seeds'!$AN$114</c:f>
                <c:numCache>
                  <c:formatCode>General</c:formatCode>
                  <c:ptCount val="1"/>
                  <c:pt idx="0">
                    <c:v>0.20051434844630719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'19M_Seeds'!$AN$111</c:f>
              <c:numCache>
                <c:formatCode>0.00</c:formatCode>
                <c:ptCount val="1"/>
                <c:pt idx="0">
                  <c:v>96.511824070071413</c:v>
                </c:pt>
              </c:numCache>
            </c:numRef>
          </c:xVal>
          <c:yVal>
            <c:numRef>
              <c:f>'19M_Seeds'!$AN$113</c:f>
              <c:numCache>
                <c:formatCode>0.00</c:formatCode>
                <c:ptCount val="1"/>
                <c:pt idx="0">
                  <c:v>96.952380952380963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F1-4EF7-9A6D-1FC42BC9BC5A}"/>
            </c:ext>
          </c:extLst>
        </c:ser>
        <c:ser>
          <c:idx val="0"/>
          <c:order val="3"/>
          <c:tx>
            <c:strRef>
              <c:f>'19M_Seeds'!$W$14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'19M_Seeds'!$AO$112</c:f>
                <c:numCache>
                  <c:formatCode>General</c:formatCode>
                  <c:ptCount val="1"/>
                  <c:pt idx="0">
                    <c:v>0.92250358661704734</c:v>
                  </c:pt>
                </c:numCache>
              </c:numRef>
            </c:plus>
            <c:minus>
              <c:numRef>
                <c:f>'19M_Seeds'!$AO$112</c:f>
                <c:numCache>
                  <c:formatCode>General</c:formatCode>
                  <c:ptCount val="1"/>
                  <c:pt idx="0">
                    <c:v>0.92250358661704734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'19M_Seeds'!$AO$114</c:f>
                <c:numCache>
                  <c:formatCode>General</c:formatCode>
                  <c:ptCount val="1"/>
                  <c:pt idx="0">
                    <c:v>0.63059864001507127</c:v>
                  </c:pt>
                </c:numCache>
              </c:numRef>
            </c:plus>
            <c:minus>
              <c:numRef>
                <c:f>'19M_Seeds'!$AO$114</c:f>
                <c:numCache>
                  <c:formatCode>General</c:formatCode>
                  <c:ptCount val="1"/>
                  <c:pt idx="0">
                    <c:v>0.63059864001507127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'19M_Seeds'!$AO$111</c:f>
              <c:numCache>
                <c:formatCode>0.00</c:formatCode>
                <c:ptCount val="1"/>
                <c:pt idx="0">
                  <c:v>88.432238235359179</c:v>
                </c:pt>
              </c:numCache>
            </c:numRef>
          </c:xVal>
          <c:yVal>
            <c:numRef>
              <c:f>'19M_Seeds'!$AO$113</c:f>
              <c:numCache>
                <c:formatCode>0.00</c:formatCode>
                <c:ptCount val="1"/>
                <c:pt idx="0">
                  <c:v>88.097043214556464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F1-4EF7-9A6D-1FC42BC9BC5A}"/>
            </c:ext>
          </c:extLst>
        </c:ser>
        <c:ser>
          <c:idx val="6"/>
          <c:order val="4"/>
          <c:tx>
            <c:strRef>
              <c:f>'19M_Seeds'!$X$14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'19M_Seeds'!$AP$112</c:f>
                <c:numCache>
                  <c:formatCode>General</c:formatCode>
                  <c:ptCount val="1"/>
                  <c:pt idx="0">
                    <c:v>2.6242039722281816</c:v>
                  </c:pt>
                </c:numCache>
              </c:numRef>
            </c:plus>
            <c:minus>
              <c:numRef>
                <c:f>'19M_Seeds'!$AP$112</c:f>
                <c:numCache>
                  <c:formatCode>General</c:formatCode>
                  <c:ptCount val="1"/>
                  <c:pt idx="0">
                    <c:v>2.6242039722281816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'19M_Seeds'!$AP$114</c:f>
                <c:numCache>
                  <c:formatCode>General</c:formatCode>
                  <c:ptCount val="1"/>
                  <c:pt idx="0">
                    <c:v>1.3529260734990296</c:v>
                  </c:pt>
                </c:numCache>
              </c:numRef>
            </c:plus>
            <c:minus>
              <c:numRef>
                <c:f>'19M_Seeds'!$AP$114</c:f>
                <c:numCache>
                  <c:formatCode>General</c:formatCode>
                  <c:ptCount val="1"/>
                  <c:pt idx="0">
                    <c:v>1.3529260734990296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'19M_Seeds'!$AP$111</c:f>
              <c:numCache>
                <c:formatCode>0.00</c:formatCode>
                <c:ptCount val="1"/>
                <c:pt idx="0">
                  <c:v>83.836569082609941</c:v>
                </c:pt>
              </c:numCache>
            </c:numRef>
          </c:xVal>
          <c:yVal>
            <c:numRef>
              <c:f>'19M_Seeds'!$AP$113</c:f>
              <c:numCache>
                <c:formatCode>0.00</c:formatCode>
                <c:ptCount val="1"/>
                <c:pt idx="0">
                  <c:v>76.26262626262627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F1-4EF7-9A6D-1FC42BC9B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'24M_Seeds'!$T$14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'24M_Seeds'!$T$279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'24M_Seeds'!$T$282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'24M_Seeds'!$T$278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'24M_Seeds'!$T$281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08-462E-93A9-4E6CEE5422E6}"/>
            </c:ext>
          </c:extLst>
        </c:ser>
        <c:ser>
          <c:idx val="9"/>
          <c:order val="1"/>
          <c:tx>
            <c:strRef>
              <c:f>'24M_Seeds'!$U$14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'24M_Seeds'!$U$279</c:f>
                <c:numCache>
                  <c:formatCode>General</c:formatCode>
                  <c:ptCount val="1"/>
                  <c:pt idx="0">
                    <c:v>5.0102159488175362</c:v>
                  </c:pt>
                </c:numCache>
              </c:numRef>
            </c:plus>
            <c:minus>
              <c:numRef>
                <c:f>'24M_Seeds'!$U$279</c:f>
                <c:numCache>
                  <c:formatCode>General</c:formatCode>
                  <c:ptCount val="1"/>
                  <c:pt idx="0">
                    <c:v>5.0102159488175362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'24M_Seeds'!$U$282</c:f>
                <c:numCache>
                  <c:formatCode>General</c:formatCode>
                  <c:ptCount val="1"/>
                  <c:pt idx="0">
                    <c:v>1.8214034295605253</c:v>
                  </c:pt>
                </c:numCache>
              </c:numRef>
            </c:plus>
            <c:minus>
              <c:numRef>
                <c:f>'24M_Seeds'!$U$282</c:f>
                <c:numCache>
                  <c:formatCode>General</c:formatCode>
                  <c:ptCount val="1"/>
                  <c:pt idx="0">
                    <c:v>1.8214034295605253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'24M_Seeds'!$U$278</c:f>
              <c:numCache>
                <c:formatCode>0.00</c:formatCode>
                <c:ptCount val="1"/>
                <c:pt idx="0">
                  <c:v>64.129267116986256</c:v>
                </c:pt>
              </c:numCache>
            </c:numRef>
          </c:xVal>
          <c:yVal>
            <c:numRef>
              <c:f>'24M_Seeds'!$U$281</c:f>
              <c:numCache>
                <c:formatCode>0.00</c:formatCode>
                <c:ptCount val="1"/>
                <c:pt idx="0">
                  <c:v>86.743515850144092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08-462E-93A9-4E6CEE5422E6}"/>
            </c:ext>
          </c:extLst>
        </c:ser>
        <c:ser>
          <c:idx val="7"/>
          <c:order val="2"/>
          <c:tx>
            <c:strRef>
              <c:f>'24M_Seeds'!$V$14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'24M_Seeds'!$V$282</c:f>
                <c:numCache>
                  <c:formatCode>General</c:formatCode>
                  <c:ptCount val="1"/>
                  <c:pt idx="0">
                    <c:v>0.23885215113491598</c:v>
                  </c:pt>
                </c:numCache>
              </c:numRef>
            </c:plus>
            <c:minus>
              <c:numRef>
                <c:f>'24M_Seeds'!$V$282</c:f>
                <c:numCache>
                  <c:formatCode>General</c:formatCode>
                  <c:ptCount val="1"/>
                  <c:pt idx="0">
                    <c:v>0.23885215113491598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'24M_Seeds'!$V$282</c:f>
                <c:numCache>
                  <c:formatCode>General</c:formatCode>
                  <c:ptCount val="1"/>
                  <c:pt idx="0">
                    <c:v>0.23885215113491598</c:v>
                  </c:pt>
                </c:numCache>
              </c:numRef>
            </c:plus>
            <c:minus>
              <c:numRef>
                <c:f>'24M_Seeds'!$V$282</c:f>
                <c:numCache>
                  <c:formatCode>General</c:formatCode>
                  <c:ptCount val="1"/>
                  <c:pt idx="0">
                    <c:v>0.23885215113491598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'24M_Seeds'!$V$278</c:f>
              <c:numCache>
                <c:formatCode>0.00</c:formatCode>
                <c:ptCount val="1"/>
                <c:pt idx="0">
                  <c:v>97.517502228141637</c:v>
                </c:pt>
              </c:numCache>
            </c:numRef>
          </c:xVal>
          <c:yVal>
            <c:numRef>
              <c:f>'24M_Seeds'!$V$281</c:f>
              <c:numCache>
                <c:formatCode>0.00</c:formatCode>
                <c:ptCount val="1"/>
                <c:pt idx="0">
                  <c:v>95.613605442176862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08-462E-93A9-4E6CEE5422E6}"/>
            </c:ext>
          </c:extLst>
        </c:ser>
        <c:ser>
          <c:idx val="0"/>
          <c:order val="3"/>
          <c:tx>
            <c:strRef>
              <c:f>'24M_Seeds'!$W$14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'24M_Seeds'!$W$279</c:f>
                <c:numCache>
                  <c:formatCode>General</c:formatCode>
                  <c:ptCount val="1"/>
                  <c:pt idx="0">
                    <c:v>0.62360161301254835</c:v>
                  </c:pt>
                </c:numCache>
              </c:numRef>
            </c:plus>
            <c:minus>
              <c:numRef>
                <c:f>'24M_Seeds'!$W$279</c:f>
                <c:numCache>
                  <c:formatCode>General</c:formatCode>
                  <c:ptCount val="1"/>
                  <c:pt idx="0">
                    <c:v>0.62360161301254835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'24M_Seeds'!$W$282</c:f>
                <c:numCache>
                  <c:formatCode>General</c:formatCode>
                  <c:ptCount val="1"/>
                  <c:pt idx="0">
                    <c:v>0.54118241345639406</c:v>
                  </c:pt>
                </c:numCache>
              </c:numRef>
            </c:plus>
            <c:minus>
              <c:numRef>
                <c:f>'24M_Seeds'!$W$282</c:f>
                <c:numCache>
                  <c:formatCode>General</c:formatCode>
                  <c:ptCount val="1"/>
                  <c:pt idx="0">
                    <c:v>0.54118241345639406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'24M_Seeds'!$W$278</c:f>
              <c:numCache>
                <c:formatCode>0.00</c:formatCode>
                <c:ptCount val="1"/>
                <c:pt idx="0">
                  <c:v>93.125170968602404</c:v>
                </c:pt>
              </c:numCache>
            </c:numRef>
          </c:xVal>
          <c:yVal>
            <c:numRef>
              <c:f>'24M_Seeds'!$W$281</c:f>
              <c:numCache>
                <c:formatCode>0.00</c:formatCode>
                <c:ptCount val="1"/>
                <c:pt idx="0">
                  <c:v>91.561789234268389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08-462E-93A9-4E6CEE5422E6}"/>
            </c:ext>
          </c:extLst>
        </c:ser>
        <c:ser>
          <c:idx val="6"/>
          <c:order val="4"/>
          <c:tx>
            <c:strRef>
              <c:f>'24M_Seeds'!$X$14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'24M_Seeds'!$X$279</c:f>
                <c:numCache>
                  <c:formatCode>General</c:formatCode>
                  <c:ptCount val="1"/>
                  <c:pt idx="0">
                    <c:v>1.5371949223703081</c:v>
                  </c:pt>
                </c:numCache>
              </c:numRef>
            </c:plus>
            <c:minus>
              <c:numRef>
                <c:f>'24M_Seeds'!$X$279</c:f>
                <c:numCache>
                  <c:formatCode>General</c:formatCode>
                  <c:ptCount val="1"/>
                  <c:pt idx="0">
                    <c:v>1.5371949223703081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'24M_Seeds'!$X$282</c:f>
                <c:numCache>
                  <c:formatCode>General</c:formatCode>
                  <c:ptCount val="1"/>
                  <c:pt idx="0">
                    <c:v>1.0855378627152332</c:v>
                  </c:pt>
                </c:numCache>
              </c:numRef>
            </c:plus>
            <c:minus>
              <c:numRef>
                <c:f>'24M_Seeds'!$X$282</c:f>
                <c:numCache>
                  <c:formatCode>General</c:formatCode>
                  <c:ptCount val="1"/>
                  <c:pt idx="0">
                    <c:v>1.0855378627152332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'24M_Seeds'!$X$278</c:f>
              <c:numCache>
                <c:formatCode>0.00</c:formatCode>
                <c:ptCount val="1"/>
                <c:pt idx="0">
                  <c:v>88.650338275905057</c:v>
                </c:pt>
              </c:numCache>
            </c:numRef>
          </c:xVal>
          <c:yVal>
            <c:numRef>
              <c:f>'24M_Seeds'!$X$281</c:f>
              <c:numCache>
                <c:formatCode>0.00</c:formatCode>
                <c:ptCount val="1"/>
                <c:pt idx="0">
                  <c:v>86.525252525252526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08-462E-93A9-4E6CEE542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'24M_Seeds'!$T$14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'24M_Seeds'!$T$222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'24M_Seeds'!$T$224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'24M_Seeds'!$T$221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'24M_Seeds'!$T$223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8-423B-94E0-F445ED12BE5B}"/>
            </c:ext>
          </c:extLst>
        </c:ser>
        <c:ser>
          <c:idx val="9"/>
          <c:order val="1"/>
          <c:tx>
            <c:strRef>
              <c:f>'24M_Seeds'!$U$14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'24M_Seeds'!$U$222</c:f>
                <c:numCache>
                  <c:formatCode>General</c:formatCode>
                  <c:ptCount val="1"/>
                  <c:pt idx="0">
                    <c:v>4.9843743076532743</c:v>
                  </c:pt>
                </c:numCache>
              </c:numRef>
            </c:plus>
            <c:minus>
              <c:numRef>
                <c:f>'24M_Seeds'!$U$222</c:f>
                <c:numCache>
                  <c:formatCode>General</c:formatCode>
                  <c:ptCount val="1"/>
                  <c:pt idx="0">
                    <c:v>4.9843743076532743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'24M_Seeds'!$U$224</c:f>
                <c:numCache>
                  <c:formatCode>General</c:formatCode>
                  <c:ptCount val="1"/>
                  <c:pt idx="0">
                    <c:v>1.812027177244057</c:v>
                  </c:pt>
                </c:numCache>
              </c:numRef>
            </c:plus>
            <c:minus>
              <c:numRef>
                <c:f>'24M_Seeds'!$U$224</c:f>
                <c:numCache>
                  <c:formatCode>General</c:formatCode>
                  <c:ptCount val="1"/>
                  <c:pt idx="0">
                    <c:v>1.812027177244057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'24M_Seeds'!$U$221</c:f>
              <c:numCache>
                <c:formatCode>0.00</c:formatCode>
                <c:ptCount val="1"/>
                <c:pt idx="0">
                  <c:v>63.975221534911952</c:v>
                </c:pt>
              </c:numCache>
            </c:numRef>
          </c:xVal>
          <c:yVal>
            <c:numRef>
              <c:f>'24M_Seeds'!$U$223</c:f>
              <c:numCache>
                <c:formatCode>0.00</c:formatCode>
                <c:ptCount val="1"/>
                <c:pt idx="0">
                  <c:v>86.902017291066301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B8-423B-94E0-F445ED12BE5B}"/>
            </c:ext>
          </c:extLst>
        </c:ser>
        <c:ser>
          <c:idx val="7"/>
          <c:order val="2"/>
          <c:tx>
            <c:strRef>
              <c:f>'24M_Seeds'!$V$14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'24M_Seeds'!$V$222</c:f>
                <c:numCache>
                  <c:formatCode>General</c:formatCode>
                  <c:ptCount val="1"/>
                  <c:pt idx="0">
                    <c:v>0.20390884737421994</c:v>
                  </c:pt>
                </c:numCache>
              </c:numRef>
            </c:plus>
            <c:minus>
              <c:numRef>
                <c:f>'24M_Seeds'!$V$222</c:f>
                <c:numCache>
                  <c:formatCode>General</c:formatCode>
                  <c:ptCount val="1"/>
                  <c:pt idx="0">
                    <c:v>0.20390884737421994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'24M_Seeds'!$V$224</c:f>
                <c:numCache>
                  <c:formatCode>General</c:formatCode>
                  <c:ptCount val="1"/>
                  <c:pt idx="0">
                    <c:v>0.2400578352441976</c:v>
                  </c:pt>
                </c:numCache>
              </c:numRef>
            </c:plus>
            <c:minus>
              <c:numRef>
                <c:f>'24M_Seeds'!$V$224</c:f>
                <c:numCache>
                  <c:formatCode>General</c:formatCode>
                  <c:ptCount val="1"/>
                  <c:pt idx="0">
                    <c:v>0.2400578352441976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'24M_Seeds'!$V$221</c:f>
              <c:numCache>
                <c:formatCode>0.00</c:formatCode>
                <c:ptCount val="1"/>
                <c:pt idx="0">
                  <c:v>97.499948506714802</c:v>
                </c:pt>
              </c:numCache>
            </c:numRef>
          </c:xVal>
          <c:yVal>
            <c:numRef>
              <c:f>'24M_Seeds'!$V$223</c:f>
              <c:numCache>
                <c:formatCode>0.00</c:formatCode>
                <c:ptCount val="1"/>
                <c:pt idx="0">
                  <c:v>95.567346938775529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B8-423B-94E0-F445ED12BE5B}"/>
            </c:ext>
          </c:extLst>
        </c:ser>
        <c:ser>
          <c:idx val="0"/>
          <c:order val="3"/>
          <c:tx>
            <c:strRef>
              <c:f>'24M_Seeds'!$W$14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'24M_Seeds'!$W$222</c:f>
                <c:numCache>
                  <c:formatCode>General</c:formatCode>
                  <c:ptCount val="1"/>
                  <c:pt idx="0">
                    <c:v>0.62388187698607478</c:v>
                  </c:pt>
                </c:numCache>
              </c:numRef>
            </c:plus>
            <c:minus>
              <c:numRef>
                <c:f>'24M_Seeds'!$W$222</c:f>
                <c:numCache>
                  <c:formatCode>General</c:formatCode>
                  <c:ptCount val="1"/>
                  <c:pt idx="0">
                    <c:v>0.62388187698607478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'24M_Seeds'!$W$224</c:f>
                <c:numCache>
                  <c:formatCode>General</c:formatCode>
                  <c:ptCount val="1"/>
                  <c:pt idx="0">
                    <c:v>0.54403373290335366</c:v>
                  </c:pt>
                </c:numCache>
              </c:numRef>
            </c:plus>
            <c:minus>
              <c:numRef>
                <c:f>'24M_Seeds'!$W$224</c:f>
                <c:numCache>
                  <c:formatCode>General</c:formatCode>
                  <c:ptCount val="1"/>
                  <c:pt idx="0">
                    <c:v>0.54403373290335366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'24M_Seeds'!$W$221</c:f>
              <c:numCache>
                <c:formatCode>0.00</c:formatCode>
                <c:ptCount val="1"/>
                <c:pt idx="0">
                  <c:v>93.146761046289797</c:v>
                </c:pt>
              </c:numCache>
            </c:numRef>
          </c:xVal>
          <c:yVal>
            <c:numRef>
              <c:f>'24M_Seeds'!$W$223</c:f>
              <c:numCache>
                <c:formatCode>0.00</c:formatCode>
                <c:ptCount val="1"/>
                <c:pt idx="0">
                  <c:v>91.46322971948446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B8-423B-94E0-F445ED12BE5B}"/>
            </c:ext>
          </c:extLst>
        </c:ser>
        <c:ser>
          <c:idx val="6"/>
          <c:order val="4"/>
          <c:tx>
            <c:strRef>
              <c:f>'24M_Seeds'!$X$14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'24M_Seeds'!$X$222</c:f>
                <c:numCache>
                  <c:formatCode>General</c:formatCode>
                  <c:ptCount val="1"/>
                  <c:pt idx="0">
                    <c:v>1.5464924350273261</c:v>
                  </c:pt>
                </c:numCache>
              </c:numRef>
            </c:plus>
            <c:minus>
              <c:numRef>
                <c:f>'24M_Seeds'!$X$222</c:f>
                <c:numCache>
                  <c:formatCode>General</c:formatCode>
                  <c:ptCount val="1"/>
                  <c:pt idx="0">
                    <c:v>1.5464924350273261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'24M_Seeds'!$X$224</c:f>
                <c:numCache>
                  <c:formatCode>General</c:formatCode>
                  <c:ptCount val="1"/>
                  <c:pt idx="0">
                    <c:v>1.0887239783985763</c:v>
                  </c:pt>
                </c:numCache>
              </c:numRef>
            </c:plus>
            <c:minus>
              <c:numRef>
                <c:f>'24M_Seeds'!$X$224</c:f>
                <c:numCache>
                  <c:formatCode>General</c:formatCode>
                  <c:ptCount val="1"/>
                  <c:pt idx="0">
                    <c:v>1.0887239783985763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'24M_Seeds'!$X$221</c:f>
              <c:numCache>
                <c:formatCode>0.00</c:formatCode>
                <c:ptCount val="1"/>
                <c:pt idx="0">
                  <c:v>88.582907400442835</c:v>
                </c:pt>
              </c:numCache>
            </c:numRef>
          </c:xVal>
          <c:yVal>
            <c:numRef>
              <c:f>'24M_Seeds'!$X$223</c:f>
              <c:numCache>
                <c:formatCode>0.00</c:formatCode>
                <c:ptCount val="1"/>
                <c:pt idx="0">
                  <c:v>86.419191919191931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B8-423B-94E0-F445ED12B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'24M_Seeds'!$T$14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'24M_Seeds'!$AL$112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'24M_Seeds'!$AL$114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'24M_Seeds'!$AL$111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'24M_Seeds'!$AL$113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AB-4C66-B2F7-67BAC0A49CE5}"/>
            </c:ext>
          </c:extLst>
        </c:ser>
        <c:ser>
          <c:idx val="9"/>
          <c:order val="1"/>
          <c:tx>
            <c:strRef>
              <c:f>'24M_Seeds'!$U$14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'24M_Seeds'!$U$222</c:f>
                <c:numCache>
                  <c:formatCode>General</c:formatCode>
                  <c:ptCount val="1"/>
                  <c:pt idx="0">
                    <c:v>4.9843743076532743</c:v>
                  </c:pt>
                </c:numCache>
              </c:numRef>
            </c:plus>
            <c:minus>
              <c:numRef>
                <c:f>'24M_Seeds'!$U$222</c:f>
                <c:numCache>
                  <c:formatCode>General</c:formatCode>
                  <c:ptCount val="1"/>
                  <c:pt idx="0">
                    <c:v>4.9843743076532743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'24M_Seeds'!$U$224</c:f>
                <c:numCache>
                  <c:formatCode>General</c:formatCode>
                  <c:ptCount val="1"/>
                  <c:pt idx="0">
                    <c:v>1.812027177244057</c:v>
                  </c:pt>
                </c:numCache>
              </c:numRef>
            </c:plus>
            <c:minus>
              <c:numRef>
                <c:f>'24M_Seeds'!$U$224</c:f>
                <c:numCache>
                  <c:formatCode>General</c:formatCode>
                  <c:ptCount val="1"/>
                  <c:pt idx="0">
                    <c:v>1.812027177244057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'24M_Seeds'!$AM$111</c:f>
              <c:numCache>
                <c:formatCode>0.00</c:formatCode>
                <c:ptCount val="1"/>
                <c:pt idx="0">
                  <c:v>60.205113233226079</c:v>
                </c:pt>
              </c:numCache>
            </c:numRef>
          </c:xVal>
          <c:yVal>
            <c:numRef>
              <c:f>'24M_Seeds'!$AM$113</c:f>
              <c:numCache>
                <c:formatCode>0.00</c:formatCode>
                <c:ptCount val="1"/>
                <c:pt idx="0">
                  <c:v>83.861671469740628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AB-4C66-B2F7-67BAC0A49CE5}"/>
            </c:ext>
          </c:extLst>
        </c:ser>
        <c:ser>
          <c:idx val="7"/>
          <c:order val="2"/>
          <c:tx>
            <c:strRef>
              <c:f>'24M_Seeds'!$V$14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'24M_Seeds'!$AN$112</c:f>
                <c:numCache>
                  <c:formatCode>General</c:formatCode>
                  <c:ptCount val="1"/>
                  <c:pt idx="0">
                    <c:v>0.21753413587565898</c:v>
                  </c:pt>
                </c:numCache>
              </c:numRef>
            </c:plus>
            <c:minus>
              <c:numRef>
                <c:f>'24M_Seeds'!$AN$112</c:f>
                <c:numCache>
                  <c:formatCode>General</c:formatCode>
                  <c:ptCount val="1"/>
                  <c:pt idx="0">
                    <c:v>0.21753413587565898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'24M_Seeds'!$AN$114</c:f>
                <c:numCache>
                  <c:formatCode>General</c:formatCode>
                  <c:ptCount val="1"/>
                  <c:pt idx="0">
                    <c:v>0.26870397492424902</c:v>
                  </c:pt>
                </c:numCache>
              </c:numRef>
            </c:plus>
            <c:minus>
              <c:numRef>
                <c:f>'24M_Seeds'!$AN$114</c:f>
                <c:numCache>
                  <c:formatCode>General</c:formatCode>
                  <c:ptCount val="1"/>
                  <c:pt idx="0">
                    <c:v>0.26870397492424902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'24M_Seeds'!$AN$111</c:f>
              <c:numCache>
                <c:formatCode>0.00</c:formatCode>
                <c:ptCount val="1"/>
                <c:pt idx="0">
                  <c:v>97.244615938680781</c:v>
                </c:pt>
              </c:numCache>
            </c:numRef>
          </c:xVal>
          <c:yVal>
            <c:numRef>
              <c:f>'24M_Seeds'!$AN$113</c:f>
              <c:numCache>
                <c:formatCode>0.00</c:formatCode>
                <c:ptCount val="1"/>
                <c:pt idx="0">
                  <c:v>94.37942297223735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AB-4C66-B2F7-67BAC0A49CE5}"/>
            </c:ext>
          </c:extLst>
        </c:ser>
        <c:ser>
          <c:idx val="0"/>
          <c:order val="3"/>
          <c:tx>
            <c:strRef>
              <c:f>'24M_Seeds'!$W$14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'24M_Seeds'!$AO$112</c:f>
                <c:numCache>
                  <c:formatCode>General</c:formatCode>
                  <c:ptCount val="1"/>
                  <c:pt idx="0">
                    <c:v>0.66504223515134753</c:v>
                  </c:pt>
                </c:numCache>
              </c:numRef>
            </c:plus>
            <c:minus>
              <c:numRef>
                <c:f>'24M_Seeds'!$AO$112</c:f>
                <c:numCache>
                  <c:formatCode>General</c:formatCode>
                  <c:ptCount val="1"/>
                  <c:pt idx="0">
                    <c:v>0.66504223515134753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'24M_Seeds'!$AO$114</c:f>
                <c:numCache>
                  <c:formatCode>General</c:formatCode>
                  <c:ptCount val="1"/>
                  <c:pt idx="0">
                    <c:v>0.54172782493243543</c:v>
                  </c:pt>
                </c:numCache>
              </c:numRef>
            </c:plus>
            <c:minus>
              <c:numRef>
                <c:f>'24M_Seeds'!$AO$114</c:f>
                <c:numCache>
                  <c:formatCode>General</c:formatCode>
                  <c:ptCount val="1"/>
                  <c:pt idx="0">
                    <c:v>0.54172782493243543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'24M_Seeds'!$AO$111</c:f>
              <c:numCache>
                <c:formatCode>0.00</c:formatCode>
                <c:ptCount val="1"/>
                <c:pt idx="0">
                  <c:v>92.399490667283459</c:v>
                </c:pt>
              </c:numCache>
            </c:numRef>
          </c:xVal>
          <c:yVal>
            <c:numRef>
              <c:f>'24M_Seeds'!$AO$113</c:f>
              <c:numCache>
                <c:formatCode>0.00</c:formatCode>
                <c:ptCount val="1"/>
                <c:pt idx="0">
                  <c:v>91.546626231993926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AB-4C66-B2F7-67BAC0A49CE5}"/>
            </c:ext>
          </c:extLst>
        </c:ser>
        <c:ser>
          <c:idx val="6"/>
          <c:order val="4"/>
          <c:tx>
            <c:strRef>
              <c:f>'24M_Seeds'!$X$14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'24M_Seeds'!$AP$112</c:f>
                <c:numCache>
                  <c:formatCode>General</c:formatCode>
                  <c:ptCount val="1"/>
                  <c:pt idx="0">
                    <c:v>1.7097909686991446</c:v>
                  </c:pt>
                </c:numCache>
              </c:numRef>
            </c:plus>
            <c:minus>
              <c:numRef>
                <c:f>'24M_Seeds'!$AP$112</c:f>
                <c:numCache>
                  <c:formatCode>General</c:formatCode>
                  <c:ptCount val="1"/>
                  <c:pt idx="0">
                    <c:v>1.7097909686991446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'24M_Seeds'!$AP$114</c:f>
                <c:numCache>
                  <c:formatCode>General</c:formatCode>
                  <c:ptCount val="1"/>
                  <c:pt idx="0">
                    <c:v>1.070441875992074</c:v>
                  </c:pt>
                </c:numCache>
              </c:numRef>
            </c:plus>
            <c:minus>
              <c:numRef>
                <c:f>'24M_Seeds'!$AP$114</c:f>
                <c:numCache>
                  <c:formatCode>General</c:formatCode>
                  <c:ptCount val="1"/>
                  <c:pt idx="0">
                    <c:v>1.070441875992074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'24M_Seeds'!$AP$111</c:f>
              <c:numCache>
                <c:formatCode>0.00</c:formatCode>
                <c:ptCount val="1"/>
                <c:pt idx="0">
                  <c:v>86.541682457195208</c:v>
                </c:pt>
              </c:numCache>
            </c:numRef>
          </c:xVal>
          <c:yVal>
            <c:numRef>
              <c:f>'24M_Seeds'!$AP$113</c:f>
              <c:numCache>
                <c:formatCode>0.00</c:formatCode>
                <c:ptCount val="1"/>
                <c:pt idx="0">
                  <c:v>86.969696969696969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AB-4C66-B2F7-67BAC0A49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GUE Mode Classification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Acc. Derived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Area (%) ± SE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GUE_all!$D$3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(GUE_all!$D$18,GUE_all!$D$66,GUE_all!$D$114,GUE_all!$D$162,GUE_all!$D$210,GUE_all!$D$258,GUE_all!$D$306,GUE_all!$D$354,GUE_all!$D$402,GUE_all!$D$450,GUE_all!$D$498)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4.9641426139407264E-5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</c:numCache>
              </c:numRef>
            </c:plus>
            <c:minus>
              <c:numRef>
                <c:f>(GUE_all!$D$18,GUE_all!$D$66,GUE_all!$D$114,GUE_all!$D$162,GUE_all!$D$210,GUE_all!$D$258,GUE_all!$D$306,GUE_all!$D$354,GUE_all!$D$402,GUE_all!$D$450,GUE_all!$D$498)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4.9641426139407264E-5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(GUE_all!$D$15,GUE_all!$D$63,GUE_all!$D$111,GUE_all!$D$159,GUE_all!$D$207,GUE_all!$D$255,GUE_all!$D$303,GUE_all!$D$351,GUE_all!$D$399,GUE_all!$D$447,GUE_all!$D$495)</c:f>
              <c:numCache>
                <c:formatCode>0.00%</c:formatCode>
                <c:ptCount val="11"/>
                <c:pt idx="0">
                  <c:v>1.5180581354485669E-2</c:v>
                </c:pt>
                <c:pt idx="1">
                  <c:v>1.1123198955770873E-2</c:v>
                </c:pt>
                <c:pt idx="2">
                  <c:v>1.1638937697675586E-2</c:v>
                </c:pt>
                <c:pt idx="3">
                  <c:v>1.2758120387569656E-2</c:v>
                </c:pt>
                <c:pt idx="4">
                  <c:v>1.319569255484713E-2</c:v>
                </c:pt>
                <c:pt idx="5">
                  <c:v>1.0566393895275866E-2</c:v>
                </c:pt>
                <c:pt idx="6">
                  <c:v>1.2832284652456349E-2</c:v>
                </c:pt>
                <c:pt idx="7">
                  <c:v>1.4667453185400874E-2</c:v>
                </c:pt>
                <c:pt idx="8">
                  <c:v>1.3095336111250567E-2</c:v>
                </c:pt>
                <c:pt idx="9">
                  <c:v>1.5055273859129475E-2</c:v>
                </c:pt>
                <c:pt idx="10">
                  <c:v>1.6963702997138411E-2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FD-49D9-8F1E-0FD202F908F4}"/>
            </c:ext>
          </c:extLst>
        </c:ser>
        <c:ser>
          <c:idx val="1"/>
          <c:order val="1"/>
          <c:tx>
            <c:strRef>
              <c:f>GUE_all!$E$3</c:f>
              <c:strCache>
                <c:ptCount val="1"/>
                <c:pt idx="0">
                  <c:v>Bare-Rock-Built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(GUE_all!$E$18,GUE_all!$E$66,GUE_all!$E$114,GUE_all!$E$162,GUE_all!$E$210,GUE_all!$E$258,GUE_all!$E$306,GUE_all!$E$354,GUE_all!$E$402,GUE_all!$E$450,GUE_all!$E$498)</c:f>
                <c:numCache>
                  <c:formatCode>General</c:formatCode>
                  <c:ptCount val="11"/>
                  <c:pt idx="0">
                    <c:v>2.7226956347253983E-3</c:v>
                  </c:pt>
                  <c:pt idx="1">
                    <c:v>1.00298952862654E-3</c:v>
                  </c:pt>
                  <c:pt idx="2">
                    <c:v>7.6035392512203699E-4</c:v>
                  </c:pt>
                  <c:pt idx="3">
                    <c:v>1.9494590022030482E-3</c:v>
                  </c:pt>
                  <c:pt idx="4">
                    <c:v>1.0490801299953736E-3</c:v>
                  </c:pt>
                  <c:pt idx="5">
                    <c:v>1.1047180852679481E-3</c:v>
                  </c:pt>
                  <c:pt idx="6">
                    <c:v>1.3656470382316388E-3</c:v>
                  </c:pt>
                  <c:pt idx="7">
                    <c:v>1.4505111337210568E-3</c:v>
                  </c:pt>
                  <c:pt idx="8">
                    <c:v>1.0359633202624324E-3</c:v>
                  </c:pt>
                  <c:pt idx="9">
                    <c:v>1.2687435525200103E-3</c:v>
                  </c:pt>
                  <c:pt idx="10">
                    <c:v>1.8197990245725551E-3</c:v>
                  </c:pt>
                </c:numCache>
              </c:numRef>
            </c:plus>
            <c:minus>
              <c:numRef>
                <c:f>(GUE_all!$E$18,GUE_all!$E$66,GUE_all!$E$114,GUE_all!$E$162,GUE_all!$E$210,GUE_all!$E$258,GUE_all!$E$306,GUE_all!$E$354,GUE_all!$E$402,GUE_all!$E$450,GUE_all!$E$498)</c:f>
                <c:numCache>
                  <c:formatCode>General</c:formatCode>
                  <c:ptCount val="11"/>
                  <c:pt idx="0">
                    <c:v>2.7226956347253983E-3</c:v>
                  </c:pt>
                  <c:pt idx="1">
                    <c:v>1.00298952862654E-3</c:v>
                  </c:pt>
                  <c:pt idx="2">
                    <c:v>7.6035392512203699E-4</c:v>
                  </c:pt>
                  <c:pt idx="3">
                    <c:v>1.9494590022030482E-3</c:v>
                  </c:pt>
                  <c:pt idx="4">
                    <c:v>1.0490801299953736E-3</c:v>
                  </c:pt>
                  <c:pt idx="5">
                    <c:v>1.1047180852679481E-3</c:v>
                  </c:pt>
                  <c:pt idx="6">
                    <c:v>1.3656470382316388E-3</c:v>
                  </c:pt>
                  <c:pt idx="7">
                    <c:v>1.4505111337210568E-3</c:v>
                  </c:pt>
                  <c:pt idx="8">
                    <c:v>1.0359633202624324E-3</c:v>
                  </c:pt>
                  <c:pt idx="9">
                    <c:v>1.2687435525200103E-3</c:v>
                  </c:pt>
                  <c:pt idx="10">
                    <c:v>1.8197990245725551E-3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(GUE_all!$E$15,GUE_all!$E$63,GUE_all!$E$111,GUE_all!$E$159,GUE_all!$E$207,GUE_all!$E$255,GUE_all!$E$303,GUE_all!$E$351,GUE_all!$E$399,GUE_all!$E$447,GUE_all!$E$495)</c:f>
              <c:numCache>
                <c:formatCode>0.00%</c:formatCode>
                <c:ptCount val="11"/>
                <c:pt idx="0">
                  <c:v>9.4332576359513545E-2</c:v>
                </c:pt>
                <c:pt idx="1">
                  <c:v>4.4243236661963045E-2</c:v>
                </c:pt>
                <c:pt idx="2">
                  <c:v>6.7301841114960625E-2</c:v>
                </c:pt>
                <c:pt idx="3">
                  <c:v>8.3097794752901313E-2</c:v>
                </c:pt>
                <c:pt idx="4">
                  <c:v>5.3615329996618277E-2</c:v>
                </c:pt>
                <c:pt idx="5">
                  <c:v>4.4280217153166185E-2</c:v>
                </c:pt>
                <c:pt idx="6">
                  <c:v>5.546751743249189E-2</c:v>
                </c:pt>
                <c:pt idx="7">
                  <c:v>5.8534127906758993E-2</c:v>
                </c:pt>
                <c:pt idx="8">
                  <c:v>4.5254291349622333E-2</c:v>
                </c:pt>
                <c:pt idx="9">
                  <c:v>4.9273685035983485E-2</c:v>
                </c:pt>
                <c:pt idx="10">
                  <c:v>7.0762715875936605E-2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FD-49D9-8F1E-0FD202F908F4}"/>
            </c:ext>
          </c:extLst>
        </c:ser>
        <c:ser>
          <c:idx val="2"/>
          <c:order val="2"/>
          <c:tx>
            <c:strRef>
              <c:f>GUE_all!$F$3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(GUE_all!$F$18,GUE_all!$F$66,GUE_all!$F$114,GUE_all!$F$162,GUE_all!$F$210,GUE_all!$F$258,GUE_all!$F$306,GUE_all!$F$354,GUE_all!$F$402,GUE_all!$F$450,GUE_all!$F$498)</c:f>
                <c:numCache>
                  <c:formatCode>General</c:formatCode>
                  <c:ptCount val="11"/>
                  <c:pt idx="0">
                    <c:v>3.3385677183990674E-3</c:v>
                  </c:pt>
                  <c:pt idx="1">
                    <c:v>4.8256806230132275E-3</c:v>
                  </c:pt>
                  <c:pt idx="2">
                    <c:v>1.4025263387850873E-3</c:v>
                  </c:pt>
                  <c:pt idx="3">
                    <c:v>1.9506442514975303E-3</c:v>
                  </c:pt>
                  <c:pt idx="4">
                    <c:v>1.8766508019061601E-3</c:v>
                  </c:pt>
                  <c:pt idx="5">
                    <c:v>1.5371563220310379E-3</c:v>
                  </c:pt>
                  <c:pt idx="6">
                    <c:v>1.6644057790033123E-3</c:v>
                  </c:pt>
                  <c:pt idx="7">
                    <c:v>1.6967472562343636E-3</c:v>
                  </c:pt>
                  <c:pt idx="8">
                    <c:v>1.40112264453015E-3</c:v>
                  </c:pt>
                  <c:pt idx="9">
                    <c:v>1.8597634483213691E-3</c:v>
                  </c:pt>
                  <c:pt idx="10">
                    <c:v>2.1196665773736073E-3</c:v>
                  </c:pt>
                </c:numCache>
              </c:numRef>
            </c:plus>
            <c:minus>
              <c:numRef>
                <c:f>(GUE_all!$F$18,GUE_all!$F$66,GUE_all!$F$114,GUE_all!$F$162,GUE_all!$F$210,GUE_all!$F$258,GUE_all!$F$306,GUE_all!$F$354,GUE_all!$F$402,GUE_all!$F$450,GUE_all!$F$498)</c:f>
                <c:numCache>
                  <c:formatCode>General</c:formatCode>
                  <c:ptCount val="11"/>
                  <c:pt idx="0">
                    <c:v>3.3385677183990674E-3</c:v>
                  </c:pt>
                  <c:pt idx="1">
                    <c:v>4.8256806230132275E-3</c:v>
                  </c:pt>
                  <c:pt idx="2">
                    <c:v>1.4025263387850873E-3</c:v>
                  </c:pt>
                  <c:pt idx="3">
                    <c:v>1.9506442514975303E-3</c:v>
                  </c:pt>
                  <c:pt idx="4">
                    <c:v>1.8766508019061601E-3</c:v>
                  </c:pt>
                  <c:pt idx="5">
                    <c:v>1.5371563220310379E-3</c:v>
                  </c:pt>
                  <c:pt idx="6">
                    <c:v>1.6644057790033123E-3</c:v>
                  </c:pt>
                  <c:pt idx="7">
                    <c:v>1.6967472562343636E-3</c:v>
                  </c:pt>
                  <c:pt idx="8">
                    <c:v>1.40112264453015E-3</c:v>
                  </c:pt>
                  <c:pt idx="9">
                    <c:v>1.8597634483213691E-3</c:v>
                  </c:pt>
                  <c:pt idx="10">
                    <c:v>2.1196665773736073E-3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(GUE_all!$F$15,GUE_all!$F$63,GUE_all!$F$111,GUE_all!$F$159,GUE_all!$F$207,GUE_all!$F$255,GUE_all!$F$303,GUE_all!$F$351,GUE_all!$F$399,GUE_all!$F$447,GUE_all!$F$495)</c:f>
              <c:numCache>
                <c:formatCode>0.00%</c:formatCode>
                <c:ptCount val="11"/>
                <c:pt idx="0">
                  <c:v>0.40402077104156087</c:v>
                </c:pt>
                <c:pt idx="1">
                  <c:v>0.53011689655696093</c:v>
                </c:pt>
                <c:pt idx="2">
                  <c:v>0.58702047076133845</c:v>
                </c:pt>
                <c:pt idx="3">
                  <c:v>0.51454524176281691</c:v>
                </c:pt>
                <c:pt idx="4">
                  <c:v>0.5199337076748004</c:v>
                </c:pt>
                <c:pt idx="5">
                  <c:v>0.45680105084235706</c:v>
                </c:pt>
                <c:pt idx="6">
                  <c:v>0.55218372232423507</c:v>
                </c:pt>
                <c:pt idx="7">
                  <c:v>0.56290839678095694</c:v>
                </c:pt>
                <c:pt idx="8">
                  <c:v>0.53515740945046542</c:v>
                </c:pt>
                <c:pt idx="9">
                  <c:v>0.63110004363651406</c:v>
                </c:pt>
                <c:pt idx="10">
                  <c:v>0.61075505366877314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FD-49D9-8F1E-0FD202F908F4}"/>
            </c:ext>
          </c:extLst>
        </c:ser>
        <c:ser>
          <c:idx val="3"/>
          <c:order val="3"/>
          <c:tx>
            <c:strRef>
              <c:f>GUE_all!$G$3</c:f>
              <c:strCache>
                <c:ptCount val="1"/>
                <c:pt idx="0">
                  <c:v>Forest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(GUE_all!$G$18,GUE_all!$G$66,GUE_all!$G$114,GUE_all!$G$162,GUE_all!$G$210,GUE_all!$G$258,GUE_all!$G$306,GUE_all!$G$354,GUE_all!$G$402,GUE_all!$G$450,GUE_all!$G$498)</c:f>
                <c:numCache>
                  <c:formatCode>General</c:formatCode>
                  <c:ptCount val="11"/>
                  <c:pt idx="0">
                    <c:v>5.5452967972648738E-3</c:v>
                  </c:pt>
                  <c:pt idx="1">
                    <c:v>5.1825819743713938E-3</c:v>
                  </c:pt>
                  <c:pt idx="2">
                    <c:v>1.8069108934145946E-3</c:v>
                  </c:pt>
                  <c:pt idx="3">
                    <c:v>1.3953256294230462E-3</c:v>
                  </c:pt>
                  <c:pt idx="4">
                    <c:v>1.8517477093306577E-3</c:v>
                  </c:pt>
                  <c:pt idx="5">
                    <c:v>1.7983711694299297E-3</c:v>
                  </c:pt>
                  <c:pt idx="6">
                    <c:v>1.8017895447944548E-3</c:v>
                  </c:pt>
                  <c:pt idx="7">
                    <c:v>1.7068019302304163E-3</c:v>
                  </c:pt>
                  <c:pt idx="8">
                    <c:v>1.659070393590047E-3</c:v>
                  </c:pt>
                  <c:pt idx="9">
                    <c:v>1.914851072156813E-3</c:v>
                  </c:pt>
                  <c:pt idx="10">
                    <c:v>1.5836501375847637E-3</c:v>
                  </c:pt>
                </c:numCache>
              </c:numRef>
            </c:plus>
            <c:minus>
              <c:numRef>
                <c:f>(GUE_all!$G$18,GUE_all!$G$66,GUE_all!$G$114,GUE_all!$G$162,GUE_all!$G$210,GUE_all!$G$258,GUE_all!$G$306,GUE_all!$G$354,GUE_all!$G$402,GUE_all!$G$450,GUE_all!$G$498)</c:f>
                <c:numCache>
                  <c:formatCode>General</c:formatCode>
                  <c:ptCount val="11"/>
                  <c:pt idx="0">
                    <c:v>5.5452967972648738E-3</c:v>
                  </c:pt>
                  <c:pt idx="1">
                    <c:v>5.1825819743713938E-3</c:v>
                  </c:pt>
                  <c:pt idx="2">
                    <c:v>1.8069108934145946E-3</c:v>
                  </c:pt>
                  <c:pt idx="3">
                    <c:v>1.3953256294230462E-3</c:v>
                  </c:pt>
                  <c:pt idx="4">
                    <c:v>1.8517477093306577E-3</c:v>
                  </c:pt>
                  <c:pt idx="5">
                    <c:v>1.7983711694299297E-3</c:v>
                  </c:pt>
                  <c:pt idx="6">
                    <c:v>1.8017895447944548E-3</c:v>
                  </c:pt>
                  <c:pt idx="7">
                    <c:v>1.7068019302304163E-3</c:v>
                  </c:pt>
                  <c:pt idx="8">
                    <c:v>1.659070393590047E-3</c:v>
                  </c:pt>
                  <c:pt idx="9">
                    <c:v>1.914851072156813E-3</c:v>
                  </c:pt>
                  <c:pt idx="10">
                    <c:v>1.5836501375847637E-3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(GUE_all!$G$15,GUE_all!$G$63,GUE_all!$G$111,GUE_all!$G$159,GUE_all!$G$207,GUE_all!$G$255,GUE_all!$G$303,GUE_all!$G$351,GUE_all!$G$399,GUE_all!$G$447,GUE_all!$G$495)</c:f>
              <c:numCache>
                <c:formatCode>0.00%</c:formatCode>
                <c:ptCount val="11"/>
                <c:pt idx="0">
                  <c:v>0.28580237489825921</c:v>
                </c:pt>
                <c:pt idx="1">
                  <c:v>0.19967356335229797</c:v>
                </c:pt>
                <c:pt idx="2">
                  <c:v>0.21763606009926326</c:v>
                </c:pt>
                <c:pt idx="3">
                  <c:v>0.19649173607396825</c:v>
                </c:pt>
                <c:pt idx="4">
                  <c:v>0.21461102343193489</c:v>
                </c:pt>
                <c:pt idx="5">
                  <c:v>0.19543120526082514</c:v>
                </c:pt>
                <c:pt idx="6">
                  <c:v>0.23359770572117211</c:v>
                </c:pt>
                <c:pt idx="7">
                  <c:v>0.27596200404094579</c:v>
                </c:pt>
                <c:pt idx="8">
                  <c:v>0.24603098565472364</c:v>
                </c:pt>
                <c:pt idx="9">
                  <c:v>0.21371128698657191</c:v>
                </c:pt>
                <c:pt idx="10">
                  <c:v>0.20204869949202478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FD-49D9-8F1E-0FD202F908F4}"/>
            </c:ext>
          </c:extLst>
        </c:ser>
        <c:ser>
          <c:idx val="4"/>
          <c:order val="4"/>
          <c:tx>
            <c:strRef>
              <c:f>GUE_all!$H$3</c:f>
              <c:strCache>
                <c:ptCount val="1"/>
                <c:pt idx="0">
                  <c:v>Shrubland-Wetland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(GUE_all!$H$18,GUE_all!$H$66,GUE_all!$H$114,GUE_all!$H$162,GUE_all!$H$210,GUE_all!$H$258,GUE_all!$H$306,GUE_all!$H$354,GUE_all!$H$402,GUE_all!$H$450,GUE_all!$H$498)</c:f>
                <c:numCache>
                  <c:formatCode>General</c:formatCode>
                  <c:ptCount val="11"/>
                  <c:pt idx="0">
                    <c:v>5.4099035724718414E-3</c:v>
                  </c:pt>
                  <c:pt idx="1">
                    <c:v>6.2012159177279279E-3</c:v>
                  </c:pt>
                  <c:pt idx="2">
                    <c:v>1.8413767672579703E-3</c:v>
                  </c:pt>
                  <c:pt idx="3">
                    <c:v>1.6230189870912247E-3</c:v>
                  </c:pt>
                  <c:pt idx="4">
                    <c:v>1.7599896385209694E-3</c:v>
                  </c:pt>
                  <c:pt idx="5">
                    <c:v>1.6840511536006437E-3</c:v>
                  </c:pt>
                  <c:pt idx="6">
                    <c:v>1.5387212373828996E-3</c:v>
                  </c:pt>
                  <c:pt idx="7">
                    <c:v>1.6134328481063915E-3</c:v>
                  </c:pt>
                  <c:pt idx="8">
                    <c:v>1.510052727446691E-3</c:v>
                  </c:pt>
                  <c:pt idx="9">
                    <c:v>1.590934319230684E-3</c:v>
                  </c:pt>
                  <c:pt idx="10">
                    <c:v>1.4222102828599095E-3</c:v>
                  </c:pt>
                </c:numCache>
              </c:numRef>
            </c:plus>
            <c:minus>
              <c:numRef>
                <c:f>(GUE_all!$H$18,GUE_all!$H$66,GUE_all!$H$114,GUE_all!$H$162,GUE_all!$H$210,GUE_all!$H$258,GUE_all!$H$306,GUE_all!$H$354,GUE_all!$H$402,GUE_all!$H$450,GUE_all!$H$498)</c:f>
                <c:numCache>
                  <c:formatCode>General</c:formatCode>
                  <c:ptCount val="11"/>
                  <c:pt idx="0">
                    <c:v>5.4099035724718414E-3</c:v>
                  </c:pt>
                  <c:pt idx="1">
                    <c:v>6.2012159177279279E-3</c:v>
                  </c:pt>
                  <c:pt idx="2">
                    <c:v>1.8413767672579703E-3</c:v>
                  </c:pt>
                  <c:pt idx="3">
                    <c:v>1.6230189870912247E-3</c:v>
                  </c:pt>
                  <c:pt idx="4">
                    <c:v>1.7599896385209694E-3</c:v>
                  </c:pt>
                  <c:pt idx="5">
                    <c:v>1.6840511536006437E-3</c:v>
                  </c:pt>
                  <c:pt idx="6">
                    <c:v>1.5387212373828996E-3</c:v>
                  </c:pt>
                  <c:pt idx="7">
                    <c:v>1.6134328481063915E-3</c:v>
                  </c:pt>
                  <c:pt idx="8">
                    <c:v>1.510052727446691E-3</c:v>
                  </c:pt>
                  <c:pt idx="9">
                    <c:v>1.590934319230684E-3</c:v>
                  </c:pt>
                  <c:pt idx="10">
                    <c:v>1.4222102828599095E-3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(GUE_all!$H$15,GUE_all!$H$63,GUE_all!$H$111,GUE_all!$H$159,GUE_all!$H$207,GUE_all!$H$255,GUE_all!$H$303,GUE_all!$H$351,GUE_all!$H$399,GUE_all!$H$447,GUE_all!$H$495)</c:f>
              <c:numCache>
                <c:formatCode>0.00%</c:formatCode>
                <c:ptCount val="11"/>
                <c:pt idx="0">
                  <c:v>0.16844009074348987</c:v>
                </c:pt>
                <c:pt idx="1">
                  <c:v>0.20568044570499688</c:v>
                </c:pt>
                <c:pt idx="2">
                  <c:v>0.11233832966608644</c:v>
                </c:pt>
                <c:pt idx="3">
                  <c:v>8.8313442682164386E-2</c:v>
                </c:pt>
                <c:pt idx="4">
                  <c:v>0.11505350383464516</c:v>
                </c:pt>
                <c:pt idx="5">
                  <c:v>7.5518853617490778E-2</c:v>
                </c:pt>
                <c:pt idx="6">
                  <c:v>9.8772427181758576E-2</c:v>
                </c:pt>
                <c:pt idx="7">
                  <c:v>8.256309012770649E-2</c:v>
                </c:pt>
                <c:pt idx="8">
                  <c:v>8.6115273282123123E-2</c:v>
                </c:pt>
                <c:pt idx="9">
                  <c:v>8.1778180284502011E-2</c:v>
                </c:pt>
                <c:pt idx="10">
                  <c:v>9.3935765011159439E-2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FD-49D9-8F1E-0FD202F908F4}"/>
            </c:ext>
          </c:extLst>
        </c:ser>
        <c:ser>
          <c:idx val="5"/>
          <c:order val="5"/>
          <c:tx>
            <c:strRef>
              <c:f>GUE_all!$I$5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(GUE_all!$I$15,GUE_all!$I$63,GUE_all!$I$111,GUE_all!$I$159,GUE_all!$I$207,GUE_all!$I$255,GUE_all!$I$303,GUE_all!$I$351,GUE_all!$I$399,GUE_all!$I$447,GUE_all!$I$495)</c:f>
              <c:numCache>
                <c:formatCode>0.00%</c:formatCode>
                <c:ptCount val="11"/>
                <c:pt idx="0">
                  <c:v>3.2223605602690872E-2</c:v>
                </c:pt>
                <c:pt idx="1">
                  <c:v>9.1626587680103729E-3</c:v>
                </c:pt>
                <c:pt idx="2">
                  <c:v>4.0643606606756725E-3</c:v>
                </c:pt>
                <c:pt idx="3">
                  <c:v>0.10479366434057952</c:v>
                </c:pt>
                <c:pt idx="4">
                  <c:v>8.3590742507154134E-2</c:v>
                </c:pt>
                <c:pt idx="5">
                  <c:v>0.21740227923088487</c:v>
                </c:pt>
                <c:pt idx="6">
                  <c:v>4.714634268788602E-2</c:v>
                </c:pt>
                <c:pt idx="7">
                  <c:v>5.3649279582309046E-3</c:v>
                </c:pt>
                <c:pt idx="8">
                  <c:v>7.4346704151814824E-2</c:v>
                </c:pt>
                <c:pt idx="9">
                  <c:v>9.0815301972991189E-3</c:v>
                </c:pt>
                <c:pt idx="10">
                  <c:v>5.5340629549677006E-3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FD-49D9-8F1E-0FD202F90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65000000000000013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5.000000000000001E-2"/>
        <c:minorUnit val="2.5000000000000005E-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GUE PA Mode Classification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GUE_all!$D$3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(GUE_all!$D$36,GUE_all!$D$84,GUE_all!$D$132,GUE_all!$D$180,GUE_all!$D$228,GUE_all!$D$276,GUE_all!$D$324,GUE_all!$D$372,GUE_all!$D$420,GUE_all!$D$468,GUE_all!$D$516)</c:f>
              <c:numCache>
                <c:formatCode>0.00%</c:formatCode>
                <c:ptCount val="11"/>
                <c:pt idx="0">
                  <c:v>5.9687102772139448E-3</c:v>
                </c:pt>
                <c:pt idx="1">
                  <c:v>1.4673607245274955E-3</c:v>
                </c:pt>
                <c:pt idx="2">
                  <c:v>7.2181894689517668E-4</c:v>
                </c:pt>
                <c:pt idx="3">
                  <c:v>1.7967165299072347E-3</c:v>
                </c:pt>
                <c:pt idx="4">
                  <c:v>9.4246430462509995E-4</c:v>
                </c:pt>
                <c:pt idx="5">
                  <c:v>7.4346890892713164E-4</c:v>
                </c:pt>
                <c:pt idx="6">
                  <c:v>7.4531145888729797E-4</c:v>
                </c:pt>
                <c:pt idx="7">
                  <c:v>9.4154302964501678E-4</c:v>
                </c:pt>
                <c:pt idx="8">
                  <c:v>9.11831911537334E-4</c:v>
                </c:pt>
                <c:pt idx="9">
                  <c:v>3.8983750782220039E-3</c:v>
                </c:pt>
                <c:pt idx="10">
                  <c:v>3.085349908298592E-3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B-4E0B-B0AC-A5CD2EAF1D34}"/>
            </c:ext>
          </c:extLst>
        </c:ser>
        <c:ser>
          <c:idx val="1"/>
          <c:order val="1"/>
          <c:tx>
            <c:strRef>
              <c:f>GUE_all!$E$3</c:f>
              <c:strCache>
                <c:ptCount val="1"/>
                <c:pt idx="0">
                  <c:v>Bare-Rock-Built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(GUE_all!$E$36,GUE_all!$E$84,GUE_all!$E$132,GUE_all!$E$180,GUE_all!$E$228,GUE_all!$E$276,GUE_all!$E$324,GUE_all!$E$372,GUE_all!$E$420,GUE_all!$E$468,GUE_all!$E$516)</c:f>
              <c:numCache>
                <c:formatCode>0.00%</c:formatCode>
                <c:ptCount val="11"/>
                <c:pt idx="0">
                  <c:v>1.528855829448048E-3</c:v>
                </c:pt>
                <c:pt idx="1">
                  <c:v>6.4903822346860495E-4</c:v>
                </c:pt>
                <c:pt idx="2">
                  <c:v>2.0956702609442285E-3</c:v>
                </c:pt>
                <c:pt idx="3">
                  <c:v>1.778636508423102E-2</c:v>
                </c:pt>
                <c:pt idx="4">
                  <c:v>5.4293037763752392E-3</c:v>
                </c:pt>
                <c:pt idx="5">
                  <c:v>1.7177172003651014E-3</c:v>
                </c:pt>
                <c:pt idx="6">
                  <c:v>1.317768699636488E-2</c:v>
                </c:pt>
                <c:pt idx="7">
                  <c:v>1.0832351215818109E-2</c:v>
                </c:pt>
                <c:pt idx="8">
                  <c:v>6.5032800844072149E-3</c:v>
                </c:pt>
                <c:pt idx="9">
                  <c:v>1.0141394980755718E-2</c:v>
                </c:pt>
                <c:pt idx="10">
                  <c:v>1.7846478276681451E-2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B-4E0B-B0AC-A5CD2EAF1D34}"/>
            </c:ext>
          </c:extLst>
        </c:ser>
        <c:ser>
          <c:idx val="2"/>
          <c:order val="2"/>
          <c:tx>
            <c:strRef>
              <c:f>GUE_all!$F$3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(GUE_all!$F$36,GUE_all!$F$84,GUE_all!$F$132,GUE_all!$F$180,GUE_all!$F$228,GUE_all!$F$276,GUE_all!$F$324,GUE_all!$F$372,GUE_all!$F$420,GUE_all!$F$468,GUE_all!$F$516)</c:f>
              <c:numCache>
                <c:formatCode>0.00%</c:formatCode>
                <c:ptCount val="11"/>
                <c:pt idx="0">
                  <c:v>0.2277886936067432</c:v>
                </c:pt>
                <c:pt idx="1">
                  <c:v>0.2795454613503266</c:v>
                </c:pt>
                <c:pt idx="2">
                  <c:v>0.37596771299704801</c:v>
                </c:pt>
                <c:pt idx="3">
                  <c:v>0.35942691168588947</c:v>
                </c:pt>
                <c:pt idx="4">
                  <c:v>0.36980231051158635</c:v>
                </c:pt>
                <c:pt idx="5">
                  <c:v>0.29615950402240176</c:v>
                </c:pt>
                <c:pt idx="6">
                  <c:v>0.36867305770474934</c:v>
                </c:pt>
                <c:pt idx="7">
                  <c:v>0.37659233743354442</c:v>
                </c:pt>
                <c:pt idx="8">
                  <c:v>0.37570192516529405</c:v>
                </c:pt>
                <c:pt idx="9">
                  <c:v>0.4236699495532853</c:v>
                </c:pt>
                <c:pt idx="10">
                  <c:v>0.42228573389571034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B-4E0B-B0AC-A5CD2EAF1D34}"/>
            </c:ext>
          </c:extLst>
        </c:ser>
        <c:ser>
          <c:idx val="3"/>
          <c:order val="3"/>
          <c:tx>
            <c:strRef>
              <c:f>GUE_all!$G$3</c:f>
              <c:strCache>
                <c:ptCount val="1"/>
                <c:pt idx="0">
                  <c:v>Forest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(GUE_all!$G$36,GUE_all!$G$84,GUE_all!$G$132,GUE_all!$G$180,GUE_all!$G$228,GUE_all!$G$276,GUE_all!$G$324,GUE_all!$G$372,GUE_all!$G$420,GUE_all!$G$468,GUE_all!$G$516)</c:f>
              <c:numCache>
                <c:formatCode>0.00%</c:formatCode>
                <c:ptCount val="11"/>
                <c:pt idx="0">
                  <c:v>0.426159004230725</c:v>
                </c:pt>
                <c:pt idx="1">
                  <c:v>0.35668911276382725</c:v>
                </c:pt>
                <c:pt idx="2">
                  <c:v>0.3475194325683143</c:v>
                </c:pt>
                <c:pt idx="3">
                  <c:v>0.29417392612157744</c:v>
                </c:pt>
                <c:pt idx="4">
                  <c:v>0.34023675385075669</c:v>
                </c:pt>
                <c:pt idx="5">
                  <c:v>0.29362853133336825</c:v>
                </c:pt>
                <c:pt idx="6">
                  <c:v>0.33989196668946053</c:v>
                </c:pt>
                <c:pt idx="7">
                  <c:v>0.34578121699964232</c:v>
                </c:pt>
                <c:pt idx="8">
                  <c:v>0.35493638711421899</c:v>
                </c:pt>
                <c:pt idx="9">
                  <c:v>0.34157536639681757</c:v>
                </c:pt>
                <c:pt idx="10">
                  <c:v>0.32419988995370363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B-4E0B-B0AC-A5CD2EAF1D34}"/>
            </c:ext>
          </c:extLst>
        </c:ser>
        <c:ser>
          <c:idx val="4"/>
          <c:order val="4"/>
          <c:tx>
            <c:strRef>
              <c:f>GUE_all!$H$3</c:f>
              <c:strCache>
                <c:ptCount val="1"/>
                <c:pt idx="0">
                  <c:v>Shrubland-Wetland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(GUE_all!$H$36,GUE_all!$H$84,GUE_all!$H$132,GUE_all!$H$180,GUE_all!$H$228,GUE_all!$H$276,GUE_all!$H$324,GUE_all!$H$372,GUE_all!$H$420,GUE_all!$H$468,GUE_all!$H$516)</c:f>
              <c:numCache>
                <c:formatCode>0.00%</c:formatCode>
                <c:ptCount val="11"/>
                <c:pt idx="0">
                  <c:v>0.33410313535210789</c:v>
                </c:pt>
                <c:pt idx="1">
                  <c:v>0.35714284069151825</c:v>
                </c:pt>
                <c:pt idx="2">
                  <c:v>0.26928591285337516</c:v>
                </c:pt>
                <c:pt idx="3">
                  <c:v>0.2560458094771097</c:v>
                </c:pt>
                <c:pt idx="4">
                  <c:v>0.2718832173409747</c:v>
                </c:pt>
                <c:pt idx="5">
                  <c:v>0.22399580451374071</c:v>
                </c:pt>
                <c:pt idx="6">
                  <c:v>0.23541201374818654</c:v>
                </c:pt>
                <c:pt idx="7">
                  <c:v>0.25938013394877579</c:v>
                </c:pt>
                <c:pt idx="8">
                  <c:v>0.23498154801374269</c:v>
                </c:pt>
                <c:pt idx="9">
                  <c:v>0.21633701528556418</c:v>
                </c:pt>
                <c:pt idx="10">
                  <c:v>0.22820464926025075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B-4E0B-B0AC-A5CD2EAF1D34}"/>
            </c:ext>
          </c:extLst>
        </c:ser>
        <c:ser>
          <c:idx val="5"/>
          <c:order val="5"/>
          <c:tx>
            <c:strRef>
              <c:f>GUE_all!$I$5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(GUE_all!$I$36,GUE_all!$I$84,GUE_all!$I$132,GUE_all!$I$180,GUE_all!$I$228,GUE_all!$I$276,GUE_all!$I$324,GUE_all!$I$372,GUE_all!$I$420,GUE_all!$I$468,GUE_all!$I$516)</c:f>
              <c:numCache>
                <c:formatCode>0.00%</c:formatCode>
                <c:ptCount val="11"/>
                <c:pt idx="0">
                  <c:v>4.4516007037619307E-3</c:v>
                </c:pt>
                <c:pt idx="1">
                  <c:v>4.5061862463317524E-3</c:v>
                </c:pt>
                <c:pt idx="2">
                  <c:v>4.4094523734230845E-3</c:v>
                </c:pt>
                <c:pt idx="3">
                  <c:v>7.0770271101285018E-2</c:v>
                </c:pt>
                <c:pt idx="4">
                  <c:v>1.1705950215681823E-2</c:v>
                </c:pt>
                <c:pt idx="5">
                  <c:v>0.18375497402119703</c:v>
                </c:pt>
                <c:pt idx="6">
                  <c:v>4.2099963402351288E-2</c:v>
                </c:pt>
                <c:pt idx="7">
                  <c:v>6.4724173725743536E-3</c:v>
                </c:pt>
                <c:pt idx="8">
                  <c:v>2.6965027710799734E-2</c:v>
                </c:pt>
                <c:pt idx="9">
                  <c:v>4.3778987053553426E-3</c:v>
                </c:pt>
                <c:pt idx="10">
                  <c:v>4.3778987053551752E-3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B-4E0B-B0AC-A5CD2EAF1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5.000000000000001E-2"/>
        <c:minorUnit val="1.0000000000000002E-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GUE Mode Classification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Acc. Derived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Area (kHa)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± CI</a:t>
            </a:r>
            <a:r>
              <a:rPr lang="en-US" sz="2160" b="0" i="0" u="none" strike="noStrike" kern="1200" cap="none" spc="0" baseline="-2500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95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GUE_all!$D$3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(GUE_all!$D$17,GUE_all!$D$65,GUE_all!$D$113,GUE_all!$D$161,GUE_all!$D$209,GUE_all!$D$257,GUE_all!$D$305,GUE_all!$D$353,GUE_all!$D$401,GUE_all!$D$449,GUE_all!$D$497)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19.380628318508723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</c:numCache>
              </c:numRef>
            </c:plus>
            <c:minus>
              <c:numRef>
                <c:f>(GUE_all!$D$17,GUE_all!$D$65,GUE_all!$D$113,GUE_all!$D$161,GUE_all!$D$209,GUE_all!$D$257,GUE_all!$D$305,GUE_all!$D$353,GUE_all!$D$401,GUE_all!$D$449,GUE_all!$D$497)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19.380628318508723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(GUE_all!$D$14,GUE_all!$D$62,GUE_all!$D$110,GUE_all!$D$158,GUE_all!$D$206,GUE_all!$D$254,GUE_all!$D$302,GUE_all!$D$350,GUE_all!$D$398,GUE_all!$D$446,GUE_all!$D$494)</c:f>
              <c:numCache>
                <c:formatCode>0.00</c:formatCode>
                <c:ptCount val="11"/>
                <c:pt idx="0">
                  <c:v>3023.82</c:v>
                </c:pt>
                <c:pt idx="1">
                  <c:v>2215.63</c:v>
                </c:pt>
                <c:pt idx="2">
                  <c:v>2318.36</c:v>
                </c:pt>
                <c:pt idx="3">
                  <c:v>2541.29</c:v>
                </c:pt>
                <c:pt idx="4">
                  <c:v>2628.45</c:v>
                </c:pt>
                <c:pt idx="5">
                  <c:v>2104.7199999999998</c:v>
                </c:pt>
                <c:pt idx="6">
                  <c:v>2556.06277992278</c:v>
                </c:pt>
                <c:pt idx="7">
                  <c:v>2921.61</c:v>
                </c:pt>
                <c:pt idx="8">
                  <c:v>2608.4600000000005</c:v>
                </c:pt>
                <c:pt idx="9">
                  <c:v>2998.86</c:v>
                </c:pt>
                <c:pt idx="10">
                  <c:v>3379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5-423A-A604-A44B4FDA058F}"/>
            </c:ext>
          </c:extLst>
        </c:ser>
        <c:ser>
          <c:idx val="1"/>
          <c:order val="1"/>
          <c:tx>
            <c:strRef>
              <c:f>GUE_all!$E$3</c:f>
              <c:strCache>
                <c:ptCount val="1"/>
                <c:pt idx="0">
                  <c:v>Bare-Rock-Built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(GUE_all!$E$17,GUE_all!$E$65,GUE_all!$E$113,GUE_all!$E$161,GUE_all!$E$209,GUE_all!$E$257,GUE_all!$E$305,GUE_all!$E$353,GUE_all!$E$401,GUE_all!$E$449,GUE_all!$E$497)</c:f>
                <c:numCache>
                  <c:formatCode>General</c:formatCode>
                  <c:ptCount val="11"/>
                  <c:pt idx="0">
                    <c:v>1062.9741372226661</c:v>
                  </c:pt>
                  <c:pt idx="1">
                    <c:v>391.57954904595618</c:v>
                  </c:pt>
                  <c:pt idx="2">
                    <c:v>296.85160075631478</c:v>
                  </c:pt>
                  <c:pt idx="3">
                    <c:v>761.0929677516973</c:v>
                  </c:pt>
                  <c:pt idx="4">
                    <c:v>409.57389134380583</c:v>
                  </c:pt>
                  <c:pt idx="5">
                    <c:v>431.29563899286427</c:v>
                  </c:pt>
                  <c:pt idx="6">
                    <c:v>533.16553774890588</c:v>
                  </c:pt>
                  <c:pt idx="7">
                    <c:v>566.29753294275872</c:v>
                  </c:pt>
                  <c:pt idx="8">
                    <c:v>404.4529261756249</c:v>
                  </c:pt>
                  <c:pt idx="9">
                    <c:v>495.33321532386333</c:v>
                  </c:pt>
                  <c:pt idx="10">
                    <c:v>710.47210470103028</c:v>
                  </c:pt>
                </c:numCache>
              </c:numRef>
            </c:plus>
            <c:minus>
              <c:numRef>
                <c:f>(GUE_all!$E$17,GUE_all!$E$65,GUE_all!$E$113,GUE_all!$E$161,GUE_all!$E$209,GUE_all!$E$257,GUE_all!$E$305,GUE_all!$E$353,GUE_all!$E$401,GUE_all!$E$449,GUE_all!$E$497)</c:f>
                <c:numCache>
                  <c:formatCode>General</c:formatCode>
                  <c:ptCount val="11"/>
                  <c:pt idx="0">
                    <c:v>1062.9741372226661</c:v>
                  </c:pt>
                  <c:pt idx="1">
                    <c:v>391.57954904595618</c:v>
                  </c:pt>
                  <c:pt idx="2">
                    <c:v>296.85160075631478</c:v>
                  </c:pt>
                  <c:pt idx="3">
                    <c:v>761.0929677516973</c:v>
                  </c:pt>
                  <c:pt idx="4">
                    <c:v>409.57389134380583</c:v>
                  </c:pt>
                  <c:pt idx="5">
                    <c:v>431.29563899286427</c:v>
                  </c:pt>
                  <c:pt idx="6">
                    <c:v>533.16553774890588</c:v>
                  </c:pt>
                  <c:pt idx="7">
                    <c:v>566.29753294275872</c:v>
                  </c:pt>
                  <c:pt idx="8">
                    <c:v>404.4529261756249</c:v>
                  </c:pt>
                  <c:pt idx="9">
                    <c:v>495.33321532386333</c:v>
                  </c:pt>
                  <c:pt idx="10">
                    <c:v>710.47210470103028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(GUE_all!$E$14,GUE_all!$E$62,GUE_all!$E$110,GUE_all!$E$158,GUE_all!$E$206,GUE_all!$E$254,GUE_all!$E$302,GUE_all!$E$350,GUE_all!$E$398,GUE_all!$E$446,GUE_all!$E$494)</c:f>
              <c:numCache>
                <c:formatCode>0.00</c:formatCode>
                <c:ptCount val="11"/>
                <c:pt idx="0">
                  <c:v>18790.105885051504</c:v>
                </c:pt>
                <c:pt idx="1">
                  <c:v>8812.810310696419</c:v>
                </c:pt>
                <c:pt idx="2">
                  <c:v>13405.853731689007</c:v>
                </c:pt>
                <c:pt idx="3">
                  <c:v>16552.249736830414</c:v>
                </c:pt>
                <c:pt idx="4">
                  <c:v>10679.637582026395</c:v>
                </c:pt>
                <c:pt idx="5">
                  <c:v>8820.1764547391722</c:v>
                </c:pt>
                <c:pt idx="6">
                  <c:v>11048.57479737806</c:v>
                </c:pt>
                <c:pt idx="7">
                  <c:v>11659.412937747324</c:v>
                </c:pt>
                <c:pt idx="8">
                  <c:v>9014.2022939312719</c:v>
                </c:pt>
                <c:pt idx="9">
                  <c:v>9814.8253223175507</c:v>
                </c:pt>
                <c:pt idx="10">
                  <c:v>14095.225375327811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65-423A-A604-A44B4FDA058F}"/>
            </c:ext>
          </c:extLst>
        </c:ser>
        <c:ser>
          <c:idx val="2"/>
          <c:order val="2"/>
          <c:tx>
            <c:strRef>
              <c:f>GUE_all!$F$3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(GUE_all!$F$17,GUE_all!$F$65,GUE_all!$F$113,GUE_all!$F$161,GUE_all!$F$209,GUE_all!$F$257,GUE_all!$F$305,GUE_all!$F$353,GUE_all!$F$401,GUE_all!$F$449,GUE_all!$F$497)</c:f>
                <c:numCache>
                  <c:formatCode>General</c:formatCode>
                  <c:ptCount val="11"/>
                  <c:pt idx="0">
                    <c:v>1303.418235502704</c:v>
                  </c:pt>
                  <c:pt idx="1">
                    <c:v>1884.0055536640893</c:v>
                  </c:pt>
                  <c:pt idx="2">
                    <c:v>547.563673988299</c:v>
                  </c:pt>
                  <c:pt idx="3">
                    <c:v>761.55570377335437</c:v>
                  </c:pt>
                  <c:pt idx="4">
                    <c:v>732.66774353410847</c:v>
                  </c:pt>
                  <c:pt idx="5">
                    <c:v>600.12488885931043</c:v>
                  </c:pt>
                  <c:pt idx="6">
                    <c:v>649.80465475455276</c:v>
                  </c:pt>
                  <c:pt idx="7">
                    <c:v>662.4311684998728</c:v>
                  </c:pt>
                  <c:pt idx="8">
                    <c:v>547.01565434536269</c:v>
                  </c:pt>
                  <c:pt idx="9">
                    <c:v>726.07471129142164</c:v>
                  </c:pt>
                  <c:pt idx="10">
                    <c:v>827.54411567221575</c:v>
                  </c:pt>
                </c:numCache>
              </c:numRef>
            </c:plus>
            <c:minus>
              <c:numRef>
                <c:f>(GUE_all!$F$17,GUE_all!$F$65,GUE_all!$F$113,GUE_all!$F$161,GUE_all!$F$209,GUE_all!$F$257,GUE_all!$F$305,GUE_all!$F$353,GUE_all!$F$401,GUE_all!$F$449,GUE_all!$F$497)</c:f>
                <c:numCache>
                  <c:formatCode>General</c:formatCode>
                  <c:ptCount val="11"/>
                  <c:pt idx="0">
                    <c:v>1303.418235502704</c:v>
                  </c:pt>
                  <c:pt idx="1">
                    <c:v>1884.0055536640893</c:v>
                  </c:pt>
                  <c:pt idx="2">
                    <c:v>547.563673988299</c:v>
                  </c:pt>
                  <c:pt idx="3">
                    <c:v>761.55570377335437</c:v>
                  </c:pt>
                  <c:pt idx="4">
                    <c:v>732.66774353410847</c:v>
                  </c:pt>
                  <c:pt idx="5">
                    <c:v>600.12488885931043</c:v>
                  </c:pt>
                  <c:pt idx="6">
                    <c:v>649.80465475455276</c:v>
                  </c:pt>
                  <c:pt idx="7">
                    <c:v>662.4311684998728</c:v>
                  </c:pt>
                  <c:pt idx="8">
                    <c:v>547.01565434536269</c:v>
                  </c:pt>
                  <c:pt idx="9">
                    <c:v>726.07471129142164</c:v>
                  </c:pt>
                  <c:pt idx="10">
                    <c:v>827.54411567221575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(GUE_all!$F$14,GUE_all!$F$62,GUE_all!$F$110,GUE_all!$F$158,GUE_all!$F$206,GUE_all!$F$254,GUE_all!$F$302,GUE_all!$F$350,GUE_all!$F$398,GUE_all!$F$446,GUE_all!$F$494)</c:f>
              <c:numCache>
                <c:formatCode>0.00</c:formatCode>
                <c:ptCount val="11"/>
                <c:pt idx="0">
                  <c:v>80476.897383768504</c:v>
                </c:pt>
                <c:pt idx="1">
                  <c:v>105593.98462518104</c:v>
                </c:pt>
                <c:pt idx="2">
                  <c:v>116928.607570951</c:v>
                </c:pt>
                <c:pt idx="3">
                  <c:v>102492.26670673551</c:v>
                </c:pt>
                <c:pt idx="4">
                  <c:v>103565.59523174349</c:v>
                </c:pt>
                <c:pt idx="5">
                  <c:v>90990.201317289102</c:v>
                </c:pt>
                <c:pt idx="6">
                  <c:v>109989.47564976438</c:v>
                </c:pt>
                <c:pt idx="7">
                  <c:v>112125.72355479882</c:v>
                </c:pt>
                <c:pt idx="8">
                  <c:v>106598.0043884382</c:v>
                </c:pt>
                <c:pt idx="9">
                  <c:v>125708.81769195723</c:v>
                </c:pt>
                <c:pt idx="10">
                  <c:v>121656.29914028292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65-423A-A604-A44B4FDA058F}"/>
            </c:ext>
          </c:extLst>
        </c:ser>
        <c:ser>
          <c:idx val="3"/>
          <c:order val="3"/>
          <c:tx>
            <c:strRef>
              <c:f>GUE_all!$G$3</c:f>
              <c:strCache>
                <c:ptCount val="1"/>
                <c:pt idx="0">
                  <c:v>Forest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(GUE_all!$G$17,GUE_all!$G$65,GUE_all!$G$113,GUE_all!$G$161,GUE_all!$G$209,GUE_all!$G$257,GUE_all!$G$305,GUE_all!$G$353,GUE_all!$G$401,GUE_all!$G$449,GUE_all!$G$497)</c:f>
                <c:numCache>
                  <c:formatCode>General</c:formatCode>
                  <c:ptCount val="11"/>
                  <c:pt idx="0">
                    <c:v>2164.9526313324927</c:v>
                  </c:pt>
                  <c:pt idx="1">
                    <c:v>2023.3442668110742</c:v>
                  </c:pt>
                  <c:pt idx="2">
                    <c:v>705.4404184841361</c:v>
                  </c:pt>
                  <c:pt idx="3">
                    <c:v>544.75242776456207</c:v>
                  </c:pt>
                  <c:pt idx="4">
                    <c:v>722.94526739428443</c:v>
                  </c:pt>
                  <c:pt idx="5">
                    <c:v>702.1064043479455</c:v>
                  </c:pt>
                  <c:pt idx="6">
                    <c:v>703.44098047811065</c:v>
                  </c:pt>
                  <c:pt idx="7">
                    <c:v>666.35663790588933</c:v>
                  </c:pt>
                  <c:pt idx="8">
                    <c:v>647.7216541304349</c:v>
                  </c:pt>
                  <c:pt idx="9">
                    <c:v>747.58160272331452</c:v>
                  </c:pt>
                  <c:pt idx="10">
                    <c:v>618.2766509747978</c:v>
                  </c:pt>
                </c:numCache>
              </c:numRef>
            </c:plus>
            <c:minus>
              <c:numRef>
                <c:f>(GUE_all!$G$17,GUE_all!$G$65,GUE_all!$G$113,GUE_all!$G$161,GUE_all!$G$209,GUE_all!$G$257,GUE_all!$G$305,GUE_all!$G$353,GUE_all!$G$401,GUE_all!$G$449,GUE_all!$G$497)</c:f>
                <c:numCache>
                  <c:formatCode>General</c:formatCode>
                  <c:ptCount val="11"/>
                  <c:pt idx="0">
                    <c:v>2164.9526313324927</c:v>
                  </c:pt>
                  <c:pt idx="1">
                    <c:v>2023.3442668110742</c:v>
                  </c:pt>
                  <c:pt idx="2">
                    <c:v>705.4404184841361</c:v>
                  </c:pt>
                  <c:pt idx="3">
                    <c:v>544.75242776456207</c:v>
                  </c:pt>
                  <c:pt idx="4">
                    <c:v>722.94526739428443</c:v>
                  </c:pt>
                  <c:pt idx="5">
                    <c:v>702.1064043479455</c:v>
                  </c:pt>
                  <c:pt idx="6">
                    <c:v>703.44098047811065</c:v>
                  </c:pt>
                  <c:pt idx="7">
                    <c:v>666.35663790588933</c:v>
                  </c:pt>
                  <c:pt idx="8">
                    <c:v>647.7216541304349</c:v>
                  </c:pt>
                  <c:pt idx="9">
                    <c:v>747.58160272331452</c:v>
                  </c:pt>
                  <c:pt idx="10">
                    <c:v>618.2766509747978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(GUE_all!$G$14,GUE_all!$G$62,GUE_all!$G$110,GUE_all!$G$158,GUE_all!$G$206,GUE_all!$G$254,GUE_all!$G$302,GUE_all!$G$350,GUE_all!$G$398,GUE_all!$G$446,GUE_all!$G$494)</c:f>
              <c:numCache>
                <c:formatCode>0.00</c:formatCode>
                <c:ptCount val="11"/>
                <c:pt idx="0">
                  <c:v>56928.975055984251</c:v>
                </c:pt>
                <c:pt idx="1">
                  <c:v>39772.97708414423</c:v>
                </c:pt>
                <c:pt idx="2">
                  <c:v>43350.926811172249</c:v>
                </c:pt>
                <c:pt idx="3">
                  <c:v>39139.188908573735</c:v>
                </c:pt>
                <c:pt idx="4">
                  <c:v>42748.369757407112</c:v>
                </c:pt>
                <c:pt idx="5">
                  <c:v>38927.941775903761</c:v>
                </c:pt>
                <c:pt idx="6">
                  <c:v>46530.327002600272</c:v>
                </c:pt>
                <c:pt idx="7">
                  <c:v>54968.871584915993</c:v>
                </c:pt>
                <c:pt idx="8">
                  <c:v>49006.912032564403</c:v>
                </c:pt>
                <c:pt idx="9">
                  <c:v>42569.151254855256</c:v>
                </c:pt>
                <c:pt idx="10">
                  <c:v>40246.080451816415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65-423A-A604-A44B4FDA058F}"/>
            </c:ext>
          </c:extLst>
        </c:ser>
        <c:ser>
          <c:idx val="4"/>
          <c:order val="4"/>
          <c:tx>
            <c:strRef>
              <c:f>GUE_all!$H$3</c:f>
              <c:strCache>
                <c:ptCount val="1"/>
                <c:pt idx="0">
                  <c:v>Shrubland-Wetland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(GUE_all!$H$17,GUE_all!$H$65,GUE_all!$H$113,GUE_all!$H$161,GUE_all!$H$209,GUE_all!$H$257,GUE_all!$H$305,GUE_all!$H$353,GUE_all!$H$401,GUE_all!$H$449,GUE_all!$H$497)</c:f>
                <c:numCache>
                  <c:formatCode>General</c:formatCode>
                  <c:ptCount val="11"/>
                  <c:pt idx="0">
                    <c:v>2112.0934374973053</c:v>
                  </c:pt>
                  <c:pt idx="1">
                    <c:v>2421.0315893583629</c:v>
                  </c:pt>
                  <c:pt idx="2">
                    <c:v>718.8963230094256</c:v>
                  </c:pt>
                  <c:pt idx="3">
                    <c:v>633.6467379958541</c:v>
                  </c:pt>
                  <c:pt idx="4">
                    <c:v>687.12177875010411</c:v>
                  </c:pt>
                  <c:pt idx="5">
                    <c:v>657.47445259999597</c:v>
                  </c:pt>
                  <c:pt idx="6">
                    <c:v>600.73585121762756</c:v>
                  </c:pt>
                  <c:pt idx="7">
                    <c:v>629.90419046805175</c:v>
                  </c:pt>
                  <c:pt idx="8">
                    <c:v>589.54330944900846</c:v>
                  </c:pt>
                  <c:pt idx="9">
                    <c:v>621.12048581321744</c:v>
                  </c:pt>
                  <c:pt idx="10">
                    <c:v>555.24852983601613</c:v>
                  </c:pt>
                </c:numCache>
              </c:numRef>
            </c:plus>
            <c:minus>
              <c:numRef>
                <c:f>(GUE_all!$H$17,GUE_all!$H$65,GUE_all!$H$113,GUE_all!$H$161,GUE_all!$H$209,GUE_all!$H$257,GUE_all!$H$305,GUE_all!$H$353,GUE_all!$H$401,GUE_all!$H$449,GUE_all!$H$497)</c:f>
                <c:numCache>
                  <c:formatCode>General</c:formatCode>
                  <c:ptCount val="11"/>
                  <c:pt idx="0">
                    <c:v>2112.0934374973053</c:v>
                  </c:pt>
                  <c:pt idx="1">
                    <c:v>2421.0315893583629</c:v>
                  </c:pt>
                  <c:pt idx="2">
                    <c:v>718.8963230094256</c:v>
                  </c:pt>
                  <c:pt idx="3">
                    <c:v>633.6467379958541</c:v>
                  </c:pt>
                  <c:pt idx="4">
                    <c:v>687.12177875010411</c:v>
                  </c:pt>
                  <c:pt idx="5">
                    <c:v>657.47445259999597</c:v>
                  </c:pt>
                  <c:pt idx="6">
                    <c:v>600.73585121762756</c:v>
                  </c:pt>
                  <c:pt idx="7">
                    <c:v>629.90419046805175</c:v>
                  </c:pt>
                  <c:pt idx="8">
                    <c:v>589.54330944900846</c:v>
                  </c:pt>
                  <c:pt idx="9">
                    <c:v>621.12048581321744</c:v>
                  </c:pt>
                  <c:pt idx="10">
                    <c:v>555.24852983601613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(GUE_all!$H$14,GUE_all!$H$62,GUE_all!$H$110,GUE_all!$H$158,GUE_all!$H$206,GUE_all!$H$254,GUE_all!$H$302,GUE_all!$H$350,GUE_all!$H$398,GUE_all!$H$446,GUE_all!$H$494)</c:f>
              <c:numCache>
                <c:formatCode>0.00</c:formatCode>
                <c:ptCount val="11"/>
                <c:pt idx="0">
                  <c:v>33551.581675195746</c:v>
                </c:pt>
                <c:pt idx="1">
                  <c:v>40969.48797997833</c:v>
                </c:pt>
                <c:pt idx="2">
                  <c:v>22376.671886187756</c:v>
                </c:pt>
                <c:pt idx="3">
                  <c:v>17591.154647860323</c:v>
                </c:pt>
                <c:pt idx="4">
                  <c:v>22917.50742882297</c:v>
                </c:pt>
                <c:pt idx="5">
                  <c:v>15042.600452067989</c:v>
                </c:pt>
                <c:pt idx="6">
                  <c:v>19674.479770334492</c:v>
                </c:pt>
                <c:pt idx="7">
                  <c:v>16445.741922537854</c:v>
                </c:pt>
                <c:pt idx="8">
                  <c:v>17153.301285066103</c:v>
                </c:pt>
                <c:pt idx="9">
                  <c:v>16289.395730869956</c:v>
                </c:pt>
                <c:pt idx="10">
                  <c:v>18711.065032572849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65-423A-A604-A44B4FDA058F}"/>
            </c:ext>
          </c:extLst>
        </c:ser>
        <c:ser>
          <c:idx val="5"/>
          <c:order val="5"/>
          <c:tx>
            <c:strRef>
              <c:f>GUE_all!$I$5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(GUE_all!$I$14,GUE_all!$I$62,GUE_all!$I$110,GUE_all!$I$158,GUE_all!$I$206,GUE_all!$I$254,GUE_all!$I$302,GUE_all!$I$350,GUE_all!$I$398,GUE_all!$I$446,GUE_all!$I$494)</c:f>
              <c:numCache>
                <c:formatCode>0.0</c:formatCode>
                <c:ptCount val="11"/>
                <c:pt idx="0">
                  <c:v>6418.6199999999953</c:v>
                </c:pt>
                <c:pt idx="1">
                  <c:v>1825.109999999986</c:v>
                </c:pt>
                <c:pt idx="2">
                  <c:v>809.57999999998719</c:v>
                </c:pt>
                <c:pt idx="3">
                  <c:v>20873.850000000035</c:v>
                </c:pt>
                <c:pt idx="4">
                  <c:v>16650.440000000031</c:v>
                </c:pt>
                <c:pt idx="5">
                  <c:v>43304.359999999957</c:v>
                </c:pt>
                <c:pt idx="6">
                  <c:v>9391.0800000000163</c:v>
                </c:pt>
                <c:pt idx="7">
                  <c:v>1068.640000000014</c:v>
                </c:pt>
                <c:pt idx="8">
                  <c:v>14809.119999999995</c:v>
                </c:pt>
                <c:pt idx="9">
                  <c:v>1808.9500000000116</c:v>
                </c:pt>
                <c:pt idx="10">
                  <c:v>1102.3300000000163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65-423A-A604-A44B4FDA0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GUE PA Mode Classification Px count 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GUE_all!$D$3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(GUE_all!$D$36,GUE_all!$D$84,GUE_all!$D$132,GUE_all!$D$180,GUE_all!$D$228,GUE_all!$D$276,GUE_all!$D$324,GUE_all!$D$372,GUE_all!$D$420,GUE_all!$D$468,GUE_all!$D$516)</c:f>
              <c:numCache>
                <c:formatCode>0.00%</c:formatCode>
                <c:ptCount val="11"/>
                <c:pt idx="0">
                  <c:v>5.9687102772139448E-3</c:v>
                </c:pt>
                <c:pt idx="1">
                  <c:v>1.4673607245274955E-3</c:v>
                </c:pt>
                <c:pt idx="2">
                  <c:v>7.2181894689517668E-4</c:v>
                </c:pt>
                <c:pt idx="3">
                  <c:v>1.7967165299072347E-3</c:v>
                </c:pt>
                <c:pt idx="4">
                  <c:v>9.4246430462509995E-4</c:v>
                </c:pt>
                <c:pt idx="5">
                  <c:v>7.4346890892713164E-4</c:v>
                </c:pt>
                <c:pt idx="6">
                  <c:v>7.4531145888729797E-4</c:v>
                </c:pt>
                <c:pt idx="7">
                  <c:v>9.4154302964501678E-4</c:v>
                </c:pt>
                <c:pt idx="8">
                  <c:v>9.11831911537334E-4</c:v>
                </c:pt>
                <c:pt idx="9">
                  <c:v>3.8983750782220039E-3</c:v>
                </c:pt>
                <c:pt idx="10">
                  <c:v>3.085349908298592E-3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8-407B-B682-A6DE6E78BAB0}"/>
            </c:ext>
          </c:extLst>
        </c:ser>
        <c:ser>
          <c:idx val="1"/>
          <c:order val="1"/>
          <c:tx>
            <c:strRef>
              <c:f>GUE_all!$E$3</c:f>
              <c:strCache>
                <c:ptCount val="1"/>
                <c:pt idx="0">
                  <c:v>Bare-Rock-Built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(GUE_all!$E$35,GUE_all!$E$83,GUE_all!$E$131,GUE_all!$E$179,GUE_all!$E$227,GUE_all!$E$275,GUE_all!$E$323,GUE_all!$E$371,GUE_all!$E$419,GUE_all!$E$467,GUE_all!$E$515)</c:f>
              <c:numCache>
                <c:formatCode>0.00</c:formatCode>
                <c:ptCount val="11"/>
                <c:pt idx="0">
                  <c:v>66.38</c:v>
                </c:pt>
                <c:pt idx="1">
                  <c:v>28.18</c:v>
                </c:pt>
                <c:pt idx="2">
                  <c:v>90.99</c:v>
                </c:pt>
                <c:pt idx="3">
                  <c:v>772.25</c:v>
                </c:pt>
                <c:pt idx="4">
                  <c:v>235.73</c:v>
                </c:pt>
                <c:pt idx="5">
                  <c:v>74.58</c:v>
                </c:pt>
                <c:pt idx="6">
                  <c:v>572.15</c:v>
                </c:pt>
                <c:pt idx="7">
                  <c:v>470.32</c:v>
                </c:pt>
                <c:pt idx="8">
                  <c:v>282.36</c:v>
                </c:pt>
                <c:pt idx="9">
                  <c:v>440.32</c:v>
                </c:pt>
                <c:pt idx="10">
                  <c:v>774.86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28-407B-B682-A6DE6E78BAB0}"/>
            </c:ext>
          </c:extLst>
        </c:ser>
        <c:ser>
          <c:idx val="2"/>
          <c:order val="2"/>
          <c:tx>
            <c:strRef>
              <c:f>GUE_all!$F$3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(GUE_all!$F$35,GUE_all!$F$83,GUE_all!$F$131,GUE_all!$F$179,GUE_all!$F$227,GUE_all!$F$275,GUE_all!$F$323,GUE_all!$F$371,GUE_all!$F$419,GUE_all!$F$467,GUE_all!$F$515)</c:f>
              <c:numCache>
                <c:formatCode>0.00</c:formatCode>
                <c:ptCount val="11"/>
                <c:pt idx="0">
                  <c:v>9890.15</c:v>
                </c:pt>
                <c:pt idx="1">
                  <c:v>12137.33</c:v>
                </c:pt>
                <c:pt idx="2">
                  <c:v>16323.8</c:v>
                </c:pt>
                <c:pt idx="3">
                  <c:v>15605.63</c:v>
                </c:pt>
                <c:pt idx="4">
                  <c:v>16056.11</c:v>
                </c:pt>
                <c:pt idx="5">
                  <c:v>12858.68</c:v>
                </c:pt>
                <c:pt idx="6">
                  <c:v>16007.08</c:v>
                </c:pt>
                <c:pt idx="7">
                  <c:v>16350.92</c:v>
                </c:pt>
                <c:pt idx="8">
                  <c:v>16312.26</c:v>
                </c:pt>
                <c:pt idx="9">
                  <c:v>18394.939999999999</c:v>
                </c:pt>
                <c:pt idx="10">
                  <c:v>18334.84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28-407B-B682-A6DE6E78BAB0}"/>
            </c:ext>
          </c:extLst>
        </c:ser>
        <c:ser>
          <c:idx val="3"/>
          <c:order val="3"/>
          <c:tx>
            <c:strRef>
              <c:f>GUE_all!$G$3</c:f>
              <c:strCache>
                <c:ptCount val="1"/>
                <c:pt idx="0">
                  <c:v>Forest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(GUE_all!$G$35,GUE_all!$G$83,GUE_all!$G$131,GUE_all!$G$179,GUE_all!$G$227,GUE_all!$G$275,GUE_all!$G$323,GUE_all!$G$371,GUE_all!$G$419,GUE_all!$G$467,GUE_all!$G$515)</c:f>
              <c:numCache>
                <c:formatCode>0.00</c:formatCode>
                <c:ptCount val="11"/>
                <c:pt idx="0">
                  <c:v>18503.009999999998</c:v>
                </c:pt>
                <c:pt idx="1">
                  <c:v>15486.76</c:v>
                </c:pt>
                <c:pt idx="2">
                  <c:v>15088.63</c:v>
                </c:pt>
                <c:pt idx="3">
                  <c:v>12772.47</c:v>
                </c:pt>
                <c:pt idx="4">
                  <c:v>14772.43</c:v>
                </c:pt>
                <c:pt idx="5">
                  <c:v>12748.79</c:v>
                </c:pt>
                <c:pt idx="6">
                  <c:v>14757.46</c:v>
                </c:pt>
                <c:pt idx="7">
                  <c:v>15013.16</c:v>
                </c:pt>
                <c:pt idx="8">
                  <c:v>15410.66</c:v>
                </c:pt>
                <c:pt idx="9">
                  <c:v>14830.55</c:v>
                </c:pt>
                <c:pt idx="10">
                  <c:v>14076.14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28-407B-B682-A6DE6E78BAB0}"/>
            </c:ext>
          </c:extLst>
        </c:ser>
        <c:ser>
          <c:idx val="4"/>
          <c:order val="4"/>
          <c:tx>
            <c:strRef>
              <c:f>GUE_all!$H$3</c:f>
              <c:strCache>
                <c:ptCount val="1"/>
                <c:pt idx="0">
                  <c:v>Shrubland-Wetland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(GUE_all!$H$35,GUE_all!$H$83,GUE_all!$H$131,GUE_all!$H$179,GUE_all!$H$227,GUE_all!$H$275,GUE_all!$H$323,GUE_all!$H$371,GUE_all!$H$419,GUE_all!$H$467,GUE_all!$H$515)</c:f>
              <c:numCache>
                <c:formatCode>0.00</c:formatCode>
                <c:ptCount val="11"/>
                <c:pt idx="0">
                  <c:v>14506.12</c:v>
                </c:pt>
                <c:pt idx="1">
                  <c:v>15506.46</c:v>
                </c:pt>
                <c:pt idx="2">
                  <c:v>11691.88</c:v>
                </c:pt>
                <c:pt idx="3">
                  <c:v>11117.02</c:v>
                </c:pt>
                <c:pt idx="4">
                  <c:v>11804.65</c:v>
                </c:pt>
                <c:pt idx="5">
                  <c:v>9725.4699999999993</c:v>
                </c:pt>
                <c:pt idx="6">
                  <c:v>10221.14</c:v>
                </c:pt>
                <c:pt idx="7">
                  <c:v>11261.79</c:v>
                </c:pt>
                <c:pt idx="8">
                  <c:v>10202.450000000001</c:v>
                </c:pt>
                <c:pt idx="9">
                  <c:v>9392.94</c:v>
                </c:pt>
                <c:pt idx="10">
                  <c:v>9908.2099999999991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28-407B-B682-A6DE6E78BAB0}"/>
            </c:ext>
          </c:extLst>
        </c:ser>
        <c:ser>
          <c:idx val="5"/>
          <c:order val="5"/>
          <c:tx>
            <c:strRef>
              <c:f>GUE_all!$I$5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(GUE_all!$I$35,GUE_all!$I$83,GUE_all!$I$131,GUE_all!$I$179,GUE_all!$I$227,GUE_all!$I$275,GUE_all!$I$323,GUE_all!$I$371,GUE_all!$I$419,GUE_all!$I$467,GUE_all!$I$515)</c:f>
              <c:numCache>
                <c:formatCode>0.00</c:formatCode>
                <c:ptCount val="11"/>
                <c:pt idx="0">
                  <c:v>193.27999999999884</c:v>
                </c:pt>
                <c:pt idx="1">
                  <c:v>195.64999999999418</c:v>
                </c:pt>
                <c:pt idx="2">
                  <c:v>191.44999999999709</c:v>
                </c:pt>
                <c:pt idx="3">
                  <c:v>3072.7099999999919</c:v>
                </c:pt>
                <c:pt idx="4">
                  <c:v>508.24999999999272</c:v>
                </c:pt>
                <c:pt idx="5">
                  <c:v>7978.2899999999936</c:v>
                </c:pt>
                <c:pt idx="6">
                  <c:v>1827.8999999999942</c:v>
                </c:pt>
                <c:pt idx="7">
                  <c:v>281.0199999999968</c:v>
                </c:pt>
                <c:pt idx="8">
                  <c:v>1170.7699999999968</c:v>
                </c:pt>
                <c:pt idx="9">
                  <c:v>190.08000000000175</c:v>
                </c:pt>
                <c:pt idx="10">
                  <c:v>190.07999999999447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28-407B-B682-A6DE6E78B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ACB_A Mode Classification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Px count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GUE_all!$D$3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(GUE_all!$D$26,GUE_all!$D$74,GUE_all!$D$122,GUE_all!$D$170,GUE_all!$D$218,GUE_all!$D$266,GUE_all!$D$314,GUE_all!$D$362,GUE_all!$D$410,GUE_all!$D$458,GUE_all!$D$506)</c:f>
              <c:numCache>
                <c:formatCode>0.00</c:formatCode>
                <c:ptCount val="11"/>
                <c:pt idx="0">
                  <c:v>273.33</c:v>
                </c:pt>
                <c:pt idx="1">
                  <c:v>265.05</c:v>
                </c:pt>
                <c:pt idx="2">
                  <c:v>289.81</c:v>
                </c:pt>
                <c:pt idx="3">
                  <c:v>272.33999999999997</c:v>
                </c:pt>
                <c:pt idx="4">
                  <c:v>172.86</c:v>
                </c:pt>
                <c:pt idx="5">
                  <c:v>127.48</c:v>
                </c:pt>
                <c:pt idx="6">
                  <c:v>118.75</c:v>
                </c:pt>
                <c:pt idx="7">
                  <c:v>263.97000000000003</c:v>
                </c:pt>
                <c:pt idx="8">
                  <c:v>204.01</c:v>
                </c:pt>
                <c:pt idx="9">
                  <c:v>204.24</c:v>
                </c:pt>
                <c:pt idx="10">
                  <c:v>194.96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0-4B0F-858B-3C03442EC611}"/>
            </c:ext>
          </c:extLst>
        </c:ser>
        <c:ser>
          <c:idx val="1"/>
          <c:order val="1"/>
          <c:tx>
            <c:strRef>
              <c:f>GUE_all!$E$3</c:f>
              <c:strCache>
                <c:ptCount val="1"/>
                <c:pt idx="0">
                  <c:v>Bare-Rock-Built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(GUE_all!$E$26,GUE_all!$E$74,GUE_all!$E$122,GUE_all!$E$170,GUE_all!$E$218,GUE_all!$E$266,GUE_all!$E$314,GUE_all!$E$362,GUE_all!$E$410,GUE_all!$E$458,GUE_all!$E$506)</c:f>
              <c:numCache>
                <c:formatCode>0.00</c:formatCode>
                <c:ptCount val="11"/>
                <c:pt idx="0">
                  <c:v>944.96</c:v>
                </c:pt>
                <c:pt idx="1">
                  <c:v>1744.4</c:v>
                </c:pt>
                <c:pt idx="2">
                  <c:v>2354.4299999999998</c:v>
                </c:pt>
                <c:pt idx="3">
                  <c:v>1576.42</c:v>
                </c:pt>
                <c:pt idx="4">
                  <c:v>1182.44</c:v>
                </c:pt>
                <c:pt idx="5">
                  <c:v>894.44</c:v>
                </c:pt>
                <c:pt idx="6">
                  <c:v>985.36</c:v>
                </c:pt>
                <c:pt idx="7">
                  <c:v>714.02</c:v>
                </c:pt>
                <c:pt idx="8">
                  <c:v>703.48</c:v>
                </c:pt>
                <c:pt idx="9">
                  <c:v>834.29</c:v>
                </c:pt>
                <c:pt idx="10">
                  <c:v>1750.14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F0-4B0F-858B-3C03442EC611}"/>
            </c:ext>
          </c:extLst>
        </c:ser>
        <c:ser>
          <c:idx val="2"/>
          <c:order val="2"/>
          <c:tx>
            <c:strRef>
              <c:f>GUE_all!$F$3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(GUE_all!$F$26,GUE_all!$F$74,GUE_all!$F$122,GUE_all!$F$170,GUE_all!$F$218,GUE_all!$F$266,GUE_all!$F$314,GUE_all!$F$362,GUE_all!$F$410,GUE_all!$F$458,GUE_all!$F$506)</c:f>
              <c:numCache>
                <c:formatCode>0.00</c:formatCode>
                <c:ptCount val="11"/>
                <c:pt idx="0">
                  <c:v>13685.26</c:v>
                </c:pt>
                <c:pt idx="1">
                  <c:v>15190.54</c:v>
                </c:pt>
                <c:pt idx="2">
                  <c:v>16262.74</c:v>
                </c:pt>
                <c:pt idx="3">
                  <c:v>15782.98</c:v>
                </c:pt>
                <c:pt idx="4">
                  <c:v>16238.62</c:v>
                </c:pt>
                <c:pt idx="5">
                  <c:v>11434.58</c:v>
                </c:pt>
                <c:pt idx="6">
                  <c:v>16560.939999999999</c:v>
                </c:pt>
                <c:pt idx="7">
                  <c:v>16774.11</c:v>
                </c:pt>
                <c:pt idx="8">
                  <c:v>16626.29</c:v>
                </c:pt>
                <c:pt idx="9">
                  <c:v>17771.75</c:v>
                </c:pt>
                <c:pt idx="10">
                  <c:v>16995.509999999998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F0-4B0F-858B-3C03442EC611}"/>
            </c:ext>
          </c:extLst>
        </c:ser>
        <c:ser>
          <c:idx val="3"/>
          <c:order val="3"/>
          <c:tx>
            <c:strRef>
              <c:f>GUE_all!$G$3</c:f>
              <c:strCache>
                <c:ptCount val="1"/>
                <c:pt idx="0">
                  <c:v>Forest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(GUE_all!$G$26,GUE_all!$G$74,GUE_all!$G$122,GUE_all!$G$170,GUE_all!$G$218,GUE_all!$G$266,GUE_all!$G$314,GUE_all!$G$362,GUE_all!$G$410,GUE_all!$G$458,GUE_all!$G$506)</c:f>
              <c:numCache>
                <c:formatCode>0.00</c:formatCode>
                <c:ptCount val="11"/>
                <c:pt idx="0">
                  <c:v>3857.87</c:v>
                </c:pt>
                <c:pt idx="1">
                  <c:v>1689.64</c:v>
                </c:pt>
                <c:pt idx="2">
                  <c:v>2055.6999999999998</c:v>
                </c:pt>
                <c:pt idx="3">
                  <c:v>2166.17</c:v>
                </c:pt>
                <c:pt idx="4">
                  <c:v>2470.29</c:v>
                </c:pt>
                <c:pt idx="5">
                  <c:v>1481.15</c:v>
                </c:pt>
                <c:pt idx="6">
                  <c:v>2941.95</c:v>
                </c:pt>
                <c:pt idx="7">
                  <c:v>3283.7</c:v>
                </c:pt>
                <c:pt idx="8">
                  <c:v>2870.38</c:v>
                </c:pt>
                <c:pt idx="9">
                  <c:v>2290.52</c:v>
                </c:pt>
                <c:pt idx="10">
                  <c:v>2043.64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F0-4B0F-858B-3C03442EC611}"/>
            </c:ext>
          </c:extLst>
        </c:ser>
        <c:ser>
          <c:idx val="4"/>
          <c:order val="4"/>
          <c:tx>
            <c:strRef>
              <c:f>GUE_all!$H$3</c:f>
              <c:strCache>
                <c:ptCount val="1"/>
                <c:pt idx="0">
                  <c:v>Shrubland-Wetland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(GUE_all!$H$26,GUE_all!$H$74,GUE_all!$H$122,GUE_all!$H$170,GUE_all!$H$218,GUE_all!$H$266,GUE_all!$H$314,GUE_all!$H$362,GUE_all!$H$410,GUE_all!$H$458,GUE_all!$H$506)</c:f>
              <c:numCache>
                <c:formatCode>0.00</c:formatCode>
                <c:ptCount val="11"/>
                <c:pt idx="0">
                  <c:v>3293.95</c:v>
                </c:pt>
                <c:pt idx="1">
                  <c:v>3201.03</c:v>
                </c:pt>
                <c:pt idx="2">
                  <c:v>1182.26</c:v>
                </c:pt>
                <c:pt idx="3">
                  <c:v>1724.85</c:v>
                </c:pt>
                <c:pt idx="4">
                  <c:v>2080.64</c:v>
                </c:pt>
                <c:pt idx="5">
                  <c:v>1273.72</c:v>
                </c:pt>
                <c:pt idx="6">
                  <c:v>1335.39</c:v>
                </c:pt>
                <c:pt idx="7">
                  <c:v>1108.1600000000001</c:v>
                </c:pt>
                <c:pt idx="8">
                  <c:v>1465.93</c:v>
                </c:pt>
                <c:pt idx="9">
                  <c:v>977.04</c:v>
                </c:pt>
                <c:pt idx="10">
                  <c:v>1091.94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F0-4B0F-858B-3C03442EC611}"/>
            </c:ext>
          </c:extLst>
        </c:ser>
        <c:ser>
          <c:idx val="5"/>
          <c:order val="5"/>
          <c:tx>
            <c:strRef>
              <c:f>GUE_all!$I$5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(GUE_all!$I$26,GUE_all!$I$74,GUE_all!$I$122,GUE_all!$I$170,GUE_all!$I$218,GUE_all!$I$266,GUE_all!$I$314,GUE_all!$I$362,GUE_all!$I$410,GUE_all!$I$458,GUE_all!$I$506)</c:f>
              <c:numCache>
                <c:formatCode>0.00</c:formatCode>
                <c:ptCount val="11"/>
                <c:pt idx="0">
                  <c:v>110.90999999999985</c:v>
                </c:pt>
                <c:pt idx="1">
                  <c:v>75.619999999998981</c:v>
                </c:pt>
                <c:pt idx="2">
                  <c:v>21.340000000000146</c:v>
                </c:pt>
                <c:pt idx="3">
                  <c:v>643.52000000000407</c:v>
                </c:pt>
                <c:pt idx="4">
                  <c:v>21.429999999996653</c:v>
                </c:pt>
                <c:pt idx="5">
                  <c:v>6954.91</c:v>
                </c:pt>
                <c:pt idx="6">
                  <c:v>223.88999999999942</c:v>
                </c:pt>
                <c:pt idx="7">
                  <c:v>22.319999999996071</c:v>
                </c:pt>
                <c:pt idx="8">
                  <c:v>296.18999999999505</c:v>
                </c:pt>
                <c:pt idx="9">
                  <c:v>88.43999999999869</c:v>
                </c:pt>
                <c:pt idx="10">
                  <c:v>90.090000000003783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F0-4B0F-858B-3C03442EC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18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ACB_A Mode Classification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GUE_all!$D$3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(GUE_all!$D$27,GUE_all!$D$75,GUE_all!$D$123,GUE_all!$D$171,GUE_all!$D$219,GUE_all!$D$267,GUE_all!$D$315,GUE_all!$D$363,GUE_all!$D$411,GUE_all!$D$459,GUE_all!$D$507)</c:f>
              <c:numCache>
                <c:formatCode>0.00%</c:formatCode>
                <c:ptCount val="11"/>
                <c:pt idx="0">
                  <c:v>1.2330891786984554E-2</c:v>
                </c:pt>
                <c:pt idx="1">
                  <c:v>1.1957351436506261E-2</c:v>
                </c:pt>
                <c:pt idx="2">
                  <c:v>1.3074363402429276E-2</c:v>
                </c:pt>
                <c:pt idx="3">
                  <c:v>1.2286229353775192E-2</c:v>
                </c:pt>
                <c:pt idx="4">
                  <c:v>7.7983315197678645E-3</c:v>
                </c:pt>
                <c:pt idx="5">
                  <c:v>5.7510777631609817E-3</c:v>
                </c:pt>
                <c:pt idx="6">
                  <c:v>5.3572363066784322E-3</c:v>
                </c:pt>
                <c:pt idx="7">
                  <c:v>1.190862878209605E-2</c:v>
                </c:pt>
                <c:pt idx="8">
                  <c:v>9.2036191909513013E-3</c:v>
                </c:pt>
                <c:pt idx="9">
                  <c:v>9.2139953117979217E-3</c:v>
                </c:pt>
                <c:pt idx="10">
                  <c:v>8.7953413924212829E-3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41-463B-8838-C77CA845ED44}"/>
            </c:ext>
          </c:extLst>
        </c:ser>
        <c:ser>
          <c:idx val="1"/>
          <c:order val="1"/>
          <c:tx>
            <c:strRef>
              <c:f>GUE_all!$E$3</c:f>
              <c:strCache>
                <c:ptCount val="1"/>
                <c:pt idx="0">
                  <c:v>Bare-Rock-Built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(GUE_all!$E$27,GUE_all!$E$75,GUE_all!$E$123,GUE_all!$E$171,GUE_all!$E$219,GUE_all!$E$267,GUE_all!$E$315,GUE_all!$E$363,GUE_all!$E$411,GUE_all!$E$459,GUE_all!$E$507)</c:f>
              <c:numCache>
                <c:formatCode>0.00%</c:formatCode>
                <c:ptCount val="11"/>
                <c:pt idx="0">
                  <c:v>4.2630518066179804E-2</c:v>
                </c:pt>
                <c:pt idx="1">
                  <c:v>7.8696109586272489E-2</c:v>
                </c:pt>
                <c:pt idx="2">
                  <c:v>0.10621674002132969</c:v>
                </c:pt>
                <c:pt idx="3">
                  <c:v>7.1117932282728544E-2</c:v>
                </c:pt>
                <c:pt idx="4">
                  <c:v>5.3344088408158706E-2</c:v>
                </c:pt>
                <c:pt idx="5">
                  <c:v>4.0351380565435434E-2</c:v>
                </c:pt>
                <c:pt idx="6">
                  <c:v>4.4453106249672927E-2</c:v>
                </c:pt>
                <c:pt idx="7">
                  <c:v>3.2211990464796079E-2</c:v>
                </c:pt>
                <c:pt idx="8">
                  <c:v>3.1736493448607524E-2</c:v>
                </c:pt>
                <c:pt idx="9">
                  <c:v>3.7637799396199996E-2</c:v>
                </c:pt>
                <c:pt idx="10">
                  <c:v>7.8955061471748994E-2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41-463B-8838-C77CA845ED44}"/>
            </c:ext>
          </c:extLst>
        </c:ser>
        <c:ser>
          <c:idx val="2"/>
          <c:order val="2"/>
          <c:tx>
            <c:strRef>
              <c:f>GUE_all!$F$3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(GUE_all!$F$27,GUE_all!$F$75,GUE_all!$F$123,GUE_all!$F$171,GUE_all!$F$219,GUE_all!$F$267,GUE_all!$F$315,GUE_all!$F$363,GUE_all!$F$411,GUE_all!$F$459,GUE_all!$F$507)</c:f>
              <c:numCache>
                <c:formatCode>0.00%</c:formatCode>
                <c:ptCount val="11"/>
                <c:pt idx="0">
                  <c:v>0.61739091990176076</c:v>
                </c:pt>
                <c:pt idx="1">
                  <c:v>0.68529947289306103</c:v>
                </c:pt>
                <c:pt idx="2">
                  <c:v>0.73367024146586624</c:v>
                </c:pt>
                <c:pt idx="3">
                  <c:v>0.71202655565119632</c:v>
                </c:pt>
                <c:pt idx="4">
                  <c:v>0.73258210218403819</c:v>
                </c:pt>
                <c:pt idx="5">
                  <c:v>0.51585471265363425</c:v>
                </c:pt>
                <c:pt idx="6">
                  <c:v>0.74712310771135249</c:v>
                </c:pt>
                <c:pt idx="7">
                  <c:v>0.75673996719341274</c:v>
                </c:pt>
                <c:pt idx="8">
                  <c:v>0.75007127943885943</c:v>
                </c:pt>
                <c:pt idx="9">
                  <c:v>0.8017470680691573</c:v>
                </c:pt>
                <c:pt idx="10">
                  <c:v>0.76672811134750618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41-463B-8838-C77CA845ED44}"/>
            </c:ext>
          </c:extLst>
        </c:ser>
        <c:ser>
          <c:idx val="3"/>
          <c:order val="3"/>
          <c:tx>
            <c:strRef>
              <c:f>GUE_all!$G$3</c:f>
              <c:strCache>
                <c:ptCount val="1"/>
                <c:pt idx="0">
                  <c:v>Forest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(GUE_all!$G$27,GUE_all!$G$75,GUE_all!$G$123,GUE_all!$G$171,GUE_all!$G$219,GUE_all!$G$267,GUE_all!$G$315,GUE_all!$G$363,GUE_all!$G$411,GUE_all!$G$459,GUE_all!$G$507)</c:f>
              <c:numCache>
                <c:formatCode>0.00%</c:formatCode>
                <c:ptCount val="11"/>
                <c:pt idx="0">
                  <c:v>0.17404228404585703</c:v>
                </c:pt>
                <c:pt idx="1">
                  <c:v>7.6225690553399131E-2</c:v>
                </c:pt>
                <c:pt idx="2">
                  <c:v>9.2739963584327179E-2</c:v>
                </c:pt>
                <c:pt idx="3">
                  <c:v>9.7723659540527336E-2</c:v>
                </c:pt>
                <c:pt idx="4">
                  <c:v>0.11144359811389191</c:v>
                </c:pt>
                <c:pt idx="5">
                  <c:v>6.6819962573783254E-2</c:v>
                </c:pt>
                <c:pt idx="6">
                  <c:v>0.13272186402048516</c:v>
                </c:pt>
                <c:pt idx="7">
                  <c:v>0.14813942619149448</c:v>
                </c:pt>
                <c:pt idx="8">
                  <c:v>0.12949308589443065</c:v>
                </c:pt>
                <c:pt idx="9">
                  <c:v>0.10333353183303649</c:v>
                </c:pt>
                <c:pt idx="10">
                  <c:v>9.2195893943413154E-2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41-463B-8838-C77CA845ED44}"/>
            </c:ext>
          </c:extLst>
        </c:ser>
        <c:ser>
          <c:idx val="4"/>
          <c:order val="4"/>
          <c:tx>
            <c:strRef>
              <c:f>GUE_all!$H$3</c:f>
              <c:strCache>
                <c:ptCount val="1"/>
                <c:pt idx="0">
                  <c:v>Shrubland-Wetland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(GUE_all!$H$27,GUE_all!$H$75,GUE_all!$H$123,GUE_all!$H$171,GUE_all!$H$219,GUE_all!$H$267,GUE_all!$H$315,GUE_all!$H$363,GUE_all!$H$411,GUE_all!$H$459,GUE_all!$H$507)</c:f>
              <c:numCache>
                <c:formatCode>0.00%</c:formatCode>
                <c:ptCount val="11"/>
                <c:pt idx="0">
                  <c:v>0.14860184027270251</c:v>
                </c:pt>
                <c:pt idx="1">
                  <c:v>0.14440988745066832</c:v>
                </c:pt>
                <c:pt idx="2">
                  <c:v>5.3335967965757E-2</c:v>
                </c:pt>
                <c:pt idx="3">
                  <c:v>7.7814139314309846E-2</c:v>
                </c:pt>
                <c:pt idx="4">
                  <c:v>9.3865095992651901E-2</c:v>
                </c:pt>
                <c:pt idx="5">
                  <c:v>5.7462054977199604E-2</c:v>
                </c:pt>
                <c:pt idx="6">
                  <c:v>6.0244208771160525E-2</c:v>
                </c:pt>
                <c:pt idx="7">
                  <c:v>4.9993052510389664E-2</c:v>
                </c:pt>
                <c:pt idx="8">
                  <c:v>6.6133334055150442E-2</c:v>
                </c:pt>
                <c:pt idx="9">
                  <c:v>4.4077761356438698E-2</c:v>
                </c:pt>
                <c:pt idx="10">
                  <c:v>4.9261310422858508E-2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41-463B-8838-C77CA845ED44}"/>
            </c:ext>
          </c:extLst>
        </c:ser>
        <c:ser>
          <c:idx val="5"/>
          <c:order val="5"/>
          <c:tx>
            <c:strRef>
              <c:f>GUE_all!$I$5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(GUE_all!$I$27,GUE_all!$I$75,GUE_all!$I$123,GUE_all!$I$171,GUE_all!$I$219,GUE_all!$I$267,GUE_all!$I$315,GUE_all!$I$363,GUE_all!$I$411,GUE_all!$I$459,GUE_all!$I$507)</c:f>
              <c:numCache>
                <c:formatCode>0.00%</c:formatCode>
                <c:ptCount val="11"/>
                <c:pt idx="0">
                  <c:v>5.0035459265154033E-3</c:v>
                </c:pt>
                <c:pt idx="1">
                  <c:v>3.4114880800927799E-3</c:v>
                </c:pt>
                <c:pt idx="2">
                  <c:v>9.6272356029068241E-4</c:v>
                </c:pt>
                <c:pt idx="3">
                  <c:v>2.9031483857462962E-2</c:v>
                </c:pt>
                <c:pt idx="4">
                  <c:v>9.6678378149137587E-4</c:v>
                </c:pt>
                <c:pt idx="5">
                  <c:v>0.31376081146678647</c:v>
                </c:pt>
                <c:pt idx="6">
                  <c:v>1.0100476940650367E-2</c:v>
                </c:pt>
                <c:pt idx="7">
                  <c:v>1.0069348578108763E-3</c:v>
                </c:pt>
                <c:pt idx="8">
                  <c:v>1.3362187972000492E-2</c:v>
                </c:pt>
                <c:pt idx="9">
                  <c:v>3.989844033369546E-3</c:v>
                </c:pt>
                <c:pt idx="10">
                  <c:v>4.0642814220520447E-3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41-463B-8838-C77CA845E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85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2.5000000000000005E-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ACB_A PA Mode Classification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GUE_all!$D$3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(GUE_all!$D$45,GUE_all!$D$93,GUE_all!$D$141,GUE_all!$D$189,GUE_all!$D$237,GUE_all!$D$285,GUE_all!$D$333,GUE_all!$D$381,GUE_all!$D$429,GUE_all!$D$477,GUE_all!$D$525)</c:f>
              <c:numCache>
                <c:formatCode>0.00%</c:formatCode>
                <c:ptCount val="11"/>
                <c:pt idx="0">
                  <c:v>1.3966855577341464E-4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1.4504042330316136E-4</c:v>
                </c:pt>
                <c:pt idx="7">
                  <c:v>0</c:v>
                </c:pt>
                <c:pt idx="8">
                  <c:v>0</c:v>
                </c:pt>
                <c:pt idx="9">
                  <c:v>2.6859337648733585E-4</c:v>
                </c:pt>
                <c:pt idx="10">
                  <c:v>1.1818108565442776E-4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8-4EBB-8946-AAB86B545127}"/>
            </c:ext>
          </c:extLst>
        </c:ser>
        <c:ser>
          <c:idx val="1"/>
          <c:order val="1"/>
          <c:tx>
            <c:strRef>
              <c:f>GUE_all!$E$3</c:f>
              <c:strCache>
                <c:ptCount val="1"/>
                <c:pt idx="0">
                  <c:v>Bare-Rock-Built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(GUE_all!$E$45,GUE_all!$E$93,GUE_all!$E$141,GUE_all!$E$189,GUE_all!$E$237,GUE_all!$E$285,GUE_all!$E$333,GUE_all!$E$381,GUE_all!$E$429,GUE_all!$E$477,GUE_all!$E$525)</c:f>
              <c:numCache>
                <c:formatCode>0.00%</c:formatCode>
                <c:ptCount val="11"/>
                <c:pt idx="0">
                  <c:v>2.433455990975263E-3</c:v>
                </c:pt>
                <c:pt idx="1">
                  <c:v>1.8747817678816043E-3</c:v>
                </c:pt>
                <c:pt idx="2">
                  <c:v>1.1173484461873171E-3</c:v>
                </c:pt>
                <c:pt idx="3">
                  <c:v>5.3181488544492492E-3</c:v>
                </c:pt>
                <c:pt idx="4">
                  <c:v>3.1694018425505628E-3</c:v>
                </c:pt>
                <c:pt idx="5">
                  <c:v>3.5024576293948588E-3</c:v>
                </c:pt>
                <c:pt idx="6">
                  <c:v>2.1702344820176734E-2</c:v>
                </c:pt>
                <c:pt idx="7">
                  <c:v>1.1528027718836454E-2</c:v>
                </c:pt>
                <c:pt idx="8">
                  <c:v>9.7553114340200378E-3</c:v>
                </c:pt>
                <c:pt idx="9">
                  <c:v>1.3467271897075018E-2</c:v>
                </c:pt>
                <c:pt idx="10">
                  <c:v>3.330557868442964E-2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78-4EBB-8946-AAB86B545127}"/>
            </c:ext>
          </c:extLst>
        </c:ser>
        <c:ser>
          <c:idx val="2"/>
          <c:order val="2"/>
          <c:tx>
            <c:strRef>
              <c:f>GUE_all!$F$3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(GUE_all!$F$45,GUE_all!$F$93,GUE_all!$F$141,GUE_all!$F$189,GUE_all!$F$237,GUE_all!$F$285,GUE_all!$F$333,GUE_all!$F$381,GUE_all!$F$429,GUE_all!$F$477,GUE_all!$F$525)</c:f>
              <c:numCache>
                <c:formatCode>0.00%</c:formatCode>
                <c:ptCount val="11"/>
                <c:pt idx="0">
                  <c:v>0.49501759286615993</c:v>
                </c:pt>
                <c:pt idx="1">
                  <c:v>0.48203916091429189</c:v>
                </c:pt>
                <c:pt idx="2">
                  <c:v>0.72577690634148961</c:v>
                </c:pt>
                <c:pt idx="3">
                  <c:v>0.70489645725336414</c:v>
                </c:pt>
                <c:pt idx="4">
                  <c:v>0.68744325964921704</c:v>
                </c:pt>
                <c:pt idx="5">
                  <c:v>0.49431387821976314</c:v>
                </c:pt>
                <c:pt idx="6">
                  <c:v>0.69254116193494675</c:v>
                </c:pt>
                <c:pt idx="7">
                  <c:v>0.71119765786575706</c:v>
                </c:pt>
                <c:pt idx="8">
                  <c:v>0.72229593618221377</c:v>
                </c:pt>
                <c:pt idx="9">
                  <c:v>0.7537643361714701</c:v>
                </c:pt>
                <c:pt idx="10">
                  <c:v>0.75380193924417827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78-4EBB-8946-AAB86B545127}"/>
            </c:ext>
          </c:extLst>
        </c:ser>
        <c:ser>
          <c:idx val="3"/>
          <c:order val="3"/>
          <c:tx>
            <c:strRef>
              <c:f>GUE_all!$G$3</c:f>
              <c:strCache>
                <c:ptCount val="1"/>
                <c:pt idx="0">
                  <c:v>Forest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(GUE_all!$G$45,GUE_all!$G$93,GUE_all!$G$141,GUE_all!$G$189,GUE_all!$G$237,GUE_all!$G$285,GUE_all!$G$333,GUE_all!$G$381,GUE_all!$G$429,GUE_all!$G$477,GUE_all!$G$525)</c:f>
              <c:numCache>
                <c:formatCode>0.00%</c:formatCode>
                <c:ptCount val="11"/>
                <c:pt idx="0">
                  <c:v>0.35649324487658135</c:v>
                </c:pt>
                <c:pt idx="1">
                  <c:v>0.21759286615992049</c:v>
                </c:pt>
                <c:pt idx="2">
                  <c:v>0.23569068786763719</c:v>
                </c:pt>
                <c:pt idx="3">
                  <c:v>0.20991646745991244</c:v>
                </c:pt>
                <c:pt idx="4">
                  <c:v>0.22418951948644947</c:v>
                </c:pt>
                <c:pt idx="5">
                  <c:v>0.12353683758158523</c:v>
                </c:pt>
                <c:pt idx="6">
                  <c:v>0.2100507641481561</c:v>
                </c:pt>
                <c:pt idx="7">
                  <c:v>0.22030565926244261</c:v>
                </c:pt>
                <c:pt idx="8">
                  <c:v>0.204071875587548</c:v>
                </c:pt>
                <c:pt idx="9">
                  <c:v>0.19247401359082486</c:v>
                </c:pt>
                <c:pt idx="10">
                  <c:v>0.16597459106658433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8-4EBB-8946-AAB86B545127}"/>
            </c:ext>
          </c:extLst>
        </c:ser>
        <c:ser>
          <c:idx val="4"/>
          <c:order val="4"/>
          <c:tx>
            <c:strRef>
              <c:f>GUE_all!$H$3</c:f>
              <c:strCache>
                <c:ptCount val="1"/>
                <c:pt idx="0">
                  <c:v>Shrubland-Wetland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(GUE_all!$H$45,GUE_all!$H$93,GUE_all!$H$141,GUE_all!$H$189,GUE_all!$H$237,GUE_all!$H$285,GUE_all!$H$333,GUE_all!$H$381,GUE_all!$H$429,GUE_all!$H$477,GUE_all!$H$525)</c:f>
              <c:numCache>
                <c:formatCode>0.00%</c:formatCode>
                <c:ptCount val="11"/>
                <c:pt idx="0">
                  <c:v>0.14059788885606081</c:v>
                </c:pt>
                <c:pt idx="1">
                  <c:v>0.29386801321479411</c:v>
                </c:pt>
                <c:pt idx="2">
                  <c:v>3.2940291692406864E-2</c:v>
                </c:pt>
                <c:pt idx="3">
                  <c:v>4.7095162633289465E-2</c:v>
                </c:pt>
                <c:pt idx="4">
                  <c:v>8.0723053369503917E-2</c:v>
                </c:pt>
                <c:pt idx="5">
                  <c:v>5.9493432891944885E-2</c:v>
                </c:pt>
                <c:pt idx="6">
                  <c:v>5.3772393972764627E-2</c:v>
                </c:pt>
                <c:pt idx="7">
                  <c:v>5.2493889500684912E-2</c:v>
                </c:pt>
                <c:pt idx="8">
                  <c:v>5.8112862936799986E-2</c:v>
                </c:pt>
                <c:pt idx="9">
                  <c:v>3.5610109854690986E-2</c:v>
                </c:pt>
                <c:pt idx="10">
                  <c:v>4.2384034809701598E-2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78-4EBB-8946-AAB86B545127}"/>
            </c:ext>
          </c:extLst>
        </c:ser>
        <c:ser>
          <c:idx val="5"/>
          <c:order val="5"/>
          <c:tx>
            <c:strRef>
              <c:f>GUE_all!$I$5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(GUE_all!$I$45,GUE_all!$I$93,GUE_all!$I$141,GUE_all!$I$189,GUE_all!$I$237,GUE_all!$I$285,GUE_all!$I$333,GUE_all!$I$381,GUE_all!$I$429,GUE_all!$I$477,GUE_all!$I$525)</c:f>
              <c:numCache>
                <c:formatCode>0.00%</c:formatCode>
                <c:ptCount val="11"/>
                <c:pt idx="0">
                  <c:v>5.3181488544491763E-3</c:v>
                </c:pt>
                <c:pt idx="1">
                  <c:v>4.6251779431118693E-3</c:v>
                </c:pt>
                <c:pt idx="2">
                  <c:v>4.4747656522790983E-3</c:v>
                </c:pt>
                <c:pt idx="3">
                  <c:v>3.2773763798984591E-2</c:v>
                </c:pt>
                <c:pt idx="4">
                  <c:v>4.474765652278976E-3</c:v>
                </c:pt>
                <c:pt idx="5">
                  <c:v>0.31915339367731188</c:v>
                </c:pt>
                <c:pt idx="6">
                  <c:v>2.1788294700652654E-2</c:v>
                </c:pt>
                <c:pt idx="7">
                  <c:v>4.474765652278976E-3</c:v>
                </c:pt>
                <c:pt idx="8">
                  <c:v>5.7640138594182364E-3</c:v>
                </c:pt>
                <c:pt idx="9">
                  <c:v>4.4156751094518156E-3</c:v>
                </c:pt>
                <c:pt idx="10">
                  <c:v>4.4156751094516934E-3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78-4EBB-8946-AAB86B545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2.5000000000000005E-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ACB_A PA Mode Classification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Px count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GUE_all!$D$3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(GUE_all!$D$44,GUE_all!$D$92,GUE_all!$D$140,GUE_all!$D$188,GUE_all!$D$236,GUE_all!$D$284,GUE_all!$D$332,GUE_all!$D$380,GUE_all!$D$428,GUE_all!$D$476,GUE_all!$D$524)</c:f>
              <c:numCache>
                <c:formatCode>0.00</c:formatCode>
                <c:ptCount val="11"/>
                <c:pt idx="0">
                  <c:v>0.26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0.27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EE-4DF4-9BA1-A9D292D154A8}"/>
            </c:ext>
          </c:extLst>
        </c:ser>
        <c:ser>
          <c:idx val="1"/>
          <c:order val="1"/>
          <c:tx>
            <c:strRef>
              <c:f>GUE_all!$E$3</c:f>
              <c:strCache>
                <c:ptCount val="1"/>
                <c:pt idx="0">
                  <c:v>Bare-Rock-Built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(GUE_all!$E$44,GUE_all!$E$92,GUE_all!$E$140,GUE_all!$E$188,GUE_all!$E$236,GUE_all!$E$284,GUE_all!$E$332,GUE_all!$E$380,GUE_all!$E$428,GUE_all!$E$476,GUE_all!$E$524)</c:f>
              <c:numCache>
                <c:formatCode>0.00</c:formatCode>
                <c:ptCount val="11"/>
                <c:pt idx="0">
                  <c:v>4.53</c:v>
                </c:pt>
                <c:pt idx="1">
                  <c:v>3.49</c:v>
                </c:pt>
                <c:pt idx="2">
                  <c:v>2.08</c:v>
                </c:pt>
                <c:pt idx="3">
                  <c:v>9.9</c:v>
                </c:pt>
                <c:pt idx="4">
                  <c:v>5.9</c:v>
                </c:pt>
                <c:pt idx="5">
                  <c:v>6.52</c:v>
                </c:pt>
                <c:pt idx="6">
                  <c:v>40.4</c:v>
                </c:pt>
                <c:pt idx="7">
                  <c:v>21.46</c:v>
                </c:pt>
                <c:pt idx="8">
                  <c:v>18.16</c:v>
                </c:pt>
                <c:pt idx="9">
                  <c:v>25.07</c:v>
                </c:pt>
                <c:pt idx="10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EE-4DF4-9BA1-A9D292D154A8}"/>
            </c:ext>
          </c:extLst>
        </c:ser>
        <c:ser>
          <c:idx val="2"/>
          <c:order val="2"/>
          <c:tx>
            <c:strRef>
              <c:f>GUE_all!$F$3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(GUE_all!$F$44,GUE_all!$F$92,GUE_all!$F$140,GUE_all!$F$188,GUE_all!$F$236,GUE_all!$F$284,GUE_all!$F$332,GUE_all!$F$380,GUE_all!$F$428,GUE_all!$F$476,GUE_all!$F$524)</c:f>
              <c:numCache>
                <c:formatCode>0.00</c:formatCode>
                <c:ptCount val="11"/>
                <c:pt idx="0">
                  <c:v>921.5</c:v>
                </c:pt>
                <c:pt idx="1">
                  <c:v>897.34</c:v>
                </c:pt>
                <c:pt idx="2">
                  <c:v>1351.07</c:v>
                </c:pt>
                <c:pt idx="3">
                  <c:v>1312.2</c:v>
                </c:pt>
                <c:pt idx="4">
                  <c:v>1279.71</c:v>
                </c:pt>
                <c:pt idx="5">
                  <c:v>920.19</c:v>
                </c:pt>
                <c:pt idx="6">
                  <c:v>1289.2</c:v>
                </c:pt>
                <c:pt idx="7">
                  <c:v>1323.93</c:v>
                </c:pt>
                <c:pt idx="8">
                  <c:v>1344.59</c:v>
                </c:pt>
                <c:pt idx="9">
                  <c:v>1403.17</c:v>
                </c:pt>
                <c:pt idx="10">
                  <c:v>1403.24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EE-4DF4-9BA1-A9D292D154A8}"/>
            </c:ext>
          </c:extLst>
        </c:ser>
        <c:ser>
          <c:idx val="3"/>
          <c:order val="3"/>
          <c:tx>
            <c:strRef>
              <c:f>GUE_all!$G$3</c:f>
              <c:strCache>
                <c:ptCount val="1"/>
                <c:pt idx="0">
                  <c:v>Forest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(GUE_all!$G$44,GUE_all!$G$92,GUE_all!$G$140,GUE_all!$G$188,GUE_all!$G$236,GUE_all!$G$284,GUE_all!$G$332,GUE_all!$G$380,GUE_all!$G$428,GUE_all!$G$476,GUE_all!$G$524)</c:f>
              <c:numCache>
                <c:formatCode>0.00</c:formatCode>
                <c:ptCount val="11"/>
                <c:pt idx="0">
                  <c:v>663.63</c:v>
                </c:pt>
                <c:pt idx="1">
                  <c:v>405.06</c:v>
                </c:pt>
                <c:pt idx="2">
                  <c:v>438.75</c:v>
                </c:pt>
                <c:pt idx="3">
                  <c:v>390.77</c:v>
                </c:pt>
                <c:pt idx="4">
                  <c:v>417.34</c:v>
                </c:pt>
                <c:pt idx="5">
                  <c:v>229.97</c:v>
                </c:pt>
                <c:pt idx="6">
                  <c:v>391.02</c:v>
                </c:pt>
                <c:pt idx="7">
                  <c:v>410.11</c:v>
                </c:pt>
                <c:pt idx="8">
                  <c:v>379.89</c:v>
                </c:pt>
                <c:pt idx="9">
                  <c:v>358.3</c:v>
                </c:pt>
                <c:pt idx="10">
                  <c:v>308.97000000000003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EE-4DF4-9BA1-A9D292D154A8}"/>
            </c:ext>
          </c:extLst>
        </c:ser>
        <c:ser>
          <c:idx val="4"/>
          <c:order val="4"/>
          <c:tx>
            <c:strRef>
              <c:f>GUE_all!$H$3</c:f>
              <c:strCache>
                <c:ptCount val="1"/>
                <c:pt idx="0">
                  <c:v>Shrubland-Wetland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(GUE_all!$H$44,GUE_all!$H$92,GUE_all!$H$140,GUE_all!$H$188,GUE_all!$H$236,GUE_all!$H$284,GUE_all!$H$332,GUE_all!$H$380,GUE_all!$H$428,GUE_all!$H$476,GUE_all!$H$524)</c:f>
              <c:numCache>
                <c:formatCode>0.00</c:formatCode>
                <c:ptCount val="11"/>
                <c:pt idx="0">
                  <c:v>261.73</c:v>
                </c:pt>
                <c:pt idx="1">
                  <c:v>547.04999999999995</c:v>
                </c:pt>
                <c:pt idx="2">
                  <c:v>61.32</c:v>
                </c:pt>
                <c:pt idx="3">
                  <c:v>87.67</c:v>
                </c:pt>
                <c:pt idx="4">
                  <c:v>150.27000000000001</c:v>
                </c:pt>
                <c:pt idx="5">
                  <c:v>110.75</c:v>
                </c:pt>
                <c:pt idx="6">
                  <c:v>100.1</c:v>
                </c:pt>
                <c:pt idx="7">
                  <c:v>97.72</c:v>
                </c:pt>
                <c:pt idx="8">
                  <c:v>108.18</c:v>
                </c:pt>
                <c:pt idx="9">
                  <c:v>66.290000000000006</c:v>
                </c:pt>
                <c:pt idx="10">
                  <c:v>78.900000000000006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EE-4DF4-9BA1-A9D292D154A8}"/>
            </c:ext>
          </c:extLst>
        </c:ser>
        <c:ser>
          <c:idx val="5"/>
          <c:order val="5"/>
          <c:tx>
            <c:strRef>
              <c:f>GUE_all!$I$5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(GUE_all!$I$44,GUE_all!$I$92,GUE_all!$I$140,GUE_all!$I$188,GUE_all!$I$236,GUE_all!$I$284,GUE_all!$I$332,GUE_all!$I$380,GUE_all!$I$428,GUE_all!$I$476,GUE_all!$I$524)</c:f>
              <c:numCache>
                <c:formatCode>0.00</c:formatCode>
                <c:ptCount val="11"/>
                <c:pt idx="0">
                  <c:v>9.8999999999998636</c:v>
                </c:pt>
                <c:pt idx="1">
                  <c:v>8.6099999999999</c:v>
                </c:pt>
                <c:pt idx="2">
                  <c:v>8.3300000000001546</c:v>
                </c:pt>
                <c:pt idx="3">
                  <c:v>61.009999999999764</c:v>
                </c:pt>
                <c:pt idx="4">
                  <c:v>8.3299999999999272</c:v>
                </c:pt>
                <c:pt idx="5">
                  <c:v>594.11999999999989</c:v>
                </c:pt>
                <c:pt idx="6">
                  <c:v>40.559999999999945</c:v>
                </c:pt>
                <c:pt idx="7">
                  <c:v>8.3299999999999272</c:v>
                </c:pt>
                <c:pt idx="8">
                  <c:v>10.730000000000018</c:v>
                </c:pt>
                <c:pt idx="9">
                  <c:v>8.2200000000000273</c:v>
                </c:pt>
                <c:pt idx="10">
                  <c:v>8.2199999999997999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EE-4DF4-9BA1-A9D292D15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15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GUE Mode Area Wieghted Overall Accuracy ± SE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GUE_all!$J$6</c:f>
              <c:strCache>
                <c:ptCount val="1"/>
                <c:pt idx="0">
                  <c:v>Ô</c:v>
                </c:pt>
              </c:strCache>
            </c:strRef>
          </c:tx>
          <c:spPr>
            <a:solidFill>
              <a:srgbClr val="7030A0">
                <a:alpha val="70000"/>
              </a:srgbClr>
            </a:solidFill>
            <a:ln>
              <a:solidFill>
                <a:srgbClr val="7030A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(GUE_all!$K$7,GUE_all!$K$55,GUE_all!$K$103,GUE_all!$K$151,GUE_all!$K$199,GUE_all!$K$247,GUE_all!$K$295,GUE_all!$K$343,GUE_all!$K$391,GUE_all!$K$439,GUE_all!$K$487)</c:f>
                <c:numCache>
                  <c:formatCode>General</c:formatCode>
                  <c:ptCount val="11"/>
                  <c:pt idx="0">
                    <c:v>6.4183019921026973E-3</c:v>
                  </c:pt>
                  <c:pt idx="1">
                    <c:v>6.6407652331395735E-3</c:v>
                  </c:pt>
                  <c:pt idx="2">
                    <c:v>2.1390344995911837E-3</c:v>
                  </c:pt>
                  <c:pt idx="3">
                    <c:v>2.7122304755798632E-3</c:v>
                  </c:pt>
                  <c:pt idx="4">
                    <c:v>2.5431929706373497E-3</c:v>
                  </c:pt>
                  <c:pt idx="5">
                    <c:v>2.7761448885463206E-3</c:v>
                  </c:pt>
                  <c:pt idx="6">
                    <c:v>2.3555218478968389E-3</c:v>
                  </c:pt>
                  <c:pt idx="7">
                    <c:v>2.2750917392034883E-3</c:v>
                  </c:pt>
                  <c:pt idx="8">
                    <c:v>2.156092163808633E-3</c:v>
                  </c:pt>
                  <c:pt idx="9">
                    <c:v>2.3702762785370495E-3</c:v>
                  </c:pt>
                  <c:pt idx="10">
                    <c:v>2.4816070541914823E-3</c:v>
                  </c:pt>
                </c:numCache>
              </c:numRef>
            </c:plus>
            <c:minus>
              <c:numRef>
                <c:f>(GUE_all!$K$7,GUE_all!$K$55,GUE_all!$K$103,GUE_all!$K$151,GUE_all!$K$199,GUE_all!$K$247,GUE_all!$K$295,GUE_all!$K$343,GUE_all!$K$391,GUE_all!$K$439,GUE_all!$K$487)</c:f>
                <c:numCache>
                  <c:formatCode>General</c:formatCode>
                  <c:ptCount val="11"/>
                  <c:pt idx="0">
                    <c:v>6.4183019921026973E-3</c:v>
                  </c:pt>
                  <c:pt idx="1">
                    <c:v>6.6407652331395735E-3</c:v>
                  </c:pt>
                  <c:pt idx="2">
                    <c:v>2.1390344995911837E-3</c:v>
                  </c:pt>
                  <c:pt idx="3">
                    <c:v>2.7122304755798632E-3</c:v>
                  </c:pt>
                  <c:pt idx="4">
                    <c:v>2.5431929706373497E-3</c:v>
                  </c:pt>
                  <c:pt idx="5">
                    <c:v>2.7761448885463206E-3</c:v>
                  </c:pt>
                  <c:pt idx="6">
                    <c:v>2.3555218478968389E-3</c:v>
                  </c:pt>
                  <c:pt idx="7">
                    <c:v>2.2750917392034883E-3</c:v>
                  </c:pt>
                  <c:pt idx="8">
                    <c:v>2.156092163808633E-3</c:v>
                  </c:pt>
                  <c:pt idx="9">
                    <c:v>2.3702762785370495E-3</c:v>
                  </c:pt>
                  <c:pt idx="10">
                    <c:v>2.4816070541914823E-3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(GUE_all!$K$6,GUE_all!$K$54,GUE_all!$K$102,GUE_all!$K$150,GUE_all!$K$198,GUE_all!$K$246,GUE_all!$K$294,GUE_all!$K$342,GUE_all!$K$390,GUE_all!$K$438,GUE_all!$K$486)</c:f>
              <c:numCache>
                <c:formatCode>0.00%</c:formatCode>
                <c:ptCount val="11"/>
                <c:pt idx="0">
                  <c:v>0.90566080639610325</c:v>
                </c:pt>
                <c:pt idx="1">
                  <c:v>0.88226203498183009</c:v>
                </c:pt>
                <c:pt idx="2">
                  <c:v>0.94497894827037632</c:v>
                </c:pt>
                <c:pt idx="3">
                  <c:v>0.91800380862285236</c:v>
                </c:pt>
                <c:pt idx="4">
                  <c:v>0.92964975936647731</c:v>
                </c:pt>
                <c:pt idx="5">
                  <c:v>0.92880721576612801</c:v>
                </c:pt>
                <c:pt idx="6">
                  <c:v>0.9363108913692294</c:v>
                </c:pt>
                <c:pt idx="7">
                  <c:v>0.93883073820584828</c:v>
                </c:pt>
                <c:pt idx="8">
                  <c:v>0.94599013363562678</c:v>
                </c:pt>
                <c:pt idx="9">
                  <c:v>0.92759401818085974</c:v>
                </c:pt>
                <c:pt idx="10">
                  <c:v>0.92660634100924721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79-434D-948E-47269FCB5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5.000000000000001E-2"/>
        <c:minorUnit val="2.5000000000000005E-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GUE Agriculture-Grass HC Area</a:t>
            </a:r>
          </a:p>
          <a:p>
            <a:pPr>
              <a:defRPr/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(Equivalent 10m Geom. Res.)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GUE_PA_HC!$H$316:$H$323</c:f>
                <c:numCache>
                  <c:formatCode>General</c:formatCode>
                  <c:ptCount val="8"/>
                  <c:pt idx="0">
                    <c:v>1.2442402755274123E-2</c:v>
                  </c:pt>
                  <c:pt idx="1">
                    <c:v>1.6932241985176375E-2</c:v>
                  </c:pt>
                  <c:pt idx="2">
                    <c:v>4.3793990527340648E-2</c:v>
                  </c:pt>
                  <c:pt idx="3">
                    <c:v>2.3841780765460462E-2</c:v>
                  </c:pt>
                  <c:pt idx="4">
                    <c:v>3.2341317283049502E-2</c:v>
                  </c:pt>
                  <c:pt idx="5">
                    <c:v>1.869488037149809E-2</c:v>
                  </c:pt>
                  <c:pt idx="6">
                    <c:v>2.2797393624120355E-2</c:v>
                  </c:pt>
                  <c:pt idx="7">
                    <c:v>1.8000867932442044E-2</c:v>
                  </c:pt>
                </c:numCache>
              </c:numRef>
            </c:plus>
            <c:minus>
              <c:numRef>
                <c:f>GUE_PA_HC!$H$316:$H$323</c:f>
                <c:numCache>
                  <c:formatCode>General</c:formatCode>
                  <c:ptCount val="8"/>
                  <c:pt idx="0">
                    <c:v>1.2442402755274123E-2</c:v>
                  </c:pt>
                  <c:pt idx="1">
                    <c:v>1.6932241985176375E-2</c:v>
                  </c:pt>
                  <c:pt idx="2">
                    <c:v>4.3793990527340648E-2</c:v>
                  </c:pt>
                  <c:pt idx="3">
                    <c:v>2.3841780765460462E-2</c:v>
                  </c:pt>
                  <c:pt idx="4">
                    <c:v>3.2341317283049502E-2</c:v>
                  </c:pt>
                  <c:pt idx="5">
                    <c:v>1.869488037149809E-2</c:v>
                  </c:pt>
                  <c:pt idx="6">
                    <c:v>2.2797393624120355E-2</c:v>
                  </c:pt>
                  <c:pt idx="7">
                    <c:v>1.8000867932442044E-2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GUE_PA_HC!$G$305:$G$312</c:f>
              <c:strCache>
                <c:ptCount val="8"/>
                <c:pt idx="0">
                  <c:v>1977(M)</c:v>
                </c:pt>
                <c:pt idx="1">
                  <c:v>1988(M)</c:v>
                </c:pt>
                <c:pt idx="2">
                  <c:v>1991(M)</c:v>
                </c:pt>
                <c:pt idx="3">
                  <c:v>2001(M)</c:v>
                </c:pt>
                <c:pt idx="4">
                  <c:v>2011(M)</c:v>
                </c:pt>
                <c:pt idx="5">
                  <c:v>2015(M)</c:v>
                </c:pt>
                <c:pt idx="6">
                  <c:v> 2019M</c:v>
                </c:pt>
                <c:pt idx="7">
                  <c:v>2024M</c:v>
                </c:pt>
              </c:strCache>
            </c:strRef>
          </c:cat>
          <c:val>
            <c:numRef>
              <c:f>GUE_PA_HC!$H$305:$H$312</c:f>
              <c:numCache>
                <c:formatCode>0.00%</c:formatCode>
                <c:ptCount val="8"/>
                <c:pt idx="0">
                  <c:v>0.3412255196793107</c:v>
                </c:pt>
                <c:pt idx="1">
                  <c:v>0.40845495994498787</c:v>
                </c:pt>
                <c:pt idx="2">
                  <c:v>0.38608022021675903</c:v>
                </c:pt>
                <c:pt idx="3">
                  <c:v>0.39664708259466619</c:v>
                </c:pt>
                <c:pt idx="4">
                  <c:v>0.39701692149373019</c:v>
                </c:pt>
                <c:pt idx="5">
                  <c:v>0.40875853604130291</c:v>
                </c:pt>
                <c:pt idx="6">
                  <c:v>0.41019423010086348</c:v>
                </c:pt>
                <c:pt idx="7">
                  <c:v>0.41383096308474188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23-47A0-8EEB-40AA4495B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806960"/>
        <c:axId val="802808720"/>
      </c:barChart>
      <c:catAx>
        <c:axId val="80280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8720"/>
        <c:crosses val="autoZero"/>
        <c:auto val="1"/>
        <c:lblAlgn val="ctr"/>
        <c:lblOffset val="100"/>
        <c:noMultiLvlLbl val="0"/>
      </c:catAx>
      <c:valAx>
        <c:axId val="80280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GUE Agriculture-Grass HC Area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GUE_PA_HC!$D$316:$D$325</c:f>
                <c:numCache>
                  <c:formatCode>General</c:formatCode>
                  <c:ptCount val="10"/>
                  <c:pt idx="0">
                    <c:v>1.2442402755274123E-2</c:v>
                  </c:pt>
                  <c:pt idx="1">
                    <c:v>1.6932241985176375E-2</c:v>
                  </c:pt>
                  <c:pt idx="2">
                    <c:v>1.5043182561620167E-2</c:v>
                  </c:pt>
                  <c:pt idx="3">
                    <c:v>4.3793990527340648E-2</c:v>
                  </c:pt>
                  <c:pt idx="4">
                    <c:v>2.3841780765460462E-2</c:v>
                  </c:pt>
                  <c:pt idx="5">
                    <c:v>3.2341317283049502E-2</c:v>
                  </c:pt>
                  <c:pt idx="6">
                    <c:v>1.869488037149809E-2</c:v>
                  </c:pt>
                  <c:pt idx="7">
                    <c:v>2.4645920082560179E-2</c:v>
                  </c:pt>
                  <c:pt idx="8">
                    <c:v>2.2797393624120355E-2</c:v>
                  </c:pt>
                  <c:pt idx="9">
                    <c:v>1.8000867932442044E-2</c:v>
                  </c:pt>
                </c:numCache>
              </c:numRef>
            </c:plus>
            <c:minus>
              <c:numRef>
                <c:f>GUE_PA_HC!$D$316:$D$325</c:f>
                <c:numCache>
                  <c:formatCode>General</c:formatCode>
                  <c:ptCount val="10"/>
                  <c:pt idx="0">
                    <c:v>1.2442402755274123E-2</c:v>
                  </c:pt>
                  <c:pt idx="1">
                    <c:v>1.6932241985176375E-2</c:v>
                  </c:pt>
                  <c:pt idx="2">
                    <c:v>1.5043182561620167E-2</c:v>
                  </c:pt>
                  <c:pt idx="3">
                    <c:v>4.3793990527340648E-2</c:v>
                  </c:pt>
                  <c:pt idx="4">
                    <c:v>2.3841780765460462E-2</c:v>
                  </c:pt>
                  <c:pt idx="5">
                    <c:v>3.2341317283049502E-2</c:v>
                  </c:pt>
                  <c:pt idx="6">
                    <c:v>1.869488037149809E-2</c:v>
                  </c:pt>
                  <c:pt idx="7">
                    <c:v>2.4645920082560179E-2</c:v>
                  </c:pt>
                  <c:pt idx="8">
                    <c:v>2.2797393624120355E-2</c:v>
                  </c:pt>
                  <c:pt idx="9">
                    <c:v>1.8000867932442044E-2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GUE_PA_HC!$C$305:$C$314</c:f>
              <c:strCache>
                <c:ptCount val="10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2011E</c:v>
                </c:pt>
                <c:pt idx="6">
                  <c:v>2015O</c:v>
                </c:pt>
                <c:pt idx="7">
                  <c:v> 2019O</c:v>
                </c:pt>
                <c:pt idx="8">
                  <c:v> 2019M</c:v>
                </c:pt>
                <c:pt idx="9">
                  <c:v>2024M</c:v>
                </c:pt>
              </c:strCache>
            </c:strRef>
          </c:cat>
          <c:val>
            <c:numRef>
              <c:f>GUE_PA_HC!$D$305:$D$314</c:f>
              <c:numCache>
                <c:formatCode>0.00%</c:formatCode>
                <c:ptCount val="10"/>
                <c:pt idx="0">
                  <c:v>0.21475656805723145</c:v>
                </c:pt>
                <c:pt idx="1">
                  <c:v>0.25706865502374704</c:v>
                </c:pt>
                <c:pt idx="2">
                  <c:v>0.36628856773754903</c:v>
                </c:pt>
                <c:pt idx="3">
                  <c:v>0.34622365930882731</c:v>
                </c:pt>
                <c:pt idx="4">
                  <c:v>0.35569966343521792</c:v>
                </c:pt>
                <c:pt idx="5">
                  <c:v>0.35603132242804791</c:v>
                </c:pt>
                <c:pt idx="6">
                  <c:v>0.36656080449416367</c:v>
                </c:pt>
                <c:pt idx="7">
                  <c:v>0.36784828627882993</c:v>
                </c:pt>
                <c:pt idx="8">
                  <c:v>0.41019423010086348</c:v>
                </c:pt>
                <c:pt idx="9">
                  <c:v>0.41383096308474188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C-471B-911F-AC585134C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806960"/>
        <c:axId val="802808720"/>
      </c:barChart>
      <c:catAx>
        <c:axId val="80280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8720"/>
        <c:crosses val="autoZero"/>
        <c:auto val="1"/>
        <c:lblAlgn val="ctr"/>
        <c:lblOffset val="100"/>
        <c:noMultiLvlLbl val="0"/>
      </c:catAx>
      <c:valAx>
        <c:axId val="80280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GUE PA Mode Binary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GUE_PA_HC!$F$3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GUE_PA_HC!$E$440:$E$450</c:f>
              <c:numCache>
                <c:formatCode>0.00%</c:formatCode>
                <c:ptCount val="11"/>
                <c:pt idx="0">
                  <c:v>0.2277886936067432</c:v>
                </c:pt>
                <c:pt idx="1">
                  <c:v>0.2795454613503266</c:v>
                </c:pt>
                <c:pt idx="2">
                  <c:v>0.37596771299704801</c:v>
                </c:pt>
                <c:pt idx="3">
                  <c:v>0.35942691168588947</c:v>
                </c:pt>
                <c:pt idx="4">
                  <c:v>0.36980231051158635</c:v>
                </c:pt>
                <c:pt idx="5">
                  <c:v>0.29615950402240176</c:v>
                </c:pt>
                <c:pt idx="6">
                  <c:v>0.36867305770474934</c:v>
                </c:pt>
                <c:pt idx="7">
                  <c:v>0.37659233743354442</c:v>
                </c:pt>
                <c:pt idx="8">
                  <c:v>0.37570192516529405</c:v>
                </c:pt>
                <c:pt idx="9">
                  <c:v>0.4236699495532853</c:v>
                </c:pt>
                <c:pt idx="10">
                  <c:v>0.42228573389571034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3E-44B2-B11A-853B33EEA16A}"/>
            </c:ext>
          </c:extLst>
        </c:ser>
        <c:ser>
          <c:idx val="0"/>
          <c:order val="1"/>
          <c:tx>
            <c:strRef>
              <c:f>GUE_PA_HC!$L$4</c:f>
              <c:strCache>
                <c:ptCount val="1"/>
                <c:pt idx="0">
                  <c:v>Agriculture-Grass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GUE_PA_HC!$L$440:$L$450</c:f>
                <c:numCache>
                  <c:formatCode>General</c:formatCode>
                  <c:ptCount val="11"/>
                  <c:pt idx="0">
                    <c:v>1.2442402755274123E-2</c:v>
                  </c:pt>
                  <c:pt idx="1">
                    <c:v>1.6932241985176375E-2</c:v>
                  </c:pt>
                  <c:pt idx="2">
                    <c:v>1.5043182561620167E-2</c:v>
                  </c:pt>
                  <c:pt idx="3">
                    <c:v>4.3793990527340648E-2</c:v>
                  </c:pt>
                  <c:pt idx="4">
                    <c:v>2.3841780765460462E-2</c:v>
                  </c:pt>
                  <c:pt idx="5">
                    <c:v>7.8237275417571459E-2</c:v>
                  </c:pt>
                  <c:pt idx="6">
                    <c:v>3.2341317283049502E-2</c:v>
                  </c:pt>
                  <c:pt idx="7">
                    <c:v>1.869488037149809E-2</c:v>
                  </c:pt>
                  <c:pt idx="8">
                    <c:v>2.4645920082560179E-2</c:v>
                  </c:pt>
                  <c:pt idx="9">
                    <c:v>2.2797393624120355E-2</c:v>
                  </c:pt>
                  <c:pt idx="10">
                    <c:v>1.8000867932442044E-2</c:v>
                  </c:pt>
                </c:numCache>
              </c:numRef>
            </c:plus>
            <c:minus>
              <c:numRef>
                <c:f>GUE_PA_HC!$L$440:$L$450</c:f>
                <c:numCache>
                  <c:formatCode>General</c:formatCode>
                  <c:ptCount val="11"/>
                  <c:pt idx="0">
                    <c:v>1.2442402755274123E-2</c:v>
                  </c:pt>
                  <c:pt idx="1">
                    <c:v>1.6932241985176375E-2</c:v>
                  </c:pt>
                  <c:pt idx="2">
                    <c:v>1.5043182561620167E-2</c:v>
                  </c:pt>
                  <c:pt idx="3">
                    <c:v>4.3793990527340648E-2</c:v>
                  </c:pt>
                  <c:pt idx="4">
                    <c:v>2.3841780765460462E-2</c:v>
                  </c:pt>
                  <c:pt idx="5">
                    <c:v>7.8237275417571459E-2</c:v>
                  </c:pt>
                  <c:pt idx="6">
                    <c:v>3.2341317283049502E-2</c:v>
                  </c:pt>
                  <c:pt idx="7">
                    <c:v>1.869488037149809E-2</c:v>
                  </c:pt>
                  <c:pt idx="8">
                    <c:v>2.4645920082560179E-2</c:v>
                  </c:pt>
                  <c:pt idx="9">
                    <c:v>2.2797393624120355E-2</c:v>
                  </c:pt>
                  <c:pt idx="10">
                    <c:v>1.8000867932442044E-2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GUE_PA_HC!$G$440:$G$450</c:f>
              <c:numCache>
                <c:formatCode>0.00%</c:formatCode>
                <c:ptCount val="11"/>
                <c:pt idx="0">
                  <c:v>0.21475656805723145</c:v>
                </c:pt>
                <c:pt idx="1">
                  <c:v>0.25706865502374704</c:v>
                </c:pt>
                <c:pt idx="2">
                  <c:v>0.36628856773754903</c:v>
                </c:pt>
                <c:pt idx="3">
                  <c:v>0.34622365930882731</c:v>
                </c:pt>
                <c:pt idx="4">
                  <c:v>0.35569966343521792</c:v>
                </c:pt>
                <c:pt idx="5">
                  <c:v>0.28884642323050141</c:v>
                </c:pt>
                <c:pt idx="6">
                  <c:v>0.35603132242804791</c:v>
                </c:pt>
                <c:pt idx="7">
                  <c:v>0.36656080449416367</c:v>
                </c:pt>
                <c:pt idx="8">
                  <c:v>0.36784828627882993</c:v>
                </c:pt>
                <c:pt idx="9">
                  <c:v>0.41019423010086348</c:v>
                </c:pt>
                <c:pt idx="10">
                  <c:v>0.41383096308474188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3E-44B2-B11A-853B33EEA16A}"/>
            </c:ext>
          </c:extLst>
        </c:ser>
        <c:ser>
          <c:idx val="5"/>
          <c:order val="2"/>
          <c:tx>
            <c:strRef>
              <c:f>GUE_PA_HC!$I$5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GUE_PA_HC!$H$440:$H$450</c:f>
              <c:numCache>
                <c:formatCode>0.00%</c:formatCode>
                <c:ptCount val="11"/>
                <c:pt idx="0">
                  <c:v>4.4516007037619307E-3</c:v>
                </c:pt>
                <c:pt idx="1">
                  <c:v>4.5061862463317524E-3</c:v>
                </c:pt>
                <c:pt idx="2">
                  <c:v>4.4094523734230845E-3</c:v>
                </c:pt>
                <c:pt idx="3">
                  <c:v>7.0770271101285018E-2</c:v>
                </c:pt>
                <c:pt idx="4">
                  <c:v>1.1705950215681823E-2</c:v>
                </c:pt>
                <c:pt idx="5">
                  <c:v>0.18375497402119703</c:v>
                </c:pt>
                <c:pt idx="6">
                  <c:v>4.2099963402351288E-2</c:v>
                </c:pt>
                <c:pt idx="7">
                  <c:v>6.4724173725743536E-3</c:v>
                </c:pt>
                <c:pt idx="8">
                  <c:v>2.6965027710799734E-2</c:v>
                </c:pt>
                <c:pt idx="9">
                  <c:v>4.3778987053553426E-3</c:v>
                </c:pt>
                <c:pt idx="10">
                  <c:v>4.3778987053551752E-3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13E-44B2-B11A-853B33EEA16A}"/>
            </c:ext>
          </c:extLst>
        </c:ser>
        <c:ser>
          <c:idx val="1"/>
          <c:order val="3"/>
          <c:tx>
            <c:strRef>
              <c:f>GUE_PA_HC!$K$3</c:f>
              <c:strCache>
                <c:ptCount val="1"/>
                <c:pt idx="0">
                  <c:v>Not Agriculture-Grass</c:v>
                </c:pt>
              </c:strCache>
            </c:strRef>
          </c:tx>
          <c:spPr>
            <a:solidFill>
              <a:schemeClr val="tx1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GUE_PA_HC!$D$440:$D$450</c:f>
              <c:numCache>
                <c:formatCode>0.00%</c:formatCode>
                <c:ptCount val="11"/>
                <c:pt idx="0">
                  <c:v>0.76775970568949481</c:v>
                </c:pt>
                <c:pt idx="1">
                  <c:v>0.71594835240334165</c:v>
                </c:pt>
                <c:pt idx="2">
                  <c:v>0.61962283462952883</c:v>
                </c:pt>
                <c:pt idx="3">
                  <c:v>0.56980281721282544</c:v>
                </c:pt>
                <c:pt idx="4">
                  <c:v>0.61849173927273171</c:v>
                </c:pt>
                <c:pt idx="5">
                  <c:v>0.52008552195640123</c:v>
                </c:pt>
                <c:pt idx="6">
                  <c:v>0.58922697889289932</c:v>
                </c:pt>
                <c:pt idx="7">
                  <c:v>0.61693524519388121</c:v>
                </c:pt>
                <c:pt idx="8">
                  <c:v>0.59733304712390622</c:v>
                </c:pt>
                <c:pt idx="9">
                  <c:v>0.57195215174135949</c:v>
                </c:pt>
                <c:pt idx="10">
                  <c:v>0.57333636739893445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13E-44B2-B11A-853B33EEA16A}"/>
            </c:ext>
          </c:extLst>
        </c:ser>
        <c:ser>
          <c:idx val="3"/>
          <c:order val="4"/>
          <c:tx>
            <c:strRef>
              <c:f>GUE_PA_HC!$K$4</c:f>
              <c:strCache>
                <c:ptCount val="1"/>
                <c:pt idx="0">
                  <c:v>Not Agriculture-Grass (HC)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GUE_PA_HC!$K$440:$K$450</c:f>
                <c:numCache>
                  <c:formatCode>General</c:formatCode>
                  <c:ptCount val="11"/>
                  <c:pt idx="0">
                    <c:v>4.193700453786102E-2</c:v>
                  </c:pt>
                  <c:pt idx="1">
                    <c:v>4.3365435780013076E-2</c:v>
                  </c:pt>
                  <c:pt idx="2">
                    <c:v>2.4792286939686679E-2</c:v>
                  </c:pt>
                  <c:pt idx="3">
                    <c:v>6.9427019424962391E-2</c:v>
                  </c:pt>
                  <c:pt idx="4">
                    <c:v>3.9875209088307724E-2</c:v>
                  </c:pt>
                  <c:pt idx="5">
                    <c:v>0.13739243100203372</c:v>
                  </c:pt>
                  <c:pt idx="6">
                    <c:v>5.1689094925317827E-2</c:v>
                  </c:pt>
                  <c:pt idx="7">
                    <c:v>3.0626036324745254E-2</c:v>
                  </c:pt>
                  <c:pt idx="8">
                    <c:v>3.9184847231248349E-2</c:v>
                  </c:pt>
                  <c:pt idx="9">
                    <c:v>3.0776358698932131E-2</c:v>
                  </c:pt>
                  <c:pt idx="10">
                    <c:v>2.4439736893794996E-2</c:v>
                  </c:pt>
                </c:numCache>
              </c:numRef>
            </c:plus>
            <c:minus>
              <c:numRef>
                <c:f>GUE_PA_HC!$K$440:$K$450</c:f>
                <c:numCache>
                  <c:formatCode>General</c:formatCode>
                  <c:ptCount val="11"/>
                  <c:pt idx="0">
                    <c:v>4.193700453786102E-2</c:v>
                  </c:pt>
                  <c:pt idx="1">
                    <c:v>4.3365435780013076E-2</c:v>
                  </c:pt>
                  <c:pt idx="2">
                    <c:v>2.4792286939686679E-2</c:v>
                  </c:pt>
                  <c:pt idx="3">
                    <c:v>6.9427019424962391E-2</c:v>
                  </c:pt>
                  <c:pt idx="4">
                    <c:v>3.9875209088307724E-2</c:v>
                  </c:pt>
                  <c:pt idx="5">
                    <c:v>0.13739243100203372</c:v>
                  </c:pt>
                  <c:pt idx="6">
                    <c:v>5.1689094925317827E-2</c:v>
                  </c:pt>
                  <c:pt idx="7">
                    <c:v>3.0626036324745254E-2</c:v>
                  </c:pt>
                  <c:pt idx="8">
                    <c:v>3.9184847231248349E-2</c:v>
                  </c:pt>
                  <c:pt idx="9">
                    <c:v>3.0776358698932131E-2</c:v>
                  </c:pt>
                  <c:pt idx="10">
                    <c:v>2.4439736893794996E-2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GUE_PA_HC!$F$440:$F$450</c:f>
              <c:numCache>
                <c:formatCode>0.00%</c:formatCode>
                <c:ptCount val="11"/>
                <c:pt idx="0">
                  <c:v>0.7308640246496334</c:v>
                </c:pt>
                <c:pt idx="1">
                  <c:v>0.68263366721106344</c:v>
                </c:pt>
                <c:pt idx="2">
                  <c:v>0.59387596276114407</c:v>
                </c:pt>
                <c:pt idx="3">
                  <c:v>0.54055533073886952</c:v>
                </c:pt>
                <c:pt idx="4">
                  <c:v>0.58058334671101386</c:v>
                </c:pt>
                <c:pt idx="5">
                  <c:v>0.49552387034989337</c:v>
                </c:pt>
                <c:pt idx="6">
                  <c:v>0.55993826536358471</c:v>
                </c:pt>
                <c:pt idx="7">
                  <c:v>0.58411827880959311</c:v>
                </c:pt>
                <c:pt idx="8">
                  <c:v>0.56832094640736153</c:v>
                </c:pt>
                <c:pt idx="9">
                  <c:v>0.53623201757608407</c:v>
                </c:pt>
                <c:pt idx="10">
                  <c:v>0.543728432089021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13E-44B2-B11A-853B33EEA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2.0000000000000004E-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3486126260820186"/>
          <c:w val="0.93372244240575686"/>
          <c:h val="0.125581810867794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GUE PA Mode Binary Px count 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GUE_PA_HC!$F$3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GUE_PA_HC!$E$453:$E$463</c:f>
              <c:numCache>
                <c:formatCode>0.00</c:formatCode>
                <c:ptCount val="11"/>
                <c:pt idx="0">
                  <c:v>9890.15</c:v>
                </c:pt>
                <c:pt idx="1">
                  <c:v>12137.33</c:v>
                </c:pt>
                <c:pt idx="2">
                  <c:v>16323.8</c:v>
                </c:pt>
                <c:pt idx="3">
                  <c:v>15605.63</c:v>
                </c:pt>
                <c:pt idx="4">
                  <c:v>16056.11</c:v>
                </c:pt>
                <c:pt idx="5">
                  <c:v>12858.68</c:v>
                </c:pt>
                <c:pt idx="6">
                  <c:v>16007.08</c:v>
                </c:pt>
                <c:pt idx="7">
                  <c:v>16350.92</c:v>
                </c:pt>
                <c:pt idx="8">
                  <c:v>16312.26</c:v>
                </c:pt>
                <c:pt idx="9">
                  <c:v>18394.939999999999</c:v>
                </c:pt>
                <c:pt idx="10">
                  <c:v>18334.84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3D-44AD-A998-26FA429CB7E8}"/>
            </c:ext>
          </c:extLst>
        </c:ser>
        <c:ser>
          <c:idx val="0"/>
          <c:order val="1"/>
          <c:tx>
            <c:strRef>
              <c:f>GUE_PA_HC!$L$4</c:f>
              <c:strCache>
                <c:ptCount val="1"/>
                <c:pt idx="0">
                  <c:v>Agriculture-Grass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GUE_PA_HC!$L$453:$L$463</c:f>
                <c:numCache>
                  <c:formatCode>General</c:formatCode>
                  <c:ptCount val="11"/>
                  <c:pt idx="0">
                    <c:v>540.22536264473979</c:v>
                  </c:pt>
                  <c:pt idx="1">
                    <c:v>735.1656064141664</c:v>
                  </c:pt>
                  <c:pt idx="2">
                    <c:v>653.1462543468549</c:v>
                  </c:pt>
                  <c:pt idx="3">
                    <c:v>1901.4514221752236</c:v>
                  </c:pt>
                  <c:pt idx="4">
                    <c:v>1035.1645830350312</c:v>
                  </c:pt>
                  <c:pt idx="5">
                    <c:v>3396.9130654349046</c:v>
                  </c:pt>
                  <c:pt idx="6">
                    <c:v>1404.1982245139986</c:v>
                  </c:pt>
                  <c:pt idx="7">
                    <c:v>811.69599850893746</c:v>
                  </c:pt>
                  <c:pt idx="8">
                    <c:v>1070.0787762774053</c:v>
                  </c:pt>
                  <c:pt idx="9">
                    <c:v>989.81928813748368</c:v>
                  </c:pt>
                  <c:pt idx="10">
                    <c:v>781.56330396888256</c:v>
                  </c:pt>
                </c:numCache>
              </c:numRef>
            </c:plus>
            <c:minus>
              <c:numRef>
                <c:f>GUE_PA_HC!$L$453:$L$463</c:f>
                <c:numCache>
                  <c:formatCode>General</c:formatCode>
                  <c:ptCount val="11"/>
                  <c:pt idx="0">
                    <c:v>540.22536264473979</c:v>
                  </c:pt>
                  <c:pt idx="1">
                    <c:v>735.1656064141664</c:v>
                  </c:pt>
                  <c:pt idx="2">
                    <c:v>653.1462543468549</c:v>
                  </c:pt>
                  <c:pt idx="3">
                    <c:v>1901.4514221752236</c:v>
                  </c:pt>
                  <c:pt idx="4">
                    <c:v>1035.1645830350312</c:v>
                  </c:pt>
                  <c:pt idx="5">
                    <c:v>3396.9130654349046</c:v>
                  </c:pt>
                  <c:pt idx="6">
                    <c:v>1404.1982245139986</c:v>
                  </c:pt>
                  <c:pt idx="7">
                    <c:v>811.69599850893746</c:v>
                  </c:pt>
                  <c:pt idx="8">
                    <c:v>1070.0787762774053</c:v>
                  </c:pt>
                  <c:pt idx="9">
                    <c:v>989.81928813748368</c:v>
                  </c:pt>
                  <c:pt idx="10">
                    <c:v>781.56330396888256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GUE_PA_HC!$G$453:$G$463</c:f>
              <c:numCache>
                <c:formatCode>0.00</c:formatCode>
                <c:ptCount val="11"/>
                <c:pt idx="0">
                  <c:v>9324.32</c:v>
                </c:pt>
                <c:pt idx="1">
                  <c:v>11161.43</c:v>
                </c:pt>
                <c:pt idx="2">
                  <c:v>15903.55</c:v>
                </c:pt>
                <c:pt idx="3">
                  <c:v>15032.37</c:v>
                </c:pt>
                <c:pt idx="4">
                  <c:v>15443.8</c:v>
                </c:pt>
                <c:pt idx="5">
                  <c:v>12541.16</c:v>
                </c:pt>
                <c:pt idx="6">
                  <c:v>15458.2</c:v>
                </c:pt>
                <c:pt idx="7">
                  <c:v>15915.37</c:v>
                </c:pt>
                <c:pt idx="8">
                  <c:v>15971.27</c:v>
                </c:pt>
                <c:pt idx="9">
                  <c:v>17809.849999999999</c:v>
                </c:pt>
                <c:pt idx="10">
                  <c:v>17967.75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3D-44AD-A998-26FA429CB7E8}"/>
            </c:ext>
          </c:extLst>
        </c:ser>
        <c:ser>
          <c:idx val="5"/>
          <c:order val="2"/>
          <c:tx>
            <c:strRef>
              <c:f>GUE_PA_HC!$I$5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GUE_PA_HC!$C$280:$C$290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GUE_PA_HC!$H$453:$H$463</c:f>
              <c:numCache>
                <c:formatCode>0.00</c:formatCode>
                <c:ptCount val="11"/>
                <c:pt idx="0">
                  <c:v>193.27999999999884</c:v>
                </c:pt>
                <c:pt idx="1">
                  <c:v>195.64999999999418</c:v>
                </c:pt>
                <c:pt idx="2">
                  <c:v>191.44999999999709</c:v>
                </c:pt>
                <c:pt idx="3">
                  <c:v>3072.7099999999919</c:v>
                </c:pt>
                <c:pt idx="4">
                  <c:v>508.24999999999272</c:v>
                </c:pt>
                <c:pt idx="5">
                  <c:v>7978.2899999999936</c:v>
                </c:pt>
                <c:pt idx="6">
                  <c:v>1827.8999999999942</c:v>
                </c:pt>
                <c:pt idx="7">
                  <c:v>281.0199999999968</c:v>
                </c:pt>
                <c:pt idx="8">
                  <c:v>1170.7699999999968</c:v>
                </c:pt>
                <c:pt idx="9">
                  <c:v>190.08000000000175</c:v>
                </c:pt>
                <c:pt idx="10">
                  <c:v>190.07999999999447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3D-44AD-A998-26FA429CB7E8}"/>
            </c:ext>
          </c:extLst>
        </c:ser>
        <c:ser>
          <c:idx val="1"/>
          <c:order val="3"/>
          <c:tx>
            <c:strRef>
              <c:f>GUE_PA_HC!$K$3</c:f>
              <c:strCache>
                <c:ptCount val="1"/>
                <c:pt idx="0">
                  <c:v>Not Agriculture-Grass</c:v>
                </c:pt>
              </c:strCache>
            </c:strRef>
          </c:tx>
          <c:spPr>
            <a:solidFill>
              <a:schemeClr val="tx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GUE_PA_HC!$C$280:$C$290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GUE_PA_HC!$D$453:$D$463</c:f>
              <c:numCache>
                <c:formatCode>0.00</c:formatCode>
                <c:ptCount val="11"/>
                <c:pt idx="0">
                  <c:v>33334.659999999996</c:v>
                </c:pt>
                <c:pt idx="1">
                  <c:v>31085.11</c:v>
                </c:pt>
                <c:pt idx="2">
                  <c:v>26902.839999999997</c:v>
                </c:pt>
                <c:pt idx="3">
                  <c:v>24739.75</c:v>
                </c:pt>
                <c:pt idx="4">
                  <c:v>26853.73</c:v>
                </c:pt>
                <c:pt idx="5">
                  <c:v>22581.120000000003</c:v>
                </c:pt>
                <c:pt idx="6">
                  <c:v>25583.11</c:v>
                </c:pt>
                <c:pt idx="7">
                  <c:v>26786.15</c:v>
                </c:pt>
                <c:pt idx="8">
                  <c:v>25935.06</c:v>
                </c:pt>
                <c:pt idx="9">
                  <c:v>24833.07</c:v>
                </c:pt>
                <c:pt idx="10">
                  <c:v>24893.17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3D-44AD-A998-26FA429CB7E8}"/>
            </c:ext>
          </c:extLst>
        </c:ser>
        <c:ser>
          <c:idx val="3"/>
          <c:order val="4"/>
          <c:tx>
            <c:strRef>
              <c:f>GUE_PA_HC!$K$4</c:f>
              <c:strCache>
                <c:ptCount val="1"/>
                <c:pt idx="0">
                  <c:v>Not Agriculture-Grass (HC)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GUE_PA_HC!$K$453:$K$463</c:f>
                <c:numCache>
                  <c:formatCode>General</c:formatCode>
                  <c:ptCount val="11"/>
                  <c:pt idx="0">
                    <c:v>1820.8246373552579</c:v>
                  </c:pt>
                  <c:pt idx="1">
                    <c:v>1882.8443935858277</c:v>
                  </c:pt>
                  <c:pt idx="2">
                    <c:v>1076.4337456531407</c:v>
                  </c:pt>
                  <c:pt idx="3">
                    <c:v>3014.388577824765</c:v>
                  </c:pt>
                  <c:pt idx="4">
                    <c:v>1731.3054169649624</c:v>
                  </c:pt>
                  <c:pt idx="5">
                    <c:v>5965.3169345650895</c:v>
                  </c:pt>
                  <c:pt idx="6">
                    <c:v>2244.2417754859925</c:v>
                  </c:pt>
                  <c:pt idx="7">
                    <c:v>1329.7240014910585</c:v>
                  </c:pt>
                  <c:pt idx="8">
                    <c:v>1701.3312237225914</c:v>
                  </c:pt>
                  <c:pt idx="9">
                    <c:v>1336.2507118625181</c:v>
                  </c:pt>
                  <c:pt idx="10">
                    <c:v>1061.1266960311116</c:v>
                  </c:pt>
                </c:numCache>
              </c:numRef>
            </c:plus>
            <c:minus>
              <c:numRef>
                <c:f>GUE_PA_HC!$K$453:$K$463</c:f>
                <c:numCache>
                  <c:formatCode>General</c:formatCode>
                  <c:ptCount val="11"/>
                  <c:pt idx="0">
                    <c:v>1820.8246373552579</c:v>
                  </c:pt>
                  <c:pt idx="1">
                    <c:v>1882.8443935858277</c:v>
                  </c:pt>
                  <c:pt idx="2">
                    <c:v>1076.4337456531407</c:v>
                  </c:pt>
                  <c:pt idx="3">
                    <c:v>3014.388577824765</c:v>
                  </c:pt>
                  <c:pt idx="4">
                    <c:v>1731.3054169649624</c:v>
                  </c:pt>
                  <c:pt idx="5">
                    <c:v>5965.3169345650895</c:v>
                  </c:pt>
                  <c:pt idx="6">
                    <c:v>2244.2417754859925</c:v>
                  </c:pt>
                  <c:pt idx="7">
                    <c:v>1329.7240014910585</c:v>
                  </c:pt>
                  <c:pt idx="8">
                    <c:v>1701.3312237225914</c:v>
                  </c:pt>
                  <c:pt idx="9">
                    <c:v>1336.2507118625181</c:v>
                  </c:pt>
                  <c:pt idx="10">
                    <c:v>1061.1266960311116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GUE_PA_HC!$F$453:$F$463</c:f>
              <c:numCache>
                <c:formatCode>0.00</c:formatCode>
                <c:ptCount val="11"/>
                <c:pt idx="0">
                  <c:v>31732.720000000001</c:v>
                </c:pt>
                <c:pt idx="1">
                  <c:v>29638.65</c:v>
                </c:pt>
                <c:pt idx="2">
                  <c:v>25784.959999999999</c:v>
                </c:pt>
                <c:pt idx="3">
                  <c:v>23469.88</c:v>
                </c:pt>
                <c:pt idx="4">
                  <c:v>25207.82</c:v>
                </c:pt>
                <c:pt idx="5">
                  <c:v>21514.7</c:v>
                </c:pt>
                <c:pt idx="6">
                  <c:v>24311.45</c:v>
                </c:pt>
                <c:pt idx="7">
                  <c:v>25361.300000000003</c:v>
                </c:pt>
                <c:pt idx="8">
                  <c:v>24675.41</c:v>
                </c:pt>
                <c:pt idx="9">
                  <c:v>23282.17</c:v>
                </c:pt>
                <c:pt idx="10">
                  <c:v>23607.65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3D-44AD-A998-26FA429CB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3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3486126260820186"/>
          <c:w val="0.93372244240575686"/>
          <c:h val="0.125581810867794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GUE PA Mode Class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GUE_PA_HC!$D$342</c:f>
              <c:strCache>
                <c:ptCount val="1"/>
                <c:pt idx="0">
                  <c:v>0 / W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GUE_PA_HC!$H$382:$H$392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GUE_PA_HC!$D$343:$D$353</c:f>
              <c:numCache>
                <c:formatCode>0.0000</c:formatCode>
                <c:ptCount val="11"/>
                <c:pt idx="0">
                  <c:v>5.9687102772139448E-3</c:v>
                </c:pt>
                <c:pt idx="1">
                  <c:v>1.4673607245274955E-3</c:v>
                </c:pt>
                <c:pt idx="2">
                  <c:v>7.2181894689517668E-4</c:v>
                </c:pt>
                <c:pt idx="3">
                  <c:v>1.7967165299072347E-3</c:v>
                </c:pt>
                <c:pt idx="4">
                  <c:v>9.4246430462509995E-4</c:v>
                </c:pt>
                <c:pt idx="5">
                  <c:v>7.4346890892713164E-4</c:v>
                </c:pt>
                <c:pt idx="6">
                  <c:v>7.4531145888729797E-4</c:v>
                </c:pt>
                <c:pt idx="7">
                  <c:v>9.4154302964501678E-4</c:v>
                </c:pt>
                <c:pt idx="8">
                  <c:v>9.11831911537334E-4</c:v>
                </c:pt>
                <c:pt idx="9">
                  <c:v>3.8983750782220039E-3</c:v>
                </c:pt>
                <c:pt idx="10">
                  <c:v>3.085349908298592E-3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2-49F5-8E4E-08FE251A79BE}"/>
            </c:ext>
          </c:extLst>
        </c:ser>
        <c:ser>
          <c:idx val="3"/>
          <c:order val="1"/>
          <c:tx>
            <c:strRef>
              <c:f>GUE_PA_HC!$I$342</c:f>
              <c:strCache>
                <c:ptCount val="1"/>
                <c:pt idx="0">
                  <c:v>0 / W (HC)</c:v>
                </c:pt>
              </c:strCache>
            </c:strRef>
          </c:tx>
          <c:spPr>
            <a:solidFill>
              <a:srgbClr val="1F9DFF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GUE_PA_HC!$I$369:$I$379</c:f>
                <c:numCache>
                  <c:formatCode>General</c:formatCode>
                  <c:ptCount val="11"/>
                  <c:pt idx="0">
                    <c:v>3.2602626593421626E-4</c:v>
                  </c:pt>
                  <c:pt idx="1">
                    <c:v>8.8878949231469101E-5</c:v>
                  </c:pt>
                  <c:pt idx="2">
                    <c:v>2.8881347571103294E-5</c:v>
                  </c:pt>
                  <c:pt idx="3">
                    <c:v>2.1891901839514612E-4</c:v>
                  </c:pt>
                  <c:pt idx="4">
                    <c:v>6.076226862687427E-5</c:v>
                  </c:pt>
                  <c:pt idx="5">
                    <c:v>1.9640423826389693E-4</c:v>
                  </c:pt>
                  <c:pt idx="6">
                    <c:v>6.5381382943015327E-5</c:v>
                  </c:pt>
                  <c:pt idx="7">
                    <c:v>4.6740287982990681E-5</c:v>
                  </c:pt>
                  <c:pt idx="8">
                    <c:v>5.9815867088224289E-5</c:v>
                  </c:pt>
                  <c:pt idx="9">
                    <c:v>2.0976892802143475E-4</c:v>
                  </c:pt>
                  <c:pt idx="10">
                    <c:v>1.3151989699555254E-4</c:v>
                  </c:pt>
                </c:numCache>
              </c:numRef>
            </c:plus>
            <c:minus>
              <c:numRef>
                <c:f>GUE_PA_HC!$I$369:$I$379</c:f>
                <c:numCache>
                  <c:formatCode>General</c:formatCode>
                  <c:ptCount val="11"/>
                  <c:pt idx="0">
                    <c:v>3.2602626593421626E-4</c:v>
                  </c:pt>
                  <c:pt idx="1">
                    <c:v>8.8878949231469101E-5</c:v>
                  </c:pt>
                  <c:pt idx="2">
                    <c:v>2.8881347571103294E-5</c:v>
                  </c:pt>
                  <c:pt idx="3">
                    <c:v>2.1891901839514612E-4</c:v>
                  </c:pt>
                  <c:pt idx="4">
                    <c:v>6.076226862687427E-5</c:v>
                  </c:pt>
                  <c:pt idx="5">
                    <c:v>1.9640423826389693E-4</c:v>
                  </c:pt>
                  <c:pt idx="6">
                    <c:v>6.5381382943015327E-5</c:v>
                  </c:pt>
                  <c:pt idx="7">
                    <c:v>4.6740287982990681E-5</c:v>
                  </c:pt>
                  <c:pt idx="8">
                    <c:v>5.9815867088224289E-5</c:v>
                  </c:pt>
                  <c:pt idx="9">
                    <c:v>2.0976892802143475E-4</c:v>
                  </c:pt>
                  <c:pt idx="10">
                    <c:v>1.3151989699555254E-4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GUE_PA_HC!$H$382:$H$392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GUE_PA_HC!$I$343:$I$353</c:f>
              <c:numCache>
                <c:formatCode>0.0000</c:formatCode>
                <c:ptCount val="11"/>
                <c:pt idx="0">
                  <c:v>5.577629048168632E-3</c:v>
                </c:pt>
                <c:pt idx="1">
                  <c:v>9.4891322948568232E-4</c:v>
                </c:pt>
                <c:pt idx="2">
                  <c:v>5.8063355619742839E-4</c:v>
                </c:pt>
                <c:pt idx="3">
                  <c:v>1.6898486322175852E-3</c:v>
                </c:pt>
                <c:pt idx="4">
                  <c:v>7.6097313354871209E-4</c:v>
                </c:pt>
                <c:pt idx="5">
                  <c:v>6.7091850424558057E-4</c:v>
                </c:pt>
                <c:pt idx="6">
                  <c:v>3.0286914970234762E-4</c:v>
                </c:pt>
                <c:pt idx="7">
                  <c:v>9.2288721129833219E-4</c:v>
                </c:pt>
                <c:pt idx="8">
                  <c:v>7.8607787675597906E-4</c:v>
                </c:pt>
                <c:pt idx="9">
                  <c:v>3.6424909525038991E-3</c:v>
                </c:pt>
                <c:pt idx="10">
                  <c:v>2.7223675661458163E-3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2-49F5-8E4E-08FE251A79BE}"/>
            </c:ext>
          </c:extLst>
        </c:ser>
        <c:ser>
          <c:idx val="4"/>
          <c:order val="2"/>
          <c:tx>
            <c:strRef>
              <c:f>GUE_PA_HC!$E$342</c:f>
              <c:strCache>
                <c:ptCount val="1"/>
                <c:pt idx="0">
                  <c:v>1 / B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GUE_PA_HC!$H$382:$H$392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GUE_PA_HC!$E$343:$E$353</c:f>
              <c:numCache>
                <c:formatCode>0.0000</c:formatCode>
                <c:ptCount val="11"/>
                <c:pt idx="0">
                  <c:v>1.528855829448048E-3</c:v>
                </c:pt>
                <c:pt idx="1">
                  <c:v>6.4903822346860495E-4</c:v>
                </c:pt>
                <c:pt idx="2">
                  <c:v>2.0956702609442285E-3</c:v>
                </c:pt>
                <c:pt idx="3">
                  <c:v>1.778636508423102E-2</c:v>
                </c:pt>
                <c:pt idx="4">
                  <c:v>5.4293037763752392E-3</c:v>
                </c:pt>
                <c:pt idx="5">
                  <c:v>1.7177172003651014E-3</c:v>
                </c:pt>
                <c:pt idx="6">
                  <c:v>1.317768699636488E-2</c:v>
                </c:pt>
                <c:pt idx="7">
                  <c:v>1.0832351215818109E-2</c:v>
                </c:pt>
                <c:pt idx="8">
                  <c:v>6.5032800844072149E-3</c:v>
                </c:pt>
                <c:pt idx="9">
                  <c:v>1.0141394980755718E-2</c:v>
                </c:pt>
                <c:pt idx="10">
                  <c:v>1.7846478276681451E-2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D2-49F5-8E4E-08FE251A79BE}"/>
            </c:ext>
          </c:extLst>
        </c:ser>
        <c:ser>
          <c:idx val="6"/>
          <c:order val="3"/>
          <c:tx>
            <c:strRef>
              <c:f>GUE_PA_HC!$J$342</c:f>
              <c:strCache>
                <c:ptCount val="1"/>
                <c:pt idx="0">
                  <c:v>1 / B (HC)</c:v>
                </c:pt>
              </c:strCache>
            </c:strRef>
          </c:tx>
          <c:spPr>
            <a:solidFill>
              <a:srgbClr val="CACDDE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GUE_PA_HC!$J$369:$J$379</c:f>
                <c:numCache>
                  <c:formatCode>General</c:formatCode>
                  <c:ptCount val="11"/>
                  <c:pt idx="0">
                    <c:v>8.3510027137616337E-5</c:v>
                  </c:pt>
                  <c:pt idx="1">
                    <c:v>3.931264776868308E-5</c:v>
                  </c:pt>
                  <c:pt idx="2">
                    <c:v>8.3851749058541438E-5</c:v>
                  </c:pt>
                  <c:pt idx="3">
                    <c:v>2.1671607736912135E-3</c:v>
                  </c:pt>
                  <c:pt idx="4">
                    <c:v>3.5003640233169771E-4</c:v>
                  </c:pt>
                  <c:pt idx="5">
                    <c:v>4.5377410439037893E-4</c:v>
                  </c:pt>
                  <c:pt idx="6">
                    <c:v>1.1559937654773247E-3</c:v>
                  </c:pt>
                  <c:pt idx="7">
                    <c:v>5.3774198248924111E-4</c:v>
                  </c:pt>
                  <c:pt idx="8">
                    <c:v>4.2661298891212459E-4</c:v>
                  </c:pt>
                  <c:pt idx="9">
                    <c:v>5.4570160927802289E-4</c:v>
                  </c:pt>
                  <c:pt idx="10">
                    <c:v>7.6074580013417306E-4</c:v>
                  </c:pt>
                </c:numCache>
              </c:numRef>
            </c:plus>
            <c:minus>
              <c:numRef>
                <c:f>GUE_PA_HC!$J$369:$J$379</c:f>
                <c:numCache>
                  <c:formatCode>General</c:formatCode>
                  <c:ptCount val="11"/>
                  <c:pt idx="0">
                    <c:v>8.3510027137616337E-5</c:v>
                  </c:pt>
                  <c:pt idx="1">
                    <c:v>3.931264776868308E-5</c:v>
                  </c:pt>
                  <c:pt idx="2">
                    <c:v>8.3851749058541438E-5</c:v>
                  </c:pt>
                  <c:pt idx="3">
                    <c:v>2.1671607736912135E-3</c:v>
                  </c:pt>
                  <c:pt idx="4">
                    <c:v>3.5003640233169771E-4</c:v>
                  </c:pt>
                  <c:pt idx="5">
                    <c:v>4.5377410439037893E-4</c:v>
                  </c:pt>
                  <c:pt idx="6">
                    <c:v>1.1559937654773247E-3</c:v>
                  </c:pt>
                  <c:pt idx="7">
                    <c:v>5.3774198248924111E-4</c:v>
                  </c:pt>
                  <c:pt idx="8">
                    <c:v>4.2661298891212459E-4</c:v>
                  </c:pt>
                  <c:pt idx="9">
                    <c:v>5.4570160927802289E-4</c:v>
                  </c:pt>
                  <c:pt idx="10">
                    <c:v>7.6074580013417306E-4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GUE_PA_HC!$H$382:$H$392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GUE_PA_HC!$J$343:$J$353</c:f>
              <c:numCache>
                <c:formatCode>0.0000</c:formatCode>
                <c:ptCount val="11"/>
                <c:pt idx="0">
                  <c:v>1.0161663030317548E-3</c:v>
                </c:pt>
                <c:pt idx="1">
                  <c:v>4.9679753300985836E-4</c:v>
                </c:pt>
                <c:pt idx="2">
                  <c:v>1.7045890318989161E-3</c:v>
                </c:pt>
                <c:pt idx="3">
                  <c:v>1.4233007486050171E-2</c:v>
                </c:pt>
                <c:pt idx="4">
                  <c:v>4.5437282017702762E-3</c:v>
                </c:pt>
                <c:pt idx="5">
                  <c:v>1.3545045394673051E-3</c:v>
                </c:pt>
                <c:pt idx="6">
                  <c:v>1.0938988794762737E-2</c:v>
                </c:pt>
                <c:pt idx="7">
                  <c:v>8.6834773247740742E-3</c:v>
                </c:pt>
                <c:pt idx="8">
                  <c:v>5.0654001592423809E-3</c:v>
                </c:pt>
                <c:pt idx="9">
                  <c:v>7.6792875964834025E-3</c:v>
                </c:pt>
                <c:pt idx="10">
                  <c:v>1.3592491056147335E-2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D2-49F5-8E4E-08FE251A79BE}"/>
            </c:ext>
          </c:extLst>
        </c:ser>
        <c:ser>
          <c:idx val="2"/>
          <c:order val="4"/>
          <c:tx>
            <c:strRef>
              <c:f>GUE_PA_HC!$F$342</c:f>
              <c:strCache>
                <c:ptCount val="1"/>
                <c:pt idx="0">
                  <c:v>2 / A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GUE_PA_HC!$H$382:$H$392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GUE_PA_HC!$F$343:$F$353</c:f>
              <c:numCache>
                <c:formatCode>0.0000</c:formatCode>
                <c:ptCount val="11"/>
                <c:pt idx="0">
                  <c:v>0.2277886936067432</c:v>
                </c:pt>
                <c:pt idx="1">
                  <c:v>0.2795454613503266</c:v>
                </c:pt>
                <c:pt idx="2">
                  <c:v>0.37596771299704801</c:v>
                </c:pt>
                <c:pt idx="3">
                  <c:v>0.35942691168588947</c:v>
                </c:pt>
                <c:pt idx="4">
                  <c:v>0.36980231051158635</c:v>
                </c:pt>
                <c:pt idx="5">
                  <c:v>0.29615950402240176</c:v>
                </c:pt>
                <c:pt idx="6">
                  <c:v>0.36867305770474934</c:v>
                </c:pt>
                <c:pt idx="7">
                  <c:v>0.37659233743354442</c:v>
                </c:pt>
                <c:pt idx="8">
                  <c:v>0.37570192516529405</c:v>
                </c:pt>
                <c:pt idx="9">
                  <c:v>0.4236699495532853</c:v>
                </c:pt>
                <c:pt idx="10">
                  <c:v>0.42228573389571034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2-49F5-8E4E-08FE251A79BE}"/>
            </c:ext>
          </c:extLst>
        </c:ser>
        <c:ser>
          <c:idx val="0"/>
          <c:order val="5"/>
          <c:tx>
            <c:strRef>
              <c:f>GUE_PA_HC!$K$342</c:f>
              <c:strCache>
                <c:ptCount val="1"/>
                <c:pt idx="0">
                  <c:v>2 / A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GUE_PA_HC!$K$369:$K$379</c:f>
                <c:numCache>
                  <c:formatCode>General</c:formatCode>
                  <c:ptCount val="11"/>
                  <c:pt idx="0">
                    <c:v>1.2442402755274123E-2</c:v>
                  </c:pt>
                  <c:pt idx="1">
                    <c:v>1.6932241985176375E-2</c:v>
                  </c:pt>
                  <c:pt idx="2">
                    <c:v>1.5043182561620167E-2</c:v>
                  </c:pt>
                  <c:pt idx="3">
                    <c:v>4.3793990527340648E-2</c:v>
                  </c:pt>
                  <c:pt idx="4">
                    <c:v>2.3841780765460462E-2</c:v>
                  </c:pt>
                  <c:pt idx="5">
                    <c:v>7.8237275417571459E-2</c:v>
                  </c:pt>
                  <c:pt idx="6">
                    <c:v>3.2341317283049502E-2</c:v>
                  </c:pt>
                  <c:pt idx="7">
                    <c:v>1.869488037149809E-2</c:v>
                  </c:pt>
                  <c:pt idx="8">
                    <c:v>2.4645920082560179E-2</c:v>
                  </c:pt>
                  <c:pt idx="9">
                    <c:v>2.2797393624120355E-2</c:v>
                  </c:pt>
                  <c:pt idx="10">
                    <c:v>1.8000867932442044E-2</c:v>
                  </c:pt>
                </c:numCache>
              </c:numRef>
            </c:plus>
            <c:minus>
              <c:numRef>
                <c:f>GUE_PA_HC!$K$369:$K$379</c:f>
                <c:numCache>
                  <c:formatCode>General</c:formatCode>
                  <c:ptCount val="11"/>
                  <c:pt idx="0">
                    <c:v>1.2442402755274123E-2</c:v>
                  </c:pt>
                  <c:pt idx="1">
                    <c:v>1.6932241985176375E-2</c:v>
                  </c:pt>
                  <c:pt idx="2">
                    <c:v>1.5043182561620167E-2</c:v>
                  </c:pt>
                  <c:pt idx="3">
                    <c:v>4.3793990527340648E-2</c:v>
                  </c:pt>
                  <c:pt idx="4">
                    <c:v>2.3841780765460462E-2</c:v>
                  </c:pt>
                  <c:pt idx="5">
                    <c:v>7.8237275417571459E-2</c:v>
                  </c:pt>
                  <c:pt idx="6">
                    <c:v>3.2341317283049502E-2</c:v>
                  </c:pt>
                  <c:pt idx="7">
                    <c:v>1.869488037149809E-2</c:v>
                  </c:pt>
                  <c:pt idx="8">
                    <c:v>2.4645920082560179E-2</c:v>
                  </c:pt>
                  <c:pt idx="9">
                    <c:v>2.2797393624120355E-2</c:v>
                  </c:pt>
                  <c:pt idx="10">
                    <c:v>1.8000867932442044E-2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GUE_PA_HC!$H$382:$H$392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GUE_PA_HC!$K$343:$K$353</c:f>
              <c:numCache>
                <c:formatCode>0.0000</c:formatCode>
                <c:ptCount val="11"/>
                <c:pt idx="0">
                  <c:v>0.21475656805723145</c:v>
                </c:pt>
                <c:pt idx="1">
                  <c:v>0.25706865502374704</c:v>
                </c:pt>
                <c:pt idx="2">
                  <c:v>0.36628856773754903</c:v>
                </c:pt>
                <c:pt idx="3">
                  <c:v>0.34622365930882731</c:v>
                </c:pt>
                <c:pt idx="4">
                  <c:v>0.35569966343521792</c:v>
                </c:pt>
                <c:pt idx="5">
                  <c:v>0.28884642323050141</c:v>
                </c:pt>
                <c:pt idx="6">
                  <c:v>0.35603132242804791</c:v>
                </c:pt>
                <c:pt idx="7">
                  <c:v>0.36656080449416367</c:v>
                </c:pt>
                <c:pt idx="8">
                  <c:v>0.36784828627882993</c:v>
                </c:pt>
                <c:pt idx="9">
                  <c:v>0.41019423010086348</c:v>
                </c:pt>
                <c:pt idx="10">
                  <c:v>0.41383096308474188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2-49F5-8E4E-08FE251A79BE}"/>
            </c:ext>
          </c:extLst>
        </c:ser>
        <c:ser>
          <c:idx val="7"/>
          <c:order val="6"/>
          <c:tx>
            <c:strRef>
              <c:f>GUE_PA_HC!$G$342</c:f>
              <c:strCache>
                <c:ptCount val="1"/>
                <c:pt idx="0">
                  <c:v>3 / F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GUE_PA_HC!$H$382:$H$392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GUE_PA_HC!$G$343:$G$353</c:f>
              <c:numCache>
                <c:formatCode>0.0000</c:formatCode>
                <c:ptCount val="11"/>
                <c:pt idx="0">
                  <c:v>0.426159004230725</c:v>
                </c:pt>
                <c:pt idx="1">
                  <c:v>0.35668911276382725</c:v>
                </c:pt>
                <c:pt idx="2">
                  <c:v>0.3475194325683143</c:v>
                </c:pt>
                <c:pt idx="3">
                  <c:v>0.29417392612157744</c:v>
                </c:pt>
                <c:pt idx="4">
                  <c:v>0.34023675385075669</c:v>
                </c:pt>
                <c:pt idx="5">
                  <c:v>0.29362853133336825</c:v>
                </c:pt>
                <c:pt idx="6">
                  <c:v>0.33989196668946053</c:v>
                </c:pt>
                <c:pt idx="7">
                  <c:v>0.34578121699964232</c:v>
                </c:pt>
                <c:pt idx="8">
                  <c:v>0.35493638711421899</c:v>
                </c:pt>
                <c:pt idx="9">
                  <c:v>0.34157536639681757</c:v>
                </c:pt>
                <c:pt idx="10">
                  <c:v>0.32419988995370363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D2-49F5-8E4E-08FE251A79BE}"/>
            </c:ext>
          </c:extLst>
        </c:ser>
        <c:ser>
          <c:idx val="8"/>
          <c:order val="7"/>
          <c:tx>
            <c:strRef>
              <c:f>GUE_PA_HC!$L$342</c:f>
              <c:strCache>
                <c:ptCount val="1"/>
                <c:pt idx="0">
                  <c:v>3 / F (HC)</c:v>
                </c:pt>
              </c:strCache>
            </c:strRef>
          </c:tx>
          <c:spPr>
            <a:solidFill>
              <a:srgbClr val="14972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GUE_PA_HC!$L$369:$L$379</c:f>
                <c:numCache>
                  <c:formatCode>General</c:formatCode>
                  <c:ptCount val="11"/>
                  <c:pt idx="0">
                    <c:v>2.3277897969683436E-2</c:v>
                  </c:pt>
                  <c:pt idx="1">
                    <c:v>2.1604880800501439E-2</c:v>
                  </c:pt>
                  <c:pt idx="2">
                    <c:v>1.3904912807969887E-2</c:v>
                  </c:pt>
                  <c:pt idx="3">
                    <c:v>3.584330976645881E-2</c:v>
                  </c:pt>
                  <c:pt idx="4">
                    <c:v>2.1935639294518479E-2</c:v>
                  </c:pt>
                  <c:pt idx="5">
                    <c:v>7.7568661361102437E-2</c:v>
                  </c:pt>
                  <c:pt idx="6">
                    <c:v>2.9816537191787111E-2</c:v>
                  </c:pt>
                  <c:pt idx="7">
                    <c:v>1.7165347894684841E-2</c:v>
                  </c:pt>
                  <c:pt idx="8">
                    <c:v>2.3283707762106958E-2</c:v>
                  </c:pt>
                  <c:pt idx="9">
                    <c:v>1.83799395927466E-2</c:v>
                  </c:pt>
                  <c:pt idx="10">
                    <c:v>1.3819740839765424E-2</c:v>
                  </c:pt>
                </c:numCache>
              </c:numRef>
            </c:plus>
            <c:minus>
              <c:numRef>
                <c:f>GUE_PA_HC!$L$369:$L$379</c:f>
                <c:numCache>
                  <c:formatCode>General</c:formatCode>
                  <c:ptCount val="11"/>
                  <c:pt idx="0">
                    <c:v>2.3277897969683436E-2</c:v>
                  </c:pt>
                  <c:pt idx="1">
                    <c:v>2.1604880800501439E-2</c:v>
                  </c:pt>
                  <c:pt idx="2">
                    <c:v>1.3904912807969887E-2</c:v>
                  </c:pt>
                  <c:pt idx="3">
                    <c:v>3.584330976645881E-2</c:v>
                  </c:pt>
                  <c:pt idx="4">
                    <c:v>2.1935639294518479E-2</c:v>
                  </c:pt>
                  <c:pt idx="5">
                    <c:v>7.7568661361102437E-2</c:v>
                  </c:pt>
                  <c:pt idx="6">
                    <c:v>2.9816537191787111E-2</c:v>
                  </c:pt>
                  <c:pt idx="7">
                    <c:v>1.7165347894684841E-2</c:v>
                  </c:pt>
                  <c:pt idx="8">
                    <c:v>2.3283707762106958E-2</c:v>
                  </c:pt>
                  <c:pt idx="9">
                    <c:v>1.83799395927466E-2</c:v>
                  </c:pt>
                  <c:pt idx="10">
                    <c:v>1.3819740839765424E-2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GUE_PA_HC!$H$382:$H$392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GUE_PA_HC!$L$343:$L$353</c:f>
              <c:numCache>
                <c:formatCode>0.0000</c:formatCode>
                <c:ptCount val="11"/>
                <c:pt idx="0">
                  <c:v>0.40630253426624713</c:v>
                </c:pt>
                <c:pt idx="1">
                  <c:v>0.34373068921272215</c:v>
                </c:pt>
                <c:pt idx="2">
                  <c:v>0.33371366635427768</c:v>
                </c:pt>
                <c:pt idx="3">
                  <c:v>0.28020210009238089</c:v>
                </c:pt>
                <c:pt idx="4">
                  <c:v>0.32105373589671959</c:v>
                </c:pt>
                <c:pt idx="5">
                  <c:v>0.2824594541123297</c:v>
                </c:pt>
                <c:pt idx="6">
                  <c:v>0.32596228899060281</c:v>
                </c:pt>
                <c:pt idx="7">
                  <c:v>0.32957322627503888</c:v>
                </c:pt>
                <c:pt idx="8">
                  <c:v>0.33941520688726751</c:v>
                </c:pt>
                <c:pt idx="9">
                  <c:v>0.32060806912510437</c:v>
                </c:pt>
                <c:pt idx="10">
                  <c:v>0.31120392444716016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D2-49F5-8E4E-08FE251A79BE}"/>
            </c:ext>
          </c:extLst>
        </c:ser>
        <c:ser>
          <c:idx val="9"/>
          <c:order val="8"/>
          <c:tx>
            <c:strRef>
              <c:f>GUE_PA_HC!$H$342</c:f>
              <c:strCache>
                <c:ptCount val="1"/>
                <c:pt idx="0">
                  <c:v>4 / S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GUE_PA_HC!$H$382:$H$392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GUE_PA_HC!$H$343:$H$353</c:f>
              <c:numCache>
                <c:formatCode>0.0000</c:formatCode>
                <c:ptCount val="11"/>
                <c:pt idx="0">
                  <c:v>0.33410313535210789</c:v>
                </c:pt>
                <c:pt idx="1">
                  <c:v>0.35714284069151825</c:v>
                </c:pt>
                <c:pt idx="2">
                  <c:v>0.26928591285337516</c:v>
                </c:pt>
                <c:pt idx="3">
                  <c:v>0.2560458094771097</c:v>
                </c:pt>
                <c:pt idx="4">
                  <c:v>0.2718832173409747</c:v>
                </c:pt>
                <c:pt idx="5">
                  <c:v>0.22399580451374071</c:v>
                </c:pt>
                <c:pt idx="6">
                  <c:v>0.23541201374818654</c:v>
                </c:pt>
                <c:pt idx="7">
                  <c:v>0.25938013394877579</c:v>
                </c:pt>
                <c:pt idx="8">
                  <c:v>0.23498154801374269</c:v>
                </c:pt>
                <c:pt idx="9">
                  <c:v>0.21633701528556418</c:v>
                </c:pt>
                <c:pt idx="10">
                  <c:v>0.22820464926025075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D2-49F5-8E4E-08FE251A79BE}"/>
            </c:ext>
          </c:extLst>
        </c:ser>
        <c:ser>
          <c:idx val="10"/>
          <c:order val="9"/>
          <c:tx>
            <c:strRef>
              <c:f>GUE_PA_HC!$M$342</c:f>
              <c:strCache>
                <c:ptCount val="1"/>
                <c:pt idx="0">
                  <c:v>4 / S (HC)</c:v>
                </c:pt>
              </c:strCache>
            </c:strRef>
          </c:tx>
          <c:spPr>
            <a:solidFill>
              <a:srgbClr val="AD8D06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GUE_PA_HC!$M$369:$M$379</c:f>
                <c:numCache>
                  <c:formatCode>General</c:formatCode>
                  <c:ptCount val="11"/>
                  <c:pt idx="0">
                    <c:v>1.8249570275105747E-2</c:v>
                  </c:pt>
                  <c:pt idx="1">
                    <c:v>2.1632363382511479E-2</c:v>
                  </c:pt>
                  <c:pt idx="2">
                    <c:v>1.0774641035087148E-2</c:v>
                  </c:pt>
                  <c:pt idx="3">
                    <c:v>3.119762986641722E-2</c:v>
                  </c:pt>
                  <c:pt idx="4">
                    <c:v>1.7528771122830671E-2</c:v>
                  </c:pt>
                  <c:pt idx="5">
                    <c:v>5.9173591298277012E-2</c:v>
                  </c:pt>
                  <c:pt idx="6">
                    <c:v>2.0651182585110377E-2</c:v>
                  </c:pt>
                  <c:pt idx="7">
                    <c:v>1.2876206159588177E-2</c:v>
                  </c:pt>
                  <c:pt idx="8">
                    <c:v>1.5414710613141045E-2</c:v>
                  </c:pt>
                  <c:pt idx="9">
                    <c:v>1.1640948568886068E-2</c:v>
                  </c:pt>
                  <c:pt idx="10">
                    <c:v>9.7277303568998469E-3</c:v>
                  </c:pt>
                </c:numCache>
              </c:numRef>
            </c:plus>
            <c:minus>
              <c:numRef>
                <c:f>GUE_PA_HC!$M$369:$M$379</c:f>
                <c:numCache>
                  <c:formatCode>General</c:formatCode>
                  <c:ptCount val="11"/>
                  <c:pt idx="0">
                    <c:v>1.8249570275105747E-2</c:v>
                  </c:pt>
                  <c:pt idx="1">
                    <c:v>2.1632363382511479E-2</c:v>
                  </c:pt>
                  <c:pt idx="2">
                    <c:v>1.0774641035087148E-2</c:v>
                  </c:pt>
                  <c:pt idx="3">
                    <c:v>3.119762986641722E-2</c:v>
                  </c:pt>
                  <c:pt idx="4">
                    <c:v>1.7528771122830671E-2</c:v>
                  </c:pt>
                  <c:pt idx="5">
                    <c:v>5.9173591298277012E-2</c:v>
                  </c:pt>
                  <c:pt idx="6">
                    <c:v>2.0651182585110377E-2</c:v>
                  </c:pt>
                  <c:pt idx="7">
                    <c:v>1.2876206159588177E-2</c:v>
                  </c:pt>
                  <c:pt idx="8">
                    <c:v>1.5414710613141045E-2</c:v>
                  </c:pt>
                  <c:pt idx="9">
                    <c:v>1.1640948568886068E-2</c:v>
                  </c:pt>
                  <c:pt idx="10">
                    <c:v>9.7277303568998469E-3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GUE_PA_HC!$H$382:$H$392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GUE_PA_HC!$M$343:$M$353</c:f>
              <c:numCache>
                <c:formatCode>0.0000</c:formatCode>
                <c:ptCount val="11"/>
                <c:pt idx="0">
                  <c:v>0.31796769503218592</c:v>
                </c:pt>
                <c:pt idx="1">
                  <c:v>0.33745726723584574</c:v>
                </c:pt>
                <c:pt idx="2">
                  <c:v>0.25787707381877006</c:v>
                </c:pt>
                <c:pt idx="3">
                  <c:v>0.24443037452822089</c:v>
                </c:pt>
                <c:pt idx="4">
                  <c:v>0.25422490947897525</c:v>
                </c:pt>
                <c:pt idx="5">
                  <c:v>0.21103899319385078</c:v>
                </c:pt>
                <c:pt idx="6">
                  <c:v>0.22273411842851681</c:v>
                </c:pt>
                <c:pt idx="7">
                  <c:v>0.24493868799848176</c:v>
                </c:pt>
                <c:pt idx="8">
                  <c:v>0.22305426148409571</c:v>
                </c:pt>
                <c:pt idx="9">
                  <c:v>0.20430216990199249</c:v>
                </c:pt>
                <c:pt idx="10">
                  <c:v>0.21620964901956766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D2-49F5-8E4E-08FE251A79BE}"/>
            </c:ext>
          </c:extLst>
        </c:ser>
        <c:ser>
          <c:idx val="5"/>
          <c:order val="10"/>
          <c:tx>
            <c:strRef>
              <c:f>GUE_PA_HC!$I$5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GUE_PA_HC!$H$382:$H$392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(GUE_PA_HC!$I$8,GUE_PA_HC!$I$33,GUE_PA_HC!$I$58,GUE_PA_HC!$I$83,GUE_PA_HC!$I$108,GUE_PA_HC!$I$133,GUE_PA_HC!$I$158,GUE_PA_HC!$I$183,GUE_PA_HC!$I$208,GUE_PA_HC!$I$233,GUE_PA_HC!$I$258)</c:f>
              <c:numCache>
                <c:formatCode>0.00%</c:formatCode>
                <c:ptCount val="11"/>
                <c:pt idx="0">
                  <c:v>4.4516007037619307E-3</c:v>
                </c:pt>
                <c:pt idx="1">
                  <c:v>4.5061862463317524E-3</c:v>
                </c:pt>
                <c:pt idx="2">
                  <c:v>4.4094523734230845E-3</c:v>
                </c:pt>
                <c:pt idx="3">
                  <c:v>7.0770271101285018E-2</c:v>
                </c:pt>
                <c:pt idx="4">
                  <c:v>1.1705950215681823E-2</c:v>
                </c:pt>
                <c:pt idx="5">
                  <c:v>0.18375497402119703</c:v>
                </c:pt>
                <c:pt idx="6">
                  <c:v>4.2099963402351288E-2</c:v>
                </c:pt>
                <c:pt idx="7">
                  <c:v>6.4724173725743536E-3</c:v>
                </c:pt>
                <c:pt idx="8">
                  <c:v>2.6965027710799734E-2</c:v>
                </c:pt>
                <c:pt idx="9">
                  <c:v>4.3778987053553426E-3</c:v>
                </c:pt>
                <c:pt idx="10">
                  <c:v>4.3778987053551752E-3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D2-49F5-8E4E-08FE251A7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1.0000000000000002E-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GUE PA Mode Class Px count 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GUE_PA_HC!$D$342</c:f>
              <c:strCache>
                <c:ptCount val="1"/>
                <c:pt idx="0">
                  <c:v>0 / W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GUE_PA_HC!$D$356:$D$366</c:f>
              <c:numCache>
                <c:formatCode>0.00</c:formatCode>
                <c:ptCount val="11"/>
                <c:pt idx="0">
                  <c:v>259.14999999999998</c:v>
                </c:pt>
                <c:pt idx="1">
                  <c:v>63.71</c:v>
                </c:pt>
                <c:pt idx="2">
                  <c:v>31.34</c:v>
                </c:pt>
                <c:pt idx="3">
                  <c:v>78.010000000000005</c:v>
                </c:pt>
                <c:pt idx="4">
                  <c:v>40.92</c:v>
                </c:pt>
                <c:pt idx="5">
                  <c:v>32.28</c:v>
                </c:pt>
                <c:pt idx="6">
                  <c:v>32.36</c:v>
                </c:pt>
                <c:pt idx="7">
                  <c:v>40.880000000000003</c:v>
                </c:pt>
                <c:pt idx="8">
                  <c:v>39.590000000000003</c:v>
                </c:pt>
                <c:pt idx="9">
                  <c:v>169.26</c:v>
                </c:pt>
                <c:pt idx="10">
                  <c:v>133.96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8-4F27-BBFB-43963DC937FD}"/>
            </c:ext>
          </c:extLst>
        </c:ser>
        <c:ser>
          <c:idx val="3"/>
          <c:order val="1"/>
          <c:tx>
            <c:strRef>
              <c:f>GUE_PA_HC!$I$342</c:f>
              <c:strCache>
                <c:ptCount val="1"/>
                <c:pt idx="0">
                  <c:v>0 / W (HC)</c:v>
                </c:pt>
              </c:strCache>
            </c:strRef>
          </c:tx>
          <c:spPr>
            <a:solidFill>
              <a:srgbClr val="1F9DFF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GUE_PA_HC!$I$382:$I$392</c:f>
                <c:numCache>
                  <c:formatCode>General</c:formatCode>
                  <c:ptCount val="11"/>
                  <c:pt idx="0">
                    <c:v>14.155437756695735</c:v>
                  </c:pt>
                  <c:pt idx="1">
                    <c:v>3.8589542168373558</c:v>
                  </c:pt>
                  <c:pt idx="2">
                    <c:v>1.2539729481634441</c:v>
                  </c:pt>
                  <c:pt idx="3">
                    <c:v>9.5050456433921084</c:v>
                  </c:pt>
                  <c:pt idx="4">
                    <c:v>2.6381816478458031</c:v>
                  </c:pt>
                  <c:pt idx="5">
                    <c:v>8.5274968933233204</c:v>
                  </c:pt>
                  <c:pt idx="6">
                    <c:v>2.8387347689443043</c:v>
                  </c:pt>
                  <c:pt idx="7">
                    <c:v>2.0293740302714078</c:v>
                  </c:pt>
                  <c:pt idx="8">
                    <c:v>2.5970907006645598</c:v>
                  </c:pt>
                  <c:pt idx="9">
                    <c:v>9.1077661960381757</c:v>
                  </c:pt>
                  <c:pt idx="10">
                    <c:v>5.7103427245436293</c:v>
                  </c:pt>
                </c:numCache>
              </c:numRef>
            </c:plus>
            <c:minus>
              <c:numRef>
                <c:f>GUE_PA_HC!$I$382:$I$392</c:f>
                <c:numCache>
                  <c:formatCode>General</c:formatCode>
                  <c:ptCount val="11"/>
                  <c:pt idx="0">
                    <c:v>14.155437756695735</c:v>
                  </c:pt>
                  <c:pt idx="1">
                    <c:v>3.8589542168373558</c:v>
                  </c:pt>
                  <c:pt idx="2">
                    <c:v>1.2539729481634441</c:v>
                  </c:pt>
                  <c:pt idx="3">
                    <c:v>9.5050456433921084</c:v>
                  </c:pt>
                  <c:pt idx="4">
                    <c:v>2.6381816478458031</c:v>
                  </c:pt>
                  <c:pt idx="5">
                    <c:v>8.5274968933233204</c:v>
                  </c:pt>
                  <c:pt idx="6">
                    <c:v>2.8387347689443043</c:v>
                  </c:pt>
                  <c:pt idx="7">
                    <c:v>2.0293740302714078</c:v>
                  </c:pt>
                  <c:pt idx="8">
                    <c:v>2.5970907006645598</c:v>
                  </c:pt>
                  <c:pt idx="9">
                    <c:v>9.1077661960381757</c:v>
                  </c:pt>
                  <c:pt idx="10">
                    <c:v>5.7103427245436293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GUE_PA_HC!$I$356:$I$366</c:f>
              <c:numCache>
                <c:formatCode>0.00</c:formatCode>
                <c:ptCount val="11"/>
                <c:pt idx="0">
                  <c:v>242.17</c:v>
                </c:pt>
                <c:pt idx="1">
                  <c:v>41.2</c:v>
                </c:pt>
                <c:pt idx="2">
                  <c:v>25.21</c:v>
                </c:pt>
                <c:pt idx="3">
                  <c:v>73.37</c:v>
                </c:pt>
                <c:pt idx="4">
                  <c:v>33.04</c:v>
                </c:pt>
                <c:pt idx="5">
                  <c:v>29.13</c:v>
                </c:pt>
                <c:pt idx="6">
                  <c:v>13.15</c:v>
                </c:pt>
                <c:pt idx="7">
                  <c:v>40.07</c:v>
                </c:pt>
                <c:pt idx="8">
                  <c:v>34.130000000000003</c:v>
                </c:pt>
                <c:pt idx="9">
                  <c:v>158.15</c:v>
                </c:pt>
                <c:pt idx="10">
                  <c:v>118.2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B8-4F27-BBFB-43963DC937FD}"/>
            </c:ext>
          </c:extLst>
        </c:ser>
        <c:ser>
          <c:idx val="4"/>
          <c:order val="2"/>
          <c:tx>
            <c:strRef>
              <c:f>GUE_PA_HC!$E$342</c:f>
              <c:strCache>
                <c:ptCount val="1"/>
                <c:pt idx="0">
                  <c:v>1 / B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GUE_PA_HC!$E$356:$E$366</c:f>
              <c:numCache>
                <c:formatCode>0.00</c:formatCode>
                <c:ptCount val="11"/>
                <c:pt idx="0">
                  <c:v>66.38</c:v>
                </c:pt>
                <c:pt idx="1">
                  <c:v>28.18</c:v>
                </c:pt>
                <c:pt idx="2">
                  <c:v>90.99</c:v>
                </c:pt>
                <c:pt idx="3">
                  <c:v>772.25</c:v>
                </c:pt>
                <c:pt idx="4">
                  <c:v>235.73</c:v>
                </c:pt>
                <c:pt idx="5">
                  <c:v>74.58</c:v>
                </c:pt>
                <c:pt idx="6">
                  <c:v>572.15</c:v>
                </c:pt>
                <c:pt idx="7">
                  <c:v>470.32</c:v>
                </c:pt>
                <c:pt idx="8">
                  <c:v>282.36</c:v>
                </c:pt>
                <c:pt idx="9">
                  <c:v>440.32</c:v>
                </c:pt>
                <c:pt idx="10">
                  <c:v>774.86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B8-4F27-BBFB-43963DC937FD}"/>
            </c:ext>
          </c:extLst>
        </c:ser>
        <c:ser>
          <c:idx val="6"/>
          <c:order val="3"/>
          <c:tx>
            <c:strRef>
              <c:f>GUE_PA_HC!$J$342</c:f>
              <c:strCache>
                <c:ptCount val="1"/>
                <c:pt idx="0">
                  <c:v>1 / B (HC)</c:v>
                </c:pt>
              </c:strCache>
            </c:strRef>
          </c:tx>
          <c:spPr>
            <a:solidFill>
              <a:srgbClr val="CACDDE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GUE_PA_HC!$J$382:$J$392</c:f>
                <c:numCache>
                  <c:formatCode>General</c:formatCode>
                  <c:ptCount val="11"/>
                  <c:pt idx="0">
                    <c:v>3.6258458741634683</c:v>
                  </c:pt>
                  <c:pt idx="1">
                    <c:v>1.7068800789589811</c:v>
                  </c:pt>
                  <c:pt idx="2">
                    <c:v>3.6406827872811673</c:v>
                  </c:pt>
                  <c:pt idx="3">
                    <c:v>94.093981516594738</c:v>
                  </c:pt>
                  <c:pt idx="4">
                    <c:v>15.19791201971386</c:v>
                  </c:pt>
                  <c:pt idx="5">
                    <c:v>19.702004904090867</c:v>
                  </c:pt>
                  <c:pt idx="6">
                    <c:v>50.191041348933368</c:v>
                  </c:pt>
                  <c:pt idx="7">
                    <c:v>23.347729792496292</c:v>
                  </c:pt>
                  <c:pt idx="8">
                    <c:v>18.522721147755625</c:v>
                  </c:pt>
                  <c:pt idx="9">
                    <c:v>23.693321584778033</c:v>
                  </c:pt>
                  <c:pt idx="10">
                    <c:v>33.030129617347534</c:v>
                  </c:pt>
                </c:numCache>
              </c:numRef>
            </c:plus>
            <c:minus>
              <c:numRef>
                <c:f>GUE_PA_HC!$J$382:$J$392</c:f>
                <c:numCache>
                  <c:formatCode>General</c:formatCode>
                  <c:ptCount val="11"/>
                  <c:pt idx="0">
                    <c:v>3.6258458741634683</c:v>
                  </c:pt>
                  <c:pt idx="1">
                    <c:v>1.7068800789589811</c:v>
                  </c:pt>
                  <c:pt idx="2">
                    <c:v>3.6406827872811673</c:v>
                  </c:pt>
                  <c:pt idx="3">
                    <c:v>94.093981516594738</c:v>
                  </c:pt>
                  <c:pt idx="4">
                    <c:v>15.19791201971386</c:v>
                  </c:pt>
                  <c:pt idx="5">
                    <c:v>19.702004904090867</c:v>
                  </c:pt>
                  <c:pt idx="6">
                    <c:v>50.191041348933368</c:v>
                  </c:pt>
                  <c:pt idx="7">
                    <c:v>23.347729792496292</c:v>
                  </c:pt>
                  <c:pt idx="8">
                    <c:v>18.522721147755625</c:v>
                  </c:pt>
                  <c:pt idx="9">
                    <c:v>23.693321584778033</c:v>
                  </c:pt>
                  <c:pt idx="10">
                    <c:v>33.030129617347534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GUE_PA_HC!$J$356:$J$366</c:f>
              <c:numCache>
                <c:formatCode>0.00</c:formatCode>
                <c:ptCount val="11"/>
                <c:pt idx="0">
                  <c:v>44.12</c:v>
                </c:pt>
                <c:pt idx="1">
                  <c:v>21.57</c:v>
                </c:pt>
                <c:pt idx="2">
                  <c:v>74.010000000000005</c:v>
                </c:pt>
                <c:pt idx="3">
                  <c:v>617.97</c:v>
                </c:pt>
                <c:pt idx="4">
                  <c:v>197.28</c:v>
                </c:pt>
                <c:pt idx="5">
                  <c:v>58.81</c:v>
                </c:pt>
                <c:pt idx="6">
                  <c:v>474.95</c:v>
                </c:pt>
                <c:pt idx="7">
                  <c:v>377.02</c:v>
                </c:pt>
                <c:pt idx="8">
                  <c:v>219.93</c:v>
                </c:pt>
                <c:pt idx="9">
                  <c:v>333.42</c:v>
                </c:pt>
                <c:pt idx="10">
                  <c:v>590.16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B8-4F27-BBFB-43963DC937FD}"/>
            </c:ext>
          </c:extLst>
        </c:ser>
        <c:ser>
          <c:idx val="2"/>
          <c:order val="4"/>
          <c:tx>
            <c:strRef>
              <c:f>GUE_PA_HC!$F$342</c:f>
              <c:strCache>
                <c:ptCount val="1"/>
                <c:pt idx="0">
                  <c:v>2 / A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GUE_PA_HC!$F$356:$F$366</c:f>
              <c:numCache>
                <c:formatCode>0.00</c:formatCode>
                <c:ptCount val="11"/>
                <c:pt idx="0">
                  <c:v>9890.15</c:v>
                </c:pt>
                <c:pt idx="1">
                  <c:v>12137.33</c:v>
                </c:pt>
                <c:pt idx="2">
                  <c:v>16323.8</c:v>
                </c:pt>
                <c:pt idx="3">
                  <c:v>15605.63</c:v>
                </c:pt>
                <c:pt idx="4">
                  <c:v>16056.11</c:v>
                </c:pt>
                <c:pt idx="5">
                  <c:v>12858.68</c:v>
                </c:pt>
                <c:pt idx="6">
                  <c:v>16007.08</c:v>
                </c:pt>
                <c:pt idx="7">
                  <c:v>16350.92</c:v>
                </c:pt>
                <c:pt idx="8">
                  <c:v>16312.26</c:v>
                </c:pt>
                <c:pt idx="9">
                  <c:v>18394.939999999999</c:v>
                </c:pt>
                <c:pt idx="10">
                  <c:v>18334.84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B8-4F27-BBFB-43963DC937FD}"/>
            </c:ext>
          </c:extLst>
        </c:ser>
        <c:ser>
          <c:idx val="0"/>
          <c:order val="5"/>
          <c:tx>
            <c:strRef>
              <c:f>GUE_PA_HC!$K$342</c:f>
              <c:strCache>
                <c:ptCount val="1"/>
                <c:pt idx="0">
                  <c:v>2 / A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GUE_PA_HC!$K$382:$K$392</c:f>
                <c:numCache>
                  <c:formatCode>General</c:formatCode>
                  <c:ptCount val="11"/>
                  <c:pt idx="0">
                    <c:v>540.22536264473979</c:v>
                  </c:pt>
                  <c:pt idx="1">
                    <c:v>735.1656064141664</c:v>
                  </c:pt>
                  <c:pt idx="2">
                    <c:v>653.1462543468549</c:v>
                  </c:pt>
                  <c:pt idx="3">
                    <c:v>1901.4514221752236</c:v>
                  </c:pt>
                  <c:pt idx="4">
                    <c:v>1035.1645830350312</c:v>
                  </c:pt>
                  <c:pt idx="5">
                    <c:v>3396.9130654349046</c:v>
                  </c:pt>
                  <c:pt idx="6">
                    <c:v>1404.1982245139986</c:v>
                  </c:pt>
                  <c:pt idx="7">
                    <c:v>811.69599850893746</c:v>
                  </c:pt>
                  <c:pt idx="8">
                    <c:v>1070.0787762774053</c:v>
                  </c:pt>
                  <c:pt idx="9">
                    <c:v>989.81928813748368</c:v>
                  </c:pt>
                  <c:pt idx="10">
                    <c:v>781.56330396888256</c:v>
                  </c:pt>
                </c:numCache>
              </c:numRef>
            </c:plus>
            <c:minus>
              <c:numRef>
                <c:f>GUE_PA_HC!$K$382:$K$392</c:f>
                <c:numCache>
                  <c:formatCode>General</c:formatCode>
                  <c:ptCount val="11"/>
                  <c:pt idx="0">
                    <c:v>540.22536264473979</c:v>
                  </c:pt>
                  <c:pt idx="1">
                    <c:v>735.1656064141664</c:v>
                  </c:pt>
                  <c:pt idx="2">
                    <c:v>653.1462543468549</c:v>
                  </c:pt>
                  <c:pt idx="3">
                    <c:v>1901.4514221752236</c:v>
                  </c:pt>
                  <c:pt idx="4">
                    <c:v>1035.1645830350312</c:v>
                  </c:pt>
                  <c:pt idx="5">
                    <c:v>3396.9130654349046</c:v>
                  </c:pt>
                  <c:pt idx="6">
                    <c:v>1404.1982245139986</c:v>
                  </c:pt>
                  <c:pt idx="7">
                    <c:v>811.69599850893746</c:v>
                  </c:pt>
                  <c:pt idx="8">
                    <c:v>1070.0787762774053</c:v>
                  </c:pt>
                  <c:pt idx="9">
                    <c:v>989.81928813748368</c:v>
                  </c:pt>
                  <c:pt idx="10">
                    <c:v>781.56330396888256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GUE_PA_HC!$K$356:$K$366</c:f>
              <c:numCache>
                <c:formatCode>0.00</c:formatCode>
                <c:ptCount val="11"/>
                <c:pt idx="0">
                  <c:v>9324.32</c:v>
                </c:pt>
                <c:pt idx="1">
                  <c:v>11161.43</c:v>
                </c:pt>
                <c:pt idx="2">
                  <c:v>15903.55</c:v>
                </c:pt>
                <c:pt idx="3">
                  <c:v>15032.37</c:v>
                </c:pt>
                <c:pt idx="4">
                  <c:v>15443.8</c:v>
                </c:pt>
                <c:pt idx="5">
                  <c:v>12541.16</c:v>
                </c:pt>
                <c:pt idx="6">
                  <c:v>15458.2</c:v>
                </c:pt>
                <c:pt idx="7">
                  <c:v>15915.37</c:v>
                </c:pt>
                <c:pt idx="8">
                  <c:v>15971.27</c:v>
                </c:pt>
                <c:pt idx="9">
                  <c:v>17809.849999999999</c:v>
                </c:pt>
                <c:pt idx="10">
                  <c:v>17967.75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B8-4F27-BBFB-43963DC937FD}"/>
            </c:ext>
          </c:extLst>
        </c:ser>
        <c:ser>
          <c:idx val="7"/>
          <c:order val="6"/>
          <c:tx>
            <c:strRef>
              <c:f>GUE_PA_HC!$G$342</c:f>
              <c:strCache>
                <c:ptCount val="1"/>
                <c:pt idx="0">
                  <c:v>3 / F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GUE_PA_HC!$G$356:$G$366</c:f>
              <c:numCache>
                <c:formatCode>0.00</c:formatCode>
                <c:ptCount val="11"/>
                <c:pt idx="0">
                  <c:v>18503.009999999998</c:v>
                </c:pt>
                <c:pt idx="1">
                  <c:v>15486.76</c:v>
                </c:pt>
                <c:pt idx="2">
                  <c:v>15088.63</c:v>
                </c:pt>
                <c:pt idx="3">
                  <c:v>12772.47</c:v>
                </c:pt>
                <c:pt idx="4">
                  <c:v>14772.43</c:v>
                </c:pt>
                <c:pt idx="5">
                  <c:v>12748.79</c:v>
                </c:pt>
                <c:pt idx="6">
                  <c:v>14757.46</c:v>
                </c:pt>
                <c:pt idx="7">
                  <c:v>15013.16</c:v>
                </c:pt>
                <c:pt idx="8">
                  <c:v>15410.66</c:v>
                </c:pt>
                <c:pt idx="9">
                  <c:v>14830.55</c:v>
                </c:pt>
                <c:pt idx="10">
                  <c:v>14076.14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B8-4F27-BBFB-43963DC937FD}"/>
            </c:ext>
          </c:extLst>
        </c:ser>
        <c:ser>
          <c:idx val="8"/>
          <c:order val="7"/>
          <c:tx>
            <c:strRef>
              <c:f>GUE_PA_HC!$L$342</c:f>
              <c:strCache>
                <c:ptCount val="1"/>
                <c:pt idx="0">
                  <c:v>3 / F (HC)</c:v>
                </c:pt>
              </c:strCache>
            </c:strRef>
          </c:tx>
          <c:spPr>
            <a:solidFill>
              <a:srgbClr val="14972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GUE_PA_HC!$L$382:$L$392</c:f>
                <c:numCache>
                  <c:formatCode>General</c:formatCode>
                  <c:ptCount val="11"/>
                  <c:pt idx="0">
                    <c:v>1010.6818690585327</c:v>
                  </c:pt>
                  <c:pt idx="1">
                    <c:v>938.04265903544342</c:v>
                  </c:pt>
                  <c:pt idx="2">
                    <c:v>603.72475573858924</c:v>
                  </c:pt>
                  <c:pt idx="3">
                    <c:v>1556.2480493379876</c:v>
                  </c:pt>
                  <c:pt idx="4">
                    <c:v>952.40356109693971</c:v>
                  </c:pt>
                  <c:pt idx="5">
                    <c:v>3367.8831201558678</c:v>
                  </c:pt>
                  <c:pt idx="6">
                    <c:v>1294.57709528136</c:v>
                  </c:pt>
                  <c:pt idx="7">
                    <c:v>745.28661977273691</c:v>
                  </c:pt>
                  <c:pt idx="8">
                    <c:v>1010.9341191488584</c:v>
                  </c:pt>
                  <c:pt idx="9">
                    <c:v>798.0218714324352</c:v>
                  </c:pt>
                  <c:pt idx="10">
                    <c:v>600.02675155761074</c:v>
                  </c:pt>
                </c:numCache>
              </c:numRef>
            </c:plus>
            <c:minus>
              <c:numRef>
                <c:f>GUE_PA_HC!$L$382:$L$392</c:f>
                <c:numCache>
                  <c:formatCode>General</c:formatCode>
                  <c:ptCount val="11"/>
                  <c:pt idx="0">
                    <c:v>1010.6818690585327</c:v>
                  </c:pt>
                  <c:pt idx="1">
                    <c:v>938.04265903544342</c:v>
                  </c:pt>
                  <c:pt idx="2">
                    <c:v>603.72475573858924</c:v>
                  </c:pt>
                  <c:pt idx="3">
                    <c:v>1556.2480493379876</c:v>
                  </c:pt>
                  <c:pt idx="4">
                    <c:v>952.40356109693971</c:v>
                  </c:pt>
                  <c:pt idx="5">
                    <c:v>3367.8831201558678</c:v>
                  </c:pt>
                  <c:pt idx="6">
                    <c:v>1294.57709528136</c:v>
                  </c:pt>
                  <c:pt idx="7">
                    <c:v>745.28661977273691</c:v>
                  </c:pt>
                  <c:pt idx="8">
                    <c:v>1010.9341191488584</c:v>
                  </c:pt>
                  <c:pt idx="9">
                    <c:v>798.0218714324352</c:v>
                  </c:pt>
                  <c:pt idx="10">
                    <c:v>600.02675155761074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GUE_PA_HC!$L$356:$L$366</c:f>
              <c:numCache>
                <c:formatCode>0.00</c:formatCode>
                <c:ptCount val="11"/>
                <c:pt idx="0">
                  <c:v>17640.88</c:v>
                </c:pt>
                <c:pt idx="1">
                  <c:v>14924.13</c:v>
                </c:pt>
                <c:pt idx="2">
                  <c:v>14489.21</c:v>
                </c:pt>
                <c:pt idx="3">
                  <c:v>12165.84</c:v>
                </c:pt>
                <c:pt idx="4">
                  <c:v>13939.54</c:v>
                </c:pt>
                <c:pt idx="5">
                  <c:v>12263.85</c:v>
                </c:pt>
                <c:pt idx="6">
                  <c:v>14152.66</c:v>
                </c:pt>
                <c:pt idx="7">
                  <c:v>14309.44</c:v>
                </c:pt>
                <c:pt idx="8">
                  <c:v>14736.76</c:v>
                </c:pt>
                <c:pt idx="9">
                  <c:v>13920.19</c:v>
                </c:pt>
                <c:pt idx="10">
                  <c:v>13511.88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B8-4F27-BBFB-43963DC937FD}"/>
            </c:ext>
          </c:extLst>
        </c:ser>
        <c:ser>
          <c:idx val="9"/>
          <c:order val="8"/>
          <c:tx>
            <c:strRef>
              <c:f>GUE_PA_HC!$H$342</c:f>
              <c:strCache>
                <c:ptCount val="1"/>
                <c:pt idx="0">
                  <c:v>4 / S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GUE_PA_HC!$H$356:$H$366</c:f>
              <c:numCache>
                <c:formatCode>0.00</c:formatCode>
                <c:ptCount val="11"/>
                <c:pt idx="0">
                  <c:v>14506.12</c:v>
                </c:pt>
                <c:pt idx="1">
                  <c:v>15506.46</c:v>
                </c:pt>
                <c:pt idx="2">
                  <c:v>11691.88</c:v>
                </c:pt>
                <c:pt idx="3">
                  <c:v>11117.02</c:v>
                </c:pt>
                <c:pt idx="4">
                  <c:v>11804.65</c:v>
                </c:pt>
                <c:pt idx="5">
                  <c:v>9725.4699999999993</c:v>
                </c:pt>
                <c:pt idx="6">
                  <c:v>10221.14</c:v>
                </c:pt>
                <c:pt idx="7">
                  <c:v>11261.79</c:v>
                </c:pt>
                <c:pt idx="8">
                  <c:v>10202.450000000001</c:v>
                </c:pt>
                <c:pt idx="9">
                  <c:v>9392.94</c:v>
                </c:pt>
                <c:pt idx="10">
                  <c:v>9908.2099999999991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AB8-4F27-BBFB-43963DC937FD}"/>
            </c:ext>
          </c:extLst>
        </c:ser>
        <c:ser>
          <c:idx val="10"/>
          <c:order val="9"/>
          <c:tx>
            <c:strRef>
              <c:f>GUE_PA_HC!$M$342</c:f>
              <c:strCache>
                <c:ptCount val="1"/>
                <c:pt idx="0">
                  <c:v>4 / S (HC)</c:v>
                </c:pt>
              </c:strCache>
            </c:strRef>
          </c:tx>
          <c:spPr>
            <a:solidFill>
              <a:srgbClr val="AD8D06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GUE_PA_HC!$M$382:$M$392</c:f>
                <c:numCache>
                  <c:formatCode>General</c:formatCode>
                  <c:ptCount val="11"/>
                  <c:pt idx="0">
                    <c:v>792.36148466586599</c:v>
                  </c:pt>
                  <c:pt idx="1">
                    <c:v>939.23590025458782</c:v>
                  </c:pt>
                  <c:pt idx="2">
                    <c:v>467.81433417910694</c:v>
                  </c:pt>
                  <c:pt idx="3">
                    <c:v>1354.5415013267907</c:v>
                  </c:pt>
                  <c:pt idx="4">
                    <c:v>761.06576220046304</c:v>
                  </c:pt>
                  <c:pt idx="5">
                    <c:v>2569.2043126118078</c:v>
                  </c:pt>
                  <c:pt idx="6">
                    <c:v>896.63490408675489</c:v>
                  </c:pt>
                  <c:pt idx="7">
                    <c:v>559.06027789555378</c:v>
                  </c:pt>
                  <c:pt idx="8">
                    <c:v>669.27729272531303</c:v>
                  </c:pt>
                  <c:pt idx="9">
                    <c:v>505.42775264926649</c:v>
                  </c:pt>
                  <c:pt idx="10">
                    <c:v>422.35947213160961</c:v>
                  </c:pt>
                </c:numCache>
              </c:numRef>
            </c:plus>
            <c:minus>
              <c:numRef>
                <c:f>GUE_PA_HC!$M$382:$M$392</c:f>
                <c:numCache>
                  <c:formatCode>General</c:formatCode>
                  <c:ptCount val="11"/>
                  <c:pt idx="0">
                    <c:v>792.36148466586599</c:v>
                  </c:pt>
                  <c:pt idx="1">
                    <c:v>939.23590025458782</c:v>
                  </c:pt>
                  <c:pt idx="2">
                    <c:v>467.81433417910694</c:v>
                  </c:pt>
                  <c:pt idx="3">
                    <c:v>1354.5415013267907</c:v>
                  </c:pt>
                  <c:pt idx="4">
                    <c:v>761.06576220046304</c:v>
                  </c:pt>
                  <c:pt idx="5">
                    <c:v>2569.2043126118078</c:v>
                  </c:pt>
                  <c:pt idx="6">
                    <c:v>896.63490408675489</c:v>
                  </c:pt>
                  <c:pt idx="7">
                    <c:v>559.06027789555378</c:v>
                  </c:pt>
                  <c:pt idx="8">
                    <c:v>669.27729272531303</c:v>
                  </c:pt>
                  <c:pt idx="9">
                    <c:v>505.42775264926649</c:v>
                  </c:pt>
                  <c:pt idx="10">
                    <c:v>422.35947213160961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GUE_PA_HC!$M$356:$M$366</c:f>
              <c:numCache>
                <c:formatCode>0.00</c:formatCode>
                <c:ptCount val="11"/>
                <c:pt idx="0">
                  <c:v>13805.55</c:v>
                </c:pt>
                <c:pt idx="1">
                  <c:v>14651.75</c:v>
                </c:pt>
                <c:pt idx="2">
                  <c:v>11196.53</c:v>
                </c:pt>
                <c:pt idx="3">
                  <c:v>10612.7</c:v>
                </c:pt>
                <c:pt idx="4">
                  <c:v>11037.96</c:v>
                </c:pt>
                <c:pt idx="5">
                  <c:v>9162.91</c:v>
                </c:pt>
                <c:pt idx="6">
                  <c:v>9670.69</c:v>
                </c:pt>
                <c:pt idx="7">
                  <c:v>10634.77</c:v>
                </c:pt>
                <c:pt idx="8">
                  <c:v>9684.59</c:v>
                </c:pt>
                <c:pt idx="9">
                  <c:v>8870.41</c:v>
                </c:pt>
                <c:pt idx="10">
                  <c:v>9387.41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AB8-4F27-BBFB-43963DC937FD}"/>
            </c:ext>
          </c:extLst>
        </c:ser>
        <c:ser>
          <c:idx val="5"/>
          <c:order val="10"/>
          <c:tx>
            <c:strRef>
              <c:f>GUE_PA_HC!$I$5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(GUE_PA_HC!$I$7,GUE_PA_HC!$I$32,GUE_PA_HC!$I$57,GUE_PA_HC!$I$82,GUE_PA_HC!$I$107,GUE_PA_HC!$I$132,GUE_PA_HC!$I$157,GUE_PA_HC!$I$182,GUE_PA_HC!$I$207,GUE_PA_HC!$I$232,GUE_PA_HC!$I$257)</c:f>
              <c:numCache>
                <c:formatCode>0.00</c:formatCode>
                <c:ptCount val="11"/>
                <c:pt idx="0">
                  <c:v>193.27999999999884</c:v>
                </c:pt>
                <c:pt idx="1">
                  <c:v>195.64999999999418</c:v>
                </c:pt>
                <c:pt idx="2">
                  <c:v>191.44999999999709</c:v>
                </c:pt>
                <c:pt idx="3">
                  <c:v>3072.7099999999919</c:v>
                </c:pt>
                <c:pt idx="4">
                  <c:v>508.24999999999272</c:v>
                </c:pt>
                <c:pt idx="5">
                  <c:v>7978.2899999999936</c:v>
                </c:pt>
                <c:pt idx="6">
                  <c:v>1827.8999999999942</c:v>
                </c:pt>
                <c:pt idx="7">
                  <c:v>281.0199999999968</c:v>
                </c:pt>
                <c:pt idx="8">
                  <c:v>1170.7699999999968</c:v>
                </c:pt>
                <c:pt idx="9">
                  <c:v>190.08000000000175</c:v>
                </c:pt>
                <c:pt idx="10">
                  <c:v>190.07999999999447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AB8-4F27-BBFB-43963DC93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ACB_A Agriculture-Grass HC Area</a:t>
            </a:r>
          </a:p>
          <a:p>
            <a:pPr>
              <a:defRPr/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(Equivalent 10m Geom. Res.)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GUE_PA_HC!$U$316:$U$323</c:f>
                <c:numCache>
                  <c:formatCode>General</c:formatCode>
                  <c:ptCount val="8"/>
                  <c:pt idx="0">
                    <c:v>2.3269155230778223E-2</c:v>
                  </c:pt>
                  <c:pt idx="1">
                    <c:v>3.2633000715127709E-2</c:v>
                  </c:pt>
                  <c:pt idx="2">
                    <c:v>4.7487942653222343E-2</c:v>
                  </c:pt>
                  <c:pt idx="3">
                    <c:v>3.2060802781904936E-2</c:v>
                  </c:pt>
                  <c:pt idx="4">
                    <c:v>3.6604861551265348E-2</c:v>
                  </c:pt>
                  <c:pt idx="5">
                    <c:v>2.1210592671264284E-2</c:v>
                  </c:pt>
                  <c:pt idx="6">
                    <c:v>2.5964245558635971E-2</c:v>
                  </c:pt>
                  <c:pt idx="7">
                    <c:v>2.8182210599423167E-2</c:v>
                  </c:pt>
                </c:numCache>
              </c:numRef>
            </c:plus>
            <c:minus>
              <c:numRef>
                <c:f>GUE_PA_HC!$U$316:$U$323</c:f>
                <c:numCache>
                  <c:formatCode>General</c:formatCode>
                  <c:ptCount val="8"/>
                  <c:pt idx="0">
                    <c:v>2.3269155230778223E-2</c:v>
                  </c:pt>
                  <c:pt idx="1">
                    <c:v>3.2633000715127709E-2</c:v>
                  </c:pt>
                  <c:pt idx="2">
                    <c:v>4.7487942653222343E-2</c:v>
                  </c:pt>
                  <c:pt idx="3">
                    <c:v>3.2060802781904936E-2</c:v>
                  </c:pt>
                  <c:pt idx="4">
                    <c:v>3.6604861551265348E-2</c:v>
                  </c:pt>
                  <c:pt idx="5">
                    <c:v>2.1210592671264284E-2</c:v>
                  </c:pt>
                  <c:pt idx="6">
                    <c:v>2.5964245558635971E-2</c:v>
                  </c:pt>
                  <c:pt idx="7">
                    <c:v>2.8182210599423167E-2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GUE_PA_HC!$T$305:$T$312</c:f>
              <c:strCache>
                <c:ptCount val="8"/>
                <c:pt idx="0">
                  <c:v>1977(M)</c:v>
                </c:pt>
                <c:pt idx="1">
                  <c:v>1988(M)</c:v>
                </c:pt>
                <c:pt idx="2">
                  <c:v>1991(M)</c:v>
                </c:pt>
                <c:pt idx="3">
                  <c:v>2001(M)</c:v>
                </c:pt>
                <c:pt idx="4">
                  <c:v>2011(M)</c:v>
                </c:pt>
                <c:pt idx="5">
                  <c:v>2015(M)</c:v>
                </c:pt>
                <c:pt idx="6">
                  <c:v> 2019M</c:v>
                </c:pt>
                <c:pt idx="7">
                  <c:v>2024M</c:v>
                </c:pt>
              </c:strCache>
            </c:strRef>
          </c:cat>
          <c:val>
            <c:numRef>
              <c:f>GUE_PA_HC!$U$305:$U$312</c:f>
              <c:numCache>
                <c:formatCode>0.00%</c:formatCode>
                <c:ptCount val="8"/>
                <c:pt idx="0">
                  <c:v>0.78694605847322252</c:v>
                </c:pt>
                <c:pt idx="1">
                  <c:v>0.74636320152415891</c:v>
                </c:pt>
                <c:pt idx="2">
                  <c:v>0.71672346387837338</c:v>
                </c:pt>
                <c:pt idx="3">
                  <c:v>0.69765020897523788</c:v>
                </c:pt>
                <c:pt idx="4">
                  <c:v>0.70729010104948864</c:v>
                </c:pt>
                <c:pt idx="5">
                  <c:v>0.72884728876851401</c:v>
                </c:pt>
                <c:pt idx="6">
                  <c:v>0.74218796164486578</c:v>
                </c:pt>
                <c:pt idx="7">
                  <c:v>0.74234374580322859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D1-4C75-9C32-C68D43608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806960"/>
        <c:axId val="802808720"/>
      </c:barChart>
      <c:catAx>
        <c:axId val="80280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8720"/>
        <c:crosses val="autoZero"/>
        <c:auto val="1"/>
        <c:lblAlgn val="ctr"/>
        <c:lblOffset val="100"/>
        <c:noMultiLvlLbl val="0"/>
      </c:catAx>
      <c:valAx>
        <c:axId val="802808720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ACB_A Agriculture-Grass HC Area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GUE_PA_HC!$Q$316:$Q$325</c:f>
                <c:numCache>
                  <c:formatCode>General</c:formatCode>
                  <c:ptCount val="10"/>
                  <c:pt idx="0">
                    <c:v>2.3269155230778223E-2</c:v>
                  </c:pt>
                  <c:pt idx="1">
                    <c:v>3.2633000715127709E-2</c:v>
                  </c:pt>
                  <c:pt idx="2">
                    <c:v>1.7509785930719585E-2</c:v>
                  </c:pt>
                  <c:pt idx="3">
                    <c:v>4.7487942653222343E-2</c:v>
                  </c:pt>
                  <c:pt idx="4">
                    <c:v>3.2060802781904936E-2</c:v>
                  </c:pt>
                  <c:pt idx="5">
                    <c:v>3.6604861551265348E-2</c:v>
                  </c:pt>
                  <c:pt idx="6">
                    <c:v>2.1210592671264284E-2</c:v>
                  </c:pt>
                  <c:pt idx="7">
                    <c:v>2.3907159556586975E-2</c:v>
                  </c:pt>
                  <c:pt idx="8">
                    <c:v>2.5964245558635971E-2</c:v>
                  </c:pt>
                  <c:pt idx="9">
                    <c:v>2.8182210599423167E-2</c:v>
                  </c:pt>
                </c:numCache>
              </c:numRef>
            </c:plus>
            <c:minus>
              <c:numRef>
                <c:f>GUE_PA_HC!$Q$316:$Q$325</c:f>
                <c:numCache>
                  <c:formatCode>General</c:formatCode>
                  <c:ptCount val="10"/>
                  <c:pt idx="0">
                    <c:v>2.3269155230778223E-2</c:v>
                  </c:pt>
                  <c:pt idx="1">
                    <c:v>3.2633000715127709E-2</c:v>
                  </c:pt>
                  <c:pt idx="2">
                    <c:v>1.7509785930719585E-2</c:v>
                  </c:pt>
                  <c:pt idx="3">
                    <c:v>4.7487942653222343E-2</c:v>
                  </c:pt>
                  <c:pt idx="4">
                    <c:v>3.2060802781904936E-2</c:v>
                  </c:pt>
                  <c:pt idx="5">
                    <c:v>3.6604861551265348E-2</c:v>
                  </c:pt>
                  <c:pt idx="6">
                    <c:v>2.1210592671264284E-2</c:v>
                  </c:pt>
                  <c:pt idx="7">
                    <c:v>2.3907159556586975E-2</c:v>
                  </c:pt>
                  <c:pt idx="8">
                    <c:v>2.5964245558635971E-2</c:v>
                  </c:pt>
                  <c:pt idx="9">
                    <c:v>2.8182210599423167E-2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GUE_PA_HC!$P$305:$P$314</c:f>
              <c:strCache>
                <c:ptCount val="10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2011E</c:v>
                </c:pt>
                <c:pt idx="6">
                  <c:v>2015O</c:v>
                </c:pt>
                <c:pt idx="7">
                  <c:v> 2019O</c:v>
                </c:pt>
                <c:pt idx="8">
                  <c:v> 2019M</c:v>
                </c:pt>
                <c:pt idx="9">
                  <c:v>2024M</c:v>
                </c:pt>
              </c:strCache>
            </c:strRef>
          </c:cat>
          <c:val>
            <c:numRef>
              <c:f>GUE_PA_HC!$Q$305:$Q$314</c:f>
              <c:numCache>
                <c:formatCode>0.00%</c:formatCode>
                <c:ptCount val="10"/>
                <c:pt idx="0">
                  <c:v>0.47729043001799576</c:v>
                </c:pt>
                <c:pt idx="1">
                  <c:v>0.4526765329966963</c:v>
                </c:pt>
                <c:pt idx="2">
                  <c:v>0.71828315113749286</c:v>
                </c:pt>
                <c:pt idx="3">
                  <c:v>0.68975853455453784</c:v>
                </c:pt>
                <c:pt idx="4">
                  <c:v>0.67140286320539333</c:v>
                </c:pt>
                <c:pt idx="5">
                  <c:v>0.68068007842926592</c:v>
                </c:pt>
                <c:pt idx="6">
                  <c:v>0.70142623082914779</c:v>
                </c:pt>
                <c:pt idx="7">
                  <c:v>0.71426499422524248</c:v>
                </c:pt>
                <c:pt idx="8">
                  <c:v>0.74218796164486578</c:v>
                </c:pt>
                <c:pt idx="9">
                  <c:v>0.74234374580322859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F-4EB5-975F-3EA43B275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806960"/>
        <c:axId val="802808720"/>
      </c:barChart>
      <c:catAx>
        <c:axId val="80280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8720"/>
        <c:crosses val="autoZero"/>
        <c:auto val="1"/>
        <c:lblAlgn val="ctr"/>
        <c:lblOffset val="100"/>
        <c:noMultiLvlLbl val="0"/>
      </c:catAx>
      <c:valAx>
        <c:axId val="80280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ACB_A PA Mode Class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GUE_PA_HC!$Q$342</c:f>
              <c:strCache>
                <c:ptCount val="1"/>
                <c:pt idx="0">
                  <c:v>0 / W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GUE_PA_HC!$U$382:$U$392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GUE_PA_HC!$Q$343:$Q$353</c:f>
              <c:numCache>
                <c:formatCode>0.0000</c:formatCode>
                <c:ptCount val="11"/>
                <c:pt idx="0">
                  <c:v>1.3966855577341464E-4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1.4504042330316136E-4</c:v>
                </c:pt>
                <c:pt idx="7">
                  <c:v>0</c:v>
                </c:pt>
                <c:pt idx="8">
                  <c:v>0</c:v>
                </c:pt>
                <c:pt idx="9">
                  <c:v>2.6859337648733585E-4</c:v>
                </c:pt>
                <c:pt idx="10">
                  <c:v>1.1818108565442776E-4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9E-4B7C-B7F7-15076E86EC4B}"/>
            </c:ext>
          </c:extLst>
        </c:ser>
        <c:ser>
          <c:idx val="3"/>
          <c:order val="1"/>
          <c:tx>
            <c:strRef>
              <c:f>GUE_PA_HC!$V$342</c:f>
              <c:strCache>
                <c:ptCount val="1"/>
                <c:pt idx="0">
                  <c:v>0 / W (HC)</c:v>
                </c:pt>
              </c:strCache>
            </c:strRef>
          </c:tx>
          <c:spPr>
            <a:solidFill>
              <a:srgbClr val="1F9DFF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GUE_PA_HC!$V$369:$V$379</c:f>
                <c:numCache>
                  <c:formatCode>General</c:formatCode>
                  <c:ptCount val="11"/>
                  <c:pt idx="0">
                    <c:v>6.5653612154121962E-6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7.6662369057102413E-6</c:v>
                  </c:pt>
                  <c:pt idx="7">
                    <c:v>0</c:v>
                  </c:pt>
                  <c:pt idx="8">
                    <c:v>0</c:v>
                  </c:pt>
                  <c:pt idx="9">
                    <c:v>9.2519956807215011E-6</c:v>
                  </c:pt>
                  <c:pt idx="10">
                    <c:v>4.4184076365219757E-6</c:v>
                  </c:pt>
                </c:numCache>
              </c:numRef>
            </c:plus>
            <c:minus>
              <c:numRef>
                <c:f>GUE_PA_HC!$V$369:$V$379</c:f>
                <c:numCache>
                  <c:formatCode>General</c:formatCode>
                  <c:ptCount val="11"/>
                  <c:pt idx="0">
                    <c:v>6.5653612154121962E-6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7.6662369057102413E-6</c:v>
                  </c:pt>
                  <c:pt idx="7">
                    <c:v>0</c:v>
                  </c:pt>
                  <c:pt idx="8">
                    <c:v>0</c:v>
                  </c:pt>
                  <c:pt idx="9">
                    <c:v>9.2519956807215011E-6</c:v>
                  </c:pt>
                  <c:pt idx="10">
                    <c:v>4.4184076365219757E-6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GUE_PA_HC!$U$382:$U$392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GUE_PA_HC!$V$343:$V$353</c:f>
              <c:numCache>
                <c:formatCode>0.0000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4.834680776772045E-5</c:v>
                </c:pt>
                <c:pt idx="7">
                  <c:v>0</c:v>
                </c:pt>
                <c:pt idx="8">
                  <c:v>0</c:v>
                </c:pt>
                <c:pt idx="9">
                  <c:v>2.0413096613037523E-4</c:v>
                </c:pt>
                <c:pt idx="10">
                  <c:v>8.5949880475947468E-5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9E-4B7C-B7F7-15076E86EC4B}"/>
            </c:ext>
          </c:extLst>
        </c:ser>
        <c:ser>
          <c:idx val="4"/>
          <c:order val="2"/>
          <c:tx>
            <c:strRef>
              <c:f>GUE_PA_HC!$R$342</c:f>
              <c:strCache>
                <c:ptCount val="1"/>
                <c:pt idx="0">
                  <c:v>1 / B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GUE_PA_HC!$U$382:$U$392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GUE_PA_HC!$R$343:$R$353</c:f>
              <c:numCache>
                <c:formatCode>0.0000</c:formatCode>
                <c:ptCount val="11"/>
                <c:pt idx="0">
                  <c:v>2.433455990975263E-3</c:v>
                </c:pt>
                <c:pt idx="1">
                  <c:v>1.8747817678816043E-3</c:v>
                </c:pt>
                <c:pt idx="2">
                  <c:v>1.1173484461873171E-3</c:v>
                </c:pt>
                <c:pt idx="3">
                  <c:v>5.3181488544492492E-3</c:v>
                </c:pt>
                <c:pt idx="4">
                  <c:v>3.1694018425505628E-3</c:v>
                </c:pt>
                <c:pt idx="5">
                  <c:v>3.5024576293948588E-3</c:v>
                </c:pt>
                <c:pt idx="6">
                  <c:v>2.1702344820176734E-2</c:v>
                </c:pt>
                <c:pt idx="7">
                  <c:v>1.1528027718836454E-2</c:v>
                </c:pt>
                <c:pt idx="8">
                  <c:v>9.7553114340200378E-3</c:v>
                </c:pt>
                <c:pt idx="9">
                  <c:v>1.3467271897075018E-2</c:v>
                </c:pt>
                <c:pt idx="10">
                  <c:v>3.330557868442964E-2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9E-4B7C-B7F7-15076E86EC4B}"/>
            </c:ext>
          </c:extLst>
        </c:ser>
        <c:ser>
          <c:idx val="6"/>
          <c:order val="3"/>
          <c:tx>
            <c:strRef>
              <c:f>GUE_PA_HC!$W$342</c:f>
              <c:strCache>
                <c:ptCount val="1"/>
                <c:pt idx="0">
                  <c:v>1 / B (HC)</c:v>
                </c:pt>
              </c:strCache>
            </c:strRef>
          </c:tx>
          <c:spPr>
            <a:solidFill>
              <a:schemeClr val="accent1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GUE_PA_HC!$W$369:$W$379</c:f>
                <c:numCache>
                  <c:formatCode>General</c:formatCode>
                  <c:ptCount val="11"/>
                  <c:pt idx="0">
                    <c:v>1.1438879348391249E-4</c:v>
                  </c:pt>
                  <c:pt idx="1">
                    <c:v>1.2691864008714172E-4</c:v>
                  </c:pt>
                  <c:pt idx="2">
                    <c:v>2.6956674884274493E-5</c:v>
                  </c:pt>
                  <c:pt idx="3">
                    <c:v>3.582766592492769E-4</c:v>
                  </c:pt>
                  <c:pt idx="4">
                    <c:v>1.4781375187600246E-4</c:v>
                  </c:pt>
                  <c:pt idx="5">
                    <c:v>1.7097082369285129E-3</c:v>
                  </c:pt>
                  <c:pt idx="6">
                    <c:v>1.1470961888544213E-3</c:v>
                  </c:pt>
                  <c:pt idx="7">
                    <c:v>3.4380920345133915E-4</c:v>
                  </c:pt>
                  <c:pt idx="8">
                    <c:v>3.2288951840160905E-4</c:v>
                  </c:pt>
                  <c:pt idx="9">
                    <c:v>4.6389506343137601E-4</c:v>
                  </c:pt>
                  <c:pt idx="10">
                    <c:v>1.245187606656193E-3</c:v>
                  </c:pt>
                </c:numCache>
              </c:numRef>
            </c:plus>
            <c:minus>
              <c:numRef>
                <c:f>GUE_PA_HC!$W$369:$W$379</c:f>
                <c:numCache>
                  <c:formatCode>General</c:formatCode>
                  <c:ptCount val="11"/>
                  <c:pt idx="0">
                    <c:v>1.1438879348391249E-4</c:v>
                  </c:pt>
                  <c:pt idx="1">
                    <c:v>1.2691864008714172E-4</c:v>
                  </c:pt>
                  <c:pt idx="2">
                    <c:v>2.6956674884274493E-5</c:v>
                  </c:pt>
                  <c:pt idx="3">
                    <c:v>3.582766592492769E-4</c:v>
                  </c:pt>
                  <c:pt idx="4">
                    <c:v>1.4781375187600246E-4</c:v>
                  </c:pt>
                  <c:pt idx="5">
                    <c:v>1.7097082369285129E-3</c:v>
                  </c:pt>
                  <c:pt idx="6">
                    <c:v>1.1470961888544213E-3</c:v>
                  </c:pt>
                  <c:pt idx="7">
                    <c:v>3.4380920345133915E-4</c:v>
                  </c:pt>
                  <c:pt idx="8">
                    <c:v>3.2288951840160905E-4</c:v>
                  </c:pt>
                  <c:pt idx="9">
                    <c:v>4.6389506343137601E-4</c:v>
                  </c:pt>
                  <c:pt idx="10">
                    <c:v>1.245187606656193E-3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GUE_PA_HC!$U$382:$U$392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GUE_PA_HC!$W$343:$W$353</c:f>
              <c:numCache>
                <c:formatCode>0.0000</c:formatCode>
                <c:ptCount val="11"/>
                <c:pt idx="0">
                  <c:v>2.2400687599043807E-3</c:v>
                </c:pt>
                <c:pt idx="1">
                  <c:v>1.2946200746689587E-3</c:v>
                </c:pt>
                <c:pt idx="2">
                  <c:v>9.6156428782466225E-4</c:v>
                </c:pt>
                <c:pt idx="3">
                  <c:v>4.4479063146302808E-3</c:v>
                </c:pt>
                <c:pt idx="4">
                  <c:v>2.6322150895758912E-3</c:v>
                </c:pt>
                <c:pt idx="5">
                  <c:v>2.986758346539174E-3</c:v>
                </c:pt>
                <c:pt idx="6">
                  <c:v>1.7737906583223662E-2</c:v>
                </c:pt>
                <c:pt idx="7">
                  <c:v>9.8197738443769993E-3</c:v>
                </c:pt>
                <c:pt idx="8">
                  <c:v>6.7094625446536488E-3</c:v>
                </c:pt>
                <c:pt idx="9">
                  <c:v>1.0238779511697242E-2</c:v>
                </c:pt>
                <c:pt idx="10">
                  <c:v>2.5285380462517795E-2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9E-4B7C-B7F7-15076E86EC4B}"/>
            </c:ext>
          </c:extLst>
        </c:ser>
        <c:ser>
          <c:idx val="2"/>
          <c:order val="4"/>
          <c:tx>
            <c:strRef>
              <c:f>GUE_PA_HC!$S$342</c:f>
              <c:strCache>
                <c:ptCount val="1"/>
                <c:pt idx="0">
                  <c:v>2 / A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GUE_PA_HC!$U$382:$U$392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GUE_PA_HC!$S$343:$S$353</c:f>
              <c:numCache>
                <c:formatCode>0.0000</c:formatCode>
                <c:ptCount val="11"/>
                <c:pt idx="0">
                  <c:v>0.49501759286615993</c:v>
                </c:pt>
                <c:pt idx="1">
                  <c:v>0.48203916091429189</c:v>
                </c:pt>
                <c:pt idx="2">
                  <c:v>0.72577690634148961</c:v>
                </c:pt>
                <c:pt idx="3">
                  <c:v>0.70489645725336414</c:v>
                </c:pt>
                <c:pt idx="4">
                  <c:v>0.68744325964921704</c:v>
                </c:pt>
                <c:pt idx="5">
                  <c:v>0.49431387821976314</c:v>
                </c:pt>
                <c:pt idx="6">
                  <c:v>0.69254116193494675</c:v>
                </c:pt>
                <c:pt idx="7">
                  <c:v>0.71119765786575706</c:v>
                </c:pt>
                <c:pt idx="8">
                  <c:v>0.72229593618221377</c:v>
                </c:pt>
                <c:pt idx="9">
                  <c:v>0.7537643361714701</c:v>
                </c:pt>
                <c:pt idx="10">
                  <c:v>0.75380193924417827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9E-4B7C-B7F7-15076E86EC4B}"/>
            </c:ext>
          </c:extLst>
        </c:ser>
        <c:ser>
          <c:idx val="0"/>
          <c:order val="5"/>
          <c:tx>
            <c:strRef>
              <c:f>GUE_PA_HC!$X$342</c:f>
              <c:strCache>
                <c:ptCount val="1"/>
                <c:pt idx="0">
                  <c:v>2 / A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GUE_PA_HC!$X$369:$X$379</c:f>
                <c:numCache>
                  <c:formatCode>General</c:formatCode>
                  <c:ptCount val="11"/>
                  <c:pt idx="0">
                    <c:v>2.3269155230778223E-2</c:v>
                  </c:pt>
                  <c:pt idx="1">
                    <c:v>3.2633000715127709E-2</c:v>
                  </c:pt>
                  <c:pt idx="2">
                    <c:v>1.7509785930719585E-2</c:v>
                  </c:pt>
                  <c:pt idx="3">
                    <c:v>4.7487942653222343E-2</c:v>
                  </c:pt>
                  <c:pt idx="4">
                    <c:v>3.2060802781904936E-2</c:v>
                  </c:pt>
                  <c:pt idx="5">
                    <c:v>0.2412969973219706</c:v>
                  </c:pt>
                  <c:pt idx="6">
                    <c:v>3.6604861551265348E-2</c:v>
                  </c:pt>
                  <c:pt idx="7">
                    <c:v>2.1210592671264284E-2</c:v>
                  </c:pt>
                  <c:pt idx="8">
                    <c:v>2.3907159556586975E-2</c:v>
                  </c:pt>
                  <c:pt idx="9">
                    <c:v>2.5964245558635971E-2</c:v>
                  </c:pt>
                  <c:pt idx="10">
                    <c:v>2.8182210599423167E-2</c:v>
                  </c:pt>
                </c:numCache>
              </c:numRef>
            </c:plus>
            <c:minus>
              <c:numRef>
                <c:f>GUE_PA_HC!$X$369:$X$379</c:f>
                <c:numCache>
                  <c:formatCode>General</c:formatCode>
                  <c:ptCount val="11"/>
                  <c:pt idx="0">
                    <c:v>2.3269155230778223E-2</c:v>
                  </c:pt>
                  <c:pt idx="1">
                    <c:v>3.2633000715127709E-2</c:v>
                  </c:pt>
                  <c:pt idx="2">
                    <c:v>1.7509785930719585E-2</c:v>
                  </c:pt>
                  <c:pt idx="3">
                    <c:v>4.7487942653222343E-2</c:v>
                  </c:pt>
                  <c:pt idx="4">
                    <c:v>3.2060802781904936E-2</c:v>
                  </c:pt>
                  <c:pt idx="5">
                    <c:v>0.2412969973219706</c:v>
                  </c:pt>
                  <c:pt idx="6">
                    <c:v>3.6604861551265348E-2</c:v>
                  </c:pt>
                  <c:pt idx="7">
                    <c:v>2.1210592671264284E-2</c:v>
                  </c:pt>
                  <c:pt idx="8">
                    <c:v>2.3907159556586975E-2</c:v>
                  </c:pt>
                  <c:pt idx="9">
                    <c:v>2.5964245558635971E-2</c:v>
                  </c:pt>
                  <c:pt idx="10">
                    <c:v>2.8182210599423167E-2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GUE_PA_HC!$U$382:$U$392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GUE_PA_HC!$X$343:$X$353</c:f>
              <c:numCache>
                <c:formatCode>0.0000</c:formatCode>
                <c:ptCount val="11"/>
                <c:pt idx="0">
                  <c:v>0.47729043001799576</c:v>
                </c:pt>
                <c:pt idx="1">
                  <c:v>0.4526765329966963</c:v>
                </c:pt>
                <c:pt idx="2">
                  <c:v>0.71828315113749286</c:v>
                </c:pt>
                <c:pt idx="3">
                  <c:v>0.68975853455453784</c:v>
                </c:pt>
                <c:pt idx="4">
                  <c:v>0.67140286320539333</c:v>
                </c:pt>
                <c:pt idx="5">
                  <c:v>0.48950068491311005</c:v>
                </c:pt>
                <c:pt idx="6">
                  <c:v>0.68068007842926592</c:v>
                </c:pt>
                <c:pt idx="7">
                  <c:v>0.70142623082914779</c:v>
                </c:pt>
                <c:pt idx="8">
                  <c:v>0.71426499422524248</c:v>
                </c:pt>
                <c:pt idx="9">
                  <c:v>0.74218796164486578</c:v>
                </c:pt>
                <c:pt idx="10">
                  <c:v>0.74234374580322859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9E-4B7C-B7F7-15076E86EC4B}"/>
            </c:ext>
          </c:extLst>
        </c:ser>
        <c:ser>
          <c:idx val="7"/>
          <c:order val="6"/>
          <c:tx>
            <c:strRef>
              <c:f>GUE_PA_HC!$T$342</c:f>
              <c:strCache>
                <c:ptCount val="1"/>
                <c:pt idx="0">
                  <c:v>3 / F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GUE_PA_HC!$U$382:$U$392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GUE_PA_HC!$T$343:$T$353</c:f>
              <c:numCache>
                <c:formatCode>0.0000</c:formatCode>
                <c:ptCount val="11"/>
                <c:pt idx="0">
                  <c:v>0.35649324487658135</c:v>
                </c:pt>
                <c:pt idx="1">
                  <c:v>0.21759286615992049</c:v>
                </c:pt>
                <c:pt idx="2">
                  <c:v>0.23569068786763719</c:v>
                </c:pt>
                <c:pt idx="3">
                  <c:v>0.20991646745991244</c:v>
                </c:pt>
                <c:pt idx="4">
                  <c:v>0.22418951948644947</c:v>
                </c:pt>
                <c:pt idx="5">
                  <c:v>0.12353683758158523</c:v>
                </c:pt>
                <c:pt idx="6">
                  <c:v>0.2100507641481561</c:v>
                </c:pt>
                <c:pt idx="7">
                  <c:v>0.22030565926244261</c:v>
                </c:pt>
                <c:pt idx="8">
                  <c:v>0.204071875587548</c:v>
                </c:pt>
                <c:pt idx="9">
                  <c:v>0.19247401359082486</c:v>
                </c:pt>
                <c:pt idx="10">
                  <c:v>0.16597459106658433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9E-4B7C-B7F7-15076E86EC4B}"/>
            </c:ext>
          </c:extLst>
        </c:ser>
        <c:ser>
          <c:idx val="8"/>
          <c:order val="7"/>
          <c:tx>
            <c:strRef>
              <c:f>GUE_PA_HC!$Y$342</c:f>
              <c:strCache>
                <c:ptCount val="1"/>
                <c:pt idx="0">
                  <c:v>3 / F (HC)</c:v>
                </c:pt>
              </c:strCache>
            </c:strRef>
          </c:tx>
          <c:spPr>
            <a:solidFill>
              <a:srgbClr val="14972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GUE_PA_HC!$Y$369:$Y$379</c:f>
                <c:numCache>
                  <c:formatCode>General</c:formatCode>
                  <c:ptCount val="11"/>
                  <c:pt idx="0">
                    <c:v>1.6757579474553828E-2</c:v>
                  </c:pt>
                  <c:pt idx="1">
                    <c:v>1.4730562852062354E-2</c:v>
                  </c:pt>
                  <c:pt idx="2">
                    <c:v>5.6861736084016512E-3</c:v>
                  </c:pt>
                  <c:pt idx="3">
                    <c:v>1.4141794963115144E-2</c:v>
                  </c:pt>
                  <c:pt idx="4">
                    <c:v>1.0455693425073029E-2</c:v>
                  </c:pt>
                  <c:pt idx="5">
                    <c:v>6.03039268782899E-2</c:v>
                  </c:pt>
                  <c:pt idx="6">
                    <c:v>1.1102414647669699E-2</c:v>
                  </c:pt>
                  <c:pt idx="7">
                    <c:v>6.5703444747170882E-3</c:v>
                  </c:pt>
                  <c:pt idx="8">
                    <c:v>6.7545429044926905E-3</c:v>
                  </c:pt>
                  <c:pt idx="9">
                    <c:v>6.6299801048050272E-3</c:v>
                  </c:pt>
                  <c:pt idx="10">
                    <c:v>6.2052518520736124E-3</c:v>
                  </c:pt>
                </c:numCache>
              </c:numRef>
            </c:plus>
            <c:minus>
              <c:numRef>
                <c:f>GUE_PA_HC!$Y$369:$Y$379</c:f>
                <c:numCache>
                  <c:formatCode>General</c:formatCode>
                  <c:ptCount val="11"/>
                  <c:pt idx="0">
                    <c:v>1.6757579474553828E-2</c:v>
                  </c:pt>
                  <c:pt idx="1">
                    <c:v>1.4730562852062354E-2</c:v>
                  </c:pt>
                  <c:pt idx="2">
                    <c:v>5.6861736084016512E-3</c:v>
                  </c:pt>
                  <c:pt idx="3">
                    <c:v>1.4141794963115144E-2</c:v>
                  </c:pt>
                  <c:pt idx="4">
                    <c:v>1.0455693425073029E-2</c:v>
                  </c:pt>
                  <c:pt idx="5">
                    <c:v>6.03039268782899E-2</c:v>
                  </c:pt>
                  <c:pt idx="6">
                    <c:v>1.1102414647669699E-2</c:v>
                  </c:pt>
                  <c:pt idx="7">
                    <c:v>6.5703444747170882E-3</c:v>
                  </c:pt>
                  <c:pt idx="8">
                    <c:v>6.7545429044926905E-3</c:v>
                  </c:pt>
                  <c:pt idx="9">
                    <c:v>6.6299801048050272E-3</c:v>
                  </c:pt>
                  <c:pt idx="10">
                    <c:v>6.2052518520736124E-3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GUE_PA_HC!$U$382:$U$392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GUE_PA_HC!$Y$343:$Y$353</c:f>
              <c:numCache>
                <c:formatCode>0.0000</c:formatCode>
                <c:ptCount val="11"/>
                <c:pt idx="0">
                  <c:v>0.34265531411995381</c:v>
                </c:pt>
                <c:pt idx="1">
                  <c:v>0.20929870269399156</c:v>
                </c:pt>
                <c:pt idx="2">
                  <c:v>0.22800354543256965</c:v>
                </c:pt>
                <c:pt idx="3">
                  <c:v>0.2010582579033601</c:v>
                </c:pt>
                <c:pt idx="4">
                  <c:v>0.21192554591603771</c:v>
                </c:pt>
                <c:pt idx="5">
                  <c:v>0.11985710832370874</c:v>
                </c:pt>
                <c:pt idx="6">
                  <c:v>0.2026698181622841</c:v>
                </c:pt>
                <c:pt idx="7">
                  <c:v>0.21303215062716555</c:v>
                </c:pt>
                <c:pt idx="8">
                  <c:v>0.19524052536864442</c:v>
                </c:pt>
                <c:pt idx="9">
                  <c:v>0.18253605866079345</c:v>
                </c:pt>
                <c:pt idx="10">
                  <c:v>0.1589481883376756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9E-4B7C-B7F7-15076E86EC4B}"/>
            </c:ext>
          </c:extLst>
        </c:ser>
        <c:ser>
          <c:idx val="9"/>
          <c:order val="8"/>
          <c:tx>
            <c:strRef>
              <c:f>GUE_PA_HC!$U$342</c:f>
              <c:strCache>
                <c:ptCount val="1"/>
                <c:pt idx="0">
                  <c:v>4 / S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GUE_PA_HC!$U$382:$U$392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GUE_PA_HC!$U$343:$U$353</c:f>
              <c:numCache>
                <c:formatCode>0.0000</c:formatCode>
                <c:ptCount val="11"/>
                <c:pt idx="0">
                  <c:v>0.14059788885606081</c:v>
                </c:pt>
                <c:pt idx="1">
                  <c:v>0.29386801321479411</c:v>
                </c:pt>
                <c:pt idx="2">
                  <c:v>3.2940291692406864E-2</c:v>
                </c:pt>
                <c:pt idx="3">
                  <c:v>4.7095162633289465E-2</c:v>
                </c:pt>
                <c:pt idx="4">
                  <c:v>8.0723053369503917E-2</c:v>
                </c:pt>
                <c:pt idx="5">
                  <c:v>5.9493432891944885E-2</c:v>
                </c:pt>
                <c:pt idx="6">
                  <c:v>5.3772393972764627E-2</c:v>
                </c:pt>
                <c:pt idx="7">
                  <c:v>5.2493889500684912E-2</c:v>
                </c:pt>
                <c:pt idx="8">
                  <c:v>5.8112862936799986E-2</c:v>
                </c:pt>
                <c:pt idx="9">
                  <c:v>3.5610109854690986E-2</c:v>
                </c:pt>
                <c:pt idx="10">
                  <c:v>4.2384034809701598E-2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9E-4B7C-B7F7-15076E86EC4B}"/>
            </c:ext>
          </c:extLst>
        </c:ser>
        <c:ser>
          <c:idx val="10"/>
          <c:order val="9"/>
          <c:tx>
            <c:strRef>
              <c:f>GUE_PA_HC!$Z$342</c:f>
              <c:strCache>
                <c:ptCount val="1"/>
                <c:pt idx="0">
                  <c:v>4 / S (HC)</c:v>
                </c:pt>
              </c:strCache>
            </c:strRef>
          </c:tx>
          <c:spPr>
            <a:solidFill>
              <a:srgbClr val="AD8D06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GUE_PA_HC!$Z$369:$Z$379</c:f>
                <c:numCache>
                  <c:formatCode>General</c:formatCode>
                  <c:ptCount val="11"/>
                  <c:pt idx="0">
                    <c:v>6.6090461188839759E-3</c:v>
                  </c:pt>
                  <c:pt idx="1">
                    <c:v>1.9894224085865574E-2</c:v>
                  </c:pt>
                  <c:pt idx="2">
                    <c:v>7.9470351149216927E-4</c:v>
                  </c:pt>
                  <c:pt idx="3">
                    <c:v>3.1727388602408187E-3</c:v>
                  </c:pt>
                  <c:pt idx="4">
                    <c:v>3.764741100746931E-3</c:v>
                  </c:pt>
                  <c:pt idx="5">
                    <c:v>2.9041439760710549E-2</c:v>
                  </c:pt>
                  <c:pt idx="6">
                    <c:v>2.8421863491170192E-3</c:v>
                  </c:pt>
                  <c:pt idx="7">
                    <c:v>1.5655654874773936E-3</c:v>
                  </c:pt>
                  <c:pt idx="8">
                    <c:v>1.9234685077470302E-3</c:v>
                  </c:pt>
                  <c:pt idx="9">
                    <c:v>1.2266295873500567E-3</c:v>
                  </c:pt>
                  <c:pt idx="10">
                    <c:v>1.5846016478253812E-3</c:v>
                  </c:pt>
                </c:numCache>
              </c:numRef>
            </c:plus>
            <c:minus>
              <c:numRef>
                <c:f>GUE_PA_HC!$Z$369:$Z$379</c:f>
                <c:numCache>
                  <c:formatCode>General</c:formatCode>
                  <c:ptCount val="11"/>
                  <c:pt idx="0">
                    <c:v>6.6090461188839759E-3</c:v>
                  </c:pt>
                  <c:pt idx="1">
                    <c:v>1.9894224085865574E-2</c:v>
                  </c:pt>
                  <c:pt idx="2">
                    <c:v>7.9470351149216927E-4</c:v>
                  </c:pt>
                  <c:pt idx="3">
                    <c:v>3.1727388602408187E-3</c:v>
                  </c:pt>
                  <c:pt idx="4">
                    <c:v>3.764741100746931E-3</c:v>
                  </c:pt>
                  <c:pt idx="5">
                    <c:v>2.9041439760710549E-2</c:v>
                  </c:pt>
                  <c:pt idx="6">
                    <c:v>2.8421863491170192E-3</c:v>
                  </c:pt>
                  <c:pt idx="7">
                    <c:v>1.5655654874773936E-3</c:v>
                  </c:pt>
                  <c:pt idx="8">
                    <c:v>1.9234685077470302E-3</c:v>
                  </c:pt>
                  <c:pt idx="9">
                    <c:v>1.2266295873500567E-3</c:v>
                  </c:pt>
                  <c:pt idx="10">
                    <c:v>1.5846016478253812E-3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GUE_PA_HC!$U$382:$U$392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GUE_PA_HC!$Z$343:$Z$353</c:f>
              <c:numCache>
                <c:formatCode>0.0000</c:formatCode>
                <c:ptCount val="11"/>
                <c:pt idx="0">
                  <c:v>0.13105745212323064</c:v>
                </c:pt>
                <c:pt idx="1">
                  <c:v>0.26934543794150034</c:v>
                </c:pt>
                <c:pt idx="2">
                  <c:v>2.8734119416615189E-2</c:v>
                </c:pt>
                <c:pt idx="3">
                  <c:v>3.9574548091644061E-2</c:v>
                </c:pt>
                <c:pt idx="4">
                  <c:v>6.7610324729392171E-2</c:v>
                </c:pt>
                <c:pt idx="5">
                  <c:v>5.5303376218742449E-2</c:v>
                </c:pt>
                <c:pt idx="6">
                  <c:v>4.715962504364643E-2</c:v>
                </c:pt>
                <c:pt idx="7">
                  <c:v>4.603153286239961E-2</c:v>
                </c:pt>
                <c:pt idx="8">
                  <c:v>5.0876957374231147E-2</c:v>
                </c:pt>
                <c:pt idx="9">
                  <c:v>3.0539066906610086E-2</c:v>
                </c:pt>
                <c:pt idx="10">
                  <c:v>3.6115065402487177E-2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9E-4B7C-B7F7-15076E86EC4B}"/>
            </c:ext>
          </c:extLst>
        </c:ser>
        <c:ser>
          <c:idx val="5"/>
          <c:order val="10"/>
          <c:tx>
            <c:strRef>
              <c:f>GUE_PA_HC!$V$5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GUE_PA_HC!$U$382:$U$392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(GUE_PA_HC!$V$8,GUE_PA_HC!$V$33,GUE_PA_HC!$V$58,GUE_PA_HC!$V$83,GUE_PA_HC!$V$108,GUE_PA_HC!$V$133,GUE_PA_HC!$V$158,GUE_PA_HC!$V$183,GUE_PA_HC!$V$208,GUE_PA_HC!$V$233,GUE_PA_HC!$V$258)</c:f>
              <c:numCache>
                <c:formatCode>0.00%</c:formatCode>
                <c:ptCount val="11"/>
                <c:pt idx="0">
                  <c:v>5.3181488544491763E-3</c:v>
                </c:pt>
                <c:pt idx="1">
                  <c:v>4.6251779431118693E-3</c:v>
                </c:pt>
                <c:pt idx="2">
                  <c:v>4.4747656522790983E-3</c:v>
                </c:pt>
                <c:pt idx="3">
                  <c:v>3.2773763798984591E-2</c:v>
                </c:pt>
                <c:pt idx="4">
                  <c:v>4.474765652278976E-3</c:v>
                </c:pt>
                <c:pt idx="5">
                  <c:v>0.31915339367731188</c:v>
                </c:pt>
                <c:pt idx="6">
                  <c:v>2.1788294700652654E-2</c:v>
                </c:pt>
                <c:pt idx="7">
                  <c:v>4.474765652278976E-3</c:v>
                </c:pt>
                <c:pt idx="8">
                  <c:v>5.7640138594182364E-3</c:v>
                </c:pt>
                <c:pt idx="9">
                  <c:v>4.4156751094518156E-3</c:v>
                </c:pt>
                <c:pt idx="10">
                  <c:v>4.4156751094516934E-3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9E-4B7C-B7F7-15076E86E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ACB_A PA Mode Class Px count 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GUE_PA_HC!$Q$342</c:f>
              <c:strCache>
                <c:ptCount val="1"/>
                <c:pt idx="0">
                  <c:v>0 / W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GUE_PA_HC!$Q$356:$Q$366</c:f>
              <c:numCache>
                <c:formatCode>0.00</c:formatCode>
                <c:ptCount val="11"/>
                <c:pt idx="0">
                  <c:v>0.26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0.27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F-4A20-BA4D-30534AC822D5}"/>
            </c:ext>
          </c:extLst>
        </c:ser>
        <c:ser>
          <c:idx val="3"/>
          <c:order val="1"/>
          <c:tx>
            <c:strRef>
              <c:f>GUE_PA_HC!$V$342</c:f>
              <c:strCache>
                <c:ptCount val="1"/>
                <c:pt idx="0">
                  <c:v>0 / W (HC)</c:v>
                </c:pt>
              </c:strCache>
            </c:strRef>
          </c:tx>
          <c:spPr>
            <a:solidFill>
              <a:srgbClr val="1F9DFF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GUE_PA_HC!$V$382:$V$392</c:f>
                <c:numCache>
                  <c:formatCode>General</c:formatCode>
                  <c:ptCount val="11"/>
                  <c:pt idx="0">
                    <c:v>1.2221748170550573E-2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1.42710833118249E-2</c:v>
                  </c:pt>
                  <c:pt idx="7">
                    <c:v>0</c:v>
                  </c:pt>
                  <c:pt idx="8">
                    <c:v>0</c:v>
                  </c:pt>
                  <c:pt idx="9">
                    <c:v>1.7223052559447109E-2</c:v>
                  </c:pt>
                  <c:pt idx="10">
                    <c:v>8.2250867357674829E-3</c:v>
                  </c:pt>
                </c:numCache>
              </c:numRef>
            </c:plus>
            <c:minus>
              <c:numRef>
                <c:f>GUE_PA_HC!$V$382:$V$392</c:f>
                <c:numCache>
                  <c:formatCode>General</c:formatCode>
                  <c:ptCount val="11"/>
                  <c:pt idx="0">
                    <c:v>1.2221748170550573E-2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1.42710833118249E-2</c:v>
                  </c:pt>
                  <c:pt idx="7">
                    <c:v>0</c:v>
                  </c:pt>
                  <c:pt idx="8">
                    <c:v>0</c:v>
                  </c:pt>
                  <c:pt idx="9">
                    <c:v>1.7223052559447109E-2</c:v>
                  </c:pt>
                  <c:pt idx="10">
                    <c:v>8.2250867357674829E-3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GUE_PA_HC!$V$356:$V$366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0.09</c:v>
                </c:pt>
                <c:pt idx="7">
                  <c:v>0</c:v>
                </c:pt>
                <c:pt idx="8">
                  <c:v>0</c:v>
                </c:pt>
                <c:pt idx="9">
                  <c:v>0.38</c:v>
                </c:pt>
                <c:pt idx="10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7F-4A20-BA4D-30534AC822D5}"/>
            </c:ext>
          </c:extLst>
        </c:ser>
        <c:ser>
          <c:idx val="4"/>
          <c:order val="2"/>
          <c:tx>
            <c:strRef>
              <c:f>GUE_PA_HC!$R$342</c:f>
              <c:strCache>
                <c:ptCount val="1"/>
                <c:pt idx="0">
                  <c:v>1 / B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GUE_PA_HC!$R$356:$R$366</c:f>
              <c:numCache>
                <c:formatCode>0.00</c:formatCode>
                <c:ptCount val="11"/>
                <c:pt idx="0">
                  <c:v>4.53</c:v>
                </c:pt>
                <c:pt idx="1">
                  <c:v>3.49</c:v>
                </c:pt>
                <c:pt idx="2">
                  <c:v>2.08</c:v>
                </c:pt>
                <c:pt idx="3">
                  <c:v>9.9</c:v>
                </c:pt>
                <c:pt idx="4">
                  <c:v>5.9</c:v>
                </c:pt>
                <c:pt idx="5">
                  <c:v>6.52</c:v>
                </c:pt>
                <c:pt idx="6">
                  <c:v>40.4</c:v>
                </c:pt>
                <c:pt idx="7">
                  <c:v>21.46</c:v>
                </c:pt>
                <c:pt idx="8">
                  <c:v>18.16</c:v>
                </c:pt>
                <c:pt idx="9">
                  <c:v>25.07</c:v>
                </c:pt>
                <c:pt idx="10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7F-4A20-BA4D-30534AC822D5}"/>
            </c:ext>
          </c:extLst>
        </c:ser>
        <c:ser>
          <c:idx val="6"/>
          <c:order val="3"/>
          <c:tx>
            <c:strRef>
              <c:f>GUE_PA_HC!$W$342</c:f>
              <c:strCache>
                <c:ptCount val="1"/>
                <c:pt idx="0">
                  <c:v>1 / B (HC)</c:v>
                </c:pt>
              </c:strCache>
            </c:strRef>
          </c:tx>
          <c:spPr>
            <a:solidFill>
              <a:srgbClr val="CACDDE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GUE_PA_HC!$W$382:$W$392</c:f>
                <c:numCache>
                  <c:formatCode>General</c:formatCode>
                  <c:ptCount val="11"/>
                  <c:pt idx="0">
                    <c:v>0.21294045850997728</c:v>
                  </c:pt>
                  <c:pt idx="1">
                    <c:v>0.23626539445421865</c:v>
                  </c:pt>
                  <c:pt idx="2">
                    <c:v>5.0181198130821184E-2</c:v>
                  </c:pt>
                  <c:pt idx="3">
                    <c:v>0.66694991502549139</c:v>
                  </c:pt>
                  <c:pt idx="4">
                    <c:v>0.27516268980477238</c:v>
                  </c:pt>
                  <c:pt idx="5">
                    <c:v>3.182707368454273</c:v>
                  </c:pt>
                  <c:pt idx="6">
                    <c:v>2.135376910361948</c:v>
                  </c:pt>
                  <c:pt idx="7">
                    <c:v>0.64001802268484043</c:v>
                  </c:pt>
                  <c:pt idx="8">
                    <c:v>0.60107498298051532</c:v>
                  </c:pt>
                  <c:pt idx="9">
                    <c:v>0.86356385533067803</c:v>
                  </c:pt>
                  <c:pt idx="10">
                    <c:v>2.317978989170836</c:v>
                  </c:pt>
                </c:numCache>
              </c:numRef>
            </c:plus>
            <c:minus>
              <c:numRef>
                <c:f>GUE_PA_HC!$W$382:$W$392</c:f>
                <c:numCache>
                  <c:formatCode>General</c:formatCode>
                  <c:ptCount val="11"/>
                  <c:pt idx="0">
                    <c:v>0.21294045850997728</c:v>
                  </c:pt>
                  <c:pt idx="1">
                    <c:v>0.23626539445421865</c:v>
                  </c:pt>
                  <c:pt idx="2">
                    <c:v>5.0181198130821184E-2</c:v>
                  </c:pt>
                  <c:pt idx="3">
                    <c:v>0.66694991502549139</c:v>
                  </c:pt>
                  <c:pt idx="4">
                    <c:v>0.27516268980477238</c:v>
                  </c:pt>
                  <c:pt idx="5">
                    <c:v>3.182707368454273</c:v>
                  </c:pt>
                  <c:pt idx="6">
                    <c:v>2.135376910361948</c:v>
                  </c:pt>
                  <c:pt idx="7">
                    <c:v>0.64001802268484043</c:v>
                  </c:pt>
                  <c:pt idx="8">
                    <c:v>0.60107498298051532</c:v>
                  </c:pt>
                  <c:pt idx="9">
                    <c:v>0.86356385533067803</c:v>
                  </c:pt>
                  <c:pt idx="10">
                    <c:v>2.317978989170836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GUE_PA_HC!$W$356:$W$366</c:f>
              <c:numCache>
                <c:formatCode>0.00</c:formatCode>
                <c:ptCount val="11"/>
                <c:pt idx="0">
                  <c:v>4.17</c:v>
                </c:pt>
                <c:pt idx="1">
                  <c:v>2.41</c:v>
                </c:pt>
                <c:pt idx="2">
                  <c:v>1.79</c:v>
                </c:pt>
                <c:pt idx="3">
                  <c:v>8.2799999999999994</c:v>
                </c:pt>
                <c:pt idx="4">
                  <c:v>4.9000000000000004</c:v>
                </c:pt>
                <c:pt idx="5">
                  <c:v>5.56</c:v>
                </c:pt>
                <c:pt idx="6">
                  <c:v>33.020000000000003</c:v>
                </c:pt>
                <c:pt idx="7">
                  <c:v>18.28</c:v>
                </c:pt>
                <c:pt idx="8">
                  <c:v>12.49</c:v>
                </c:pt>
                <c:pt idx="9">
                  <c:v>19.059999999999999</c:v>
                </c:pt>
                <c:pt idx="10">
                  <c:v>47.07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7F-4A20-BA4D-30534AC822D5}"/>
            </c:ext>
          </c:extLst>
        </c:ser>
        <c:ser>
          <c:idx val="2"/>
          <c:order val="4"/>
          <c:tx>
            <c:strRef>
              <c:f>GUE_PA_HC!$S$342</c:f>
              <c:strCache>
                <c:ptCount val="1"/>
                <c:pt idx="0">
                  <c:v>2 / A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GUE_PA_HC!$S$356:$S$366</c:f>
              <c:numCache>
                <c:formatCode>0.00</c:formatCode>
                <c:ptCount val="11"/>
                <c:pt idx="0">
                  <c:v>921.5</c:v>
                </c:pt>
                <c:pt idx="1">
                  <c:v>897.34</c:v>
                </c:pt>
                <c:pt idx="2">
                  <c:v>1351.07</c:v>
                </c:pt>
                <c:pt idx="3">
                  <c:v>1312.2</c:v>
                </c:pt>
                <c:pt idx="4">
                  <c:v>1279.71</c:v>
                </c:pt>
                <c:pt idx="5">
                  <c:v>920.19</c:v>
                </c:pt>
                <c:pt idx="6">
                  <c:v>1289.2</c:v>
                </c:pt>
                <c:pt idx="7">
                  <c:v>1323.93</c:v>
                </c:pt>
                <c:pt idx="8">
                  <c:v>1344.59</c:v>
                </c:pt>
                <c:pt idx="9">
                  <c:v>1403.17</c:v>
                </c:pt>
                <c:pt idx="10">
                  <c:v>1403.24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7F-4A20-BA4D-30534AC822D5}"/>
            </c:ext>
          </c:extLst>
        </c:ser>
        <c:ser>
          <c:idx val="0"/>
          <c:order val="5"/>
          <c:tx>
            <c:strRef>
              <c:f>GUE_PA_HC!$X$342</c:f>
              <c:strCache>
                <c:ptCount val="1"/>
                <c:pt idx="0">
                  <c:v>2 / A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GUE_PA_HC!$X$382:$X$392</c:f>
                <c:numCache>
                  <c:formatCode>General</c:formatCode>
                  <c:ptCount val="11"/>
                  <c:pt idx="0">
                    <c:v>43.316695919855199</c:v>
                  </c:pt>
                  <c:pt idx="1">
                    <c:v>60.747962481245992</c:v>
                  </c:pt>
                  <c:pt idx="2">
                    <c:v>32.59534199933104</c:v>
                  </c:pt>
                  <c:pt idx="3">
                    <c:v>88.401179646106044</c:v>
                  </c:pt>
                  <c:pt idx="4">
                    <c:v>59.682787418655131</c:v>
                  </c:pt>
                  <c:pt idx="5">
                    <c:v>449.18642536471435</c:v>
                  </c:pt>
                  <c:pt idx="6">
                    <c:v>68.141780020758006</c:v>
                  </c:pt>
                  <c:pt idx="7">
                    <c:v>39.484578787192028</c:v>
                  </c:pt>
                  <c:pt idx="8">
                    <c:v>44.504372872564481</c:v>
                  </c:pt>
                  <c:pt idx="9">
                    <c:v>48.333741319678794</c:v>
                  </c:pt>
                  <c:pt idx="10">
                    <c:v>52.462594141356192</c:v>
                  </c:pt>
                </c:numCache>
              </c:numRef>
            </c:plus>
            <c:minus>
              <c:numRef>
                <c:f>GUE_PA_HC!$X$382:$X$392</c:f>
                <c:numCache>
                  <c:formatCode>General</c:formatCode>
                  <c:ptCount val="11"/>
                  <c:pt idx="0">
                    <c:v>43.316695919855199</c:v>
                  </c:pt>
                  <c:pt idx="1">
                    <c:v>60.747962481245992</c:v>
                  </c:pt>
                  <c:pt idx="2">
                    <c:v>32.59534199933104</c:v>
                  </c:pt>
                  <c:pt idx="3">
                    <c:v>88.401179646106044</c:v>
                  </c:pt>
                  <c:pt idx="4">
                    <c:v>59.682787418655131</c:v>
                  </c:pt>
                  <c:pt idx="5">
                    <c:v>449.18642536471435</c:v>
                  </c:pt>
                  <c:pt idx="6">
                    <c:v>68.141780020758006</c:v>
                  </c:pt>
                  <c:pt idx="7">
                    <c:v>39.484578787192028</c:v>
                  </c:pt>
                  <c:pt idx="8">
                    <c:v>44.504372872564481</c:v>
                  </c:pt>
                  <c:pt idx="9">
                    <c:v>48.333741319678794</c:v>
                  </c:pt>
                  <c:pt idx="10">
                    <c:v>52.462594141356192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GUE_PA_HC!$X$356:$X$366</c:f>
              <c:numCache>
                <c:formatCode>0.00</c:formatCode>
                <c:ptCount val="11"/>
                <c:pt idx="0">
                  <c:v>888.5</c:v>
                </c:pt>
                <c:pt idx="1">
                  <c:v>842.68</c:v>
                </c:pt>
                <c:pt idx="2">
                  <c:v>1337.12</c:v>
                </c:pt>
                <c:pt idx="3">
                  <c:v>1284.02</c:v>
                </c:pt>
                <c:pt idx="4">
                  <c:v>1249.8499999999999</c:v>
                </c:pt>
                <c:pt idx="5">
                  <c:v>911.23</c:v>
                </c:pt>
                <c:pt idx="6">
                  <c:v>1267.1199999999999</c:v>
                </c:pt>
                <c:pt idx="7">
                  <c:v>1305.74</c:v>
                </c:pt>
                <c:pt idx="8">
                  <c:v>1329.64</c:v>
                </c:pt>
                <c:pt idx="9">
                  <c:v>1381.62</c:v>
                </c:pt>
                <c:pt idx="10">
                  <c:v>1381.91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7F-4A20-BA4D-30534AC822D5}"/>
            </c:ext>
          </c:extLst>
        </c:ser>
        <c:ser>
          <c:idx val="7"/>
          <c:order val="6"/>
          <c:tx>
            <c:strRef>
              <c:f>GUE_PA_HC!$T$342</c:f>
              <c:strCache>
                <c:ptCount val="1"/>
                <c:pt idx="0">
                  <c:v>3 / F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GUE_PA_HC!$T$356:$T$366</c:f>
              <c:numCache>
                <c:formatCode>0.00</c:formatCode>
                <c:ptCount val="11"/>
                <c:pt idx="0">
                  <c:v>663.63</c:v>
                </c:pt>
                <c:pt idx="1">
                  <c:v>405.06</c:v>
                </c:pt>
                <c:pt idx="2">
                  <c:v>438.75</c:v>
                </c:pt>
                <c:pt idx="3">
                  <c:v>390.77</c:v>
                </c:pt>
                <c:pt idx="4">
                  <c:v>417.34</c:v>
                </c:pt>
                <c:pt idx="5">
                  <c:v>229.97</c:v>
                </c:pt>
                <c:pt idx="6">
                  <c:v>391.02</c:v>
                </c:pt>
                <c:pt idx="7">
                  <c:v>410.11</c:v>
                </c:pt>
                <c:pt idx="8">
                  <c:v>379.89</c:v>
                </c:pt>
                <c:pt idx="9">
                  <c:v>358.3</c:v>
                </c:pt>
                <c:pt idx="10">
                  <c:v>308.97000000000003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7F-4A20-BA4D-30534AC822D5}"/>
            </c:ext>
          </c:extLst>
        </c:ser>
        <c:ser>
          <c:idx val="8"/>
          <c:order val="7"/>
          <c:tx>
            <c:strRef>
              <c:f>GUE_PA_HC!$Y$342</c:f>
              <c:strCache>
                <c:ptCount val="1"/>
                <c:pt idx="0">
                  <c:v>3 / F (HC)</c:v>
                </c:pt>
              </c:strCache>
            </c:strRef>
          </c:tx>
          <c:spPr>
            <a:solidFill>
              <a:srgbClr val="14972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GUE_PA_HC!$Y$382:$Y$392</c:f>
                <c:numCache>
                  <c:formatCode>General</c:formatCode>
                  <c:ptCount val="11"/>
                  <c:pt idx="0">
                    <c:v>31.19507207085568</c:v>
                  </c:pt>
                  <c:pt idx="1">
                    <c:v>27.421679277256676</c:v>
                  </c:pt>
                  <c:pt idx="2">
                    <c:v>10.585096480720093</c:v>
                  </c:pt>
                  <c:pt idx="3">
                    <c:v>26.325658413586996</c:v>
                  </c:pt>
                  <c:pt idx="4">
                    <c:v>19.463796095444696</c:v>
                  </c:pt>
                  <c:pt idx="5">
                    <c:v>112.25877508028056</c:v>
                  </c:pt>
                  <c:pt idx="6">
                    <c:v>20.667699987369527</c:v>
                  </c:pt>
                  <c:pt idx="7">
                    <c:v>12.231024756909596</c:v>
                  </c:pt>
                  <c:pt idx="8">
                    <c:v>12.573919343858368</c:v>
                  </c:pt>
                  <c:pt idx="9">
                    <c:v>12.342039464099798</c:v>
                  </c:pt>
                  <c:pt idx="10">
                    <c:v>11.551386585227633</c:v>
                  </c:pt>
                </c:numCache>
              </c:numRef>
            </c:plus>
            <c:minus>
              <c:numRef>
                <c:f>GUE_PA_HC!$Y$382:$Y$392</c:f>
                <c:numCache>
                  <c:formatCode>General</c:formatCode>
                  <c:ptCount val="11"/>
                  <c:pt idx="0">
                    <c:v>31.19507207085568</c:v>
                  </c:pt>
                  <c:pt idx="1">
                    <c:v>27.421679277256676</c:v>
                  </c:pt>
                  <c:pt idx="2">
                    <c:v>10.585096480720093</c:v>
                  </c:pt>
                  <c:pt idx="3">
                    <c:v>26.325658413586996</c:v>
                  </c:pt>
                  <c:pt idx="4">
                    <c:v>19.463796095444696</c:v>
                  </c:pt>
                  <c:pt idx="5">
                    <c:v>112.25877508028056</c:v>
                  </c:pt>
                  <c:pt idx="6">
                    <c:v>20.667699987369527</c:v>
                  </c:pt>
                  <c:pt idx="7">
                    <c:v>12.231024756909596</c:v>
                  </c:pt>
                  <c:pt idx="8">
                    <c:v>12.573919343858368</c:v>
                  </c:pt>
                  <c:pt idx="9">
                    <c:v>12.342039464099798</c:v>
                  </c:pt>
                  <c:pt idx="10">
                    <c:v>11.551386585227633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GUE_PA_HC!$Y$356:$Y$366</c:f>
              <c:numCache>
                <c:formatCode>0.00</c:formatCode>
                <c:ptCount val="11"/>
                <c:pt idx="0">
                  <c:v>637.87</c:v>
                </c:pt>
                <c:pt idx="1">
                  <c:v>389.62</c:v>
                </c:pt>
                <c:pt idx="2">
                  <c:v>424.44</c:v>
                </c:pt>
                <c:pt idx="3">
                  <c:v>374.28</c:v>
                </c:pt>
                <c:pt idx="4">
                  <c:v>394.51</c:v>
                </c:pt>
                <c:pt idx="5">
                  <c:v>223.12</c:v>
                </c:pt>
                <c:pt idx="6">
                  <c:v>377.28</c:v>
                </c:pt>
                <c:pt idx="7">
                  <c:v>396.57</c:v>
                </c:pt>
                <c:pt idx="8">
                  <c:v>363.45</c:v>
                </c:pt>
                <c:pt idx="9">
                  <c:v>339.8</c:v>
                </c:pt>
                <c:pt idx="10">
                  <c:v>295.89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D7F-4A20-BA4D-30534AC822D5}"/>
            </c:ext>
          </c:extLst>
        </c:ser>
        <c:ser>
          <c:idx val="9"/>
          <c:order val="8"/>
          <c:tx>
            <c:strRef>
              <c:f>GUE_PA_HC!$U$342</c:f>
              <c:strCache>
                <c:ptCount val="1"/>
                <c:pt idx="0">
                  <c:v>4 / S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GUE_PA_HC!$U$356:$U$366</c:f>
              <c:numCache>
                <c:formatCode>0.00</c:formatCode>
                <c:ptCount val="11"/>
                <c:pt idx="0">
                  <c:v>261.73</c:v>
                </c:pt>
                <c:pt idx="1">
                  <c:v>547.04999999999995</c:v>
                </c:pt>
                <c:pt idx="2">
                  <c:v>61.32</c:v>
                </c:pt>
                <c:pt idx="3">
                  <c:v>87.67</c:v>
                </c:pt>
                <c:pt idx="4">
                  <c:v>150.27000000000001</c:v>
                </c:pt>
                <c:pt idx="5">
                  <c:v>110.75</c:v>
                </c:pt>
                <c:pt idx="6">
                  <c:v>100.1</c:v>
                </c:pt>
                <c:pt idx="7">
                  <c:v>97.72</c:v>
                </c:pt>
                <c:pt idx="8">
                  <c:v>108.18</c:v>
                </c:pt>
                <c:pt idx="9">
                  <c:v>66.290000000000006</c:v>
                </c:pt>
                <c:pt idx="10">
                  <c:v>78.900000000000006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D7F-4A20-BA4D-30534AC822D5}"/>
            </c:ext>
          </c:extLst>
        </c:ser>
        <c:ser>
          <c:idx val="10"/>
          <c:order val="9"/>
          <c:tx>
            <c:strRef>
              <c:f>GUE_PA_HC!$Z$342</c:f>
              <c:strCache>
                <c:ptCount val="1"/>
                <c:pt idx="0">
                  <c:v>4 / S (HC)</c:v>
                </c:pt>
              </c:strCache>
            </c:strRef>
          </c:tx>
          <c:spPr>
            <a:solidFill>
              <a:srgbClr val="AD8D06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GUE_PA_HC!$Z$382:$Z$392</c:f>
                <c:numCache>
                  <c:formatCode>General</c:formatCode>
                  <c:ptCount val="11"/>
                  <c:pt idx="0">
                    <c:v>12.303069802608466</c:v>
                  </c:pt>
                  <c:pt idx="1">
                    <c:v>37.034092847043055</c:v>
                  </c:pt>
                  <c:pt idx="2">
                    <c:v>1.4793803218182477</c:v>
                  </c:pt>
                  <c:pt idx="3">
                    <c:v>5.9062120252812962</c:v>
                  </c:pt>
                  <c:pt idx="4">
                    <c:v>7.008253796095449</c:v>
                  </c:pt>
                  <c:pt idx="5">
                    <c:v>54.062092186550721</c:v>
                  </c:pt>
                  <c:pt idx="6">
                    <c:v>5.2908719981987868</c:v>
                  </c:pt>
                  <c:pt idx="7">
                    <c:v>2.9143784332135421</c:v>
                  </c:pt>
                  <c:pt idx="8">
                    <c:v>3.5806328005964838</c:v>
                  </c:pt>
                  <c:pt idx="9">
                    <c:v>2.283432308331498</c:v>
                  </c:pt>
                  <c:pt idx="10">
                    <c:v>2.9498151975093383</c:v>
                  </c:pt>
                </c:numCache>
              </c:numRef>
            </c:plus>
            <c:minus>
              <c:numRef>
                <c:f>GUE_PA_HC!$Z$382:$Z$392</c:f>
                <c:numCache>
                  <c:formatCode>General</c:formatCode>
                  <c:ptCount val="11"/>
                  <c:pt idx="0">
                    <c:v>12.303069802608466</c:v>
                  </c:pt>
                  <c:pt idx="1">
                    <c:v>37.034092847043055</c:v>
                  </c:pt>
                  <c:pt idx="2">
                    <c:v>1.4793803218182477</c:v>
                  </c:pt>
                  <c:pt idx="3">
                    <c:v>5.9062120252812962</c:v>
                  </c:pt>
                  <c:pt idx="4">
                    <c:v>7.008253796095449</c:v>
                  </c:pt>
                  <c:pt idx="5">
                    <c:v>54.062092186550721</c:v>
                  </c:pt>
                  <c:pt idx="6">
                    <c:v>5.2908719981987868</c:v>
                  </c:pt>
                  <c:pt idx="7">
                    <c:v>2.9143784332135421</c:v>
                  </c:pt>
                  <c:pt idx="8">
                    <c:v>3.5806328005964838</c:v>
                  </c:pt>
                  <c:pt idx="9">
                    <c:v>2.283432308331498</c:v>
                  </c:pt>
                  <c:pt idx="10">
                    <c:v>2.9498151975093383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GUE_PA_HC!$Z$356:$Z$366</c:f>
              <c:numCache>
                <c:formatCode>0.00</c:formatCode>
                <c:ptCount val="11"/>
                <c:pt idx="0">
                  <c:v>243.97</c:v>
                </c:pt>
                <c:pt idx="1">
                  <c:v>501.4</c:v>
                </c:pt>
                <c:pt idx="2">
                  <c:v>53.49</c:v>
                </c:pt>
                <c:pt idx="3">
                  <c:v>73.67</c:v>
                </c:pt>
                <c:pt idx="4">
                  <c:v>125.86</c:v>
                </c:pt>
                <c:pt idx="5">
                  <c:v>102.95</c:v>
                </c:pt>
                <c:pt idx="6">
                  <c:v>87.79</c:v>
                </c:pt>
                <c:pt idx="7">
                  <c:v>85.69</c:v>
                </c:pt>
                <c:pt idx="8">
                  <c:v>94.71</c:v>
                </c:pt>
                <c:pt idx="9">
                  <c:v>56.85</c:v>
                </c:pt>
                <c:pt idx="10">
                  <c:v>67.23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D7F-4A20-BA4D-30534AC822D5}"/>
            </c:ext>
          </c:extLst>
        </c:ser>
        <c:ser>
          <c:idx val="5"/>
          <c:order val="10"/>
          <c:tx>
            <c:strRef>
              <c:f>GUE_PA_HC!$V$5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(GUE_PA_HC!$V$7,GUE_PA_HC!$V$32,GUE_PA_HC!$V$57,GUE_PA_HC!$V$82,GUE_PA_HC!$V$107,GUE_PA_HC!$V$132,GUE_PA_HC!$V$157,GUE_PA_HC!$V$182,GUE_PA_HC!$V$207,GUE_PA_HC!$V$232,GUE_PA_HC!$V$257)</c:f>
              <c:numCache>
                <c:formatCode>0.00</c:formatCode>
                <c:ptCount val="11"/>
                <c:pt idx="0">
                  <c:v>9.8999999999998636</c:v>
                </c:pt>
                <c:pt idx="1">
                  <c:v>8.6099999999999</c:v>
                </c:pt>
                <c:pt idx="2">
                  <c:v>8.3300000000001546</c:v>
                </c:pt>
                <c:pt idx="3">
                  <c:v>61.009999999999764</c:v>
                </c:pt>
                <c:pt idx="4">
                  <c:v>8.3299999999999272</c:v>
                </c:pt>
                <c:pt idx="5">
                  <c:v>594.11999999999989</c:v>
                </c:pt>
                <c:pt idx="6">
                  <c:v>40.559999999999945</c:v>
                </c:pt>
                <c:pt idx="7">
                  <c:v>8.3299999999999272</c:v>
                </c:pt>
                <c:pt idx="8">
                  <c:v>10.730000000000018</c:v>
                </c:pt>
                <c:pt idx="9">
                  <c:v>8.2200000000000273</c:v>
                </c:pt>
                <c:pt idx="10">
                  <c:v>8.2199999999997999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D7F-4A20-BA4D-30534AC82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ACB_A PA Mode Binary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GUE_PA_HC!$F$3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GUE_PA_HC!$R$440:$R$450</c:f>
              <c:numCache>
                <c:formatCode>0.00%</c:formatCode>
                <c:ptCount val="11"/>
                <c:pt idx="0">
                  <c:v>0.49501759286615993</c:v>
                </c:pt>
                <c:pt idx="1">
                  <c:v>0.48203916091429189</c:v>
                </c:pt>
                <c:pt idx="2">
                  <c:v>0.72577690634148961</c:v>
                </c:pt>
                <c:pt idx="3">
                  <c:v>0.70489645725336414</c:v>
                </c:pt>
                <c:pt idx="4">
                  <c:v>0.68744325964921704</c:v>
                </c:pt>
                <c:pt idx="5">
                  <c:v>0.49431387821976314</c:v>
                </c:pt>
                <c:pt idx="6">
                  <c:v>0.69254116193494675</c:v>
                </c:pt>
                <c:pt idx="7">
                  <c:v>0.71119765786575706</c:v>
                </c:pt>
                <c:pt idx="8">
                  <c:v>0.72229593618221377</c:v>
                </c:pt>
                <c:pt idx="9">
                  <c:v>0.7537643361714701</c:v>
                </c:pt>
                <c:pt idx="10">
                  <c:v>0.75380193924417827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3C-48FD-8085-C804CD6B2FC5}"/>
            </c:ext>
          </c:extLst>
        </c:ser>
        <c:ser>
          <c:idx val="0"/>
          <c:order val="1"/>
          <c:tx>
            <c:strRef>
              <c:f>GUE_PA_HC!$L$4</c:f>
              <c:strCache>
                <c:ptCount val="1"/>
                <c:pt idx="0">
                  <c:v>Agriculture-Grass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GUE_PA_HC!$Y$440:$Y$450</c:f>
                <c:numCache>
                  <c:formatCode>General</c:formatCode>
                  <c:ptCount val="11"/>
                  <c:pt idx="0">
                    <c:v>2.3269155230778223E-2</c:v>
                  </c:pt>
                  <c:pt idx="1">
                    <c:v>3.2633000715127709E-2</c:v>
                  </c:pt>
                  <c:pt idx="2">
                    <c:v>1.7509785930719585E-2</c:v>
                  </c:pt>
                  <c:pt idx="3">
                    <c:v>4.7487942653222343E-2</c:v>
                  </c:pt>
                  <c:pt idx="4">
                    <c:v>3.2060802781904936E-2</c:v>
                  </c:pt>
                  <c:pt idx="5">
                    <c:v>0.2412969973219706</c:v>
                  </c:pt>
                  <c:pt idx="6">
                    <c:v>3.6604861551265348E-2</c:v>
                  </c:pt>
                  <c:pt idx="7">
                    <c:v>2.1210592671264284E-2</c:v>
                  </c:pt>
                  <c:pt idx="8">
                    <c:v>2.3907159556586975E-2</c:v>
                  </c:pt>
                  <c:pt idx="9">
                    <c:v>2.5964245558635971E-2</c:v>
                  </c:pt>
                  <c:pt idx="10">
                    <c:v>2.8182210599423167E-2</c:v>
                  </c:pt>
                </c:numCache>
              </c:numRef>
            </c:plus>
            <c:minus>
              <c:numRef>
                <c:f>GUE_PA_HC!$Y$440:$Y$450</c:f>
                <c:numCache>
                  <c:formatCode>General</c:formatCode>
                  <c:ptCount val="11"/>
                  <c:pt idx="0">
                    <c:v>2.3269155230778223E-2</c:v>
                  </c:pt>
                  <c:pt idx="1">
                    <c:v>3.2633000715127709E-2</c:v>
                  </c:pt>
                  <c:pt idx="2">
                    <c:v>1.7509785930719585E-2</c:v>
                  </c:pt>
                  <c:pt idx="3">
                    <c:v>4.7487942653222343E-2</c:v>
                  </c:pt>
                  <c:pt idx="4">
                    <c:v>3.2060802781904936E-2</c:v>
                  </c:pt>
                  <c:pt idx="5">
                    <c:v>0.2412969973219706</c:v>
                  </c:pt>
                  <c:pt idx="6">
                    <c:v>3.6604861551265348E-2</c:v>
                  </c:pt>
                  <c:pt idx="7">
                    <c:v>2.1210592671264284E-2</c:v>
                  </c:pt>
                  <c:pt idx="8">
                    <c:v>2.3907159556586975E-2</c:v>
                  </c:pt>
                  <c:pt idx="9">
                    <c:v>2.5964245558635971E-2</c:v>
                  </c:pt>
                  <c:pt idx="10">
                    <c:v>2.8182210599423167E-2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GUE_PA_HC!$T$440:$T$450</c:f>
              <c:numCache>
                <c:formatCode>0.00%</c:formatCode>
                <c:ptCount val="11"/>
                <c:pt idx="0">
                  <c:v>0.47729043001799576</c:v>
                </c:pt>
                <c:pt idx="1">
                  <c:v>0.4526765329966963</c:v>
                </c:pt>
                <c:pt idx="2">
                  <c:v>0.71828315113749286</c:v>
                </c:pt>
                <c:pt idx="3">
                  <c:v>0.68975853455453784</c:v>
                </c:pt>
                <c:pt idx="4">
                  <c:v>0.67140286320539333</c:v>
                </c:pt>
                <c:pt idx="5">
                  <c:v>0.48950068491311005</c:v>
                </c:pt>
                <c:pt idx="6">
                  <c:v>0.68068007842926592</c:v>
                </c:pt>
                <c:pt idx="7">
                  <c:v>0.70142623082914779</c:v>
                </c:pt>
                <c:pt idx="8">
                  <c:v>0.71426499422524248</c:v>
                </c:pt>
                <c:pt idx="9">
                  <c:v>0.74218796164486578</c:v>
                </c:pt>
                <c:pt idx="10">
                  <c:v>0.74234374580322859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3C-48FD-8085-C804CD6B2FC5}"/>
            </c:ext>
          </c:extLst>
        </c:ser>
        <c:ser>
          <c:idx val="5"/>
          <c:order val="2"/>
          <c:tx>
            <c:strRef>
              <c:f>GUE_PA_HC!$I$5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GUE_PA_HC!$U$440:$U$450</c:f>
              <c:numCache>
                <c:formatCode>0.00%</c:formatCode>
                <c:ptCount val="11"/>
                <c:pt idx="0">
                  <c:v>5.3181488544491763E-3</c:v>
                </c:pt>
                <c:pt idx="1">
                  <c:v>4.6251779431118693E-3</c:v>
                </c:pt>
                <c:pt idx="2">
                  <c:v>4.4747656522790983E-3</c:v>
                </c:pt>
                <c:pt idx="3">
                  <c:v>3.2773763798984591E-2</c:v>
                </c:pt>
                <c:pt idx="4">
                  <c:v>4.474765652278976E-3</c:v>
                </c:pt>
                <c:pt idx="5">
                  <c:v>0.31915339367731188</c:v>
                </c:pt>
                <c:pt idx="6">
                  <c:v>2.1788294700652654E-2</c:v>
                </c:pt>
                <c:pt idx="7">
                  <c:v>4.474765652278976E-3</c:v>
                </c:pt>
                <c:pt idx="8">
                  <c:v>5.7640138594182364E-3</c:v>
                </c:pt>
                <c:pt idx="9">
                  <c:v>4.4156751094518156E-3</c:v>
                </c:pt>
                <c:pt idx="10">
                  <c:v>4.4156751094516934E-3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3C-48FD-8085-C804CD6B2FC5}"/>
            </c:ext>
          </c:extLst>
        </c:ser>
        <c:ser>
          <c:idx val="1"/>
          <c:order val="3"/>
          <c:tx>
            <c:strRef>
              <c:f>GUE_PA_HC!$K$3</c:f>
              <c:strCache>
                <c:ptCount val="1"/>
                <c:pt idx="0">
                  <c:v>Not Agriculture-Grass</c:v>
                </c:pt>
              </c:strCache>
            </c:strRef>
          </c:tx>
          <c:spPr>
            <a:solidFill>
              <a:schemeClr val="tx1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GUE_PA_HC!$Q$440:$Q$450</c:f>
              <c:numCache>
                <c:formatCode>0.00%</c:formatCode>
                <c:ptCount val="11"/>
                <c:pt idx="0">
                  <c:v>0.49966425827939082</c:v>
                </c:pt>
                <c:pt idx="1">
                  <c:v>0.51333566114259621</c:v>
                </c:pt>
                <c:pt idx="2">
                  <c:v>0.26974832800623139</c:v>
                </c:pt>
                <c:pt idx="3">
                  <c:v>0.26232977894765114</c:v>
                </c:pt>
                <c:pt idx="4">
                  <c:v>0.30808197469850396</c:v>
                </c:pt>
                <c:pt idx="5">
                  <c:v>0.18653272810292498</c:v>
                </c:pt>
                <c:pt idx="6">
                  <c:v>0.28567054336440062</c:v>
                </c:pt>
                <c:pt idx="7">
                  <c:v>0.28432757648196394</c:v>
                </c:pt>
                <c:pt idx="8">
                  <c:v>0.27194004995836807</c:v>
                </c:pt>
                <c:pt idx="9">
                  <c:v>0.2418199887190782</c:v>
                </c:pt>
                <c:pt idx="10">
                  <c:v>0.24178238564636997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3C-48FD-8085-C804CD6B2FC5}"/>
            </c:ext>
          </c:extLst>
        </c:ser>
        <c:ser>
          <c:idx val="3"/>
          <c:order val="4"/>
          <c:tx>
            <c:strRef>
              <c:f>GUE_PA_HC!$K$4</c:f>
              <c:strCache>
                <c:ptCount val="1"/>
                <c:pt idx="0">
                  <c:v>Not Agriculture-Grass (HC)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GUE_PA_HC!$X$440:$X$450</c:f>
                <c:numCache>
                  <c:formatCode>General</c:formatCode>
                  <c:ptCount val="11"/>
                  <c:pt idx="0">
                    <c:v>2.348757974813713E-2</c:v>
                  </c:pt>
                  <c:pt idx="1">
                    <c:v>3.4751705578015067E-2</c:v>
                  </c:pt>
                  <c:pt idx="2">
                    <c:v>6.5078337947780942E-3</c:v>
                  </c:pt>
                  <c:pt idx="3">
                    <c:v>1.7672810482605238E-2</c:v>
                  </c:pt>
                  <c:pt idx="4">
                    <c:v>1.4368248277695962E-2</c:v>
                  </c:pt>
                  <c:pt idx="5">
                    <c:v>9.1055074875928968E-2</c:v>
                  </c:pt>
                  <c:pt idx="6">
                    <c:v>1.5099363422546849E-2</c:v>
                  </c:pt>
                  <c:pt idx="7">
                    <c:v>8.4797191656458219E-3</c:v>
                  </c:pt>
                  <c:pt idx="8">
                    <c:v>9.0009009306413305E-3</c:v>
                  </c:pt>
                  <c:pt idx="9">
                    <c:v>8.3297567512671811E-3</c:v>
                  </c:pt>
                  <c:pt idx="10">
                    <c:v>9.039459514191708E-3</c:v>
                  </c:pt>
                </c:numCache>
              </c:numRef>
            </c:plus>
            <c:minus>
              <c:numRef>
                <c:f>GUE_PA_HC!$X$440:$X$450</c:f>
                <c:numCache>
                  <c:formatCode>General</c:formatCode>
                  <c:ptCount val="11"/>
                  <c:pt idx="0">
                    <c:v>2.348757974813713E-2</c:v>
                  </c:pt>
                  <c:pt idx="1">
                    <c:v>3.4751705578015067E-2</c:v>
                  </c:pt>
                  <c:pt idx="2">
                    <c:v>6.5078337947780942E-3</c:v>
                  </c:pt>
                  <c:pt idx="3">
                    <c:v>1.7672810482605238E-2</c:v>
                  </c:pt>
                  <c:pt idx="4">
                    <c:v>1.4368248277695962E-2</c:v>
                  </c:pt>
                  <c:pt idx="5">
                    <c:v>9.1055074875928968E-2</c:v>
                  </c:pt>
                  <c:pt idx="6">
                    <c:v>1.5099363422546849E-2</c:v>
                  </c:pt>
                  <c:pt idx="7">
                    <c:v>8.4797191656458219E-3</c:v>
                  </c:pt>
                  <c:pt idx="8">
                    <c:v>9.0009009306413305E-3</c:v>
                  </c:pt>
                  <c:pt idx="9">
                    <c:v>8.3297567512671811E-3</c:v>
                  </c:pt>
                  <c:pt idx="10">
                    <c:v>9.039459514191708E-3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GUE_PA_HC!$S$440:$S$450</c:f>
              <c:numCache>
                <c:formatCode>0.00%</c:formatCode>
                <c:ptCount val="11"/>
                <c:pt idx="0">
                  <c:v>0.47595283500308883</c:v>
                </c:pt>
                <c:pt idx="1">
                  <c:v>0.47993876071016095</c:v>
                </c:pt>
                <c:pt idx="2">
                  <c:v>0.25769922913700949</c:v>
                </c:pt>
                <c:pt idx="3">
                  <c:v>0.24508071230963444</c:v>
                </c:pt>
                <c:pt idx="4">
                  <c:v>0.28216808573500579</c:v>
                </c:pt>
                <c:pt idx="5">
                  <c:v>0.17814724288899036</c:v>
                </c:pt>
                <c:pt idx="6">
                  <c:v>0.26761569659692191</c:v>
                </c:pt>
                <c:pt idx="7">
                  <c:v>0.26888345733394214</c:v>
                </c:pt>
                <c:pt idx="8">
                  <c:v>0.25282694528752919</c:v>
                </c:pt>
                <c:pt idx="9">
                  <c:v>0.22351803604523116</c:v>
                </c:pt>
                <c:pt idx="10">
                  <c:v>0.22043458408315653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3C-48FD-8085-C804CD6B2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2.0000000000000004E-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3486126260820186"/>
          <c:w val="0.93372244240575686"/>
          <c:h val="0.125581810867794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ACB_A PA Mode Binary Px count 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GUE_PA_HC!$F$3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GUE_PA_HC!$R$453:$R$463</c:f>
              <c:numCache>
                <c:formatCode>0.00</c:formatCode>
                <c:ptCount val="11"/>
                <c:pt idx="0">
                  <c:v>921.5</c:v>
                </c:pt>
                <c:pt idx="1">
                  <c:v>897.34</c:v>
                </c:pt>
                <c:pt idx="2">
                  <c:v>1351.07</c:v>
                </c:pt>
                <c:pt idx="3">
                  <c:v>1312.2</c:v>
                </c:pt>
                <c:pt idx="4">
                  <c:v>1279.71</c:v>
                </c:pt>
                <c:pt idx="5">
                  <c:v>920.19</c:v>
                </c:pt>
                <c:pt idx="6">
                  <c:v>1289.2</c:v>
                </c:pt>
                <c:pt idx="7">
                  <c:v>1323.93</c:v>
                </c:pt>
                <c:pt idx="8">
                  <c:v>1344.59</c:v>
                </c:pt>
                <c:pt idx="9">
                  <c:v>1403.17</c:v>
                </c:pt>
                <c:pt idx="10">
                  <c:v>1403.24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58-4A43-B47D-F22DEB392E21}"/>
            </c:ext>
          </c:extLst>
        </c:ser>
        <c:ser>
          <c:idx val="0"/>
          <c:order val="1"/>
          <c:tx>
            <c:strRef>
              <c:f>GUE_PA_HC!$L$4</c:f>
              <c:strCache>
                <c:ptCount val="1"/>
                <c:pt idx="0">
                  <c:v>Agriculture-Grass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GUE_PA_HC!$Y$453:$Y$463</c:f>
                <c:numCache>
                  <c:formatCode>General</c:formatCode>
                  <c:ptCount val="11"/>
                  <c:pt idx="0">
                    <c:v>43.316695919855199</c:v>
                  </c:pt>
                  <c:pt idx="1">
                    <c:v>60.747962481245992</c:v>
                  </c:pt>
                  <c:pt idx="2">
                    <c:v>32.59534199933104</c:v>
                  </c:pt>
                  <c:pt idx="3">
                    <c:v>88.401179646106044</c:v>
                  </c:pt>
                  <c:pt idx="4">
                    <c:v>59.682787418655131</c:v>
                  </c:pt>
                  <c:pt idx="5">
                    <c:v>449.18642536471435</c:v>
                  </c:pt>
                  <c:pt idx="6">
                    <c:v>68.141780020758006</c:v>
                  </c:pt>
                  <c:pt idx="7">
                    <c:v>39.484578787192028</c:v>
                  </c:pt>
                  <c:pt idx="8">
                    <c:v>44.504372872564481</c:v>
                  </c:pt>
                  <c:pt idx="9">
                    <c:v>48.333741319678794</c:v>
                  </c:pt>
                  <c:pt idx="10">
                    <c:v>52.462594141356192</c:v>
                  </c:pt>
                </c:numCache>
              </c:numRef>
            </c:plus>
            <c:minus>
              <c:numRef>
                <c:f>GUE_PA_HC!$Y$453:$Y$463</c:f>
                <c:numCache>
                  <c:formatCode>General</c:formatCode>
                  <c:ptCount val="11"/>
                  <c:pt idx="0">
                    <c:v>43.316695919855199</c:v>
                  </c:pt>
                  <c:pt idx="1">
                    <c:v>60.747962481245992</c:v>
                  </c:pt>
                  <c:pt idx="2">
                    <c:v>32.59534199933104</c:v>
                  </c:pt>
                  <c:pt idx="3">
                    <c:v>88.401179646106044</c:v>
                  </c:pt>
                  <c:pt idx="4">
                    <c:v>59.682787418655131</c:v>
                  </c:pt>
                  <c:pt idx="5">
                    <c:v>449.18642536471435</c:v>
                  </c:pt>
                  <c:pt idx="6">
                    <c:v>68.141780020758006</c:v>
                  </c:pt>
                  <c:pt idx="7">
                    <c:v>39.484578787192028</c:v>
                  </c:pt>
                  <c:pt idx="8">
                    <c:v>44.504372872564481</c:v>
                  </c:pt>
                  <c:pt idx="9">
                    <c:v>48.333741319678794</c:v>
                  </c:pt>
                  <c:pt idx="10">
                    <c:v>52.462594141356192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GUE_PA_HC!$T$453:$T$463</c:f>
              <c:numCache>
                <c:formatCode>0.00</c:formatCode>
                <c:ptCount val="11"/>
                <c:pt idx="0">
                  <c:v>888.5</c:v>
                </c:pt>
                <c:pt idx="1">
                  <c:v>842.68</c:v>
                </c:pt>
                <c:pt idx="2">
                  <c:v>1337.12</c:v>
                </c:pt>
                <c:pt idx="3">
                  <c:v>1284.02</c:v>
                </c:pt>
                <c:pt idx="4">
                  <c:v>1249.8499999999999</c:v>
                </c:pt>
                <c:pt idx="5">
                  <c:v>911.23</c:v>
                </c:pt>
                <c:pt idx="6">
                  <c:v>1267.1199999999999</c:v>
                </c:pt>
                <c:pt idx="7">
                  <c:v>1305.74</c:v>
                </c:pt>
                <c:pt idx="8">
                  <c:v>1329.64</c:v>
                </c:pt>
                <c:pt idx="9">
                  <c:v>1381.62</c:v>
                </c:pt>
                <c:pt idx="10">
                  <c:v>1381.91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58-4A43-B47D-F22DEB392E21}"/>
            </c:ext>
          </c:extLst>
        </c:ser>
        <c:ser>
          <c:idx val="5"/>
          <c:order val="2"/>
          <c:tx>
            <c:strRef>
              <c:f>GUE_PA_HC!$I$5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GUE_PA_HC!$C$280:$C$290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GUE_PA_HC!$U$453:$U$463</c:f>
              <c:numCache>
                <c:formatCode>0.00</c:formatCode>
                <c:ptCount val="11"/>
                <c:pt idx="0">
                  <c:v>9.8999999999998636</c:v>
                </c:pt>
                <c:pt idx="1">
                  <c:v>8.6099999999999</c:v>
                </c:pt>
                <c:pt idx="2">
                  <c:v>8.3300000000001546</c:v>
                </c:pt>
                <c:pt idx="3">
                  <c:v>61.009999999999764</c:v>
                </c:pt>
                <c:pt idx="4">
                  <c:v>8.3299999999999272</c:v>
                </c:pt>
                <c:pt idx="5">
                  <c:v>594.11999999999989</c:v>
                </c:pt>
                <c:pt idx="6">
                  <c:v>40.559999999999945</c:v>
                </c:pt>
                <c:pt idx="7">
                  <c:v>8.3299999999999272</c:v>
                </c:pt>
                <c:pt idx="8">
                  <c:v>10.730000000000018</c:v>
                </c:pt>
                <c:pt idx="9">
                  <c:v>8.2200000000000273</c:v>
                </c:pt>
                <c:pt idx="10">
                  <c:v>8.2199999999997999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58-4A43-B47D-F22DEB392E21}"/>
            </c:ext>
          </c:extLst>
        </c:ser>
        <c:ser>
          <c:idx val="1"/>
          <c:order val="3"/>
          <c:tx>
            <c:strRef>
              <c:f>GUE_PA_HC!$K$3</c:f>
              <c:strCache>
                <c:ptCount val="1"/>
                <c:pt idx="0">
                  <c:v>Not Agriculture-Grass</c:v>
                </c:pt>
              </c:strCache>
            </c:strRef>
          </c:tx>
          <c:spPr>
            <a:solidFill>
              <a:schemeClr val="tx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GUE_PA_HC!$C$280:$C$290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GUE_PA_HC!$Q$453:$Q$463</c:f>
              <c:numCache>
                <c:formatCode>0.00</c:formatCode>
                <c:ptCount val="11"/>
                <c:pt idx="0">
                  <c:v>930.15</c:v>
                </c:pt>
                <c:pt idx="1">
                  <c:v>955.59999999999991</c:v>
                </c:pt>
                <c:pt idx="2">
                  <c:v>502.15</c:v>
                </c:pt>
                <c:pt idx="3">
                  <c:v>488.34</c:v>
                </c:pt>
                <c:pt idx="4">
                  <c:v>573.51</c:v>
                </c:pt>
                <c:pt idx="5">
                  <c:v>347.24</c:v>
                </c:pt>
                <c:pt idx="6">
                  <c:v>531.79</c:v>
                </c:pt>
                <c:pt idx="7">
                  <c:v>529.29</c:v>
                </c:pt>
                <c:pt idx="8">
                  <c:v>506.23</c:v>
                </c:pt>
                <c:pt idx="9">
                  <c:v>450.16</c:v>
                </c:pt>
                <c:pt idx="10">
                  <c:v>450.09000000000003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58-4A43-B47D-F22DEB392E21}"/>
            </c:ext>
          </c:extLst>
        </c:ser>
        <c:ser>
          <c:idx val="3"/>
          <c:order val="4"/>
          <c:tx>
            <c:strRef>
              <c:f>GUE_PA_HC!$K$4</c:f>
              <c:strCache>
                <c:ptCount val="1"/>
                <c:pt idx="0">
                  <c:v>Not Agriculture-Grass (HC)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GUE_PA_HC!$X$453:$X$463</c:f>
                <c:numCache>
                  <c:formatCode>General</c:formatCode>
                  <c:ptCount val="11"/>
                  <c:pt idx="0">
                    <c:v>43.723304080144672</c:v>
                  </c:pt>
                  <c:pt idx="1">
                    <c:v>64.692037518753949</c:v>
                  </c:pt>
                  <c:pt idx="2">
                    <c:v>12.114658000669161</c:v>
                  </c:pt>
                  <c:pt idx="3">
                    <c:v>32.898820353893782</c:v>
                  </c:pt>
                  <c:pt idx="4">
                    <c:v>26.747212581344918</c:v>
                  </c:pt>
                  <c:pt idx="5">
                    <c:v>169.50357463528556</c:v>
                  </c:pt>
                  <c:pt idx="6">
                    <c:v>28.108219979242087</c:v>
                  </c:pt>
                  <c:pt idx="7">
                    <c:v>15.785421212807979</c:v>
                  </c:pt>
                  <c:pt idx="8">
                    <c:v>16.755627127435368</c:v>
                  </c:pt>
                  <c:pt idx="9">
                    <c:v>15.506258680321421</c:v>
                  </c:pt>
                  <c:pt idx="10">
                    <c:v>16.827405858643573</c:v>
                  </c:pt>
                </c:numCache>
              </c:numRef>
            </c:plus>
            <c:minus>
              <c:numRef>
                <c:f>GUE_PA_HC!$X$453:$X$463</c:f>
                <c:numCache>
                  <c:formatCode>General</c:formatCode>
                  <c:ptCount val="11"/>
                  <c:pt idx="0">
                    <c:v>43.723304080144672</c:v>
                  </c:pt>
                  <c:pt idx="1">
                    <c:v>64.692037518753949</c:v>
                  </c:pt>
                  <c:pt idx="2">
                    <c:v>12.114658000669161</c:v>
                  </c:pt>
                  <c:pt idx="3">
                    <c:v>32.898820353893782</c:v>
                  </c:pt>
                  <c:pt idx="4">
                    <c:v>26.747212581344918</c:v>
                  </c:pt>
                  <c:pt idx="5">
                    <c:v>169.50357463528556</c:v>
                  </c:pt>
                  <c:pt idx="6">
                    <c:v>28.108219979242087</c:v>
                  </c:pt>
                  <c:pt idx="7">
                    <c:v>15.785421212807979</c:v>
                  </c:pt>
                  <c:pt idx="8">
                    <c:v>16.755627127435368</c:v>
                  </c:pt>
                  <c:pt idx="9">
                    <c:v>15.506258680321421</c:v>
                  </c:pt>
                  <c:pt idx="10">
                    <c:v>16.827405858643573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GUE_PA_HC!$S$453:$S$463</c:f>
              <c:numCache>
                <c:formatCode>0.00</c:formatCode>
                <c:ptCount val="11"/>
                <c:pt idx="0">
                  <c:v>886.01</c:v>
                </c:pt>
                <c:pt idx="1">
                  <c:v>893.43000000000006</c:v>
                </c:pt>
                <c:pt idx="2">
                  <c:v>479.72</c:v>
                </c:pt>
                <c:pt idx="3">
                  <c:v>456.22999999999996</c:v>
                </c:pt>
                <c:pt idx="4">
                  <c:v>525.27</c:v>
                </c:pt>
                <c:pt idx="5">
                  <c:v>331.63</c:v>
                </c:pt>
                <c:pt idx="6">
                  <c:v>498.18</c:v>
                </c:pt>
                <c:pt idx="7">
                  <c:v>500.54</c:v>
                </c:pt>
                <c:pt idx="8">
                  <c:v>470.65</c:v>
                </c:pt>
                <c:pt idx="9">
                  <c:v>416.09000000000003</c:v>
                </c:pt>
                <c:pt idx="10">
                  <c:v>410.35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58-4A43-B47D-F22DEB392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3486126260820186"/>
          <c:w val="0.93372244240575686"/>
          <c:h val="0.125581810867794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ACB_G Agriculture-Grass HC Area</a:t>
            </a:r>
          </a:p>
          <a:p>
            <a:pPr>
              <a:defRPr/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(Equivalent 10m Geom. Res.)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GUE_PA_HC!$AH$316:$AH$323</c:f>
                <c:numCache>
                  <c:formatCode>General</c:formatCode>
                  <c:ptCount val="8"/>
                  <c:pt idx="0">
                    <c:v>1.7158998214267668E-2</c:v>
                  </c:pt>
                  <c:pt idx="1">
                    <c:v>2.4510281549708596E-2</c:v>
                  </c:pt>
                  <c:pt idx="2">
                    <c:v>1.5805795706413557E-2</c:v>
                  </c:pt>
                  <c:pt idx="3">
                    <c:v>2.2528318209024886E-2</c:v>
                  </c:pt>
                  <c:pt idx="4">
                    <c:v>3.3065629536991437E-2</c:v>
                  </c:pt>
                  <c:pt idx="5">
                    <c:v>1.7659756988811809E-2</c:v>
                  </c:pt>
                  <c:pt idx="6">
                    <c:v>2.5502115062366975E-2</c:v>
                  </c:pt>
                  <c:pt idx="7">
                    <c:v>1.6434006110271973E-2</c:v>
                  </c:pt>
                </c:numCache>
              </c:numRef>
            </c:plus>
            <c:minus>
              <c:numRef>
                <c:f>GUE_PA_HC!$AH$316:$AH$323</c:f>
                <c:numCache>
                  <c:formatCode>General</c:formatCode>
                  <c:ptCount val="8"/>
                  <c:pt idx="0">
                    <c:v>1.7158998214267668E-2</c:v>
                  </c:pt>
                  <c:pt idx="1">
                    <c:v>2.4510281549708596E-2</c:v>
                  </c:pt>
                  <c:pt idx="2">
                    <c:v>1.5805795706413557E-2</c:v>
                  </c:pt>
                  <c:pt idx="3">
                    <c:v>2.2528318209024886E-2</c:v>
                  </c:pt>
                  <c:pt idx="4">
                    <c:v>3.3065629536991437E-2</c:v>
                  </c:pt>
                  <c:pt idx="5">
                    <c:v>1.7659756988811809E-2</c:v>
                  </c:pt>
                  <c:pt idx="6">
                    <c:v>2.5502115062366975E-2</c:v>
                  </c:pt>
                  <c:pt idx="7">
                    <c:v>1.6434006110271973E-2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GUE_PA_HC!$AG$305:$AG$312</c:f>
              <c:strCache>
                <c:ptCount val="8"/>
                <c:pt idx="0">
                  <c:v>1977(M)</c:v>
                </c:pt>
                <c:pt idx="1">
                  <c:v>1988(M)</c:v>
                </c:pt>
                <c:pt idx="2">
                  <c:v>1991(M)</c:v>
                </c:pt>
                <c:pt idx="3">
                  <c:v>2001(M)</c:v>
                </c:pt>
                <c:pt idx="4">
                  <c:v>2011(M)</c:v>
                </c:pt>
                <c:pt idx="5">
                  <c:v>2015(M)</c:v>
                </c:pt>
                <c:pt idx="6">
                  <c:v> 2019M</c:v>
                </c:pt>
                <c:pt idx="7">
                  <c:v>2024M</c:v>
                </c:pt>
              </c:strCache>
            </c:strRef>
          </c:cat>
          <c:val>
            <c:numRef>
              <c:f>GUE_PA_HC!$AH$305:$AH$312</c:f>
              <c:numCache>
                <c:formatCode>0.00%</c:formatCode>
                <c:ptCount val="8"/>
                <c:pt idx="0">
                  <c:v>0.26991900734754776</c:v>
                </c:pt>
                <c:pt idx="1">
                  <c:v>0.45299519035224656</c:v>
                </c:pt>
                <c:pt idx="2">
                  <c:v>0.36768040541719632</c:v>
                </c:pt>
                <c:pt idx="3">
                  <c:v>0.36664427735143179</c:v>
                </c:pt>
                <c:pt idx="4">
                  <c:v>0.31717952349183376</c:v>
                </c:pt>
                <c:pt idx="5">
                  <c:v>0.36281060350810307</c:v>
                </c:pt>
                <c:pt idx="6">
                  <c:v>0.36488285963963213</c:v>
                </c:pt>
                <c:pt idx="7">
                  <c:v>0.31917107070034539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35-44B3-9A16-072E59B90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806960"/>
        <c:axId val="802808720"/>
      </c:barChart>
      <c:catAx>
        <c:axId val="80280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8720"/>
        <c:crosses val="autoZero"/>
        <c:auto val="1"/>
        <c:lblAlgn val="ctr"/>
        <c:lblOffset val="100"/>
        <c:noMultiLvlLbl val="0"/>
      </c:catAx>
      <c:valAx>
        <c:axId val="802808720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ACB_G Agriculture-Grass HC Area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GUE_PA_HC!$AD$316:$AD$325</c:f>
                <c:numCache>
                  <c:formatCode>General</c:formatCode>
                  <c:ptCount val="10"/>
                  <c:pt idx="0">
                    <c:v>1.7158998214267668E-2</c:v>
                  </c:pt>
                  <c:pt idx="1">
                    <c:v>2.4510281549708596E-2</c:v>
                  </c:pt>
                  <c:pt idx="2">
                    <c:v>2.052758698716213E-2</c:v>
                  </c:pt>
                  <c:pt idx="3">
                    <c:v>1.5805795706413557E-2</c:v>
                  </c:pt>
                  <c:pt idx="4">
                    <c:v>2.2528318209024886E-2</c:v>
                  </c:pt>
                  <c:pt idx="5">
                    <c:v>3.3065629536991437E-2</c:v>
                  </c:pt>
                  <c:pt idx="6">
                    <c:v>1.7659756988811809E-2</c:v>
                  </c:pt>
                  <c:pt idx="7">
                    <c:v>1.9082527187512879E-2</c:v>
                  </c:pt>
                  <c:pt idx="8">
                    <c:v>2.5502115062366975E-2</c:v>
                  </c:pt>
                  <c:pt idx="9">
                    <c:v>1.6434006110271973E-2</c:v>
                  </c:pt>
                </c:numCache>
              </c:numRef>
            </c:plus>
            <c:minus>
              <c:numRef>
                <c:f>GUE_PA_HC!$AD$316:$AD$325</c:f>
                <c:numCache>
                  <c:formatCode>General</c:formatCode>
                  <c:ptCount val="10"/>
                  <c:pt idx="0">
                    <c:v>1.7158998214267668E-2</c:v>
                  </c:pt>
                  <c:pt idx="1">
                    <c:v>2.4510281549708596E-2</c:v>
                  </c:pt>
                  <c:pt idx="2">
                    <c:v>2.052758698716213E-2</c:v>
                  </c:pt>
                  <c:pt idx="3">
                    <c:v>1.5805795706413557E-2</c:v>
                  </c:pt>
                  <c:pt idx="4">
                    <c:v>2.2528318209024886E-2</c:v>
                  </c:pt>
                  <c:pt idx="5">
                    <c:v>3.3065629536991437E-2</c:v>
                  </c:pt>
                  <c:pt idx="6">
                    <c:v>1.7659756988811809E-2</c:v>
                  </c:pt>
                  <c:pt idx="7">
                    <c:v>1.9082527187512879E-2</c:v>
                  </c:pt>
                  <c:pt idx="8">
                    <c:v>2.5502115062366975E-2</c:v>
                  </c:pt>
                  <c:pt idx="9">
                    <c:v>1.6434006110271973E-2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GUE_PA_HC!$AC$305:$AC$314</c:f>
              <c:strCache>
                <c:ptCount val="10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2011E</c:v>
                </c:pt>
                <c:pt idx="6">
                  <c:v>2015O</c:v>
                </c:pt>
                <c:pt idx="7">
                  <c:v> 2019O</c:v>
                </c:pt>
                <c:pt idx="8">
                  <c:v> 2019M</c:v>
                </c:pt>
                <c:pt idx="9">
                  <c:v>2024M</c:v>
                </c:pt>
              </c:strCache>
            </c:strRef>
          </c:cat>
          <c:val>
            <c:numRef>
              <c:f>GUE_PA_HC!$AD$305:$AD$314</c:f>
              <c:numCache>
                <c:formatCode>0.00%</c:formatCode>
                <c:ptCount val="10"/>
                <c:pt idx="0">
                  <c:v>0.21470184345220755</c:v>
                </c:pt>
                <c:pt idx="1">
                  <c:v>0.36032624526653073</c:v>
                </c:pt>
                <c:pt idx="2">
                  <c:v>0.45482917897715447</c:v>
                </c:pt>
                <c:pt idx="3">
                  <c:v>0.36916899005451292</c:v>
                </c:pt>
                <c:pt idx="4">
                  <c:v>0.36812866713827974</c:v>
                </c:pt>
                <c:pt idx="5">
                  <c:v>0.31846365111730679</c:v>
                </c:pt>
                <c:pt idx="6">
                  <c:v>0.36427947234821689</c:v>
                </c:pt>
                <c:pt idx="7">
                  <c:v>0.36636011818068331</c:v>
                </c:pt>
                <c:pt idx="8">
                  <c:v>0.36488285963963213</c:v>
                </c:pt>
                <c:pt idx="9">
                  <c:v>0.31917107070034539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32-4F37-8278-57D1F6E82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806960"/>
        <c:axId val="802808720"/>
      </c:barChart>
      <c:catAx>
        <c:axId val="80280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8720"/>
        <c:crosses val="autoZero"/>
        <c:auto val="1"/>
        <c:lblAlgn val="ctr"/>
        <c:lblOffset val="100"/>
        <c:noMultiLvlLbl val="0"/>
      </c:catAx>
      <c:valAx>
        <c:axId val="80280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ACB_G PA Mode Class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GUE_PA_HC!$AD$342</c:f>
              <c:strCache>
                <c:ptCount val="1"/>
                <c:pt idx="0">
                  <c:v>0 / W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GUE_PA_HC!$AH$382:$AH$392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GUE_PA_HC!$AD$343:$AD$353</c:f>
              <c:numCache>
                <c:formatCode>0.0000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1.1443552078565188E-3</c:v>
                </c:pt>
                <c:pt idx="10">
                  <c:v>4.9935499979193536E-4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A4-48AC-9465-BDB73955A40C}"/>
            </c:ext>
          </c:extLst>
        </c:ser>
        <c:ser>
          <c:idx val="3"/>
          <c:order val="1"/>
          <c:tx>
            <c:strRef>
              <c:f>GUE_PA_HC!$AI$342</c:f>
              <c:strCache>
                <c:ptCount val="1"/>
                <c:pt idx="0">
                  <c:v>0 / W (HC)</c:v>
                </c:pt>
              </c:strCache>
            </c:strRef>
          </c:tx>
          <c:spPr>
            <a:solidFill>
              <a:srgbClr val="1F9DFF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GUE_PA_HC!$AI$369:$AI$379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7.6792572046547155E-5</c:v>
                  </c:pt>
                  <c:pt idx="10">
                    <c:v>2.4868609498520014E-5</c:v>
                  </c:pt>
                </c:numCache>
              </c:numRef>
            </c:plus>
            <c:minus>
              <c:numRef>
                <c:f>GUE_PA_HC!$AI$369:$AI$379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7.6792572046547155E-5</c:v>
                  </c:pt>
                  <c:pt idx="10">
                    <c:v>2.4868609498520014E-5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GUE_PA_HC!$AH$382:$AH$392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GUE_PA_HC!$AI$343:$AI$353</c:f>
              <c:numCache>
                <c:formatCode>0.0000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1.0195164579085347E-3</c:v>
                </c:pt>
                <c:pt idx="10">
                  <c:v>3.9532270816861553E-4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A4-48AC-9465-BDB73955A40C}"/>
            </c:ext>
          </c:extLst>
        </c:ser>
        <c:ser>
          <c:idx val="4"/>
          <c:order val="2"/>
          <c:tx>
            <c:strRef>
              <c:f>GUE_PA_HC!$AE$342</c:f>
              <c:strCache>
                <c:ptCount val="1"/>
                <c:pt idx="0">
                  <c:v>1 / B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GUE_PA_HC!$AH$382:$AH$392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GUE_PA_HC!$AE$343:$AE$353</c:f>
              <c:numCache>
                <c:formatCode>0.0000</c:formatCode>
                <c:ptCount val="11"/>
                <c:pt idx="0">
                  <c:v>0</c:v>
                </c:pt>
                <c:pt idx="1">
                  <c:v>2.5800008322583328E-3</c:v>
                </c:pt>
                <c:pt idx="2">
                  <c:v>1.3108068744538304E-3</c:v>
                </c:pt>
                <c:pt idx="3">
                  <c:v>6.4500020806458321E-4</c:v>
                </c:pt>
                <c:pt idx="4">
                  <c:v>7.6775831218010068E-3</c:v>
                </c:pt>
                <c:pt idx="5">
                  <c:v>1.737339270109442E-2</c:v>
                </c:pt>
                <c:pt idx="6">
                  <c:v>3.9698722483458862E-2</c:v>
                </c:pt>
                <c:pt idx="7">
                  <c:v>1.0195164579085349E-2</c:v>
                </c:pt>
                <c:pt idx="8">
                  <c:v>1.7955973534185012E-2</c:v>
                </c:pt>
                <c:pt idx="9">
                  <c:v>3.6161624568265986E-2</c:v>
                </c:pt>
                <c:pt idx="10">
                  <c:v>6.9992925804169617E-2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A4-48AC-9465-BDB73955A40C}"/>
            </c:ext>
          </c:extLst>
        </c:ser>
        <c:ser>
          <c:idx val="6"/>
          <c:order val="3"/>
          <c:tx>
            <c:strRef>
              <c:f>GUE_PA_HC!$AJ$342</c:f>
              <c:strCache>
                <c:ptCount val="1"/>
                <c:pt idx="0">
                  <c:v>1 / B (HC)</c:v>
                </c:pt>
              </c:strCache>
            </c:strRef>
          </c:tx>
          <c:spPr>
            <a:solidFill>
              <a:srgbClr val="CACDDE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GUE_PA_HC!$AJ$369:$AJ$379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1.667457569629597E-4</c:v>
                  </c:pt>
                  <c:pt idx="2">
                    <c:v>5.7971937430124362E-5</c:v>
                  </c:pt>
                  <c:pt idx="3">
                    <c:v>2.6799741120101746E-5</c:v>
                  </c:pt>
                  <c:pt idx="4">
                    <c:v>4.5010284363691485E-4</c:v>
                  </c:pt>
                  <c:pt idx="5">
                    <c:v>7.2447226814434211E-3</c:v>
                  </c:pt>
                  <c:pt idx="6">
                    <c:v>3.8910337459343567E-3</c:v>
                  </c:pt>
                  <c:pt idx="7">
                    <c:v>4.7858420023880242E-4</c:v>
                  </c:pt>
                  <c:pt idx="8">
                    <c:v>9.0594240085947937E-4</c:v>
                  </c:pt>
                  <c:pt idx="9">
                    <c:v>2.4266452766708896E-3</c:v>
                  </c:pt>
                  <c:pt idx="10">
                    <c:v>3.4857500980425547E-3</c:v>
                  </c:pt>
                </c:numCache>
              </c:numRef>
            </c:plus>
            <c:minus>
              <c:numRef>
                <c:f>GUE_PA_HC!$AJ$369:$AJ$379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1.667457569629597E-4</c:v>
                  </c:pt>
                  <c:pt idx="2">
                    <c:v>5.7971937430124362E-5</c:v>
                  </c:pt>
                  <c:pt idx="3">
                    <c:v>2.6799741120101746E-5</c:v>
                  </c:pt>
                  <c:pt idx="4">
                    <c:v>4.5010284363691485E-4</c:v>
                  </c:pt>
                  <c:pt idx="5">
                    <c:v>7.2447226814434211E-3</c:v>
                  </c:pt>
                  <c:pt idx="6">
                    <c:v>3.8910337459343567E-3</c:v>
                  </c:pt>
                  <c:pt idx="7">
                    <c:v>4.7858420023880242E-4</c:v>
                  </c:pt>
                  <c:pt idx="8">
                    <c:v>9.0594240085947937E-4</c:v>
                  </c:pt>
                  <c:pt idx="9">
                    <c:v>2.4266452766708896E-3</c:v>
                  </c:pt>
                  <c:pt idx="10">
                    <c:v>3.4857500980425547E-3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GUE_PA_HC!$AH$382:$AH$392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GUE_PA_HC!$AJ$343:$AJ$353</c:f>
              <c:numCache>
                <c:formatCode>0.0000</c:formatCode>
                <c:ptCount val="11"/>
                <c:pt idx="0">
                  <c:v>0</c:v>
                </c:pt>
                <c:pt idx="1">
                  <c:v>1.1235487495318548E-3</c:v>
                </c:pt>
                <c:pt idx="2">
                  <c:v>9.362906246098789E-4</c:v>
                </c:pt>
                <c:pt idx="3">
                  <c:v>3.9532270816861553E-4</c:v>
                </c:pt>
                <c:pt idx="4">
                  <c:v>4.827098331322042E-3</c:v>
                </c:pt>
                <c:pt idx="5">
                  <c:v>1.0798551870500604E-2</c:v>
                </c:pt>
                <c:pt idx="6">
                  <c:v>3.468436602721485E-2</c:v>
                </c:pt>
                <c:pt idx="7">
                  <c:v>5.7217760392825933E-3</c:v>
                </c:pt>
                <c:pt idx="8">
                  <c:v>1.2234197494902418E-2</c:v>
                </c:pt>
                <c:pt idx="9">
                  <c:v>2.7818234780075734E-2</c:v>
                </c:pt>
                <c:pt idx="10">
                  <c:v>6.2107278099121969E-2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A4-48AC-9465-BDB73955A40C}"/>
            </c:ext>
          </c:extLst>
        </c:ser>
        <c:ser>
          <c:idx val="2"/>
          <c:order val="4"/>
          <c:tx>
            <c:strRef>
              <c:f>GUE_PA_HC!$AF$342</c:f>
              <c:strCache>
                <c:ptCount val="1"/>
                <c:pt idx="0">
                  <c:v>2 / A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GUE_PA_HC!$AH$382:$AH$392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GUE_PA_HC!$AF$343:$AF$353</c:f>
              <c:numCache>
                <c:formatCode>0.0000</c:formatCode>
                <c:ptCount val="11"/>
                <c:pt idx="0">
                  <c:v>0.22483458865631892</c:v>
                </c:pt>
                <c:pt idx="1">
                  <c:v>0.37923931588365029</c:v>
                </c:pt>
                <c:pt idx="2">
                  <c:v>0.464150472306604</c:v>
                </c:pt>
                <c:pt idx="3">
                  <c:v>0.38040447754983148</c:v>
                </c:pt>
                <c:pt idx="4">
                  <c:v>0.38427447879821897</c:v>
                </c:pt>
                <c:pt idx="5">
                  <c:v>0.29058299696225709</c:v>
                </c:pt>
                <c:pt idx="6">
                  <c:v>0.33735591527610165</c:v>
                </c:pt>
                <c:pt idx="7">
                  <c:v>0.37620157296824935</c:v>
                </c:pt>
                <c:pt idx="8">
                  <c:v>0.37821979942574174</c:v>
                </c:pt>
                <c:pt idx="9">
                  <c:v>0.38002996129998751</c:v>
                </c:pt>
                <c:pt idx="10">
                  <c:v>0.32999042902917064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A4-48AC-9465-BDB73955A40C}"/>
            </c:ext>
          </c:extLst>
        </c:ser>
        <c:ser>
          <c:idx val="0"/>
          <c:order val="5"/>
          <c:tx>
            <c:strRef>
              <c:f>GUE_PA_HC!$AK$342</c:f>
              <c:strCache>
                <c:ptCount val="1"/>
                <c:pt idx="0">
                  <c:v>2 / A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GUE_PA_HC!$AK$369:$AK$379</c:f>
                <c:numCache>
                  <c:formatCode>General</c:formatCode>
                  <c:ptCount val="11"/>
                  <c:pt idx="0">
                    <c:v>1.7158998214267668E-2</c:v>
                  </c:pt>
                  <c:pt idx="1">
                    <c:v>2.4510281549708596E-2</c:v>
                  </c:pt>
                  <c:pt idx="2">
                    <c:v>2.052758698716213E-2</c:v>
                  </c:pt>
                  <c:pt idx="3">
                    <c:v>1.5805795706413557E-2</c:v>
                  </c:pt>
                  <c:pt idx="4">
                    <c:v>2.2528318209024886E-2</c:v>
                  </c:pt>
                  <c:pt idx="5">
                    <c:v>0.12117340954375909</c:v>
                  </c:pt>
                  <c:pt idx="6">
                    <c:v>3.3065629536991437E-2</c:v>
                  </c:pt>
                  <c:pt idx="7">
                    <c:v>1.7659756988811809E-2</c:v>
                  </c:pt>
                  <c:pt idx="8">
                    <c:v>1.9082527187512879E-2</c:v>
                  </c:pt>
                  <c:pt idx="9">
                    <c:v>2.5502115062366975E-2</c:v>
                  </c:pt>
                  <c:pt idx="10">
                    <c:v>1.6434006110271973E-2</c:v>
                  </c:pt>
                </c:numCache>
              </c:numRef>
            </c:plus>
            <c:minus>
              <c:numRef>
                <c:f>GUE_PA_HC!$AK$369:$AK$379</c:f>
                <c:numCache>
                  <c:formatCode>General</c:formatCode>
                  <c:ptCount val="11"/>
                  <c:pt idx="0">
                    <c:v>1.7158998214267668E-2</c:v>
                  </c:pt>
                  <c:pt idx="1">
                    <c:v>2.4510281549708596E-2</c:v>
                  </c:pt>
                  <c:pt idx="2">
                    <c:v>2.052758698716213E-2</c:v>
                  </c:pt>
                  <c:pt idx="3">
                    <c:v>1.5805795706413557E-2</c:v>
                  </c:pt>
                  <c:pt idx="4">
                    <c:v>2.2528318209024886E-2</c:v>
                  </c:pt>
                  <c:pt idx="5">
                    <c:v>0.12117340954375909</c:v>
                  </c:pt>
                  <c:pt idx="6">
                    <c:v>3.3065629536991437E-2</c:v>
                  </c:pt>
                  <c:pt idx="7">
                    <c:v>1.7659756988811809E-2</c:v>
                  </c:pt>
                  <c:pt idx="8">
                    <c:v>1.9082527187512879E-2</c:v>
                  </c:pt>
                  <c:pt idx="9">
                    <c:v>2.5502115062366975E-2</c:v>
                  </c:pt>
                  <c:pt idx="10">
                    <c:v>1.6434006110271973E-2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GUE_PA_HC!$AH$382:$AH$392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GUE_PA_HC!$AK$343:$AK$353</c:f>
              <c:numCache>
                <c:formatCode>0.0000</c:formatCode>
                <c:ptCount val="11"/>
                <c:pt idx="0">
                  <c:v>0.21470184345220755</c:v>
                </c:pt>
                <c:pt idx="1">
                  <c:v>0.36032624526653073</c:v>
                </c:pt>
                <c:pt idx="2">
                  <c:v>0.45482917897715447</c:v>
                </c:pt>
                <c:pt idx="3">
                  <c:v>0.36916899005451292</c:v>
                </c:pt>
                <c:pt idx="4">
                  <c:v>0.36812866713827974</c:v>
                </c:pt>
                <c:pt idx="5">
                  <c:v>0.2830094461320794</c:v>
                </c:pt>
                <c:pt idx="6">
                  <c:v>0.31846365111730679</c:v>
                </c:pt>
                <c:pt idx="7">
                  <c:v>0.36427947234821689</c:v>
                </c:pt>
                <c:pt idx="8">
                  <c:v>0.36636011818068331</c:v>
                </c:pt>
                <c:pt idx="9">
                  <c:v>0.36488285963963213</c:v>
                </c:pt>
                <c:pt idx="10">
                  <c:v>0.31917107070034539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A4-48AC-9465-BDB73955A40C}"/>
            </c:ext>
          </c:extLst>
        </c:ser>
        <c:ser>
          <c:idx val="7"/>
          <c:order val="6"/>
          <c:tx>
            <c:strRef>
              <c:f>GUE_PA_HC!$AG$342</c:f>
              <c:strCache>
                <c:ptCount val="1"/>
                <c:pt idx="0">
                  <c:v>3 / F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GUE_PA_HC!$AH$382:$AH$392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GUE_PA_HC!$AG$343:$AG$353</c:f>
              <c:numCache>
                <c:formatCode>0.0000</c:formatCode>
                <c:ptCount val="11"/>
                <c:pt idx="0">
                  <c:v>0.40518496941450627</c:v>
                </c:pt>
                <c:pt idx="1">
                  <c:v>0.21349506886937705</c:v>
                </c:pt>
                <c:pt idx="2">
                  <c:v>0.28583912446423371</c:v>
                </c:pt>
                <c:pt idx="3">
                  <c:v>0.37643044400982062</c:v>
                </c:pt>
                <c:pt idx="4">
                  <c:v>0.35949398693354417</c:v>
                </c:pt>
                <c:pt idx="5">
                  <c:v>0.20379925929008363</c:v>
                </c:pt>
                <c:pt idx="6">
                  <c:v>0.36929382880446093</c:v>
                </c:pt>
                <c:pt idx="7">
                  <c:v>0.40582996962257084</c:v>
                </c:pt>
                <c:pt idx="8">
                  <c:v>0.35129624235362655</c:v>
                </c:pt>
                <c:pt idx="9">
                  <c:v>0.381174316507844</c:v>
                </c:pt>
                <c:pt idx="10">
                  <c:v>0.3949898048354209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A4-48AC-9465-BDB73955A40C}"/>
            </c:ext>
          </c:extLst>
        </c:ser>
        <c:ser>
          <c:idx val="8"/>
          <c:order val="7"/>
          <c:tx>
            <c:strRef>
              <c:f>GUE_PA_HC!$AL$342</c:f>
              <c:strCache>
                <c:ptCount val="1"/>
                <c:pt idx="0">
                  <c:v>3 / F (HC)</c:v>
                </c:pt>
              </c:strCache>
            </c:strRef>
          </c:tx>
          <c:spPr>
            <a:solidFill>
              <a:srgbClr val="14972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GUE_PA_HC!$AL$369:$AL$379</c:f>
                <c:numCache>
                  <c:formatCode>General</c:formatCode>
                  <c:ptCount val="11"/>
                  <c:pt idx="0">
                    <c:v>3.0923036389473305E-2</c:v>
                  </c:pt>
                  <c:pt idx="1">
                    <c:v>1.3798211388684912E-2</c:v>
                  </c:pt>
                  <c:pt idx="2">
                    <c:v>1.2641563117699182E-2</c:v>
                  </c:pt>
                  <c:pt idx="3">
                    <c:v>1.5640674720802605E-2</c:v>
                  </c:pt>
                  <c:pt idx="4">
                    <c:v>2.1075547242164268E-2</c:v>
                  </c:pt>
                  <c:pt idx="5">
                    <c:v>8.4984501394896189E-2</c:v>
                  </c:pt>
                  <c:pt idx="6">
                    <c:v>3.6195994736157693E-2</c:v>
                  </c:pt>
                  <c:pt idx="7">
                    <c:v>1.9050581276852736E-2</c:v>
                  </c:pt>
                  <c:pt idx="8">
                    <c:v>1.772413846594606E-2</c:v>
                  </c:pt>
                  <c:pt idx="9">
                    <c:v>2.5578907634413516E-2</c:v>
                  </c:pt>
                  <c:pt idx="10">
                    <c:v>1.9671070113329327E-2</c:v>
                  </c:pt>
                </c:numCache>
              </c:numRef>
            </c:plus>
            <c:minus>
              <c:numRef>
                <c:f>GUE_PA_HC!$AL$369:$AL$379</c:f>
                <c:numCache>
                  <c:formatCode>General</c:formatCode>
                  <c:ptCount val="11"/>
                  <c:pt idx="0">
                    <c:v>3.0923036389473305E-2</c:v>
                  </c:pt>
                  <c:pt idx="1">
                    <c:v>1.3798211388684912E-2</c:v>
                  </c:pt>
                  <c:pt idx="2">
                    <c:v>1.2641563117699182E-2</c:v>
                  </c:pt>
                  <c:pt idx="3">
                    <c:v>1.5640674720802605E-2</c:v>
                  </c:pt>
                  <c:pt idx="4">
                    <c:v>2.1075547242164268E-2</c:v>
                  </c:pt>
                  <c:pt idx="5">
                    <c:v>8.4984501394896189E-2</c:v>
                  </c:pt>
                  <c:pt idx="6">
                    <c:v>3.6195994736157693E-2</c:v>
                  </c:pt>
                  <c:pt idx="7">
                    <c:v>1.9050581276852736E-2</c:v>
                  </c:pt>
                  <c:pt idx="8">
                    <c:v>1.772413846594606E-2</c:v>
                  </c:pt>
                  <c:pt idx="9">
                    <c:v>2.5578907634413516E-2</c:v>
                  </c:pt>
                  <c:pt idx="10">
                    <c:v>1.9671070113329327E-2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GUE_PA_HC!$AH$382:$AH$392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GUE_PA_HC!$AL$343:$AL$353</c:f>
              <c:numCache>
                <c:formatCode>0.0000</c:formatCode>
                <c:ptCount val="11"/>
                <c:pt idx="0">
                  <c:v>0.37285173317797843</c:v>
                </c:pt>
                <c:pt idx="1">
                  <c:v>0.20082393574965668</c:v>
                </c:pt>
                <c:pt idx="2">
                  <c:v>0.26832008655486667</c:v>
                </c:pt>
                <c:pt idx="3">
                  <c:v>0.36583995672256669</c:v>
                </c:pt>
                <c:pt idx="4">
                  <c:v>0.34016478714993137</c:v>
                </c:pt>
                <c:pt idx="5">
                  <c:v>0.19926345137530688</c:v>
                </c:pt>
                <c:pt idx="6">
                  <c:v>0.35433398526902754</c:v>
                </c:pt>
                <c:pt idx="7">
                  <c:v>0.39326286879447381</c:v>
                </c:pt>
                <c:pt idx="8">
                  <c:v>0.3385002704839582</c:v>
                </c:pt>
                <c:pt idx="9">
                  <c:v>0.35922350297532357</c:v>
                </c:pt>
                <c:pt idx="10">
                  <c:v>0.38154883275768797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A4-48AC-9465-BDB73955A40C}"/>
            </c:ext>
          </c:extLst>
        </c:ser>
        <c:ser>
          <c:idx val="9"/>
          <c:order val="8"/>
          <c:tx>
            <c:strRef>
              <c:f>GUE_PA_HC!$AH$342</c:f>
              <c:strCache>
                <c:ptCount val="1"/>
                <c:pt idx="0">
                  <c:v>4 / S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GUE_PA_HC!$AH$382:$AH$392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GUE_PA_HC!$AH$343:$AH$353</c:f>
              <c:numCache>
                <c:formatCode>0.0000</c:formatCode>
                <c:ptCount val="11"/>
                <c:pt idx="0">
                  <c:v>0.36507011776455411</c:v>
                </c:pt>
                <c:pt idx="1">
                  <c:v>0.39977529025009362</c:v>
                </c:pt>
                <c:pt idx="2">
                  <c:v>0.24418459489825642</c:v>
                </c:pt>
                <c:pt idx="3">
                  <c:v>0.23802588323415588</c:v>
                </c:pt>
                <c:pt idx="4">
                  <c:v>0.24405975614830844</c:v>
                </c:pt>
                <c:pt idx="5">
                  <c:v>0.21422329491074027</c:v>
                </c:pt>
                <c:pt idx="6">
                  <c:v>0.21124797137031334</c:v>
                </c:pt>
                <c:pt idx="7">
                  <c:v>0.20327909783196704</c:v>
                </c:pt>
                <c:pt idx="8">
                  <c:v>0.24803378968831924</c:v>
                </c:pt>
                <c:pt idx="9">
                  <c:v>0.19707877325121717</c:v>
                </c:pt>
                <c:pt idx="10">
                  <c:v>0.20011651616661813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A4-48AC-9465-BDB73955A40C}"/>
            </c:ext>
          </c:extLst>
        </c:ser>
        <c:ser>
          <c:idx val="10"/>
          <c:order val="9"/>
          <c:tx>
            <c:strRef>
              <c:f>GUE_PA_HC!$AM$342</c:f>
              <c:strCache>
                <c:ptCount val="1"/>
                <c:pt idx="0">
                  <c:v>4 / S (HC)</c:v>
                </c:pt>
              </c:strCache>
            </c:strRef>
          </c:tx>
          <c:spPr>
            <a:solidFill>
              <a:srgbClr val="AD8D06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GUE_PA_HC!$AM$369:$AM$379</c:f>
                <c:numCache>
                  <c:formatCode>General</c:formatCode>
                  <c:ptCount val="11"/>
                  <c:pt idx="0">
                    <c:v>2.7861538281282665E-2</c:v>
                  </c:pt>
                  <c:pt idx="1">
                    <c:v>2.5837523986179896E-2</c:v>
                  </c:pt>
                  <c:pt idx="2">
                    <c:v>1.0799343772697451E-2</c:v>
                  </c:pt>
                  <c:pt idx="3">
                    <c:v>9.8899689810956135E-3</c:v>
                  </c:pt>
                  <c:pt idx="4">
                    <c:v>1.4308147305856399E-2</c:v>
                  </c:pt>
                  <c:pt idx="5">
                    <c:v>8.9331335003762238E-2</c:v>
                  </c:pt>
                  <c:pt idx="6">
                    <c:v>2.070527548347564E-2</c:v>
                  </c:pt>
                  <c:pt idx="7">
                    <c:v>9.5423829312920386E-3</c:v>
                  </c:pt>
                  <c:pt idx="8">
                    <c:v>1.2514182341420453E-2</c:v>
                  </c:pt>
                  <c:pt idx="9">
                    <c:v>1.322507713499808E-2</c:v>
                  </c:pt>
                  <c:pt idx="10">
                    <c:v>9.9660952565318959E-3</c:v>
                  </c:pt>
                </c:numCache>
              </c:numRef>
            </c:plus>
            <c:minus>
              <c:numRef>
                <c:f>GUE_PA_HC!$AM$369:$AM$379</c:f>
                <c:numCache>
                  <c:formatCode>General</c:formatCode>
                  <c:ptCount val="11"/>
                  <c:pt idx="0">
                    <c:v>2.7861538281282665E-2</c:v>
                  </c:pt>
                  <c:pt idx="1">
                    <c:v>2.5837523986179896E-2</c:v>
                  </c:pt>
                  <c:pt idx="2">
                    <c:v>1.0799343772697451E-2</c:v>
                  </c:pt>
                  <c:pt idx="3">
                    <c:v>9.8899689810956135E-3</c:v>
                  </c:pt>
                  <c:pt idx="4">
                    <c:v>1.4308147305856399E-2</c:v>
                  </c:pt>
                  <c:pt idx="5">
                    <c:v>8.9331335003762238E-2</c:v>
                  </c:pt>
                  <c:pt idx="6">
                    <c:v>2.070527548347564E-2</c:v>
                  </c:pt>
                  <c:pt idx="7">
                    <c:v>9.5423829312920386E-3</c:v>
                  </c:pt>
                  <c:pt idx="8">
                    <c:v>1.2514182341420453E-2</c:v>
                  </c:pt>
                  <c:pt idx="9">
                    <c:v>1.322507713499808E-2</c:v>
                  </c:pt>
                  <c:pt idx="10">
                    <c:v>9.9660952565318959E-3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GUE_PA_HC!$AH$382:$AH$392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GUE_PA_HC!$AM$343:$AM$353</c:f>
              <c:numCache>
                <c:formatCode>0.0000</c:formatCode>
                <c:ptCount val="11"/>
                <c:pt idx="0">
                  <c:v>0.33650285048479045</c:v>
                </c:pt>
                <c:pt idx="1">
                  <c:v>0.37341350755274438</c:v>
                </c:pt>
                <c:pt idx="2">
                  <c:v>0.23188797802838002</c:v>
                </c:pt>
                <c:pt idx="3">
                  <c:v>0.22323249136531981</c:v>
                </c:pt>
                <c:pt idx="4">
                  <c:v>0.22851733177978445</c:v>
                </c:pt>
                <c:pt idx="5">
                  <c:v>0.20419458199825224</c:v>
                </c:pt>
                <c:pt idx="6">
                  <c:v>0.19866006408389164</c:v>
                </c:pt>
                <c:pt idx="7">
                  <c:v>0.19000457742083141</c:v>
                </c:pt>
                <c:pt idx="8">
                  <c:v>0.23267862344471724</c:v>
                </c:pt>
                <c:pt idx="9">
                  <c:v>0.18024634846656401</c:v>
                </c:pt>
                <c:pt idx="10">
                  <c:v>0.18719570554700179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5A4-48AC-9465-BDB73955A40C}"/>
            </c:ext>
          </c:extLst>
        </c:ser>
        <c:ser>
          <c:idx val="5"/>
          <c:order val="10"/>
          <c:tx>
            <c:strRef>
              <c:f>GUE_PA_HC!$AI$5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GUE_PA_HC!$AH$382:$AH$392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(GUE_PA_HC!$AI$8,GUE_PA_HC!$AI$33,GUE_PA_HC!$AI$58,GUE_PA_HC!$AI$83,GUE_PA_HC!$AI$108,GUE_PA_HC!$AI$133,GUE_PA_HC!$AI$158,GUE_PA_HC!$AI$183,GUE_PA_HC!$AI$208,GUE_PA_HC!$AI$233,GUE_PA_HC!$AI$258)</c:f>
              <c:numCache>
                <c:formatCode>0.00%</c:formatCode>
                <c:ptCount val="11"/>
                <c:pt idx="0">
                  <c:v>4.9103241646207265E-3</c:v>
                </c:pt>
                <c:pt idx="1">
                  <c:v>4.9103241646207265E-3</c:v>
                </c:pt>
                <c:pt idx="2">
                  <c:v>4.5150014564519971E-3</c:v>
                </c:pt>
                <c:pt idx="3">
                  <c:v>4.4941949981273524E-3</c:v>
                </c:pt>
                <c:pt idx="4">
                  <c:v>4.4941949981274704E-3</c:v>
                </c:pt>
                <c:pt idx="5">
                  <c:v>0.27402105613582467</c:v>
                </c:pt>
                <c:pt idx="6">
                  <c:v>4.2403562065665173E-2</c:v>
                </c:pt>
                <c:pt idx="7">
                  <c:v>4.4941949981274704E-3</c:v>
                </c:pt>
                <c:pt idx="8">
                  <c:v>4.4941949981274704E-3</c:v>
                </c:pt>
                <c:pt idx="9">
                  <c:v>4.410969164828772E-3</c:v>
                </c:pt>
                <c:pt idx="10">
                  <c:v>4.410969164828772E-3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5A4-48AC-9465-BDB73955A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ACB_G PA Mode Class Px count 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GUE_PA_HC!$AD$342</c:f>
              <c:strCache>
                <c:ptCount val="1"/>
                <c:pt idx="0">
                  <c:v>0 / W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GUE_PA_HC!$AD$356:$AD$366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0.55000000000000004</c:v>
                </c:pt>
                <c:pt idx="10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A7-4542-BED5-B54FDBD57DB8}"/>
            </c:ext>
          </c:extLst>
        </c:ser>
        <c:ser>
          <c:idx val="3"/>
          <c:order val="1"/>
          <c:tx>
            <c:strRef>
              <c:f>GUE_PA_HC!$AI$342</c:f>
              <c:strCache>
                <c:ptCount val="1"/>
                <c:pt idx="0">
                  <c:v>0 / W (HC)</c:v>
                </c:pt>
              </c:strCache>
            </c:strRef>
          </c:tx>
          <c:spPr>
            <a:solidFill>
              <a:srgbClr val="1F9DFF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GUE_PA_HC!$AI$382:$AI$392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3.6908045977011493E-2</c:v>
                  </c:pt>
                  <c:pt idx="10">
                    <c:v>1.1952351097178689E-2</c:v>
                  </c:pt>
                </c:numCache>
              </c:numRef>
            </c:plus>
            <c:minus>
              <c:numRef>
                <c:f>GUE_PA_HC!$AI$382:$AI$392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3.6908045977011493E-2</c:v>
                  </c:pt>
                  <c:pt idx="10">
                    <c:v>1.1952351097178689E-2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GUE_PA_HC!$AI$356:$AI$366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0.49</c:v>
                </c:pt>
                <c:pt idx="10">
                  <c:v>0.19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A7-4542-BED5-B54FDBD57DB8}"/>
            </c:ext>
          </c:extLst>
        </c:ser>
        <c:ser>
          <c:idx val="4"/>
          <c:order val="2"/>
          <c:tx>
            <c:strRef>
              <c:f>GUE_PA_HC!$AE$342</c:f>
              <c:strCache>
                <c:ptCount val="1"/>
                <c:pt idx="0">
                  <c:v>1 / B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GUE_PA_HC!$AE$356:$AE$366</c:f>
              <c:numCache>
                <c:formatCode>0.00</c:formatCode>
                <c:ptCount val="11"/>
                <c:pt idx="0">
                  <c:v>0</c:v>
                </c:pt>
                <c:pt idx="1">
                  <c:v>1.24</c:v>
                </c:pt>
                <c:pt idx="2">
                  <c:v>0.63</c:v>
                </c:pt>
                <c:pt idx="3">
                  <c:v>0.31</c:v>
                </c:pt>
                <c:pt idx="4">
                  <c:v>3.69</c:v>
                </c:pt>
                <c:pt idx="5">
                  <c:v>8.35</c:v>
                </c:pt>
                <c:pt idx="6">
                  <c:v>19.079999999999998</c:v>
                </c:pt>
                <c:pt idx="7">
                  <c:v>4.9000000000000004</c:v>
                </c:pt>
                <c:pt idx="8">
                  <c:v>8.6300000000000008</c:v>
                </c:pt>
                <c:pt idx="9">
                  <c:v>17.38</c:v>
                </c:pt>
                <c:pt idx="10">
                  <c:v>33.64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A7-4542-BED5-B54FDBD57DB8}"/>
            </c:ext>
          </c:extLst>
        </c:ser>
        <c:ser>
          <c:idx val="6"/>
          <c:order val="3"/>
          <c:tx>
            <c:strRef>
              <c:f>GUE_PA_HC!$AJ$342</c:f>
              <c:strCache>
                <c:ptCount val="1"/>
                <c:pt idx="0">
                  <c:v>1 / B (HC)</c:v>
                </c:pt>
              </c:strCache>
            </c:strRef>
          </c:tx>
          <c:spPr>
            <a:solidFill>
              <a:srgbClr val="CACDDE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GUE_PA_HC!$AJ$382:$AJ$392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8.0141345711537693E-2</c:v>
                  </c:pt>
                  <c:pt idx="2">
                    <c:v>2.7862472567666371E-2</c:v>
                  </c:pt>
                  <c:pt idx="3">
                    <c:v>1.2880491577143301E-2</c:v>
                  </c:pt>
                  <c:pt idx="4">
                    <c:v>0.21632842870877403</c:v>
                  </c:pt>
                  <c:pt idx="5">
                    <c:v>3.481958615155337</c:v>
                  </c:pt>
                  <c:pt idx="6">
                    <c:v>1.8701086389709705</c:v>
                  </c:pt>
                  <c:pt idx="7">
                    <c:v>0.23001713831877321</c:v>
                  </c:pt>
                  <c:pt idx="8">
                    <c:v>0.43541403670108297</c:v>
                  </c:pt>
                  <c:pt idx="9">
                    <c:v>1.1662942528735629</c:v>
                  </c:pt>
                  <c:pt idx="10">
                    <c:v>1.6753212121212127</c:v>
                  </c:pt>
                </c:numCache>
              </c:numRef>
            </c:plus>
            <c:minus>
              <c:numRef>
                <c:f>GUE_PA_HC!$AJ$382:$AJ$392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8.0141345711537693E-2</c:v>
                  </c:pt>
                  <c:pt idx="2">
                    <c:v>2.7862472567666371E-2</c:v>
                  </c:pt>
                  <c:pt idx="3">
                    <c:v>1.2880491577143301E-2</c:v>
                  </c:pt>
                  <c:pt idx="4">
                    <c:v>0.21632842870877403</c:v>
                  </c:pt>
                  <c:pt idx="5">
                    <c:v>3.481958615155337</c:v>
                  </c:pt>
                  <c:pt idx="6">
                    <c:v>1.8701086389709705</c:v>
                  </c:pt>
                  <c:pt idx="7">
                    <c:v>0.23001713831877321</c:v>
                  </c:pt>
                  <c:pt idx="8">
                    <c:v>0.43541403670108297</c:v>
                  </c:pt>
                  <c:pt idx="9">
                    <c:v>1.1662942528735629</c:v>
                  </c:pt>
                  <c:pt idx="10">
                    <c:v>1.6753212121212127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GUE_PA_HC!$AJ$356:$AJ$366</c:f>
              <c:numCache>
                <c:formatCode>0.00</c:formatCode>
                <c:ptCount val="11"/>
                <c:pt idx="0">
                  <c:v>0</c:v>
                </c:pt>
                <c:pt idx="1">
                  <c:v>0.54</c:v>
                </c:pt>
                <c:pt idx="2">
                  <c:v>0.45</c:v>
                </c:pt>
                <c:pt idx="3">
                  <c:v>0.19</c:v>
                </c:pt>
                <c:pt idx="4">
                  <c:v>2.3199999999999998</c:v>
                </c:pt>
                <c:pt idx="5">
                  <c:v>5.19</c:v>
                </c:pt>
                <c:pt idx="6">
                  <c:v>16.670000000000002</c:v>
                </c:pt>
                <c:pt idx="7">
                  <c:v>2.75</c:v>
                </c:pt>
                <c:pt idx="8">
                  <c:v>5.88</c:v>
                </c:pt>
                <c:pt idx="9">
                  <c:v>13.37</c:v>
                </c:pt>
                <c:pt idx="10">
                  <c:v>29.85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A7-4542-BED5-B54FDBD57DB8}"/>
            </c:ext>
          </c:extLst>
        </c:ser>
        <c:ser>
          <c:idx val="2"/>
          <c:order val="4"/>
          <c:tx>
            <c:strRef>
              <c:f>GUE_PA_HC!$AF$342</c:f>
              <c:strCache>
                <c:ptCount val="1"/>
                <c:pt idx="0">
                  <c:v>2 / A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GUE_PA_HC!$AF$356:$AF$366</c:f>
              <c:numCache>
                <c:formatCode>0.00</c:formatCode>
                <c:ptCount val="11"/>
                <c:pt idx="0">
                  <c:v>108.06</c:v>
                </c:pt>
                <c:pt idx="1">
                  <c:v>182.27</c:v>
                </c:pt>
                <c:pt idx="2">
                  <c:v>223.08</c:v>
                </c:pt>
                <c:pt idx="3">
                  <c:v>182.83</c:v>
                </c:pt>
                <c:pt idx="4">
                  <c:v>184.69</c:v>
                </c:pt>
                <c:pt idx="5">
                  <c:v>139.66</c:v>
                </c:pt>
                <c:pt idx="6">
                  <c:v>162.13999999999999</c:v>
                </c:pt>
                <c:pt idx="7">
                  <c:v>180.81</c:v>
                </c:pt>
                <c:pt idx="8">
                  <c:v>181.78</c:v>
                </c:pt>
                <c:pt idx="9">
                  <c:v>182.65</c:v>
                </c:pt>
                <c:pt idx="10">
                  <c:v>158.6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A7-4542-BED5-B54FDBD57DB8}"/>
            </c:ext>
          </c:extLst>
        </c:ser>
        <c:ser>
          <c:idx val="0"/>
          <c:order val="5"/>
          <c:tx>
            <c:strRef>
              <c:f>GUE_PA_HC!$AK$342</c:f>
              <c:strCache>
                <c:ptCount val="1"/>
                <c:pt idx="0">
                  <c:v>2 / A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GUE_PA_HC!$AK$382:$AK$392</c:f>
                <c:numCache>
                  <c:formatCode>General</c:formatCode>
                  <c:ptCount val="11"/>
                  <c:pt idx="0">
                    <c:v>8.2469577217413264</c:v>
                  </c:pt>
                  <c:pt idx="1">
                    <c:v>11.780131518420946</c:v>
                  </c:pt>
                  <c:pt idx="2">
                    <c:v>9.8659688577698628</c:v>
                  </c:pt>
                  <c:pt idx="3">
                    <c:v>7.5965815324164838</c:v>
                  </c:pt>
                  <c:pt idx="4">
                    <c:v>10.827560297621542</c:v>
                  </c:pt>
                  <c:pt idx="5">
                    <c:v>58.238364094921494</c:v>
                  </c:pt>
                  <c:pt idx="6">
                    <c:v>15.892002868068824</c:v>
                  </c:pt>
                  <c:pt idx="7">
                    <c:v>8.4876324039627313</c:v>
                  </c:pt>
                  <c:pt idx="8">
                    <c:v>9.1714442168624402</c:v>
                  </c:pt>
                  <c:pt idx="9">
                    <c:v>12.256826541274815</c:v>
                  </c:pt>
                  <c:pt idx="10">
                    <c:v>7.8985120167189153</c:v>
                  </c:pt>
                </c:numCache>
              </c:numRef>
            </c:plus>
            <c:minus>
              <c:numRef>
                <c:f>GUE_PA_HC!$AK$382:$AK$392</c:f>
                <c:numCache>
                  <c:formatCode>General</c:formatCode>
                  <c:ptCount val="11"/>
                  <c:pt idx="0">
                    <c:v>8.2469577217413264</c:v>
                  </c:pt>
                  <c:pt idx="1">
                    <c:v>11.780131518420946</c:v>
                  </c:pt>
                  <c:pt idx="2">
                    <c:v>9.8659688577698628</c:v>
                  </c:pt>
                  <c:pt idx="3">
                    <c:v>7.5965815324164838</c:v>
                  </c:pt>
                  <c:pt idx="4">
                    <c:v>10.827560297621542</c:v>
                  </c:pt>
                  <c:pt idx="5">
                    <c:v>58.238364094921494</c:v>
                  </c:pt>
                  <c:pt idx="6">
                    <c:v>15.892002868068824</c:v>
                  </c:pt>
                  <c:pt idx="7">
                    <c:v>8.4876324039627313</c:v>
                  </c:pt>
                  <c:pt idx="8">
                    <c:v>9.1714442168624402</c:v>
                  </c:pt>
                  <c:pt idx="9">
                    <c:v>12.256826541274815</c:v>
                  </c:pt>
                  <c:pt idx="10">
                    <c:v>7.8985120167189153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GUE_PA_HC!$AK$356:$AK$366</c:f>
              <c:numCache>
                <c:formatCode>0.00</c:formatCode>
                <c:ptCount val="11"/>
                <c:pt idx="0">
                  <c:v>103.19</c:v>
                </c:pt>
                <c:pt idx="1">
                  <c:v>173.18</c:v>
                </c:pt>
                <c:pt idx="2">
                  <c:v>218.6</c:v>
                </c:pt>
                <c:pt idx="3">
                  <c:v>177.43</c:v>
                </c:pt>
                <c:pt idx="4">
                  <c:v>176.93</c:v>
                </c:pt>
                <c:pt idx="5">
                  <c:v>136.02000000000001</c:v>
                </c:pt>
                <c:pt idx="6">
                  <c:v>153.06</c:v>
                </c:pt>
                <c:pt idx="7">
                  <c:v>175.08</c:v>
                </c:pt>
                <c:pt idx="8">
                  <c:v>176.08</c:v>
                </c:pt>
                <c:pt idx="9">
                  <c:v>175.37</c:v>
                </c:pt>
                <c:pt idx="10">
                  <c:v>153.4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A7-4542-BED5-B54FDBD57DB8}"/>
            </c:ext>
          </c:extLst>
        </c:ser>
        <c:ser>
          <c:idx val="7"/>
          <c:order val="6"/>
          <c:tx>
            <c:strRef>
              <c:f>GUE_PA_HC!$AG$342</c:f>
              <c:strCache>
                <c:ptCount val="1"/>
                <c:pt idx="0">
                  <c:v>3 / F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GUE_PA_HC!$AG$356:$AG$366</c:f>
              <c:numCache>
                <c:formatCode>0.00</c:formatCode>
                <c:ptCount val="11"/>
                <c:pt idx="0">
                  <c:v>194.74</c:v>
                </c:pt>
                <c:pt idx="1">
                  <c:v>102.61</c:v>
                </c:pt>
                <c:pt idx="2">
                  <c:v>137.38</c:v>
                </c:pt>
                <c:pt idx="3">
                  <c:v>180.92</c:v>
                </c:pt>
                <c:pt idx="4">
                  <c:v>172.78</c:v>
                </c:pt>
                <c:pt idx="5">
                  <c:v>97.95</c:v>
                </c:pt>
                <c:pt idx="6">
                  <c:v>177.49</c:v>
                </c:pt>
                <c:pt idx="7">
                  <c:v>195.05</c:v>
                </c:pt>
                <c:pt idx="8">
                  <c:v>168.84</c:v>
                </c:pt>
                <c:pt idx="9">
                  <c:v>183.2</c:v>
                </c:pt>
                <c:pt idx="10">
                  <c:v>189.84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A7-4542-BED5-B54FDBD57DB8}"/>
            </c:ext>
          </c:extLst>
        </c:ser>
        <c:ser>
          <c:idx val="8"/>
          <c:order val="7"/>
          <c:tx>
            <c:strRef>
              <c:f>GUE_PA_HC!$AL$342</c:f>
              <c:strCache>
                <c:ptCount val="1"/>
                <c:pt idx="0">
                  <c:v>3 / F (HC)</c:v>
                </c:pt>
              </c:strCache>
            </c:strRef>
          </c:tx>
          <c:spPr>
            <a:solidFill>
              <a:srgbClr val="14972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GUE_PA_HC!$AL$382:$AL$392</c:f>
                <c:numCache>
                  <c:formatCode>General</c:formatCode>
                  <c:ptCount val="11"/>
                  <c:pt idx="0">
                    <c:v>14.862229749508661</c:v>
                  </c:pt>
                  <c:pt idx="1">
                    <c:v>6.6316963576297425</c:v>
                  </c:pt>
                  <c:pt idx="2">
                    <c:v>6.075788065628581</c:v>
                  </c:pt>
                  <c:pt idx="3">
                    <c:v>7.5172210843121476</c:v>
                  </c:pt>
                  <c:pt idx="4">
                    <c:v>10.12932951552899</c:v>
                  </c:pt>
                  <c:pt idx="5">
                    <c:v>40.845251060415009</c:v>
                  </c:pt>
                  <c:pt idx="6">
                    <c:v>17.396518990092112</c:v>
                  </c:pt>
                  <c:pt idx="7">
                    <c:v>9.1560903732809624</c:v>
                  </c:pt>
                  <c:pt idx="8">
                    <c:v>8.5185754295029952</c:v>
                  </c:pt>
                  <c:pt idx="9">
                    <c:v>12.293734587251825</c:v>
                  </c:pt>
                  <c:pt idx="10">
                    <c:v>9.4543097178683411</c:v>
                  </c:pt>
                </c:numCache>
              </c:numRef>
            </c:plus>
            <c:minus>
              <c:numRef>
                <c:f>GUE_PA_HC!$AL$382:$AL$392</c:f>
                <c:numCache>
                  <c:formatCode>General</c:formatCode>
                  <c:ptCount val="11"/>
                  <c:pt idx="0">
                    <c:v>14.862229749508661</c:v>
                  </c:pt>
                  <c:pt idx="1">
                    <c:v>6.6316963576297425</c:v>
                  </c:pt>
                  <c:pt idx="2">
                    <c:v>6.075788065628581</c:v>
                  </c:pt>
                  <c:pt idx="3">
                    <c:v>7.5172210843121476</c:v>
                  </c:pt>
                  <c:pt idx="4">
                    <c:v>10.12932951552899</c:v>
                  </c:pt>
                  <c:pt idx="5">
                    <c:v>40.845251060415009</c:v>
                  </c:pt>
                  <c:pt idx="6">
                    <c:v>17.396518990092112</c:v>
                  </c:pt>
                  <c:pt idx="7">
                    <c:v>9.1560903732809624</c:v>
                  </c:pt>
                  <c:pt idx="8">
                    <c:v>8.5185754295029952</c:v>
                  </c:pt>
                  <c:pt idx="9">
                    <c:v>12.293734587251825</c:v>
                  </c:pt>
                  <c:pt idx="10">
                    <c:v>9.4543097178683411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GUE_PA_HC!$AL$356:$AL$366</c:f>
              <c:numCache>
                <c:formatCode>0.00</c:formatCode>
                <c:ptCount val="11"/>
                <c:pt idx="0">
                  <c:v>179.2</c:v>
                </c:pt>
                <c:pt idx="1">
                  <c:v>96.52</c:v>
                </c:pt>
                <c:pt idx="2">
                  <c:v>128.96</c:v>
                </c:pt>
                <c:pt idx="3">
                  <c:v>175.83</c:v>
                </c:pt>
                <c:pt idx="4">
                  <c:v>163.49</c:v>
                </c:pt>
                <c:pt idx="5">
                  <c:v>95.77</c:v>
                </c:pt>
                <c:pt idx="6">
                  <c:v>170.3</c:v>
                </c:pt>
                <c:pt idx="7">
                  <c:v>189.01</c:v>
                </c:pt>
                <c:pt idx="8">
                  <c:v>162.69</c:v>
                </c:pt>
                <c:pt idx="9">
                  <c:v>172.65</c:v>
                </c:pt>
                <c:pt idx="10">
                  <c:v>183.38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A7-4542-BED5-B54FDBD57DB8}"/>
            </c:ext>
          </c:extLst>
        </c:ser>
        <c:ser>
          <c:idx val="9"/>
          <c:order val="8"/>
          <c:tx>
            <c:strRef>
              <c:f>GUE_PA_HC!$AH$342</c:f>
              <c:strCache>
                <c:ptCount val="1"/>
                <c:pt idx="0">
                  <c:v>4 / S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GUE_PA_HC!$AH$356:$AH$366</c:f>
              <c:numCache>
                <c:formatCode>0.00</c:formatCode>
                <c:ptCount val="11"/>
                <c:pt idx="0">
                  <c:v>175.46</c:v>
                </c:pt>
                <c:pt idx="1">
                  <c:v>192.14</c:v>
                </c:pt>
                <c:pt idx="2">
                  <c:v>117.36</c:v>
                </c:pt>
                <c:pt idx="3">
                  <c:v>114.4</c:v>
                </c:pt>
                <c:pt idx="4">
                  <c:v>117.3</c:v>
                </c:pt>
                <c:pt idx="5">
                  <c:v>102.96</c:v>
                </c:pt>
                <c:pt idx="6">
                  <c:v>101.53</c:v>
                </c:pt>
                <c:pt idx="7">
                  <c:v>97.7</c:v>
                </c:pt>
                <c:pt idx="8">
                  <c:v>119.21</c:v>
                </c:pt>
                <c:pt idx="9">
                  <c:v>94.72</c:v>
                </c:pt>
                <c:pt idx="10">
                  <c:v>96.18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A7-4542-BED5-B54FDBD57DB8}"/>
            </c:ext>
          </c:extLst>
        </c:ser>
        <c:ser>
          <c:idx val="10"/>
          <c:order val="9"/>
          <c:tx>
            <c:strRef>
              <c:f>GUE_PA_HC!$AM$342</c:f>
              <c:strCache>
                <c:ptCount val="1"/>
                <c:pt idx="0">
                  <c:v>4 / S (HC)</c:v>
                </c:pt>
              </c:strCache>
            </c:strRef>
          </c:tx>
          <c:spPr>
            <a:solidFill>
              <a:srgbClr val="AD8D06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GUE_PA_HC!$AM$382:$AM$392</c:f>
                <c:numCache>
                  <c:formatCode>General</c:formatCode>
                  <c:ptCount val="11"/>
                  <c:pt idx="0">
                    <c:v>13.390812528750075</c:v>
                  </c:pt>
                  <c:pt idx="1">
                    <c:v>12.418030778237782</c:v>
                  </c:pt>
                  <c:pt idx="2">
                    <c:v>5.1903806040338489</c:v>
                  </c:pt>
                  <c:pt idx="3">
                    <c:v>4.7533168916941735</c:v>
                  </c:pt>
                  <c:pt idx="4">
                    <c:v>6.8767817581407025</c:v>
                  </c:pt>
                  <c:pt idx="5">
                    <c:v>42.934426229508205</c:v>
                  </c:pt>
                  <c:pt idx="6">
                    <c:v>9.9513695028680615</c:v>
                  </c:pt>
                  <c:pt idx="7">
                    <c:v>4.5862600844375798</c:v>
                  </c:pt>
                  <c:pt idx="8">
                    <c:v>6.0145663169334984</c:v>
                  </c:pt>
                  <c:pt idx="9">
                    <c:v>6.3562365726227776</c:v>
                  </c:pt>
                  <c:pt idx="10">
                    <c:v>4.7899047021943595</c:v>
                  </c:pt>
                </c:numCache>
              </c:numRef>
            </c:plus>
            <c:minus>
              <c:numRef>
                <c:f>GUE_PA_HC!$AM$382:$AM$392</c:f>
                <c:numCache>
                  <c:formatCode>General</c:formatCode>
                  <c:ptCount val="11"/>
                  <c:pt idx="0">
                    <c:v>13.390812528750075</c:v>
                  </c:pt>
                  <c:pt idx="1">
                    <c:v>12.418030778237782</c:v>
                  </c:pt>
                  <c:pt idx="2">
                    <c:v>5.1903806040338489</c:v>
                  </c:pt>
                  <c:pt idx="3">
                    <c:v>4.7533168916941735</c:v>
                  </c:pt>
                  <c:pt idx="4">
                    <c:v>6.8767817581407025</c:v>
                  </c:pt>
                  <c:pt idx="5">
                    <c:v>42.934426229508205</c:v>
                  </c:pt>
                  <c:pt idx="6">
                    <c:v>9.9513695028680615</c:v>
                  </c:pt>
                  <c:pt idx="7">
                    <c:v>4.5862600844375798</c:v>
                  </c:pt>
                  <c:pt idx="8">
                    <c:v>6.0145663169334984</c:v>
                  </c:pt>
                  <c:pt idx="9">
                    <c:v>6.3562365726227776</c:v>
                  </c:pt>
                  <c:pt idx="10">
                    <c:v>4.7899047021943595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GUE_PA_HC!$AM$356:$AM$366</c:f>
              <c:numCache>
                <c:formatCode>0.00</c:formatCode>
                <c:ptCount val="11"/>
                <c:pt idx="0">
                  <c:v>161.72999999999999</c:v>
                </c:pt>
                <c:pt idx="1">
                  <c:v>179.47</c:v>
                </c:pt>
                <c:pt idx="2">
                  <c:v>111.45</c:v>
                </c:pt>
                <c:pt idx="3">
                  <c:v>107.29</c:v>
                </c:pt>
                <c:pt idx="4">
                  <c:v>109.83</c:v>
                </c:pt>
                <c:pt idx="5">
                  <c:v>98.14</c:v>
                </c:pt>
                <c:pt idx="6">
                  <c:v>95.48</c:v>
                </c:pt>
                <c:pt idx="7">
                  <c:v>91.32</c:v>
                </c:pt>
                <c:pt idx="8">
                  <c:v>111.83</c:v>
                </c:pt>
                <c:pt idx="9">
                  <c:v>86.63</c:v>
                </c:pt>
                <c:pt idx="10">
                  <c:v>89.97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6A7-4542-BED5-B54FDBD57DB8}"/>
            </c:ext>
          </c:extLst>
        </c:ser>
        <c:ser>
          <c:idx val="5"/>
          <c:order val="10"/>
          <c:tx>
            <c:strRef>
              <c:f>GUE_PA_HC!$AI$5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(GUE_PA_HC!$AI$7,GUE_PA_HC!$AI$32,GUE_PA_HC!$AI$57,GUE_PA_HC!$AI$82,GUE_PA_HC!$AI$107,GUE_PA_HC!$AI$132,GUE_PA_HC!$AI$157,GUE_PA_HC!$AI$182,GUE_PA_HC!$AI$207,GUE_PA_HC!$AI$232,GUE_PA_HC!$AI$257)</c:f>
              <c:numCache>
                <c:formatCode>0.00</c:formatCode>
                <c:ptCount val="11"/>
                <c:pt idx="0">
                  <c:v>2.3600000000000136</c:v>
                </c:pt>
                <c:pt idx="1">
                  <c:v>2.3600000000000136</c:v>
                </c:pt>
                <c:pt idx="2">
                  <c:v>2.1699999999999591</c:v>
                </c:pt>
                <c:pt idx="3">
                  <c:v>2.1599999999999682</c:v>
                </c:pt>
                <c:pt idx="4">
                  <c:v>2.160000000000025</c:v>
                </c:pt>
                <c:pt idx="5">
                  <c:v>131.70000000000005</c:v>
                </c:pt>
                <c:pt idx="6">
                  <c:v>20.379999999999995</c:v>
                </c:pt>
                <c:pt idx="7">
                  <c:v>2.160000000000025</c:v>
                </c:pt>
                <c:pt idx="8">
                  <c:v>2.160000000000025</c:v>
                </c:pt>
                <c:pt idx="9">
                  <c:v>2.1200000000000045</c:v>
                </c:pt>
                <c:pt idx="10">
                  <c:v>2.1200000000000045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6A7-4542-BED5-B54FDBD57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ACB_G PA Mode Binary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GUE_PA_HC!$F$3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GUE_PA_HC!$AE$440:$AE$450</c:f>
              <c:numCache>
                <c:formatCode>0.00%</c:formatCode>
                <c:ptCount val="11"/>
                <c:pt idx="0">
                  <c:v>0.22483458865631892</c:v>
                </c:pt>
                <c:pt idx="1">
                  <c:v>0.37923931588365029</c:v>
                </c:pt>
                <c:pt idx="2">
                  <c:v>0.464150472306604</c:v>
                </c:pt>
                <c:pt idx="3">
                  <c:v>0.38040447754983148</c:v>
                </c:pt>
                <c:pt idx="4">
                  <c:v>0.38427447879821897</c:v>
                </c:pt>
                <c:pt idx="5">
                  <c:v>0.29058299696225709</c:v>
                </c:pt>
                <c:pt idx="6">
                  <c:v>0.33735591527610165</c:v>
                </c:pt>
                <c:pt idx="7">
                  <c:v>0.37620157296824935</c:v>
                </c:pt>
                <c:pt idx="8">
                  <c:v>0.37821979942574174</c:v>
                </c:pt>
                <c:pt idx="9">
                  <c:v>0.38002996129998751</c:v>
                </c:pt>
                <c:pt idx="10">
                  <c:v>0.32999042902917064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6B-419B-A7A4-C7EF2D3234F0}"/>
            </c:ext>
          </c:extLst>
        </c:ser>
        <c:ser>
          <c:idx val="0"/>
          <c:order val="1"/>
          <c:tx>
            <c:strRef>
              <c:f>GUE_PA_HC!$L$4</c:f>
              <c:strCache>
                <c:ptCount val="1"/>
                <c:pt idx="0">
                  <c:v>Agriculture-Grass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GUE_PA_HC!$AL$440:$AL$450</c:f>
                <c:numCache>
                  <c:formatCode>General</c:formatCode>
                  <c:ptCount val="11"/>
                  <c:pt idx="0">
                    <c:v>1.7158998214267668E-2</c:v>
                  </c:pt>
                  <c:pt idx="1">
                    <c:v>2.4510281549708596E-2</c:v>
                  </c:pt>
                  <c:pt idx="2">
                    <c:v>2.052758698716213E-2</c:v>
                  </c:pt>
                  <c:pt idx="3">
                    <c:v>1.5805795706413557E-2</c:v>
                  </c:pt>
                  <c:pt idx="4">
                    <c:v>2.2528318209024886E-2</c:v>
                  </c:pt>
                  <c:pt idx="5">
                    <c:v>0.12117340954375909</c:v>
                  </c:pt>
                  <c:pt idx="6">
                    <c:v>3.3065629536991437E-2</c:v>
                  </c:pt>
                  <c:pt idx="7">
                    <c:v>1.7659756988811809E-2</c:v>
                  </c:pt>
                  <c:pt idx="8">
                    <c:v>1.9082527187512879E-2</c:v>
                  </c:pt>
                  <c:pt idx="9">
                    <c:v>2.5502115062366975E-2</c:v>
                  </c:pt>
                  <c:pt idx="10">
                    <c:v>1.6434006110271973E-2</c:v>
                  </c:pt>
                </c:numCache>
              </c:numRef>
            </c:plus>
            <c:minus>
              <c:numRef>
                <c:f>GUE_PA_HC!$AL$440:$AL$450</c:f>
                <c:numCache>
                  <c:formatCode>General</c:formatCode>
                  <c:ptCount val="11"/>
                  <c:pt idx="0">
                    <c:v>1.7158998214267668E-2</c:v>
                  </c:pt>
                  <c:pt idx="1">
                    <c:v>2.4510281549708596E-2</c:v>
                  </c:pt>
                  <c:pt idx="2">
                    <c:v>2.052758698716213E-2</c:v>
                  </c:pt>
                  <c:pt idx="3">
                    <c:v>1.5805795706413557E-2</c:v>
                  </c:pt>
                  <c:pt idx="4">
                    <c:v>2.2528318209024886E-2</c:v>
                  </c:pt>
                  <c:pt idx="5">
                    <c:v>0.12117340954375909</c:v>
                  </c:pt>
                  <c:pt idx="6">
                    <c:v>3.3065629536991437E-2</c:v>
                  </c:pt>
                  <c:pt idx="7">
                    <c:v>1.7659756988811809E-2</c:v>
                  </c:pt>
                  <c:pt idx="8">
                    <c:v>1.9082527187512879E-2</c:v>
                  </c:pt>
                  <c:pt idx="9">
                    <c:v>2.5502115062366975E-2</c:v>
                  </c:pt>
                  <c:pt idx="10">
                    <c:v>1.6434006110271973E-2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GUE_PA_HC!$AG$440:$AG$450</c:f>
              <c:numCache>
                <c:formatCode>0.00%</c:formatCode>
                <c:ptCount val="11"/>
                <c:pt idx="0">
                  <c:v>0.21470184345220755</c:v>
                </c:pt>
                <c:pt idx="1">
                  <c:v>0.36032624526653073</c:v>
                </c:pt>
                <c:pt idx="2">
                  <c:v>0.45482917897715447</c:v>
                </c:pt>
                <c:pt idx="3">
                  <c:v>0.36916899005451292</c:v>
                </c:pt>
                <c:pt idx="4">
                  <c:v>0.36812866713827974</c:v>
                </c:pt>
                <c:pt idx="5">
                  <c:v>0.2830094461320794</c:v>
                </c:pt>
                <c:pt idx="6">
                  <c:v>0.31846365111730679</c:v>
                </c:pt>
                <c:pt idx="7">
                  <c:v>0.36427947234821689</c:v>
                </c:pt>
                <c:pt idx="8">
                  <c:v>0.36636011818068331</c:v>
                </c:pt>
                <c:pt idx="9">
                  <c:v>0.36488285963963213</c:v>
                </c:pt>
                <c:pt idx="10">
                  <c:v>0.31917107070034539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6B-419B-A7A4-C7EF2D3234F0}"/>
            </c:ext>
          </c:extLst>
        </c:ser>
        <c:ser>
          <c:idx val="5"/>
          <c:order val="2"/>
          <c:tx>
            <c:strRef>
              <c:f>GUE_PA_HC!$I$5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GUE_PA_HC!$AH$440:$AH$450</c:f>
              <c:numCache>
                <c:formatCode>0.00%</c:formatCode>
                <c:ptCount val="11"/>
                <c:pt idx="0">
                  <c:v>4.9103241646207265E-3</c:v>
                </c:pt>
                <c:pt idx="1">
                  <c:v>4.9103241646207265E-3</c:v>
                </c:pt>
                <c:pt idx="2">
                  <c:v>4.5150014564519971E-3</c:v>
                </c:pt>
                <c:pt idx="3">
                  <c:v>4.4941949981273524E-3</c:v>
                </c:pt>
                <c:pt idx="4">
                  <c:v>4.4941949981274704E-3</c:v>
                </c:pt>
                <c:pt idx="5">
                  <c:v>0.27402105613582467</c:v>
                </c:pt>
                <c:pt idx="6">
                  <c:v>4.2403562065665173E-2</c:v>
                </c:pt>
                <c:pt idx="7">
                  <c:v>4.4941949981274704E-3</c:v>
                </c:pt>
                <c:pt idx="8">
                  <c:v>4.4941949981274704E-3</c:v>
                </c:pt>
                <c:pt idx="9">
                  <c:v>4.410969164828772E-3</c:v>
                </c:pt>
                <c:pt idx="10">
                  <c:v>4.410969164828772E-3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6B-419B-A7A4-C7EF2D3234F0}"/>
            </c:ext>
          </c:extLst>
        </c:ser>
        <c:ser>
          <c:idx val="1"/>
          <c:order val="3"/>
          <c:tx>
            <c:strRef>
              <c:f>GUE_PA_HC!$K$3</c:f>
              <c:strCache>
                <c:ptCount val="1"/>
                <c:pt idx="0">
                  <c:v>Not Agriculture-Grass</c:v>
                </c:pt>
              </c:strCache>
            </c:strRef>
          </c:tx>
          <c:spPr>
            <a:solidFill>
              <a:schemeClr val="tx1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GUE_PA_HC!$AD$440:$AD$450</c:f>
              <c:numCache>
                <c:formatCode>0.00%</c:formatCode>
                <c:ptCount val="11"/>
                <c:pt idx="0">
                  <c:v>0.77025508717906044</c:v>
                </c:pt>
                <c:pt idx="1">
                  <c:v>0.61585035995172899</c:v>
                </c:pt>
                <c:pt idx="2">
                  <c:v>0.53133452623694399</c:v>
                </c:pt>
                <c:pt idx="3">
                  <c:v>0.61510132745204105</c:v>
                </c:pt>
                <c:pt idx="4">
                  <c:v>0.61123132620365361</c:v>
                </c:pt>
                <c:pt idx="5">
                  <c:v>0.43539594690191835</c:v>
                </c:pt>
                <c:pt idx="6">
                  <c:v>0.62024052265823315</c:v>
                </c:pt>
                <c:pt idx="7">
                  <c:v>0.61930423203362328</c:v>
                </c:pt>
                <c:pt idx="8">
                  <c:v>0.61728600557613089</c:v>
                </c:pt>
                <c:pt idx="9">
                  <c:v>0.6155590695351838</c:v>
                </c:pt>
                <c:pt idx="10">
                  <c:v>0.6655986018060005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6B-419B-A7A4-C7EF2D3234F0}"/>
            </c:ext>
          </c:extLst>
        </c:ser>
        <c:ser>
          <c:idx val="3"/>
          <c:order val="4"/>
          <c:tx>
            <c:strRef>
              <c:f>GUE_PA_HC!$K$4</c:f>
              <c:strCache>
                <c:ptCount val="1"/>
                <c:pt idx="0">
                  <c:v>Not Agriculture-Grass (HC)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GUE_PA_HC!$AK$440:$AK$450</c:f>
                <c:numCache>
                  <c:formatCode>General</c:formatCode>
                  <c:ptCount val="11"/>
                  <c:pt idx="0">
                    <c:v>5.8784574670755971E-2</c:v>
                  </c:pt>
                  <c:pt idx="1">
                    <c:v>3.9802481131827772E-2</c:v>
                  </c:pt>
                  <c:pt idx="2">
                    <c:v>2.3498878827826759E-2</c:v>
                  </c:pt>
                  <c:pt idx="3">
                    <c:v>2.5557443443018319E-2</c:v>
                  </c:pt>
                  <c:pt idx="4">
                    <c:v>3.5833797391657582E-2</c:v>
                  </c:pt>
                  <c:pt idx="5">
                    <c:v>0.18156055908010185</c:v>
                  </c:pt>
                  <c:pt idx="6">
                    <c:v>6.0792303965567687E-2</c:v>
                  </c:pt>
                  <c:pt idx="7">
                    <c:v>2.907154840838358E-2</c:v>
                  </c:pt>
                  <c:pt idx="8">
                    <c:v>3.114426320822599E-2</c:v>
                  </c:pt>
                  <c:pt idx="9">
                    <c:v>4.1307422618129037E-2</c:v>
                  </c:pt>
                  <c:pt idx="10">
                    <c:v>3.3147784077402292E-2</c:v>
                  </c:pt>
                </c:numCache>
              </c:numRef>
            </c:plus>
            <c:minus>
              <c:numRef>
                <c:f>GUE_PA_HC!$AK$440:$AK$450</c:f>
                <c:numCache>
                  <c:formatCode>General</c:formatCode>
                  <c:ptCount val="11"/>
                  <c:pt idx="0">
                    <c:v>5.8784574670755971E-2</c:v>
                  </c:pt>
                  <c:pt idx="1">
                    <c:v>3.9802481131827772E-2</c:v>
                  </c:pt>
                  <c:pt idx="2">
                    <c:v>2.3498878827826759E-2</c:v>
                  </c:pt>
                  <c:pt idx="3">
                    <c:v>2.5557443443018319E-2</c:v>
                  </c:pt>
                  <c:pt idx="4">
                    <c:v>3.5833797391657582E-2</c:v>
                  </c:pt>
                  <c:pt idx="5">
                    <c:v>0.18156055908010185</c:v>
                  </c:pt>
                  <c:pt idx="6">
                    <c:v>6.0792303965567687E-2</c:v>
                  </c:pt>
                  <c:pt idx="7">
                    <c:v>2.907154840838358E-2</c:v>
                  </c:pt>
                  <c:pt idx="8">
                    <c:v>3.114426320822599E-2</c:v>
                  </c:pt>
                  <c:pt idx="9">
                    <c:v>4.1307422618129037E-2</c:v>
                  </c:pt>
                  <c:pt idx="10">
                    <c:v>3.3147784077402292E-2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GUE_PA_HC!$AF$440:$AF$450</c:f>
              <c:numCache>
                <c:formatCode>0.00%</c:formatCode>
                <c:ptCount val="11"/>
                <c:pt idx="0">
                  <c:v>0.70935458366276882</c:v>
                </c:pt>
                <c:pt idx="1">
                  <c:v>0.57536099205193281</c:v>
                </c:pt>
                <c:pt idx="2">
                  <c:v>0.5011443552078565</c:v>
                </c:pt>
                <c:pt idx="3">
                  <c:v>0.58946777079605506</c:v>
                </c:pt>
                <c:pt idx="4">
                  <c:v>0.57350921726103776</c:v>
                </c:pt>
                <c:pt idx="5">
                  <c:v>0.41425658524405973</c:v>
                </c:pt>
                <c:pt idx="6">
                  <c:v>0.5876784153801341</c:v>
                </c:pt>
                <c:pt idx="7">
                  <c:v>0.58898922225458783</c:v>
                </c:pt>
                <c:pt idx="8">
                  <c:v>0.58341309142357778</c:v>
                </c:pt>
                <c:pt idx="9">
                  <c:v>0.56830760267987179</c:v>
                </c:pt>
                <c:pt idx="10">
                  <c:v>0.63124713911198027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6B-419B-A7A4-C7EF2D323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2.0000000000000004E-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3486126260820186"/>
          <c:w val="0.93372244240575686"/>
          <c:h val="0.125581810867794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ACB_G PA Mode Binary Px count 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GUE_PA_HC!$F$3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GUE_PA_HC!$C$280:$C$290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GUE_PA_HC!$AE$453:$AE$463</c:f>
              <c:numCache>
                <c:formatCode>0.00</c:formatCode>
                <c:ptCount val="11"/>
                <c:pt idx="0">
                  <c:v>108.06</c:v>
                </c:pt>
                <c:pt idx="1">
                  <c:v>182.27</c:v>
                </c:pt>
                <c:pt idx="2">
                  <c:v>223.08</c:v>
                </c:pt>
                <c:pt idx="3">
                  <c:v>182.83</c:v>
                </c:pt>
                <c:pt idx="4">
                  <c:v>184.69</c:v>
                </c:pt>
                <c:pt idx="5">
                  <c:v>139.66</c:v>
                </c:pt>
                <c:pt idx="6">
                  <c:v>162.13999999999999</c:v>
                </c:pt>
                <c:pt idx="7">
                  <c:v>180.81</c:v>
                </c:pt>
                <c:pt idx="8">
                  <c:v>181.78</c:v>
                </c:pt>
                <c:pt idx="9">
                  <c:v>182.65</c:v>
                </c:pt>
                <c:pt idx="10">
                  <c:v>158.6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9-46D0-ADE1-4BFC92A05B7A}"/>
            </c:ext>
          </c:extLst>
        </c:ser>
        <c:ser>
          <c:idx val="0"/>
          <c:order val="1"/>
          <c:tx>
            <c:strRef>
              <c:f>GUE_PA_HC!$L$4</c:f>
              <c:strCache>
                <c:ptCount val="1"/>
                <c:pt idx="0">
                  <c:v>Agriculture-Grass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GUE_PA_HC!$AL$453:$AL$463</c:f>
                <c:numCache>
                  <c:formatCode>General</c:formatCode>
                  <c:ptCount val="11"/>
                  <c:pt idx="0">
                    <c:v>8.2469577217413264</c:v>
                  </c:pt>
                  <c:pt idx="1">
                    <c:v>11.780131518420946</c:v>
                  </c:pt>
                  <c:pt idx="2">
                    <c:v>9.8659688577698628</c:v>
                  </c:pt>
                  <c:pt idx="3">
                    <c:v>7.5965815324164838</c:v>
                  </c:pt>
                  <c:pt idx="4">
                    <c:v>10.827560297621542</c:v>
                  </c:pt>
                  <c:pt idx="5">
                    <c:v>58.238364094921494</c:v>
                  </c:pt>
                  <c:pt idx="6">
                    <c:v>15.892002868068824</c:v>
                  </c:pt>
                  <c:pt idx="7">
                    <c:v>8.4876324039627313</c:v>
                  </c:pt>
                  <c:pt idx="8">
                    <c:v>9.1714442168624402</c:v>
                  </c:pt>
                  <c:pt idx="9">
                    <c:v>12.256826541274815</c:v>
                  </c:pt>
                  <c:pt idx="10">
                    <c:v>7.8985120167189153</c:v>
                  </c:pt>
                </c:numCache>
              </c:numRef>
            </c:plus>
            <c:minus>
              <c:numRef>
                <c:f>GUE_PA_HC!$AL$453:$AL$463</c:f>
                <c:numCache>
                  <c:formatCode>General</c:formatCode>
                  <c:ptCount val="11"/>
                  <c:pt idx="0">
                    <c:v>8.2469577217413264</c:v>
                  </c:pt>
                  <c:pt idx="1">
                    <c:v>11.780131518420946</c:v>
                  </c:pt>
                  <c:pt idx="2">
                    <c:v>9.8659688577698628</c:v>
                  </c:pt>
                  <c:pt idx="3">
                    <c:v>7.5965815324164838</c:v>
                  </c:pt>
                  <c:pt idx="4">
                    <c:v>10.827560297621542</c:v>
                  </c:pt>
                  <c:pt idx="5">
                    <c:v>58.238364094921494</c:v>
                  </c:pt>
                  <c:pt idx="6">
                    <c:v>15.892002868068824</c:v>
                  </c:pt>
                  <c:pt idx="7">
                    <c:v>8.4876324039627313</c:v>
                  </c:pt>
                  <c:pt idx="8">
                    <c:v>9.1714442168624402</c:v>
                  </c:pt>
                  <c:pt idx="9">
                    <c:v>12.256826541274815</c:v>
                  </c:pt>
                  <c:pt idx="10">
                    <c:v>7.8985120167189153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GUE_PA_HC!$AG$453:$AG$463</c:f>
              <c:numCache>
                <c:formatCode>0.00</c:formatCode>
                <c:ptCount val="11"/>
                <c:pt idx="0">
                  <c:v>103.19</c:v>
                </c:pt>
                <c:pt idx="1">
                  <c:v>173.18</c:v>
                </c:pt>
                <c:pt idx="2">
                  <c:v>218.6</c:v>
                </c:pt>
                <c:pt idx="3">
                  <c:v>177.43</c:v>
                </c:pt>
                <c:pt idx="4">
                  <c:v>176.93</c:v>
                </c:pt>
                <c:pt idx="5">
                  <c:v>136.02000000000001</c:v>
                </c:pt>
                <c:pt idx="6">
                  <c:v>153.06</c:v>
                </c:pt>
                <c:pt idx="7">
                  <c:v>175.08</c:v>
                </c:pt>
                <c:pt idx="8">
                  <c:v>176.08</c:v>
                </c:pt>
                <c:pt idx="9">
                  <c:v>175.37</c:v>
                </c:pt>
                <c:pt idx="10">
                  <c:v>153.4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09-46D0-ADE1-4BFC92A05B7A}"/>
            </c:ext>
          </c:extLst>
        </c:ser>
        <c:ser>
          <c:idx val="5"/>
          <c:order val="2"/>
          <c:tx>
            <c:strRef>
              <c:f>GUE_PA_HC!$I$5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GUE_PA_HC!$C$280:$C$290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GUE_PA_HC!$AH$453:$AH$463</c:f>
              <c:numCache>
                <c:formatCode>0.00</c:formatCode>
                <c:ptCount val="11"/>
                <c:pt idx="0">
                  <c:v>2.3600000000000136</c:v>
                </c:pt>
                <c:pt idx="1">
                  <c:v>2.3600000000000136</c:v>
                </c:pt>
                <c:pt idx="2">
                  <c:v>2.1699999999999591</c:v>
                </c:pt>
                <c:pt idx="3">
                  <c:v>2.1599999999999682</c:v>
                </c:pt>
                <c:pt idx="4">
                  <c:v>2.160000000000025</c:v>
                </c:pt>
                <c:pt idx="5">
                  <c:v>131.70000000000005</c:v>
                </c:pt>
                <c:pt idx="6">
                  <c:v>20.379999999999995</c:v>
                </c:pt>
                <c:pt idx="7">
                  <c:v>2.160000000000025</c:v>
                </c:pt>
                <c:pt idx="8">
                  <c:v>2.160000000000025</c:v>
                </c:pt>
                <c:pt idx="9">
                  <c:v>2.1200000000000045</c:v>
                </c:pt>
                <c:pt idx="10">
                  <c:v>2.1200000000000045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09-46D0-ADE1-4BFC92A05B7A}"/>
            </c:ext>
          </c:extLst>
        </c:ser>
        <c:ser>
          <c:idx val="1"/>
          <c:order val="3"/>
          <c:tx>
            <c:strRef>
              <c:f>GUE_PA_HC!$K$3</c:f>
              <c:strCache>
                <c:ptCount val="1"/>
                <c:pt idx="0">
                  <c:v>Not Agriculture-Grass</c:v>
                </c:pt>
              </c:strCache>
            </c:strRef>
          </c:tx>
          <c:spPr>
            <a:solidFill>
              <a:schemeClr val="tx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GUE_PA_HC!$C$280:$C$290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GUE_PA_HC!$AD$453:$AD$463</c:f>
              <c:numCache>
                <c:formatCode>0.00</c:formatCode>
                <c:ptCount val="11"/>
                <c:pt idx="0">
                  <c:v>370.20000000000005</c:v>
                </c:pt>
                <c:pt idx="1">
                  <c:v>295.99</c:v>
                </c:pt>
                <c:pt idx="2">
                  <c:v>255.37</c:v>
                </c:pt>
                <c:pt idx="3">
                  <c:v>295.63</c:v>
                </c:pt>
                <c:pt idx="4">
                  <c:v>293.77</c:v>
                </c:pt>
                <c:pt idx="5">
                  <c:v>209.26</c:v>
                </c:pt>
                <c:pt idx="6">
                  <c:v>298.10000000000002</c:v>
                </c:pt>
                <c:pt idx="7">
                  <c:v>297.65000000000003</c:v>
                </c:pt>
                <c:pt idx="8">
                  <c:v>296.68</c:v>
                </c:pt>
                <c:pt idx="9">
                  <c:v>295.85000000000002</c:v>
                </c:pt>
                <c:pt idx="10">
                  <c:v>319.89999999999998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09-46D0-ADE1-4BFC92A05B7A}"/>
            </c:ext>
          </c:extLst>
        </c:ser>
        <c:ser>
          <c:idx val="3"/>
          <c:order val="4"/>
          <c:tx>
            <c:strRef>
              <c:f>GUE_PA_HC!$K$4</c:f>
              <c:strCache>
                <c:ptCount val="1"/>
                <c:pt idx="0">
                  <c:v>Not Agriculture-Grass (HC)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GUE_PA_HC!$AK$453:$AK$463</c:f>
                <c:numCache>
                  <c:formatCode>General</c:formatCode>
                  <c:ptCount val="11"/>
                  <c:pt idx="0">
                    <c:v>28.253042278258736</c:v>
                  </c:pt>
                  <c:pt idx="1">
                    <c:v>19.129868481579063</c:v>
                  </c:pt>
                  <c:pt idx="2">
                    <c:v>11.294031142230097</c:v>
                  </c:pt>
                  <c:pt idx="3">
                    <c:v>12.283418467583465</c:v>
                  </c:pt>
                  <c:pt idx="4">
                    <c:v>17.222439702378466</c:v>
                  </c:pt>
                  <c:pt idx="5">
                    <c:v>87.261635905078549</c:v>
                  </c:pt>
                  <c:pt idx="6">
                    <c:v>29.217997131931142</c:v>
                  </c:pt>
                  <c:pt idx="7">
                    <c:v>13.972367596037316</c:v>
                  </c:pt>
                  <c:pt idx="8">
                    <c:v>14.968555783137576</c:v>
                  </c:pt>
                  <c:pt idx="9">
                    <c:v>19.853173458725177</c:v>
                  </c:pt>
                  <c:pt idx="10">
                    <c:v>15.931487983281091</c:v>
                  </c:pt>
                </c:numCache>
              </c:numRef>
            </c:plus>
            <c:minus>
              <c:numRef>
                <c:f>GUE_PA_HC!$AK$453:$AK$463</c:f>
                <c:numCache>
                  <c:formatCode>General</c:formatCode>
                  <c:ptCount val="11"/>
                  <c:pt idx="0">
                    <c:v>28.253042278258736</c:v>
                  </c:pt>
                  <c:pt idx="1">
                    <c:v>19.129868481579063</c:v>
                  </c:pt>
                  <c:pt idx="2">
                    <c:v>11.294031142230097</c:v>
                  </c:pt>
                  <c:pt idx="3">
                    <c:v>12.283418467583465</c:v>
                  </c:pt>
                  <c:pt idx="4">
                    <c:v>17.222439702378466</c:v>
                  </c:pt>
                  <c:pt idx="5">
                    <c:v>87.261635905078549</c:v>
                  </c:pt>
                  <c:pt idx="6">
                    <c:v>29.217997131931142</c:v>
                  </c:pt>
                  <c:pt idx="7">
                    <c:v>13.972367596037316</c:v>
                  </c:pt>
                  <c:pt idx="8">
                    <c:v>14.968555783137576</c:v>
                  </c:pt>
                  <c:pt idx="9">
                    <c:v>19.853173458725177</c:v>
                  </c:pt>
                  <c:pt idx="10">
                    <c:v>15.931487983281091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GUE_PA_HC!$C$280:$C$290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2015O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GUE_PA_HC!$AF$453:$AF$463</c:f>
              <c:numCache>
                <c:formatCode>0.00</c:formatCode>
                <c:ptCount val="11"/>
                <c:pt idx="0">
                  <c:v>340.92999999999995</c:v>
                </c:pt>
                <c:pt idx="1">
                  <c:v>276.52999999999997</c:v>
                </c:pt>
                <c:pt idx="2">
                  <c:v>240.86</c:v>
                </c:pt>
                <c:pt idx="3">
                  <c:v>283.31</c:v>
                </c:pt>
                <c:pt idx="4">
                  <c:v>275.64</c:v>
                </c:pt>
                <c:pt idx="5">
                  <c:v>199.1</c:v>
                </c:pt>
                <c:pt idx="6">
                  <c:v>282.45000000000005</c:v>
                </c:pt>
                <c:pt idx="7">
                  <c:v>283.08</c:v>
                </c:pt>
                <c:pt idx="8">
                  <c:v>280.39999999999998</c:v>
                </c:pt>
                <c:pt idx="9">
                  <c:v>273.14</c:v>
                </c:pt>
                <c:pt idx="10">
                  <c:v>303.39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09-46D0-ADE1-4BFC92A05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3486126260820186"/>
          <c:w val="0.93372244240575686"/>
          <c:h val="0.125581810867794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GUE PA Binary HC Time Step Px Change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434987630287783E-2"/>
          <c:y val="0.26802307656170216"/>
          <c:w val="0.9137728585683830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GUE_PA_Change!$C$42</c:f>
              <c:strCache>
                <c:ptCount val="1"/>
                <c:pt idx="0">
                  <c:v>Stable O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(GUE_PA_Change!$D$17,GUE_PA_Change!$F$42,GUE_PA_Change!$D$61)</c:f>
              <c:numCache>
                <c:formatCode>0.00%</c:formatCode>
                <c:ptCount val="3"/>
                <c:pt idx="0">
                  <c:v>0.57082128670330734</c:v>
                </c:pt>
                <c:pt idx="1">
                  <c:v>0.44568013010245278</c:v>
                </c:pt>
                <c:pt idx="2">
                  <c:v>0.47804014409661966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F-4DC6-8230-4ED1E74E1956}"/>
            </c:ext>
          </c:extLst>
        </c:ser>
        <c:ser>
          <c:idx val="6"/>
          <c:order val="1"/>
          <c:tx>
            <c:strRef>
              <c:f>GUE_PA_Change!$C$43</c:f>
              <c:strCache>
                <c:ptCount val="1"/>
                <c:pt idx="0">
                  <c:v>Stepped Gain</c:v>
                </c:pt>
              </c:strCache>
            </c:strRef>
          </c:tx>
          <c:spPr>
            <a:solidFill>
              <a:srgbClr val="912F4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(GUE_PA_Change!$E$17,GUE_PA_Change!$F$43,GUE_PA_Change!$E$61)</c:f>
              <c:numCache>
                <c:formatCode>0.00%</c:formatCode>
                <c:ptCount val="3"/>
                <c:pt idx="0">
                  <c:v>0.12062990334213229</c:v>
                </c:pt>
                <c:pt idx="1">
                  <c:v>4.2349398603208945E-2</c:v>
                </c:pt>
                <c:pt idx="2">
                  <c:v>3.0487752915892896E-2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1F-4DC6-8230-4ED1E74E1956}"/>
            </c:ext>
          </c:extLst>
        </c:ser>
        <c:ser>
          <c:idx val="8"/>
          <c:order val="2"/>
          <c:tx>
            <c:strRef>
              <c:f>GUE_PA_Change!$C$44</c:f>
              <c:strCache>
                <c:ptCount val="1"/>
                <c:pt idx="0">
                  <c:v>Cyclical</c:v>
                </c:pt>
              </c:strCache>
            </c:strRef>
          </c:tx>
          <c:spPr>
            <a:solidFill>
              <a:srgbClr val="725AC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(GUE_PA_Change!$F$16,GUE_PA_Change!$F$44,GUE_PA_Change!$F$60)</c:f>
              <c:numCache>
                <c:formatCode>0.00%</c:formatCode>
                <c:ptCount val="3"/>
                <c:pt idx="1">
                  <c:v>1.1020751949245121E-2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1F-4DC6-8230-4ED1E74E1956}"/>
            </c:ext>
          </c:extLst>
        </c:ser>
        <c:ser>
          <c:idx val="9"/>
          <c:order val="3"/>
          <c:tx>
            <c:strRef>
              <c:f>GUE_PA_Change!$C$45</c:f>
              <c:strCache>
                <c:ptCount val="1"/>
                <c:pt idx="0">
                  <c:v>Stepped Loss</c:v>
                </c:pt>
              </c:strCache>
            </c:strRef>
          </c:tx>
          <c:spPr>
            <a:solidFill>
              <a:srgbClr val="FFC1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(GUE_PA_Change!$D$18,GUE_PA_Change!$F$45,GUE_PA_Change!$D$62)</c:f>
              <c:numCache>
                <c:formatCode>0.00%</c:formatCode>
                <c:ptCount val="3"/>
                <c:pt idx="0">
                  <c:v>8.0436518511063024E-2</c:v>
                </c:pt>
                <c:pt idx="1">
                  <c:v>3.72024656082292E-2</c:v>
                </c:pt>
                <c:pt idx="2">
                  <c:v>3.1442884751494142E-2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1F-4DC6-8230-4ED1E74E1956}"/>
            </c:ext>
          </c:extLst>
        </c:ser>
        <c:ser>
          <c:idx val="10"/>
          <c:order val="4"/>
          <c:tx>
            <c:strRef>
              <c:f>GUE_PA_Change!$C$46</c:f>
              <c:strCache>
                <c:ptCount val="1"/>
                <c:pt idx="0">
                  <c:v>Stable A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(GUE_PA_Change!$E$18,GUE_PA_Change!$F$46,GUE_PA_Change!$E$62)</c:f>
              <c:numCache>
                <c:formatCode>0.00%</c:formatCode>
                <c:ptCount val="3"/>
                <c:pt idx="0">
                  <c:v>0.12117437685536145</c:v>
                </c:pt>
                <c:pt idx="1">
                  <c:v>0.28702989928852241</c:v>
                </c:pt>
                <c:pt idx="2">
                  <c:v>0.36596243639459958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1F-4DC6-8230-4ED1E74E1956}"/>
            </c:ext>
          </c:extLst>
        </c:ser>
        <c:ser>
          <c:idx val="5"/>
          <c:order val="5"/>
          <c:tx>
            <c:strRef>
              <c:f>GUE_PA_Change!$D$11</c:f>
              <c:strCache>
                <c:ptCount val="1"/>
                <c:pt idx="0">
                  <c:v>ND/LC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(GUE_PA_Change!$H$11,GUE_PA_Change!$H$41,GUE_PA_Change!$H$55)</c:f>
              <c:numCache>
                <c:formatCode>0.00%</c:formatCode>
                <c:ptCount val="3"/>
                <c:pt idx="0">
                  <c:v>0.10693791458813583</c:v>
                </c:pt>
                <c:pt idx="1">
                  <c:v>0.17671735444834161</c:v>
                </c:pt>
                <c:pt idx="2">
                  <c:v>9.4066781841393707E-2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21F-4DC6-8230-4ED1E74E1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1.0000000000000002E-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ACB_A PA Binary HC Time Step Px Change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434987630287783E-2"/>
          <c:y val="0.26802307656170216"/>
          <c:w val="0.9137728585683830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GUE_PA_Change!$C$42</c:f>
              <c:strCache>
                <c:ptCount val="1"/>
                <c:pt idx="0">
                  <c:v>Stable O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(GUE_PA_Change!$L$17,GUE_PA_Change!$N$42,GUE_PA_Change!$L$61)</c:f>
              <c:numCache>
                <c:formatCode>0.00%</c:formatCode>
                <c:ptCount val="3"/>
                <c:pt idx="0">
                  <c:v>0.32925250463323574</c:v>
                </c:pt>
                <c:pt idx="1">
                  <c:v>0.18105879509011305</c:v>
                </c:pt>
                <c:pt idx="2">
                  <c:v>0.18305175794364911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B-44B9-845D-93D087FF8F55}"/>
            </c:ext>
          </c:extLst>
        </c:ser>
        <c:ser>
          <c:idx val="6"/>
          <c:order val="1"/>
          <c:tx>
            <c:strRef>
              <c:f>GUE_PA_Change!$C$43</c:f>
              <c:strCache>
                <c:ptCount val="1"/>
                <c:pt idx="0">
                  <c:v>Stepped Gain</c:v>
                </c:pt>
              </c:strCache>
            </c:strRef>
          </c:tx>
          <c:spPr>
            <a:solidFill>
              <a:srgbClr val="912F4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(GUE_PA_Change!$M$17,GUE_PA_Change!$N$43,GUE_PA_Change!$M$61)</c:f>
              <c:numCache>
                <c:formatCode>0.00%</c:formatCode>
                <c:ptCount val="3"/>
                <c:pt idx="0">
                  <c:v>0.11503854314952594</c:v>
                </c:pt>
                <c:pt idx="1">
                  <c:v>4.0181569122505437E-2</c:v>
                </c:pt>
                <c:pt idx="2">
                  <c:v>2.5688270527248799E-2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BB-44B9-845D-93D087FF8F55}"/>
            </c:ext>
          </c:extLst>
        </c:ser>
        <c:ser>
          <c:idx val="8"/>
          <c:order val="2"/>
          <c:tx>
            <c:strRef>
              <c:f>GUE_PA_Change!$C$44</c:f>
              <c:strCache>
                <c:ptCount val="1"/>
                <c:pt idx="0">
                  <c:v>Cyclical</c:v>
                </c:pt>
              </c:strCache>
            </c:strRef>
          </c:tx>
          <c:spPr>
            <a:solidFill>
              <a:srgbClr val="725AC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(GUE_PA_Change!$O$16,GUE_PA_Change!$N$44,GUE_PA_Change!$O$60)</c:f>
              <c:numCache>
                <c:formatCode>0.00%</c:formatCode>
                <c:ptCount val="3"/>
                <c:pt idx="1">
                  <c:v>9.1536622706884039E-3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BB-44B9-845D-93D087FF8F55}"/>
            </c:ext>
          </c:extLst>
        </c:ser>
        <c:ser>
          <c:idx val="9"/>
          <c:order val="3"/>
          <c:tx>
            <c:strRef>
              <c:f>GUE_PA_Change!$C$45</c:f>
              <c:strCache>
                <c:ptCount val="1"/>
                <c:pt idx="0">
                  <c:v>Stepped Loss</c:v>
                </c:pt>
              </c:strCache>
            </c:strRef>
          </c:tx>
          <c:spPr>
            <a:solidFill>
              <a:srgbClr val="FFC1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(GUE_PA_Change!$L$18,GUE_PA_Change!$N$45,GUE_PA_Change!$L$62)</c:f>
              <c:numCache>
                <c:formatCode>0.00%</c:formatCode>
                <c:ptCount val="3"/>
                <c:pt idx="0">
                  <c:v>0.13117563320888506</c:v>
                </c:pt>
                <c:pt idx="1">
                  <c:v>3.3278719346780908E-2</c:v>
                </c:pt>
                <c:pt idx="2">
                  <c:v>2.4581665816120975E-2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BB-44B9-845D-93D087FF8F55}"/>
            </c:ext>
          </c:extLst>
        </c:ser>
        <c:ser>
          <c:idx val="10"/>
          <c:order val="4"/>
          <c:tx>
            <c:strRef>
              <c:f>GUE_PA_Change!$C$46</c:f>
              <c:strCache>
                <c:ptCount val="1"/>
                <c:pt idx="0">
                  <c:v>Stable A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(GUE_PA_Change!$M$18,GUE_PA_Change!$N$46,GUE_PA_Change!$M$62)</c:f>
              <c:numCache>
                <c:formatCode>0.00%</c:formatCode>
                <c:ptCount val="3"/>
                <c:pt idx="0">
                  <c:v>0.31988933952888721</c:v>
                </c:pt>
                <c:pt idx="1">
                  <c:v>0.62988907093551072</c:v>
                </c:pt>
                <c:pt idx="2">
                  <c:v>0.70282828825441157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BB-44B9-845D-93D087FF8F55}"/>
            </c:ext>
          </c:extLst>
        </c:ser>
        <c:ser>
          <c:idx val="5"/>
          <c:order val="5"/>
          <c:tx>
            <c:strRef>
              <c:f>GUE_PA_Change!$D$11</c:f>
              <c:strCache>
                <c:ptCount val="1"/>
                <c:pt idx="0">
                  <c:v>ND/LC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(GUE_PA_Change!$P$11,GUE_PA_Change!$P$41,GUE_PA_Change!$P$55)</c:f>
              <c:numCache>
                <c:formatCode>0.00%</c:formatCode>
                <c:ptCount val="3"/>
                <c:pt idx="0">
                  <c:v>0.10464397947946602</c:v>
                </c:pt>
                <c:pt idx="1">
                  <c:v>0.10643818323440149</c:v>
                </c:pt>
                <c:pt idx="2">
                  <c:v>6.3850017458569538E-2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BB-44B9-845D-93D087FF8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75000000000000011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1.0000000000000002E-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ACB_G PA Binary HC Time Step Px Change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434987630287783E-2"/>
          <c:y val="0.26802307656170216"/>
          <c:w val="0.9137728585683830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GUE_PA_Change!$C$42</c:f>
              <c:strCache>
                <c:ptCount val="1"/>
                <c:pt idx="0">
                  <c:v>Stable O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(GUE_PA_Change!$T$17,GUE_PA_Change!$V$42,GUE_PA_Change!$T$61)</c:f>
              <c:numCache>
                <c:formatCode>0.00%</c:formatCode>
                <c:ptCount val="3"/>
                <c:pt idx="0">
                  <c:v>0.44777578960509345</c:v>
                </c:pt>
                <c:pt idx="1">
                  <c:v>0.41864674795056389</c:v>
                </c:pt>
                <c:pt idx="2">
                  <c:v>0.52440597561483082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50-4219-9D17-6D7958B06D16}"/>
            </c:ext>
          </c:extLst>
        </c:ser>
        <c:ser>
          <c:idx val="6"/>
          <c:order val="1"/>
          <c:tx>
            <c:strRef>
              <c:f>GUE_PA_Change!$C$43</c:f>
              <c:strCache>
                <c:ptCount val="1"/>
                <c:pt idx="0">
                  <c:v>Stepped Gain</c:v>
                </c:pt>
              </c:strCache>
            </c:strRef>
          </c:tx>
          <c:spPr>
            <a:solidFill>
              <a:srgbClr val="912F4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(GUE_PA_Change!$U$17,GUE_PA_Change!$V$43,GUE_PA_Change!$U$61)</c:f>
              <c:numCache>
                <c:formatCode>0.00%</c:formatCode>
                <c:ptCount val="3"/>
                <c:pt idx="0">
                  <c:v>0.20153135533269526</c:v>
                </c:pt>
                <c:pt idx="1">
                  <c:v>1.1734842495110481E-2</c:v>
                </c:pt>
                <c:pt idx="2">
                  <c:v>1.9058715825392203E-2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50-4219-9D17-6D7958B06D16}"/>
            </c:ext>
          </c:extLst>
        </c:ser>
        <c:ser>
          <c:idx val="8"/>
          <c:order val="2"/>
          <c:tx>
            <c:strRef>
              <c:f>GUE_PA_Change!$C$44</c:f>
              <c:strCache>
                <c:ptCount val="1"/>
                <c:pt idx="0">
                  <c:v>Cyclical</c:v>
                </c:pt>
              </c:strCache>
            </c:strRef>
          </c:tx>
          <c:spPr>
            <a:solidFill>
              <a:srgbClr val="725AC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(GUE_PA_Change!$W$16,GUE_PA_Change!$V$44,GUE_PA_Change!$W$60)</c:f>
              <c:numCache>
                <c:formatCode>0.00%</c:formatCode>
                <c:ptCount val="3"/>
                <c:pt idx="1">
                  <c:v>1.1797261870084475E-2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50-4219-9D17-6D7958B06D16}"/>
            </c:ext>
          </c:extLst>
        </c:ser>
        <c:ser>
          <c:idx val="9"/>
          <c:order val="3"/>
          <c:tx>
            <c:strRef>
              <c:f>GUE_PA_Change!$C$45</c:f>
              <c:strCache>
                <c:ptCount val="1"/>
                <c:pt idx="0">
                  <c:v>Stepped Loss</c:v>
                </c:pt>
              </c:strCache>
            </c:strRef>
          </c:tx>
          <c:spPr>
            <a:solidFill>
              <a:srgbClr val="FFC1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(GUE_PA_Change!$T$18,GUE_PA_Change!$V$45,GUE_PA_Change!$T$62)</c:f>
              <c:numCache>
                <c:formatCode>0.00%</c:formatCode>
                <c:ptCount val="3"/>
                <c:pt idx="0">
                  <c:v>6.2024052265823311E-2</c:v>
                </c:pt>
                <c:pt idx="1">
                  <c:v>7.0970829345428824E-2</c:v>
                </c:pt>
                <c:pt idx="2">
                  <c:v>5.8528567267279764E-2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50-4219-9D17-6D7958B06D16}"/>
            </c:ext>
          </c:extLst>
        </c:ser>
        <c:ser>
          <c:idx val="10"/>
          <c:order val="4"/>
          <c:tx>
            <c:strRef>
              <c:f>GUE_PA_Change!$C$46</c:f>
              <c:strCache>
                <c:ptCount val="1"/>
                <c:pt idx="0">
                  <c:v>Stable A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(GUE_PA_Change!$U$18,GUE_PA_Change!$V$46,GUE_PA_Change!$U$62)</c:f>
              <c:numCache>
                <c:formatCode>0.00%</c:formatCode>
                <c:ptCount val="3"/>
                <c:pt idx="0">
                  <c:v>0.15452956597727935</c:v>
                </c:pt>
                <c:pt idx="1">
                  <c:v>0.32254171694894096</c:v>
                </c:pt>
                <c:pt idx="2">
                  <c:v>0.29199783612833424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50-4219-9D17-6D7958B06D16}"/>
            </c:ext>
          </c:extLst>
        </c:ser>
        <c:ser>
          <c:idx val="5"/>
          <c:order val="5"/>
          <c:tx>
            <c:strRef>
              <c:f>GUE_PA_Change!$D$11</c:f>
              <c:strCache>
                <c:ptCount val="1"/>
                <c:pt idx="0">
                  <c:v>ND/LC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(GUE_PA_Change!$A$7,GUE_PA_Change!$A$23,GUE_PA_Change!$A$51)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(GUE_PA_Change!$X$11,GUE_PA_Change!$X$41,GUE_PA_Change!$X$55)</c:f>
              <c:numCache>
                <c:formatCode>0.00%</c:formatCode>
                <c:ptCount val="3"/>
                <c:pt idx="0">
                  <c:v>0.13413923681910872</c:v>
                </c:pt>
                <c:pt idx="1">
                  <c:v>0.16430860138987147</c:v>
                </c:pt>
                <c:pt idx="2">
                  <c:v>0.10600890516416304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50-4219-9D17-6D7958B06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55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1.0000000000000002E-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Mean Spectral Signatures GUE Sample Areas</a:t>
            </a:r>
            <a:r>
              <a:rPr lang="en-GB" baseline="0"/>
              <a:t> </a:t>
            </a:r>
            <a:r>
              <a:rPr lang="en-GB"/>
              <a:t>MSS (TOA)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Spectral!$F$4</c:f>
              <c:strCache>
                <c:ptCount val="1"/>
                <c:pt idx="0">
                  <c:v>W_77_MSS</c:v>
                </c:pt>
              </c:strCache>
            </c:strRef>
          </c:tx>
          <c:spPr>
            <a:ln w="28575" cap="rnd">
              <a:solidFill>
                <a:srgbClr val="1F9DFF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Spectral!$F$6:$F$9</c:f>
              <c:numCache>
                <c:formatCode>0.0000</c:formatCode>
                <c:ptCount val="4"/>
                <c:pt idx="0">
                  <c:v>5.4580538380725997E-2</c:v>
                </c:pt>
                <c:pt idx="1">
                  <c:v>6.2490279380043902E-2</c:v>
                </c:pt>
                <c:pt idx="2">
                  <c:v>3.9103181101796301E-2</c:v>
                </c:pt>
                <c:pt idx="3">
                  <c:v>2.23718084049505E-2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00-4E7C-BB9B-A4754A4BF299}"/>
            </c:ext>
          </c:extLst>
        </c:ser>
        <c:ser>
          <c:idx val="1"/>
          <c:order val="1"/>
          <c:tx>
            <c:strRef>
              <c:f>Spectral!$G$4</c:f>
              <c:strCache>
                <c:ptCount val="1"/>
                <c:pt idx="0">
                  <c:v>B_77_MSS</c:v>
                </c:pt>
              </c:strCache>
            </c:strRef>
          </c:tx>
          <c:spPr>
            <a:ln w="28575" cap="rnd">
              <a:solidFill>
                <a:srgbClr val="CACDDE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Spectral!$G$6:$G$9</c:f>
              <c:numCache>
                <c:formatCode>0.0000</c:formatCode>
                <c:ptCount val="4"/>
                <c:pt idx="0">
                  <c:v>7.0541560722429106E-2</c:v>
                </c:pt>
                <c:pt idx="1">
                  <c:v>8.9288421757870398E-2</c:v>
                </c:pt>
                <c:pt idx="2">
                  <c:v>0.114959287670267</c:v>
                </c:pt>
                <c:pt idx="3">
                  <c:v>0.12670789799627999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00-4E7C-BB9B-A4754A4BF299}"/>
            </c:ext>
          </c:extLst>
        </c:ser>
        <c:ser>
          <c:idx val="2"/>
          <c:order val="2"/>
          <c:tx>
            <c:strRef>
              <c:f>Spectral!$H$4</c:f>
              <c:strCache>
                <c:ptCount val="1"/>
                <c:pt idx="0">
                  <c:v>A_77_MSS</c:v>
                </c:pt>
              </c:strCache>
            </c:strRef>
          </c:tx>
          <c:spPr>
            <a:ln w="28575" cap="rnd">
              <a:solidFill>
                <a:srgbClr val="B1EE2D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Spectral!$H$6:$H$9</c:f>
              <c:numCache>
                <c:formatCode>0.0000</c:formatCode>
                <c:ptCount val="4"/>
                <c:pt idx="0">
                  <c:v>4.9328258190820998E-2</c:v>
                </c:pt>
                <c:pt idx="1">
                  <c:v>6.40574853450918E-2</c:v>
                </c:pt>
                <c:pt idx="2">
                  <c:v>0.13899107480214701</c:v>
                </c:pt>
                <c:pt idx="3">
                  <c:v>0.19051049855369201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00-4E7C-BB9B-A4754A4BF299}"/>
            </c:ext>
          </c:extLst>
        </c:ser>
        <c:ser>
          <c:idx val="3"/>
          <c:order val="3"/>
          <c:tx>
            <c:strRef>
              <c:f>Spectral!$I$4</c:f>
              <c:strCache>
                <c:ptCount val="1"/>
                <c:pt idx="0">
                  <c:v>F_77_MSS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Spectral!$I$6:$I$9</c:f>
              <c:numCache>
                <c:formatCode>0.0000</c:formatCode>
                <c:ptCount val="4"/>
                <c:pt idx="0">
                  <c:v>2.6200329176245301E-2</c:v>
                </c:pt>
                <c:pt idx="1">
                  <c:v>3.59846196649726E-2</c:v>
                </c:pt>
                <c:pt idx="2">
                  <c:v>7.2267778240814595E-2</c:v>
                </c:pt>
                <c:pt idx="3">
                  <c:v>9.29292109206937E-2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00-4E7C-BB9B-A4754A4BF299}"/>
            </c:ext>
          </c:extLst>
        </c:ser>
        <c:ser>
          <c:idx val="4"/>
          <c:order val="4"/>
          <c:tx>
            <c:strRef>
              <c:f>Spectral!$J$4</c:f>
              <c:strCache>
                <c:ptCount val="1"/>
                <c:pt idx="0">
                  <c:v>S_77_MSS</c:v>
                </c:pt>
              </c:strCache>
            </c:strRef>
          </c:tx>
          <c:spPr>
            <a:ln w="28575" cap="rnd">
              <a:solidFill>
                <a:srgbClr val="AD8D0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Spectral!$J$6:$J$9</c:f>
              <c:numCache>
                <c:formatCode>0.0000</c:formatCode>
                <c:ptCount val="4"/>
                <c:pt idx="0">
                  <c:v>3.3771665222478202E-2</c:v>
                </c:pt>
                <c:pt idx="1">
                  <c:v>4.86757980425273E-2</c:v>
                </c:pt>
                <c:pt idx="2">
                  <c:v>7.8736208853348602E-2</c:v>
                </c:pt>
                <c:pt idx="3">
                  <c:v>9.9249603046400403E-2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300-4E7C-BB9B-A4754A4BF299}"/>
            </c:ext>
          </c:extLst>
        </c:ser>
        <c:ser>
          <c:idx val="5"/>
          <c:order val="5"/>
          <c:tx>
            <c:strRef>
              <c:f>Spectral!$F$12</c:f>
              <c:strCache>
                <c:ptCount val="1"/>
                <c:pt idx="0">
                  <c:v>W_88_MSS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Spectral!$F$14:$F$17</c:f>
              <c:numCache>
                <c:formatCode>0.0000</c:formatCode>
                <c:ptCount val="4"/>
                <c:pt idx="0">
                  <c:v>8.3533426674443495E-2</c:v>
                </c:pt>
                <c:pt idx="1">
                  <c:v>8.2288455932244403E-2</c:v>
                </c:pt>
                <c:pt idx="2">
                  <c:v>5.9177143088363603E-2</c:v>
                </c:pt>
                <c:pt idx="3">
                  <c:v>3.4787148776773101E-2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00-4E7C-BB9B-A4754A4BF299}"/>
            </c:ext>
          </c:extLst>
        </c:ser>
        <c:ser>
          <c:idx val="6"/>
          <c:order val="6"/>
          <c:tx>
            <c:strRef>
              <c:f>Spectral!$G$12</c:f>
              <c:strCache>
                <c:ptCount val="1"/>
                <c:pt idx="0">
                  <c:v>B_88_MSS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1587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Spectral!$G$14:$G$17</c:f>
              <c:numCache>
                <c:formatCode>0.0000</c:formatCode>
                <c:ptCount val="4"/>
                <c:pt idx="0">
                  <c:v>0.101861532879926</c:v>
                </c:pt>
                <c:pt idx="1">
                  <c:v>0.113919217847057</c:v>
                </c:pt>
                <c:pt idx="2">
                  <c:v>0.14117337264220001</c:v>
                </c:pt>
                <c:pt idx="3">
                  <c:v>0.15840041983852299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00-4E7C-BB9B-A4754A4BF299}"/>
            </c:ext>
          </c:extLst>
        </c:ser>
        <c:ser>
          <c:idx val="7"/>
          <c:order val="7"/>
          <c:tx>
            <c:strRef>
              <c:f>Spectral!$H$12</c:f>
              <c:strCache>
                <c:ptCount val="1"/>
                <c:pt idx="0">
                  <c:v>A_88_MSS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1587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Spectral!$H$14:$H$17</c:f>
              <c:numCache>
                <c:formatCode>0.0000</c:formatCode>
                <c:ptCount val="4"/>
                <c:pt idx="0">
                  <c:v>7.5075716353611002E-2</c:v>
                </c:pt>
                <c:pt idx="1">
                  <c:v>7.1296358208600405E-2</c:v>
                </c:pt>
                <c:pt idx="2">
                  <c:v>0.14948923506446099</c:v>
                </c:pt>
                <c:pt idx="3">
                  <c:v>0.20599010291459099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00-4E7C-BB9B-A4754A4BF299}"/>
            </c:ext>
          </c:extLst>
        </c:ser>
        <c:ser>
          <c:idx val="8"/>
          <c:order val="8"/>
          <c:tx>
            <c:strRef>
              <c:f>Spectral!$I$12</c:f>
              <c:strCache>
                <c:ptCount val="1"/>
                <c:pt idx="0">
                  <c:v>F_88_MSS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149721"/>
                </a:solidFill>
                <a:prstDash val="sysDot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Spectral!$I$14:$I$17</c:f>
              <c:numCache>
                <c:formatCode>0.0000</c:formatCode>
                <c:ptCount val="4"/>
                <c:pt idx="0">
                  <c:v>5.1090319540720998E-2</c:v>
                </c:pt>
                <c:pt idx="1">
                  <c:v>4.21581864054245E-2</c:v>
                </c:pt>
                <c:pt idx="2">
                  <c:v>9.3794936046006097E-2</c:v>
                </c:pt>
                <c:pt idx="3">
                  <c:v>0.126144344174696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00-4E7C-BB9B-A4754A4BF299}"/>
            </c:ext>
          </c:extLst>
        </c:ser>
        <c:ser>
          <c:idx val="9"/>
          <c:order val="9"/>
          <c:tx>
            <c:strRef>
              <c:f>Spectral!$J$12</c:f>
              <c:strCache>
                <c:ptCount val="1"/>
                <c:pt idx="0">
                  <c:v>S_88_MSS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Spectral!$J$14:$J$17</c:f>
              <c:numCache>
                <c:formatCode>0.0000</c:formatCode>
                <c:ptCount val="4"/>
                <c:pt idx="0">
                  <c:v>5.9926812442575597E-2</c:v>
                </c:pt>
                <c:pt idx="1">
                  <c:v>5.7900751182063503E-2</c:v>
                </c:pt>
                <c:pt idx="2">
                  <c:v>9.9410377258064495E-2</c:v>
                </c:pt>
                <c:pt idx="3">
                  <c:v>0.12970563378938099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300-4E7C-BB9B-A4754A4BF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ax val="1"/>
          <c:min val="0.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1.0000000000000002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2</a:t>
            </a:r>
            <a:r>
              <a:rPr lang="en-GB" baseline="0"/>
              <a:t> - Agriculture </a:t>
            </a:r>
            <a:r>
              <a:rPr lang="en-GB"/>
              <a:t>Mean Spectral Signatures GUE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Spectral!$H$4</c:f>
              <c:strCache>
                <c:ptCount val="1"/>
                <c:pt idx="0">
                  <c:v>A_77_MSS</c:v>
                </c:pt>
              </c:strCache>
            </c:strRef>
          </c:tx>
          <c:spPr>
            <a:ln w="19050" cap="rnd">
              <a:solidFill>
                <a:srgbClr val="B1EE2D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Spectral!$H$6:$H$9</c:f>
              <c:numCache>
                <c:formatCode>0.0000</c:formatCode>
                <c:ptCount val="4"/>
                <c:pt idx="0">
                  <c:v>4.9328258190820998E-2</c:v>
                </c:pt>
                <c:pt idx="1">
                  <c:v>6.40574853450918E-2</c:v>
                </c:pt>
                <c:pt idx="2">
                  <c:v>0.13899107480214701</c:v>
                </c:pt>
                <c:pt idx="3">
                  <c:v>0.19051049855369201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36-4CAE-920B-238FBA6B2383}"/>
            </c:ext>
          </c:extLst>
        </c:ser>
        <c:ser>
          <c:idx val="7"/>
          <c:order val="1"/>
          <c:tx>
            <c:strRef>
              <c:f>Spectral!$H$12</c:f>
              <c:strCache>
                <c:ptCount val="1"/>
                <c:pt idx="0">
                  <c:v>A_88_MSS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Spectral!$H$14:$H$17</c:f>
              <c:numCache>
                <c:formatCode>0.0000</c:formatCode>
                <c:ptCount val="4"/>
                <c:pt idx="0">
                  <c:v>7.5075716353611002E-2</c:v>
                </c:pt>
                <c:pt idx="1">
                  <c:v>7.1296358208600405E-2</c:v>
                </c:pt>
                <c:pt idx="2">
                  <c:v>0.14948923506446099</c:v>
                </c:pt>
                <c:pt idx="3">
                  <c:v>0.20599010291459099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36-4CAE-920B-238FBA6B2383}"/>
            </c:ext>
          </c:extLst>
        </c:ser>
        <c:ser>
          <c:idx val="2"/>
          <c:order val="2"/>
          <c:tx>
            <c:strRef>
              <c:f>Spectral!$H$20</c:f>
              <c:strCache>
                <c:ptCount val="1"/>
                <c:pt idx="0">
                  <c:v>A_88_TM</c:v>
                </c:pt>
              </c:strCache>
            </c:strRef>
          </c:tx>
          <c:spPr>
            <a:ln w="19050" cap="rnd">
              <a:solidFill>
                <a:srgbClr val="B1EE2D"/>
              </a:solidFill>
              <a:prstDash val="lgDash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Spectral!$H$22:$H$27</c:f>
              <c:numCache>
                <c:formatCode>0.0000</c:formatCode>
                <c:ptCount val="6"/>
                <c:pt idx="0">
                  <c:v>5.1111427692707399E-2</c:v>
                </c:pt>
                <c:pt idx="1">
                  <c:v>8.0714905679199797E-2</c:v>
                </c:pt>
                <c:pt idx="2">
                  <c:v>8.4545594553781495E-2</c:v>
                </c:pt>
                <c:pt idx="3">
                  <c:v>0.28672740598333801</c:v>
                </c:pt>
                <c:pt idx="4">
                  <c:v>0.27185546487963103</c:v>
                </c:pt>
                <c:pt idx="5">
                  <c:v>0.16725937658703899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36-4CAE-920B-238FBA6B2383}"/>
            </c:ext>
          </c:extLst>
        </c:ser>
        <c:ser>
          <c:idx val="6"/>
          <c:order val="3"/>
          <c:tx>
            <c:strRef>
              <c:f>Spectral!$H$30</c:f>
              <c:strCache>
                <c:ptCount val="1"/>
                <c:pt idx="0">
                  <c:v>A_91_TM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Spectral!$H$32:$H$37</c:f>
              <c:numCache>
                <c:formatCode>0.0000</c:formatCode>
                <c:ptCount val="6"/>
                <c:pt idx="0">
                  <c:v>4.3901463306281897E-2</c:v>
                </c:pt>
                <c:pt idx="1">
                  <c:v>7.4417098528915801E-2</c:v>
                </c:pt>
                <c:pt idx="2">
                  <c:v>7.2713935030743304E-2</c:v>
                </c:pt>
                <c:pt idx="3">
                  <c:v>0.305250125478228</c:v>
                </c:pt>
                <c:pt idx="4">
                  <c:v>0.24150615068070599</c:v>
                </c:pt>
                <c:pt idx="5">
                  <c:v>0.13882422575032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36-4CAE-920B-238FBA6B2383}"/>
            </c:ext>
          </c:extLst>
        </c:ser>
        <c:ser>
          <c:idx val="8"/>
          <c:order val="4"/>
          <c:tx>
            <c:strRef>
              <c:f>Spectral!$H$40</c:f>
              <c:strCache>
                <c:ptCount val="1"/>
                <c:pt idx="0">
                  <c:v>A_01_TM</c:v>
                </c:pt>
              </c:strCache>
            </c:strRef>
          </c:tx>
          <c:spPr>
            <a:ln w="28575" cap="rnd" cmpd="dbl">
              <a:solidFill>
                <a:srgbClr val="B1EE2D"/>
              </a:solidFill>
              <a:round/>
            </a:ln>
            <a:effectLst/>
          </c:spPr>
          <c:marker>
            <c:symbol val="diamond"/>
            <c:size val="8"/>
            <c:spPr>
              <a:noFill/>
              <a:ln w="9525" cmpd="dbl">
                <a:solidFill>
                  <a:srgbClr val="B1EE2D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Spectral!$H$42:$H$47</c:f>
              <c:numCache>
                <c:formatCode>0.0000</c:formatCode>
                <c:ptCount val="6"/>
                <c:pt idx="0">
                  <c:v>4.6415287010460202E-2</c:v>
                </c:pt>
                <c:pt idx="1">
                  <c:v>7.8666814045824901E-2</c:v>
                </c:pt>
                <c:pt idx="2">
                  <c:v>8.8053203444398598E-2</c:v>
                </c:pt>
                <c:pt idx="3">
                  <c:v>0.29449419954566097</c:v>
                </c:pt>
                <c:pt idx="4">
                  <c:v>0.26632923598490699</c:v>
                </c:pt>
                <c:pt idx="5">
                  <c:v>0.15117748820587801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36-4CAE-920B-238FBA6B2383}"/>
            </c:ext>
          </c:extLst>
        </c:ser>
        <c:ser>
          <c:idx val="9"/>
          <c:order val="5"/>
          <c:tx>
            <c:strRef>
              <c:f>Spectral!$H$50</c:f>
              <c:strCache>
                <c:ptCount val="1"/>
                <c:pt idx="0">
                  <c:v>A_07_ETM</c:v>
                </c:pt>
              </c:strCache>
            </c:strRef>
          </c:tx>
          <c:spPr>
            <a:ln w="19050" cap="rnd">
              <a:solidFill>
                <a:srgbClr val="B1EE2D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Spectral!$H$52:$H$57</c:f>
              <c:numCache>
                <c:formatCode>0.0000</c:formatCode>
                <c:ptCount val="6"/>
                <c:pt idx="0">
                  <c:v>4.8555654059878703E-2</c:v>
                </c:pt>
                <c:pt idx="1">
                  <c:v>7.9530857594987403E-2</c:v>
                </c:pt>
                <c:pt idx="2">
                  <c:v>8.9318944415769305E-2</c:v>
                </c:pt>
                <c:pt idx="3">
                  <c:v>0.31236080017401102</c:v>
                </c:pt>
                <c:pt idx="4">
                  <c:v>0.254415340677492</c:v>
                </c:pt>
                <c:pt idx="5">
                  <c:v>0.14845777184811201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36-4CAE-920B-238FBA6B2383}"/>
            </c:ext>
          </c:extLst>
        </c:ser>
        <c:ser>
          <c:idx val="4"/>
          <c:order val="6"/>
          <c:tx>
            <c:strRef>
              <c:f>Spectral!$H$60</c:f>
              <c:strCache>
                <c:ptCount val="1"/>
                <c:pt idx="0">
                  <c:v>A_11_ETM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lg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Spectral!$H$62:$H$67</c:f>
              <c:numCache>
                <c:formatCode>0.0000</c:formatCode>
                <c:ptCount val="6"/>
                <c:pt idx="0">
                  <c:v>3.1460733380892197E-2</c:v>
                </c:pt>
                <c:pt idx="1">
                  <c:v>5.5904357359692201E-2</c:v>
                </c:pt>
                <c:pt idx="2">
                  <c:v>5.0183912885352899E-2</c:v>
                </c:pt>
                <c:pt idx="3">
                  <c:v>0.35121302282142303</c:v>
                </c:pt>
                <c:pt idx="4">
                  <c:v>0.195953827077954</c:v>
                </c:pt>
                <c:pt idx="5">
                  <c:v>0.102208635965748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F36-4CAE-920B-238FBA6B2383}"/>
            </c:ext>
          </c:extLst>
        </c:ser>
        <c:ser>
          <c:idx val="3"/>
          <c:order val="7"/>
          <c:tx>
            <c:strRef>
              <c:f>Spectral!$H$70</c:f>
              <c:strCache>
                <c:ptCount val="1"/>
                <c:pt idx="0">
                  <c:v>A_15_OLI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solid"/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Spectral!$H$72:$H$77</c:f>
              <c:numCache>
                <c:formatCode>0.0000</c:formatCode>
                <c:ptCount val="6"/>
                <c:pt idx="0">
                  <c:v>1.76483250079396E-2</c:v>
                </c:pt>
                <c:pt idx="1">
                  <c:v>5.9566578225257502E-2</c:v>
                </c:pt>
                <c:pt idx="2">
                  <c:v>5.3120423810773101E-2</c:v>
                </c:pt>
                <c:pt idx="3">
                  <c:v>0.37555327474375</c:v>
                </c:pt>
                <c:pt idx="4">
                  <c:v>0.213904998035224</c:v>
                </c:pt>
                <c:pt idx="5">
                  <c:v>0.115473158358236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36-4CAE-920B-238FBA6B2383}"/>
            </c:ext>
          </c:extLst>
        </c:ser>
        <c:ser>
          <c:idx val="5"/>
          <c:order val="8"/>
          <c:tx>
            <c:strRef>
              <c:f>Spectral!$H$80</c:f>
              <c:strCache>
                <c:ptCount val="1"/>
                <c:pt idx="0">
                  <c:v>A_19_OLI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Spectral!$H$82:$H$87</c:f>
              <c:numCache>
                <c:formatCode>0.0000</c:formatCode>
                <c:ptCount val="6"/>
                <c:pt idx="0">
                  <c:v>2.0389705430890401E-2</c:v>
                </c:pt>
                <c:pt idx="1">
                  <c:v>6.0066939222169297E-2</c:v>
                </c:pt>
                <c:pt idx="2">
                  <c:v>5.8611885568202099E-2</c:v>
                </c:pt>
                <c:pt idx="3">
                  <c:v>0.35906310237857603</c:v>
                </c:pt>
                <c:pt idx="4">
                  <c:v>0.21827342199793301</c:v>
                </c:pt>
                <c:pt idx="5">
                  <c:v>0.12148932779424799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F36-4CAE-920B-238FBA6B2383}"/>
            </c:ext>
          </c:extLst>
        </c:ser>
        <c:ser>
          <c:idx val="0"/>
          <c:order val="9"/>
          <c:tx>
            <c:strRef>
              <c:f>Spectral!$H$90</c:f>
              <c:strCache>
                <c:ptCount val="1"/>
                <c:pt idx="0">
                  <c:v>A_19_MSI</c:v>
                </c:pt>
              </c:strCache>
            </c:strRef>
          </c:tx>
          <c:spPr>
            <a:ln w="12700" cap="rnd">
              <a:solidFill>
                <a:srgbClr val="B1EE2D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Spectral!$H$92:$H$101</c:f>
              <c:numCache>
                <c:formatCode>0.0000</c:formatCode>
                <c:ptCount val="10"/>
                <c:pt idx="0">
                  <c:v>3.2318388873558097E-2</c:v>
                </c:pt>
                <c:pt idx="1">
                  <c:v>6.5928853406314797E-2</c:v>
                </c:pt>
                <c:pt idx="2">
                  <c:v>5.6789200719193599E-2</c:v>
                </c:pt>
                <c:pt idx="3">
                  <c:v>0.111259979729637</c:v>
                </c:pt>
                <c:pt idx="4">
                  <c:v>0.26426399500616199</c:v>
                </c:pt>
                <c:pt idx="5">
                  <c:v>0.32238226419970301</c:v>
                </c:pt>
                <c:pt idx="6">
                  <c:v>0.338891398045152</c:v>
                </c:pt>
                <c:pt idx="7">
                  <c:v>0.35866051243663</c:v>
                </c:pt>
                <c:pt idx="8">
                  <c:v>0.213573491506481</c:v>
                </c:pt>
                <c:pt idx="9">
                  <c:v>0.120736538381886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36-4CAE-920B-238FBA6B2383}"/>
            </c:ext>
          </c:extLst>
        </c:ser>
        <c:ser>
          <c:idx val="10"/>
          <c:order val="10"/>
          <c:tx>
            <c:strRef>
              <c:f>Spectral!$H$104</c:f>
              <c:strCache>
                <c:ptCount val="1"/>
                <c:pt idx="0">
                  <c:v>A_24_MSI</c:v>
                </c:pt>
              </c:strCache>
            </c:strRef>
          </c:tx>
          <c:spPr>
            <a:ln w="28575" cap="rnd" cmpd="dbl">
              <a:solidFill>
                <a:srgbClr val="B1EE2D"/>
              </a:solidFill>
              <a:prstDash val="solid"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9525" cmpd="dbl">
                <a:solidFill>
                  <a:srgbClr val="B1EE2D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Spectral!$H$106:$H$115</c:f>
              <c:numCache>
                <c:formatCode>0.0000</c:formatCode>
                <c:ptCount val="10"/>
                <c:pt idx="0">
                  <c:v>4.41420985383051E-2</c:v>
                </c:pt>
                <c:pt idx="1">
                  <c:v>7.3035597402524605E-2</c:v>
                </c:pt>
                <c:pt idx="2">
                  <c:v>7.0694200586264494E-2</c:v>
                </c:pt>
                <c:pt idx="3">
                  <c:v>0.120777299456899</c:v>
                </c:pt>
                <c:pt idx="4">
                  <c:v>0.24637814280751499</c:v>
                </c:pt>
                <c:pt idx="5">
                  <c:v>0.29849404344516101</c:v>
                </c:pt>
                <c:pt idx="6">
                  <c:v>0.31554036614752301</c:v>
                </c:pt>
                <c:pt idx="7">
                  <c:v>0.33427307115631499</c:v>
                </c:pt>
                <c:pt idx="8">
                  <c:v>0.23868652587164499</c:v>
                </c:pt>
                <c:pt idx="9">
                  <c:v>0.14400308219892499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36-4CAE-920B-238FBA6B2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Reflectance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1.0000000000000002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1</a:t>
            </a:r>
            <a:r>
              <a:rPr lang="en-GB" baseline="0"/>
              <a:t> - Bare-Rock-Built </a:t>
            </a:r>
            <a:r>
              <a:rPr lang="en-GB"/>
              <a:t>Mean Spectral Signatures GUE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Spectral!$G$4</c:f>
              <c:strCache>
                <c:ptCount val="1"/>
                <c:pt idx="0">
                  <c:v>B_77_MSS</c:v>
                </c:pt>
              </c:strCache>
            </c:strRef>
          </c:tx>
          <c:spPr>
            <a:ln w="28575" cap="rnd">
              <a:solidFill>
                <a:srgbClr val="CACDDE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Spectral!$G$6:$G$9</c:f>
              <c:numCache>
                <c:formatCode>0.0000</c:formatCode>
                <c:ptCount val="4"/>
                <c:pt idx="0">
                  <c:v>7.0541560722429106E-2</c:v>
                </c:pt>
                <c:pt idx="1">
                  <c:v>8.9288421757870398E-2</c:v>
                </c:pt>
                <c:pt idx="2">
                  <c:v>0.114959287670267</c:v>
                </c:pt>
                <c:pt idx="3">
                  <c:v>0.12670789799627999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A6-4A17-90D3-75CCBD56DEBD}"/>
            </c:ext>
          </c:extLst>
        </c:ser>
        <c:ser>
          <c:idx val="7"/>
          <c:order val="1"/>
          <c:tx>
            <c:strRef>
              <c:f>Spectral!$G$12</c:f>
              <c:strCache>
                <c:ptCount val="1"/>
                <c:pt idx="0">
                  <c:v>B_88_MSS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Spectral!$G$14:$G$17</c:f>
              <c:numCache>
                <c:formatCode>0.0000</c:formatCode>
                <c:ptCount val="4"/>
                <c:pt idx="0">
                  <c:v>0.101861532879926</c:v>
                </c:pt>
                <c:pt idx="1">
                  <c:v>0.113919217847057</c:v>
                </c:pt>
                <c:pt idx="2">
                  <c:v>0.14117337264220001</c:v>
                </c:pt>
                <c:pt idx="3">
                  <c:v>0.15840041983852299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A6-4A17-90D3-75CCBD56DEBD}"/>
            </c:ext>
          </c:extLst>
        </c:ser>
        <c:ser>
          <c:idx val="2"/>
          <c:order val="2"/>
          <c:tx>
            <c:strRef>
              <c:f>Spectral!$G$20</c:f>
              <c:strCache>
                <c:ptCount val="1"/>
                <c:pt idx="0">
                  <c:v>B_88_TM</c:v>
                </c:pt>
              </c:strCache>
            </c:strRef>
          </c:tx>
          <c:spPr>
            <a:ln w="28575" cap="rnd">
              <a:solidFill>
                <a:srgbClr val="CACDDE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Spectral!$G$22:$G$27</c:f>
              <c:numCache>
                <c:formatCode>0.0000</c:formatCode>
                <c:ptCount val="6"/>
                <c:pt idx="0">
                  <c:v>8.4494453093895305E-2</c:v>
                </c:pt>
                <c:pt idx="1">
                  <c:v>0.12315885150535499</c:v>
                </c:pt>
                <c:pt idx="2">
                  <c:v>0.14686661598443601</c:v>
                </c:pt>
                <c:pt idx="3">
                  <c:v>0.22070737226901799</c:v>
                </c:pt>
                <c:pt idx="4">
                  <c:v>0.30059073284113702</c:v>
                </c:pt>
                <c:pt idx="5">
                  <c:v>0.25329061526663199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A6-4A17-90D3-75CCBD56DEBD}"/>
            </c:ext>
          </c:extLst>
        </c:ser>
        <c:ser>
          <c:idx val="6"/>
          <c:order val="3"/>
          <c:tx>
            <c:strRef>
              <c:f>Spectral!$G$30</c:f>
              <c:strCache>
                <c:ptCount val="1"/>
                <c:pt idx="0">
                  <c:v>B_91_TM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Spectral!$G$32:$G$37</c:f>
              <c:numCache>
                <c:formatCode>0.0000</c:formatCode>
                <c:ptCount val="6"/>
                <c:pt idx="0">
                  <c:v>7.7242956821001504E-2</c:v>
                </c:pt>
                <c:pt idx="1">
                  <c:v>0.119841486790387</c:v>
                </c:pt>
                <c:pt idx="2">
                  <c:v>0.14063193511917699</c:v>
                </c:pt>
                <c:pt idx="3">
                  <c:v>0.22291760746288899</c:v>
                </c:pt>
                <c:pt idx="4">
                  <c:v>0.284462260904845</c:v>
                </c:pt>
                <c:pt idx="5">
                  <c:v>0.23522880775241101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A6-4A17-90D3-75CCBD56DEBD}"/>
            </c:ext>
          </c:extLst>
        </c:ser>
        <c:ser>
          <c:idx val="8"/>
          <c:order val="4"/>
          <c:tx>
            <c:strRef>
              <c:f>Spectral!$G$40</c:f>
              <c:strCache>
                <c:ptCount val="1"/>
                <c:pt idx="0">
                  <c:v>B_01_TM</c:v>
                </c:pt>
              </c:strCache>
            </c:strRef>
          </c:tx>
          <c:spPr>
            <a:ln w="28575" cap="rnd" cmpd="dbl">
              <a:solidFill>
                <a:srgbClr val="CACDDE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9525" cmpd="dbl">
                <a:solidFill>
                  <a:srgbClr val="CACDDE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Spectral!$G$42:$G$47</c:f>
              <c:numCache>
                <c:formatCode>0.0000</c:formatCode>
                <c:ptCount val="6"/>
                <c:pt idx="0">
                  <c:v>7.6715617563581903E-2</c:v>
                </c:pt>
                <c:pt idx="1">
                  <c:v>0.115035232910547</c:v>
                </c:pt>
                <c:pt idx="2">
                  <c:v>0.1368680087578</c:v>
                </c:pt>
                <c:pt idx="3">
                  <c:v>0.211640485422319</c:v>
                </c:pt>
                <c:pt idx="4">
                  <c:v>0.28201351789977203</c:v>
                </c:pt>
                <c:pt idx="5">
                  <c:v>0.224745212180683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A6-4A17-90D3-75CCBD56DEBD}"/>
            </c:ext>
          </c:extLst>
        </c:ser>
        <c:ser>
          <c:idx val="9"/>
          <c:order val="5"/>
          <c:tx>
            <c:strRef>
              <c:f>Spectral!$G$50</c:f>
              <c:strCache>
                <c:ptCount val="1"/>
                <c:pt idx="0">
                  <c:v>B_07_ETM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Spectral!$G$52:$G$57</c:f>
              <c:numCache>
                <c:formatCode>0.0000</c:formatCode>
                <c:ptCount val="6"/>
                <c:pt idx="0">
                  <c:v>7.7525550409402899E-2</c:v>
                </c:pt>
                <c:pt idx="1">
                  <c:v>0.108724136514896</c:v>
                </c:pt>
                <c:pt idx="2">
                  <c:v>0.13459381042979199</c:v>
                </c:pt>
                <c:pt idx="3">
                  <c:v>0.21045229444132299</c:v>
                </c:pt>
                <c:pt idx="4">
                  <c:v>0.26497703973731201</c:v>
                </c:pt>
                <c:pt idx="5">
                  <c:v>0.21976380867440801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A6-4A17-90D3-75CCBD56DEBD}"/>
            </c:ext>
          </c:extLst>
        </c:ser>
        <c:ser>
          <c:idx val="4"/>
          <c:order val="6"/>
          <c:tx>
            <c:strRef>
              <c:f>Spectral!$G$60</c:f>
              <c:strCache>
                <c:ptCount val="1"/>
                <c:pt idx="0">
                  <c:v>B_11_ETM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lg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Spectral!$G$62:$G$67</c:f>
              <c:numCache>
                <c:formatCode>0.0000</c:formatCode>
                <c:ptCount val="6"/>
                <c:pt idx="0">
                  <c:v>6.9296781313123695E-2</c:v>
                </c:pt>
                <c:pt idx="1">
                  <c:v>9.4126316065727703E-2</c:v>
                </c:pt>
                <c:pt idx="2">
                  <c:v>0.116068328310797</c:v>
                </c:pt>
                <c:pt idx="3">
                  <c:v>0.21517797232923</c:v>
                </c:pt>
                <c:pt idx="4">
                  <c:v>0.243746339415505</c:v>
                </c:pt>
                <c:pt idx="5">
                  <c:v>0.201170652354249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A6-4A17-90D3-75CCBD56DEBD}"/>
            </c:ext>
          </c:extLst>
        </c:ser>
        <c:ser>
          <c:idx val="3"/>
          <c:order val="7"/>
          <c:tx>
            <c:strRef>
              <c:f>Spectral!$G$70</c:f>
              <c:strCache>
                <c:ptCount val="1"/>
                <c:pt idx="0">
                  <c:v>B_15_OLI</c:v>
                </c:pt>
              </c:strCache>
            </c:strRef>
          </c:tx>
          <c:spPr>
            <a:ln w="28575" cap="rnd">
              <a:solidFill>
                <a:srgbClr val="CACDDE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Spectral!$G$72:$G$77</c:f>
              <c:numCache>
                <c:formatCode>0.0000</c:formatCode>
                <c:ptCount val="6"/>
                <c:pt idx="0">
                  <c:v>5.8188254183620197E-2</c:v>
                </c:pt>
                <c:pt idx="1">
                  <c:v>9.8419386432550202E-2</c:v>
                </c:pt>
                <c:pt idx="2">
                  <c:v>0.119853581060736</c:v>
                </c:pt>
                <c:pt idx="3">
                  <c:v>0.21372242252680501</c:v>
                </c:pt>
                <c:pt idx="4">
                  <c:v>0.254352563651985</c:v>
                </c:pt>
                <c:pt idx="5">
                  <c:v>0.20837792136751401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A6-4A17-90D3-75CCBD56DEBD}"/>
            </c:ext>
          </c:extLst>
        </c:ser>
        <c:ser>
          <c:idx val="5"/>
          <c:order val="8"/>
          <c:tx>
            <c:strRef>
              <c:f>Spectral!$G$80</c:f>
              <c:strCache>
                <c:ptCount val="1"/>
                <c:pt idx="0">
                  <c:v>B_19_OLI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Spectral!$G$82:$G$87</c:f>
              <c:numCache>
                <c:formatCode>0.0000</c:formatCode>
                <c:ptCount val="6"/>
                <c:pt idx="0">
                  <c:v>5.9032019074341698E-2</c:v>
                </c:pt>
                <c:pt idx="1">
                  <c:v>9.7925714876815895E-2</c:v>
                </c:pt>
                <c:pt idx="2">
                  <c:v>0.122023061185729</c:v>
                </c:pt>
                <c:pt idx="3">
                  <c:v>0.20856178267789</c:v>
                </c:pt>
                <c:pt idx="4">
                  <c:v>0.25376327282822903</c:v>
                </c:pt>
                <c:pt idx="5">
                  <c:v>0.20706095925911899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A6-4A17-90D3-75CCBD56DEBD}"/>
            </c:ext>
          </c:extLst>
        </c:ser>
        <c:ser>
          <c:idx val="0"/>
          <c:order val="9"/>
          <c:tx>
            <c:strRef>
              <c:f>Spectral!$G$90</c:f>
              <c:strCache>
                <c:ptCount val="1"/>
                <c:pt idx="0">
                  <c:v>B_19_MSI</c:v>
                </c:pt>
              </c:strCache>
            </c:strRef>
          </c:tx>
          <c:spPr>
            <a:ln w="12700" cap="rnd">
              <a:solidFill>
                <a:srgbClr val="CACDDE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Spectral!$G$92:$G$101</c:f>
              <c:numCache>
                <c:formatCode>0.0000</c:formatCode>
                <c:ptCount val="10"/>
                <c:pt idx="0">
                  <c:v>8.01971755370329E-2</c:v>
                </c:pt>
                <c:pt idx="1">
                  <c:v>0.109343474189183</c:v>
                </c:pt>
                <c:pt idx="2">
                  <c:v>0.13003648957545799</c:v>
                </c:pt>
                <c:pt idx="3">
                  <c:v>0.15327682641870599</c:v>
                </c:pt>
                <c:pt idx="4">
                  <c:v>0.18207668916029601</c:v>
                </c:pt>
                <c:pt idx="5">
                  <c:v>0.194586679181663</c:v>
                </c:pt>
                <c:pt idx="6">
                  <c:v>0.198425582584278</c:v>
                </c:pt>
                <c:pt idx="7">
                  <c:v>0.20644586283423999</c:v>
                </c:pt>
                <c:pt idx="8">
                  <c:v>0.25265166565722302</c:v>
                </c:pt>
                <c:pt idx="9">
                  <c:v>0.21061424759174299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A6-4A17-90D3-75CCBD56DEBD}"/>
            </c:ext>
          </c:extLst>
        </c:ser>
        <c:ser>
          <c:idx val="10"/>
          <c:order val="10"/>
          <c:tx>
            <c:strRef>
              <c:f>Spectral!$G$104</c:f>
              <c:strCache>
                <c:ptCount val="1"/>
                <c:pt idx="0">
                  <c:v>B_24_MSI</c:v>
                </c:pt>
              </c:strCache>
            </c:strRef>
          </c:tx>
          <c:spPr>
            <a:ln w="28575" cap="rnd" cmpd="dbl">
              <a:solidFill>
                <a:srgbClr val="CACDDE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9525" cmpd="dbl">
                <a:solidFill>
                  <a:srgbClr val="CACDDE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Spectral!$G$106:$G$115</c:f>
              <c:numCache>
                <c:formatCode>0.0000</c:formatCode>
                <c:ptCount val="10"/>
                <c:pt idx="0">
                  <c:v>8.6671070418594898E-2</c:v>
                </c:pt>
                <c:pt idx="1">
                  <c:v>0.10975342804083001</c:v>
                </c:pt>
                <c:pt idx="2">
                  <c:v>0.13137192148566801</c:v>
                </c:pt>
                <c:pt idx="3">
                  <c:v>0.15292261574824201</c:v>
                </c:pt>
                <c:pt idx="4">
                  <c:v>0.17861906555238199</c:v>
                </c:pt>
                <c:pt idx="5">
                  <c:v>0.19173117430761599</c:v>
                </c:pt>
                <c:pt idx="6">
                  <c:v>0.19514787132768799</c:v>
                </c:pt>
                <c:pt idx="7">
                  <c:v>0.20304257779729601</c:v>
                </c:pt>
                <c:pt idx="8">
                  <c:v>0.25695280601024501</c:v>
                </c:pt>
                <c:pt idx="9">
                  <c:v>0.221772688559708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A6-4A17-90D3-75CCBD56D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Reflectance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1.0000000000000002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0</a:t>
            </a:r>
            <a:r>
              <a:rPr lang="en-GB" baseline="0"/>
              <a:t> Water </a:t>
            </a:r>
            <a:r>
              <a:rPr lang="en-GB"/>
              <a:t>Mean Spectral Signatures GUE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Spectral!$F$4</c:f>
              <c:strCache>
                <c:ptCount val="1"/>
                <c:pt idx="0">
                  <c:v>W_77_MSS</c:v>
                </c:pt>
              </c:strCache>
            </c:strRef>
          </c:tx>
          <c:spPr>
            <a:ln w="28575" cap="rnd">
              <a:solidFill>
                <a:srgbClr val="1F9DFF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Spectral!$F$6:$F$9</c:f>
              <c:numCache>
                <c:formatCode>0.0000</c:formatCode>
                <c:ptCount val="4"/>
                <c:pt idx="0">
                  <c:v>5.4580538380725997E-2</c:v>
                </c:pt>
                <c:pt idx="1">
                  <c:v>6.2490279380043902E-2</c:v>
                </c:pt>
                <c:pt idx="2">
                  <c:v>3.9103181101796301E-2</c:v>
                </c:pt>
                <c:pt idx="3">
                  <c:v>2.23718084049505E-2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CA-4166-8FAB-D4BD34D0E78A}"/>
            </c:ext>
          </c:extLst>
        </c:ser>
        <c:ser>
          <c:idx val="7"/>
          <c:order val="1"/>
          <c:tx>
            <c:strRef>
              <c:f>Spectral!$F$12</c:f>
              <c:strCache>
                <c:ptCount val="1"/>
                <c:pt idx="0">
                  <c:v>W_88_MSS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Spectral!$F$14:$F$17</c:f>
              <c:numCache>
                <c:formatCode>0.0000</c:formatCode>
                <c:ptCount val="4"/>
                <c:pt idx="0">
                  <c:v>8.3533426674443495E-2</c:v>
                </c:pt>
                <c:pt idx="1">
                  <c:v>8.2288455932244403E-2</c:v>
                </c:pt>
                <c:pt idx="2">
                  <c:v>5.9177143088363603E-2</c:v>
                </c:pt>
                <c:pt idx="3">
                  <c:v>3.4787148776773101E-2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CA-4166-8FAB-D4BD34D0E78A}"/>
            </c:ext>
          </c:extLst>
        </c:ser>
        <c:ser>
          <c:idx val="2"/>
          <c:order val="2"/>
          <c:tx>
            <c:strRef>
              <c:f>Spectral!$F$20</c:f>
              <c:strCache>
                <c:ptCount val="1"/>
                <c:pt idx="0">
                  <c:v>W_88_TM</c:v>
                </c:pt>
              </c:strCache>
            </c:strRef>
          </c:tx>
          <c:spPr>
            <a:ln w="28575" cap="rnd">
              <a:solidFill>
                <a:srgbClr val="1F9DFF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Spectral!$F$22:$F$27</c:f>
              <c:numCache>
                <c:formatCode>0.0000</c:formatCode>
                <c:ptCount val="6"/>
                <c:pt idx="0">
                  <c:v>6.0085194797509699E-2</c:v>
                </c:pt>
                <c:pt idx="1">
                  <c:v>9.56467697084281E-2</c:v>
                </c:pt>
                <c:pt idx="2">
                  <c:v>9.4825359586684199E-2</c:v>
                </c:pt>
                <c:pt idx="3">
                  <c:v>4.78883084746956E-2</c:v>
                </c:pt>
                <c:pt idx="4">
                  <c:v>9.9615287160462595E-3</c:v>
                </c:pt>
                <c:pt idx="5">
                  <c:v>6.4794396763886803E-3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CA-4166-8FAB-D4BD34D0E78A}"/>
            </c:ext>
          </c:extLst>
        </c:ser>
        <c:ser>
          <c:idx val="6"/>
          <c:order val="3"/>
          <c:tx>
            <c:strRef>
              <c:f>Spectral!$F$30</c:f>
              <c:strCache>
                <c:ptCount val="1"/>
                <c:pt idx="0">
                  <c:v>W_91_TM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Spectral!$F$32:$F$37</c:f>
              <c:numCache>
                <c:formatCode>0.0000</c:formatCode>
                <c:ptCount val="6"/>
                <c:pt idx="0">
                  <c:v>5.09925635359793E-2</c:v>
                </c:pt>
                <c:pt idx="1">
                  <c:v>9.3638737478576303E-2</c:v>
                </c:pt>
                <c:pt idx="2">
                  <c:v>9.5255413574329803E-2</c:v>
                </c:pt>
                <c:pt idx="3">
                  <c:v>4.58132070382248E-2</c:v>
                </c:pt>
                <c:pt idx="4">
                  <c:v>5.9107718740192897E-3</c:v>
                </c:pt>
                <c:pt idx="5">
                  <c:v>3.70328591842956E-3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CA-4166-8FAB-D4BD34D0E78A}"/>
            </c:ext>
          </c:extLst>
        </c:ser>
        <c:ser>
          <c:idx val="8"/>
          <c:order val="4"/>
          <c:tx>
            <c:strRef>
              <c:f>Spectral!$F$40</c:f>
              <c:strCache>
                <c:ptCount val="1"/>
                <c:pt idx="0">
                  <c:v>W_01_TM</c:v>
                </c:pt>
              </c:strCache>
            </c:strRef>
          </c:tx>
          <c:spPr>
            <a:ln w="28575" cap="rnd" cmpd="dbl">
              <a:solidFill>
                <a:srgbClr val="1F9DFF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9525" cmpd="dbl">
                <a:solidFill>
                  <a:srgbClr val="1F9DFF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Spectral!$F$42:$F$47</c:f>
              <c:numCache>
                <c:formatCode>0.0000</c:formatCode>
                <c:ptCount val="6"/>
                <c:pt idx="0">
                  <c:v>4.0211865992734103E-2</c:v>
                </c:pt>
                <c:pt idx="1">
                  <c:v>7.1902858980761195E-2</c:v>
                </c:pt>
                <c:pt idx="2">
                  <c:v>6.9297678635010601E-2</c:v>
                </c:pt>
                <c:pt idx="3">
                  <c:v>3.1100666896023602E-2</c:v>
                </c:pt>
                <c:pt idx="4">
                  <c:v>4.3231719782818303E-3</c:v>
                </c:pt>
                <c:pt idx="5">
                  <c:v>2.3821313148768E-3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CA-4166-8FAB-D4BD34D0E78A}"/>
            </c:ext>
          </c:extLst>
        </c:ser>
        <c:ser>
          <c:idx val="9"/>
          <c:order val="5"/>
          <c:tx>
            <c:strRef>
              <c:f>Spectral!$F$50</c:f>
              <c:strCache>
                <c:ptCount val="1"/>
                <c:pt idx="0">
                  <c:v>W_07_ETM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Spectral!$F$52:$F$57</c:f>
              <c:numCache>
                <c:formatCode>0.0000</c:formatCode>
                <c:ptCount val="6"/>
                <c:pt idx="0">
                  <c:v>2.64963064576469E-2</c:v>
                </c:pt>
                <c:pt idx="1">
                  <c:v>3.3959527681279897E-2</c:v>
                </c:pt>
                <c:pt idx="2">
                  <c:v>2.39520870094065E-2</c:v>
                </c:pt>
                <c:pt idx="3">
                  <c:v>1.99057063842768E-2</c:v>
                </c:pt>
                <c:pt idx="4">
                  <c:v>1.0702036536465899E-2</c:v>
                </c:pt>
                <c:pt idx="5">
                  <c:v>8.0837595409990592E-3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CA-4166-8FAB-D4BD34D0E78A}"/>
            </c:ext>
          </c:extLst>
        </c:ser>
        <c:ser>
          <c:idx val="4"/>
          <c:order val="6"/>
          <c:tx>
            <c:strRef>
              <c:f>Spectral!$F$60</c:f>
              <c:strCache>
                <c:ptCount val="1"/>
                <c:pt idx="0">
                  <c:v>W_11_ETM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lg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Spectral!$F$62:$F$67</c:f>
              <c:numCache>
                <c:formatCode>0.0000</c:formatCode>
                <c:ptCount val="6"/>
                <c:pt idx="0">
                  <c:v>2.5228788778693102E-2</c:v>
                </c:pt>
                <c:pt idx="1">
                  <c:v>3.9154932613538397E-2</c:v>
                </c:pt>
                <c:pt idx="2">
                  <c:v>2.5637795809277799E-2</c:v>
                </c:pt>
                <c:pt idx="3">
                  <c:v>2.6288663082943899E-2</c:v>
                </c:pt>
                <c:pt idx="4">
                  <c:v>1.3767680206374399E-2</c:v>
                </c:pt>
                <c:pt idx="5">
                  <c:v>1.2448832619832101E-2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CA-4166-8FAB-D4BD34D0E78A}"/>
            </c:ext>
          </c:extLst>
        </c:ser>
        <c:ser>
          <c:idx val="3"/>
          <c:order val="7"/>
          <c:tx>
            <c:strRef>
              <c:f>Spectral!$F$70</c:f>
              <c:strCache>
                <c:ptCount val="1"/>
                <c:pt idx="0">
                  <c:v>W_15_OLI</c:v>
                </c:pt>
              </c:strCache>
            </c:strRef>
          </c:tx>
          <c:spPr>
            <a:ln w="28575" cap="rnd">
              <a:solidFill>
                <a:srgbClr val="1F9DFF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Spectral!$F$72:$F$77</c:f>
              <c:numCache>
                <c:formatCode>0.0000</c:formatCode>
                <c:ptCount val="6"/>
                <c:pt idx="0">
                  <c:v>9.1246547119987003E-4</c:v>
                </c:pt>
                <c:pt idx="1">
                  <c:v>1.97171678151595E-2</c:v>
                </c:pt>
                <c:pt idx="2">
                  <c:v>1.6316008071039501E-2</c:v>
                </c:pt>
                <c:pt idx="3">
                  <c:v>8.3131378916407594E-3</c:v>
                </c:pt>
                <c:pt idx="4">
                  <c:v>6.9358239124065997E-3</c:v>
                </c:pt>
                <c:pt idx="5">
                  <c:v>6.0932258421653902E-3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CA-4166-8FAB-D4BD34D0E78A}"/>
            </c:ext>
          </c:extLst>
        </c:ser>
        <c:ser>
          <c:idx val="5"/>
          <c:order val="8"/>
          <c:tx>
            <c:strRef>
              <c:f>Spectral!$F$80</c:f>
              <c:strCache>
                <c:ptCount val="1"/>
                <c:pt idx="0">
                  <c:v>W_19_OLI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Spectral!$F$82:$F$87</c:f>
              <c:numCache>
                <c:formatCode>0.0000</c:formatCode>
                <c:ptCount val="6"/>
                <c:pt idx="0">
                  <c:v>8.3887371805206508E-3</c:v>
                </c:pt>
                <c:pt idx="1">
                  <c:v>3.1810809159616697E-2</c:v>
                </c:pt>
                <c:pt idx="2">
                  <c:v>2.8063806662763102E-2</c:v>
                </c:pt>
                <c:pt idx="3">
                  <c:v>1.1260728378426701E-2</c:v>
                </c:pt>
                <c:pt idx="4">
                  <c:v>8.3344761487064503E-3</c:v>
                </c:pt>
                <c:pt idx="5">
                  <c:v>6.7545732158091698E-3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CA-4166-8FAB-D4BD34D0E78A}"/>
            </c:ext>
          </c:extLst>
        </c:ser>
        <c:ser>
          <c:idx val="0"/>
          <c:order val="9"/>
          <c:tx>
            <c:strRef>
              <c:f>Spectral!$F$90</c:f>
              <c:strCache>
                <c:ptCount val="1"/>
                <c:pt idx="0">
                  <c:v>W_19_MSI</c:v>
                </c:pt>
              </c:strCache>
            </c:strRef>
          </c:tx>
          <c:spPr>
            <a:ln w="12700" cap="rnd">
              <a:solidFill>
                <a:srgbClr val="1F9DFF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Spectral!$F$92:$F$101</c:f>
              <c:numCache>
                <c:formatCode>0.0000</c:formatCode>
                <c:ptCount val="10"/>
                <c:pt idx="0">
                  <c:v>2.5913166459016802E-2</c:v>
                </c:pt>
                <c:pt idx="1">
                  <c:v>4.4109703512647203E-2</c:v>
                </c:pt>
                <c:pt idx="2">
                  <c:v>3.4886566905865203E-2</c:v>
                </c:pt>
                <c:pt idx="3">
                  <c:v>3.36107938026892E-2</c:v>
                </c:pt>
                <c:pt idx="4">
                  <c:v>2.0811095342509901E-2</c:v>
                </c:pt>
                <c:pt idx="5">
                  <c:v>2.0974502412252901E-2</c:v>
                </c:pt>
                <c:pt idx="6">
                  <c:v>1.7027541341025E-2</c:v>
                </c:pt>
                <c:pt idx="7">
                  <c:v>1.7703598110318498E-2</c:v>
                </c:pt>
                <c:pt idx="8">
                  <c:v>1.5327329645190501E-2</c:v>
                </c:pt>
                <c:pt idx="9">
                  <c:v>1.3987168983914699E-2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CA-4166-8FAB-D4BD34D0E78A}"/>
            </c:ext>
          </c:extLst>
        </c:ser>
        <c:ser>
          <c:idx val="10"/>
          <c:order val="10"/>
          <c:tx>
            <c:strRef>
              <c:f>Spectral!$F$104</c:f>
              <c:strCache>
                <c:ptCount val="1"/>
                <c:pt idx="0">
                  <c:v>W_24_MSI</c:v>
                </c:pt>
              </c:strCache>
            </c:strRef>
          </c:tx>
          <c:spPr>
            <a:ln w="28575" cap="rnd" cmpd="dbl">
              <a:solidFill>
                <a:srgbClr val="1F9DFF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15875" cmpd="dbl">
                <a:solidFill>
                  <a:srgbClr val="1F9DFF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Spectral!$F$106:$F$115</c:f>
              <c:numCache>
                <c:formatCode>0.0000</c:formatCode>
                <c:ptCount val="10"/>
                <c:pt idx="0">
                  <c:v>3.6758423014337002E-2</c:v>
                </c:pt>
                <c:pt idx="1">
                  <c:v>4.7378693794890701E-2</c:v>
                </c:pt>
                <c:pt idx="2">
                  <c:v>3.6717889452601501E-2</c:v>
                </c:pt>
                <c:pt idx="3">
                  <c:v>3.7202622702772997E-2</c:v>
                </c:pt>
                <c:pt idx="4">
                  <c:v>2.9722683774017301E-2</c:v>
                </c:pt>
                <c:pt idx="5">
                  <c:v>3.0399116880069601E-2</c:v>
                </c:pt>
                <c:pt idx="6">
                  <c:v>2.6838639895574699E-2</c:v>
                </c:pt>
                <c:pt idx="7">
                  <c:v>2.84787846327186E-2</c:v>
                </c:pt>
                <c:pt idx="8">
                  <c:v>2.34578163275335E-2</c:v>
                </c:pt>
                <c:pt idx="9">
                  <c:v>2.3961588066183401E-2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CA-4166-8FAB-D4BD34D0E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Reflectance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5.000000000000001E-3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3 Forest Mean Spectral Signatures GUE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Spectral!$I$4</c:f>
              <c:strCache>
                <c:ptCount val="1"/>
                <c:pt idx="0">
                  <c:v>F_77_MSS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Spectral!$I$6:$I$9</c:f>
              <c:numCache>
                <c:formatCode>0.0000</c:formatCode>
                <c:ptCount val="4"/>
                <c:pt idx="0">
                  <c:v>2.6200329176245301E-2</c:v>
                </c:pt>
                <c:pt idx="1">
                  <c:v>3.59846196649726E-2</c:v>
                </c:pt>
                <c:pt idx="2">
                  <c:v>7.2267778240814595E-2</c:v>
                </c:pt>
                <c:pt idx="3">
                  <c:v>9.29292109206937E-2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EF-4D31-A661-A780A970A737}"/>
            </c:ext>
          </c:extLst>
        </c:ser>
        <c:ser>
          <c:idx val="7"/>
          <c:order val="1"/>
          <c:tx>
            <c:strRef>
              <c:f>Spectral!$I$12</c:f>
              <c:strCache>
                <c:ptCount val="1"/>
                <c:pt idx="0">
                  <c:v>F_88_MSS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149721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Spectral!$I$14:$I$17</c:f>
              <c:numCache>
                <c:formatCode>0.0000</c:formatCode>
                <c:ptCount val="4"/>
                <c:pt idx="0">
                  <c:v>5.1090319540720998E-2</c:v>
                </c:pt>
                <c:pt idx="1">
                  <c:v>4.21581864054245E-2</c:v>
                </c:pt>
                <c:pt idx="2">
                  <c:v>9.3794936046006097E-2</c:v>
                </c:pt>
                <c:pt idx="3">
                  <c:v>0.126144344174696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EF-4D31-A661-A780A970A737}"/>
            </c:ext>
          </c:extLst>
        </c:ser>
        <c:ser>
          <c:idx val="2"/>
          <c:order val="2"/>
          <c:tx>
            <c:strRef>
              <c:f>Spectral!$I$20</c:f>
              <c:strCache>
                <c:ptCount val="1"/>
                <c:pt idx="0">
                  <c:v>F_88_TM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Spectral!$I$22:$I$27</c:f>
              <c:numCache>
                <c:formatCode>0.0000</c:formatCode>
                <c:ptCount val="6"/>
                <c:pt idx="0">
                  <c:v>2.70295153480101E-2</c:v>
                </c:pt>
                <c:pt idx="1">
                  <c:v>4.1355071462891801E-2</c:v>
                </c:pt>
                <c:pt idx="2">
                  <c:v>3.9147362021681099E-2</c:v>
                </c:pt>
                <c:pt idx="3">
                  <c:v>0.168415046203472</c:v>
                </c:pt>
                <c:pt idx="4">
                  <c:v>0.116960134582287</c:v>
                </c:pt>
                <c:pt idx="5">
                  <c:v>6.3383301982778695E-2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EF-4D31-A661-A780A970A737}"/>
            </c:ext>
          </c:extLst>
        </c:ser>
        <c:ser>
          <c:idx val="6"/>
          <c:order val="3"/>
          <c:tx>
            <c:strRef>
              <c:f>Spectral!$I$30</c:f>
              <c:strCache>
                <c:ptCount val="1"/>
                <c:pt idx="0">
                  <c:v>F_91_TM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149721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Spectral!$I$32:$I$37</c:f>
              <c:numCache>
                <c:formatCode>0.0000</c:formatCode>
                <c:ptCount val="6"/>
                <c:pt idx="0">
                  <c:v>2.2833707905628602E-2</c:v>
                </c:pt>
                <c:pt idx="1">
                  <c:v>3.8797316939386498E-2</c:v>
                </c:pt>
                <c:pt idx="2">
                  <c:v>3.5502688510846002E-2</c:v>
                </c:pt>
                <c:pt idx="3">
                  <c:v>0.16455399259211101</c:v>
                </c:pt>
                <c:pt idx="4">
                  <c:v>0.107020960929282</c:v>
                </c:pt>
                <c:pt idx="5">
                  <c:v>5.5360221896525501E-2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EF-4D31-A661-A780A970A737}"/>
            </c:ext>
          </c:extLst>
        </c:ser>
        <c:ser>
          <c:idx val="8"/>
          <c:order val="4"/>
          <c:tx>
            <c:strRef>
              <c:f>Spectral!$I$40</c:f>
              <c:strCache>
                <c:ptCount val="1"/>
                <c:pt idx="0">
                  <c:v>F_01_TM</c:v>
                </c:pt>
              </c:strCache>
            </c:strRef>
          </c:tx>
          <c:spPr>
            <a:ln w="28575" cap="rnd" cmpd="dbl">
              <a:solidFill>
                <a:srgbClr val="149721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9525" cmpd="dbl">
                <a:solidFill>
                  <a:srgbClr val="1F9DFF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Spectral!$I$42:$I$47</c:f>
              <c:numCache>
                <c:formatCode>0.0000</c:formatCode>
                <c:ptCount val="6"/>
                <c:pt idx="0">
                  <c:v>2.14225686881277E-2</c:v>
                </c:pt>
                <c:pt idx="1">
                  <c:v>3.5268819713657397E-2</c:v>
                </c:pt>
                <c:pt idx="2">
                  <c:v>3.2856182534235001E-2</c:v>
                </c:pt>
                <c:pt idx="3">
                  <c:v>0.16034226288095699</c:v>
                </c:pt>
                <c:pt idx="4">
                  <c:v>9.7750249810492199E-2</c:v>
                </c:pt>
                <c:pt idx="5">
                  <c:v>4.8555657624957803E-2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6EF-4D31-A661-A780A970A737}"/>
            </c:ext>
          </c:extLst>
        </c:ser>
        <c:ser>
          <c:idx val="9"/>
          <c:order val="5"/>
          <c:tx>
            <c:strRef>
              <c:f>Spectral!$I$50</c:f>
              <c:strCache>
                <c:ptCount val="1"/>
                <c:pt idx="0">
                  <c:v>F_07_ETM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149721"/>
                </a:solidFill>
                <a:prstDash val="solid"/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Spectral!$I$52:$I$57</c:f>
              <c:numCache>
                <c:formatCode>0.0000</c:formatCode>
                <c:ptCount val="6"/>
                <c:pt idx="0">
                  <c:v>2.35908902189511E-2</c:v>
                </c:pt>
                <c:pt idx="1">
                  <c:v>3.5928425794241298E-2</c:v>
                </c:pt>
                <c:pt idx="2">
                  <c:v>3.3183387515256998E-2</c:v>
                </c:pt>
                <c:pt idx="3">
                  <c:v>0.17242793452222799</c:v>
                </c:pt>
                <c:pt idx="4">
                  <c:v>0.10275770270404901</c:v>
                </c:pt>
                <c:pt idx="5">
                  <c:v>5.4787303888473401E-2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6EF-4D31-A661-A780A970A737}"/>
            </c:ext>
          </c:extLst>
        </c:ser>
        <c:ser>
          <c:idx val="4"/>
          <c:order val="6"/>
          <c:tx>
            <c:strRef>
              <c:f>Spectral!$I$60</c:f>
              <c:strCache>
                <c:ptCount val="1"/>
                <c:pt idx="0">
                  <c:v>F_11_ETM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lg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149721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Spectral!$I$62:$I$67</c:f>
              <c:numCache>
                <c:formatCode>0.0000</c:formatCode>
                <c:ptCount val="6"/>
                <c:pt idx="0">
                  <c:v>1.83691006533242E-2</c:v>
                </c:pt>
                <c:pt idx="1">
                  <c:v>2.7611974697896901E-2</c:v>
                </c:pt>
                <c:pt idx="2">
                  <c:v>2.5597100625127801E-2</c:v>
                </c:pt>
                <c:pt idx="3">
                  <c:v>0.16823768451969301</c:v>
                </c:pt>
                <c:pt idx="4">
                  <c:v>9.5451198424798406E-2</c:v>
                </c:pt>
                <c:pt idx="5">
                  <c:v>4.9448555463983301E-2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EF-4D31-A661-A780A970A737}"/>
            </c:ext>
          </c:extLst>
        </c:ser>
        <c:ser>
          <c:idx val="3"/>
          <c:order val="7"/>
          <c:tx>
            <c:strRef>
              <c:f>Spectral!$I$70</c:f>
              <c:strCache>
                <c:ptCount val="1"/>
                <c:pt idx="0">
                  <c:v>F_15_OLI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Spectral!$I$72:$I$77</c:f>
              <c:numCache>
                <c:formatCode>0.0000</c:formatCode>
                <c:ptCount val="6"/>
                <c:pt idx="0">
                  <c:v>1E-3</c:v>
                </c:pt>
                <c:pt idx="1">
                  <c:v>1.9571186023296501E-2</c:v>
                </c:pt>
                <c:pt idx="2">
                  <c:v>1.74367478121456E-2</c:v>
                </c:pt>
                <c:pt idx="3">
                  <c:v>0.16508289381031499</c:v>
                </c:pt>
                <c:pt idx="4">
                  <c:v>8.8097497954816098E-2</c:v>
                </c:pt>
                <c:pt idx="5">
                  <c:v>4.5184820775795699E-2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EF-4D31-A661-A780A970A737}"/>
            </c:ext>
          </c:extLst>
        </c:ser>
        <c:ser>
          <c:idx val="5"/>
          <c:order val="8"/>
          <c:tx>
            <c:strRef>
              <c:f>Spectral!$I$80</c:f>
              <c:strCache>
                <c:ptCount val="1"/>
                <c:pt idx="0">
                  <c:v>F_19_OLI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149721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Spectral!$I$82:$I$87</c:f>
              <c:numCache>
                <c:formatCode>0.0000</c:formatCode>
                <c:ptCount val="6"/>
                <c:pt idx="0">
                  <c:v>1E-3</c:v>
                </c:pt>
                <c:pt idx="1">
                  <c:v>2.0229382214294201E-2</c:v>
                </c:pt>
                <c:pt idx="2">
                  <c:v>1.85968074890971E-2</c:v>
                </c:pt>
                <c:pt idx="3">
                  <c:v>0.16542969354848999</c:v>
                </c:pt>
                <c:pt idx="4">
                  <c:v>8.7901654133793097E-2</c:v>
                </c:pt>
                <c:pt idx="5">
                  <c:v>4.4988886307290699E-2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EF-4D31-A661-A780A970A737}"/>
            </c:ext>
          </c:extLst>
        </c:ser>
        <c:ser>
          <c:idx val="0"/>
          <c:order val="9"/>
          <c:tx>
            <c:strRef>
              <c:f>Spectral!$I$90</c:f>
              <c:strCache>
                <c:ptCount val="1"/>
                <c:pt idx="0">
                  <c:v>F_19_MSI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Spectral!$I$92:$I$101</c:f>
              <c:numCache>
                <c:formatCode>0.0000</c:formatCode>
                <c:ptCount val="10"/>
                <c:pt idx="0">
                  <c:v>1.2371859294660101E-2</c:v>
                </c:pt>
                <c:pt idx="1">
                  <c:v>2.9650928168156201E-2</c:v>
                </c:pt>
                <c:pt idx="2">
                  <c:v>2.2697481670084799E-2</c:v>
                </c:pt>
                <c:pt idx="3">
                  <c:v>5.91360748727425E-2</c:v>
                </c:pt>
                <c:pt idx="4">
                  <c:v>0.143748061595868</c:v>
                </c:pt>
                <c:pt idx="5">
                  <c:v>0.16611294060828499</c:v>
                </c:pt>
                <c:pt idx="6">
                  <c:v>0.172468113492669</c:v>
                </c:pt>
                <c:pt idx="7">
                  <c:v>0.18239041737314499</c:v>
                </c:pt>
                <c:pt idx="8">
                  <c:v>9.9729070043828402E-2</c:v>
                </c:pt>
                <c:pt idx="9">
                  <c:v>5.2316643387902699E-2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EF-4D31-A661-A780A970A737}"/>
            </c:ext>
          </c:extLst>
        </c:ser>
        <c:ser>
          <c:idx val="10"/>
          <c:order val="10"/>
          <c:tx>
            <c:strRef>
              <c:f>Spectral!$I$104</c:f>
              <c:strCache>
                <c:ptCount val="1"/>
                <c:pt idx="0">
                  <c:v>F_24_MSI</c:v>
                </c:pt>
              </c:strCache>
            </c:strRef>
          </c:tx>
          <c:spPr>
            <a:ln w="12700" cap="rnd">
              <a:solidFill>
                <a:srgbClr val="149721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15875" cmpd="dbl">
                <a:solidFill>
                  <a:srgbClr val="149721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Spectral!$I$106:$I$115</c:f>
              <c:numCache>
                <c:formatCode>0.0000</c:formatCode>
                <c:ptCount val="10"/>
                <c:pt idx="0">
                  <c:v>1.9890796829574099E-2</c:v>
                </c:pt>
                <c:pt idx="1">
                  <c:v>3.2439332289266001E-2</c:v>
                </c:pt>
                <c:pt idx="2">
                  <c:v>2.35337739057189E-2</c:v>
                </c:pt>
                <c:pt idx="3">
                  <c:v>5.7835871459409299E-2</c:v>
                </c:pt>
                <c:pt idx="4">
                  <c:v>0.144474453093172</c:v>
                </c:pt>
                <c:pt idx="5">
                  <c:v>0.170119645570635</c:v>
                </c:pt>
                <c:pt idx="6">
                  <c:v>0.17671715566030799</c:v>
                </c:pt>
                <c:pt idx="7">
                  <c:v>0.186572109035232</c:v>
                </c:pt>
                <c:pt idx="8">
                  <c:v>0.100921759870918</c:v>
                </c:pt>
                <c:pt idx="9">
                  <c:v>5.5117817651397498E-2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EF-4D31-A661-A780A970A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Reflectance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5.000000000000001E-3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4 Shrubland-Wetland</a:t>
            </a:r>
            <a:r>
              <a:rPr lang="en-GB" baseline="0"/>
              <a:t> </a:t>
            </a:r>
            <a:r>
              <a:rPr lang="en-GB"/>
              <a:t>Mean Spectral Signatures GUE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Spectral!$J$4</c:f>
              <c:strCache>
                <c:ptCount val="1"/>
                <c:pt idx="0">
                  <c:v>S_77_MSS</c:v>
                </c:pt>
              </c:strCache>
            </c:strRef>
          </c:tx>
          <c:spPr>
            <a:ln w="28575" cap="rnd">
              <a:solidFill>
                <a:srgbClr val="AD8D06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Spectral!$J$6:$J$9</c:f>
              <c:numCache>
                <c:formatCode>0.0000</c:formatCode>
                <c:ptCount val="4"/>
                <c:pt idx="0">
                  <c:v>3.3771665222478202E-2</c:v>
                </c:pt>
                <c:pt idx="1">
                  <c:v>4.86757980425273E-2</c:v>
                </c:pt>
                <c:pt idx="2">
                  <c:v>7.8736208853348602E-2</c:v>
                </c:pt>
                <c:pt idx="3">
                  <c:v>9.9249603046400403E-2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8A-4F9F-8F7A-423C02ED0974}"/>
            </c:ext>
          </c:extLst>
        </c:ser>
        <c:ser>
          <c:idx val="7"/>
          <c:order val="1"/>
          <c:tx>
            <c:strRef>
              <c:f>Spectral!$J$12</c:f>
              <c:strCache>
                <c:ptCount val="1"/>
                <c:pt idx="0">
                  <c:v>S_88_MSS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AD8D06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Spectral!$J$14:$J$17</c:f>
              <c:numCache>
                <c:formatCode>0.0000</c:formatCode>
                <c:ptCount val="4"/>
                <c:pt idx="0">
                  <c:v>5.9926812442575597E-2</c:v>
                </c:pt>
                <c:pt idx="1">
                  <c:v>5.7900751182063503E-2</c:v>
                </c:pt>
                <c:pt idx="2">
                  <c:v>9.9410377258064495E-2</c:v>
                </c:pt>
                <c:pt idx="3">
                  <c:v>0.12970563378938099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8A-4F9F-8F7A-423C02ED0974}"/>
            </c:ext>
          </c:extLst>
        </c:ser>
        <c:ser>
          <c:idx val="2"/>
          <c:order val="2"/>
          <c:tx>
            <c:strRef>
              <c:f>Spectral!$J$20</c:f>
              <c:strCache>
                <c:ptCount val="1"/>
                <c:pt idx="0">
                  <c:v>S_88_TM</c:v>
                </c:pt>
              </c:strCache>
            </c:strRef>
          </c:tx>
          <c:spPr>
            <a:ln w="28575" cap="rnd">
              <a:solidFill>
                <a:srgbClr val="AD8D06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Spectral!$J$22:$J$27</c:f>
              <c:numCache>
                <c:formatCode>0.0000</c:formatCode>
                <c:ptCount val="6"/>
                <c:pt idx="0">
                  <c:v>3.9889102863739402E-2</c:v>
                </c:pt>
                <c:pt idx="1">
                  <c:v>5.9384126601696702E-2</c:v>
                </c:pt>
                <c:pt idx="2">
                  <c:v>6.6607440603389495E-2</c:v>
                </c:pt>
                <c:pt idx="3">
                  <c:v>0.16905520055883699</c:v>
                </c:pt>
                <c:pt idx="4">
                  <c:v>0.17959685351980201</c:v>
                </c:pt>
                <c:pt idx="5">
                  <c:v>0.111604761442668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8A-4F9F-8F7A-423C02ED0974}"/>
            </c:ext>
          </c:extLst>
        </c:ser>
        <c:ser>
          <c:idx val="6"/>
          <c:order val="3"/>
          <c:tx>
            <c:strRef>
              <c:f>Spectral!$J$30</c:f>
              <c:strCache>
                <c:ptCount val="1"/>
                <c:pt idx="0">
                  <c:v>S_91_TM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AD8D06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Spectral!$J$32:$J$37</c:f>
              <c:numCache>
                <c:formatCode>0.0000</c:formatCode>
                <c:ptCount val="6"/>
                <c:pt idx="0">
                  <c:v>3.7076935574597097E-2</c:v>
                </c:pt>
                <c:pt idx="1">
                  <c:v>5.7941814190811798E-2</c:v>
                </c:pt>
                <c:pt idx="2">
                  <c:v>6.4659502736859803E-2</c:v>
                </c:pt>
                <c:pt idx="3">
                  <c:v>0.16598954431710999</c:v>
                </c:pt>
                <c:pt idx="4">
                  <c:v>0.173998436901286</c:v>
                </c:pt>
                <c:pt idx="5">
                  <c:v>0.106347138954193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8A-4F9F-8F7A-423C02ED0974}"/>
            </c:ext>
          </c:extLst>
        </c:ser>
        <c:ser>
          <c:idx val="8"/>
          <c:order val="4"/>
          <c:tx>
            <c:strRef>
              <c:f>Spectral!$J$40</c:f>
              <c:strCache>
                <c:ptCount val="1"/>
                <c:pt idx="0">
                  <c:v>S_01_TM</c:v>
                </c:pt>
              </c:strCache>
            </c:strRef>
          </c:tx>
          <c:spPr>
            <a:ln w="28575" cap="rnd" cmpd="dbl">
              <a:solidFill>
                <a:srgbClr val="AD8D06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9525" cmpd="dbl">
                <a:solidFill>
                  <a:srgbClr val="AD8D06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Spectral!$J$42:$J$47</c:f>
              <c:numCache>
                <c:formatCode>0.0000</c:formatCode>
                <c:ptCount val="6"/>
                <c:pt idx="0">
                  <c:v>3.38637796084005E-2</c:v>
                </c:pt>
                <c:pt idx="1">
                  <c:v>5.3268802356689002E-2</c:v>
                </c:pt>
                <c:pt idx="2">
                  <c:v>6.1895399453862902E-2</c:v>
                </c:pt>
                <c:pt idx="3">
                  <c:v>0.16228563084080999</c:v>
                </c:pt>
                <c:pt idx="4">
                  <c:v>0.17244337247757999</c:v>
                </c:pt>
                <c:pt idx="5">
                  <c:v>0.100548266629501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68A-4F9F-8F7A-423C02ED0974}"/>
            </c:ext>
          </c:extLst>
        </c:ser>
        <c:ser>
          <c:idx val="9"/>
          <c:order val="5"/>
          <c:tx>
            <c:strRef>
              <c:f>Spectral!$J$50</c:f>
              <c:strCache>
                <c:ptCount val="1"/>
                <c:pt idx="0">
                  <c:v>S_07_ETM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AD8D06"/>
                </a:solidFill>
                <a:prstDash val="solid"/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Spectral!$J$52:$J$57</c:f>
              <c:numCache>
                <c:formatCode>0.0000</c:formatCode>
                <c:ptCount val="6"/>
                <c:pt idx="0">
                  <c:v>3.4457929435404502E-2</c:v>
                </c:pt>
                <c:pt idx="1">
                  <c:v>5.1475885880131099E-2</c:v>
                </c:pt>
                <c:pt idx="2">
                  <c:v>6.0954132885125502E-2</c:v>
                </c:pt>
                <c:pt idx="3">
                  <c:v>0.16454697185341299</c:v>
                </c:pt>
                <c:pt idx="4">
                  <c:v>0.168913261257781</c:v>
                </c:pt>
                <c:pt idx="5">
                  <c:v>0.107073718152511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68A-4F9F-8F7A-423C02ED0974}"/>
            </c:ext>
          </c:extLst>
        </c:ser>
        <c:ser>
          <c:idx val="4"/>
          <c:order val="6"/>
          <c:tx>
            <c:strRef>
              <c:f>Spectral!$J$60</c:f>
              <c:strCache>
                <c:ptCount val="1"/>
                <c:pt idx="0">
                  <c:v>S_11_ETM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lg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AD8D06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Spectral!$J$62:$J$67</c:f>
              <c:numCache>
                <c:formatCode>0.0000</c:formatCode>
                <c:ptCount val="6"/>
                <c:pt idx="0">
                  <c:v>3.3805610009894002E-2</c:v>
                </c:pt>
                <c:pt idx="1">
                  <c:v>4.6752791032320599E-2</c:v>
                </c:pt>
                <c:pt idx="2">
                  <c:v>5.62145576464156E-2</c:v>
                </c:pt>
                <c:pt idx="3">
                  <c:v>0.168679052121194</c:v>
                </c:pt>
                <c:pt idx="4">
                  <c:v>0.168132693794319</c:v>
                </c:pt>
                <c:pt idx="5">
                  <c:v>0.107860537125073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8A-4F9F-8F7A-423C02ED0974}"/>
            </c:ext>
          </c:extLst>
        </c:ser>
        <c:ser>
          <c:idx val="3"/>
          <c:order val="7"/>
          <c:tx>
            <c:strRef>
              <c:f>Spectral!$J$70</c:f>
              <c:strCache>
                <c:ptCount val="1"/>
                <c:pt idx="0">
                  <c:v>S_15_OLI</c:v>
                </c:pt>
              </c:strCache>
            </c:strRef>
          </c:tx>
          <c:spPr>
            <a:ln w="28575" cap="rnd" cmpd="dbl">
              <a:solidFill>
                <a:srgbClr val="AD8D06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Spectral!$J$72:$J$77</c:f>
              <c:numCache>
                <c:formatCode>0.0000</c:formatCode>
                <c:ptCount val="6"/>
                <c:pt idx="0">
                  <c:v>8.8362209763579395E-3</c:v>
                </c:pt>
                <c:pt idx="1">
                  <c:v>3.6494072337450202E-2</c:v>
                </c:pt>
                <c:pt idx="2">
                  <c:v>4.6602598293124797E-2</c:v>
                </c:pt>
                <c:pt idx="3">
                  <c:v>0.16708332059042</c:v>
                </c:pt>
                <c:pt idx="4">
                  <c:v>0.151865783829506</c:v>
                </c:pt>
                <c:pt idx="5">
                  <c:v>9.4999698512317501E-2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8A-4F9F-8F7A-423C02ED0974}"/>
            </c:ext>
          </c:extLst>
        </c:ser>
        <c:ser>
          <c:idx val="5"/>
          <c:order val="8"/>
          <c:tx>
            <c:strRef>
              <c:f>Spectral!$J$80</c:f>
              <c:strCache>
                <c:ptCount val="1"/>
                <c:pt idx="0">
                  <c:v>S_19_OLI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AD8D06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Spectral!$J$82:$J$87</c:f>
              <c:numCache>
                <c:formatCode>0.0000</c:formatCode>
                <c:ptCount val="6"/>
                <c:pt idx="0">
                  <c:v>1.16093281830809E-2</c:v>
                </c:pt>
                <c:pt idx="1">
                  <c:v>3.7758114766034599E-2</c:v>
                </c:pt>
                <c:pt idx="2">
                  <c:v>4.7925792564065102E-2</c:v>
                </c:pt>
                <c:pt idx="3">
                  <c:v>0.161889344716491</c:v>
                </c:pt>
                <c:pt idx="4">
                  <c:v>0.14923774591273101</c:v>
                </c:pt>
                <c:pt idx="5">
                  <c:v>9.4871046963374298E-2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8A-4F9F-8F7A-423C02ED0974}"/>
            </c:ext>
          </c:extLst>
        </c:ser>
        <c:ser>
          <c:idx val="0"/>
          <c:order val="9"/>
          <c:tx>
            <c:strRef>
              <c:f>Spectral!$J$90</c:f>
              <c:strCache>
                <c:ptCount val="1"/>
                <c:pt idx="0">
                  <c:v>S_19_MSI</c:v>
                </c:pt>
              </c:strCache>
            </c:strRef>
          </c:tx>
          <c:spPr>
            <a:ln w="22225" cap="rnd">
              <a:solidFill>
                <a:srgbClr val="AD8D06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Spectral!$J$92:$J$101</c:f>
              <c:numCache>
                <c:formatCode>0.0000</c:formatCode>
                <c:ptCount val="10"/>
                <c:pt idx="0">
                  <c:v>2.7302589510250198E-2</c:v>
                </c:pt>
                <c:pt idx="1">
                  <c:v>4.6168529113788603E-2</c:v>
                </c:pt>
                <c:pt idx="2">
                  <c:v>5.2268418605625498E-2</c:v>
                </c:pt>
                <c:pt idx="3">
                  <c:v>8.0111691578682198E-2</c:v>
                </c:pt>
                <c:pt idx="4">
                  <c:v>0.13133107615666001</c:v>
                </c:pt>
                <c:pt idx="5">
                  <c:v>0.1473182999989</c:v>
                </c:pt>
                <c:pt idx="6">
                  <c:v>0.15329486600723999</c:v>
                </c:pt>
                <c:pt idx="7">
                  <c:v>0.16409554874938401</c:v>
                </c:pt>
                <c:pt idx="8">
                  <c:v>0.15085908174705201</c:v>
                </c:pt>
                <c:pt idx="9">
                  <c:v>9.6489346643557003E-2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8A-4F9F-8F7A-423C02ED0974}"/>
            </c:ext>
          </c:extLst>
        </c:ser>
        <c:ser>
          <c:idx val="10"/>
          <c:order val="10"/>
          <c:tx>
            <c:strRef>
              <c:f>Spectral!$J$104</c:f>
              <c:strCache>
                <c:ptCount val="1"/>
                <c:pt idx="0">
                  <c:v>S_24_MSI</c:v>
                </c:pt>
              </c:strCache>
            </c:strRef>
          </c:tx>
          <c:spPr>
            <a:ln w="12700" cap="rnd">
              <a:solidFill>
                <a:srgbClr val="AD8D06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15875" cmpd="dbl">
                <a:solidFill>
                  <a:srgbClr val="AD8D06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Spectral!$J$106:$J$115</c:f>
              <c:numCache>
                <c:formatCode>0.0000</c:formatCode>
                <c:ptCount val="10"/>
                <c:pt idx="0">
                  <c:v>3.0641958623158699E-2</c:v>
                </c:pt>
                <c:pt idx="1">
                  <c:v>4.4927758317291101E-2</c:v>
                </c:pt>
                <c:pt idx="2">
                  <c:v>4.7626523001307798E-2</c:v>
                </c:pt>
                <c:pt idx="3">
                  <c:v>7.5952847690090503E-2</c:v>
                </c:pt>
                <c:pt idx="4">
                  <c:v>0.13271774474178299</c:v>
                </c:pt>
                <c:pt idx="5">
                  <c:v>0.15142824034713501</c:v>
                </c:pt>
                <c:pt idx="6">
                  <c:v>0.15773589677402799</c:v>
                </c:pt>
                <c:pt idx="7">
                  <c:v>0.168643713251032</c:v>
                </c:pt>
                <c:pt idx="8">
                  <c:v>0.15238515906379299</c:v>
                </c:pt>
                <c:pt idx="9">
                  <c:v>9.4681576229870695E-2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8A-4F9F-8F7A-423C02ED0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Reflectance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5.000000000000001E-3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0</a:t>
            </a:r>
            <a:r>
              <a:rPr lang="en-GB" baseline="0"/>
              <a:t> Water CV</a:t>
            </a:r>
            <a:r>
              <a:rPr lang="en-GB"/>
              <a:t> Spectral Signatures GUE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Spectral!$R$4</c:f>
              <c:strCache>
                <c:ptCount val="1"/>
                <c:pt idx="0">
                  <c:v>W_77_MSS</c:v>
                </c:pt>
              </c:strCache>
            </c:strRef>
          </c:tx>
          <c:spPr>
            <a:ln w="28575" cap="rnd">
              <a:solidFill>
                <a:srgbClr val="1F9DFF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Spectral!$R$6:$R$9</c:f>
              <c:numCache>
                <c:formatCode>0.00%</c:formatCode>
                <c:ptCount val="4"/>
                <c:pt idx="0">
                  <c:v>0.72132568832350574</c:v>
                </c:pt>
                <c:pt idx="1">
                  <c:v>0.62999527314335302</c:v>
                </c:pt>
                <c:pt idx="2">
                  <c:v>0.52313924918445787</c:v>
                </c:pt>
                <c:pt idx="3">
                  <c:v>0.23886256174128154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B7-4AE7-B86E-1CB30BAF1874}"/>
            </c:ext>
          </c:extLst>
        </c:ser>
        <c:ser>
          <c:idx val="7"/>
          <c:order val="1"/>
          <c:tx>
            <c:strRef>
              <c:f>Spectral!$R$12</c:f>
              <c:strCache>
                <c:ptCount val="1"/>
                <c:pt idx="0">
                  <c:v>W_88_MSS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Spectral!$R$14:$R$17</c:f>
              <c:numCache>
                <c:formatCode>0.00%</c:formatCode>
                <c:ptCount val="4"/>
                <c:pt idx="0">
                  <c:v>0.40055062755811949</c:v>
                </c:pt>
                <c:pt idx="1">
                  <c:v>0.54343188632078054</c:v>
                </c:pt>
                <c:pt idx="2">
                  <c:v>0.43400440821553699</c:v>
                </c:pt>
                <c:pt idx="3">
                  <c:v>0.25802906992735647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B7-4AE7-B86E-1CB30BAF1874}"/>
            </c:ext>
          </c:extLst>
        </c:ser>
        <c:ser>
          <c:idx val="2"/>
          <c:order val="2"/>
          <c:tx>
            <c:strRef>
              <c:f>Spectral!$R$20</c:f>
              <c:strCache>
                <c:ptCount val="1"/>
                <c:pt idx="0">
                  <c:v>W_88_TM</c:v>
                </c:pt>
              </c:strCache>
            </c:strRef>
          </c:tx>
          <c:spPr>
            <a:ln w="28575" cap="rnd">
              <a:solidFill>
                <a:srgbClr val="1F9DFF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Spectral!$R$22:$R$27</c:f>
              <c:numCache>
                <c:formatCode>0.00%</c:formatCode>
                <c:ptCount val="6"/>
                <c:pt idx="0">
                  <c:v>0.45944215369813612</c:v>
                </c:pt>
                <c:pt idx="1">
                  <c:v>0.59237727053273903</c:v>
                </c:pt>
                <c:pt idx="2">
                  <c:v>0.67756794064551129</c:v>
                </c:pt>
                <c:pt idx="3">
                  <c:v>0.43968420094757249</c:v>
                </c:pt>
                <c:pt idx="4">
                  <c:v>0.61463177286593862</c:v>
                </c:pt>
                <c:pt idx="5">
                  <c:v>0.97402783867428577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B7-4AE7-B86E-1CB30BAF1874}"/>
            </c:ext>
          </c:extLst>
        </c:ser>
        <c:ser>
          <c:idx val="6"/>
          <c:order val="3"/>
          <c:tx>
            <c:strRef>
              <c:f>Spectral!$R$30</c:f>
              <c:strCache>
                <c:ptCount val="1"/>
                <c:pt idx="0">
                  <c:v>W_91_TM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Spectral!$R$32:$R$37</c:f>
              <c:numCache>
                <c:formatCode>0.00%</c:formatCode>
                <c:ptCount val="6"/>
                <c:pt idx="0">
                  <c:v>0.58768299103003663</c:v>
                </c:pt>
                <c:pt idx="1">
                  <c:v>0.6381616965823379</c:v>
                </c:pt>
                <c:pt idx="2">
                  <c:v>0.74504194004470292</c:v>
                </c:pt>
                <c:pt idx="3">
                  <c:v>0.56786594206970575</c:v>
                </c:pt>
                <c:pt idx="4">
                  <c:v>0.43247613602207136</c:v>
                </c:pt>
                <c:pt idx="5">
                  <c:v>0.85829525328771306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B7-4AE7-B86E-1CB30BAF1874}"/>
            </c:ext>
          </c:extLst>
        </c:ser>
        <c:ser>
          <c:idx val="8"/>
          <c:order val="4"/>
          <c:tx>
            <c:strRef>
              <c:f>Spectral!$R$40</c:f>
              <c:strCache>
                <c:ptCount val="1"/>
                <c:pt idx="0">
                  <c:v>W_01_TM</c:v>
                </c:pt>
              </c:strCache>
            </c:strRef>
          </c:tx>
          <c:spPr>
            <a:ln w="28575" cap="rnd" cmpd="dbl">
              <a:solidFill>
                <a:srgbClr val="1F9DFF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9525" cmpd="dbl">
                <a:solidFill>
                  <a:srgbClr val="1F9DFF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Spectral!$R$42:$R$47</c:f>
              <c:numCache>
                <c:formatCode>0.00%</c:formatCode>
                <c:ptCount val="6"/>
                <c:pt idx="0">
                  <c:v>0.52103069794875867</c:v>
                </c:pt>
                <c:pt idx="1">
                  <c:v>0.60288825038709448</c:v>
                </c:pt>
                <c:pt idx="2">
                  <c:v>0.69414599582114622</c:v>
                </c:pt>
                <c:pt idx="3">
                  <c:v>0.66164633857312138</c:v>
                </c:pt>
                <c:pt idx="4">
                  <c:v>0.77987148099612069</c:v>
                </c:pt>
                <c:pt idx="5">
                  <c:v>1.4815532988503648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B7-4AE7-B86E-1CB30BAF1874}"/>
            </c:ext>
          </c:extLst>
        </c:ser>
        <c:ser>
          <c:idx val="9"/>
          <c:order val="5"/>
          <c:tx>
            <c:strRef>
              <c:f>Spectral!$R$50</c:f>
              <c:strCache>
                <c:ptCount val="1"/>
                <c:pt idx="0">
                  <c:v>W_07_ETM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Spectral!$R$52:$R$57</c:f>
              <c:numCache>
                <c:formatCode>0.00%</c:formatCode>
                <c:ptCount val="6"/>
                <c:pt idx="0">
                  <c:v>0.32391297976062922</c:v>
                </c:pt>
                <c:pt idx="1">
                  <c:v>0.39222264686010194</c:v>
                </c:pt>
                <c:pt idx="2">
                  <c:v>0.46357852303883784</c:v>
                </c:pt>
                <c:pt idx="3">
                  <c:v>0.23287753548320092</c:v>
                </c:pt>
                <c:pt idx="4">
                  <c:v>0.32588648507605317</c:v>
                </c:pt>
                <c:pt idx="5">
                  <c:v>0.45121940987891695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FB7-4AE7-B86E-1CB30BAF1874}"/>
            </c:ext>
          </c:extLst>
        </c:ser>
        <c:ser>
          <c:idx val="4"/>
          <c:order val="6"/>
          <c:tx>
            <c:strRef>
              <c:f>Spectral!$R$60</c:f>
              <c:strCache>
                <c:ptCount val="1"/>
                <c:pt idx="0">
                  <c:v>W_11_ETM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lg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Spectral!$R$62:$R$67</c:f>
              <c:numCache>
                <c:formatCode>0.00%</c:formatCode>
                <c:ptCount val="6"/>
                <c:pt idx="0">
                  <c:v>0.26143236659915686</c:v>
                </c:pt>
                <c:pt idx="1">
                  <c:v>0.39784127227555915</c:v>
                </c:pt>
                <c:pt idx="2">
                  <c:v>0.37825714064833715</c:v>
                </c:pt>
                <c:pt idx="3">
                  <c:v>0.97066810054711816</c:v>
                </c:pt>
                <c:pt idx="4">
                  <c:v>1.5248806891817257</c:v>
                </c:pt>
                <c:pt idx="5">
                  <c:v>1.1484360644813152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B7-4AE7-B86E-1CB30BAF1874}"/>
            </c:ext>
          </c:extLst>
        </c:ser>
        <c:ser>
          <c:idx val="3"/>
          <c:order val="7"/>
          <c:tx>
            <c:strRef>
              <c:f>Spectral!$R$70</c:f>
              <c:strCache>
                <c:ptCount val="1"/>
                <c:pt idx="0">
                  <c:v>W_15_OLI</c:v>
                </c:pt>
              </c:strCache>
            </c:strRef>
          </c:tx>
          <c:spPr>
            <a:ln w="28575" cap="rnd">
              <a:solidFill>
                <a:srgbClr val="1F9DFF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Spectral!$R$72:$R$77</c:f>
              <c:numCache>
                <c:formatCode>0.00%</c:formatCode>
                <c:ptCount val="6"/>
                <c:pt idx="0">
                  <c:v>9.0542795378572638</c:v>
                </c:pt>
                <c:pt idx="1">
                  <c:v>0.61086057213916178</c:v>
                </c:pt>
                <c:pt idx="2">
                  <c:v>0.76176297923421821</c:v>
                </c:pt>
                <c:pt idx="3">
                  <c:v>0.72369694171720245</c:v>
                </c:pt>
                <c:pt idx="4">
                  <c:v>0.77872957716987645</c:v>
                </c:pt>
                <c:pt idx="5">
                  <c:v>0.82237885782155407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B7-4AE7-B86E-1CB30BAF1874}"/>
            </c:ext>
          </c:extLst>
        </c:ser>
        <c:ser>
          <c:idx val="5"/>
          <c:order val="8"/>
          <c:tx>
            <c:strRef>
              <c:f>Spectral!$R$80</c:f>
              <c:strCache>
                <c:ptCount val="1"/>
                <c:pt idx="0">
                  <c:v>W_19_OLI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Spectral!$R$82:$R$87</c:f>
              <c:numCache>
                <c:formatCode>0.00%</c:formatCode>
                <c:ptCount val="6"/>
                <c:pt idx="0">
                  <c:v>1.6046814254260879</c:v>
                </c:pt>
                <c:pt idx="1">
                  <c:v>0.55725454024972365</c:v>
                </c:pt>
                <c:pt idx="2">
                  <c:v>0.7013947767707247</c:v>
                </c:pt>
                <c:pt idx="3">
                  <c:v>0.96983599094340667</c:v>
                </c:pt>
                <c:pt idx="4">
                  <c:v>1.2181276070096629</c:v>
                </c:pt>
                <c:pt idx="5">
                  <c:v>1.3101793178349037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B7-4AE7-B86E-1CB30BAF1874}"/>
            </c:ext>
          </c:extLst>
        </c:ser>
        <c:ser>
          <c:idx val="0"/>
          <c:order val="9"/>
          <c:tx>
            <c:strRef>
              <c:f>Spectral!$R$90</c:f>
              <c:strCache>
                <c:ptCount val="1"/>
                <c:pt idx="0">
                  <c:v>W_19_MSI</c:v>
                </c:pt>
              </c:strCache>
            </c:strRef>
          </c:tx>
          <c:spPr>
            <a:ln w="12700" cap="rnd">
              <a:solidFill>
                <a:srgbClr val="1F9DFF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Spectral!$R$92:$R$101</c:f>
              <c:numCache>
                <c:formatCode>0.00%</c:formatCode>
                <c:ptCount val="10"/>
                <c:pt idx="0">
                  <c:v>0.54783721701155752</c:v>
                </c:pt>
                <c:pt idx="1">
                  <c:v>0.42666211324310571</c:v>
                </c:pt>
                <c:pt idx="2">
                  <c:v>0.6082660351118182</c:v>
                </c:pt>
                <c:pt idx="3">
                  <c:v>0.55394974706822064</c:v>
                </c:pt>
                <c:pt idx="4">
                  <c:v>0.60948859104664721</c:v>
                </c:pt>
                <c:pt idx="5">
                  <c:v>0.6021382957209731</c:v>
                </c:pt>
                <c:pt idx="6">
                  <c:v>0.65096767460500893</c:v>
                </c:pt>
                <c:pt idx="7">
                  <c:v>0.65310989194864777</c:v>
                </c:pt>
                <c:pt idx="8">
                  <c:v>0.61491613877901807</c:v>
                </c:pt>
                <c:pt idx="9">
                  <c:v>0.61761344078084335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B7-4AE7-B86E-1CB30BAF1874}"/>
            </c:ext>
          </c:extLst>
        </c:ser>
        <c:ser>
          <c:idx val="10"/>
          <c:order val="10"/>
          <c:tx>
            <c:strRef>
              <c:f>Spectral!$R$104</c:f>
              <c:strCache>
                <c:ptCount val="1"/>
                <c:pt idx="0">
                  <c:v>W_24_MSI</c:v>
                </c:pt>
              </c:strCache>
            </c:strRef>
          </c:tx>
          <c:spPr>
            <a:ln w="28575" cap="rnd" cmpd="dbl">
              <a:solidFill>
                <a:srgbClr val="1F9DFF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15875" cmpd="dbl">
                <a:solidFill>
                  <a:srgbClr val="1F9DFF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Spectral!$R$106:$R$115</c:f>
              <c:numCache>
                <c:formatCode>0.00%</c:formatCode>
                <c:ptCount val="10"/>
                <c:pt idx="0">
                  <c:v>0.40252738263917803</c:v>
                </c:pt>
                <c:pt idx="1">
                  <c:v>0.36573538804284955</c:v>
                </c:pt>
                <c:pt idx="2">
                  <c:v>0.47877783574329208</c:v>
                </c:pt>
                <c:pt idx="3">
                  <c:v>0.46767417189052213</c:v>
                </c:pt>
                <c:pt idx="4">
                  <c:v>0.54145563719886491</c:v>
                </c:pt>
                <c:pt idx="5">
                  <c:v>0.53553732919778574</c:v>
                </c:pt>
                <c:pt idx="6">
                  <c:v>0.5828934004861952</c:v>
                </c:pt>
                <c:pt idx="7">
                  <c:v>0.56220985710422777</c:v>
                </c:pt>
                <c:pt idx="8">
                  <c:v>0.55271144337726008</c:v>
                </c:pt>
                <c:pt idx="9">
                  <c:v>0.53977956453428932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B7-4AE7-B86E-1CB30BAF1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  <c:max val="1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Coefficient of Variation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1</a:t>
            </a:r>
            <a:r>
              <a:rPr lang="en-GB" baseline="0"/>
              <a:t> - Bare-Rock-Built </a:t>
            </a:r>
            <a:r>
              <a:rPr lang="en-GB"/>
              <a:t>CV Spectral Signatures GUE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Spectral!$S$4</c:f>
              <c:strCache>
                <c:ptCount val="1"/>
                <c:pt idx="0">
                  <c:v>B_77_MSS</c:v>
                </c:pt>
              </c:strCache>
            </c:strRef>
          </c:tx>
          <c:spPr>
            <a:ln w="28575" cap="rnd">
              <a:solidFill>
                <a:srgbClr val="CACDDE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Spectral!$S$6:$S$9</c:f>
              <c:numCache>
                <c:formatCode>0.00%</c:formatCode>
                <c:ptCount val="4"/>
                <c:pt idx="0">
                  <c:v>0.21613116242956715</c:v>
                </c:pt>
                <c:pt idx="1">
                  <c:v>0.24051084590999375</c:v>
                </c:pt>
                <c:pt idx="2">
                  <c:v>0.20487696321956511</c:v>
                </c:pt>
                <c:pt idx="3">
                  <c:v>0.22015140750755935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74-46AD-8034-2BD381D63A9F}"/>
            </c:ext>
          </c:extLst>
        </c:ser>
        <c:ser>
          <c:idx val="7"/>
          <c:order val="1"/>
          <c:tx>
            <c:strRef>
              <c:f>Spectral!$S$12</c:f>
              <c:strCache>
                <c:ptCount val="1"/>
                <c:pt idx="0">
                  <c:v>B_88_MSS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Spectral!$S$14:$S$17</c:f>
              <c:numCache>
                <c:formatCode>0.00%</c:formatCode>
                <c:ptCount val="4"/>
                <c:pt idx="0">
                  <c:v>0.100738487877182</c:v>
                </c:pt>
                <c:pt idx="1">
                  <c:v>0.15399574767779192</c:v>
                </c:pt>
                <c:pt idx="2">
                  <c:v>0.14063423381439166</c:v>
                </c:pt>
                <c:pt idx="3">
                  <c:v>0.14725543744442135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74-46AD-8034-2BD381D63A9F}"/>
            </c:ext>
          </c:extLst>
        </c:ser>
        <c:ser>
          <c:idx val="2"/>
          <c:order val="2"/>
          <c:tx>
            <c:strRef>
              <c:f>Spectral!$S$20</c:f>
              <c:strCache>
                <c:ptCount val="1"/>
                <c:pt idx="0">
                  <c:v>B_88_TM</c:v>
                </c:pt>
              </c:strCache>
            </c:strRef>
          </c:tx>
          <c:spPr>
            <a:ln w="28575" cap="rnd">
              <a:solidFill>
                <a:srgbClr val="CACDDE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Spectral!$S$22:$S$27</c:f>
              <c:numCache>
                <c:formatCode>0.00%</c:formatCode>
                <c:ptCount val="6"/>
                <c:pt idx="0">
                  <c:v>0.13459054107239182</c:v>
                </c:pt>
                <c:pt idx="1">
                  <c:v>0.16796678855610506</c:v>
                </c:pt>
                <c:pt idx="2">
                  <c:v>0.19934423738310544</c:v>
                </c:pt>
                <c:pt idx="3">
                  <c:v>0.16363350963047552</c:v>
                </c:pt>
                <c:pt idx="4">
                  <c:v>0.2498510661479374</c:v>
                </c:pt>
                <c:pt idx="5">
                  <c:v>0.22132917262495519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74-46AD-8034-2BD381D63A9F}"/>
            </c:ext>
          </c:extLst>
        </c:ser>
        <c:ser>
          <c:idx val="6"/>
          <c:order val="3"/>
          <c:tx>
            <c:strRef>
              <c:f>Spectral!$S$30</c:f>
              <c:strCache>
                <c:ptCount val="1"/>
                <c:pt idx="0">
                  <c:v>B_91_TM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Spectral!$S$32:$S$37</c:f>
              <c:numCache>
                <c:formatCode>0.00%</c:formatCode>
                <c:ptCount val="6"/>
                <c:pt idx="0">
                  <c:v>0.17518577186891213</c:v>
                </c:pt>
                <c:pt idx="1">
                  <c:v>0.20061054165207645</c:v>
                </c:pt>
                <c:pt idx="2">
                  <c:v>0.23256547481111203</c:v>
                </c:pt>
                <c:pt idx="3">
                  <c:v>0.18759390405038281</c:v>
                </c:pt>
                <c:pt idx="4">
                  <c:v>0.24107258481853683</c:v>
                </c:pt>
                <c:pt idx="5">
                  <c:v>0.21571324888398205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74-46AD-8034-2BD381D63A9F}"/>
            </c:ext>
          </c:extLst>
        </c:ser>
        <c:ser>
          <c:idx val="8"/>
          <c:order val="4"/>
          <c:tx>
            <c:strRef>
              <c:f>Spectral!$S$40</c:f>
              <c:strCache>
                <c:ptCount val="1"/>
                <c:pt idx="0">
                  <c:v>B_01_TM</c:v>
                </c:pt>
              </c:strCache>
            </c:strRef>
          </c:tx>
          <c:spPr>
            <a:ln w="28575" cap="rnd" cmpd="dbl">
              <a:solidFill>
                <a:srgbClr val="CACDDE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9525" cmpd="dbl">
                <a:solidFill>
                  <a:srgbClr val="CACDDE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Spectral!$S$42:$S$47</c:f>
              <c:numCache>
                <c:formatCode>0.00%</c:formatCode>
                <c:ptCount val="6"/>
                <c:pt idx="0">
                  <c:v>0.19937741467572107</c:v>
                </c:pt>
                <c:pt idx="1">
                  <c:v>0.19161730840619015</c:v>
                </c:pt>
                <c:pt idx="2">
                  <c:v>0.20542390436695598</c:v>
                </c:pt>
                <c:pt idx="3">
                  <c:v>0.18814873210265851</c:v>
                </c:pt>
                <c:pt idx="4">
                  <c:v>0.23728391148928676</c:v>
                </c:pt>
                <c:pt idx="5">
                  <c:v>0.19530253172175902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74-46AD-8034-2BD381D63A9F}"/>
            </c:ext>
          </c:extLst>
        </c:ser>
        <c:ser>
          <c:idx val="9"/>
          <c:order val="5"/>
          <c:tx>
            <c:strRef>
              <c:f>Spectral!$S$50</c:f>
              <c:strCache>
                <c:ptCount val="1"/>
                <c:pt idx="0">
                  <c:v>B_07_ETM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Spectral!$S$52:$S$57</c:f>
              <c:numCache>
                <c:formatCode>0.00%</c:formatCode>
                <c:ptCount val="6"/>
                <c:pt idx="0">
                  <c:v>0.19380136201402326</c:v>
                </c:pt>
                <c:pt idx="1">
                  <c:v>0.17537929743028632</c:v>
                </c:pt>
                <c:pt idx="2">
                  <c:v>0.19493617314695375</c:v>
                </c:pt>
                <c:pt idx="3">
                  <c:v>0.16478724228548824</c:v>
                </c:pt>
                <c:pt idx="4">
                  <c:v>0.21386373622532026</c:v>
                </c:pt>
                <c:pt idx="5">
                  <c:v>0.18740119424917517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74-46AD-8034-2BD381D63A9F}"/>
            </c:ext>
          </c:extLst>
        </c:ser>
        <c:ser>
          <c:idx val="4"/>
          <c:order val="6"/>
          <c:tx>
            <c:strRef>
              <c:f>Spectral!$S$60</c:f>
              <c:strCache>
                <c:ptCount val="1"/>
                <c:pt idx="0">
                  <c:v>B_11_ETM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Spectral!$S$62:$S$67</c:f>
              <c:numCache>
                <c:formatCode>0.00%</c:formatCode>
                <c:ptCount val="6"/>
                <c:pt idx="0">
                  <c:v>0.2668735657937627</c:v>
                </c:pt>
                <c:pt idx="1">
                  <c:v>0.21650160771707505</c:v>
                </c:pt>
                <c:pt idx="2">
                  <c:v>0.2370681909037797</c:v>
                </c:pt>
                <c:pt idx="3">
                  <c:v>0.18266237662686943</c:v>
                </c:pt>
                <c:pt idx="4">
                  <c:v>0.18764371709709698</c:v>
                </c:pt>
                <c:pt idx="5">
                  <c:v>0.20542635679680413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74-46AD-8034-2BD381D63A9F}"/>
            </c:ext>
          </c:extLst>
        </c:ser>
        <c:ser>
          <c:idx val="3"/>
          <c:order val="7"/>
          <c:tx>
            <c:strRef>
              <c:f>Spectral!$S$70</c:f>
              <c:strCache>
                <c:ptCount val="1"/>
                <c:pt idx="0">
                  <c:v>B_15_OLI</c:v>
                </c:pt>
              </c:strCache>
            </c:strRef>
          </c:tx>
          <c:spPr>
            <a:ln w="28575" cap="rnd">
              <a:solidFill>
                <a:srgbClr val="CACDDE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Spectral!$S$72:$S$77</c:f>
              <c:numCache>
                <c:formatCode>0.00%</c:formatCode>
                <c:ptCount val="6"/>
                <c:pt idx="0">
                  <c:v>0.44435786117272091</c:v>
                </c:pt>
                <c:pt idx="1">
                  <c:v>0.30795294665196743</c:v>
                </c:pt>
                <c:pt idx="2">
                  <c:v>0.32486621187372722</c:v>
                </c:pt>
                <c:pt idx="3">
                  <c:v>0.20720530200339912</c:v>
                </c:pt>
                <c:pt idx="4">
                  <c:v>0.19175510572199519</c:v>
                </c:pt>
                <c:pt idx="5">
                  <c:v>0.21790511054232667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74-46AD-8034-2BD381D63A9F}"/>
            </c:ext>
          </c:extLst>
        </c:ser>
        <c:ser>
          <c:idx val="5"/>
          <c:order val="8"/>
          <c:tx>
            <c:strRef>
              <c:f>Spectral!$S$80</c:f>
              <c:strCache>
                <c:ptCount val="1"/>
                <c:pt idx="0">
                  <c:v>B_19_OLI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Spectral!$S$82:$S$87</c:f>
              <c:numCache>
                <c:formatCode>0.00%</c:formatCode>
                <c:ptCount val="6"/>
                <c:pt idx="0">
                  <c:v>0.41592905323376839</c:v>
                </c:pt>
                <c:pt idx="1">
                  <c:v>0.30388834378728213</c:v>
                </c:pt>
                <c:pt idx="2">
                  <c:v>0.30383903366240811</c:v>
                </c:pt>
                <c:pt idx="3">
                  <c:v>0.19498407829488215</c:v>
                </c:pt>
                <c:pt idx="4">
                  <c:v>0.20737271997235554</c:v>
                </c:pt>
                <c:pt idx="5">
                  <c:v>0.20819340003238096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74-46AD-8034-2BD381D63A9F}"/>
            </c:ext>
          </c:extLst>
        </c:ser>
        <c:ser>
          <c:idx val="0"/>
          <c:order val="9"/>
          <c:tx>
            <c:strRef>
              <c:f>Spectral!$S$90</c:f>
              <c:strCache>
                <c:ptCount val="1"/>
                <c:pt idx="0">
                  <c:v>B_19_MSI</c:v>
                </c:pt>
              </c:strCache>
            </c:strRef>
          </c:tx>
          <c:spPr>
            <a:ln w="12700" cap="rnd">
              <a:solidFill>
                <a:srgbClr val="CACDDE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Spectral!$S$92:$S$101</c:f>
              <c:numCache>
                <c:formatCode>0.00%</c:formatCode>
                <c:ptCount val="10"/>
                <c:pt idx="0">
                  <c:v>0.45378612010243785</c:v>
                </c:pt>
                <c:pt idx="1">
                  <c:v>0.36390328949264761</c:v>
                </c:pt>
                <c:pt idx="2">
                  <c:v>0.36067987742763635</c:v>
                </c:pt>
                <c:pt idx="3">
                  <c:v>0.25456201790183636</c:v>
                </c:pt>
                <c:pt idx="4">
                  <c:v>0.20425595064445723</c:v>
                </c:pt>
                <c:pt idx="5">
                  <c:v>0.20066566429521143</c:v>
                </c:pt>
                <c:pt idx="6">
                  <c:v>0.22708692117535986</c:v>
                </c:pt>
                <c:pt idx="7">
                  <c:v>0.18972627902267256</c:v>
                </c:pt>
                <c:pt idx="8">
                  <c:v>0.19073695190798401</c:v>
                </c:pt>
                <c:pt idx="9">
                  <c:v>0.20251232627388902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74-46AD-8034-2BD381D63A9F}"/>
            </c:ext>
          </c:extLst>
        </c:ser>
        <c:ser>
          <c:idx val="10"/>
          <c:order val="10"/>
          <c:tx>
            <c:strRef>
              <c:f>Spectral!$S$104</c:f>
              <c:strCache>
                <c:ptCount val="1"/>
                <c:pt idx="0">
                  <c:v>B_24_MSI</c:v>
                </c:pt>
              </c:strCache>
            </c:strRef>
          </c:tx>
          <c:spPr>
            <a:ln w="28575" cap="rnd" cmpd="dbl">
              <a:solidFill>
                <a:srgbClr val="CACDDE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9525" cmpd="dbl">
                <a:solidFill>
                  <a:srgbClr val="CACDDE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Spectral!$S$106:$S$115</c:f>
              <c:numCache>
                <c:formatCode>0.00%</c:formatCode>
                <c:ptCount val="10"/>
                <c:pt idx="0">
                  <c:v>0.44619664566839506</c:v>
                </c:pt>
                <c:pt idx="1">
                  <c:v>0.37120630869657067</c:v>
                </c:pt>
                <c:pt idx="2">
                  <c:v>0.35388887716058359</c:v>
                </c:pt>
                <c:pt idx="3">
                  <c:v>0.25306479427199885</c:v>
                </c:pt>
                <c:pt idx="4">
                  <c:v>0.20068091284686645</c:v>
                </c:pt>
                <c:pt idx="5">
                  <c:v>0.19089386425137883</c:v>
                </c:pt>
                <c:pt idx="6">
                  <c:v>0.21651307755770424</c:v>
                </c:pt>
                <c:pt idx="7">
                  <c:v>0.17667864410729689</c:v>
                </c:pt>
                <c:pt idx="8">
                  <c:v>0.18056533362538338</c:v>
                </c:pt>
                <c:pt idx="9">
                  <c:v>0.20158613010008128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74-46AD-8034-2BD381D63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Coefficient of Variation </a:t>
                </a:r>
                <a:r>
                  <a:rPr lang="en-GB" sz="1000"/>
                  <a:t>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1.0000000000000002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2</a:t>
            </a:r>
            <a:r>
              <a:rPr lang="en-GB" baseline="0"/>
              <a:t> - Agriculture </a:t>
            </a:r>
            <a:r>
              <a:rPr lang="en-GB"/>
              <a:t>CV Spectral Signatures GUE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Spectral!$T$4</c:f>
              <c:strCache>
                <c:ptCount val="1"/>
                <c:pt idx="0">
                  <c:v>A_77_MSS</c:v>
                </c:pt>
              </c:strCache>
            </c:strRef>
          </c:tx>
          <c:spPr>
            <a:ln w="28575" cap="rnd">
              <a:solidFill>
                <a:srgbClr val="B1EE2D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Spectral!$T$6:$T$9</c:f>
              <c:numCache>
                <c:formatCode>0.00%</c:formatCode>
                <c:ptCount val="4"/>
                <c:pt idx="0">
                  <c:v>0.17993823005660967</c:v>
                </c:pt>
                <c:pt idx="1">
                  <c:v>0.22434473701835581</c:v>
                </c:pt>
                <c:pt idx="2">
                  <c:v>0.11193553257385325</c:v>
                </c:pt>
                <c:pt idx="3">
                  <c:v>0.13578623341610208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CA-4F86-B67B-454B466737FF}"/>
            </c:ext>
          </c:extLst>
        </c:ser>
        <c:ser>
          <c:idx val="7"/>
          <c:order val="1"/>
          <c:tx>
            <c:strRef>
              <c:f>Spectral!$T$12</c:f>
              <c:strCache>
                <c:ptCount val="1"/>
                <c:pt idx="0">
                  <c:v>A_88_MSS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Spectral!$T$14:$T$17</c:f>
              <c:numCache>
                <c:formatCode>0.00%</c:formatCode>
                <c:ptCount val="4"/>
                <c:pt idx="0">
                  <c:v>0.11556874015463099</c:v>
                </c:pt>
                <c:pt idx="1">
                  <c:v>0.18611536736480228</c:v>
                </c:pt>
                <c:pt idx="2">
                  <c:v>0.15705507498988724</c:v>
                </c:pt>
                <c:pt idx="3">
                  <c:v>0.18630026317199044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CA-4F86-B67B-454B466737FF}"/>
            </c:ext>
          </c:extLst>
        </c:ser>
        <c:ser>
          <c:idx val="2"/>
          <c:order val="2"/>
          <c:tx>
            <c:strRef>
              <c:f>Spectral!$T$20</c:f>
              <c:strCache>
                <c:ptCount val="1"/>
                <c:pt idx="0">
                  <c:v>A_88_TM</c:v>
                </c:pt>
              </c:strCache>
            </c:strRef>
          </c:tx>
          <c:spPr>
            <a:ln w="28575" cap="rnd">
              <a:solidFill>
                <a:srgbClr val="B1EE2D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Spectral!$T$22:$T$27</c:f>
              <c:numCache>
                <c:formatCode>0.00%</c:formatCode>
                <c:ptCount val="6"/>
                <c:pt idx="0">
                  <c:v>0.19495622408006652</c:v>
                </c:pt>
                <c:pt idx="1">
                  <c:v>0.17727859670677321</c:v>
                </c:pt>
                <c:pt idx="2">
                  <c:v>0.2622371817234202</c:v>
                </c:pt>
                <c:pt idx="3">
                  <c:v>0.22791971094343069</c:v>
                </c:pt>
                <c:pt idx="4">
                  <c:v>0.17786976884834044</c:v>
                </c:pt>
                <c:pt idx="5">
                  <c:v>0.31477400981495524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CA-4F86-B67B-454B466737FF}"/>
            </c:ext>
          </c:extLst>
        </c:ser>
        <c:ser>
          <c:idx val="6"/>
          <c:order val="3"/>
          <c:tx>
            <c:strRef>
              <c:f>Spectral!$T$30</c:f>
              <c:strCache>
                <c:ptCount val="1"/>
                <c:pt idx="0">
                  <c:v>A_91_TM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Spectral!$T$32:$T$37</c:f>
              <c:numCache>
                <c:formatCode>0.00%</c:formatCode>
                <c:ptCount val="6"/>
                <c:pt idx="0">
                  <c:v>0.3079854348263687</c:v>
                </c:pt>
                <c:pt idx="1">
                  <c:v>0.23302308850857509</c:v>
                </c:pt>
                <c:pt idx="2">
                  <c:v>0.33431468939495246</c:v>
                </c:pt>
                <c:pt idx="3">
                  <c:v>0.2409310109899416</c:v>
                </c:pt>
                <c:pt idx="4">
                  <c:v>0.19738827525639954</c:v>
                </c:pt>
                <c:pt idx="5">
                  <c:v>0.37536412070533942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CA-4F86-B67B-454B466737FF}"/>
            </c:ext>
          </c:extLst>
        </c:ser>
        <c:ser>
          <c:idx val="8"/>
          <c:order val="4"/>
          <c:tx>
            <c:strRef>
              <c:f>Spectral!$T$40</c:f>
              <c:strCache>
                <c:ptCount val="1"/>
                <c:pt idx="0">
                  <c:v>A_01_TM</c:v>
                </c:pt>
              </c:strCache>
            </c:strRef>
          </c:tx>
          <c:spPr>
            <a:ln w="28575" cap="rnd" cmpd="dbl">
              <a:solidFill>
                <a:srgbClr val="B1EE2D"/>
              </a:solidFill>
              <a:round/>
            </a:ln>
            <a:effectLst/>
          </c:spPr>
          <c:marker>
            <c:symbol val="diamond"/>
            <c:size val="8"/>
            <c:spPr>
              <a:noFill/>
              <a:ln w="9525" cmpd="dbl">
                <a:solidFill>
                  <a:srgbClr val="B1EE2D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Spectral!$T$42:$T$47</c:f>
              <c:numCache>
                <c:formatCode>0.00%</c:formatCode>
                <c:ptCount val="6"/>
                <c:pt idx="0">
                  <c:v>0.22814649864505721</c:v>
                </c:pt>
                <c:pt idx="1">
                  <c:v>0.22983826905398741</c:v>
                </c:pt>
                <c:pt idx="2">
                  <c:v>0.30830114694479316</c:v>
                </c:pt>
                <c:pt idx="3">
                  <c:v>0.20951333714106149</c:v>
                </c:pt>
                <c:pt idx="4">
                  <c:v>0.18629111526681658</c:v>
                </c:pt>
                <c:pt idx="5">
                  <c:v>0.28301351337205077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CA-4F86-B67B-454B466737FF}"/>
            </c:ext>
          </c:extLst>
        </c:ser>
        <c:ser>
          <c:idx val="9"/>
          <c:order val="5"/>
          <c:tx>
            <c:strRef>
              <c:f>Spectral!$T$50</c:f>
              <c:strCache>
                <c:ptCount val="1"/>
                <c:pt idx="0">
                  <c:v>A_07_ETM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Spectral!$T$52:$T$57</c:f>
              <c:numCache>
                <c:formatCode>0.00%</c:formatCode>
                <c:ptCount val="6"/>
                <c:pt idx="0">
                  <c:v>0.22640883415683027</c:v>
                </c:pt>
                <c:pt idx="1">
                  <c:v>0.20183493214984036</c:v>
                </c:pt>
                <c:pt idx="2">
                  <c:v>0.29799223125433699</c:v>
                </c:pt>
                <c:pt idx="3">
                  <c:v>0.17146728615808643</c:v>
                </c:pt>
                <c:pt idx="4">
                  <c:v>0.19085836910135365</c:v>
                </c:pt>
                <c:pt idx="5">
                  <c:v>0.28416226053886984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CA-4F86-B67B-454B466737FF}"/>
            </c:ext>
          </c:extLst>
        </c:ser>
        <c:ser>
          <c:idx val="4"/>
          <c:order val="6"/>
          <c:tx>
            <c:strRef>
              <c:f>Spectral!$T$60</c:f>
              <c:strCache>
                <c:ptCount val="1"/>
                <c:pt idx="0">
                  <c:v>A_11_ETM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Spectral!$T$62:$T$67</c:f>
              <c:numCache>
                <c:formatCode>0.00%</c:formatCode>
                <c:ptCount val="6"/>
                <c:pt idx="0">
                  <c:v>0.28198587592903129</c:v>
                </c:pt>
                <c:pt idx="1">
                  <c:v>0.2286712083807341</c:v>
                </c:pt>
                <c:pt idx="2">
                  <c:v>0.36586451687011545</c:v>
                </c:pt>
                <c:pt idx="3">
                  <c:v>0.20383895582652398</c:v>
                </c:pt>
                <c:pt idx="4">
                  <c:v>0.19716034844677394</c:v>
                </c:pt>
                <c:pt idx="5">
                  <c:v>0.33643166885763603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CA-4F86-B67B-454B466737FF}"/>
            </c:ext>
          </c:extLst>
        </c:ser>
        <c:ser>
          <c:idx val="3"/>
          <c:order val="7"/>
          <c:tx>
            <c:strRef>
              <c:f>Spectral!$T$70</c:f>
              <c:strCache>
                <c:ptCount val="1"/>
                <c:pt idx="0">
                  <c:v>A_15_OLI</c:v>
                </c:pt>
              </c:strCache>
            </c:strRef>
          </c:tx>
          <c:spPr>
            <a:ln w="28575" cap="rnd">
              <a:solidFill>
                <a:srgbClr val="B1EE2D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Spectral!$T$72:$T$77</c:f>
              <c:numCache>
                <c:formatCode>0.00%</c:formatCode>
                <c:ptCount val="6"/>
                <c:pt idx="0">
                  <c:v>0.79371924137173278</c:v>
                </c:pt>
                <c:pt idx="1">
                  <c:v>0.30771582227022176</c:v>
                </c:pt>
                <c:pt idx="2">
                  <c:v>0.47748905619016468</c:v>
                </c:pt>
                <c:pt idx="3">
                  <c:v>0.22648144961962047</c:v>
                </c:pt>
                <c:pt idx="4">
                  <c:v>0.20672761996610209</c:v>
                </c:pt>
                <c:pt idx="5">
                  <c:v>0.33122884064081115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CA-4F86-B67B-454B466737FF}"/>
            </c:ext>
          </c:extLst>
        </c:ser>
        <c:ser>
          <c:idx val="5"/>
          <c:order val="8"/>
          <c:tx>
            <c:strRef>
              <c:f>Spectral!$T$80</c:f>
              <c:strCache>
                <c:ptCount val="1"/>
                <c:pt idx="0">
                  <c:v>A_19_OLI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Spectral!$T$82:$T$87</c:f>
              <c:numCache>
                <c:formatCode>0.00%</c:formatCode>
                <c:ptCount val="6"/>
                <c:pt idx="0">
                  <c:v>0.62744861073497704</c:v>
                </c:pt>
                <c:pt idx="1">
                  <c:v>0.29386935223570082</c:v>
                </c:pt>
                <c:pt idx="2">
                  <c:v>0.45135936398232135</c:v>
                </c:pt>
                <c:pt idx="3">
                  <c:v>0.23404796858995319</c:v>
                </c:pt>
                <c:pt idx="4">
                  <c:v>0.20455408482399021</c:v>
                </c:pt>
                <c:pt idx="5">
                  <c:v>0.33357433842761641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CA-4F86-B67B-454B466737FF}"/>
            </c:ext>
          </c:extLst>
        </c:ser>
        <c:ser>
          <c:idx val="0"/>
          <c:order val="9"/>
          <c:tx>
            <c:strRef>
              <c:f>Spectral!$T$90</c:f>
              <c:strCache>
                <c:ptCount val="1"/>
                <c:pt idx="0">
                  <c:v>A_19_MSI</c:v>
                </c:pt>
              </c:strCache>
            </c:strRef>
          </c:tx>
          <c:spPr>
            <a:ln w="12700" cap="rnd">
              <a:solidFill>
                <a:srgbClr val="B1EE2D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Spectral!$T$92:$T$101</c:f>
              <c:numCache>
                <c:formatCode>0.00%</c:formatCode>
                <c:ptCount val="10"/>
                <c:pt idx="0">
                  <c:v>0.50825575449295524</c:v>
                </c:pt>
                <c:pt idx="1">
                  <c:v>0.31021514939452832</c:v>
                </c:pt>
                <c:pt idx="2">
                  <c:v>0.52974200748428824</c:v>
                </c:pt>
                <c:pt idx="3">
                  <c:v>0.25580031247537921</c:v>
                </c:pt>
                <c:pt idx="4">
                  <c:v>0.22024985620443763</c:v>
                </c:pt>
                <c:pt idx="5">
                  <c:v>0.24928651936036481</c:v>
                </c:pt>
                <c:pt idx="6">
                  <c:v>0.26301267850958127</c:v>
                </c:pt>
                <c:pt idx="7">
                  <c:v>0.23519916802914614</c:v>
                </c:pt>
                <c:pt idx="8">
                  <c:v>0.18529425944286071</c:v>
                </c:pt>
                <c:pt idx="9">
                  <c:v>0.30827967822566199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CA-4F86-B67B-454B466737FF}"/>
            </c:ext>
          </c:extLst>
        </c:ser>
        <c:ser>
          <c:idx val="10"/>
          <c:order val="10"/>
          <c:tx>
            <c:strRef>
              <c:f>Spectral!$T$104</c:f>
              <c:strCache>
                <c:ptCount val="1"/>
                <c:pt idx="0">
                  <c:v>A_24_MSI</c:v>
                </c:pt>
              </c:strCache>
            </c:strRef>
          </c:tx>
          <c:spPr>
            <a:ln w="28575" cap="rnd" cmpd="dbl">
              <a:solidFill>
                <a:srgbClr val="B1EE2D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9525" cmpd="dbl">
                <a:solidFill>
                  <a:srgbClr val="B1EE2D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Spectral!$T$106:$T$115</c:f>
              <c:numCache>
                <c:formatCode>0.00%</c:formatCode>
                <c:ptCount val="10"/>
                <c:pt idx="0">
                  <c:v>0.43259337594568298</c:v>
                </c:pt>
                <c:pt idx="1">
                  <c:v>0.29708566452144847</c:v>
                </c:pt>
                <c:pt idx="2">
                  <c:v>0.46567303242612312</c:v>
                </c:pt>
                <c:pt idx="3">
                  <c:v>0.23855381408752652</c:v>
                </c:pt>
                <c:pt idx="4">
                  <c:v>0.18660609246414919</c:v>
                </c:pt>
                <c:pt idx="5">
                  <c:v>0.21578787199893817</c:v>
                </c:pt>
                <c:pt idx="6">
                  <c:v>0.2301078418234084</c:v>
                </c:pt>
                <c:pt idx="7">
                  <c:v>0.20434318892790648</c:v>
                </c:pt>
                <c:pt idx="8">
                  <c:v>0.18168508256895946</c:v>
                </c:pt>
                <c:pt idx="9">
                  <c:v>0.28422534256203541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CA-4F86-B67B-454B46673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Coefficient of Variation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1.0000000000000002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3 Forest CV Spectral Signatures GUE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Spectral!$U$4</c:f>
              <c:strCache>
                <c:ptCount val="1"/>
                <c:pt idx="0">
                  <c:v>F_77_MSS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Spectral!$U$6:$U$9</c:f>
              <c:numCache>
                <c:formatCode>0.00%</c:formatCode>
                <c:ptCount val="4"/>
                <c:pt idx="0">
                  <c:v>0.30107427701115674</c:v>
                </c:pt>
                <c:pt idx="1">
                  <c:v>0.21126540013618755</c:v>
                </c:pt>
                <c:pt idx="2">
                  <c:v>0.23310626629616879</c:v>
                </c:pt>
                <c:pt idx="3">
                  <c:v>0.24324054770804962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84-445E-A805-BD1DACBB559A}"/>
            </c:ext>
          </c:extLst>
        </c:ser>
        <c:ser>
          <c:idx val="7"/>
          <c:order val="1"/>
          <c:tx>
            <c:strRef>
              <c:f>Spectral!$U$12</c:f>
              <c:strCache>
                <c:ptCount val="1"/>
                <c:pt idx="0">
                  <c:v>F_88_MSS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149721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Spectral!$U$14:$U$17</c:f>
              <c:numCache>
                <c:formatCode>0.00%</c:formatCode>
                <c:ptCount val="4"/>
                <c:pt idx="0">
                  <c:v>0.11975441347424479</c:v>
                </c:pt>
                <c:pt idx="1">
                  <c:v>0.16695081207308946</c:v>
                </c:pt>
                <c:pt idx="2">
                  <c:v>0.16251460593359793</c:v>
                </c:pt>
                <c:pt idx="3">
                  <c:v>0.17846614682596057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84-445E-A805-BD1DACBB559A}"/>
            </c:ext>
          </c:extLst>
        </c:ser>
        <c:ser>
          <c:idx val="2"/>
          <c:order val="2"/>
          <c:tx>
            <c:strRef>
              <c:f>Spectral!$U$20</c:f>
              <c:strCache>
                <c:ptCount val="1"/>
                <c:pt idx="0">
                  <c:v>F_88_TM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Spectral!$U$22:$U$27</c:f>
              <c:numCache>
                <c:formatCode>0.00%</c:formatCode>
                <c:ptCount val="6"/>
                <c:pt idx="0">
                  <c:v>0.2556731636936207</c:v>
                </c:pt>
                <c:pt idx="1">
                  <c:v>0.23624770838531078</c:v>
                </c:pt>
                <c:pt idx="2">
                  <c:v>0.28215606115833158</c:v>
                </c:pt>
                <c:pt idx="3">
                  <c:v>0.21012300875810855</c:v>
                </c:pt>
                <c:pt idx="4">
                  <c:v>0.29216997245561399</c:v>
                </c:pt>
                <c:pt idx="5">
                  <c:v>0.39349085730962119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84-445E-A805-BD1DACBB559A}"/>
            </c:ext>
          </c:extLst>
        </c:ser>
        <c:ser>
          <c:idx val="6"/>
          <c:order val="3"/>
          <c:tx>
            <c:strRef>
              <c:f>Spectral!$U$30</c:f>
              <c:strCache>
                <c:ptCount val="1"/>
                <c:pt idx="0">
                  <c:v>F_91_TM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149721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Spectral!$U$32:$U$37</c:f>
              <c:numCache>
                <c:formatCode>0.00%</c:formatCode>
                <c:ptCount val="6"/>
                <c:pt idx="0">
                  <c:v>0.22868903310278224</c:v>
                </c:pt>
                <c:pt idx="1">
                  <c:v>0.20601234701878587</c:v>
                </c:pt>
                <c:pt idx="2">
                  <c:v>0.26502937247688635</c:v>
                </c:pt>
                <c:pt idx="3">
                  <c:v>0.20638000949041468</c:v>
                </c:pt>
                <c:pt idx="4">
                  <c:v>0.2927058423221594</c:v>
                </c:pt>
                <c:pt idx="5">
                  <c:v>0.36832649206874746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84-445E-A805-BD1DACBB559A}"/>
            </c:ext>
          </c:extLst>
        </c:ser>
        <c:ser>
          <c:idx val="8"/>
          <c:order val="4"/>
          <c:tx>
            <c:strRef>
              <c:f>Spectral!$U$40</c:f>
              <c:strCache>
                <c:ptCount val="1"/>
                <c:pt idx="0">
                  <c:v>F_01_TM</c:v>
                </c:pt>
              </c:strCache>
            </c:strRef>
          </c:tx>
          <c:spPr>
            <a:ln w="28575" cap="rnd" cmpd="dbl">
              <a:solidFill>
                <a:srgbClr val="149721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9525" cmpd="dbl">
                <a:solidFill>
                  <a:srgbClr val="1F9DFF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Spectral!$U$42:$U$47</c:f>
              <c:numCache>
                <c:formatCode>0.00%</c:formatCode>
                <c:ptCount val="6"/>
                <c:pt idx="0">
                  <c:v>0.50304337449620973</c:v>
                </c:pt>
                <c:pt idx="1">
                  <c:v>0.33898564140112514</c:v>
                </c:pt>
                <c:pt idx="2">
                  <c:v>0.36164570996995643</c:v>
                </c:pt>
                <c:pt idx="3">
                  <c:v>0.24835362618440568</c:v>
                </c:pt>
                <c:pt idx="4">
                  <c:v>0.33008592804256109</c:v>
                </c:pt>
                <c:pt idx="5">
                  <c:v>0.4760412810745695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84-445E-A805-BD1DACBB559A}"/>
            </c:ext>
          </c:extLst>
        </c:ser>
        <c:ser>
          <c:idx val="9"/>
          <c:order val="5"/>
          <c:tx>
            <c:strRef>
              <c:f>Spectral!$U$50</c:f>
              <c:strCache>
                <c:ptCount val="1"/>
                <c:pt idx="0">
                  <c:v>F_07_ETM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149721"/>
                </a:solidFill>
                <a:prstDash val="solid"/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Spectral!$U$52:$U$57</c:f>
              <c:numCache>
                <c:formatCode>0.00%</c:formatCode>
                <c:ptCount val="6"/>
                <c:pt idx="0">
                  <c:v>0.202612209043667</c:v>
                </c:pt>
                <c:pt idx="1">
                  <c:v>0.1969399970489806</c:v>
                </c:pt>
                <c:pt idx="2">
                  <c:v>0.26553053490346606</c:v>
                </c:pt>
                <c:pt idx="3">
                  <c:v>0.19297757577792823</c:v>
                </c:pt>
                <c:pt idx="4">
                  <c:v>0.27471767236152472</c:v>
                </c:pt>
                <c:pt idx="5">
                  <c:v>0.34761054796154822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084-445E-A805-BD1DACBB559A}"/>
            </c:ext>
          </c:extLst>
        </c:ser>
        <c:ser>
          <c:idx val="4"/>
          <c:order val="6"/>
          <c:tx>
            <c:strRef>
              <c:f>Spectral!$U$60</c:f>
              <c:strCache>
                <c:ptCount val="1"/>
                <c:pt idx="0">
                  <c:v>F_11_ETM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lg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149721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Spectral!$U$62:$U$67</c:f>
              <c:numCache>
                <c:formatCode>0.00%</c:formatCode>
                <c:ptCount val="6"/>
                <c:pt idx="0">
                  <c:v>0.36899734087337033</c:v>
                </c:pt>
                <c:pt idx="1">
                  <c:v>0.29170504546447212</c:v>
                </c:pt>
                <c:pt idx="2">
                  <c:v>0.34319355573522492</c:v>
                </c:pt>
                <c:pt idx="3">
                  <c:v>0.22994939883653837</c:v>
                </c:pt>
                <c:pt idx="4">
                  <c:v>0.27896260460813316</c:v>
                </c:pt>
                <c:pt idx="5">
                  <c:v>0.34479256202138786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84-445E-A805-BD1DACBB559A}"/>
            </c:ext>
          </c:extLst>
        </c:ser>
        <c:ser>
          <c:idx val="3"/>
          <c:order val="7"/>
          <c:tx>
            <c:strRef>
              <c:f>Spectral!$U$70</c:f>
              <c:strCache>
                <c:ptCount val="1"/>
                <c:pt idx="0">
                  <c:v>F_15_OLI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Spectral!$U$72:$U$77</c:f>
              <c:numCache>
                <c:formatCode>0.00%</c:formatCode>
                <c:ptCount val="6"/>
                <c:pt idx="0">
                  <c:v>6.2440939930878701</c:v>
                </c:pt>
                <c:pt idx="1">
                  <c:v>0.4581112594174615</c:v>
                </c:pt>
                <c:pt idx="2">
                  <c:v>0.52127527382299521</c:v>
                </c:pt>
                <c:pt idx="3">
                  <c:v>0.25118689459128207</c:v>
                </c:pt>
                <c:pt idx="4">
                  <c:v>0.30202189426453097</c:v>
                </c:pt>
                <c:pt idx="5">
                  <c:v>0.36435648319623071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84-445E-A805-BD1DACBB559A}"/>
            </c:ext>
          </c:extLst>
        </c:ser>
        <c:ser>
          <c:idx val="5"/>
          <c:order val="8"/>
          <c:tx>
            <c:strRef>
              <c:f>Spectral!$U$80</c:f>
              <c:strCache>
                <c:ptCount val="1"/>
                <c:pt idx="0">
                  <c:v>F_19_OLI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149721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Spectral!$U$82:$U$87</c:f>
              <c:numCache>
                <c:formatCode>0.00%</c:formatCode>
                <c:ptCount val="6"/>
                <c:pt idx="0">
                  <c:v>5.5791639586169506</c:v>
                </c:pt>
                <c:pt idx="1">
                  <c:v>0.39385669681302349</c:v>
                </c:pt>
                <c:pt idx="2">
                  <c:v>0.43822240843776572</c:v>
                </c:pt>
                <c:pt idx="3">
                  <c:v>0.23453175340575516</c:v>
                </c:pt>
                <c:pt idx="4">
                  <c:v>0.29032983425509462</c:v>
                </c:pt>
                <c:pt idx="5">
                  <c:v>0.33725926426000558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84-445E-A805-BD1DACBB559A}"/>
            </c:ext>
          </c:extLst>
        </c:ser>
        <c:ser>
          <c:idx val="0"/>
          <c:order val="9"/>
          <c:tx>
            <c:strRef>
              <c:f>Spectral!$U$90</c:f>
              <c:strCache>
                <c:ptCount val="1"/>
                <c:pt idx="0">
                  <c:v>F_19_MSI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Spectral!$U$92:$U$101</c:f>
              <c:numCache>
                <c:formatCode>0.00%</c:formatCode>
                <c:ptCount val="10"/>
                <c:pt idx="0">
                  <c:v>0.47461248697989583</c:v>
                </c:pt>
                <c:pt idx="1">
                  <c:v>0.29090022018492118</c:v>
                </c:pt>
                <c:pt idx="2">
                  <c:v>0.41702254171761505</c:v>
                </c:pt>
                <c:pt idx="3">
                  <c:v>0.21825821955515978</c:v>
                </c:pt>
                <c:pt idx="4">
                  <c:v>0.17978180079136982</c:v>
                </c:pt>
                <c:pt idx="5">
                  <c:v>0.18553958320932648</c:v>
                </c:pt>
                <c:pt idx="6">
                  <c:v>0.20817214304150439</c:v>
                </c:pt>
                <c:pt idx="7">
                  <c:v>0.18585168912507435</c:v>
                </c:pt>
                <c:pt idx="8">
                  <c:v>0.2550425276336889</c:v>
                </c:pt>
                <c:pt idx="9">
                  <c:v>0.3088573393782415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84-445E-A805-BD1DACBB559A}"/>
            </c:ext>
          </c:extLst>
        </c:ser>
        <c:ser>
          <c:idx val="10"/>
          <c:order val="10"/>
          <c:tx>
            <c:strRef>
              <c:f>Spectral!$U$104</c:f>
              <c:strCache>
                <c:ptCount val="1"/>
                <c:pt idx="0">
                  <c:v>F_24_MSI</c:v>
                </c:pt>
              </c:strCache>
            </c:strRef>
          </c:tx>
          <c:spPr>
            <a:ln w="12700" cap="rnd">
              <a:solidFill>
                <a:srgbClr val="149721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15875" cmpd="dbl">
                <a:solidFill>
                  <a:srgbClr val="149721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Spectral!$U$106:$U$115</c:f>
              <c:numCache>
                <c:formatCode>0.00%</c:formatCode>
                <c:ptCount val="10"/>
                <c:pt idx="0">
                  <c:v>0.29108298687739864</c:v>
                </c:pt>
                <c:pt idx="1">
                  <c:v>0.23704854884298493</c:v>
                </c:pt>
                <c:pt idx="2">
                  <c:v>0.33878616019647434</c:v>
                </c:pt>
                <c:pt idx="3">
                  <c:v>0.19631027697748915</c:v>
                </c:pt>
                <c:pt idx="4">
                  <c:v>0.16663112621644566</c:v>
                </c:pt>
                <c:pt idx="5">
                  <c:v>0.1716282257390058</c:v>
                </c:pt>
                <c:pt idx="6">
                  <c:v>0.18986538302918338</c:v>
                </c:pt>
                <c:pt idx="7">
                  <c:v>0.17085147615228094</c:v>
                </c:pt>
                <c:pt idx="8">
                  <c:v>0.21498347201187926</c:v>
                </c:pt>
                <c:pt idx="9">
                  <c:v>0.2679107087992334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84-445E-A805-BD1DACBB5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Coefficient of Variation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1.0000000000000002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4 Shrubland-Wetland</a:t>
            </a:r>
            <a:r>
              <a:rPr lang="en-GB" baseline="0"/>
              <a:t> </a:t>
            </a:r>
            <a:r>
              <a:rPr lang="en-GB"/>
              <a:t>Mean Spectral Signatures GUE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Spectral!$V$4</c:f>
              <c:strCache>
                <c:ptCount val="1"/>
                <c:pt idx="0">
                  <c:v>S_77_MSS</c:v>
                </c:pt>
              </c:strCache>
            </c:strRef>
          </c:tx>
          <c:spPr>
            <a:ln w="28575" cap="rnd">
              <a:solidFill>
                <a:srgbClr val="AD8D06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Spectral!$V$6:$V$9</c:f>
              <c:numCache>
                <c:formatCode>0.00%</c:formatCode>
                <c:ptCount val="4"/>
                <c:pt idx="0">
                  <c:v>0.17855612887095007</c:v>
                </c:pt>
                <c:pt idx="1">
                  <c:v>0.16265005127764198</c:v>
                </c:pt>
                <c:pt idx="2">
                  <c:v>0.18569074151518403</c:v>
                </c:pt>
                <c:pt idx="3">
                  <c:v>0.19126718667333031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86-4F7C-A4E9-40CBC89C06FA}"/>
            </c:ext>
          </c:extLst>
        </c:ser>
        <c:ser>
          <c:idx val="7"/>
          <c:order val="1"/>
          <c:tx>
            <c:strRef>
              <c:f>Spectral!$V$12</c:f>
              <c:strCache>
                <c:ptCount val="1"/>
                <c:pt idx="0">
                  <c:v>S_88_MSS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AD8D06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Spectral!$V$14:$V$17</c:f>
              <c:numCache>
                <c:formatCode>0.00%</c:formatCode>
                <c:ptCount val="4"/>
                <c:pt idx="0">
                  <c:v>8.4808639179266468E-2</c:v>
                </c:pt>
                <c:pt idx="1">
                  <c:v>0.11092077284012872</c:v>
                </c:pt>
                <c:pt idx="2">
                  <c:v>0.1269726021342116</c:v>
                </c:pt>
                <c:pt idx="3">
                  <c:v>0.14000221546103256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86-4F7C-A4E9-40CBC89C06FA}"/>
            </c:ext>
          </c:extLst>
        </c:ser>
        <c:ser>
          <c:idx val="2"/>
          <c:order val="2"/>
          <c:tx>
            <c:strRef>
              <c:f>Spectral!$V$20</c:f>
              <c:strCache>
                <c:ptCount val="1"/>
                <c:pt idx="0">
                  <c:v>S_88_TM</c:v>
                </c:pt>
              </c:strCache>
            </c:strRef>
          </c:tx>
          <c:spPr>
            <a:ln w="28575" cap="rnd">
              <a:solidFill>
                <a:srgbClr val="AD8D06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Spectral!$V$22:$V$27</c:f>
              <c:numCache>
                <c:formatCode>0.00%</c:formatCode>
                <c:ptCount val="6"/>
                <c:pt idx="0">
                  <c:v>0.13580711328699591</c:v>
                </c:pt>
                <c:pt idx="1">
                  <c:v>0.126084076802468</c:v>
                </c:pt>
                <c:pt idx="2">
                  <c:v>0.14681800393049407</c:v>
                </c:pt>
                <c:pt idx="3">
                  <c:v>0.15631459204671208</c:v>
                </c:pt>
                <c:pt idx="4">
                  <c:v>0.13044422368632111</c:v>
                </c:pt>
                <c:pt idx="5">
                  <c:v>0.18062978914775307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86-4F7C-A4E9-40CBC89C06FA}"/>
            </c:ext>
          </c:extLst>
        </c:ser>
        <c:ser>
          <c:idx val="6"/>
          <c:order val="3"/>
          <c:tx>
            <c:strRef>
              <c:f>Spectral!$V$30</c:f>
              <c:strCache>
                <c:ptCount val="1"/>
                <c:pt idx="0">
                  <c:v>S_91_TM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AD8D06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Spectral!$V$32:$V$37</c:f>
              <c:numCache>
                <c:formatCode>0.00%</c:formatCode>
                <c:ptCount val="6"/>
                <c:pt idx="0">
                  <c:v>0.20456071379745863</c:v>
                </c:pt>
                <c:pt idx="1">
                  <c:v>0.17744724502954071</c:v>
                </c:pt>
                <c:pt idx="2">
                  <c:v>0.18710151664428087</c:v>
                </c:pt>
                <c:pt idx="3">
                  <c:v>0.1972026488854037</c:v>
                </c:pt>
                <c:pt idx="4">
                  <c:v>0.15973173565531257</c:v>
                </c:pt>
                <c:pt idx="5">
                  <c:v>0.1771975215797699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86-4F7C-A4E9-40CBC89C06FA}"/>
            </c:ext>
          </c:extLst>
        </c:ser>
        <c:ser>
          <c:idx val="8"/>
          <c:order val="4"/>
          <c:tx>
            <c:strRef>
              <c:f>Spectral!$V$40</c:f>
              <c:strCache>
                <c:ptCount val="1"/>
                <c:pt idx="0">
                  <c:v>S_01_TM</c:v>
                </c:pt>
              </c:strCache>
            </c:strRef>
          </c:tx>
          <c:spPr>
            <a:ln w="28575" cap="rnd" cmpd="dbl">
              <a:solidFill>
                <a:srgbClr val="AD8D06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9525" cmpd="dbl">
                <a:solidFill>
                  <a:srgbClr val="AD8D06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Spectral!$V$42:$V$47</c:f>
              <c:numCache>
                <c:formatCode>0.00%</c:formatCode>
                <c:ptCount val="6"/>
                <c:pt idx="0">
                  <c:v>0.19194535671964813</c:v>
                </c:pt>
                <c:pt idx="1">
                  <c:v>0.17403846893809802</c:v>
                </c:pt>
                <c:pt idx="2">
                  <c:v>0.20010676069378866</c:v>
                </c:pt>
                <c:pt idx="3">
                  <c:v>0.17776117391432025</c:v>
                </c:pt>
                <c:pt idx="4">
                  <c:v>0.17828446070503776</c:v>
                </c:pt>
                <c:pt idx="5">
                  <c:v>0.21371066561999308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786-4F7C-A4E9-40CBC89C06FA}"/>
            </c:ext>
          </c:extLst>
        </c:ser>
        <c:ser>
          <c:idx val="9"/>
          <c:order val="5"/>
          <c:tx>
            <c:strRef>
              <c:f>Spectral!$V$50</c:f>
              <c:strCache>
                <c:ptCount val="1"/>
                <c:pt idx="0">
                  <c:v>S_07_ETM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AD8D06"/>
                </a:solidFill>
                <a:prstDash val="solid"/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Spectral!$V$52:$V$57</c:f>
              <c:numCache>
                <c:formatCode>0.00%</c:formatCode>
                <c:ptCount val="6"/>
                <c:pt idx="0">
                  <c:v>0.1714371809515299</c:v>
                </c:pt>
                <c:pt idx="1">
                  <c:v>0.16344133467493194</c:v>
                </c:pt>
                <c:pt idx="2">
                  <c:v>0.20458865155413364</c:v>
                </c:pt>
                <c:pt idx="3">
                  <c:v>0.14295410742621695</c:v>
                </c:pt>
                <c:pt idx="4">
                  <c:v>0.1647678596121685</c:v>
                </c:pt>
                <c:pt idx="5">
                  <c:v>0.18706269388666302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786-4F7C-A4E9-40CBC89C06FA}"/>
            </c:ext>
          </c:extLst>
        </c:ser>
        <c:ser>
          <c:idx val="4"/>
          <c:order val="6"/>
          <c:tx>
            <c:strRef>
              <c:f>Spectral!$V$60</c:f>
              <c:strCache>
                <c:ptCount val="1"/>
                <c:pt idx="0">
                  <c:v>S_11_ETM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lg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AD8D06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Spectral!$V$62:$V$67</c:f>
              <c:numCache>
                <c:formatCode>0.00%</c:formatCode>
                <c:ptCount val="6"/>
                <c:pt idx="0">
                  <c:v>0.29985142052782571</c:v>
                </c:pt>
                <c:pt idx="1">
                  <c:v>0.25356222342168233</c:v>
                </c:pt>
                <c:pt idx="2">
                  <c:v>0.27592272654415378</c:v>
                </c:pt>
                <c:pt idx="3">
                  <c:v>0.16451316946925035</c:v>
                </c:pt>
                <c:pt idx="4">
                  <c:v>0.19889585760816691</c:v>
                </c:pt>
                <c:pt idx="5">
                  <c:v>0.25182685429324037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86-4F7C-A4E9-40CBC89C06FA}"/>
            </c:ext>
          </c:extLst>
        </c:ser>
        <c:ser>
          <c:idx val="3"/>
          <c:order val="7"/>
          <c:tx>
            <c:strRef>
              <c:f>Spectral!$V$70</c:f>
              <c:strCache>
                <c:ptCount val="1"/>
                <c:pt idx="0">
                  <c:v>S_15_OLI</c:v>
                </c:pt>
              </c:strCache>
            </c:strRef>
          </c:tx>
          <c:spPr>
            <a:ln w="28575" cap="rnd">
              <a:solidFill>
                <a:srgbClr val="AD8D06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Spectral!$V$72:$V$77</c:f>
              <c:numCache>
                <c:formatCode>0.00%</c:formatCode>
                <c:ptCount val="6"/>
                <c:pt idx="0">
                  <c:v>0.97306576325495142</c:v>
                </c:pt>
                <c:pt idx="1">
                  <c:v>0.3093256412293372</c:v>
                </c:pt>
                <c:pt idx="2">
                  <c:v>0.32890600970395456</c:v>
                </c:pt>
                <c:pt idx="3">
                  <c:v>0.17852878147151993</c:v>
                </c:pt>
                <c:pt idx="4">
                  <c:v>0.19698805243752457</c:v>
                </c:pt>
                <c:pt idx="5">
                  <c:v>0.23287478932468364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86-4F7C-A4E9-40CBC89C06FA}"/>
            </c:ext>
          </c:extLst>
        </c:ser>
        <c:ser>
          <c:idx val="5"/>
          <c:order val="8"/>
          <c:tx>
            <c:strRef>
              <c:f>Spectral!$V$80</c:f>
              <c:strCache>
                <c:ptCount val="1"/>
                <c:pt idx="0">
                  <c:v>S_19_OLI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AD8D06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Spectral!$V$82:$V$87</c:f>
              <c:numCache>
                <c:formatCode>0.00%</c:formatCode>
                <c:ptCount val="6"/>
                <c:pt idx="0">
                  <c:v>0.75732359297152219</c:v>
                </c:pt>
                <c:pt idx="1">
                  <c:v>0.29916843975189605</c:v>
                </c:pt>
                <c:pt idx="2">
                  <c:v>0.34046467110031814</c:v>
                </c:pt>
                <c:pt idx="3">
                  <c:v>0.16400684165444745</c:v>
                </c:pt>
                <c:pt idx="4">
                  <c:v>0.20898524595863591</c:v>
                </c:pt>
                <c:pt idx="5">
                  <c:v>0.26752559068409998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86-4F7C-A4E9-40CBC89C06FA}"/>
            </c:ext>
          </c:extLst>
        </c:ser>
        <c:ser>
          <c:idx val="0"/>
          <c:order val="9"/>
          <c:tx>
            <c:strRef>
              <c:f>Spectral!$V$90</c:f>
              <c:strCache>
                <c:ptCount val="1"/>
                <c:pt idx="0">
                  <c:v>S_19_MSI</c:v>
                </c:pt>
              </c:strCache>
            </c:strRef>
          </c:tx>
          <c:spPr>
            <a:ln w="25400" cap="rnd">
              <a:solidFill>
                <a:srgbClr val="AD8D06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Spectral!$V$92:$V$101</c:f>
              <c:numCache>
                <c:formatCode>0.00%</c:formatCode>
                <c:ptCount val="10"/>
                <c:pt idx="0">
                  <c:v>0.35677428993193677</c:v>
                </c:pt>
                <c:pt idx="1">
                  <c:v>0.23736421072327771</c:v>
                </c:pt>
                <c:pt idx="2">
                  <c:v>0.31779329325199351</c:v>
                </c:pt>
                <c:pt idx="3">
                  <c:v>0.16993173259478858</c:v>
                </c:pt>
                <c:pt idx="4">
                  <c:v>0.12613046222185145</c:v>
                </c:pt>
                <c:pt idx="5">
                  <c:v>0.12739910469979315</c:v>
                </c:pt>
                <c:pt idx="6">
                  <c:v>0.13467856804694509</c:v>
                </c:pt>
                <c:pt idx="7">
                  <c:v>0.12512474536853624</c:v>
                </c:pt>
                <c:pt idx="8">
                  <c:v>0.16396058837147173</c:v>
                </c:pt>
                <c:pt idx="9">
                  <c:v>0.22718987097960502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86-4F7C-A4E9-40CBC89C06FA}"/>
            </c:ext>
          </c:extLst>
        </c:ser>
        <c:ser>
          <c:idx val="10"/>
          <c:order val="10"/>
          <c:tx>
            <c:strRef>
              <c:f>Spectral!$V$104</c:f>
              <c:strCache>
                <c:ptCount val="1"/>
                <c:pt idx="0">
                  <c:v>S_24_MSI</c:v>
                </c:pt>
              </c:strCache>
            </c:strRef>
          </c:tx>
          <c:spPr>
            <a:ln w="12700" cap="rnd">
              <a:solidFill>
                <a:srgbClr val="AD8D06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15875" cmpd="dbl">
                <a:solidFill>
                  <a:srgbClr val="AD8D06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Spectral!$V$106:$V$115</c:f>
              <c:numCache>
                <c:formatCode>0.00%</c:formatCode>
                <c:ptCount val="10"/>
                <c:pt idx="0">
                  <c:v>0.18659523275084863</c:v>
                </c:pt>
                <c:pt idx="1">
                  <c:v>0.15688321314982248</c:v>
                </c:pt>
                <c:pt idx="2">
                  <c:v>0.23309989822713389</c:v>
                </c:pt>
                <c:pt idx="3">
                  <c:v>0.13493758256973246</c:v>
                </c:pt>
                <c:pt idx="4">
                  <c:v>0.12052253372017786</c:v>
                </c:pt>
                <c:pt idx="5">
                  <c:v>0.12117600061871529</c:v>
                </c:pt>
                <c:pt idx="6">
                  <c:v>0.12808992026648403</c:v>
                </c:pt>
                <c:pt idx="7">
                  <c:v>0.11802624315402459</c:v>
                </c:pt>
                <c:pt idx="8">
                  <c:v>0.12985310934680314</c:v>
                </c:pt>
                <c:pt idx="9">
                  <c:v>0.16064202215867537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86-4F7C-A4E9-40CBC89C0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Coefficient of Variation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1.0000000000000002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Mode Classification</a:t>
            </a:r>
            <a:endParaRPr lang="en-US" sz="2000"/>
          </a:p>
        </c:rich>
      </c:tx>
      <c:layout>
        <c:manualLayout>
          <c:xMode val="edge"/>
          <c:yMode val="edge"/>
          <c:x val="0.32620683426469255"/>
          <c:y val="1.0282884262081189E-2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95803004567238"/>
          <c:y val="8.196151821393248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GUE_all!$D$4</c:f>
              <c:strCache>
                <c:ptCount val="1"/>
                <c:pt idx="0">
                  <c:v>W_77_MSS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xVal>
            <c:numRef>
              <c:f>GUE_all!$D$8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GUE_all!$D$10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08-4740-B84E-1BB67743B2CD}"/>
            </c:ext>
          </c:extLst>
        </c:ser>
        <c:ser>
          <c:idx val="1"/>
          <c:order val="1"/>
          <c:tx>
            <c:strRef>
              <c:f>GUE_all!$D$52</c:f>
              <c:strCache>
                <c:ptCount val="1"/>
                <c:pt idx="0">
                  <c:v>W_88_MSS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noFill/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xVal>
            <c:numRef>
              <c:f>GUE_all!$D$56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GUE_all!$D$58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08-4740-B84E-1BB67743B2CD}"/>
            </c:ext>
          </c:extLst>
        </c:ser>
        <c:ser>
          <c:idx val="8"/>
          <c:order val="2"/>
          <c:tx>
            <c:strRef>
              <c:f>GUE_all!$D$100</c:f>
              <c:strCache>
                <c:ptCount val="1"/>
                <c:pt idx="0">
                  <c:v>W_88_TM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9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xVal>
            <c:numRef>
              <c:f>GUE_all!$D$104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GUE_all!$D$106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08-4740-B84E-1BB67743B2CD}"/>
            </c:ext>
          </c:extLst>
        </c:ser>
        <c:ser>
          <c:idx val="15"/>
          <c:order val="3"/>
          <c:tx>
            <c:strRef>
              <c:f>GUE_all!$D$148</c:f>
              <c:strCache>
                <c:ptCount val="1"/>
                <c:pt idx="0">
                  <c:v>W_91_TM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9"/>
            <c:spPr>
              <a:noFill/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xVal>
            <c:numRef>
              <c:f>GUE_all!$D$152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GUE_all!$D$154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08-4740-B84E-1BB67743B2CD}"/>
            </c:ext>
          </c:extLst>
        </c:ser>
        <c:ser>
          <c:idx val="20"/>
          <c:order val="4"/>
          <c:tx>
            <c:strRef>
              <c:f>GUE_all!$D$196</c:f>
              <c:strCache>
                <c:ptCount val="1"/>
                <c:pt idx="0">
                  <c:v>W_01_TM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1F9DFF"/>
                </a:solidFill>
              </a:ln>
              <a:effectLst/>
            </c:spPr>
          </c:marker>
          <c:xVal>
            <c:numRef>
              <c:f>GUE_all!$D$200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GUE_all!$D$202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08-4740-B84E-1BB67743B2CD}"/>
            </c:ext>
          </c:extLst>
        </c:ser>
        <c:ser>
          <c:idx val="25"/>
          <c:order val="5"/>
          <c:tx>
            <c:strRef>
              <c:f>GUE_all!$D$244</c:f>
              <c:strCache>
                <c:ptCount val="1"/>
                <c:pt idx="0">
                  <c:v>W_07_ETM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 cmpd="sng">
                <a:solidFill>
                  <a:srgbClr val="1F9DFF"/>
                </a:solidFill>
                <a:prstDash val="solid"/>
              </a:ln>
              <a:effectLst/>
            </c:spPr>
          </c:marker>
          <c:xVal>
            <c:numRef>
              <c:f>GUE_all!$D$248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GUE_all!$D$250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08-4740-B84E-1BB67743B2CD}"/>
            </c:ext>
          </c:extLst>
        </c:ser>
        <c:ser>
          <c:idx val="30"/>
          <c:order val="6"/>
          <c:tx>
            <c:strRef>
              <c:f>GUE_all!$D$292</c:f>
              <c:strCache>
                <c:ptCount val="1"/>
                <c:pt idx="0">
                  <c:v>W_11_ETM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1F9DFF">
                  <a:alpha val="20000"/>
                </a:srgbClr>
              </a:solidFill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xVal>
            <c:numRef>
              <c:f>GUE_all!$D$296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GUE_all!$D$298</c:f>
              <c:numCache>
                <c:formatCode>0.00</c:formatCode>
                <c:ptCount val="1"/>
                <c:pt idx="0">
                  <c:v>99.613899613899619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08-4740-B84E-1BB67743B2CD}"/>
            </c:ext>
          </c:extLst>
        </c:ser>
        <c:ser>
          <c:idx val="35"/>
          <c:order val="7"/>
          <c:tx>
            <c:strRef>
              <c:f>GUE_all!$D$340</c:f>
              <c:strCache>
                <c:ptCount val="1"/>
                <c:pt idx="0">
                  <c:v>W_15_OLI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xVal>
            <c:numRef>
              <c:f>GUE_all!$D$344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GUE_all!$D$346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08-4740-B84E-1BB67743B2CD}"/>
            </c:ext>
          </c:extLst>
        </c:ser>
        <c:ser>
          <c:idx val="40"/>
          <c:order val="8"/>
          <c:tx>
            <c:strRef>
              <c:f>GUE_all!$D$388</c:f>
              <c:strCache>
                <c:ptCount val="1"/>
                <c:pt idx="0">
                  <c:v>W_19_OLI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GUE_all!$D$392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GUE_all!$D$394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08-4740-B84E-1BB67743B2CD}"/>
            </c:ext>
          </c:extLst>
        </c:ser>
        <c:ser>
          <c:idx val="44"/>
          <c:order val="9"/>
          <c:tx>
            <c:strRef>
              <c:f>GUE_all!$D$436</c:f>
              <c:strCache>
                <c:ptCount val="1"/>
                <c:pt idx="0">
                  <c:v>W_19_MSI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19050">
                <a:solidFill>
                  <a:srgbClr val="1F9DFF"/>
                </a:solidFill>
              </a:ln>
              <a:effectLst/>
            </c:spPr>
          </c:marker>
          <c:xVal>
            <c:numRef>
              <c:f>GUE_all!$D$440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GUE_all!$D$442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08-4740-B84E-1BB67743B2CD}"/>
            </c:ext>
          </c:extLst>
        </c:ser>
        <c:ser>
          <c:idx val="49"/>
          <c:order val="10"/>
          <c:tx>
            <c:strRef>
              <c:f>GUE_all!$D$484</c:f>
              <c:strCache>
                <c:ptCount val="1"/>
                <c:pt idx="0">
                  <c:v>W_24_MSI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31750" cmpd="dbl">
                <a:solidFill>
                  <a:srgbClr val="1F9DFF"/>
                </a:solidFill>
                <a:prstDash val="solid"/>
              </a:ln>
              <a:effectLst/>
            </c:spPr>
          </c:marker>
          <c:xVal>
            <c:numRef>
              <c:f>GUE_all!$D$488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GUE_all!$D$490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08-4740-B84E-1BB67743B2CD}"/>
            </c:ext>
          </c:extLst>
        </c:ser>
        <c:ser>
          <c:idx val="9"/>
          <c:order val="11"/>
          <c:tx>
            <c:strRef>
              <c:f>GUE_all!$E$4</c:f>
              <c:strCache>
                <c:ptCount val="1"/>
                <c:pt idx="0">
                  <c:v>B_77_MSS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GUE_all!$E$9</c:f>
                <c:numCache>
                  <c:formatCode>General</c:formatCode>
                  <c:ptCount val="1"/>
                  <c:pt idx="0">
                    <c:v>3.4602129973897178</c:v>
                  </c:pt>
                </c:numCache>
              </c:numRef>
            </c:plus>
            <c:minus>
              <c:numRef>
                <c:f>GUE_all!$E$9</c:f>
                <c:numCache>
                  <c:formatCode>General</c:formatCode>
                  <c:ptCount val="1"/>
                  <c:pt idx="0">
                    <c:v>3.4602129973897178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GUE_all!$E$11</c:f>
                <c:numCache>
                  <c:formatCode>General</c:formatCode>
                  <c:ptCount val="1"/>
                  <c:pt idx="0">
                    <c:v>2.1377790082367012</c:v>
                  </c:pt>
                </c:numCache>
              </c:numRef>
            </c:plus>
            <c:minus>
              <c:numRef>
                <c:f>GUE_all!$E$11</c:f>
                <c:numCache>
                  <c:formatCode>General</c:formatCode>
                  <c:ptCount val="1"/>
                  <c:pt idx="0">
                    <c:v>2.1377790082367012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GUE_all!$E$8</c:f>
              <c:numCache>
                <c:formatCode>0.00</c:formatCode>
                <c:ptCount val="1"/>
                <c:pt idx="0">
                  <c:v>84.532221426595456</c:v>
                </c:pt>
              </c:numCache>
            </c:numRef>
          </c:xVal>
          <c:yVal>
            <c:numRef>
              <c:f>GUE_all!$E$10</c:f>
              <c:numCache>
                <c:formatCode>0.00</c:formatCode>
                <c:ptCount val="1"/>
                <c:pt idx="0">
                  <c:v>95.652173913043484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708-4740-B84E-1BB67743B2CD}"/>
            </c:ext>
          </c:extLst>
        </c:ser>
        <c:ser>
          <c:idx val="2"/>
          <c:order val="12"/>
          <c:tx>
            <c:strRef>
              <c:f>GUE_all!$E$52</c:f>
              <c:strCache>
                <c:ptCount val="1"/>
                <c:pt idx="0">
                  <c:v>B_88_MSS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chemeClr val="accent3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GUE_all!$E$59</c:f>
                <c:numCache>
                  <c:formatCode>General</c:formatCode>
                  <c:ptCount val="1"/>
                  <c:pt idx="0">
                    <c:v>1.5287192313211824</c:v>
                  </c:pt>
                </c:numCache>
              </c:numRef>
            </c:plus>
            <c:minus>
              <c:numRef>
                <c:f>GUE_all!$E$59</c:f>
                <c:numCache>
                  <c:formatCode>General</c:formatCode>
                  <c:ptCount val="1"/>
                  <c:pt idx="0">
                    <c:v>1.5287192313211824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GUE_all!$E$57</c:f>
                <c:numCache>
                  <c:formatCode>General</c:formatCode>
                  <c:ptCount val="1"/>
                  <c:pt idx="0">
                    <c:v>1.7544102301500859</c:v>
                  </c:pt>
                </c:numCache>
              </c:numRef>
            </c:plus>
            <c:minus>
              <c:numRef>
                <c:f>GUE_all!$E$57</c:f>
                <c:numCache>
                  <c:formatCode>General</c:formatCode>
                  <c:ptCount val="1"/>
                  <c:pt idx="0">
                    <c:v>1.7544102301500859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xVal>
            <c:numRef>
              <c:f>GUE_all!$E$56</c:f>
              <c:numCache>
                <c:formatCode>0.00</c:formatCode>
                <c:ptCount val="1"/>
                <c:pt idx="0">
                  <c:v>95.805803120536709</c:v>
                </c:pt>
              </c:numCache>
            </c:numRef>
          </c:xVal>
          <c:yVal>
            <c:numRef>
              <c:f>GUE_all!$E$58</c:f>
              <c:numCache>
                <c:formatCode>0.00</c:formatCode>
                <c:ptCount val="1"/>
                <c:pt idx="0">
                  <c:v>97.826086956521735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708-4740-B84E-1BB67743B2CD}"/>
            </c:ext>
          </c:extLst>
        </c:ser>
        <c:ser>
          <c:idx val="11"/>
          <c:order val="13"/>
          <c:tx>
            <c:strRef>
              <c:f>GUE_all!$E$100</c:f>
              <c:strCache>
                <c:ptCount val="1"/>
                <c:pt idx="0">
                  <c:v>B_88_TM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GUE_all!$E$105</c:f>
                <c:numCache>
                  <c:formatCode>General</c:formatCode>
                  <c:ptCount val="1"/>
                  <c:pt idx="0">
                    <c:v>1.0230769856004167</c:v>
                  </c:pt>
                </c:numCache>
              </c:numRef>
            </c:plus>
            <c:minus>
              <c:numRef>
                <c:f>GUE_all!$E$105</c:f>
                <c:numCache>
                  <c:formatCode>General</c:formatCode>
                  <c:ptCount val="1"/>
                  <c:pt idx="0">
                    <c:v>1.0230769856004167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GUE_all!$E$107</c:f>
                <c:numCache>
                  <c:formatCode>General</c:formatCode>
                  <c:ptCount val="1"/>
                  <c:pt idx="0">
                    <c:v>0.2949852507374659</c:v>
                  </c:pt>
                </c:numCache>
              </c:numRef>
            </c:plus>
            <c:minus>
              <c:numRef>
                <c:f>GUE_all!$E$107</c:f>
                <c:numCache>
                  <c:formatCode>General</c:formatCode>
                  <c:ptCount val="1"/>
                  <c:pt idx="0">
                    <c:v>0.2949852507374659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GUE_all!$E$104</c:f>
              <c:numCache>
                <c:formatCode>0.00</c:formatCode>
                <c:ptCount val="1"/>
                <c:pt idx="0">
                  <c:v>89.877919012353431</c:v>
                </c:pt>
              </c:numCache>
            </c:numRef>
          </c:xVal>
          <c:yVal>
            <c:numRef>
              <c:f>GUE_all!$E$106</c:f>
              <c:numCache>
                <c:formatCode>0.00</c:formatCode>
                <c:ptCount val="1"/>
                <c:pt idx="0">
                  <c:v>99.705014749262531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708-4740-B84E-1BB67743B2CD}"/>
            </c:ext>
          </c:extLst>
        </c:ser>
        <c:ser>
          <c:idx val="16"/>
          <c:order val="14"/>
          <c:tx>
            <c:strRef>
              <c:f>GUE_all!$E$148</c:f>
              <c:strCache>
                <c:ptCount val="1"/>
                <c:pt idx="0">
                  <c:v>B_91_TM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CACDDE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GUE_all!$E$153</c:f>
                <c:numCache>
                  <c:formatCode>General</c:formatCode>
                  <c:ptCount val="1"/>
                  <c:pt idx="0">
                    <c:v>5.3923953967050879</c:v>
                  </c:pt>
                </c:numCache>
              </c:numRef>
            </c:plus>
            <c:minus>
              <c:numRef>
                <c:f>GUE_all!$E$153</c:f>
                <c:numCache>
                  <c:formatCode>General</c:formatCode>
                  <c:ptCount val="1"/>
                  <c:pt idx="0">
                    <c:v>5.3923953967050879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GUE_all!$E$155</c:f>
                <c:numCache>
                  <c:formatCode>General</c:formatCode>
                  <c:ptCount val="1"/>
                  <c:pt idx="0">
                    <c:v>1.8627504529603398</c:v>
                  </c:pt>
                </c:numCache>
              </c:numRef>
            </c:plus>
            <c:minus>
              <c:numRef>
                <c:f>GUE_all!$E$155</c:f>
                <c:numCache>
                  <c:formatCode>General</c:formatCode>
                  <c:ptCount val="1"/>
                  <c:pt idx="0">
                    <c:v>1.8627504529603398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xVal>
            <c:numRef>
              <c:f>GUE_all!$E$152</c:f>
              <c:numCache>
                <c:formatCode>0.00</c:formatCode>
                <c:ptCount val="1"/>
                <c:pt idx="0">
                  <c:v>57.419139761296556</c:v>
                </c:pt>
              </c:numCache>
            </c:numRef>
          </c:xVal>
          <c:yVal>
            <c:numRef>
              <c:f>GUE_all!$E$154</c:f>
              <c:numCache>
                <c:formatCode>0.00</c:formatCode>
                <c:ptCount val="1"/>
                <c:pt idx="0">
                  <c:v>86.430678466076699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708-4740-B84E-1BB67743B2CD}"/>
            </c:ext>
          </c:extLst>
        </c:ser>
        <c:ser>
          <c:idx val="21"/>
          <c:order val="15"/>
          <c:tx>
            <c:strRef>
              <c:f>GUE_all!$E$196</c:f>
              <c:strCache>
                <c:ptCount val="1"/>
                <c:pt idx="0">
                  <c:v>B_01_TM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GUE_all!$E$201</c:f>
                <c:numCache>
                  <c:formatCode>General</c:formatCode>
                  <c:ptCount val="1"/>
                  <c:pt idx="0">
                    <c:v>2.5417107325259485</c:v>
                  </c:pt>
                </c:numCache>
              </c:numRef>
            </c:plus>
            <c:minus>
              <c:numRef>
                <c:f>GUE_all!$E$201</c:f>
                <c:numCache>
                  <c:formatCode>General</c:formatCode>
                  <c:ptCount val="1"/>
                  <c:pt idx="0">
                    <c:v>2.5417107325259485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GUE_all!$E$203</c:f>
                <c:numCache>
                  <c:formatCode>General</c:formatCode>
                  <c:ptCount val="1"/>
                  <c:pt idx="0">
                    <c:v>1.3678844450285044</c:v>
                  </c:pt>
                </c:numCache>
              </c:numRef>
            </c:plus>
            <c:minus>
              <c:numRef>
                <c:f>GUE_all!$E$203</c:f>
                <c:numCache>
                  <c:formatCode>General</c:formatCode>
                  <c:ptCount val="1"/>
                  <c:pt idx="0">
                    <c:v>1.3678844450285044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GUE_all!$E$200</c:f>
              <c:numCache>
                <c:formatCode>0.00</c:formatCode>
                <c:ptCount val="1"/>
                <c:pt idx="0">
                  <c:v>81.579020354369035</c:v>
                </c:pt>
              </c:numCache>
            </c:numRef>
          </c:xVal>
          <c:yVal>
            <c:numRef>
              <c:f>GUE_all!$E$202</c:f>
              <c:numCache>
                <c:formatCode>0.00</c:formatCode>
                <c:ptCount val="1"/>
                <c:pt idx="0">
                  <c:v>93.215339233038335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708-4740-B84E-1BB67743B2CD}"/>
            </c:ext>
          </c:extLst>
        </c:ser>
        <c:ser>
          <c:idx val="26"/>
          <c:order val="16"/>
          <c:tx>
            <c:strRef>
              <c:f>GUE_all!$E$244</c:f>
              <c:strCache>
                <c:ptCount val="1"/>
                <c:pt idx="0">
                  <c:v>B_07_ETM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GUE_all!$E$249</c:f>
                <c:numCache>
                  <c:formatCode>General</c:formatCode>
                  <c:ptCount val="1"/>
                  <c:pt idx="0">
                    <c:v>3.8271250282764773</c:v>
                  </c:pt>
                </c:numCache>
              </c:numRef>
            </c:plus>
            <c:minus>
              <c:numRef>
                <c:f>GUE_all!$E$249</c:f>
                <c:numCache>
                  <c:formatCode>General</c:formatCode>
                  <c:ptCount val="1"/>
                  <c:pt idx="0">
                    <c:v>3.8271250282764773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GUE_all!$E$251</c:f>
                <c:numCache>
                  <c:formatCode>General</c:formatCode>
                  <c:ptCount val="1"/>
                  <c:pt idx="0">
                    <c:v>1.8000052253856256</c:v>
                  </c:pt>
                </c:numCache>
              </c:numRef>
            </c:plus>
            <c:minus>
              <c:numRef>
                <c:f>GUE_all!$E$251</c:f>
                <c:numCache>
                  <c:formatCode>General</c:formatCode>
                  <c:ptCount val="1"/>
                  <c:pt idx="0">
                    <c:v>1.8000052253856256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GUE_all!$E$248</c:f>
              <c:numCache>
                <c:formatCode>0.00</c:formatCode>
                <c:ptCount val="1"/>
                <c:pt idx="0">
                  <c:v>76.234502183087443</c:v>
                </c:pt>
              </c:numCache>
            </c:numRef>
          </c:xVal>
          <c:yVal>
            <c:numRef>
              <c:f>GUE_all!$E$250</c:f>
              <c:numCache>
                <c:formatCode>0.00</c:formatCode>
                <c:ptCount val="1"/>
                <c:pt idx="0">
                  <c:v>93.03482587064677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708-4740-B84E-1BB67743B2CD}"/>
            </c:ext>
          </c:extLst>
        </c:ser>
        <c:ser>
          <c:idx val="31"/>
          <c:order val="17"/>
          <c:tx>
            <c:strRef>
              <c:f>GUE_all!$E$292</c:f>
              <c:strCache>
                <c:ptCount val="1"/>
                <c:pt idx="0">
                  <c:v>B_11_ETM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CACDDE">
                  <a:alpha val="20000"/>
                </a:srgbClr>
              </a:solidFill>
              <a:ln w="19050">
                <a:solidFill>
                  <a:srgbClr val="CACDDE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GUE_all!$E$297</c:f>
                <c:numCache>
                  <c:formatCode>General</c:formatCode>
                  <c:ptCount val="1"/>
                  <c:pt idx="0">
                    <c:v>4.2008684570446011</c:v>
                  </c:pt>
                </c:numCache>
              </c:numRef>
            </c:plus>
            <c:minus>
              <c:numRef>
                <c:f>GUE_all!$E$297</c:f>
                <c:numCache>
                  <c:formatCode>General</c:formatCode>
                  <c:ptCount val="1"/>
                  <c:pt idx="0">
                    <c:v>4.2008684570446011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GUE_all!$E$299</c:f>
                <c:numCache>
                  <c:formatCode>General</c:formatCode>
                  <c:ptCount val="1"/>
                  <c:pt idx="0">
                    <c:v>1.6339220356155837</c:v>
                  </c:pt>
                </c:numCache>
              </c:numRef>
            </c:plus>
            <c:minus>
              <c:numRef>
                <c:f>GUE_all!$E$299</c:f>
                <c:numCache>
                  <c:formatCode>General</c:formatCode>
                  <c:ptCount val="1"/>
                  <c:pt idx="0">
                    <c:v>1.6339220356155837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GUE_all!$E$296</c:f>
              <c:numCache>
                <c:formatCode>0.00</c:formatCode>
                <c:ptCount val="1"/>
                <c:pt idx="0">
                  <c:v>68.145281961292497</c:v>
                </c:pt>
              </c:numCache>
            </c:numRef>
          </c:xVal>
          <c:yVal>
            <c:numRef>
              <c:f>GUE_all!$E$298</c:f>
              <c:numCache>
                <c:formatCode>0.00</c:formatCode>
                <c:ptCount val="1"/>
                <c:pt idx="0">
                  <c:v>89.970501474926252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0708-4740-B84E-1BB67743B2CD}"/>
            </c:ext>
          </c:extLst>
        </c:ser>
        <c:ser>
          <c:idx val="36"/>
          <c:order val="18"/>
          <c:tx>
            <c:strRef>
              <c:f>GUE_all!$E$340</c:f>
              <c:strCache>
                <c:ptCount val="1"/>
                <c:pt idx="0">
                  <c:v>B_15_OLI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GUE_all!$E$345</c:f>
                <c:numCache>
                  <c:formatCode>General</c:formatCode>
                  <c:ptCount val="1"/>
                  <c:pt idx="0">
                    <c:v>4.5102114418065202</c:v>
                  </c:pt>
                </c:numCache>
              </c:numRef>
            </c:plus>
            <c:minus>
              <c:numRef>
                <c:f>GUE_all!$E$345</c:f>
                <c:numCache>
                  <c:formatCode>General</c:formatCode>
                  <c:ptCount val="1"/>
                  <c:pt idx="0">
                    <c:v>4.5102114418065202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GUE_all!$E$347</c:f>
                <c:numCache>
                  <c:formatCode>General</c:formatCode>
                  <c:ptCount val="1"/>
                  <c:pt idx="0">
                    <c:v>1.8455332487033302</c:v>
                  </c:pt>
                </c:numCache>
              </c:numRef>
            </c:plus>
            <c:minus>
              <c:numRef>
                <c:f>GUE_all!$E$347</c:f>
                <c:numCache>
                  <c:formatCode>General</c:formatCode>
                  <c:ptCount val="1"/>
                  <c:pt idx="0">
                    <c:v>1.8455332487033302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GUE_all!$E$344</c:f>
              <c:numCache>
                <c:formatCode>0.00</c:formatCode>
                <c:ptCount val="1"/>
                <c:pt idx="0">
                  <c:v>72.042530366177886</c:v>
                </c:pt>
              </c:numCache>
            </c:numRef>
          </c:xVal>
          <c:yVal>
            <c:numRef>
              <c:f>GUE_all!$E$346</c:f>
              <c:numCache>
                <c:formatCode>0.00</c:formatCode>
                <c:ptCount val="1"/>
                <c:pt idx="0">
                  <c:v>86.725663716814154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0708-4740-B84E-1BB67743B2CD}"/>
            </c:ext>
          </c:extLst>
        </c:ser>
        <c:ser>
          <c:idx val="41"/>
          <c:order val="19"/>
          <c:tx>
            <c:strRef>
              <c:f>GUE_all!$E$388</c:f>
              <c:strCache>
                <c:ptCount val="1"/>
                <c:pt idx="0">
                  <c:v>B_19_OLI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CACDDE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GUE_all!$E$393</c:f>
                <c:numCache>
                  <c:formatCode>General</c:formatCode>
                  <c:ptCount val="1"/>
                  <c:pt idx="0">
                    <c:v>3.2298925818817095</c:v>
                  </c:pt>
                </c:numCache>
              </c:numRef>
            </c:plus>
            <c:minus>
              <c:numRef>
                <c:f>GUE_all!$E$393</c:f>
                <c:numCache>
                  <c:formatCode>General</c:formatCode>
                  <c:ptCount val="1"/>
                  <c:pt idx="0">
                    <c:v>3.2298925818817095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GUE_all!$E$395</c:f>
                <c:numCache>
                  <c:formatCode>General</c:formatCode>
                  <c:ptCount val="1"/>
                  <c:pt idx="0">
                    <c:v>1.5213242833548206</c:v>
                  </c:pt>
                </c:numCache>
              </c:numRef>
            </c:plus>
            <c:minus>
              <c:numRef>
                <c:f>GUE_all!$E$395</c:f>
                <c:numCache>
                  <c:formatCode>General</c:formatCode>
                  <c:ptCount val="1"/>
                  <c:pt idx="0">
                    <c:v>1.5213242833548206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GUE_all!$E$392</c:f>
              <c:numCache>
                <c:formatCode>0.00</c:formatCode>
                <c:ptCount val="1"/>
                <c:pt idx="0">
                  <c:v>77.770795302419486</c:v>
                </c:pt>
              </c:numCache>
            </c:numRef>
          </c:xVal>
          <c:yVal>
            <c:numRef>
              <c:f>GUE_all!$E$394</c:f>
              <c:numCache>
                <c:formatCode>0.00</c:formatCode>
                <c:ptCount val="1"/>
                <c:pt idx="0">
                  <c:v>91.445427728613566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708-4740-B84E-1BB67743B2CD}"/>
            </c:ext>
          </c:extLst>
        </c:ser>
        <c:ser>
          <c:idx val="45"/>
          <c:order val="20"/>
          <c:tx>
            <c:strRef>
              <c:f>GUE_all!$E$436</c:f>
              <c:strCache>
                <c:ptCount val="1"/>
                <c:pt idx="0">
                  <c:v>B_19_MSI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GUE_all!$E$441</c:f>
                <c:numCache>
                  <c:formatCode>General</c:formatCode>
                  <c:ptCount val="1"/>
                  <c:pt idx="0">
                    <c:v>4.1236297096434376</c:v>
                  </c:pt>
                </c:numCache>
              </c:numRef>
            </c:plus>
            <c:minus>
              <c:numRef>
                <c:f>GUE_all!$E$441</c:f>
                <c:numCache>
                  <c:formatCode>General</c:formatCode>
                  <c:ptCount val="1"/>
                  <c:pt idx="0">
                    <c:v>4.1236297096434376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GUE_all!$E$443</c:f>
                <c:numCache>
                  <c:formatCode>General</c:formatCode>
                  <c:ptCount val="1"/>
                  <c:pt idx="0">
                    <c:v>1.8230334586187336</c:v>
                  </c:pt>
                </c:numCache>
              </c:numRef>
            </c:plus>
            <c:minus>
              <c:numRef>
                <c:f>GUE_all!$E$443</c:f>
                <c:numCache>
                  <c:formatCode>General</c:formatCode>
                  <c:ptCount val="1"/>
                  <c:pt idx="0">
                    <c:v>1.8230334586187336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GUE_all!$E$440</c:f>
              <c:numCache>
                <c:formatCode>0.00</c:formatCode>
                <c:ptCount val="1"/>
                <c:pt idx="0">
                  <c:v>76.062734772658473</c:v>
                </c:pt>
              </c:numCache>
            </c:numRef>
          </c:xVal>
          <c:yVal>
            <c:numRef>
              <c:f>GUE_all!$E$442</c:f>
              <c:numCache>
                <c:formatCode>0.00</c:formatCode>
                <c:ptCount val="1"/>
                <c:pt idx="0">
                  <c:v>86.743515850144092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708-4740-B84E-1BB67743B2CD}"/>
            </c:ext>
          </c:extLst>
        </c:ser>
        <c:ser>
          <c:idx val="50"/>
          <c:order val="21"/>
          <c:tx>
            <c:strRef>
              <c:f>GUE_all!$E$484</c:f>
              <c:strCache>
                <c:ptCount val="1"/>
                <c:pt idx="0">
                  <c:v>B_24_MSI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31750" cmpd="dbl">
                <a:solidFill>
                  <a:srgbClr val="CACDDE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GUE_all!$E$489</c:f>
                <c:numCache>
                  <c:formatCode>General</c:formatCode>
                  <c:ptCount val="1"/>
                  <c:pt idx="0">
                    <c:v>5.7960769034715485</c:v>
                  </c:pt>
                </c:numCache>
              </c:numRef>
            </c:plus>
            <c:minus>
              <c:numRef>
                <c:f>GUE_all!$E$489</c:f>
                <c:numCache>
                  <c:formatCode>General</c:formatCode>
                  <c:ptCount val="1"/>
                  <c:pt idx="0">
                    <c:v>5.7960769034715485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GUE_all!$E$491</c:f>
                <c:numCache>
                  <c:formatCode>General</c:formatCode>
                  <c:ptCount val="1"/>
                  <c:pt idx="0">
                    <c:v>1.9777572436142541</c:v>
                  </c:pt>
                </c:numCache>
              </c:numRef>
            </c:plus>
            <c:minus>
              <c:numRef>
                <c:f>GUE_all!$E$491</c:f>
                <c:numCache>
                  <c:formatCode>General</c:formatCode>
                  <c:ptCount val="1"/>
                  <c:pt idx="0">
                    <c:v>1.9777572436142541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GUE_all!$E$488</c:f>
              <c:numCache>
                <c:formatCode>0.00</c:formatCode>
                <c:ptCount val="1"/>
                <c:pt idx="0">
                  <c:v>60.205113233226079</c:v>
                </c:pt>
              </c:numCache>
            </c:numRef>
          </c:xVal>
          <c:yVal>
            <c:numRef>
              <c:f>GUE_all!$E$490</c:f>
              <c:numCache>
                <c:formatCode>0.00</c:formatCode>
                <c:ptCount val="1"/>
                <c:pt idx="0">
                  <c:v>83.861671469740628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708-4740-B84E-1BB67743B2CD}"/>
            </c:ext>
          </c:extLst>
        </c:ser>
        <c:ser>
          <c:idx val="7"/>
          <c:order val="22"/>
          <c:tx>
            <c:strRef>
              <c:f>GUE_all!$F$4</c:f>
              <c:strCache>
                <c:ptCount val="1"/>
                <c:pt idx="0">
                  <c:v>A_77_MSS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GUE_all!$F$9</c:f>
                <c:numCache>
                  <c:formatCode>General</c:formatCode>
                  <c:ptCount val="1"/>
                  <c:pt idx="0">
                    <c:v>0.6500485800386161</c:v>
                  </c:pt>
                </c:numCache>
              </c:numRef>
            </c:plus>
            <c:minus>
              <c:numRef>
                <c:f>GUE_all!$F$9</c:f>
                <c:numCache>
                  <c:formatCode>General</c:formatCode>
                  <c:ptCount val="1"/>
                  <c:pt idx="0">
                    <c:v>0.6500485800386161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GUE_all!$F$11</c:f>
                <c:numCache>
                  <c:formatCode>General</c:formatCode>
                  <c:ptCount val="1"/>
                  <c:pt idx="0">
                    <c:v>0.49793723016302543</c:v>
                  </c:pt>
                </c:numCache>
              </c:numRef>
            </c:plus>
            <c:minus>
              <c:numRef>
                <c:f>GUE_all!$F$11</c:f>
                <c:numCache>
                  <c:formatCode>General</c:formatCode>
                  <c:ptCount val="1"/>
                  <c:pt idx="0">
                    <c:v>0.49793723016302543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GUE_all!$F$8</c:f>
              <c:numCache>
                <c:formatCode>0.00</c:formatCode>
                <c:ptCount val="1"/>
                <c:pt idx="0">
                  <c:v>97.383260553767045</c:v>
                </c:pt>
              </c:numCache>
            </c:numRef>
          </c:xVal>
          <c:yVal>
            <c:numRef>
              <c:f>GUE_all!$F$10</c:f>
              <c:numCache>
                <c:formatCode>0.00</c:formatCode>
                <c:ptCount val="1"/>
                <c:pt idx="0">
                  <c:v>95.298672566371707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708-4740-B84E-1BB67743B2CD}"/>
            </c:ext>
          </c:extLst>
        </c:ser>
        <c:ser>
          <c:idx val="3"/>
          <c:order val="23"/>
          <c:tx>
            <c:strRef>
              <c:f>GUE_all!$F$52</c:f>
              <c:strCache>
                <c:ptCount val="1"/>
                <c:pt idx="0">
                  <c:v>A_88_MSS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B1EE2D">
                    <a:alpha val="96000"/>
                  </a:srgbClr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GUE_all!$F$57</c:f>
                <c:numCache>
                  <c:formatCode>General</c:formatCode>
                  <c:ptCount val="1"/>
                  <c:pt idx="0">
                    <c:v>0.62274478762877639</c:v>
                  </c:pt>
                </c:numCache>
              </c:numRef>
            </c:plus>
            <c:minus>
              <c:numRef>
                <c:f>GUE_all!$F$57</c:f>
                <c:numCache>
                  <c:formatCode>General</c:formatCode>
                  <c:ptCount val="1"/>
                  <c:pt idx="0">
                    <c:v>0.62274478762877639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GUE_all!$F$59</c:f>
                <c:numCache>
                  <c:formatCode>General</c:formatCode>
                  <c:ptCount val="1"/>
                  <c:pt idx="0">
                    <c:v>0.6508369863389688</c:v>
                  </c:pt>
                </c:numCache>
              </c:numRef>
            </c:plus>
            <c:minus>
              <c:numRef>
                <c:f>GUE_all!$F$59</c:f>
                <c:numCache>
                  <c:formatCode>General</c:formatCode>
                  <c:ptCount val="1"/>
                  <c:pt idx="0">
                    <c:v>0.6508369863389688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xVal>
            <c:numRef>
              <c:f>GUE_all!$F$56</c:f>
              <c:numCache>
                <c:formatCode>0.00</c:formatCode>
                <c:ptCount val="1"/>
                <c:pt idx="0">
                  <c:v>96.670800472577696</c:v>
                </c:pt>
              </c:numCache>
            </c:numRef>
          </c:xVal>
          <c:yVal>
            <c:numRef>
              <c:f>GUE_all!$F$58</c:f>
              <c:numCache>
                <c:formatCode>0.00</c:formatCode>
                <c:ptCount val="1"/>
                <c:pt idx="0">
                  <c:v>91.648230088495581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708-4740-B84E-1BB67743B2CD}"/>
            </c:ext>
          </c:extLst>
        </c:ser>
        <c:ser>
          <c:idx val="12"/>
          <c:order val="24"/>
          <c:tx>
            <c:strRef>
              <c:f>GUE_all!$F$100</c:f>
              <c:strCache>
                <c:ptCount val="1"/>
                <c:pt idx="0">
                  <c:v>A_88_TM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B1EE2D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GUE_all!$F$105</c:f>
                <c:numCache>
                  <c:formatCode>General</c:formatCode>
                  <c:ptCount val="1"/>
                  <c:pt idx="0">
                    <c:v>0.12250712461439517</c:v>
                  </c:pt>
                </c:numCache>
              </c:numRef>
            </c:plus>
            <c:minus>
              <c:numRef>
                <c:f>GUE_all!$F$105</c:f>
                <c:numCache>
                  <c:formatCode>General</c:formatCode>
                  <c:ptCount val="1"/>
                  <c:pt idx="0">
                    <c:v>0.12250712461439517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GUE_all!$F$107</c:f>
                <c:numCache>
                  <c:formatCode>General</c:formatCode>
                  <c:ptCount val="1"/>
                  <c:pt idx="0">
                    <c:v>0.20092181559870553</c:v>
                  </c:pt>
                </c:numCache>
              </c:numRef>
            </c:plus>
            <c:minus>
              <c:numRef>
                <c:f>GUE_all!$F$107</c:f>
                <c:numCache>
                  <c:formatCode>General</c:formatCode>
                  <c:ptCount val="1"/>
                  <c:pt idx="0">
                    <c:v>0.20092181559870553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GUE_all!$F$104</c:f>
              <c:numCache>
                <c:formatCode>0.00</c:formatCode>
                <c:ptCount val="1"/>
                <c:pt idx="0">
                  <c:v>99.070406022095511</c:v>
                </c:pt>
              </c:numCache>
            </c:numRef>
          </c:xVal>
          <c:yVal>
            <c:numRef>
              <c:f>GUE_all!$F$106</c:f>
              <c:numCache>
                <c:formatCode>0.00</c:formatCode>
                <c:ptCount val="1"/>
                <c:pt idx="0">
                  <c:v>96.918502500337894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708-4740-B84E-1BB67743B2CD}"/>
            </c:ext>
          </c:extLst>
        </c:ser>
        <c:ser>
          <c:idx val="17"/>
          <c:order val="25"/>
          <c:tx>
            <c:strRef>
              <c:f>GUE_all!$F$148</c:f>
              <c:strCache>
                <c:ptCount val="1"/>
                <c:pt idx="0">
                  <c:v>A_91_TM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B1EE2D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GUE_all!$F$153</c:f>
                <c:numCache>
                  <c:formatCode>General</c:formatCode>
                  <c:ptCount val="1"/>
                  <c:pt idx="0">
                    <c:v>0.23337877767773202</c:v>
                  </c:pt>
                </c:numCache>
              </c:numRef>
            </c:plus>
            <c:minus>
              <c:numRef>
                <c:f>GUE_all!$F$153</c:f>
                <c:numCache>
                  <c:formatCode>General</c:formatCode>
                  <c:ptCount val="1"/>
                  <c:pt idx="0">
                    <c:v>0.23337877767773202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GUE_all!$F$155</c:f>
                <c:numCache>
                  <c:formatCode>General</c:formatCode>
                  <c:ptCount val="1"/>
                  <c:pt idx="0">
                    <c:v>0.28856932705211469</c:v>
                  </c:pt>
                </c:numCache>
              </c:numRef>
            </c:plus>
            <c:minus>
              <c:numRef>
                <c:f>GUE_all!$F$155</c:f>
                <c:numCache>
                  <c:formatCode>General</c:formatCode>
                  <c:ptCount val="1"/>
                  <c:pt idx="0">
                    <c:v>0.28856932705211469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xVal>
            <c:numRef>
              <c:f>GUE_all!$F$152</c:f>
              <c:numCache>
                <c:formatCode>0.00</c:formatCode>
                <c:ptCount val="1"/>
                <c:pt idx="0">
                  <c:v>97.849476671103162</c:v>
                </c:pt>
              </c:numCache>
            </c:numRef>
          </c:xVal>
          <c:yVal>
            <c:numRef>
              <c:f>GUE_all!$F$154</c:f>
              <c:numCache>
                <c:formatCode>0.00</c:formatCode>
                <c:ptCount val="1"/>
                <c:pt idx="0">
                  <c:v>93.40451412353022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708-4740-B84E-1BB67743B2CD}"/>
            </c:ext>
          </c:extLst>
        </c:ser>
        <c:ser>
          <c:idx val="22"/>
          <c:order val="26"/>
          <c:tx>
            <c:strRef>
              <c:f>GUE_all!$F$196</c:f>
              <c:strCache>
                <c:ptCount val="1"/>
                <c:pt idx="0">
                  <c:v>A_01_TM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GUE_all!$F$201</c:f>
                <c:numCache>
                  <c:formatCode>General</c:formatCode>
                  <c:ptCount val="1"/>
                  <c:pt idx="0">
                    <c:v>0.27449026131463011</c:v>
                  </c:pt>
                </c:numCache>
              </c:numRef>
            </c:plus>
            <c:minus>
              <c:numRef>
                <c:f>GUE_all!$F$201</c:f>
                <c:numCache>
                  <c:formatCode>General</c:formatCode>
                  <c:ptCount val="1"/>
                  <c:pt idx="0">
                    <c:v>0.27449026131463011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GUE_all!$F$203</c:f>
                <c:numCache>
                  <c:formatCode>General</c:formatCode>
                  <c:ptCount val="1"/>
                  <c:pt idx="0">
                    <c:v>0.23895427878015812</c:v>
                  </c:pt>
                </c:numCache>
              </c:numRef>
            </c:plus>
            <c:minus>
              <c:numRef>
                <c:f>GUE_all!$F$203</c:f>
                <c:numCache>
                  <c:formatCode>General</c:formatCode>
                  <c:ptCount val="1"/>
                  <c:pt idx="0">
                    <c:v>0.23895427878015812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GUE_all!$F$200</c:f>
              <c:numCache>
                <c:formatCode>0.00</c:formatCode>
                <c:ptCount val="1"/>
                <c:pt idx="0">
                  <c:v>96.233124820910405</c:v>
                </c:pt>
              </c:numCache>
            </c:numRef>
          </c:xVal>
          <c:yVal>
            <c:numRef>
              <c:f>GUE_all!$F$202</c:f>
              <c:numCache>
                <c:formatCode>0.00</c:formatCode>
                <c:ptCount val="1"/>
                <c:pt idx="0">
                  <c:v>95.5804838491688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0708-4740-B84E-1BB67743B2CD}"/>
            </c:ext>
          </c:extLst>
        </c:ser>
        <c:ser>
          <c:idx val="27"/>
          <c:order val="27"/>
          <c:tx>
            <c:strRef>
              <c:f>GUE_all!$F$244</c:f>
              <c:strCache>
                <c:ptCount val="1"/>
                <c:pt idx="0">
                  <c:v>A_07_ETM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GUE_all!$F$249</c:f>
                <c:numCache>
                  <c:formatCode>General</c:formatCode>
                  <c:ptCount val="1"/>
                  <c:pt idx="0">
                    <c:v>0.24369856602539555</c:v>
                  </c:pt>
                </c:numCache>
              </c:numRef>
            </c:plus>
            <c:minus>
              <c:numRef>
                <c:f>GUE_all!$F$249</c:f>
                <c:numCache>
                  <c:formatCode>General</c:formatCode>
                  <c:ptCount val="1"/>
                  <c:pt idx="0">
                    <c:v>0.24369856602539555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GUE_all!$F$251</c:f>
                <c:numCache>
                  <c:formatCode>General</c:formatCode>
                  <c:ptCount val="1"/>
                  <c:pt idx="0">
                    <c:v>0.23197508893876798</c:v>
                  </c:pt>
                </c:numCache>
              </c:numRef>
            </c:plus>
            <c:minus>
              <c:numRef>
                <c:f>GUE_all!$F$251</c:f>
                <c:numCache>
                  <c:formatCode>General</c:formatCode>
                  <c:ptCount val="1"/>
                  <c:pt idx="0">
                    <c:v>0.23197508893876798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GUE_all!$F$248</c:f>
              <c:numCache>
                <c:formatCode>0.00</c:formatCode>
                <c:ptCount val="1"/>
                <c:pt idx="0">
                  <c:v>97.416530664631907</c:v>
                </c:pt>
              </c:numCache>
            </c:numRef>
          </c:xVal>
          <c:yVal>
            <c:numRef>
              <c:f>GUE_all!$F$250</c:f>
              <c:numCache>
                <c:formatCode>0.00</c:formatCode>
                <c:ptCount val="1"/>
                <c:pt idx="0">
                  <c:v>96.689075630252091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708-4740-B84E-1BB67743B2CD}"/>
            </c:ext>
          </c:extLst>
        </c:ser>
        <c:ser>
          <c:idx val="32"/>
          <c:order val="28"/>
          <c:tx>
            <c:strRef>
              <c:f>GUE_all!$F$292</c:f>
              <c:strCache>
                <c:ptCount val="1"/>
                <c:pt idx="0">
                  <c:v>A_11_ETM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B1EE2D">
                  <a:alpha val="20000"/>
                </a:srgbClr>
              </a:solidFill>
              <a:ln w="19050">
                <a:solidFill>
                  <a:srgbClr val="B1EE2D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GUE_all!$F$297</c:f>
                <c:numCache>
                  <c:formatCode>General</c:formatCode>
                  <c:ptCount val="1"/>
                  <c:pt idx="0">
                    <c:v>0.17833862027593847</c:v>
                  </c:pt>
                </c:numCache>
              </c:numRef>
            </c:plus>
            <c:minus>
              <c:numRef>
                <c:f>GUE_all!$F$297</c:f>
                <c:numCache>
                  <c:formatCode>General</c:formatCode>
                  <c:ptCount val="1"/>
                  <c:pt idx="0">
                    <c:v>0.17833862027593847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GUE_all!$F$299</c:f>
                <c:numCache>
                  <c:formatCode>General</c:formatCode>
                  <c:ptCount val="1"/>
                  <c:pt idx="0">
                    <c:v>0.23838612730840067</c:v>
                  </c:pt>
                </c:numCache>
              </c:numRef>
            </c:plus>
            <c:minus>
              <c:numRef>
                <c:f>GUE_all!$F$299</c:f>
                <c:numCache>
                  <c:formatCode>General</c:formatCode>
                  <c:ptCount val="1"/>
                  <c:pt idx="0">
                    <c:v>0.23838612730840067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GUE_all!$F$296</c:f>
              <c:numCache>
                <c:formatCode>0.00</c:formatCode>
                <c:ptCount val="1"/>
                <c:pt idx="0">
                  <c:v>98.255706967375062</c:v>
                </c:pt>
              </c:numCache>
            </c:numRef>
          </c:xVal>
          <c:yVal>
            <c:numRef>
              <c:f>GUE_all!$F$298</c:f>
              <c:numCache>
                <c:formatCode>0.00</c:formatCode>
                <c:ptCount val="1"/>
                <c:pt idx="0">
                  <c:v>95.745571209373708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0708-4740-B84E-1BB67743B2CD}"/>
            </c:ext>
          </c:extLst>
        </c:ser>
        <c:ser>
          <c:idx val="37"/>
          <c:order val="29"/>
          <c:tx>
            <c:strRef>
              <c:f>GUE_all!$F$340</c:f>
              <c:strCache>
                <c:ptCount val="1"/>
                <c:pt idx="0">
                  <c:v>A_15_OLI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GUE_all!$F$345</c:f>
                <c:numCache>
                  <c:formatCode>General</c:formatCode>
                  <c:ptCount val="1"/>
                  <c:pt idx="0">
                    <c:v>0.1962703031173918</c:v>
                  </c:pt>
                </c:numCache>
              </c:numRef>
            </c:plus>
            <c:minus>
              <c:numRef>
                <c:f>GUE_all!$F$345</c:f>
                <c:numCache>
                  <c:formatCode>General</c:formatCode>
                  <c:ptCount val="1"/>
                  <c:pt idx="0">
                    <c:v>0.1962703031173918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GUE_all!$F$347</c:f>
                <c:numCache>
                  <c:formatCode>General</c:formatCode>
                  <c:ptCount val="1"/>
                  <c:pt idx="0">
                    <c:v>0.22524415547237875</c:v>
                  </c:pt>
                </c:numCache>
              </c:numRef>
            </c:plus>
            <c:minus>
              <c:numRef>
                <c:f>GUE_all!$F$347</c:f>
                <c:numCache>
                  <c:formatCode>General</c:formatCode>
                  <c:ptCount val="1"/>
                  <c:pt idx="0">
                    <c:v>0.22524415547237875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GUE_all!$F$344</c:f>
              <c:numCache>
                <c:formatCode>0.00</c:formatCode>
                <c:ptCount val="1"/>
                <c:pt idx="0">
                  <c:v>98.10862801209457</c:v>
                </c:pt>
              </c:numCache>
            </c:numRef>
          </c:xVal>
          <c:yVal>
            <c:numRef>
              <c:f>GUE_all!$F$346</c:f>
              <c:numCache>
                <c:formatCode>0.00</c:formatCode>
                <c:ptCount val="1"/>
                <c:pt idx="0">
                  <c:v>96.094066765779161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0708-4740-B84E-1BB67743B2CD}"/>
            </c:ext>
          </c:extLst>
        </c:ser>
        <c:ser>
          <c:idx val="54"/>
          <c:order val="30"/>
          <c:tx>
            <c:strRef>
              <c:f>GUE_all!$F$388</c:f>
              <c:strCache>
                <c:ptCount val="1"/>
                <c:pt idx="0">
                  <c:v>A_19_OLI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B1EE2D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GUE_all!$F$393</c:f>
                <c:numCache>
                  <c:formatCode>General</c:formatCode>
                  <c:ptCount val="1"/>
                  <c:pt idx="0">
                    <c:v>0.15757504827245009</c:v>
                  </c:pt>
                </c:numCache>
              </c:numRef>
            </c:plus>
            <c:minus>
              <c:numRef>
                <c:f>GUE_all!$F$393</c:f>
                <c:numCache>
                  <c:formatCode>General</c:formatCode>
                  <c:ptCount val="1"/>
                  <c:pt idx="0">
                    <c:v>0.15757504827245009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GUE_all!$F$395</c:f>
                <c:numCache>
                  <c:formatCode>General</c:formatCode>
                  <c:ptCount val="1"/>
                  <c:pt idx="0">
                    <c:v>0.20555368686988729</c:v>
                  </c:pt>
                </c:numCache>
              </c:numRef>
            </c:plus>
            <c:minus>
              <c:numRef>
                <c:f>GUE_all!$F$395</c:f>
                <c:numCache>
                  <c:formatCode>General</c:formatCode>
                  <c:ptCount val="1"/>
                  <c:pt idx="0">
                    <c:v>0.20555368686988729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GUE_all!$F$392</c:f>
              <c:numCache>
                <c:formatCode>0.00</c:formatCode>
                <c:ptCount val="1"/>
                <c:pt idx="0">
                  <c:v>98.645320548660123</c:v>
                </c:pt>
              </c:numCache>
            </c:numRef>
          </c:xVal>
          <c:yVal>
            <c:numRef>
              <c:f>GUE_all!$F$394</c:f>
              <c:numCache>
                <c:formatCode>0.00</c:formatCode>
                <c:ptCount val="1"/>
                <c:pt idx="0">
                  <c:v>96.769833761319106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0708-4740-B84E-1BB67743B2CD}"/>
            </c:ext>
          </c:extLst>
        </c:ser>
        <c:ser>
          <c:idx val="46"/>
          <c:order val="31"/>
          <c:tx>
            <c:strRef>
              <c:f>GUE_all!$F$436</c:f>
              <c:strCache>
                <c:ptCount val="1"/>
                <c:pt idx="0">
                  <c:v>A_19_MSI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GUE_all!$F$441</c:f>
                <c:numCache>
                  <c:formatCode>General</c:formatCode>
                  <c:ptCount val="1"/>
                  <c:pt idx="0">
                    <c:v>0.22064334206217287</c:v>
                  </c:pt>
                </c:numCache>
              </c:numRef>
            </c:plus>
            <c:minus>
              <c:numRef>
                <c:f>GUE_all!$F$441</c:f>
                <c:numCache>
                  <c:formatCode>General</c:formatCode>
                  <c:ptCount val="1"/>
                  <c:pt idx="0">
                    <c:v>0.22064334206217287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GUE_all!$F$443</c:f>
                <c:numCache>
                  <c:formatCode>General</c:formatCode>
                  <c:ptCount val="1"/>
                  <c:pt idx="0">
                    <c:v>0.20051434844630719</c:v>
                  </c:pt>
                </c:numCache>
              </c:numRef>
            </c:plus>
            <c:minus>
              <c:numRef>
                <c:f>GUE_all!$F$443</c:f>
                <c:numCache>
                  <c:formatCode>General</c:formatCode>
                  <c:ptCount val="1"/>
                  <c:pt idx="0">
                    <c:v>0.20051434844630719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GUE_all!$F$440</c:f>
              <c:numCache>
                <c:formatCode>0.00</c:formatCode>
                <c:ptCount val="1"/>
                <c:pt idx="0">
                  <c:v>96.511824070071413</c:v>
                </c:pt>
              </c:numCache>
            </c:numRef>
          </c:xVal>
          <c:yVal>
            <c:numRef>
              <c:f>GUE_all!$F$442</c:f>
              <c:numCache>
                <c:formatCode>0.00</c:formatCode>
                <c:ptCount val="1"/>
                <c:pt idx="0">
                  <c:v>96.952380952380963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0708-4740-B84E-1BB67743B2CD}"/>
            </c:ext>
          </c:extLst>
        </c:ser>
        <c:ser>
          <c:idx val="51"/>
          <c:order val="32"/>
          <c:tx>
            <c:strRef>
              <c:f>GUE_all!$F$484</c:f>
              <c:strCache>
                <c:ptCount val="1"/>
                <c:pt idx="0">
                  <c:v>A_24_MSI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31750" cmpd="dbl">
                <a:solidFill>
                  <a:srgbClr val="B1EE2D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GUE_all!$F$489</c:f>
                <c:numCache>
                  <c:formatCode>General</c:formatCode>
                  <c:ptCount val="1"/>
                  <c:pt idx="0">
                    <c:v>0.21753413587565898</c:v>
                  </c:pt>
                </c:numCache>
              </c:numRef>
            </c:plus>
            <c:minus>
              <c:numRef>
                <c:f>GUE_all!$F$489</c:f>
                <c:numCache>
                  <c:formatCode>General</c:formatCode>
                  <c:ptCount val="1"/>
                  <c:pt idx="0">
                    <c:v>0.21753413587565898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GUE_all!$F$491</c:f>
                <c:numCache>
                  <c:formatCode>General</c:formatCode>
                  <c:ptCount val="1"/>
                  <c:pt idx="0">
                    <c:v>0.26870397492424902</c:v>
                  </c:pt>
                </c:numCache>
              </c:numRef>
            </c:plus>
            <c:minus>
              <c:numRef>
                <c:f>GUE_all!$F$491</c:f>
                <c:numCache>
                  <c:formatCode>General</c:formatCode>
                  <c:ptCount val="1"/>
                  <c:pt idx="0">
                    <c:v>0.26870397492424902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GUE_all!$F$488</c:f>
              <c:numCache>
                <c:formatCode>0.00</c:formatCode>
                <c:ptCount val="1"/>
                <c:pt idx="0">
                  <c:v>97.244615938680781</c:v>
                </c:pt>
              </c:numCache>
            </c:numRef>
          </c:xVal>
          <c:yVal>
            <c:numRef>
              <c:f>GUE_all!$F$490</c:f>
              <c:numCache>
                <c:formatCode>0.00</c:formatCode>
                <c:ptCount val="1"/>
                <c:pt idx="0">
                  <c:v>94.37942297223735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0708-4740-B84E-1BB67743B2CD}"/>
            </c:ext>
          </c:extLst>
        </c:ser>
        <c:ser>
          <c:idx val="0"/>
          <c:order val="33"/>
          <c:tx>
            <c:strRef>
              <c:f>GUE_all!$G$4</c:f>
              <c:strCache>
                <c:ptCount val="1"/>
                <c:pt idx="0">
                  <c:v>F_77_MSS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GUE_all!$G$9</c:f>
                <c:numCache>
                  <c:formatCode>General</c:formatCode>
                  <c:ptCount val="1"/>
                  <c:pt idx="0">
                    <c:v>1.8837822882175099</c:v>
                  </c:pt>
                </c:numCache>
              </c:numRef>
            </c:plus>
            <c:minus>
              <c:numRef>
                <c:f>GUE_all!$G$9</c:f>
                <c:numCache>
                  <c:formatCode>General</c:formatCode>
                  <c:ptCount val="1"/>
                  <c:pt idx="0">
                    <c:v>1.8837822882175099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GUE_all!$G$11</c:f>
                <c:numCache>
                  <c:formatCode>General</c:formatCode>
                  <c:ptCount val="1"/>
                  <c:pt idx="0">
                    <c:v>1.3436853315309185</c:v>
                  </c:pt>
                </c:numCache>
              </c:numRef>
            </c:plus>
            <c:minus>
              <c:numRef>
                <c:f>GUE_all!$G$11</c:f>
                <c:numCache>
                  <c:formatCode>General</c:formatCode>
                  <c:ptCount val="1"/>
                  <c:pt idx="0">
                    <c:v>1.3436853315309185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GUE_all!$G$8</c:f>
              <c:numCache>
                <c:formatCode>0.00</c:formatCode>
                <c:ptCount val="1"/>
                <c:pt idx="0">
                  <c:v>89.665278305413196</c:v>
                </c:pt>
              </c:numCache>
            </c:numRef>
          </c:xVal>
          <c:yVal>
            <c:numRef>
              <c:f>GUE_all!$G$10</c:f>
              <c:numCache>
                <c:formatCode>0.00</c:formatCode>
                <c:ptCount val="1"/>
                <c:pt idx="0">
                  <c:v>86.370597243491574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0708-4740-B84E-1BB67743B2CD}"/>
            </c:ext>
          </c:extLst>
        </c:ser>
        <c:ser>
          <c:idx val="4"/>
          <c:order val="34"/>
          <c:tx>
            <c:strRef>
              <c:f>GUE_all!$G$52</c:f>
              <c:strCache>
                <c:ptCount val="1"/>
                <c:pt idx="0">
                  <c:v>F_88_MSS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GUE_all!$G$57</c:f>
                <c:numCache>
                  <c:formatCode>General</c:formatCode>
                  <c:ptCount val="1"/>
                  <c:pt idx="0">
                    <c:v>3.0705092571012704</c:v>
                  </c:pt>
                </c:numCache>
              </c:numRef>
            </c:plus>
            <c:minus>
              <c:numRef>
                <c:f>GUE_all!$G$57</c:f>
                <c:numCache>
                  <c:formatCode>General</c:formatCode>
                  <c:ptCount val="1"/>
                  <c:pt idx="0">
                    <c:v>3.0705092571012704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GUE_all!$G$59</c:f>
                <c:numCache>
                  <c:formatCode>General</c:formatCode>
                  <c:ptCount val="1"/>
                  <c:pt idx="0">
                    <c:v>1.4657478918855846</c:v>
                  </c:pt>
                </c:numCache>
              </c:numRef>
            </c:plus>
            <c:minus>
              <c:numRef>
                <c:f>GUE_all!$G$59</c:f>
                <c:numCache>
                  <c:formatCode>General</c:formatCode>
                  <c:ptCount val="1"/>
                  <c:pt idx="0">
                    <c:v>1.4657478918855846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prstDash val="solid"/>
                <a:round/>
              </a:ln>
              <a:effectLst/>
            </c:spPr>
          </c:errBars>
          <c:xVal>
            <c:numRef>
              <c:f>GUE_all!$G$56</c:f>
              <c:numCache>
                <c:formatCode>0.00</c:formatCode>
                <c:ptCount val="1"/>
                <c:pt idx="0">
                  <c:v>82.884240549199234</c:v>
                </c:pt>
              </c:numCache>
            </c:numRef>
          </c:xVal>
          <c:yVal>
            <c:numRef>
              <c:f>GUE_all!$G$58</c:f>
              <c:numCache>
                <c:formatCode>0.00</c:formatCode>
                <c:ptCount val="1"/>
                <c:pt idx="0">
                  <c:v>83.154670750382863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0708-4740-B84E-1BB67743B2CD}"/>
            </c:ext>
          </c:extLst>
        </c:ser>
        <c:ser>
          <c:idx val="13"/>
          <c:order val="35"/>
          <c:tx>
            <c:strRef>
              <c:f>GUE_all!$G$100</c:f>
              <c:strCache>
                <c:ptCount val="1"/>
                <c:pt idx="0">
                  <c:v>F_88_TM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 cmpd="sng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GUE_all!$G$105</c:f>
                <c:numCache>
                  <c:formatCode>General</c:formatCode>
                  <c:ptCount val="1"/>
                  <c:pt idx="0">
                    <c:v>0.75844646730943432</c:v>
                  </c:pt>
                </c:numCache>
              </c:numRef>
            </c:plus>
            <c:minus>
              <c:numRef>
                <c:f>GUE_all!$G$105</c:f>
                <c:numCache>
                  <c:formatCode>General</c:formatCode>
                  <c:ptCount val="1"/>
                  <c:pt idx="0">
                    <c:v>0.75844646730943432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GUE_all!$G$107</c:f>
                <c:numCache>
                  <c:formatCode>General</c:formatCode>
                  <c:ptCount val="1"/>
                  <c:pt idx="0">
                    <c:v>0.55089568409461287</c:v>
                  </c:pt>
                </c:numCache>
              </c:numRef>
            </c:plus>
            <c:minus>
              <c:numRef>
                <c:f>GUE_all!$G$107</c:f>
                <c:numCache>
                  <c:formatCode>General</c:formatCode>
                  <c:ptCount val="1"/>
                  <c:pt idx="0">
                    <c:v>0.55089568409461287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GUE_all!$G$104</c:f>
              <c:numCache>
                <c:formatCode>0.00</c:formatCode>
                <c:ptCount val="1"/>
                <c:pt idx="0">
                  <c:v>90.800359491934117</c:v>
                </c:pt>
              </c:numCache>
            </c:numRef>
          </c:xVal>
          <c:yVal>
            <c:numRef>
              <c:f>GUE_all!$G$106</c:f>
              <c:numCache>
                <c:formatCode>0.00</c:formatCode>
                <c:ptCount val="1"/>
                <c:pt idx="0">
                  <c:v>91.356127545140225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0708-4740-B84E-1BB67743B2CD}"/>
            </c:ext>
          </c:extLst>
        </c:ser>
        <c:ser>
          <c:idx val="18"/>
          <c:order val="36"/>
          <c:tx>
            <c:strRef>
              <c:f>GUE_all!$G$148</c:f>
              <c:strCache>
                <c:ptCount val="1"/>
                <c:pt idx="0">
                  <c:v>F_91_TM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GUE_all!$G$153</c:f>
                <c:numCache>
                  <c:formatCode>General</c:formatCode>
                  <c:ptCount val="1"/>
                  <c:pt idx="0">
                    <c:v>0.63536852981085323</c:v>
                  </c:pt>
                </c:numCache>
              </c:numRef>
            </c:plus>
            <c:minus>
              <c:numRef>
                <c:f>GUE_all!$G$153</c:f>
                <c:numCache>
                  <c:formatCode>General</c:formatCode>
                  <c:ptCount val="1"/>
                  <c:pt idx="0">
                    <c:v>0.63536852981085323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GUE_all!$G$155</c:f>
                <c:numCache>
                  <c:formatCode>General</c:formatCode>
                  <c:ptCount val="1"/>
                  <c:pt idx="0">
                    <c:v>0.39265724002115482</c:v>
                  </c:pt>
                </c:numCache>
              </c:numRef>
            </c:plus>
            <c:minus>
              <c:numRef>
                <c:f>GUE_all!$G$155</c:f>
                <c:numCache>
                  <c:formatCode>General</c:formatCode>
                  <c:ptCount val="1"/>
                  <c:pt idx="0">
                    <c:v>0.39265724002115482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prstDash val="sysDash"/>
                <a:round/>
              </a:ln>
              <a:effectLst/>
            </c:spPr>
          </c:errBars>
          <c:xVal>
            <c:numRef>
              <c:f>GUE_all!$G$152</c:f>
              <c:numCache>
                <c:formatCode>0.00</c:formatCode>
                <c:ptCount val="1"/>
                <c:pt idx="0">
                  <c:v>91.653706329224988</c:v>
                </c:pt>
              </c:numCache>
            </c:numRef>
          </c:xVal>
          <c:yVal>
            <c:numRef>
              <c:f>GUE_all!$G$154</c:f>
              <c:numCache>
                <c:formatCode>0.00</c:formatCode>
                <c:ptCount val="1"/>
                <c:pt idx="0">
                  <c:v>95.952380952380949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0708-4740-B84E-1BB67743B2CD}"/>
            </c:ext>
          </c:extLst>
        </c:ser>
        <c:ser>
          <c:idx val="23"/>
          <c:order val="37"/>
          <c:tx>
            <c:strRef>
              <c:f>GUE_all!$G$196</c:f>
              <c:strCache>
                <c:ptCount val="1"/>
                <c:pt idx="0">
                  <c:v>F_01_TM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GUE_all!$G$201</c:f>
                <c:numCache>
                  <c:formatCode>General</c:formatCode>
                  <c:ptCount val="1"/>
                  <c:pt idx="0">
                    <c:v>0.81264922131588224</c:v>
                  </c:pt>
                </c:numCache>
              </c:numRef>
            </c:plus>
            <c:minus>
              <c:numRef>
                <c:f>GUE_all!$G$201</c:f>
                <c:numCache>
                  <c:formatCode>General</c:formatCode>
                  <c:ptCount val="1"/>
                  <c:pt idx="0">
                    <c:v>0.81264922131588224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GUE_all!$G$203</c:f>
                <c:numCache>
                  <c:formatCode>General</c:formatCode>
                  <c:ptCount val="1"/>
                  <c:pt idx="0">
                    <c:v>0.5531059527269635</c:v>
                  </c:pt>
                </c:numCache>
              </c:numRef>
            </c:plus>
            <c:minus>
              <c:numRef>
                <c:f>GUE_all!$G$203</c:f>
                <c:numCache>
                  <c:formatCode>General</c:formatCode>
                  <c:ptCount val="1"/>
                  <c:pt idx="0">
                    <c:v>0.5531059527269635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GUE_all!$G$200</c:f>
              <c:numCache>
                <c:formatCode>0.00</c:formatCode>
                <c:ptCount val="1"/>
                <c:pt idx="0">
                  <c:v>89.990530339464598</c:v>
                </c:pt>
              </c:numCache>
            </c:numRef>
          </c:xVal>
          <c:yVal>
            <c:numRef>
              <c:f>GUE_all!$G$202</c:f>
              <c:numCache>
                <c:formatCode>0.00</c:formatCode>
                <c:ptCount val="1"/>
                <c:pt idx="0">
                  <c:v>91.279293123319235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0708-4740-B84E-1BB67743B2CD}"/>
            </c:ext>
          </c:extLst>
        </c:ser>
        <c:ser>
          <c:idx val="28"/>
          <c:order val="38"/>
          <c:tx>
            <c:strRef>
              <c:f>GUE_all!$G$244</c:f>
              <c:strCache>
                <c:ptCount val="1"/>
                <c:pt idx="0">
                  <c:v>F_07_ETM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GUE_all!$G$249</c:f>
                <c:numCache>
                  <c:formatCode>General</c:formatCode>
                  <c:ptCount val="1"/>
                  <c:pt idx="0">
                    <c:v>0.92824244358332397</c:v>
                  </c:pt>
                </c:numCache>
              </c:numRef>
            </c:plus>
            <c:minus>
              <c:numRef>
                <c:f>GUE_all!$G$249</c:f>
                <c:numCache>
                  <c:formatCode>General</c:formatCode>
                  <c:ptCount val="1"/>
                  <c:pt idx="0">
                    <c:v>0.92824244358332397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GUE_all!$G$251</c:f>
                <c:numCache>
                  <c:formatCode>General</c:formatCode>
                  <c:ptCount val="1"/>
                  <c:pt idx="0">
                    <c:v>0.55892537340948734</c:v>
                  </c:pt>
                </c:numCache>
              </c:numRef>
            </c:plus>
            <c:minus>
              <c:numRef>
                <c:f>GUE_all!$G$251</c:f>
                <c:numCache>
                  <c:formatCode>General</c:formatCode>
                  <c:ptCount val="1"/>
                  <c:pt idx="0">
                    <c:v>0.55892537340948734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GUE_all!$G$248</c:f>
              <c:numCache>
                <c:formatCode>0.00</c:formatCode>
                <c:ptCount val="1"/>
                <c:pt idx="0">
                  <c:v>87.705836516974827</c:v>
                </c:pt>
              </c:numCache>
            </c:numRef>
          </c:xVal>
          <c:yVal>
            <c:numRef>
              <c:f>GUE_all!$G$250</c:f>
              <c:numCache>
                <c:formatCode>0.00</c:formatCode>
                <c:ptCount val="1"/>
                <c:pt idx="0">
                  <c:v>92.237243785433932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0708-4740-B84E-1BB67743B2CD}"/>
            </c:ext>
          </c:extLst>
        </c:ser>
        <c:ser>
          <c:idx val="33"/>
          <c:order val="39"/>
          <c:tx>
            <c:strRef>
              <c:f>GUE_all!$G$292</c:f>
              <c:strCache>
                <c:ptCount val="1"/>
                <c:pt idx="0">
                  <c:v>F_11_ETM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149721">
                  <a:alpha val="20000"/>
                </a:srgbClr>
              </a:solidFill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GUE_all!$G$297</c:f>
                <c:numCache>
                  <c:formatCode>General</c:formatCode>
                  <c:ptCount val="1"/>
                  <c:pt idx="0">
                    <c:v>0.62950154269041958</c:v>
                  </c:pt>
                </c:numCache>
              </c:numRef>
            </c:plus>
            <c:minus>
              <c:numRef>
                <c:f>GUE_all!$G$297</c:f>
                <c:numCache>
                  <c:formatCode>General</c:formatCode>
                  <c:ptCount val="1"/>
                  <c:pt idx="0">
                    <c:v>0.62950154269041958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GUE_all!$G$299</c:f>
                <c:numCache>
                  <c:formatCode>General</c:formatCode>
                  <c:ptCount val="1"/>
                  <c:pt idx="0">
                    <c:v>0.57042114084105178</c:v>
                  </c:pt>
                </c:numCache>
              </c:numRef>
            </c:plus>
            <c:minus>
              <c:numRef>
                <c:f>GUE_all!$G$299</c:f>
                <c:numCache>
                  <c:formatCode>General</c:formatCode>
                  <c:ptCount val="1"/>
                  <c:pt idx="0">
                    <c:v>0.57042114084105178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GUE_all!$G$296</c:f>
              <c:numCache>
                <c:formatCode>0.00</c:formatCode>
                <c:ptCount val="1"/>
                <c:pt idx="0">
                  <c:v>92.79570408854471</c:v>
                </c:pt>
              </c:numCache>
            </c:numRef>
          </c:xVal>
          <c:yVal>
            <c:numRef>
              <c:f>GUE_all!$G$298</c:f>
              <c:numCache>
                <c:formatCode>0.00</c:formatCode>
                <c:ptCount val="1"/>
                <c:pt idx="0">
                  <c:v>90.785381026438571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0708-4740-B84E-1BB67743B2CD}"/>
            </c:ext>
          </c:extLst>
        </c:ser>
        <c:ser>
          <c:idx val="38"/>
          <c:order val="40"/>
          <c:tx>
            <c:strRef>
              <c:f>GUE_all!$G$340</c:f>
              <c:strCache>
                <c:ptCount val="1"/>
                <c:pt idx="0">
                  <c:v>F_15_OLI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GUE_all!$G$345</c:f>
                <c:numCache>
                  <c:formatCode>General</c:formatCode>
                  <c:ptCount val="1"/>
                  <c:pt idx="0">
                    <c:v>0.56012779103475796</c:v>
                  </c:pt>
                </c:numCache>
              </c:numRef>
            </c:plus>
            <c:minus>
              <c:numRef>
                <c:f>GUE_all!$G$345</c:f>
                <c:numCache>
                  <c:formatCode>General</c:formatCode>
                  <c:ptCount val="1"/>
                  <c:pt idx="0">
                    <c:v>0.56012779103475796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GUE_all!$G$347</c:f>
                <c:numCache>
                  <c:formatCode>General</c:formatCode>
                  <c:ptCount val="1"/>
                  <c:pt idx="0">
                    <c:v>0.37132020901141038</c:v>
                  </c:pt>
                </c:numCache>
              </c:numRef>
            </c:plus>
            <c:minus>
              <c:numRef>
                <c:f>GUE_all!$G$347</c:f>
                <c:numCache>
                  <c:formatCode>General</c:formatCode>
                  <c:ptCount val="1"/>
                  <c:pt idx="0">
                    <c:v>0.37132020901141038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GUE_all!$G$344</c:f>
              <c:numCache>
                <c:formatCode>0.00</c:formatCode>
                <c:ptCount val="1"/>
                <c:pt idx="0">
                  <c:v>91.057906828471317</c:v>
                </c:pt>
              </c:numCache>
            </c:numRef>
          </c:xVal>
          <c:yVal>
            <c:numRef>
              <c:f>GUE_all!$G$346</c:f>
              <c:numCache>
                <c:formatCode>0.00</c:formatCode>
                <c:ptCount val="1"/>
                <c:pt idx="0">
                  <c:v>96.273530541682661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0708-4740-B84E-1BB67743B2CD}"/>
            </c:ext>
          </c:extLst>
        </c:ser>
        <c:ser>
          <c:idx val="42"/>
          <c:order val="41"/>
          <c:tx>
            <c:strRef>
              <c:f>GUE_all!$G$388</c:f>
              <c:strCache>
                <c:ptCount val="1"/>
                <c:pt idx="0">
                  <c:v>F_19_OLI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49721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GUE_all!$G$393</c:f>
                <c:numCache>
                  <c:formatCode>General</c:formatCode>
                  <c:ptCount val="1"/>
                  <c:pt idx="0">
                    <c:v>0.61769872118223768</c:v>
                  </c:pt>
                </c:numCache>
              </c:numRef>
            </c:plus>
            <c:minus>
              <c:numRef>
                <c:f>GUE_all!$G$393</c:f>
                <c:numCache>
                  <c:formatCode>General</c:formatCode>
                  <c:ptCount val="1"/>
                  <c:pt idx="0">
                    <c:v>0.61769872118223768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GUE_all!$G$395</c:f>
                <c:numCache>
                  <c:formatCode>General</c:formatCode>
                  <c:ptCount val="1"/>
                  <c:pt idx="0">
                    <c:v>0.41434822549063804</c:v>
                  </c:pt>
                </c:numCache>
              </c:numRef>
            </c:plus>
            <c:minus>
              <c:numRef>
                <c:f>GUE_all!$G$395</c:f>
                <c:numCache>
                  <c:formatCode>General</c:formatCode>
                  <c:ptCount val="1"/>
                  <c:pt idx="0">
                    <c:v>0.41434822549063804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GUE_all!$G$392</c:f>
              <c:numCache>
                <c:formatCode>0.00</c:formatCode>
                <c:ptCount val="1"/>
                <c:pt idx="0">
                  <c:v>90.671866871729094</c:v>
                </c:pt>
              </c:numCache>
            </c:numRef>
          </c:xVal>
          <c:yVal>
            <c:numRef>
              <c:f>GUE_all!$G$394</c:f>
              <c:numCache>
                <c:formatCode>0.00</c:formatCode>
                <c:ptCount val="1"/>
                <c:pt idx="0">
                  <c:v>95.313100268920465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0708-4740-B84E-1BB67743B2CD}"/>
            </c:ext>
          </c:extLst>
        </c:ser>
        <c:ser>
          <c:idx val="47"/>
          <c:order val="42"/>
          <c:tx>
            <c:strRef>
              <c:f>GUE_all!$G$436</c:f>
              <c:strCache>
                <c:ptCount val="1"/>
                <c:pt idx="0">
                  <c:v>F_19_MSI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GUE_all!$G$441</c:f>
                <c:numCache>
                  <c:formatCode>General</c:formatCode>
                  <c:ptCount val="1"/>
                  <c:pt idx="0">
                    <c:v>0.92250358661704734</c:v>
                  </c:pt>
                </c:numCache>
              </c:numRef>
            </c:plus>
            <c:minus>
              <c:numRef>
                <c:f>GUE_all!$G$441</c:f>
                <c:numCache>
                  <c:formatCode>General</c:formatCode>
                  <c:ptCount val="1"/>
                  <c:pt idx="0">
                    <c:v>0.92250358661704734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GUE_all!$G$443</c:f>
                <c:numCache>
                  <c:formatCode>General</c:formatCode>
                  <c:ptCount val="1"/>
                  <c:pt idx="0">
                    <c:v>0.63059864001507127</c:v>
                  </c:pt>
                </c:numCache>
              </c:numRef>
            </c:plus>
            <c:minus>
              <c:numRef>
                <c:f>GUE_all!$G$443</c:f>
                <c:numCache>
                  <c:formatCode>General</c:formatCode>
                  <c:ptCount val="1"/>
                  <c:pt idx="0">
                    <c:v>0.63059864001507127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GUE_all!$G$440</c:f>
              <c:numCache>
                <c:formatCode>0.00</c:formatCode>
                <c:ptCount val="1"/>
                <c:pt idx="0">
                  <c:v>88.432238235359179</c:v>
                </c:pt>
              </c:numCache>
            </c:numRef>
          </c:xVal>
          <c:yVal>
            <c:numRef>
              <c:f>GUE_all!$G$442</c:f>
              <c:numCache>
                <c:formatCode>0.00</c:formatCode>
                <c:ptCount val="1"/>
                <c:pt idx="0">
                  <c:v>88.097043214556464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0708-4740-B84E-1BB67743B2CD}"/>
            </c:ext>
          </c:extLst>
        </c:ser>
        <c:ser>
          <c:idx val="52"/>
          <c:order val="43"/>
          <c:tx>
            <c:strRef>
              <c:f>GUE_all!$G$484</c:f>
              <c:strCache>
                <c:ptCount val="1"/>
                <c:pt idx="0">
                  <c:v>F_24_MSI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31750" cmpd="dbl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GUE_all!$G$489</c:f>
                <c:numCache>
                  <c:formatCode>General</c:formatCode>
                  <c:ptCount val="1"/>
                  <c:pt idx="0">
                    <c:v>0.66504223515134753</c:v>
                  </c:pt>
                </c:numCache>
              </c:numRef>
            </c:plus>
            <c:minus>
              <c:numRef>
                <c:f>GUE_all!$G$489</c:f>
                <c:numCache>
                  <c:formatCode>General</c:formatCode>
                  <c:ptCount val="1"/>
                  <c:pt idx="0">
                    <c:v>0.66504223515134753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GUE_all!$G$491</c:f>
                <c:numCache>
                  <c:formatCode>General</c:formatCode>
                  <c:ptCount val="1"/>
                  <c:pt idx="0">
                    <c:v>0.54172782493243543</c:v>
                  </c:pt>
                </c:numCache>
              </c:numRef>
            </c:plus>
            <c:minus>
              <c:numRef>
                <c:f>GUE_all!$G$491</c:f>
                <c:numCache>
                  <c:formatCode>General</c:formatCode>
                  <c:ptCount val="1"/>
                  <c:pt idx="0">
                    <c:v>0.54172782493243543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GUE_all!$G$488</c:f>
              <c:numCache>
                <c:formatCode>0.00</c:formatCode>
                <c:ptCount val="1"/>
                <c:pt idx="0">
                  <c:v>92.399490667283459</c:v>
                </c:pt>
              </c:numCache>
            </c:numRef>
          </c:xVal>
          <c:yVal>
            <c:numRef>
              <c:f>GUE_all!$G$490</c:f>
              <c:numCache>
                <c:formatCode>0.00</c:formatCode>
                <c:ptCount val="1"/>
                <c:pt idx="0">
                  <c:v>91.546626231993926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0708-4740-B84E-1BB67743B2CD}"/>
            </c:ext>
          </c:extLst>
        </c:ser>
        <c:ser>
          <c:idx val="6"/>
          <c:order val="44"/>
          <c:tx>
            <c:strRef>
              <c:f>GUE_all!$H$4</c:f>
              <c:strCache>
                <c:ptCount val="1"/>
                <c:pt idx="0">
                  <c:v>S_77_MSS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GUE_all!$H$9</c:f>
                <c:numCache>
                  <c:formatCode>General</c:formatCode>
                  <c:ptCount val="1"/>
                  <c:pt idx="0">
                    <c:v>5.3359983030271971</c:v>
                  </c:pt>
                </c:numCache>
              </c:numRef>
            </c:plus>
            <c:minus>
              <c:numRef>
                <c:f>GUE_all!$H$9</c:f>
                <c:numCache>
                  <c:formatCode>General</c:formatCode>
                  <c:ptCount val="1"/>
                  <c:pt idx="0">
                    <c:v>5.3359983030271971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GUE_all!$H$11</c:f>
                <c:numCache>
                  <c:formatCode>General</c:formatCode>
                  <c:ptCount val="1"/>
                  <c:pt idx="0">
                    <c:v>2.4486601865262365</c:v>
                  </c:pt>
                </c:numCache>
              </c:numRef>
            </c:plus>
            <c:minus>
              <c:numRef>
                <c:f>GUE_all!$H$11</c:f>
                <c:numCache>
                  <c:formatCode>General</c:formatCode>
                  <c:ptCount val="1"/>
                  <c:pt idx="0">
                    <c:v>2.4486601865262365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GUE_all!$H$8</c:f>
              <c:numCache>
                <c:formatCode>0.00</c:formatCode>
                <c:ptCount val="1"/>
                <c:pt idx="0">
                  <c:v>78.271776326033319</c:v>
                </c:pt>
              </c:numCache>
            </c:numRef>
          </c:xVal>
          <c:yVal>
            <c:numRef>
              <c:f>GUE_all!$H$10</c:f>
              <c:numCache>
                <c:formatCode>0.00</c:formatCode>
                <c:ptCount val="1"/>
                <c:pt idx="0">
                  <c:v>82.572614107883808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0708-4740-B84E-1BB67743B2CD}"/>
            </c:ext>
          </c:extLst>
        </c:ser>
        <c:ser>
          <c:idx val="5"/>
          <c:order val="45"/>
          <c:tx>
            <c:strRef>
              <c:f>GUE_all!$H$52</c:f>
              <c:strCache>
                <c:ptCount val="1"/>
                <c:pt idx="0">
                  <c:v>S_88_MSS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GUE_all!$H$57</c:f>
                <c:numCache>
                  <c:formatCode>General</c:formatCode>
                  <c:ptCount val="1"/>
                  <c:pt idx="0">
                    <c:v>6.98244848169601</c:v>
                  </c:pt>
                </c:numCache>
              </c:numRef>
            </c:plus>
            <c:minus>
              <c:numRef>
                <c:f>GUE_all!$H$57</c:f>
                <c:numCache>
                  <c:formatCode>General</c:formatCode>
                  <c:ptCount val="1"/>
                  <c:pt idx="0">
                    <c:v>6.98244848169601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GUE_all!$H$59</c:f>
                <c:numCache>
                  <c:formatCode>General</c:formatCode>
                  <c:ptCount val="1"/>
                  <c:pt idx="0">
                    <c:v>2.5779625837359448</c:v>
                  </c:pt>
                </c:numCache>
              </c:numRef>
            </c:plus>
            <c:minus>
              <c:numRef>
                <c:f>GUE_all!$H$59</c:f>
                <c:numCache>
                  <c:formatCode>General</c:formatCode>
                  <c:ptCount val="1"/>
                  <c:pt idx="0">
                    <c:v>2.5779625837359448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olid"/>
                <a:round/>
              </a:ln>
              <a:effectLst/>
            </c:spPr>
          </c:errBars>
          <c:xVal>
            <c:numRef>
              <c:f>GUE_all!$H$56</c:f>
              <c:numCache>
                <c:formatCode>0.00</c:formatCode>
                <c:ptCount val="1"/>
                <c:pt idx="0">
                  <c:v>69.380060633295685</c:v>
                </c:pt>
              </c:numCache>
            </c:numRef>
          </c:xVal>
          <c:yVal>
            <c:numRef>
              <c:f>GUE_all!$H$58</c:f>
              <c:numCache>
                <c:formatCode>0.00</c:formatCode>
                <c:ptCount val="1"/>
                <c:pt idx="0">
                  <c:v>80.08298755186722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0708-4740-B84E-1BB67743B2CD}"/>
            </c:ext>
          </c:extLst>
        </c:ser>
        <c:ser>
          <c:idx val="14"/>
          <c:order val="46"/>
          <c:tx>
            <c:strRef>
              <c:f>GUE_all!$H$100</c:f>
              <c:strCache>
                <c:ptCount val="1"/>
                <c:pt idx="0">
                  <c:v>S_88_TM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GUE_all!$H$105</c:f>
                <c:numCache>
                  <c:formatCode>General</c:formatCode>
                  <c:ptCount val="1"/>
                  <c:pt idx="0">
                    <c:v>2.4667415158523145</c:v>
                  </c:pt>
                </c:numCache>
              </c:numRef>
            </c:plus>
            <c:minus>
              <c:numRef>
                <c:f>GUE_all!$H$105</c:f>
                <c:numCache>
                  <c:formatCode>General</c:formatCode>
                  <c:ptCount val="1"/>
                  <c:pt idx="0">
                    <c:v>2.4667415158523145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GUE_all!$H$107</c:f>
                <c:numCache>
                  <c:formatCode>General</c:formatCode>
                  <c:ptCount val="1"/>
                  <c:pt idx="0">
                    <c:v>1.1912688532439153</c:v>
                  </c:pt>
                </c:numCache>
              </c:numRef>
            </c:plus>
            <c:minus>
              <c:numRef>
                <c:f>GUE_all!$H$107</c:f>
                <c:numCache>
                  <c:formatCode>General</c:formatCode>
                  <c:ptCount val="1"/>
                  <c:pt idx="0">
                    <c:v>1.1912688532439153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GUE_all!$H$104</c:f>
              <c:numCache>
                <c:formatCode>0.00</c:formatCode>
                <c:ptCount val="1"/>
                <c:pt idx="0">
                  <c:v>79.965486896400463</c:v>
                </c:pt>
              </c:numCache>
            </c:numRef>
          </c:xVal>
          <c:yVal>
            <c:numRef>
              <c:f>GUE_all!$H$106</c:f>
              <c:numCache>
                <c:formatCode>0.00</c:formatCode>
                <c:ptCount val="1"/>
                <c:pt idx="0">
                  <c:v>83.749999999999986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0708-4740-B84E-1BB67743B2CD}"/>
            </c:ext>
          </c:extLst>
        </c:ser>
        <c:ser>
          <c:idx val="19"/>
          <c:order val="47"/>
          <c:tx>
            <c:strRef>
              <c:f>GUE_all!$H$148</c:f>
              <c:strCache>
                <c:ptCount val="1"/>
                <c:pt idx="0">
                  <c:v>S_91_TM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GUE_all!$H$155</c:f>
                <c:numCache>
                  <c:formatCode>General</c:formatCode>
                  <c:ptCount val="1"/>
                  <c:pt idx="0">
                    <c:v>1.3622216223481378</c:v>
                  </c:pt>
                </c:numCache>
              </c:numRef>
            </c:plus>
            <c:minus>
              <c:numRef>
                <c:f>GUE_all!$H$155</c:f>
                <c:numCache>
                  <c:formatCode>General</c:formatCode>
                  <c:ptCount val="1"/>
                  <c:pt idx="0">
                    <c:v>1.3622216223481378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ysDot"/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GUE_all!$H$153</c:f>
                <c:numCache>
                  <c:formatCode>General</c:formatCode>
                  <c:ptCount val="1"/>
                  <c:pt idx="0">
                    <c:v>2.0471241424842521</c:v>
                  </c:pt>
                </c:numCache>
              </c:numRef>
            </c:plus>
            <c:minus>
              <c:numRef>
                <c:f>GUE_all!$H$153</c:f>
                <c:numCache>
                  <c:formatCode>General</c:formatCode>
                  <c:ptCount val="1"/>
                  <c:pt idx="0">
                    <c:v>2.0471241424842521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ysDot"/>
                <a:round/>
              </a:ln>
              <a:effectLst/>
            </c:spPr>
          </c:errBars>
          <c:xVal>
            <c:numRef>
              <c:f>GUE_all!$H$152</c:f>
              <c:numCache>
                <c:formatCode>0.00</c:formatCode>
                <c:ptCount val="1"/>
                <c:pt idx="0">
                  <c:v>88.04874879558588</c:v>
                </c:pt>
              </c:numCache>
            </c:numRef>
          </c:xVal>
          <c:yVal>
            <c:numRef>
              <c:f>GUE_all!$H$154</c:f>
              <c:numCache>
                <c:formatCode>0.00</c:formatCode>
                <c:ptCount val="1"/>
                <c:pt idx="0">
                  <c:v>77.354497354497369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0708-4740-B84E-1BB67743B2CD}"/>
            </c:ext>
          </c:extLst>
        </c:ser>
        <c:ser>
          <c:idx val="24"/>
          <c:order val="48"/>
          <c:tx>
            <c:strRef>
              <c:f>GUE_all!$H$196</c:f>
              <c:strCache>
                <c:ptCount val="1"/>
                <c:pt idx="0">
                  <c:v>S_01_TM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GUE_all!$H$201</c:f>
                <c:numCache>
                  <c:formatCode>General</c:formatCode>
                  <c:ptCount val="1"/>
                  <c:pt idx="0">
                    <c:v>1.6656578062102736</c:v>
                  </c:pt>
                </c:numCache>
              </c:numRef>
            </c:plus>
            <c:minus>
              <c:numRef>
                <c:f>GUE_all!$H$201</c:f>
                <c:numCache>
                  <c:formatCode>General</c:formatCode>
                  <c:ptCount val="1"/>
                  <c:pt idx="0">
                    <c:v>1.6656578062102736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GUE_all!$H$203</c:f>
                <c:numCache>
                  <c:formatCode>General</c:formatCode>
                  <c:ptCount val="1"/>
                  <c:pt idx="0">
                    <c:v>1.1912688532439148</c:v>
                  </c:pt>
                </c:numCache>
              </c:numRef>
            </c:plus>
            <c:minus>
              <c:numRef>
                <c:f>GUE_all!$H$203</c:f>
                <c:numCache>
                  <c:formatCode>General</c:formatCode>
                  <c:ptCount val="1"/>
                  <c:pt idx="0">
                    <c:v>1.1912688532439148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GUE_all!$H$200</c:f>
              <c:numCache>
                <c:formatCode>0.00</c:formatCode>
                <c:ptCount val="1"/>
                <c:pt idx="0">
                  <c:v>88.243327455260911</c:v>
                </c:pt>
              </c:numCache>
            </c:numRef>
          </c:xVal>
          <c:yVal>
            <c:numRef>
              <c:f>GUE_all!$H$202</c:f>
              <c:numCache>
                <c:formatCode>0.00</c:formatCode>
                <c:ptCount val="1"/>
                <c:pt idx="0">
                  <c:v>83.75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0708-4740-B84E-1BB67743B2CD}"/>
            </c:ext>
          </c:extLst>
        </c:ser>
        <c:ser>
          <c:idx val="29"/>
          <c:order val="49"/>
          <c:tx>
            <c:strRef>
              <c:f>GUE_all!$H$244</c:f>
              <c:strCache>
                <c:ptCount val="1"/>
                <c:pt idx="0">
                  <c:v>S_07_ETM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GUE_all!$H$249</c:f>
                <c:numCache>
                  <c:formatCode>General</c:formatCode>
                  <c:ptCount val="1"/>
                  <c:pt idx="0">
                    <c:v>2.5734091835796948</c:v>
                  </c:pt>
                </c:numCache>
              </c:numRef>
            </c:plus>
            <c:minus>
              <c:numRef>
                <c:f>GUE_all!$H$249</c:f>
                <c:numCache>
                  <c:formatCode>General</c:formatCode>
                  <c:ptCount val="1"/>
                  <c:pt idx="0">
                    <c:v>2.5734091835796948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GUE_all!$H$251</c:f>
                <c:numCache>
                  <c:formatCode>General</c:formatCode>
                  <c:ptCount val="1"/>
                  <c:pt idx="0">
                    <c:v>1.6062658522237578</c:v>
                  </c:pt>
                </c:numCache>
              </c:numRef>
            </c:plus>
            <c:minus>
              <c:numRef>
                <c:f>GUE_all!$H$251</c:f>
                <c:numCache>
                  <c:formatCode>General</c:formatCode>
                  <c:ptCount val="1"/>
                  <c:pt idx="0">
                    <c:v>1.6062658522237578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GUE_all!$H$250</c:f>
              <c:numCache>
                <c:formatCode>0.00</c:formatCode>
                <c:ptCount val="1"/>
                <c:pt idx="0">
                  <c:v>73.768308921438091</c:v>
                </c:pt>
              </c:numCache>
            </c:numRef>
          </c:xVal>
          <c:yVal>
            <c:numRef>
              <c:f>GUE_all!$H$250</c:f>
              <c:numCache>
                <c:formatCode>0.00</c:formatCode>
                <c:ptCount val="1"/>
                <c:pt idx="0">
                  <c:v>73.768308921438091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0708-4740-B84E-1BB67743B2CD}"/>
            </c:ext>
          </c:extLst>
        </c:ser>
        <c:ser>
          <c:idx val="34"/>
          <c:order val="50"/>
          <c:tx>
            <c:strRef>
              <c:f>GUE_all!$H$292</c:f>
              <c:strCache>
                <c:ptCount val="1"/>
                <c:pt idx="0">
                  <c:v>S_11_ETM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AD8D06">
                  <a:alpha val="20000"/>
                </a:srgbClr>
              </a:solidFill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GUE_all!$H$297</c:f>
                <c:numCache>
                  <c:formatCode>General</c:formatCode>
                  <c:ptCount val="1"/>
                  <c:pt idx="0">
                    <c:v>1.8977164103569939</c:v>
                  </c:pt>
                </c:numCache>
              </c:numRef>
            </c:plus>
            <c:minus>
              <c:numRef>
                <c:f>GUE_all!$H$297</c:f>
                <c:numCache>
                  <c:formatCode>General</c:formatCode>
                  <c:ptCount val="1"/>
                  <c:pt idx="0">
                    <c:v>1.8977164103569939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GUE_all!$H$299</c:f>
                <c:numCache>
                  <c:formatCode>General</c:formatCode>
                  <c:ptCount val="1"/>
                  <c:pt idx="0">
                    <c:v>1.0162156240770146</c:v>
                  </c:pt>
                </c:numCache>
              </c:numRef>
            </c:plus>
            <c:minus>
              <c:numRef>
                <c:f>GUE_all!$H$299</c:f>
                <c:numCache>
                  <c:formatCode>General</c:formatCode>
                  <c:ptCount val="1"/>
                  <c:pt idx="0">
                    <c:v>1.0162156240770146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GUE_all!$H$296</c:f>
              <c:numCache>
                <c:formatCode>0.00</c:formatCode>
                <c:ptCount val="1"/>
                <c:pt idx="0">
                  <c:v>83.237622965561343</c:v>
                </c:pt>
              </c:numCache>
            </c:numRef>
          </c:xVal>
          <c:yVal>
            <c:numRef>
              <c:f>GUE_all!$H$298</c:f>
              <c:numCache>
                <c:formatCode>0.00</c:formatCode>
                <c:ptCount val="1"/>
                <c:pt idx="0">
                  <c:v>88.854166666666671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0708-4740-B84E-1BB67743B2CD}"/>
            </c:ext>
          </c:extLst>
        </c:ser>
        <c:ser>
          <c:idx val="39"/>
          <c:order val="51"/>
          <c:tx>
            <c:strRef>
              <c:f>GUE_all!$H$340</c:f>
              <c:strCache>
                <c:ptCount val="1"/>
                <c:pt idx="0">
                  <c:v>S_15_OLI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GUE_all!$H$345</c:f>
                <c:numCache>
                  <c:formatCode>General</c:formatCode>
                  <c:ptCount val="1"/>
                  <c:pt idx="0">
                    <c:v>2.0286666977387791</c:v>
                  </c:pt>
                </c:numCache>
              </c:numRef>
            </c:plus>
            <c:minus>
              <c:numRef>
                <c:f>GUE_all!$H$345</c:f>
                <c:numCache>
                  <c:formatCode>General</c:formatCode>
                  <c:ptCount val="1"/>
                  <c:pt idx="0">
                    <c:v>2.0286666977387791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GUE_all!$H$347</c:f>
                <c:numCache>
                  <c:formatCode>General</c:formatCode>
                  <c:ptCount val="1"/>
                  <c:pt idx="0">
                    <c:v>1.3636585469150411</c:v>
                  </c:pt>
                </c:numCache>
              </c:numRef>
            </c:plus>
            <c:minus>
              <c:numRef>
                <c:f>GUE_all!$H$347</c:f>
                <c:numCache>
                  <c:formatCode>General</c:formatCode>
                  <c:ptCount val="1"/>
                  <c:pt idx="0">
                    <c:v>1.3636585469150411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GUE_all!$H$344</c:f>
              <c:numCache>
                <c:formatCode>0.00</c:formatCode>
                <c:ptCount val="1"/>
                <c:pt idx="0">
                  <c:v>88.913979832133279</c:v>
                </c:pt>
              </c:numCache>
            </c:numRef>
          </c:xVal>
          <c:yVal>
            <c:numRef>
              <c:f>GUE_all!$H$346</c:f>
              <c:numCache>
                <c:formatCode>0.00</c:formatCode>
                <c:ptCount val="1"/>
                <c:pt idx="0">
                  <c:v>76.770833333333329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0708-4740-B84E-1BB67743B2CD}"/>
            </c:ext>
          </c:extLst>
        </c:ser>
        <c:ser>
          <c:idx val="43"/>
          <c:order val="52"/>
          <c:tx>
            <c:strRef>
              <c:f>GUE_all!$H$388</c:f>
              <c:strCache>
                <c:ptCount val="1"/>
                <c:pt idx="0">
                  <c:v>S_19_OLI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AD8D06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GUE_all!$H$393</c:f>
                <c:numCache>
                  <c:formatCode>General</c:formatCode>
                  <c:ptCount val="1"/>
                  <c:pt idx="0">
                    <c:v>1.8375231045571487</c:v>
                  </c:pt>
                </c:numCache>
              </c:numRef>
            </c:plus>
            <c:minus>
              <c:numRef>
                <c:f>GUE_all!$H$393</c:f>
                <c:numCache>
                  <c:formatCode>General</c:formatCode>
                  <c:ptCount val="1"/>
                  <c:pt idx="0">
                    <c:v>1.8375231045571487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GUE_all!$H$395</c:f>
                <c:numCache>
                  <c:formatCode>General</c:formatCode>
                  <c:ptCount val="1"/>
                  <c:pt idx="0">
                    <c:v>1.2710400508238462</c:v>
                  </c:pt>
                </c:numCache>
              </c:numRef>
            </c:plus>
            <c:minus>
              <c:numRef>
                <c:f>GUE_all!$H$395</c:f>
                <c:numCache>
                  <c:formatCode>General</c:formatCode>
                  <c:ptCount val="1"/>
                  <c:pt idx="0">
                    <c:v>1.2710400508238462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GUE_all!$H$392</c:f>
              <c:numCache>
                <c:formatCode>0.00</c:formatCode>
                <c:ptCount val="1"/>
                <c:pt idx="0">
                  <c:v>88.695412506856712</c:v>
                </c:pt>
              </c:numCache>
            </c:numRef>
          </c:xVal>
          <c:yVal>
            <c:numRef>
              <c:f>GUE_all!$H$394</c:f>
              <c:numCache>
                <c:formatCode>0.00</c:formatCode>
                <c:ptCount val="1"/>
                <c:pt idx="0">
                  <c:v>80.833333333333329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0708-4740-B84E-1BB67743B2CD}"/>
            </c:ext>
          </c:extLst>
        </c:ser>
        <c:ser>
          <c:idx val="48"/>
          <c:order val="53"/>
          <c:tx>
            <c:strRef>
              <c:f>GUE_all!$H$436</c:f>
              <c:strCache>
                <c:ptCount val="1"/>
                <c:pt idx="0">
                  <c:v>S_19_MSI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GUE_all!$H$441</c:f>
                <c:numCache>
                  <c:formatCode>General</c:formatCode>
                  <c:ptCount val="1"/>
                  <c:pt idx="0">
                    <c:v>2.6242039722281816</c:v>
                  </c:pt>
                </c:numCache>
              </c:numRef>
            </c:plus>
            <c:minus>
              <c:numRef>
                <c:f>GUE_all!$H$441</c:f>
                <c:numCache>
                  <c:formatCode>General</c:formatCode>
                  <c:ptCount val="1"/>
                  <c:pt idx="0">
                    <c:v>2.6242039722281816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GUE_all!$H$443</c:f>
                <c:numCache>
                  <c:formatCode>General</c:formatCode>
                  <c:ptCount val="1"/>
                  <c:pt idx="0">
                    <c:v>1.3529260734990296</c:v>
                  </c:pt>
                </c:numCache>
              </c:numRef>
            </c:plus>
            <c:minus>
              <c:numRef>
                <c:f>GUE_all!$H$443</c:f>
                <c:numCache>
                  <c:formatCode>General</c:formatCode>
                  <c:ptCount val="1"/>
                  <c:pt idx="0">
                    <c:v>1.3529260734990296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GUE_all!$H$440</c:f>
              <c:numCache>
                <c:formatCode>0.00</c:formatCode>
                <c:ptCount val="1"/>
                <c:pt idx="0">
                  <c:v>83.836569082609941</c:v>
                </c:pt>
              </c:numCache>
            </c:numRef>
          </c:xVal>
          <c:yVal>
            <c:numRef>
              <c:f>GUE_all!$H$442</c:f>
              <c:numCache>
                <c:formatCode>0.00</c:formatCode>
                <c:ptCount val="1"/>
                <c:pt idx="0">
                  <c:v>76.26262626262627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0708-4740-B84E-1BB67743B2CD}"/>
            </c:ext>
          </c:extLst>
        </c:ser>
        <c:ser>
          <c:idx val="53"/>
          <c:order val="54"/>
          <c:tx>
            <c:strRef>
              <c:f>GUE_all!$H$484</c:f>
              <c:strCache>
                <c:ptCount val="1"/>
                <c:pt idx="0">
                  <c:v>S_24_MSI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31750" cmpd="dbl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GUE_all!$H$489</c:f>
                <c:numCache>
                  <c:formatCode>General</c:formatCode>
                  <c:ptCount val="1"/>
                  <c:pt idx="0">
                    <c:v>1.7097909686991446</c:v>
                  </c:pt>
                </c:numCache>
              </c:numRef>
            </c:plus>
            <c:minus>
              <c:numRef>
                <c:f>GUE_all!$H$489</c:f>
                <c:numCache>
                  <c:formatCode>General</c:formatCode>
                  <c:ptCount val="1"/>
                  <c:pt idx="0">
                    <c:v>1.7097909686991446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GUE_all!$H$491</c:f>
                <c:numCache>
                  <c:formatCode>General</c:formatCode>
                  <c:ptCount val="1"/>
                  <c:pt idx="0">
                    <c:v>1.070441875992074</c:v>
                  </c:pt>
                </c:numCache>
              </c:numRef>
            </c:plus>
            <c:minus>
              <c:numRef>
                <c:f>GUE_all!$H$491</c:f>
                <c:numCache>
                  <c:formatCode>General</c:formatCode>
                  <c:ptCount val="1"/>
                  <c:pt idx="0">
                    <c:v>1.070441875992074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GUE_all!$H$488</c:f>
              <c:numCache>
                <c:formatCode>0.00</c:formatCode>
                <c:ptCount val="1"/>
                <c:pt idx="0">
                  <c:v>86.541682457195208</c:v>
                </c:pt>
              </c:numCache>
            </c:numRef>
          </c:xVal>
          <c:yVal>
            <c:numRef>
              <c:f>GUE_all!$H$490</c:f>
              <c:numCache>
                <c:formatCode>0.00</c:formatCode>
                <c:ptCount val="1"/>
                <c:pt idx="0">
                  <c:v>86.969696969696969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0708-4740-B84E-1BB67743B2CD}"/>
            </c:ext>
          </c:extLst>
        </c:ser>
        <c:ser>
          <c:idx val="55"/>
          <c:order val="55"/>
          <c:tx>
            <c:strRef>
              <c:f>Cumulative!$F$19</c:f>
              <c:strCache>
                <c:ptCount val="1"/>
                <c:pt idx="0">
                  <c:v>W_All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002060"/>
              </a:solidFill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Cumulative!$C$19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Cumulative!$D$19</c:f>
              <c:numCache>
                <c:formatCode>0.00</c:formatCode>
                <c:ptCount val="1"/>
                <c:pt idx="0">
                  <c:v>99.954212454212453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6B-408E-8785-B59440E207DB}"/>
            </c:ext>
          </c:extLst>
        </c:ser>
        <c:ser>
          <c:idx val="56"/>
          <c:order val="56"/>
          <c:tx>
            <c:strRef>
              <c:f>Cumulative!$F$20</c:f>
              <c:strCache>
                <c:ptCount val="1"/>
                <c:pt idx="0">
                  <c:v>B_All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ysClr val="windowText" lastClr="000000">
                  <a:lumMod val="85000"/>
                  <a:lumOff val="15000"/>
                </a:sysClr>
              </a:solidFill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Cumulative!$C$20</c:f>
              <c:numCache>
                <c:formatCode>0.00</c:formatCode>
                <c:ptCount val="1"/>
                <c:pt idx="0">
                  <c:v>59.940336671638605</c:v>
                </c:pt>
              </c:numCache>
            </c:numRef>
          </c:xVal>
          <c:yVal>
            <c:numRef>
              <c:f>Cumulative!$D$20</c:f>
              <c:numCache>
                <c:formatCode>0.00</c:formatCode>
                <c:ptCount val="1"/>
                <c:pt idx="0">
                  <c:v>90.362993896562799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6B-408E-8785-B59440E207DB}"/>
            </c:ext>
          </c:extLst>
        </c:ser>
        <c:ser>
          <c:idx val="57"/>
          <c:order val="57"/>
          <c:tx>
            <c:strRef>
              <c:f>Cumulative!$F$21</c:f>
              <c:strCache>
                <c:ptCount val="1"/>
                <c:pt idx="0">
                  <c:v>A_All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Cumulative!$C$21</c:f>
              <c:numCache>
                <c:formatCode>0.00</c:formatCode>
                <c:ptCount val="1"/>
                <c:pt idx="0">
                  <c:v>98.222508887455561</c:v>
                </c:pt>
              </c:numCache>
            </c:numRef>
          </c:xVal>
          <c:yVal>
            <c:numRef>
              <c:f>Cumulative!$D$21</c:f>
              <c:numCache>
                <c:formatCode>0.00</c:formatCode>
                <c:ptCount val="1"/>
                <c:pt idx="0">
                  <c:v>95.69474484129303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36B-408E-8785-B59440E207DB}"/>
            </c:ext>
          </c:extLst>
        </c:ser>
        <c:ser>
          <c:idx val="58"/>
          <c:order val="58"/>
          <c:tx>
            <c:strRef>
              <c:f>Cumulative!$F$22</c:f>
              <c:strCache>
                <c:ptCount val="1"/>
                <c:pt idx="0">
                  <c:v>F_All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Cumulative!$C$22</c:f>
              <c:numCache>
                <c:formatCode>0.00</c:formatCode>
                <c:ptCount val="1"/>
                <c:pt idx="0">
                  <c:v>91.444046261606132</c:v>
                </c:pt>
              </c:numCache>
            </c:numRef>
          </c:xVal>
          <c:yVal>
            <c:numRef>
              <c:f>Cumulative!$D$22</c:f>
              <c:numCache>
                <c:formatCode>0.00</c:formatCode>
                <c:ptCount val="1"/>
                <c:pt idx="0">
                  <c:v>92.10796177037615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36B-408E-8785-B59440E207DB}"/>
            </c:ext>
          </c:extLst>
        </c:ser>
        <c:ser>
          <c:idx val="59"/>
          <c:order val="59"/>
          <c:tx>
            <c:strRef>
              <c:f>Cumulative!$F$23</c:f>
              <c:strCache>
                <c:ptCount val="1"/>
                <c:pt idx="0">
                  <c:v>S_All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E97132">
                  <a:lumMod val="50000"/>
                </a:srgbClr>
              </a:solidFill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Cumulative!$C$23</c:f>
              <c:numCache>
                <c:formatCode>0.00</c:formatCode>
                <c:ptCount val="1"/>
                <c:pt idx="0">
                  <c:v>81.077764141470482</c:v>
                </c:pt>
              </c:numCache>
            </c:numRef>
          </c:xVal>
          <c:yVal>
            <c:numRef>
              <c:f>Cumulative!$D$23</c:f>
              <c:numCache>
                <c:formatCode>0.00</c:formatCode>
                <c:ptCount val="1"/>
                <c:pt idx="0">
                  <c:v>81.123018530922081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6B-408E-8785-B59440E20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 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 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063203891628551"/>
          <c:y val="6.5182617644988478E-2"/>
          <c:w val="0.33598335293171228"/>
          <c:h val="0.888682518774945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Mode Classification Cumulative Results</a:t>
            </a:r>
            <a:endParaRPr lang="en-US" sz="2000"/>
          </a:p>
        </c:rich>
      </c:tx>
      <c:layout>
        <c:manualLayout>
          <c:xMode val="edge"/>
          <c:yMode val="edge"/>
          <c:x val="0.32620683426469255"/>
          <c:y val="1.0282884262081189E-2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95803004567238"/>
          <c:y val="8.196151821393248E-2"/>
          <c:w val="0.51982492264896873"/>
          <c:h val="0.77113989819133355"/>
        </c:manualLayout>
      </c:layout>
      <c:scatterChart>
        <c:scatterStyle val="lineMarker"/>
        <c:varyColors val="0"/>
        <c:ser>
          <c:idx val="60"/>
          <c:order val="0"/>
          <c:tx>
            <c:strRef>
              <c:f>Cumulative!$F$43</c:f>
              <c:strCache>
                <c:ptCount val="1"/>
                <c:pt idx="0">
                  <c:v>W_MSS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Cumulative!$C$43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Cumulative!$D$43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C259-4B13-8B42-A73D317F7491}"/>
            </c:ext>
          </c:extLst>
        </c:ser>
        <c:ser>
          <c:idx val="65"/>
          <c:order val="1"/>
          <c:tx>
            <c:strRef>
              <c:f>Cumulative!$F$67</c:f>
              <c:strCache>
                <c:ptCount val="1"/>
                <c:pt idx="0">
                  <c:v>W_TM/ETM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Cumulative!$C$67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Cumulative!$D$67</c:f>
              <c:numCache>
                <c:formatCode>0.00</c:formatCode>
                <c:ptCount val="1"/>
                <c:pt idx="0">
                  <c:v>99.911190053285964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C259-4B13-8B42-A73D317F7491}"/>
            </c:ext>
          </c:extLst>
        </c:ser>
        <c:ser>
          <c:idx val="4"/>
          <c:order val="2"/>
          <c:tx>
            <c:strRef>
              <c:f>Cumulative!$F$91</c:f>
              <c:strCache>
                <c:ptCount val="1"/>
                <c:pt idx="0">
                  <c:v>W_OLI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Cumulative!$C$91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Cumulative!$D$91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C259-4B13-8B42-A73D317F7491}"/>
            </c:ext>
          </c:extLst>
        </c:ser>
        <c:ser>
          <c:idx val="9"/>
          <c:order val="3"/>
          <c:tx>
            <c:strRef>
              <c:f>Cumulative!$F$115</c:f>
              <c:strCache>
                <c:ptCount val="1"/>
                <c:pt idx="0">
                  <c:v>W_MSI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8"/>
            <c:spPr>
              <a:solidFill>
                <a:srgbClr val="1F9DFF">
                  <a:alpha val="20000"/>
                </a:srgbClr>
              </a:solidFill>
              <a:ln w="25400">
                <a:solidFill>
                  <a:srgbClr val="1F9DFF"/>
                </a:solidFill>
              </a:ln>
              <a:effectLst/>
            </c:spPr>
          </c:marker>
          <c:xVal>
            <c:numRef>
              <c:f>Cumulative!$C$115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Cumulative!$D$115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C259-4B13-8B42-A73D317F7491}"/>
            </c:ext>
          </c:extLst>
        </c:ser>
        <c:ser>
          <c:idx val="61"/>
          <c:order val="4"/>
          <c:tx>
            <c:strRef>
              <c:f>Cumulative!$F$44</c:f>
              <c:strCache>
                <c:ptCount val="1"/>
                <c:pt idx="0">
                  <c:v>B_MSS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Cumulative!$C$44</c:f>
              <c:numCache>
                <c:formatCode>0.00</c:formatCode>
                <c:ptCount val="1"/>
                <c:pt idx="0">
                  <c:v>74.789915966386559</c:v>
                </c:pt>
              </c:numCache>
            </c:numRef>
          </c:xVal>
          <c:yVal>
            <c:numRef>
              <c:f>Cumulative!$D$44</c:f>
              <c:numCache>
                <c:formatCode>0.00</c:formatCode>
                <c:ptCount val="1"/>
                <c:pt idx="0">
                  <c:v>96.739130434782609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C259-4B13-8B42-A73D317F7491}"/>
            </c:ext>
          </c:extLst>
        </c:ser>
        <c:ser>
          <c:idx val="0"/>
          <c:order val="5"/>
          <c:tx>
            <c:strRef>
              <c:f>Cumulative!$F$68</c:f>
              <c:strCache>
                <c:ptCount val="1"/>
                <c:pt idx="0">
                  <c:v>B_TM/ETM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Cumulative!$C$68</c:f>
              <c:numCache>
                <c:formatCode>0.00</c:formatCode>
                <c:ptCount val="1"/>
                <c:pt idx="0">
                  <c:v>58.662861801875252</c:v>
                </c:pt>
              </c:numCache>
            </c:numRef>
          </c:xVal>
          <c:yVal>
            <c:numRef>
              <c:f>Cumulative!$D$68</c:f>
              <c:numCache>
                <c:formatCode>0.00</c:formatCode>
                <c:ptCount val="1"/>
                <c:pt idx="0">
                  <c:v>92.421323057161203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C259-4B13-8B42-A73D317F7491}"/>
            </c:ext>
          </c:extLst>
        </c:ser>
        <c:ser>
          <c:idx val="5"/>
          <c:order val="6"/>
          <c:tx>
            <c:strRef>
              <c:f>Cumulative!$F$92</c:f>
              <c:strCache>
                <c:ptCount val="1"/>
                <c:pt idx="0">
                  <c:v>B_OLI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Cumulative!$C$92</c:f>
              <c:numCache>
                <c:formatCode>0.00</c:formatCode>
                <c:ptCount val="1"/>
                <c:pt idx="0">
                  <c:v>64.050901378578999</c:v>
                </c:pt>
              </c:numCache>
            </c:numRef>
          </c:xVal>
          <c:yVal>
            <c:numRef>
              <c:f>Cumulative!$D$92</c:f>
              <c:numCache>
                <c:formatCode>0.00</c:formatCode>
                <c:ptCount val="1"/>
                <c:pt idx="0">
                  <c:v>89.08554572271386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C259-4B13-8B42-A73D317F7491}"/>
            </c:ext>
          </c:extLst>
        </c:ser>
        <c:ser>
          <c:idx val="10"/>
          <c:order val="7"/>
          <c:tx>
            <c:strRef>
              <c:f>Cumulative!$F$116</c:f>
              <c:strCache>
                <c:ptCount val="1"/>
                <c:pt idx="0">
                  <c:v>B_MSI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8"/>
            <c:spPr>
              <a:solidFill>
                <a:srgbClr val="CACDDE">
                  <a:alpha val="20000"/>
                </a:srgbClr>
              </a:solidFill>
              <a:ln w="25400">
                <a:solidFill>
                  <a:srgbClr val="CACDDE"/>
                </a:solidFill>
              </a:ln>
              <a:effectLst/>
            </c:spPr>
          </c:marker>
          <c:xVal>
            <c:numRef>
              <c:f>Cumulative!$C$116</c:f>
              <c:numCache>
                <c:formatCode>0.00</c:formatCode>
                <c:ptCount val="1"/>
                <c:pt idx="0">
                  <c:v>55.901794145420205</c:v>
                </c:pt>
              </c:numCache>
            </c:numRef>
          </c:xVal>
          <c:yVal>
            <c:numRef>
              <c:f>Cumulative!$D$116</c:f>
              <c:numCache>
                <c:formatCode>0.00</c:formatCode>
                <c:ptCount val="1"/>
                <c:pt idx="0">
                  <c:v>85.30259365994236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C259-4B13-8B42-A73D317F7491}"/>
            </c:ext>
          </c:extLst>
        </c:ser>
        <c:ser>
          <c:idx val="62"/>
          <c:order val="8"/>
          <c:tx>
            <c:strRef>
              <c:f>Cumulative!$F$45</c:f>
              <c:strCache>
                <c:ptCount val="1"/>
                <c:pt idx="0">
                  <c:v>A_MSS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Cumulative!$C$45</c:f>
              <c:numCache>
                <c:formatCode>0.00</c:formatCode>
                <c:ptCount val="1"/>
                <c:pt idx="0">
                  <c:v>98.51355290002914</c:v>
                </c:pt>
              </c:numCache>
            </c:numRef>
          </c:xVal>
          <c:yVal>
            <c:numRef>
              <c:f>Cumulative!$D$45</c:f>
              <c:numCache>
                <c:formatCode>0.00</c:formatCode>
                <c:ptCount val="1"/>
                <c:pt idx="0">
                  <c:v>93.473451327433636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C259-4B13-8B42-A73D317F7491}"/>
            </c:ext>
          </c:extLst>
        </c:ser>
        <c:ser>
          <c:idx val="1"/>
          <c:order val="9"/>
          <c:tx>
            <c:strRef>
              <c:f>Cumulative!$F$69</c:f>
              <c:strCache>
                <c:ptCount val="1"/>
                <c:pt idx="0">
                  <c:v>A_TM/ETM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Cumulative!$C$69</c:f>
              <c:numCache>
                <c:formatCode>0.00</c:formatCode>
                <c:ptCount val="1"/>
                <c:pt idx="0">
                  <c:v>98.380283741661074</c:v>
                </c:pt>
              </c:numCache>
            </c:numRef>
          </c:xVal>
          <c:yVal>
            <c:numRef>
              <c:f>Cumulative!$D$69</c:f>
              <c:numCache>
                <c:formatCode>0.00</c:formatCode>
                <c:ptCount val="1"/>
                <c:pt idx="0">
                  <c:v>95.625212368331631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C259-4B13-8B42-A73D317F7491}"/>
            </c:ext>
          </c:extLst>
        </c:ser>
        <c:ser>
          <c:idx val="11"/>
          <c:order val="10"/>
          <c:tx>
            <c:strRef>
              <c:f>Cumulative!$F$117</c:f>
              <c:strCache>
                <c:ptCount val="1"/>
                <c:pt idx="0">
                  <c:v>A_MSI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8"/>
            <c:spPr>
              <a:solidFill>
                <a:srgbClr val="B1EE2D">
                  <a:alpha val="20000"/>
                </a:srgbClr>
              </a:solidFill>
              <a:ln w="25400">
                <a:solidFill>
                  <a:srgbClr val="B1EE2D"/>
                </a:solidFill>
              </a:ln>
              <a:effectLst/>
            </c:spPr>
          </c:marker>
          <c:xVal>
            <c:numRef>
              <c:f>Cumulative!$C$117</c:f>
              <c:numCache>
                <c:formatCode>0.00</c:formatCode>
                <c:ptCount val="1"/>
                <c:pt idx="0">
                  <c:v>97.126476479933686</c:v>
                </c:pt>
              </c:numCache>
            </c:numRef>
          </c:xVal>
          <c:yVal>
            <c:numRef>
              <c:f>Cumulative!$D$117</c:f>
              <c:numCache>
                <c:formatCode>0.00</c:formatCode>
                <c:ptCount val="1"/>
                <c:pt idx="0">
                  <c:v>95.666077017281253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C259-4B13-8B42-A73D317F7491}"/>
            </c:ext>
          </c:extLst>
        </c:ser>
        <c:ser>
          <c:idx val="6"/>
          <c:order val="11"/>
          <c:tx>
            <c:strRef>
              <c:f>Cumulative!$F$93</c:f>
              <c:strCache>
                <c:ptCount val="1"/>
                <c:pt idx="0">
                  <c:v>A_OLI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Cumulative!$C$93</c:f>
              <c:numCache>
                <c:formatCode>0.00</c:formatCode>
                <c:ptCount val="1"/>
                <c:pt idx="0">
                  <c:v>98.877494456762747</c:v>
                </c:pt>
              </c:numCache>
            </c:numRef>
          </c:xVal>
          <c:yVal>
            <c:numRef>
              <c:f>Cumulative!$D$93</c:f>
              <c:numCache>
                <c:formatCode>0.00</c:formatCode>
                <c:ptCount val="1"/>
                <c:pt idx="0">
                  <c:v>96.431950263549126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C259-4B13-8B42-A73D317F7491}"/>
            </c:ext>
          </c:extLst>
        </c:ser>
        <c:ser>
          <c:idx val="63"/>
          <c:order val="12"/>
          <c:tx>
            <c:strRef>
              <c:f>Cumulative!$F$46</c:f>
              <c:strCache>
                <c:ptCount val="1"/>
                <c:pt idx="0">
                  <c:v>F_MSS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Cumulative!$C$46</c:f>
              <c:numCache>
                <c:formatCode>0.00</c:formatCode>
                <c:ptCount val="1"/>
                <c:pt idx="0">
                  <c:v>89.853896103896105</c:v>
                </c:pt>
              </c:numCache>
            </c:numRef>
          </c:xVal>
          <c:yVal>
            <c:numRef>
              <c:f>Cumulative!$D$46</c:f>
              <c:numCache>
                <c:formatCode>0.00</c:formatCode>
                <c:ptCount val="1"/>
                <c:pt idx="0">
                  <c:v>84.762633996937211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C259-4B13-8B42-A73D317F7491}"/>
            </c:ext>
          </c:extLst>
        </c:ser>
        <c:ser>
          <c:idx val="2"/>
          <c:order val="13"/>
          <c:tx>
            <c:strRef>
              <c:f>Cumulative!$F$70</c:f>
              <c:strCache>
                <c:ptCount val="1"/>
                <c:pt idx="0">
                  <c:v>F_TM/ETM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Cumulative!$C$70</c:f>
              <c:numCache>
                <c:formatCode>0.00</c:formatCode>
                <c:ptCount val="1"/>
                <c:pt idx="0">
                  <c:v>92.004433185560487</c:v>
                </c:pt>
              </c:numCache>
            </c:numRef>
          </c:xVal>
          <c:yVal>
            <c:numRef>
              <c:f>Cumulative!$D$70</c:f>
              <c:numCache>
                <c:formatCode>0.00</c:formatCode>
                <c:ptCount val="1"/>
                <c:pt idx="0">
                  <c:v>92.304026685727905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C259-4B13-8B42-A73D317F7491}"/>
            </c:ext>
          </c:extLst>
        </c:ser>
        <c:ser>
          <c:idx val="7"/>
          <c:order val="14"/>
          <c:tx>
            <c:strRef>
              <c:f>Cumulative!$F$94</c:f>
              <c:strCache>
                <c:ptCount val="1"/>
                <c:pt idx="0">
                  <c:v>F_OLI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Cumulative!$C$94</c:f>
              <c:numCache>
                <c:formatCode>0.00</c:formatCode>
                <c:ptCount val="1"/>
                <c:pt idx="0">
                  <c:v>90.49174378515697</c:v>
                </c:pt>
              </c:numCache>
            </c:numRef>
          </c:xVal>
          <c:yVal>
            <c:numRef>
              <c:f>Cumulative!$D$94</c:f>
              <c:numCache>
                <c:formatCode>0.00</c:formatCode>
                <c:ptCount val="1"/>
                <c:pt idx="0">
                  <c:v>95.79331540530157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C259-4B13-8B42-A73D317F7491}"/>
            </c:ext>
          </c:extLst>
        </c:ser>
        <c:ser>
          <c:idx val="12"/>
          <c:order val="15"/>
          <c:tx>
            <c:strRef>
              <c:f>Cumulative!$F$118</c:f>
              <c:strCache>
                <c:ptCount val="1"/>
                <c:pt idx="0">
                  <c:v>F_MSI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8"/>
            <c:spPr>
              <a:solidFill>
                <a:srgbClr val="149721">
                  <a:alpha val="20000"/>
                </a:srgbClr>
              </a:solidFill>
              <a:ln w="25400">
                <a:solidFill>
                  <a:srgbClr val="149721"/>
                </a:solidFill>
              </a:ln>
              <a:effectLst/>
            </c:spPr>
          </c:marker>
          <c:xVal>
            <c:numRef>
              <c:f>Cumulative!$C$118</c:f>
              <c:numCache>
                <c:formatCode>0.00</c:formatCode>
                <c:ptCount val="1"/>
                <c:pt idx="0">
                  <c:v>91.468828411503566</c:v>
                </c:pt>
              </c:numCache>
            </c:numRef>
          </c:xVal>
          <c:yVal>
            <c:numRef>
              <c:f>Cumulative!$D$118</c:f>
              <c:numCache>
                <c:formatCode>0.00</c:formatCode>
                <c:ptCount val="1"/>
                <c:pt idx="0">
                  <c:v>89.821834723275202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C259-4B13-8B42-A73D317F7491}"/>
            </c:ext>
          </c:extLst>
        </c:ser>
        <c:ser>
          <c:idx val="64"/>
          <c:order val="16"/>
          <c:tx>
            <c:strRef>
              <c:f>Cumulative!$F$47</c:f>
              <c:strCache>
                <c:ptCount val="1"/>
                <c:pt idx="0">
                  <c:v>S_MSS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Cumulative!$C$47</c:f>
              <c:numCache>
                <c:formatCode>0.00</c:formatCode>
                <c:ptCount val="1"/>
                <c:pt idx="0">
                  <c:v>57.059679767103347</c:v>
                </c:pt>
              </c:numCache>
            </c:numRef>
          </c:xVal>
          <c:yVal>
            <c:numRef>
              <c:f>Cumulative!$D$47</c:f>
              <c:numCache>
                <c:formatCode>0.00</c:formatCode>
                <c:ptCount val="1"/>
                <c:pt idx="0">
                  <c:v>81.327800829875514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C259-4B13-8B42-A73D317F7491}"/>
            </c:ext>
          </c:extLst>
        </c:ser>
        <c:ser>
          <c:idx val="3"/>
          <c:order val="17"/>
          <c:tx>
            <c:strRef>
              <c:f>Cumulative!$F$71</c:f>
              <c:strCache>
                <c:ptCount val="1"/>
                <c:pt idx="0">
                  <c:v>S_TM/ETM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Cumulative!$C$71</c:f>
              <c:numCache>
                <c:formatCode>0.00</c:formatCode>
                <c:ptCount val="1"/>
                <c:pt idx="0">
                  <c:v>80.924605746381502</c:v>
                </c:pt>
              </c:numCache>
            </c:numRef>
          </c:xVal>
          <c:yVal>
            <c:numRef>
              <c:f>Cumulative!$D$71</c:f>
              <c:numCache>
                <c:formatCode>0.00</c:formatCode>
                <c:ptCount val="1"/>
                <c:pt idx="0">
                  <c:v>81.861888111888121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C259-4B13-8B42-A73D317F7491}"/>
            </c:ext>
          </c:extLst>
        </c:ser>
        <c:ser>
          <c:idx val="8"/>
          <c:order val="18"/>
          <c:tx>
            <c:strRef>
              <c:f>Cumulative!$F$95</c:f>
              <c:strCache>
                <c:ptCount val="1"/>
                <c:pt idx="0">
                  <c:v>S_OLI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Cumulative!$C$95</c:f>
              <c:numCache>
                <c:formatCode>0.00</c:formatCode>
                <c:ptCount val="1"/>
                <c:pt idx="0">
                  <c:v>88.170163170163178</c:v>
                </c:pt>
              </c:numCache>
            </c:numRef>
          </c:xVal>
          <c:yVal>
            <c:numRef>
              <c:f>Cumulative!$D$95</c:f>
              <c:numCache>
                <c:formatCode>0.00</c:formatCode>
                <c:ptCount val="1"/>
                <c:pt idx="0">
                  <c:v>78.802083333333329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C259-4B13-8B42-A73D317F7491}"/>
            </c:ext>
          </c:extLst>
        </c:ser>
        <c:ser>
          <c:idx val="13"/>
          <c:order val="19"/>
          <c:tx>
            <c:strRef>
              <c:f>Cumulative!$F$119</c:f>
              <c:strCache>
                <c:ptCount val="1"/>
                <c:pt idx="0">
                  <c:v>S_MSI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8"/>
            <c:spPr>
              <a:solidFill>
                <a:srgbClr val="AD8D06">
                  <a:alpha val="20000"/>
                </a:srgbClr>
              </a:solidFill>
              <a:ln w="25400">
                <a:solidFill>
                  <a:srgbClr val="AD8D06"/>
                </a:solidFill>
              </a:ln>
              <a:effectLst/>
            </c:spPr>
          </c:marker>
          <c:xVal>
            <c:numRef>
              <c:f>Cumulative!$C$119</c:f>
              <c:numCache>
                <c:formatCode>0.00</c:formatCode>
                <c:ptCount val="1"/>
                <c:pt idx="0">
                  <c:v>83.687208700155352</c:v>
                </c:pt>
              </c:numCache>
            </c:numRef>
          </c:xVal>
          <c:yVal>
            <c:numRef>
              <c:f>Cumulative!$D$119</c:f>
              <c:numCache>
                <c:formatCode>0.00</c:formatCode>
                <c:ptCount val="1"/>
                <c:pt idx="0">
                  <c:v>81.616161616161619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C259-4B13-8B42-A73D317F7491}"/>
            </c:ext>
          </c:extLst>
        </c:ser>
        <c:ser>
          <c:idx val="14"/>
          <c:order val="20"/>
          <c:tx>
            <c:strRef>
              <c:f>Cumulative!$S$49</c:f>
              <c:strCache>
                <c:ptCount val="1"/>
                <c:pt idx="0">
                  <c:v>W_JAN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25400">
                <a:solidFill>
                  <a:srgbClr val="1F9DFF"/>
                </a:solidFill>
              </a:ln>
              <a:effectLst/>
            </c:spPr>
          </c:marker>
          <c:xVal>
            <c:numRef>
              <c:f>Cumulative!$P$49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Cumulative!$Q$49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2F-4651-A486-029B3EDEA083}"/>
            </c:ext>
          </c:extLst>
        </c:ser>
        <c:ser>
          <c:idx val="19"/>
          <c:order val="21"/>
          <c:tx>
            <c:strRef>
              <c:f>Cumulative!$S$73</c:f>
              <c:strCache>
                <c:ptCount val="1"/>
                <c:pt idx="0">
                  <c:v>W_JAN-FEB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38100" cmpd="dbl">
                <a:solidFill>
                  <a:srgbClr val="1F9DFF"/>
                </a:solidFill>
                <a:prstDash val="solid"/>
                <a:round/>
                <a:headEnd type="none"/>
              </a:ln>
              <a:effectLst/>
            </c:spPr>
          </c:marker>
          <c:xVal>
            <c:numRef>
              <c:f>Cumulative!$P$73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Cumulative!$Q$73</c:f>
              <c:numCache>
                <c:formatCode>0.00</c:formatCode>
                <c:ptCount val="1"/>
                <c:pt idx="0">
                  <c:v>99.713467048710598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2F-4651-A486-029B3EDEA083}"/>
            </c:ext>
          </c:extLst>
        </c:ser>
        <c:ser>
          <c:idx val="24"/>
          <c:order val="22"/>
          <c:tx>
            <c:strRef>
              <c:f>Cumulative!$S$97</c:f>
              <c:strCache>
                <c:ptCount val="1"/>
                <c:pt idx="0">
                  <c:v>W_DEC-FEB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50800" cmpd="tri">
                <a:solidFill>
                  <a:srgbClr val="1F9DFF"/>
                </a:solidFill>
                <a:prstDash val="solid"/>
                <a:round/>
                <a:tailEnd type="oval"/>
              </a:ln>
              <a:effectLst/>
            </c:spPr>
          </c:marker>
          <c:xVal>
            <c:numRef>
              <c:f>Cumulative!$P$97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Cumulative!$Q$97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2F-4651-A486-029B3EDEA083}"/>
            </c:ext>
          </c:extLst>
        </c:ser>
        <c:ser>
          <c:idx val="29"/>
          <c:order val="23"/>
          <c:tx>
            <c:strRef>
              <c:f>Cumulative!$S$121</c:f>
              <c:strCache>
                <c:ptCount val="1"/>
                <c:pt idx="0">
                  <c:v>W_MAR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solidFill>
                <a:srgbClr val="1F9DFF"/>
              </a:solidFill>
              <a:ln w="38100">
                <a:solidFill>
                  <a:srgbClr val="1F9DFF"/>
                </a:solidFill>
              </a:ln>
              <a:effectLst/>
            </c:spPr>
          </c:marker>
          <c:xVal>
            <c:numRef>
              <c:f>Cumulative!$P$121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Cumulative!$Q$121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32F-4651-A486-029B3EDEA083}"/>
            </c:ext>
          </c:extLst>
        </c:ser>
        <c:ser>
          <c:idx val="34"/>
          <c:order val="24"/>
          <c:tx>
            <c:strRef>
              <c:f>Cumulative!$S$145</c:f>
              <c:strCache>
                <c:ptCount val="1"/>
                <c:pt idx="0">
                  <c:v>W_MAR-APR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50800" cmpd="dbl">
                <a:solidFill>
                  <a:srgbClr val="1F9DFF"/>
                </a:solidFill>
              </a:ln>
              <a:effectLst/>
            </c:spPr>
          </c:marker>
          <c:xVal>
            <c:numRef>
              <c:f>Cumulative!$P$145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Cumulative!$Q$145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32F-4651-A486-029B3EDEA083}"/>
            </c:ext>
          </c:extLst>
        </c:ser>
        <c:ser>
          <c:idx val="39"/>
          <c:order val="25"/>
          <c:tx>
            <c:strRef>
              <c:f>Cumulative!$S$169</c:f>
              <c:strCache>
                <c:ptCount val="1"/>
                <c:pt idx="0">
                  <c:v>W_DEC-APR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38100" cmpd="thinThick">
                <a:solidFill>
                  <a:srgbClr val="1F9DFF"/>
                </a:solidFill>
                <a:prstDash val="solid"/>
              </a:ln>
              <a:effectLst/>
            </c:spPr>
          </c:marker>
          <c:xVal>
            <c:numRef>
              <c:f>Cumulative!$P$169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Cumulative!$Q$169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32F-4651-A486-029B3EDEA083}"/>
            </c:ext>
          </c:extLst>
        </c:ser>
        <c:ser>
          <c:idx val="15"/>
          <c:order val="26"/>
          <c:tx>
            <c:strRef>
              <c:f>Cumulative!$S$50</c:f>
              <c:strCache>
                <c:ptCount val="1"/>
                <c:pt idx="0">
                  <c:v>B_JAN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25400">
                <a:solidFill>
                  <a:srgbClr val="CACDDE"/>
                </a:solidFill>
              </a:ln>
              <a:effectLst/>
            </c:spPr>
          </c:marker>
          <c:xVal>
            <c:numRef>
              <c:f>Cumulative!$P$50</c:f>
              <c:numCache>
                <c:formatCode>0.00</c:formatCode>
                <c:ptCount val="1"/>
                <c:pt idx="0">
                  <c:v>57.107641741988502</c:v>
                </c:pt>
              </c:numCache>
            </c:numRef>
          </c:xVal>
          <c:yVal>
            <c:numRef>
              <c:f>Cumulative!$Q$50</c:f>
              <c:numCache>
                <c:formatCode>0.00</c:formatCode>
                <c:ptCount val="1"/>
                <c:pt idx="0">
                  <c:v>89.33161953727506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2F-4651-A486-029B3EDEA083}"/>
            </c:ext>
          </c:extLst>
        </c:ser>
        <c:ser>
          <c:idx val="20"/>
          <c:order val="27"/>
          <c:tx>
            <c:strRef>
              <c:f>Cumulative!$S$74</c:f>
              <c:strCache>
                <c:ptCount val="1"/>
                <c:pt idx="0">
                  <c:v>B_JAN-FEB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38100" cmpd="dbl">
                <a:solidFill>
                  <a:srgbClr val="CACDDE"/>
                </a:solidFill>
                <a:prstDash val="solid"/>
              </a:ln>
              <a:effectLst/>
            </c:spPr>
          </c:marker>
          <c:xVal>
            <c:numRef>
              <c:f>Cumulative!$P$74</c:f>
              <c:numCache>
                <c:formatCode>0.00</c:formatCode>
                <c:ptCount val="1"/>
                <c:pt idx="0">
                  <c:v>58.087367178276274</c:v>
                </c:pt>
              </c:numCache>
            </c:numRef>
          </c:xVal>
          <c:yVal>
            <c:numRef>
              <c:f>Cumulative!$Q$74</c:f>
              <c:numCache>
                <c:formatCode>0.00</c:formatCode>
                <c:ptCount val="1"/>
                <c:pt idx="0">
                  <c:v>91.111111111111114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2F-4651-A486-029B3EDEA083}"/>
            </c:ext>
          </c:extLst>
        </c:ser>
        <c:ser>
          <c:idx val="25"/>
          <c:order val="28"/>
          <c:tx>
            <c:strRef>
              <c:f>Cumulative!$S$98</c:f>
              <c:strCache>
                <c:ptCount val="1"/>
                <c:pt idx="0">
                  <c:v>B_DEC-FEB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50800" cmpd="tri">
                <a:solidFill>
                  <a:srgbClr val="CACDDE"/>
                </a:solidFill>
              </a:ln>
              <a:effectLst/>
            </c:spPr>
          </c:marker>
          <c:xVal>
            <c:numRef>
              <c:f>Cumulative!$P$98</c:f>
              <c:numCache>
                <c:formatCode>0.00</c:formatCode>
                <c:ptCount val="1"/>
                <c:pt idx="0">
                  <c:v>65.484804630969606</c:v>
                </c:pt>
              </c:numCache>
            </c:numRef>
          </c:xVal>
          <c:yVal>
            <c:numRef>
              <c:f>Cumulative!$Q$98</c:f>
              <c:numCache>
                <c:formatCode>0.00</c:formatCode>
                <c:ptCount val="1"/>
                <c:pt idx="0">
                  <c:v>88.292682926829272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32F-4651-A486-029B3EDEA083}"/>
            </c:ext>
          </c:extLst>
        </c:ser>
        <c:ser>
          <c:idx val="30"/>
          <c:order val="29"/>
          <c:tx>
            <c:strRef>
              <c:f>Cumulative!$S$122</c:f>
              <c:strCache>
                <c:ptCount val="1"/>
                <c:pt idx="0">
                  <c:v>B_MAR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38100">
                <a:solidFill>
                  <a:srgbClr val="CACDDE"/>
                </a:solidFill>
              </a:ln>
              <a:effectLst/>
            </c:spPr>
          </c:marker>
          <c:xVal>
            <c:numRef>
              <c:f>Cumulative!$P$122</c:f>
              <c:numCache>
                <c:formatCode>0.00</c:formatCode>
                <c:ptCount val="1"/>
                <c:pt idx="0">
                  <c:v>40.192043895747595</c:v>
                </c:pt>
              </c:numCache>
            </c:numRef>
          </c:xVal>
          <c:yVal>
            <c:numRef>
              <c:f>Cumulative!$Q$122</c:f>
              <c:numCache>
                <c:formatCode>0.00</c:formatCode>
                <c:ptCount val="1"/>
                <c:pt idx="0">
                  <c:v>86.430678466076699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32F-4651-A486-029B3EDEA083}"/>
            </c:ext>
          </c:extLst>
        </c:ser>
        <c:ser>
          <c:idx val="35"/>
          <c:order val="30"/>
          <c:tx>
            <c:strRef>
              <c:f>Cumulative!$S$146</c:f>
              <c:strCache>
                <c:ptCount val="1"/>
                <c:pt idx="0">
                  <c:v>B_MAR-APR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50800" cmpd="dbl">
                <a:solidFill>
                  <a:srgbClr val="CACDDE"/>
                </a:solidFill>
              </a:ln>
              <a:effectLst/>
            </c:spPr>
          </c:marker>
          <c:xVal>
            <c:numRef>
              <c:f>Cumulative!$P$146</c:f>
              <c:numCache>
                <c:formatCode>0.00</c:formatCode>
                <c:ptCount val="1"/>
                <c:pt idx="0">
                  <c:v>93.75</c:v>
                </c:pt>
              </c:numCache>
            </c:numRef>
          </c:xVal>
          <c:yVal>
            <c:numRef>
              <c:f>Cumulative!$Q$146</c:f>
              <c:numCache>
                <c:formatCode>0.00</c:formatCode>
                <c:ptCount val="1"/>
                <c:pt idx="0">
                  <c:v>97.826086956521735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32F-4651-A486-029B3EDEA083}"/>
            </c:ext>
          </c:extLst>
        </c:ser>
        <c:ser>
          <c:idx val="40"/>
          <c:order val="31"/>
          <c:tx>
            <c:strRef>
              <c:f>Cumulative!$S$170</c:f>
              <c:strCache>
                <c:ptCount val="1"/>
                <c:pt idx="0">
                  <c:v>B_DEC-APR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solidFill>
                <a:schemeClr val="accent5">
                  <a:lumMod val="70000"/>
                  <a:lumOff val="30000"/>
                </a:schemeClr>
              </a:solidFill>
              <a:ln w="38100" cmpd="thinThick">
                <a:solidFill>
                  <a:srgbClr val="CACDDE"/>
                </a:solidFill>
                <a:prstDash val="solid"/>
                <a:headEnd type="none"/>
              </a:ln>
              <a:effectLst/>
            </c:spPr>
          </c:marker>
          <c:xVal>
            <c:numRef>
              <c:f>Cumulative!$P$170</c:f>
              <c:numCache>
                <c:formatCode>0.00</c:formatCode>
                <c:ptCount val="1"/>
                <c:pt idx="0">
                  <c:v>80.09478672985783</c:v>
                </c:pt>
              </c:numCache>
            </c:numRef>
          </c:xVal>
          <c:yVal>
            <c:numRef>
              <c:f>Cumulative!$Q$170</c:f>
              <c:numCache>
                <c:formatCode>0.00</c:formatCode>
                <c:ptCount val="1"/>
                <c:pt idx="0">
                  <c:v>99.705014749262531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032F-4651-A486-029B3EDEA083}"/>
            </c:ext>
          </c:extLst>
        </c:ser>
        <c:ser>
          <c:idx val="16"/>
          <c:order val="32"/>
          <c:tx>
            <c:strRef>
              <c:f>Cumulative!$S$51</c:f>
              <c:strCache>
                <c:ptCount val="1"/>
                <c:pt idx="0">
                  <c:v>A_JAN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25400">
                <a:solidFill>
                  <a:srgbClr val="B1EE2D"/>
                </a:solidFill>
              </a:ln>
              <a:effectLst/>
            </c:spPr>
          </c:marker>
          <c:xVal>
            <c:numRef>
              <c:f>Cumulative!$P$51</c:f>
              <c:numCache>
                <c:formatCode>0.00</c:formatCode>
                <c:ptCount val="1"/>
                <c:pt idx="0">
                  <c:v>97.616979024450785</c:v>
                </c:pt>
              </c:numCache>
            </c:numRef>
          </c:xVal>
          <c:yVal>
            <c:numRef>
              <c:f>Cumulative!$Q$51</c:f>
              <c:numCache>
                <c:formatCode>0.00</c:formatCode>
                <c:ptCount val="1"/>
                <c:pt idx="0">
                  <c:v>95.016611295681059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2F-4651-A486-029B3EDEA083}"/>
            </c:ext>
          </c:extLst>
        </c:ser>
        <c:ser>
          <c:idx val="21"/>
          <c:order val="33"/>
          <c:tx>
            <c:strRef>
              <c:f>Cumulative!$S$75</c:f>
              <c:strCache>
                <c:ptCount val="1"/>
                <c:pt idx="0">
                  <c:v>A_JAN-FEB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38100" cmpd="dbl">
                <a:solidFill>
                  <a:srgbClr val="B1EE2D"/>
                </a:solidFill>
              </a:ln>
              <a:effectLst/>
            </c:spPr>
          </c:marker>
          <c:xVal>
            <c:numRef>
              <c:f>Cumulative!$P$75</c:f>
              <c:numCache>
                <c:formatCode>0.00</c:formatCode>
                <c:ptCount val="1"/>
                <c:pt idx="0">
                  <c:v>98.316839398425941</c:v>
                </c:pt>
              </c:numCache>
            </c:numRef>
          </c:xVal>
          <c:yVal>
            <c:numRef>
              <c:f>Cumulative!$Q$75</c:f>
              <c:numCache>
                <c:formatCode>0.00</c:formatCode>
                <c:ptCount val="1"/>
                <c:pt idx="0">
                  <c:v>96.173488832990316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F-4651-A486-029B3EDEA083}"/>
            </c:ext>
          </c:extLst>
        </c:ser>
        <c:ser>
          <c:idx val="26"/>
          <c:order val="34"/>
          <c:tx>
            <c:strRef>
              <c:f>Cumulative!$S$99</c:f>
              <c:strCache>
                <c:ptCount val="1"/>
                <c:pt idx="0">
                  <c:v>A_DEC-FEB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50800" cmpd="tri">
                <a:solidFill>
                  <a:srgbClr val="B1EE2D"/>
                </a:solidFill>
              </a:ln>
              <a:effectLst/>
            </c:spPr>
          </c:marker>
          <c:xVal>
            <c:numRef>
              <c:f>Cumulative!$P$99</c:f>
              <c:numCache>
                <c:formatCode>0.00</c:formatCode>
                <c:ptCount val="1"/>
                <c:pt idx="0">
                  <c:v>98.13328441040224</c:v>
                </c:pt>
              </c:numCache>
            </c:numRef>
          </c:xVal>
          <c:yVal>
            <c:numRef>
              <c:f>Cumulative!$Q$99</c:f>
              <c:numCache>
                <c:formatCode>0.00</c:formatCode>
                <c:ptCount val="1"/>
                <c:pt idx="0">
                  <c:v>96.604659562940213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32F-4651-A486-029B3EDEA083}"/>
            </c:ext>
          </c:extLst>
        </c:ser>
        <c:ser>
          <c:idx val="31"/>
          <c:order val="35"/>
          <c:tx>
            <c:strRef>
              <c:f>Cumulative!$S$123</c:f>
              <c:strCache>
                <c:ptCount val="1"/>
                <c:pt idx="0">
                  <c:v>A_MAR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38100">
                <a:solidFill>
                  <a:srgbClr val="B1EE2D"/>
                </a:solidFill>
              </a:ln>
              <a:effectLst/>
            </c:spPr>
          </c:marker>
          <c:xVal>
            <c:numRef>
              <c:f>Cumulative!$P$123</c:f>
              <c:numCache>
                <c:formatCode>0.00</c:formatCode>
                <c:ptCount val="1"/>
                <c:pt idx="0">
                  <c:v>98.785020011435108</c:v>
                </c:pt>
              </c:numCache>
            </c:numRef>
          </c:xVal>
          <c:yVal>
            <c:numRef>
              <c:f>Cumulative!$Q$123</c:f>
              <c:numCache>
                <c:formatCode>0.00</c:formatCode>
                <c:ptCount val="1"/>
                <c:pt idx="0">
                  <c:v>93.404514123530205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032F-4651-A486-029B3EDEA083}"/>
            </c:ext>
          </c:extLst>
        </c:ser>
        <c:ser>
          <c:idx val="36"/>
          <c:order val="36"/>
          <c:tx>
            <c:strRef>
              <c:f>Cumulative!$S$147</c:f>
              <c:strCache>
                <c:ptCount val="1"/>
                <c:pt idx="0">
                  <c:v>A_MAR-APR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50800" cmpd="dbl">
                <a:solidFill>
                  <a:srgbClr val="B1EE2D"/>
                </a:solidFill>
              </a:ln>
              <a:effectLst/>
            </c:spPr>
          </c:marker>
          <c:xVal>
            <c:numRef>
              <c:f>Cumulative!$P$147</c:f>
              <c:numCache>
                <c:formatCode>0.00</c:formatCode>
                <c:ptCount val="1"/>
                <c:pt idx="0">
                  <c:v>97.989355410999408</c:v>
                </c:pt>
              </c:numCache>
            </c:numRef>
          </c:xVal>
          <c:yVal>
            <c:numRef>
              <c:f>Cumulative!$Q$147</c:f>
              <c:numCache>
                <c:formatCode>0.00</c:formatCode>
                <c:ptCount val="1"/>
                <c:pt idx="0">
                  <c:v>91.648230088495581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32F-4651-A486-029B3EDEA083}"/>
            </c:ext>
          </c:extLst>
        </c:ser>
        <c:ser>
          <c:idx val="41"/>
          <c:order val="37"/>
          <c:tx>
            <c:strRef>
              <c:f>Cumulative!$S$171</c:f>
              <c:strCache>
                <c:ptCount val="1"/>
                <c:pt idx="0">
                  <c:v>A_DEC-APR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38100" cmpd="thinThick">
                <a:solidFill>
                  <a:srgbClr val="B1EE2D"/>
                </a:solidFill>
              </a:ln>
              <a:effectLst/>
            </c:spPr>
          </c:marker>
          <c:xVal>
            <c:numRef>
              <c:f>Cumulative!$P$171</c:f>
              <c:numCache>
                <c:formatCode>0.00</c:formatCode>
                <c:ptCount val="1"/>
                <c:pt idx="0">
                  <c:v>99.183955739972333</c:v>
                </c:pt>
              </c:numCache>
            </c:numRef>
          </c:xVal>
          <c:yVal>
            <c:numRef>
              <c:f>Cumulative!$Q$171</c:f>
              <c:numCache>
                <c:formatCode>0.00</c:formatCode>
                <c:ptCount val="1"/>
                <c:pt idx="0">
                  <c:v>96.918502500337894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032F-4651-A486-029B3EDEA083}"/>
            </c:ext>
          </c:extLst>
        </c:ser>
        <c:ser>
          <c:idx val="17"/>
          <c:order val="38"/>
          <c:tx>
            <c:strRef>
              <c:f>Cumulative!$S$52</c:f>
              <c:strCache>
                <c:ptCount val="1"/>
                <c:pt idx="0">
                  <c:v>F_JAN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25400">
                <a:solidFill>
                  <a:srgbClr val="149721"/>
                </a:solidFill>
              </a:ln>
              <a:effectLst/>
            </c:spPr>
          </c:marker>
          <c:xVal>
            <c:numRef>
              <c:f>Cumulative!$P$52</c:f>
              <c:numCache>
                <c:formatCode>0.00</c:formatCode>
                <c:ptCount val="1"/>
                <c:pt idx="0">
                  <c:v>92.295760082730098</c:v>
                </c:pt>
              </c:numCache>
            </c:numRef>
          </c:xVal>
          <c:yVal>
            <c:numRef>
              <c:f>Cumulative!$Q$52</c:f>
              <c:numCache>
                <c:formatCode>0.00</c:formatCode>
                <c:ptCount val="1"/>
                <c:pt idx="0">
                  <c:v>90.85510688836105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2F-4651-A486-029B3EDEA083}"/>
            </c:ext>
          </c:extLst>
        </c:ser>
        <c:ser>
          <c:idx val="22"/>
          <c:order val="39"/>
          <c:tx>
            <c:strRef>
              <c:f>Cumulative!$S$76</c:f>
              <c:strCache>
                <c:ptCount val="1"/>
                <c:pt idx="0">
                  <c:v>F_JAN-FEB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38100" cmpd="dbl">
                <a:solidFill>
                  <a:srgbClr val="149721"/>
                </a:solidFill>
              </a:ln>
              <a:effectLst/>
            </c:spPr>
          </c:marker>
          <c:xVal>
            <c:numRef>
              <c:f>Cumulative!$P$76</c:f>
              <c:numCache>
                <c:formatCode>0.00</c:formatCode>
                <c:ptCount val="1"/>
                <c:pt idx="0">
                  <c:v>91.601482091395638</c:v>
                </c:pt>
              </c:numCache>
            </c:numRef>
          </c:xVal>
          <c:yVal>
            <c:numRef>
              <c:f>Cumulative!$Q$76</c:f>
              <c:numCache>
                <c:formatCode>0.00</c:formatCode>
                <c:ptCount val="1"/>
                <c:pt idx="0">
                  <c:v>91.469681397738952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2F-4651-A486-029B3EDEA083}"/>
            </c:ext>
          </c:extLst>
        </c:ser>
        <c:ser>
          <c:idx val="27"/>
          <c:order val="40"/>
          <c:tx>
            <c:strRef>
              <c:f>Cumulative!$S$100</c:f>
              <c:strCache>
                <c:ptCount val="1"/>
                <c:pt idx="0">
                  <c:v>F_DEC-FEB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50800" cmpd="tri">
                <a:solidFill>
                  <a:srgbClr val="149721"/>
                </a:solidFill>
              </a:ln>
              <a:effectLst/>
            </c:spPr>
          </c:marker>
          <c:xVal>
            <c:numRef>
              <c:f>Cumulative!$P$100</c:f>
              <c:numCache>
                <c:formatCode>0.00</c:formatCode>
                <c:ptCount val="1"/>
                <c:pt idx="0">
                  <c:v>90.13685118974233</c:v>
                </c:pt>
              </c:numCache>
            </c:numRef>
          </c:xVal>
          <c:yVal>
            <c:numRef>
              <c:f>Cumulative!$Q$100</c:f>
              <c:numCache>
                <c:formatCode>0.00</c:formatCode>
                <c:ptCount val="1"/>
                <c:pt idx="0">
                  <c:v>93.204997450280473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32F-4651-A486-029B3EDEA083}"/>
            </c:ext>
          </c:extLst>
        </c:ser>
        <c:ser>
          <c:idx val="32"/>
          <c:order val="41"/>
          <c:tx>
            <c:strRef>
              <c:f>Cumulative!$S$124</c:f>
              <c:strCache>
                <c:ptCount val="1"/>
                <c:pt idx="0">
                  <c:v>F_MAR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38100">
                <a:solidFill>
                  <a:srgbClr val="149721"/>
                </a:solidFill>
              </a:ln>
              <a:effectLst/>
            </c:spPr>
          </c:marker>
          <c:xVal>
            <c:numRef>
              <c:f>Cumulative!$P$124</c:f>
              <c:numCache>
                <c:formatCode>0.00</c:formatCode>
                <c:ptCount val="1"/>
                <c:pt idx="0">
                  <c:v>92.857142857142861</c:v>
                </c:pt>
              </c:numCache>
            </c:numRef>
          </c:xVal>
          <c:yVal>
            <c:numRef>
              <c:f>Cumulative!$Q$124</c:f>
              <c:numCache>
                <c:formatCode>0.00</c:formatCode>
                <c:ptCount val="1"/>
                <c:pt idx="0">
                  <c:v>95.952380952380949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032F-4651-A486-029B3EDEA083}"/>
            </c:ext>
          </c:extLst>
        </c:ser>
        <c:ser>
          <c:idx val="37"/>
          <c:order val="42"/>
          <c:tx>
            <c:strRef>
              <c:f>Cumulative!$S$148</c:f>
              <c:strCache>
                <c:ptCount val="1"/>
                <c:pt idx="0">
                  <c:v>F_MAR-APR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50800" cmpd="dbl">
                <a:solidFill>
                  <a:srgbClr val="149721"/>
                </a:solidFill>
              </a:ln>
              <a:effectLst/>
            </c:spPr>
          </c:marker>
          <c:xVal>
            <c:numRef>
              <c:f>Cumulative!$P$148</c:f>
              <c:numCache>
                <c:formatCode>0.00</c:formatCode>
                <c:ptCount val="1"/>
                <c:pt idx="0">
                  <c:v>89.162561576354676</c:v>
                </c:pt>
              </c:numCache>
            </c:numRef>
          </c:xVal>
          <c:yVal>
            <c:numRef>
              <c:f>Cumulative!$Q$148</c:f>
              <c:numCache>
                <c:formatCode>0.00</c:formatCode>
                <c:ptCount val="1"/>
                <c:pt idx="0">
                  <c:v>83.154670750382849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32F-4651-A486-029B3EDEA083}"/>
            </c:ext>
          </c:extLst>
        </c:ser>
        <c:ser>
          <c:idx val="42"/>
          <c:order val="43"/>
          <c:tx>
            <c:strRef>
              <c:f>Cumulative!$S$172</c:f>
              <c:strCache>
                <c:ptCount val="1"/>
                <c:pt idx="0">
                  <c:v>F_DEC-APR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solidFill>
                <a:schemeClr val="accent1">
                  <a:lumMod val="70000"/>
                </a:schemeClr>
              </a:solidFill>
              <a:ln w="38100" cmpd="thinThick">
                <a:solidFill>
                  <a:srgbClr val="149721"/>
                </a:solidFill>
              </a:ln>
              <a:effectLst/>
            </c:spPr>
          </c:marker>
          <c:xVal>
            <c:numRef>
              <c:f>Cumulative!$P$172</c:f>
              <c:numCache>
                <c:formatCode>0.00</c:formatCode>
                <c:ptCount val="1"/>
                <c:pt idx="0">
                  <c:v>92.457231726283055</c:v>
                </c:pt>
              </c:numCache>
            </c:numRef>
          </c:xVal>
          <c:yVal>
            <c:numRef>
              <c:f>Cumulative!$Q$172</c:f>
              <c:numCache>
                <c:formatCode>0.00</c:formatCode>
                <c:ptCount val="1"/>
                <c:pt idx="0">
                  <c:v>91.356127545140225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032F-4651-A486-029B3EDEA083}"/>
            </c:ext>
          </c:extLst>
        </c:ser>
        <c:ser>
          <c:idx val="18"/>
          <c:order val="44"/>
          <c:tx>
            <c:strRef>
              <c:f>Cumulative!$S$53</c:f>
              <c:strCache>
                <c:ptCount val="1"/>
                <c:pt idx="0">
                  <c:v>S_JAN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25400">
                <a:solidFill>
                  <a:srgbClr val="AD8D06"/>
                </a:solidFill>
              </a:ln>
              <a:effectLst/>
            </c:spPr>
          </c:marker>
          <c:xVal>
            <c:numRef>
              <c:f>Cumulative!$P$53</c:f>
              <c:numCache>
                <c:formatCode>0.00</c:formatCode>
                <c:ptCount val="1"/>
                <c:pt idx="0">
                  <c:v>81.575492341356664</c:v>
                </c:pt>
              </c:numCache>
            </c:numRef>
          </c:xVal>
          <c:yVal>
            <c:numRef>
              <c:f>Cumulative!$Q$53</c:f>
              <c:numCache>
                <c:formatCode>0.00</c:formatCode>
                <c:ptCount val="1"/>
                <c:pt idx="0">
                  <c:v>85.075308078502971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2F-4651-A486-029B3EDEA083}"/>
            </c:ext>
          </c:extLst>
        </c:ser>
        <c:ser>
          <c:idx val="23"/>
          <c:order val="45"/>
          <c:tx>
            <c:strRef>
              <c:f>Cumulative!$S$77</c:f>
              <c:strCache>
                <c:ptCount val="1"/>
                <c:pt idx="0">
                  <c:v>S_JAN-FEB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38100" cmpd="dbl">
                <a:solidFill>
                  <a:srgbClr val="AD8D06"/>
                </a:solidFill>
              </a:ln>
              <a:effectLst/>
            </c:spPr>
          </c:marker>
          <c:xVal>
            <c:numRef>
              <c:f>Cumulative!$P$77</c:f>
              <c:numCache>
                <c:formatCode>0.00</c:formatCode>
                <c:ptCount val="1"/>
                <c:pt idx="0">
                  <c:v>82.862190812720854</c:v>
                </c:pt>
              </c:numCache>
            </c:numRef>
          </c:xVal>
          <c:yVal>
            <c:numRef>
              <c:f>Cumulative!$Q$77</c:f>
              <c:numCache>
                <c:formatCode>0.00</c:formatCode>
                <c:ptCount val="1"/>
                <c:pt idx="0">
                  <c:v>82.232612507305674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2F-4651-A486-029B3EDEA083}"/>
            </c:ext>
          </c:extLst>
        </c:ser>
        <c:ser>
          <c:idx val="28"/>
          <c:order val="46"/>
          <c:tx>
            <c:strRef>
              <c:f>Cumulative!$S$101</c:f>
              <c:strCache>
                <c:ptCount val="1"/>
                <c:pt idx="0">
                  <c:v>S_DEC-FEB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50800" cmpd="tri">
                <a:solidFill>
                  <a:srgbClr val="AD8D06"/>
                </a:solidFill>
              </a:ln>
              <a:effectLst/>
            </c:spPr>
          </c:marker>
          <c:xVal>
            <c:numRef>
              <c:f>Cumulative!$P$101</c:f>
              <c:numCache>
                <c:formatCode>0.00</c:formatCode>
                <c:ptCount val="1"/>
                <c:pt idx="0">
                  <c:v>86.202964652223486</c:v>
                </c:pt>
              </c:numCache>
            </c:numRef>
          </c:xVal>
          <c:yVal>
            <c:numRef>
              <c:f>Cumulative!$Q$101</c:f>
              <c:numCache>
                <c:formatCode>0.00</c:formatCode>
                <c:ptCount val="1"/>
                <c:pt idx="0">
                  <c:v>77.938144329896915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32F-4651-A486-029B3EDEA083}"/>
            </c:ext>
          </c:extLst>
        </c:ser>
        <c:ser>
          <c:idx val="33"/>
          <c:order val="47"/>
          <c:tx>
            <c:strRef>
              <c:f>Cumulative!$S$125</c:f>
              <c:strCache>
                <c:ptCount val="1"/>
                <c:pt idx="0">
                  <c:v>S_MAR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38100">
                <a:solidFill>
                  <a:srgbClr val="AD8D06"/>
                </a:solidFill>
              </a:ln>
              <a:effectLst/>
            </c:spPr>
          </c:marker>
          <c:xVal>
            <c:numRef>
              <c:f>Cumulative!$P$125</c:f>
              <c:numCache>
                <c:formatCode>0.00</c:formatCode>
                <c:ptCount val="1"/>
                <c:pt idx="0">
                  <c:v>83.638443935926773</c:v>
                </c:pt>
              </c:numCache>
            </c:numRef>
          </c:xVal>
          <c:yVal>
            <c:numRef>
              <c:f>Cumulative!$Q$125</c:f>
              <c:numCache>
                <c:formatCode>0.00</c:formatCode>
                <c:ptCount val="1"/>
                <c:pt idx="0">
                  <c:v>77.354497354497354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32F-4651-A486-029B3EDEA083}"/>
            </c:ext>
          </c:extLst>
        </c:ser>
        <c:ser>
          <c:idx val="38"/>
          <c:order val="48"/>
          <c:tx>
            <c:strRef>
              <c:f>Cumulative!$S$149</c:f>
              <c:strCache>
                <c:ptCount val="1"/>
                <c:pt idx="0">
                  <c:v>S_MAR-APR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50800" cmpd="dbl">
                <a:solidFill>
                  <a:srgbClr val="AD8D06"/>
                </a:solidFill>
              </a:ln>
              <a:effectLst/>
            </c:spPr>
          </c:marker>
          <c:xVal>
            <c:numRef>
              <c:f>Cumulative!$P$149</c:f>
              <c:numCache>
                <c:formatCode>0.00</c:formatCode>
                <c:ptCount val="1"/>
                <c:pt idx="0">
                  <c:v>48.492462311557787</c:v>
                </c:pt>
              </c:numCache>
            </c:numRef>
          </c:xVal>
          <c:yVal>
            <c:numRef>
              <c:f>Cumulative!$Q$149</c:f>
              <c:numCache>
                <c:formatCode>0.00</c:formatCode>
                <c:ptCount val="1"/>
                <c:pt idx="0">
                  <c:v>80.08298755186722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32F-4651-A486-029B3EDEA083}"/>
            </c:ext>
          </c:extLst>
        </c:ser>
        <c:ser>
          <c:idx val="43"/>
          <c:order val="49"/>
          <c:tx>
            <c:strRef>
              <c:f>Cumulative!$S$173</c:f>
              <c:strCache>
                <c:ptCount val="1"/>
                <c:pt idx="0">
                  <c:v>S_DEC-APR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solidFill>
                <a:schemeClr val="accent2">
                  <a:lumMod val="70000"/>
                </a:schemeClr>
              </a:solidFill>
              <a:ln w="38100" cmpd="thinThick">
                <a:solidFill>
                  <a:srgbClr val="AD8D06"/>
                </a:solidFill>
              </a:ln>
              <a:effectLst/>
            </c:spPr>
          </c:marker>
          <c:xVal>
            <c:numRef>
              <c:f>Cumulative!$P$173</c:f>
              <c:numCache>
                <c:formatCode>0.00</c:formatCode>
                <c:ptCount val="1"/>
                <c:pt idx="0">
                  <c:v>74.651810584958227</c:v>
                </c:pt>
              </c:numCache>
            </c:numRef>
          </c:xVal>
          <c:yVal>
            <c:numRef>
              <c:f>Cumulative!$Q$173</c:f>
              <c:numCache>
                <c:formatCode>0.00</c:formatCode>
                <c:ptCount val="1"/>
                <c:pt idx="0">
                  <c:v>83.75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032F-4651-A486-029B3EDEA083}"/>
            </c:ext>
          </c:extLst>
        </c:ser>
        <c:ser>
          <c:idx val="55"/>
          <c:order val="50"/>
          <c:tx>
            <c:strRef>
              <c:f>Cumulative!$F$19</c:f>
              <c:strCache>
                <c:ptCount val="1"/>
                <c:pt idx="0">
                  <c:v>W_All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002060"/>
              </a:solidFill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Cumulative!$C$19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Cumulative!$D$19</c:f>
              <c:numCache>
                <c:formatCode>0.00</c:formatCode>
                <c:ptCount val="1"/>
                <c:pt idx="0">
                  <c:v>99.954212454212453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C259-4B13-8B42-A73D317F7491}"/>
            </c:ext>
          </c:extLst>
        </c:ser>
        <c:ser>
          <c:idx val="56"/>
          <c:order val="51"/>
          <c:tx>
            <c:strRef>
              <c:f>Cumulative!$F$20</c:f>
              <c:strCache>
                <c:ptCount val="1"/>
                <c:pt idx="0">
                  <c:v>B_All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ysClr val="windowText" lastClr="000000">
                  <a:lumMod val="85000"/>
                  <a:lumOff val="15000"/>
                </a:sysClr>
              </a:solidFill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Cumulative!$C$20</c:f>
              <c:numCache>
                <c:formatCode>0.00</c:formatCode>
                <c:ptCount val="1"/>
                <c:pt idx="0">
                  <c:v>59.940336671638605</c:v>
                </c:pt>
              </c:numCache>
            </c:numRef>
          </c:xVal>
          <c:yVal>
            <c:numRef>
              <c:f>Cumulative!$D$20</c:f>
              <c:numCache>
                <c:formatCode>0.00</c:formatCode>
                <c:ptCount val="1"/>
                <c:pt idx="0">
                  <c:v>90.362993896562799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C259-4B13-8B42-A73D317F7491}"/>
            </c:ext>
          </c:extLst>
        </c:ser>
        <c:ser>
          <c:idx val="57"/>
          <c:order val="52"/>
          <c:tx>
            <c:strRef>
              <c:f>Cumulative!$F$21</c:f>
              <c:strCache>
                <c:ptCount val="1"/>
                <c:pt idx="0">
                  <c:v>A_All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Cumulative!$C$21</c:f>
              <c:numCache>
                <c:formatCode>0.00</c:formatCode>
                <c:ptCount val="1"/>
                <c:pt idx="0">
                  <c:v>98.222508887455561</c:v>
                </c:pt>
              </c:numCache>
            </c:numRef>
          </c:xVal>
          <c:yVal>
            <c:numRef>
              <c:f>Cumulative!$D$21</c:f>
              <c:numCache>
                <c:formatCode>0.00</c:formatCode>
                <c:ptCount val="1"/>
                <c:pt idx="0">
                  <c:v>95.69474484129303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C259-4B13-8B42-A73D317F7491}"/>
            </c:ext>
          </c:extLst>
        </c:ser>
        <c:ser>
          <c:idx val="58"/>
          <c:order val="53"/>
          <c:tx>
            <c:strRef>
              <c:f>Cumulative!$F$22</c:f>
              <c:strCache>
                <c:ptCount val="1"/>
                <c:pt idx="0">
                  <c:v>F_All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Cumulative!$C$22</c:f>
              <c:numCache>
                <c:formatCode>0.00</c:formatCode>
                <c:ptCount val="1"/>
                <c:pt idx="0">
                  <c:v>91.444046261606132</c:v>
                </c:pt>
              </c:numCache>
            </c:numRef>
          </c:xVal>
          <c:yVal>
            <c:numRef>
              <c:f>Cumulative!$D$22</c:f>
              <c:numCache>
                <c:formatCode>0.00</c:formatCode>
                <c:ptCount val="1"/>
                <c:pt idx="0">
                  <c:v>92.10796177037615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C259-4B13-8B42-A73D317F7491}"/>
            </c:ext>
          </c:extLst>
        </c:ser>
        <c:ser>
          <c:idx val="59"/>
          <c:order val="54"/>
          <c:tx>
            <c:strRef>
              <c:f>Cumulative!$F$23</c:f>
              <c:strCache>
                <c:ptCount val="1"/>
                <c:pt idx="0">
                  <c:v>S_All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E97132">
                  <a:lumMod val="50000"/>
                </a:srgbClr>
              </a:solidFill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Cumulative!$C$23</c:f>
              <c:numCache>
                <c:formatCode>0.00</c:formatCode>
                <c:ptCount val="1"/>
                <c:pt idx="0">
                  <c:v>81.077764141470482</c:v>
                </c:pt>
              </c:numCache>
            </c:numRef>
          </c:xVal>
          <c:yVal>
            <c:numRef>
              <c:f>Cumulative!$D$23</c:f>
              <c:numCache>
                <c:formatCode>0.00</c:formatCode>
                <c:ptCount val="1"/>
                <c:pt idx="0">
                  <c:v>81.123018530922081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C259-4B13-8B42-A73D317F7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40"/>
        </c:scaling>
        <c:delete val="0"/>
        <c:axPos val="b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 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40"/>
        </c:scaling>
        <c:delete val="0"/>
        <c:axPos val="l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 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  <c:majorUnit val="5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290578971746182"/>
          <c:y val="7.16451449494208E-2"/>
          <c:w val="0.33411801760074106"/>
          <c:h val="0.838436184786712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Mode Classification</a:t>
            </a:r>
            <a:endParaRPr lang="en-US" sz="2000"/>
          </a:p>
        </c:rich>
      </c:tx>
      <c:layout>
        <c:manualLayout>
          <c:xMode val="edge"/>
          <c:yMode val="edge"/>
          <c:x val="0.32620683426469255"/>
          <c:y val="1.0282884262081189E-2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95803004567238"/>
          <c:y val="8.196151821393248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Spectral!$R$4</c:f>
              <c:strCache>
                <c:ptCount val="1"/>
                <c:pt idx="0">
                  <c:v>W_77_MSS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Spectral!$R$11</c:f>
                <c:numCache>
                  <c:formatCode>General</c:formatCode>
                  <c:ptCount val="1"/>
                  <c:pt idx="0">
                    <c:v>10.464284701583308</c:v>
                  </c:pt>
                </c:numCache>
              </c:numRef>
            </c:plus>
            <c:minus>
              <c:numRef>
                <c:f>Spectral!$R$11</c:f>
                <c:numCache>
                  <c:formatCode>General</c:formatCode>
                  <c:ptCount val="1"/>
                  <c:pt idx="0">
                    <c:v>10.464284701583308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GUE_all!$D$8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Spectral!$R$10</c:f>
              <c:numCache>
                <c:formatCode>0.00</c:formatCode>
                <c:ptCount val="1"/>
                <c:pt idx="0">
                  <c:v>57.656726116390544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1B-4FE1-92CA-2AF6503B4504}"/>
            </c:ext>
          </c:extLst>
        </c:ser>
        <c:ser>
          <c:idx val="1"/>
          <c:order val="1"/>
          <c:tx>
            <c:strRef>
              <c:f>Spectral!$R$12</c:f>
              <c:strCache>
                <c:ptCount val="1"/>
                <c:pt idx="0">
                  <c:v>W_88_MSS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noFill/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Spectral!$R$19</c:f>
                <c:numCache>
                  <c:formatCode>General</c:formatCode>
                  <c:ptCount val="1"/>
                  <c:pt idx="0">
                    <c:v>5.8850634411545775</c:v>
                  </c:pt>
                </c:numCache>
              </c:numRef>
            </c:plus>
            <c:minus>
              <c:numRef>
                <c:f>Spectral!$R$19</c:f>
                <c:numCache>
                  <c:formatCode>General</c:formatCode>
                  <c:ptCount val="1"/>
                  <c:pt idx="0">
                    <c:v>5.8850634411545775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GUE_all!$D$56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Spectral!$R$18</c:f>
              <c:numCache>
                <c:formatCode>0.00</c:formatCode>
                <c:ptCount val="1"/>
                <c:pt idx="0">
                  <c:v>41.727751788682824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1B-4FE1-92CA-2AF6503B4504}"/>
            </c:ext>
          </c:extLst>
        </c:ser>
        <c:ser>
          <c:idx val="8"/>
          <c:order val="2"/>
          <c:tx>
            <c:strRef>
              <c:f>Spectral!$R$20</c:f>
              <c:strCache>
                <c:ptCount val="1"/>
                <c:pt idx="0">
                  <c:v>W_88_TM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9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Spectral!$R$29</c:f>
                <c:numCache>
                  <c:formatCode>General</c:formatCode>
                  <c:ptCount val="1"/>
                  <c:pt idx="0">
                    <c:v>7.9056297907488968</c:v>
                  </c:pt>
                </c:numCache>
              </c:numRef>
            </c:plus>
            <c:minus>
              <c:numRef>
                <c:f>Spectral!$R$29</c:f>
                <c:numCache>
                  <c:formatCode>General</c:formatCode>
                  <c:ptCount val="1"/>
                  <c:pt idx="0">
                    <c:v>7.9056297907488968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GUE_all!$D$104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Spectral!$R$28</c:f>
              <c:numCache>
                <c:formatCode>0.00</c:formatCode>
                <c:ptCount val="1"/>
                <c:pt idx="0">
                  <c:v>60.350452169933888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1B-4FE1-92CA-2AF6503B4504}"/>
            </c:ext>
          </c:extLst>
        </c:ser>
        <c:ser>
          <c:idx val="15"/>
          <c:order val="3"/>
          <c:tx>
            <c:strRef>
              <c:f>Spectral!$R$30</c:f>
              <c:strCache>
                <c:ptCount val="1"/>
                <c:pt idx="0">
                  <c:v>W_91_TM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9"/>
            <c:spPr>
              <a:noFill/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Spectral!$R$39</c:f>
                <c:numCache>
                  <c:formatCode>General</c:formatCode>
                  <c:ptCount val="1"/>
                  <c:pt idx="0">
                    <c:v>6.046438642101565</c:v>
                  </c:pt>
                </c:numCache>
              </c:numRef>
            </c:plus>
            <c:minus>
              <c:numRef>
                <c:f>Spectral!$R$39</c:f>
                <c:numCache>
                  <c:formatCode>General</c:formatCode>
                  <c:ptCount val="1"/>
                  <c:pt idx="0">
                    <c:v>6.046438642101565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GUE_all!$D$152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Spectral!$R$38</c:f>
              <c:numCache>
                <c:formatCode>0.00</c:formatCode>
                <c:ptCount val="1"/>
                <c:pt idx="0">
                  <c:v>61.292234380618723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1B-4FE1-92CA-2AF6503B4504}"/>
            </c:ext>
          </c:extLst>
        </c:ser>
        <c:ser>
          <c:idx val="20"/>
          <c:order val="4"/>
          <c:tx>
            <c:strRef>
              <c:f>Spectral!$R$40</c:f>
              <c:strCache>
                <c:ptCount val="1"/>
                <c:pt idx="0">
                  <c:v>W_01_TM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1F9DFF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Spectral!$R$49</c:f>
                <c:numCache>
                  <c:formatCode>General</c:formatCode>
                  <c:ptCount val="1"/>
                  <c:pt idx="0">
                    <c:v>14.275460083065747</c:v>
                  </c:pt>
                </c:numCache>
              </c:numRef>
            </c:plus>
            <c:minus>
              <c:numRef>
                <c:f>Spectral!$R$49</c:f>
                <c:numCache>
                  <c:formatCode>General</c:formatCode>
                  <c:ptCount val="1"/>
                  <c:pt idx="0">
                    <c:v>14.275460083065747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GUE_all!$D$200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Spectral!$R$48</c:f>
              <c:numCache>
                <c:formatCode>0.00</c:formatCode>
                <c:ptCount val="1"/>
                <c:pt idx="0">
                  <c:v>67.789616719713379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1B-4FE1-92CA-2AF6503B4504}"/>
            </c:ext>
          </c:extLst>
        </c:ser>
        <c:ser>
          <c:idx val="25"/>
          <c:order val="5"/>
          <c:tx>
            <c:strRef>
              <c:f>Spectral!$R$50</c:f>
              <c:strCache>
                <c:ptCount val="1"/>
                <c:pt idx="0">
                  <c:v>W_07_ETM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 cmpd="sng">
                <a:solidFill>
                  <a:srgbClr val="1F9DFF"/>
                </a:solidFill>
                <a:prstDash val="solid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Spectral!$R$59</c:f>
                <c:numCache>
                  <c:formatCode>General</c:formatCode>
                  <c:ptCount val="1"/>
                  <c:pt idx="0">
                    <c:v>3.5854764915949504</c:v>
                  </c:pt>
                </c:numCache>
              </c:numRef>
            </c:plus>
            <c:minus>
              <c:numRef>
                <c:f>Spectral!$R$59</c:f>
                <c:numCache>
                  <c:formatCode>General</c:formatCode>
                  <c:ptCount val="1"/>
                  <c:pt idx="0">
                    <c:v>3.5854764915949504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GUE_all!$D$248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Spectral!$R$58</c:f>
              <c:numCache>
                <c:formatCode>0.00</c:formatCode>
                <c:ptCount val="1"/>
                <c:pt idx="0">
                  <c:v>35.905456596807753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1B-4FE1-92CA-2AF6503B4504}"/>
            </c:ext>
          </c:extLst>
        </c:ser>
        <c:ser>
          <c:idx val="30"/>
          <c:order val="6"/>
          <c:tx>
            <c:strRef>
              <c:f>Spectral!$R$60</c:f>
              <c:strCache>
                <c:ptCount val="1"/>
                <c:pt idx="0">
                  <c:v>W_11_ETM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1F9DFF">
                  <a:alpha val="20000"/>
                </a:srgbClr>
              </a:solidFill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Spectral!$R$69</c:f>
                <c:numCache>
                  <c:formatCode>General</c:formatCode>
                  <c:ptCount val="1"/>
                  <c:pt idx="0">
                    <c:v>20.84307498956532</c:v>
                  </c:pt>
                </c:numCache>
              </c:numRef>
            </c:plus>
            <c:minus>
              <c:numRef>
                <c:f>Spectral!$R$69</c:f>
                <c:numCache>
                  <c:formatCode>General</c:formatCode>
                  <c:ptCount val="1"/>
                  <c:pt idx="0">
                    <c:v>20.84307498956532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GUE_all!$D$296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Spectral!$R$68</c:f>
              <c:numCache>
                <c:formatCode>0.00</c:formatCode>
                <c:ptCount val="1"/>
                <c:pt idx="0">
                  <c:v>68.425468641133861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1B-4FE1-92CA-2AF6503B4504}"/>
            </c:ext>
          </c:extLst>
        </c:ser>
        <c:ser>
          <c:idx val="35"/>
          <c:order val="7"/>
          <c:tx>
            <c:strRef>
              <c:f>Spectral!$R$70</c:f>
              <c:strCache>
                <c:ptCount val="1"/>
                <c:pt idx="0">
                  <c:v>W_15_OLI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Spectral!$R$79</c:f>
                <c:numCache>
                  <c:formatCode>General</c:formatCode>
                  <c:ptCount val="1"/>
                  <c:pt idx="0">
                    <c:v>3.2724444917832254</c:v>
                  </c:pt>
                </c:numCache>
              </c:numRef>
            </c:plus>
            <c:minus>
              <c:numRef>
                <c:f>Spectral!$R$79</c:f>
                <c:numCache>
                  <c:formatCode>General</c:formatCode>
                  <c:ptCount val="1"/>
                  <c:pt idx="0">
                    <c:v>3.2724444917832254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GUE_all!$D$344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Spectral!$R$78</c:f>
              <c:numCache>
                <c:formatCode>0.00</c:formatCode>
                <c:ptCount val="1"/>
                <c:pt idx="0">
                  <c:v>77.024627820204742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1B-4FE1-92CA-2AF6503B4504}"/>
            </c:ext>
          </c:extLst>
        </c:ser>
        <c:ser>
          <c:idx val="40"/>
          <c:order val="8"/>
          <c:tx>
            <c:strRef>
              <c:f>Spectral!$R$80</c:f>
              <c:strCache>
                <c:ptCount val="1"/>
                <c:pt idx="0">
                  <c:v>W_19_OLI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F9DFF"/>
                </a:solidFill>
                <a:prstDash val="sysDash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Spectral!$R$89</c:f>
                <c:numCache>
                  <c:formatCode>General</c:formatCode>
                  <c:ptCount val="1"/>
                  <c:pt idx="0">
                    <c:v>13.198158764569541</c:v>
                  </c:pt>
                </c:numCache>
              </c:numRef>
            </c:plus>
            <c:minus>
              <c:numRef>
                <c:f>Spectral!$R$89</c:f>
                <c:numCache>
                  <c:formatCode>General</c:formatCode>
                  <c:ptCount val="1"/>
                  <c:pt idx="0">
                    <c:v>13.198158764569541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GUE_all!$D$392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Spectral!$R$88</c:f>
              <c:numCache>
                <c:formatCode>0.00</c:formatCode>
                <c:ptCount val="1"/>
                <c:pt idx="0">
                  <c:v>109.39817989765348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1B-4FE1-92CA-2AF6503B4504}"/>
            </c:ext>
          </c:extLst>
        </c:ser>
        <c:ser>
          <c:idx val="44"/>
          <c:order val="9"/>
          <c:tx>
            <c:strRef>
              <c:f>Spectral!$R$90</c:f>
              <c:strCache>
                <c:ptCount val="1"/>
                <c:pt idx="0">
                  <c:v>W_19_MSI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Spectral!$R$103</c:f>
                <c:numCache>
                  <c:formatCode>General</c:formatCode>
                  <c:ptCount val="1"/>
                  <c:pt idx="0">
                    <c:v>2.0996813718047838</c:v>
                  </c:pt>
                </c:numCache>
              </c:numRef>
            </c:plus>
            <c:minus>
              <c:numRef>
                <c:f>Spectral!$R$103</c:f>
                <c:numCache>
                  <c:formatCode>General</c:formatCode>
                  <c:ptCount val="1"/>
                  <c:pt idx="0">
                    <c:v>2.0996813718047838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GUE_all!$D$440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Spectral!$R$102</c:f>
              <c:numCache>
                <c:formatCode>0.00</c:formatCode>
                <c:ptCount val="1"/>
                <c:pt idx="0">
                  <c:v>60.887731307923268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1B-4FE1-92CA-2AF6503B4504}"/>
            </c:ext>
          </c:extLst>
        </c:ser>
        <c:ser>
          <c:idx val="49"/>
          <c:order val="10"/>
          <c:tx>
            <c:strRef>
              <c:f>Spectral!$R$104</c:f>
              <c:strCache>
                <c:ptCount val="1"/>
                <c:pt idx="0">
                  <c:v>W_24_MSI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31750" cmpd="dbl">
                <a:solidFill>
                  <a:srgbClr val="1F9DFF"/>
                </a:solidFill>
                <a:prstDash val="solid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Spectral!$R$117</c:f>
                <c:numCache>
                  <c:formatCode>General</c:formatCode>
                  <c:ptCount val="1"/>
                  <c:pt idx="0">
                    <c:v>2.2857320636756637</c:v>
                  </c:pt>
                </c:numCache>
              </c:numRef>
            </c:plus>
            <c:minus>
              <c:numRef>
                <c:f>Spectral!$R$117</c:f>
                <c:numCache>
                  <c:formatCode>General</c:formatCode>
                  <c:ptCount val="1"/>
                  <c:pt idx="0">
                    <c:v>2.2857320636756637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GUE_all!$D$488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Spectral!$R$116</c:f>
              <c:numCache>
                <c:formatCode>0.00</c:formatCode>
                <c:ptCount val="1"/>
                <c:pt idx="0">
                  <c:v>53.765844686603749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1B-4FE1-92CA-2AF6503B4504}"/>
            </c:ext>
          </c:extLst>
        </c:ser>
        <c:ser>
          <c:idx val="9"/>
          <c:order val="11"/>
          <c:tx>
            <c:strRef>
              <c:f>Spectral!$S$4</c:f>
              <c:strCache>
                <c:ptCount val="1"/>
                <c:pt idx="0">
                  <c:v>B_77_MSS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GUE_all!$E$9</c:f>
                <c:numCache>
                  <c:formatCode>General</c:formatCode>
                  <c:ptCount val="1"/>
                  <c:pt idx="0">
                    <c:v>3.4602129973897178</c:v>
                  </c:pt>
                </c:numCache>
              </c:numRef>
            </c:plus>
            <c:minus>
              <c:numRef>
                <c:f>GUE_all!$E$9</c:f>
                <c:numCache>
                  <c:formatCode>General</c:formatCode>
                  <c:ptCount val="1"/>
                  <c:pt idx="0">
                    <c:v>3.4602129973897178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Spectral!$S$11</c:f>
                <c:numCache>
                  <c:formatCode>General</c:formatCode>
                  <c:ptCount val="1"/>
                  <c:pt idx="0">
                    <c:v>0.74369254860965373</c:v>
                  </c:pt>
                </c:numCache>
              </c:numRef>
            </c:plus>
            <c:minus>
              <c:numRef>
                <c:f>Spectral!$S$11</c:f>
                <c:numCache>
                  <c:formatCode>General</c:formatCode>
                  <c:ptCount val="1"/>
                  <c:pt idx="0">
                    <c:v>0.74369254860965373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GUE_all!$E$8</c:f>
              <c:numCache>
                <c:formatCode>0.00</c:formatCode>
                <c:ptCount val="1"/>
                <c:pt idx="0">
                  <c:v>84.532221426595456</c:v>
                </c:pt>
              </c:numCache>
            </c:numRef>
          </c:xVal>
          <c:yVal>
            <c:numRef>
              <c:f>Spectral!$S$10</c:f>
              <c:numCache>
                <c:formatCode>0.00</c:formatCode>
                <c:ptCount val="1"/>
                <c:pt idx="0">
                  <c:v>21.814128496856323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61B-4FE1-92CA-2AF6503B4504}"/>
            </c:ext>
          </c:extLst>
        </c:ser>
        <c:ser>
          <c:idx val="2"/>
          <c:order val="12"/>
          <c:tx>
            <c:strRef>
              <c:f>Spectral!$S$12</c:f>
              <c:strCache>
                <c:ptCount val="1"/>
                <c:pt idx="0">
                  <c:v>B_88_MSS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chemeClr val="accent3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Spectral!$S$19</c:f>
                <c:numCache>
                  <c:formatCode>General</c:formatCode>
                  <c:ptCount val="1"/>
                  <c:pt idx="0">
                    <c:v>1.1954457880737204</c:v>
                  </c:pt>
                </c:numCache>
              </c:numRef>
            </c:plus>
            <c:minus>
              <c:numRef>
                <c:f>Spectral!$S$19</c:f>
                <c:numCache>
                  <c:formatCode>General</c:formatCode>
                  <c:ptCount val="1"/>
                  <c:pt idx="0">
                    <c:v>1.1954457880737204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GUE_all!$E$57</c:f>
                <c:numCache>
                  <c:formatCode>General</c:formatCode>
                  <c:ptCount val="1"/>
                  <c:pt idx="0">
                    <c:v>1.7544102301500859</c:v>
                  </c:pt>
                </c:numCache>
              </c:numRef>
            </c:plus>
            <c:minus>
              <c:numRef>
                <c:f>GUE_all!$E$57</c:f>
                <c:numCache>
                  <c:formatCode>General</c:formatCode>
                  <c:ptCount val="1"/>
                  <c:pt idx="0">
                    <c:v>1.7544102301500859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xVal>
            <c:numRef>
              <c:f>GUE_all!$E$56</c:f>
              <c:numCache>
                <c:formatCode>0.00</c:formatCode>
                <c:ptCount val="1"/>
                <c:pt idx="0">
                  <c:v>95.805803120536709</c:v>
                </c:pt>
              </c:numCache>
            </c:numRef>
          </c:xVal>
          <c:yVal>
            <c:numRef>
              <c:f>Spectral!$S$18</c:f>
              <c:numCache>
                <c:formatCode>0.00</c:formatCode>
                <c:ptCount val="1"/>
                <c:pt idx="0">
                  <c:v>14.394483562940652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61B-4FE1-92CA-2AF6503B4504}"/>
            </c:ext>
          </c:extLst>
        </c:ser>
        <c:ser>
          <c:idx val="11"/>
          <c:order val="13"/>
          <c:tx>
            <c:strRef>
              <c:f>Spectral!$S$20</c:f>
              <c:strCache>
                <c:ptCount val="1"/>
                <c:pt idx="0">
                  <c:v>B_88_TM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GUE_all!$E$105</c:f>
                <c:numCache>
                  <c:formatCode>General</c:formatCode>
                  <c:ptCount val="1"/>
                  <c:pt idx="0">
                    <c:v>1.0230769856004167</c:v>
                  </c:pt>
                </c:numCache>
              </c:numRef>
            </c:plus>
            <c:minus>
              <c:numRef>
                <c:f>GUE_all!$E$105</c:f>
                <c:numCache>
                  <c:formatCode>General</c:formatCode>
                  <c:ptCount val="1"/>
                  <c:pt idx="0">
                    <c:v>1.0230769856004167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Spectral!$S$29</c:f>
                <c:numCache>
                  <c:formatCode>General</c:formatCode>
                  <c:ptCount val="1"/>
                  <c:pt idx="0">
                    <c:v>1.7224058867498462</c:v>
                  </c:pt>
                </c:numCache>
              </c:numRef>
            </c:plus>
            <c:minus>
              <c:numRef>
                <c:f>Spectral!$S$29</c:f>
                <c:numCache>
                  <c:formatCode>General</c:formatCode>
                  <c:ptCount val="1"/>
                  <c:pt idx="0">
                    <c:v>1.7224058867498462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GUE_all!$E$104</c:f>
              <c:numCache>
                <c:formatCode>0.00</c:formatCode>
                <c:ptCount val="1"/>
                <c:pt idx="0">
                  <c:v>89.877919012353431</c:v>
                </c:pt>
              </c:numCache>
            </c:numRef>
          </c:xVal>
          <c:yVal>
            <c:numRef>
              <c:f>Spectral!$S$28</c:f>
              <c:numCache>
                <c:formatCode>0.00</c:formatCode>
                <c:ptCount val="1"/>
                <c:pt idx="0">
                  <c:v>18.365551296960525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61B-4FE1-92CA-2AF6503B4504}"/>
            </c:ext>
          </c:extLst>
        </c:ser>
        <c:ser>
          <c:idx val="16"/>
          <c:order val="14"/>
          <c:tx>
            <c:strRef>
              <c:f>Spectral!$S$30</c:f>
              <c:strCache>
                <c:ptCount val="1"/>
                <c:pt idx="0">
                  <c:v>B_91_TM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CACDDE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GUE_all!$E$153</c:f>
                <c:numCache>
                  <c:formatCode>General</c:formatCode>
                  <c:ptCount val="1"/>
                  <c:pt idx="0">
                    <c:v>5.3923953967050879</c:v>
                  </c:pt>
                </c:numCache>
              </c:numRef>
            </c:plus>
            <c:minus>
              <c:numRef>
                <c:f>GUE_all!$E$153</c:f>
                <c:numCache>
                  <c:formatCode>General</c:formatCode>
                  <c:ptCount val="1"/>
                  <c:pt idx="0">
                    <c:v>5.3923953967050879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Spectral!$S$39</c:f>
                <c:numCache>
                  <c:formatCode>General</c:formatCode>
                  <c:ptCount val="1"/>
                  <c:pt idx="0">
                    <c:v>1.0489347025177911</c:v>
                  </c:pt>
                </c:numCache>
              </c:numRef>
            </c:plus>
            <c:minus>
              <c:numRef>
                <c:f>Spectral!$S$39</c:f>
                <c:numCache>
                  <c:formatCode>General</c:formatCode>
                  <c:ptCount val="1"/>
                  <c:pt idx="0">
                    <c:v>1.0489347025177911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xVal>
            <c:numRef>
              <c:f>GUE_all!$E$152</c:f>
              <c:numCache>
                <c:formatCode>0.00</c:formatCode>
                <c:ptCount val="1"/>
                <c:pt idx="0">
                  <c:v>57.419139761296556</c:v>
                </c:pt>
              </c:numCache>
            </c:numRef>
          </c:xVal>
          <c:yVal>
            <c:numRef>
              <c:f>Spectral!$S$38</c:f>
              <c:numCache>
                <c:formatCode>0.00</c:formatCode>
                <c:ptCount val="1"/>
                <c:pt idx="0">
                  <c:v>20.816189526802926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61B-4FE1-92CA-2AF6503B4504}"/>
            </c:ext>
          </c:extLst>
        </c:ser>
        <c:ser>
          <c:idx val="21"/>
          <c:order val="15"/>
          <c:tx>
            <c:strRef>
              <c:f>Spectral!$S$40</c:f>
              <c:strCache>
                <c:ptCount val="1"/>
                <c:pt idx="0">
                  <c:v>B_01_TM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GUE_all!$E$201</c:f>
                <c:numCache>
                  <c:formatCode>General</c:formatCode>
                  <c:ptCount val="1"/>
                  <c:pt idx="0">
                    <c:v>2.5417107325259485</c:v>
                  </c:pt>
                </c:numCache>
              </c:numRef>
            </c:plus>
            <c:minus>
              <c:numRef>
                <c:f>GUE_all!$E$201</c:f>
                <c:numCache>
                  <c:formatCode>General</c:formatCode>
                  <c:ptCount val="1"/>
                  <c:pt idx="0">
                    <c:v>2.5417107325259485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Spectral!$S$49</c:f>
                <c:numCache>
                  <c:formatCode>General</c:formatCode>
                  <c:ptCount val="1"/>
                  <c:pt idx="0">
                    <c:v>0.73112755981487521</c:v>
                  </c:pt>
                </c:numCache>
              </c:numRef>
            </c:plus>
            <c:minus>
              <c:numRef>
                <c:f>Spectral!$S$49</c:f>
                <c:numCache>
                  <c:formatCode>General</c:formatCode>
                  <c:ptCount val="1"/>
                  <c:pt idx="0">
                    <c:v>0.73112755981487521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GUE_all!$E$200</c:f>
              <c:numCache>
                <c:formatCode>0.00</c:formatCode>
                <c:ptCount val="1"/>
                <c:pt idx="0">
                  <c:v>81.579020354369035</c:v>
                </c:pt>
              </c:numCache>
            </c:numRef>
          </c:xVal>
          <c:yVal>
            <c:numRef>
              <c:f>Spectral!$S$48</c:f>
              <c:numCache>
                <c:formatCode>0.00</c:formatCode>
                <c:ptCount val="1"/>
                <c:pt idx="0">
                  <c:v>19.733997319874003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61B-4FE1-92CA-2AF6503B4504}"/>
            </c:ext>
          </c:extLst>
        </c:ser>
        <c:ser>
          <c:idx val="26"/>
          <c:order val="16"/>
          <c:tx>
            <c:strRef>
              <c:f>Spectral!$S$50</c:f>
              <c:strCache>
                <c:ptCount val="1"/>
                <c:pt idx="0">
                  <c:v>B_07_ETM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GUE_all!$E$249</c:f>
                <c:numCache>
                  <c:formatCode>General</c:formatCode>
                  <c:ptCount val="1"/>
                  <c:pt idx="0">
                    <c:v>3.8271250282764773</c:v>
                  </c:pt>
                </c:numCache>
              </c:numRef>
            </c:plus>
            <c:minus>
              <c:numRef>
                <c:f>GUE_all!$E$249</c:f>
                <c:numCache>
                  <c:formatCode>General</c:formatCode>
                  <c:ptCount val="1"/>
                  <c:pt idx="0">
                    <c:v>3.8271250282764773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Spectral!$S$59</c:f>
                <c:numCache>
                  <c:formatCode>General</c:formatCode>
                  <c:ptCount val="1"/>
                  <c:pt idx="0">
                    <c:v>0.69483520245193997</c:v>
                  </c:pt>
                </c:numCache>
              </c:numRef>
            </c:plus>
            <c:minus>
              <c:numRef>
                <c:f>Spectral!$S$59</c:f>
                <c:numCache>
                  <c:formatCode>General</c:formatCode>
                  <c:ptCount val="1"/>
                  <c:pt idx="0">
                    <c:v>0.69483520245193997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GUE_all!$E$248</c:f>
              <c:numCache>
                <c:formatCode>0.00</c:formatCode>
                <c:ptCount val="1"/>
                <c:pt idx="0">
                  <c:v>76.234502183087443</c:v>
                </c:pt>
              </c:numCache>
            </c:numRef>
          </c:xVal>
          <c:yVal>
            <c:numRef>
              <c:f>Spectral!$S$58</c:f>
              <c:numCache>
                <c:formatCode>0.00</c:formatCode>
                <c:ptCount val="1"/>
                <c:pt idx="0">
                  <c:v>19.060127813159923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61B-4FE1-92CA-2AF6503B4504}"/>
            </c:ext>
          </c:extLst>
        </c:ser>
        <c:ser>
          <c:idx val="31"/>
          <c:order val="17"/>
          <c:tx>
            <c:strRef>
              <c:f>Spectral!$S$60</c:f>
              <c:strCache>
                <c:ptCount val="1"/>
                <c:pt idx="0">
                  <c:v>B_11_ETM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CACDDE">
                  <a:alpha val="20000"/>
                </a:srgbClr>
              </a:solidFill>
              <a:ln w="19050">
                <a:solidFill>
                  <a:srgbClr val="CACDDE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GUE_all!$E$297</c:f>
                <c:numCache>
                  <c:formatCode>General</c:formatCode>
                  <c:ptCount val="1"/>
                  <c:pt idx="0">
                    <c:v>4.2008684570446011</c:v>
                  </c:pt>
                </c:numCache>
              </c:numRef>
            </c:plus>
            <c:minus>
              <c:numRef>
                <c:f>GUE_all!$E$297</c:f>
                <c:numCache>
                  <c:formatCode>General</c:formatCode>
                  <c:ptCount val="1"/>
                  <c:pt idx="0">
                    <c:v>4.2008684570446011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Spectral!$S$69</c:f>
                <c:numCache>
                  <c:formatCode>General</c:formatCode>
                  <c:ptCount val="1"/>
                  <c:pt idx="0">
                    <c:v>1.2986547739672247</c:v>
                  </c:pt>
                </c:numCache>
              </c:numRef>
            </c:plus>
            <c:minus>
              <c:numRef>
                <c:f>Spectral!$S$69</c:f>
                <c:numCache>
                  <c:formatCode>General</c:formatCode>
                  <c:ptCount val="1"/>
                  <c:pt idx="0">
                    <c:v>1.2986547739672247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GUE_all!$E$296</c:f>
              <c:numCache>
                <c:formatCode>0.00</c:formatCode>
                <c:ptCount val="1"/>
                <c:pt idx="0">
                  <c:v>68.145281961292497</c:v>
                </c:pt>
              </c:numCache>
            </c:numRef>
          </c:xVal>
          <c:yVal>
            <c:numRef>
              <c:f>Spectral!$S$68</c:f>
              <c:numCache>
                <c:formatCode>0.00</c:formatCode>
                <c:ptCount val="1"/>
                <c:pt idx="0">
                  <c:v>21.096398225693957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C61B-4FE1-92CA-2AF6503B4504}"/>
            </c:ext>
          </c:extLst>
        </c:ser>
        <c:ser>
          <c:idx val="36"/>
          <c:order val="18"/>
          <c:tx>
            <c:strRef>
              <c:f>Spectral!$S$70</c:f>
              <c:strCache>
                <c:ptCount val="1"/>
                <c:pt idx="0">
                  <c:v>B_15_OLI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GUE_all!$E$345</c:f>
                <c:numCache>
                  <c:formatCode>General</c:formatCode>
                  <c:ptCount val="1"/>
                  <c:pt idx="0">
                    <c:v>4.5102114418065202</c:v>
                  </c:pt>
                </c:numCache>
              </c:numRef>
            </c:plus>
            <c:minus>
              <c:numRef>
                <c:f>GUE_all!$E$345</c:f>
                <c:numCache>
                  <c:formatCode>General</c:formatCode>
                  <c:ptCount val="1"/>
                  <c:pt idx="0">
                    <c:v>4.5102114418065202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Spectral!$S$79</c:f>
                <c:numCache>
                  <c:formatCode>General</c:formatCode>
                  <c:ptCount val="1"/>
                  <c:pt idx="0">
                    <c:v>3.9461791632014309</c:v>
                  </c:pt>
                </c:numCache>
              </c:numRef>
            </c:plus>
            <c:minus>
              <c:numRef>
                <c:f>Spectral!$S$79</c:f>
                <c:numCache>
                  <c:formatCode>General</c:formatCode>
                  <c:ptCount val="1"/>
                  <c:pt idx="0">
                    <c:v>3.9461791632014309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GUE_all!$E$344</c:f>
              <c:numCache>
                <c:formatCode>0.00</c:formatCode>
                <c:ptCount val="1"/>
                <c:pt idx="0">
                  <c:v>72.042530366177886</c:v>
                </c:pt>
              </c:numCache>
            </c:numRef>
          </c:xVal>
          <c:yVal>
            <c:numRef>
              <c:f>Spectral!$S$78</c:f>
              <c:numCache>
                <c:formatCode>0.00</c:formatCode>
                <c:ptCount val="1"/>
                <c:pt idx="0">
                  <c:v>26.292902859714708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C61B-4FE1-92CA-2AF6503B4504}"/>
            </c:ext>
          </c:extLst>
        </c:ser>
        <c:ser>
          <c:idx val="41"/>
          <c:order val="19"/>
          <c:tx>
            <c:strRef>
              <c:f>Spectral!$S$80</c:f>
              <c:strCache>
                <c:ptCount val="1"/>
                <c:pt idx="0">
                  <c:v>B_19_OLI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CACDDE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GUE_all!$E$393</c:f>
                <c:numCache>
                  <c:formatCode>General</c:formatCode>
                  <c:ptCount val="1"/>
                  <c:pt idx="0">
                    <c:v>3.2298925818817095</c:v>
                  </c:pt>
                </c:numCache>
              </c:numRef>
            </c:plus>
            <c:minus>
              <c:numRef>
                <c:f>GUE_all!$E$393</c:f>
                <c:numCache>
                  <c:formatCode>General</c:formatCode>
                  <c:ptCount val="1"/>
                  <c:pt idx="0">
                    <c:v>3.2298925818817095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Spectral!$S$89</c:f>
                <c:numCache>
                  <c:formatCode>General</c:formatCode>
                  <c:ptCount val="1"/>
                  <c:pt idx="0">
                    <c:v>3.5083125612780512</c:v>
                  </c:pt>
                </c:numCache>
              </c:numRef>
            </c:plus>
            <c:minus>
              <c:numRef>
                <c:f>Spectral!$S$89</c:f>
                <c:numCache>
                  <c:formatCode>General</c:formatCode>
                  <c:ptCount val="1"/>
                  <c:pt idx="0">
                    <c:v>3.5083125612780512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GUE_all!$E$392</c:f>
              <c:numCache>
                <c:formatCode>0.00</c:formatCode>
                <c:ptCount val="1"/>
                <c:pt idx="0">
                  <c:v>77.770795302419486</c:v>
                </c:pt>
              </c:numCache>
            </c:numRef>
          </c:xVal>
          <c:yVal>
            <c:numRef>
              <c:f>Spectral!$S$88</c:f>
              <c:numCache>
                <c:formatCode>0.00</c:formatCode>
                <c:ptCount val="1"/>
                <c:pt idx="0">
                  <c:v>25.601621684739449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C61B-4FE1-92CA-2AF6503B4504}"/>
            </c:ext>
          </c:extLst>
        </c:ser>
        <c:ser>
          <c:idx val="45"/>
          <c:order val="20"/>
          <c:tx>
            <c:strRef>
              <c:f>Spectral!$S$90</c:f>
              <c:strCache>
                <c:ptCount val="1"/>
                <c:pt idx="0">
                  <c:v>B_19_MSI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GUE_all!$E$441</c:f>
                <c:numCache>
                  <c:formatCode>General</c:formatCode>
                  <c:ptCount val="1"/>
                  <c:pt idx="0">
                    <c:v>4.1236297096434376</c:v>
                  </c:pt>
                </c:numCache>
              </c:numRef>
            </c:plus>
            <c:minus>
              <c:numRef>
                <c:f>GUE_all!$E$441</c:f>
                <c:numCache>
                  <c:formatCode>General</c:formatCode>
                  <c:ptCount val="1"/>
                  <c:pt idx="0">
                    <c:v>4.1236297096434376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Spectral!$S$103</c:f>
                <c:numCache>
                  <c:formatCode>General</c:formatCode>
                  <c:ptCount val="1"/>
                  <c:pt idx="0">
                    <c:v>2.9634290620502974</c:v>
                  </c:pt>
                </c:numCache>
              </c:numRef>
            </c:plus>
            <c:minus>
              <c:numRef>
                <c:f>Spectral!$S$103</c:f>
                <c:numCache>
                  <c:formatCode>General</c:formatCode>
                  <c:ptCount val="1"/>
                  <c:pt idx="0">
                    <c:v>2.9634290620502974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GUE_all!$E$440</c:f>
              <c:numCache>
                <c:formatCode>0.00</c:formatCode>
                <c:ptCount val="1"/>
                <c:pt idx="0">
                  <c:v>76.062734772658473</c:v>
                </c:pt>
              </c:numCache>
            </c:numRef>
          </c:xVal>
          <c:yVal>
            <c:numRef>
              <c:f>Spectral!$S$102</c:f>
              <c:numCache>
                <c:formatCode>0.00</c:formatCode>
                <c:ptCount val="1"/>
                <c:pt idx="0">
                  <c:v>21.567143590990856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61B-4FE1-92CA-2AF6503B4504}"/>
            </c:ext>
          </c:extLst>
        </c:ser>
        <c:ser>
          <c:idx val="50"/>
          <c:order val="21"/>
          <c:tx>
            <c:strRef>
              <c:f>Spectral!$S$104</c:f>
              <c:strCache>
                <c:ptCount val="1"/>
                <c:pt idx="0">
                  <c:v>B_24_MSI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31750" cmpd="dbl">
                <a:solidFill>
                  <a:srgbClr val="CACDDE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GUE_all!$E$489</c:f>
                <c:numCache>
                  <c:formatCode>General</c:formatCode>
                  <c:ptCount val="1"/>
                  <c:pt idx="0">
                    <c:v>5.7960769034715485</c:v>
                  </c:pt>
                </c:numCache>
              </c:numRef>
            </c:plus>
            <c:minus>
              <c:numRef>
                <c:f>GUE_all!$E$489</c:f>
                <c:numCache>
                  <c:formatCode>General</c:formatCode>
                  <c:ptCount val="1"/>
                  <c:pt idx="0">
                    <c:v>5.7960769034715485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Spectral!$S$117</c:f>
                <c:numCache>
                  <c:formatCode>General</c:formatCode>
                  <c:ptCount val="1"/>
                  <c:pt idx="0">
                    <c:v>3.0320813953620549</c:v>
                  </c:pt>
                </c:numCache>
              </c:numRef>
            </c:plus>
            <c:minus>
              <c:numRef>
                <c:f>Spectral!$S$117</c:f>
                <c:numCache>
                  <c:formatCode>General</c:formatCode>
                  <c:ptCount val="1"/>
                  <c:pt idx="0">
                    <c:v>3.0320813953620549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GUE_all!$E$488</c:f>
              <c:numCache>
                <c:formatCode>0.00</c:formatCode>
                <c:ptCount val="1"/>
                <c:pt idx="0">
                  <c:v>60.205113233226079</c:v>
                </c:pt>
              </c:numCache>
            </c:numRef>
          </c:xVal>
          <c:yVal>
            <c:numRef>
              <c:f>Spectral!$S$116</c:f>
              <c:numCache>
                <c:formatCode>0.00</c:formatCode>
                <c:ptCount val="1"/>
                <c:pt idx="0">
                  <c:v>20.904960382889275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61B-4FE1-92CA-2AF6503B4504}"/>
            </c:ext>
          </c:extLst>
        </c:ser>
        <c:ser>
          <c:idx val="7"/>
          <c:order val="22"/>
          <c:tx>
            <c:strRef>
              <c:f>Spectral!$T$4</c:f>
              <c:strCache>
                <c:ptCount val="1"/>
                <c:pt idx="0">
                  <c:v>A_77_MSS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GUE_all!$F$9</c:f>
                <c:numCache>
                  <c:formatCode>General</c:formatCode>
                  <c:ptCount val="1"/>
                  <c:pt idx="0">
                    <c:v>0.6500485800386161</c:v>
                  </c:pt>
                </c:numCache>
              </c:numRef>
            </c:plus>
            <c:minus>
              <c:numRef>
                <c:f>GUE_all!$F$9</c:f>
                <c:numCache>
                  <c:formatCode>General</c:formatCode>
                  <c:ptCount val="1"/>
                  <c:pt idx="0">
                    <c:v>0.6500485800386161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Spectral!$T$11</c:f>
                <c:numCache>
                  <c:formatCode>General</c:formatCode>
                  <c:ptCount val="1"/>
                  <c:pt idx="0">
                    <c:v>2.4829836415255673</c:v>
                  </c:pt>
                </c:numCache>
              </c:numRef>
            </c:plus>
            <c:minus>
              <c:numRef>
                <c:f>Spectral!$T$11</c:f>
                <c:numCache>
                  <c:formatCode>General</c:formatCode>
                  <c:ptCount val="1"/>
                  <c:pt idx="0">
                    <c:v>2.4829836415255673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GUE_all!$F$8</c:f>
              <c:numCache>
                <c:formatCode>0.00</c:formatCode>
                <c:ptCount val="1"/>
                <c:pt idx="0">
                  <c:v>97.383260553767045</c:v>
                </c:pt>
              </c:numCache>
            </c:numRef>
          </c:xVal>
          <c:yVal>
            <c:numRef>
              <c:f>Spectral!$T$10</c:f>
              <c:numCache>
                <c:formatCode>0.00</c:formatCode>
                <c:ptCount val="1"/>
                <c:pt idx="0">
                  <c:v>15.786223173635589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61B-4FE1-92CA-2AF6503B4504}"/>
            </c:ext>
          </c:extLst>
        </c:ser>
        <c:ser>
          <c:idx val="3"/>
          <c:order val="23"/>
          <c:tx>
            <c:strRef>
              <c:f>Spectral!$T$12</c:f>
              <c:strCache>
                <c:ptCount val="1"/>
                <c:pt idx="0">
                  <c:v>A_88_MSS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B1EE2D">
                    <a:alpha val="96000"/>
                  </a:srgbClr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GUE_all!$F$57</c:f>
                <c:numCache>
                  <c:formatCode>General</c:formatCode>
                  <c:ptCount val="1"/>
                  <c:pt idx="0">
                    <c:v>0.62274478762877639</c:v>
                  </c:pt>
                </c:numCache>
              </c:numRef>
            </c:plus>
            <c:minus>
              <c:numRef>
                <c:f>GUE_all!$F$57</c:f>
                <c:numCache>
                  <c:formatCode>General</c:formatCode>
                  <c:ptCount val="1"/>
                  <c:pt idx="0">
                    <c:v>0.62274478762877639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Spectral!$T$19</c:f>
                <c:numCache>
                  <c:formatCode>General</c:formatCode>
                  <c:ptCount val="1"/>
                  <c:pt idx="0">
                    <c:v>1.6708721991529654</c:v>
                  </c:pt>
                </c:numCache>
              </c:numRef>
            </c:plus>
            <c:minus>
              <c:numRef>
                <c:f>Spectral!$T$19</c:f>
                <c:numCache>
                  <c:formatCode>General</c:formatCode>
                  <c:ptCount val="1"/>
                  <c:pt idx="0">
                    <c:v>1.6708721991529654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xVal>
            <c:numRef>
              <c:f>GUE_all!$F$56</c:f>
              <c:numCache>
                <c:formatCode>0.00</c:formatCode>
                <c:ptCount val="1"/>
                <c:pt idx="0">
                  <c:v>96.670800472577696</c:v>
                </c:pt>
              </c:numCache>
            </c:numRef>
          </c:xVal>
          <c:yVal>
            <c:numRef>
              <c:f>Spectral!$T$18</c:f>
              <c:numCache>
                <c:formatCode>0.00</c:formatCode>
                <c:ptCount val="1"/>
                <c:pt idx="0">
                  <c:v>17.158522117734478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61B-4FE1-92CA-2AF6503B4504}"/>
            </c:ext>
          </c:extLst>
        </c:ser>
        <c:ser>
          <c:idx val="12"/>
          <c:order val="24"/>
          <c:tx>
            <c:strRef>
              <c:f>Spectral!$T$20</c:f>
              <c:strCache>
                <c:ptCount val="1"/>
                <c:pt idx="0">
                  <c:v>A_88_TM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B1EE2D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GUE_all!$F$105</c:f>
                <c:numCache>
                  <c:formatCode>General</c:formatCode>
                  <c:ptCount val="1"/>
                  <c:pt idx="0">
                    <c:v>0.12250712461439517</c:v>
                  </c:pt>
                </c:numCache>
              </c:numRef>
            </c:plus>
            <c:minus>
              <c:numRef>
                <c:f>GUE_all!$F$105</c:f>
                <c:numCache>
                  <c:formatCode>General</c:formatCode>
                  <c:ptCount val="1"/>
                  <c:pt idx="0">
                    <c:v>0.12250712461439517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Spectral!$T$29</c:f>
                <c:numCache>
                  <c:formatCode>General</c:formatCode>
                  <c:ptCount val="1"/>
                  <c:pt idx="0">
                    <c:v>2.2249718136805945</c:v>
                  </c:pt>
                </c:numCache>
              </c:numRef>
            </c:plus>
            <c:minus>
              <c:numRef>
                <c:f>Spectral!$T$29</c:f>
                <c:numCache>
                  <c:formatCode>General</c:formatCode>
                  <c:ptCount val="1"/>
                  <c:pt idx="0">
                    <c:v>2.2249718136805945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GUE_all!$F$104</c:f>
              <c:numCache>
                <c:formatCode>0.00</c:formatCode>
                <c:ptCount val="1"/>
                <c:pt idx="0">
                  <c:v>99.070406022095511</c:v>
                </c:pt>
              </c:numCache>
            </c:numRef>
          </c:xVal>
          <c:yVal>
            <c:numRef>
              <c:f>Spectral!$T$28</c:f>
              <c:numCache>
                <c:formatCode>0.00</c:formatCode>
                <c:ptCount val="1"/>
                <c:pt idx="0">
                  <c:v>21.143796751174861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61B-4FE1-92CA-2AF6503B4504}"/>
            </c:ext>
          </c:extLst>
        </c:ser>
        <c:ser>
          <c:idx val="17"/>
          <c:order val="25"/>
          <c:tx>
            <c:strRef>
              <c:f>Spectral!$T$30</c:f>
              <c:strCache>
                <c:ptCount val="1"/>
                <c:pt idx="0">
                  <c:v>A_91_TM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B1EE2D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GUE_all!$F$153</c:f>
                <c:numCache>
                  <c:formatCode>General</c:formatCode>
                  <c:ptCount val="1"/>
                  <c:pt idx="0">
                    <c:v>0.23337877767773202</c:v>
                  </c:pt>
                </c:numCache>
              </c:numRef>
            </c:plus>
            <c:minus>
              <c:numRef>
                <c:f>GUE_all!$F$153</c:f>
                <c:numCache>
                  <c:formatCode>General</c:formatCode>
                  <c:ptCount val="1"/>
                  <c:pt idx="0">
                    <c:v>0.23337877767773202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Spectral!$T$39</c:f>
                <c:numCache>
                  <c:formatCode>General</c:formatCode>
                  <c:ptCount val="1"/>
                  <c:pt idx="0">
                    <c:v>2.7911753127012826</c:v>
                  </c:pt>
                </c:numCache>
              </c:numRef>
            </c:plus>
            <c:minus>
              <c:numRef>
                <c:f>Spectral!$T$39</c:f>
                <c:numCache>
                  <c:formatCode>General</c:formatCode>
                  <c:ptCount val="1"/>
                  <c:pt idx="0">
                    <c:v>2.7911753127012826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xVal>
            <c:numRef>
              <c:f>GUE_all!$F$152</c:f>
              <c:numCache>
                <c:formatCode>0.00</c:formatCode>
                <c:ptCount val="1"/>
                <c:pt idx="0">
                  <c:v>97.849476671103162</c:v>
                </c:pt>
              </c:numCache>
            </c:numRef>
          </c:xVal>
          <c:yVal>
            <c:numRef>
              <c:f>Spectral!$T$38</c:f>
              <c:numCache>
                <c:formatCode>0.00</c:formatCode>
                <c:ptCount val="1"/>
                <c:pt idx="0">
                  <c:v>27.445822290815514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61B-4FE1-92CA-2AF6503B4504}"/>
            </c:ext>
          </c:extLst>
        </c:ser>
        <c:ser>
          <c:idx val="22"/>
          <c:order val="26"/>
          <c:tx>
            <c:strRef>
              <c:f>Spectral!$T$40</c:f>
              <c:strCache>
                <c:ptCount val="1"/>
                <c:pt idx="0">
                  <c:v>A_01_TM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GUE_all!$F$201</c:f>
                <c:numCache>
                  <c:formatCode>General</c:formatCode>
                  <c:ptCount val="1"/>
                  <c:pt idx="0">
                    <c:v>0.27449026131463011</c:v>
                  </c:pt>
                </c:numCache>
              </c:numRef>
            </c:plus>
            <c:minus>
              <c:numRef>
                <c:f>GUE_all!$F$201</c:f>
                <c:numCache>
                  <c:formatCode>General</c:formatCode>
                  <c:ptCount val="1"/>
                  <c:pt idx="0">
                    <c:v>0.27449026131463011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Spectral!$T$49</c:f>
                <c:numCache>
                  <c:formatCode>General</c:formatCode>
                  <c:ptCount val="1"/>
                  <c:pt idx="0">
                    <c:v>1.8769402928791199</c:v>
                  </c:pt>
                </c:numCache>
              </c:numRef>
            </c:plus>
            <c:minus>
              <c:numRef>
                <c:f>Spectral!$T$49</c:f>
                <c:numCache>
                  <c:formatCode>General</c:formatCode>
                  <c:ptCount val="1"/>
                  <c:pt idx="0">
                    <c:v>1.8769402928791199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GUE_all!$F$200</c:f>
              <c:numCache>
                <c:formatCode>0.00</c:formatCode>
                <c:ptCount val="1"/>
                <c:pt idx="0">
                  <c:v>96.233124820910405</c:v>
                </c:pt>
              </c:numCache>
            </c:numRef>
          </c:xVal>
          <c:yVal>
            <c:numRef>
              <c:f>Spectral!$T$48</c:f>
              <c:numCache>
                <c:formatCode>0.00</c:formatCode>
                <c:ptCount val="1"/>
                <c:pt idx="0">
                  <c:v>22.899238384952231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61B-4FE1-92CA-2AF6503B4504}"/>
            </c:ext>
          </c:extLst>
        </c:ser>
        <c:ser>
          <c:idx val="27"/>
          <c:order val="27"/>
          <c:tx>
            <c:strRef>
              <c:f>Spectral!$T$50</c:f>
              <c:strCache>
                <c:ptCount val="1"/>
                <c:pt idx="0">
                  <c:v>A_07_ETM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GUE_all!$F$249</c:f>
                <c:numCache>
                  <c:formatCode>General</c:formatCode>
                  <c:ptCount val="1"/>
                  <c:pt idx="0">
                    <c:v>0.24369856602539555</c:v>
                  </c:pt>
                </c:numCache>
              </c:numRef>
            </c:plus>
            <c:minus>
              <c:numRef>
                <c:f>GUE_all!$F$249</c:f>
                <c:numCache>
                  <c:formatCode>General</c:formatCode>
                  <c:ptCount val="1"/>
                  <c:pt idx="0">
                    <c:v>0.24369856602539555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Spectral!$T$59</c:f>
                <c:numCache>
                  <c:formatCode>General</c:formatCode>
                  <c:ptCount val="1"/>
                  <c:pt idx="0">
                    <c:v>2.1064966004439465</c:v>
                  </c:pt>
                </c:numCache>
              </c:numRef>
            </c:plus>
            <c:minus>
              <c:numRef>
                <c:f>Spectral!$T$59</c:f>
                <c:numCache>
                  <c:formatCode>General</c:formatCode>
                  <c:ptCount val="1"/>
                  <c:pt idx="0">
                    <c:v>2.1064966004439465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GUE_all!$F$248</c:f>
              <c:numCache>
                <c:formatCode>0.00</c:formatCode>
                <c:ptCount val="1"/>
                <c:pt idx="0">
                  <c:v>97.416530664631907</c:v>
                </c:pt>
              </c:numCache>
            </c:numRef>
          </c:xVal>
          <c:yVal>
            <c:numRef>
              <c:f>Spectral!$T$58</c:f>
              <c:numCache>
                <c:formatCode>0.00</c:formatCode>
                <c:ptCount val="1"/>
                <c:pt idx="0">
                  <c:v>21.41218831533353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C61B-4FE1-92CA-2AF6503B4504}"/>
            </c:ext>
          </c:extLst>
        </c:ser>
        <c:ser>
          <c:idx val="32"/>
          <c:order val="28"/>
          <c:tx>
            <c:strRef>
              <c:f>Spectral!$T$60</c:f>
              <c:strCache>
                <c:ptCount val="1"/>
                <c:pt idx="0">
                  <c:v>A_11_ETM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B1EE2D">
                  <a:alpha val="20000"/>
                </a:srgbClr>
              </a:solidFill>
              <a:ln w="19050">
                <a:solidFill>
                  <a:srgbClr val="B1EE2D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GUE_all!$F$297</c:f>
                <c:numCache>
                  <c:formatCode>General</c:formatCode>
                  <c:ptCount val="1"/>
                  <c:pt idx="0">
                    <c:v>0.17833862027593847</c:v>
                  </c:pt>
                </c:numCache>
              </c:numRef>
            </c:plus>
            <c:minus>
              <c:numRef>
                <c:f>GUE_all!$F$297</c:f>
                <c:numCache>
                  <c:formatCode>General</c:formatCode>
                  <c:ptCount val="1"/>
                  <c:pt idx="0">
                    <c:v>0.17833862027593847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Spectral!$T$69</c:f>
                <c:numCache>
                  <c:formatCode>General</c:formatCode>
                  <c:ptCount val="1"/>
                  <c:pt idx="0">
                    <c:v>2.8943453974213136</c:v>
                  </c:pt>
                </c:numCache>
              </c:numRef>
            </c:plus>
            <c:minus>
              <c:numRef>
                <c:f>Spectral!$T$69</c:f>
                <c:numCache>
                  <c:formatCode>General</c:formatCode>
                  <c:ptCount val="1"/>
                  <c:pt idx="0">
                    <c:v>2.8943453974213136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GUE_all!$F$296</c:f>
              <c:numCache>
                <c:formatCode>0.00</c:formatCode>
                <c:ptCount val="1"/>
                <c:pt idx="0">
                  <c:v>98.255706967375062</c:v>
                </c:pt>
              </c:numCache>
            </c:numRef>
          </c:xVal>
          <c:yVal>
            <c:numRef>
              <c:f>Spectral!$T$68</c:f>
              <c:numCache>
                <c:formatCode>0.00</c:formatCode>
                <c:ptCount val="1"/>
                <c:pt idx="0">
                  <c:v>25.532854215488271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C61B-4FE1-92CA-2AF6503B4504}"/>
            </c:ext>
          </c:extLst>
        </c:ser>
        <c:ser>
          <c:idx val="37"/>
          <c:order val="29"/>
          <c:tx>
            <c:strRef>
              <c:f>Spectral!$T$70</c:f>
              <c:strCache>
                <c:ptCount val="1"/>
                <c:pt idx="0">
                  <c:v>A_15_OLI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GUE_all!$F$345</c:f>
                <c:numCache>
                  <c:formatCode>General</c:formatCode>
                  <c:ptCount val="1"/>
                  <c:pt idx="0">
                    <c:v>0.1962703031173918</c:v>
                  </c:pt>
                </c:numCache>
              </c:numRef>
            </c:plus>
            <c:minus>
              <c:numRef>
                <c:f>GUE_all!$F$345</c:f>
                <c:numCache>
                  <c:formatCode>General</c:formatCode>
                  <c:ptCount val="1"/>
                  <c:pt idx="0">
                    <c:v>0.1962703031173918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Spectral!$T$79</c:f>
                <c:numCache>
                  <c:formatCode>General</c:formatCode>
                  <c:ptCount val="1"/>
                  <c:pt idx="0">
                    <c:v>8.966483770340524</c:v>
                  </c:pt>
                </c:numCache>
              </c:numRef>
            </c:plus>
            <c:minus>
              <c:numRef>
                <c:f>Spectral!$T$79</c:f>
                <c:numCache>
                  <c:formatCode>General</c:formatCode>
                  <c:ptCount val="1"/>
                  <c:pt idx="0">
                    <c:v>8.966483770340524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GUE_all!$F$344</c:f>
              <c:numCache>
                <c:formatCode>0.00</c:formatCode>
                <c:ptCount val="1"/>
                <c:pt idx="0">
                  <c:v>98.10862801209457</c:v>
                </c:pt>
              </c:numCache>
            </c:numRef>
          </c:xVal>
          <c:yVal>
            <c:numRef>
              <c:f>Spectral!$T$78</c:f>
              <c:numCache>
                <c:formatCode>0.00</c:formatCode>
                <c:ptCount val="1"/>
                <c:pt idx="0">
                  <c:v>31.947233145551646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C61B-4FE1-92CA-2AF6503B4504}"/>
            </c:ext>
          </c:extLst>
        </c:ser>
        <c:ser>
          <c:idx val="54"/>
          <c:order val="30"/>
          <c:tx>
            <c:strRef>
              <c:f>Spectral!$T$80</c:f>
              <c:strCache>
                <c:ptCount val="1"/>
                <c:pt idx="0">
                  <c:v>A_19_OLI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B1EE2D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GUE_all!$F$393</c:f>
                <c:numCache>
                  <c:formatCode>General</c:formatCode>
                  <c:ptCount val="1"/>
                  <c:pt idx="0">
                    <c:v>0.15757504827245009</c:v>
                  </c:pt>
                </c:numCache>
              </c:numRef>
            </c:plus>
            <c:minus>
              <c:numRef>
                <c:f>GUE_all!$F$393</c:f>
                <c:numCache>
                  <c:formatCode>General</c:formatCode>
                  <c:ptCount val="1"/>
                  <c:pt idx="0">
                    <c:v>0.15757504827245009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Spectral!$T$89</c:f>
                <c:numCache>
                  <c:formatCode>General</c:formatCode>
                  <c:ptCount val="1"/>
                  <c:pt idx="0">
                    <c:v>6.4533191130203091</c:v>
                  </c:pt>
                </c:numCache>
              </c:numRef>
            </c:plus>
            <c:minus>
              <c:numRef>
                <c:f>Spectral!$T$89</c:f>
                <c:numCache>
                  <c:formatCode>General</c:formatCode>
                  <c:ptCount val="1"/>
                  <c:pt idx="0">
                    <c:v>6.4533191130203091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GUE_all!$F$392</c:f>
              <c:numCache>
                <c:formatCode>0.00</c:formatCode>
                <c:ptCount val="1"/>
                <c:pt idx="0">
                  <c:v>98.645320548660123</c:v>
                </c:pt>
              </c:numCache>
            </c:numRef>
          </c:xVal>
          <c:yVal>
            <c:numRef>
              <c:f>Spectral!$T$88</c:f>
              <c:numCache>
                <c:formatCode>0.00</c:formatCode>
                <c:ptCount val="1"/>
                <c:pt idx="0">
                  <c:v>31.372184533165857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C61B-4FE1-92CA-2AF6503B4504}"/>
            </c:ext>
          </c:extLst>
        </c:ser>
        <c:ser>
          <c:idx val="46"/>
          <c:order val="31"/>
          <c:tx>
            <c:strRef>
              <c:f>Spectral!$T$90</c:f>
              <c:strCache>
                <c:ptCount val="1"/>
                <c:pt idx="0">
                  <c:v>A_19_MSI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GUE_all!$F$441</c:f>
                <c:numCache>
                  <c:formatCode>General</c:formatCode>
                  <c:ptCount val="1"/>
                  <c:pt idx="0">
                    <c:v>0.22064334206217287</c:v>
                  </c:pt>
                </c:numCache>
              </c:numRef>
            </c:plus>
            <c:minus>
              <c:numRef>
                <c:f>GUE_all!$F$441</c:f>
                <c:numCache>
                  <c:formatCode>General</c:formatCode>
                  <c:ptCount val="1"/>
                  <c:pt idx="0">
                    <c:v>0.22064334206217287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Spectral!$T$103</c:f>
                <c:numCache>
                  <c:formatCode>General</c:formatCode>
                  <c:ptCount val="1"/>
                  <c:pt idx="0">
                    <c:v>3.7343458748775236</c:v>
                  </c:pt>
                </c:numCache>
              </c:numRef>
            </c:plus>
            <c:minus>
              <c:numRef>
                <c:f>Spectral!$T$103</c:f>
                <c:numCache>
                  <c:formatCode>General</c:formatCode>
                  <c:ptCount val="1"/>
                  <c:pt idx="0">
                    <c:v>3.7343458748775236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GUE_all!$F$440</c:f>
              <c:numCache>
                <c:formatCode>0.00</c:formatCode>
                <c:ptCount val="1"/>
                <c:pt idx="0">
                  <c:v>96.511824070071413</c:v>
                </c:pt>
              </c:numCache>
            </c:numRef>
          </c:xVal>
          <c:yVal>
            <c:numRef>
              <c:f>Spectral!$T$102</c:f>
              <c:numCache>
                <c:formatCode>0.00</c:formatCode>
                <c:ptCount val="1"/>
                <c:pt idx="0">
                  <c:v>25.940649549248025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C61B-4FE1-92CA-2AF6503B4504}"/>
            </c:ext>
          </c:extLst>
        </c:ser>
        <c:ser>
          <c:idx val="51"/>
          <c:order val="32"/>
          <c:tx>
            <c:strRef>
              <c:f>Spectral!$T$104</c:f>
              <c:strCache>
                <c:ptCount val="1"/>
                <c:pt idx="0">
                  <c:v>A_24_MSI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31750" cmpd="dbl">
                <a:solidFill>
                  <a:srgbClr val="B1EE2D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GUE_all!$F$489</c:f>
                <c:numCache>
                  <c:formatCode>General</c:formatCode>
                  <c:ptCount val="1"/>
                  <c:pt idx="0">
                    <c:v>0.21753413587565898</c:v>
                  </c:pt>
                </c:numCache>
              </c:numRef>
            </c:plus>
            <c:minus>
              <c:numRef>
                <c:f>GUE_all!$F$489</c:f>
                <c:numCache>
                  <c:formatCode>General</c:formatCode>
                  <c:ptCount val="1"/>
                  <c:pt idx="0">
                    <c:v>0.21753413587565898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Spectral!$T$117</c:f>
                <c:numCache>
                  <c:formatCode>General</c:formatCode>
                  <c:ptCount val="1"/>
                  <c:pt idx="0">
                    <c:v>3.1642133826465542</c:v>
                  </c:pt>
                </c:numCache>
              </c:numRef>
            </c:plus>
            <c:minus>
              <c:numRef>
                <c:f>Spectral!$T$117</c:f>
                <c:numCache>
                  <c:formatCode>General</c:formatCode>
                  <c:ptCount val="1"/>
                  <c:pt idx="0">
                    <c:v>3.1642133826465542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GUE_all!$F$488</c:f>
              <c:numCache>
                <c:formatCode>0.00</c:formatCode>
                <c:ptCount val="1"/>
                <c:pt idx="0">
                  <c:v>97.244615938680781</c:v>
                </c:pt>
              </c:numCache>
            </c:numRef>
          </c:xVal>
          <c:yVal>
            <c:numRef>
              <c:f>Spectral!$T$116</c:f>
              <c:numCache>
                <c:formatCode>0.00</c:formatCode>
                <c:ptCount val="1"/>
                <c:pt idx="0">
                  <c:v>23.433082795546746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C61B-4FE1-92CA-2AF6503B4504}"/>
            </c:ext>
          </c:extLst>
        </c:ser>
        <c:ser>
          <c:idx val="0"/>
          <c:order val="33"/>
          <c:tx>
            <c:strRef>
              <c:f>Spectral!$U$4</c:f>
              <c:strCache>
                <c:ptCount val="1"/>
                <c:pt idx="0">
                  <c:v>F_77_MSS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GUE_all!$G$9</c:f>
                <c:numCache>
                  <c:formatCode>General</c:formatCode>
                  <c:ptCount val="1"/>
                  <c:pt idx="0">
                    <c:v>1.8837822882175099</c:v>
                  </c:pt>
                </c:numCache>
              </c:numRef>
            </c:plus>
            <c:minus>
              <c:numRef>
                <c:f>GUE_all!$G$9</c:f>
                <c:numCache>
                  <c:formatCode>General</c:formatCode>
                  <c:ptCount val="1"/>
                  <c:pt idx="0">
                    <c:v>1.8837822882175099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Spectral!$U$11</c:f>
                <c:numCache>
                  <c:formatCode>General</c:formatCode>
                  <c:ptCount val="1"/>
                  <c:pt idx="0">
                    <c:v>1.9166030196568293</c:v>
                  </c:pt>
                </c:numCache>
              </c:numRef>
            </c:plus>
            <c:minus>
              <c:numRef>
                <c:f>Spectral!$U$11</c:f>
                <c:numCache>
                  <c:formatCode>General</c:formatCode>
                  <c:ptCount val="1"/>
                  <c:pt idx="0">
                    <c:v>1.9166030196568293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GUE_all!$G$8</c:f>
              <c:numCache>
                <c:formatCode>0.00</c:formatCode>
                <c:ptCount val="1"/>
                <c:pt idx="0">
                  <c:v>89.665278305413196</c:v>
                </c:pt>
              </c:numCache>
            </c:numRef>
          </c:xVal>
          <c:yVal>
            <c:numRef>
              <c:f>Spectral!$U$10</c:f>
              <c:numCache>
                <c:formatCode>0.00</c:formatCode>
                <c:ptCount val="1"/>
                <c:pt idx="0">
                  <c:v>23.81734070021092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C61B-4FE1-92CA-2AF6503B4504}"/>
            </c:ext>
          </c:extLst>
        </c:ser>
        <c:ser>
          <c:idx val="4"/>
          <c:order val="34"/>
          <c:tx>
            <c:strRef>
              <c:f>Spectral!$U$12</c:f>
              <c:strCache>
                <c:ptCount val="1"/>
                <c:pt idx="0">
                  <c:v>F_88_MSS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GUE_all!$G$57</c:f>
                <c:numCache>
                  <c:formatCode>General</c:formatCode>
                  <c:ptCount val="1"/>
                  <c:pt idx="0">
                    <c:v>3.0705092571012704</c:v>
                  </c:pt>
                </c:numCache>
              </c:numRef>
            </c:plus>
            <c:minus>
              <c:numRef>
                <c:f>GUE_all!$G$57</c:f>
                <c:numCache>
                  <c:formatCode>General</c:formatCode>
                  <c:ptCount val="1"/>
                  <c:pt idx="0">
                    <c:v>3.0705092571012704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Spectral!$U$19</c:f>
                <c:numCache>
                  <c:formatCode>General</c:formatCode>
                  <c:ptCount val="1"/>
                  <c:pt idx="0">
                    <c:v>1.2836906631246643</c:v>
                  </c:pt>
                </c:numCache>
              </c:numRef>
            </c:plus>
            <c:minus>
              <c:numRef>
                <c:f>Spectral!$U$19</c:f>
                <c:numCache>
                  <c:formatCode>General</c:formatCode>
                  <c:ptCount val="1"/>
                  <c:pt idx="0">
                    <c:v>1.2836906631246643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prstDash val="solid"/>
                <a:round/>
              </a:ln>
              <a:effectLst/>
            </c:spPr>
          </c:errBars>
          <c:xVal>
            <c:numRef>
              <c:f>GUE_all!$G$56</c:f>
              <c:numCache>
                <c:formatCode>0.00</c:formatCode>
                <c:ptCount val="1"/>
                <c:pt idx="0">
                  <c:v>82.884240549199234</c:v>
                </c:pt>
              </c:numCache>
            </c:numRef>
          </c:xVal>
          <c:yVal>
            <c:numRef>
              <c:f>Spectral!$U$18</c:f>
              <c:numCache>
                <c:formatCode>0.00</c:formatCode>
                <c:ptCount val="1"/>
                <c:pt idx="0">
                  <c:v>16.47327090033437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C61B-4FE1-92CA-2AF6503B4504}"/>
            </c:ext>
          </c:extLst>
        </c:ser>
        <c:ser>
          <c:idx val="13"/>
          <c:order val="35"/>
          <c:tx>
            <c:strRef>
              <c:f>Spectral!$U$20</c:f>
              <c:strCache>
                <c:ptCount val="1"/>
                <c:pt idx="0">
                  <c:v>F_88_TM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 cmpd="sng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GUE_all!$G$105</c:f>
                <c:numCache>
                  <c:formatCode>General</c:formatCode>
                  <c:ptCount val="1"/>
                  <c:pt idx="0">
                    <c:v>0.75844646730943432</c:v>
                  </c:pt>
                </c:numCache>
              </c:numRef>
            </c:plus>
            <c:minus>
              <c:numRef>
                <c:f>GUE_all!$G$105</c:f>
                <c:numCache>
                  <c:formatCode>General</c:formatCode>
                  <c:ptCount val="1"/>
                  <c:pt idx="0">
                    <c:v>0.75844646730943432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Spectral!$U$29</c:f>
                <c:numCache>
                  <c:formatCode>General</c:formatCode>
                  <c:ptCount val="1"/>
                  <c:pt idx="0">
                    <c:v>2.6079781071324768</c:v>
                  </c:pt>
                </c:numCache>
              </c:numRef>
            </c:plus>
            <c:minus>
              <c:numRef>
                <c:f>Spectral!$U$29</c:f>
                <c:numCache>
                  <c:formatCode>General</c:formatCode>
                  <c:ptCount val="1"/>
                  <c:pt idx="0">
                    <c:v>2.6079781071324768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GUE_all!$G$104</c:f>
              <c:numCache>
                <c:formatCode>0.00</c:formatCode>
                <c:ptCount val="1"/>
                <c:pt idx="0">
                  <c:v>90.800359491934117</c:v>
                </c:pt>
              </c:numCache>
            </c:numRef>
          </c:xVal>
          <c:yVal>
            <c:numRef>
              <c:f>Spectral!$U$28</c:f>
              <c:numCache>
                <c:formatCode>0.00</c:formatCode>
                <c:ptCount val="1"/>
                <c:pt idx="0">
                  <c:v>26.891461242597615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C61B-4FE1-92CA-2AF6503B4504}"/>
            </c:ext>
          </c:extLst>
        </c:ser>
        <c:ser>
          <c:idx val="18"/>
          <c:order val="36"/>
          <c:tx>
            <c:strRef>
              <c:f>Spectral!$U$30</c:f>
              <c:strCache>
                <c:ptCount val="1"/>
                <c:pt idx="0">
                  <c:v>F_91_TM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GUE_all!$G$153</c:f>
                <c:numCache>
                  <c:formatCode>General</c:formatCode>
                  <c:ptCount val="1"/>
                  <c:pt idx="0">
                    <c:v>0.63536852981085323</c:v>
                  </c:pt>
                </c:numCache>
              </c:numRef>
            </c:plus>
            <c:minus>
              <c:numRef>
                <c:f>GUE_all!$G$153</c:f>
                <c:numCache>
                  <c:formatCode>General</c:formatCode>
                  <c:ptCount val="1"/>
                  <c:pt idx="0">
                    <c:v>0.63536852981085323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Spectral!$U$39</c:f>
                <c:numCache>
                  <c:formatCode>General</c:formatCode>
                  <c:ptCount val="1"/>
                  <c:pt idx="0">
                    <c:v>2.5554672323550016</c:v>
                  </c:pt>
                </c:numCache>
              </c:numRef>
            </c:plus>
            <c:minus>
              <c:numRef>
                <c:f>Spectral!$U$39</c:f>
                <c:numCache>
                  <c:formatCode>General</c:formatCode>
                  <c:ptCount val="1"/>
                  <c:pt idx="0">
                    <c:v>2.5554672323550016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prstDash val="sysDash"/>
                <a:round/>
              </a:ln>
              <a:effectLst/>
            </c:spPr>
          </c:errBars>
          <c:xVal>
            <c:numRef>
              <c:f>GUE_all!$G$152</c:f>
              <c:numCache>
                <c:formatCode>0.00</c:formatCode>
                <c:ptCount val="1"/>
                <c:pt idx="0">
                  <c:v>91.653706329224988</c:v>
                </c:pt>
              </c:numCache>
            </c:numRef>
          </c:xVal>
          <c:yVal>
            <c:numRef>
              <c:f>Spectral!$U$38</c:f>
              <c:numCache>
                <c:formatCode>0.00</c:formatCode>
                <c:ptCount val="1"/>
                <c:pt idx="0">
                  <c:v>24.685920278983431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C61B-4FE1-92CA-2AF6503B4504}"/>
            </c:ext>
          </c:extLst>
        </c:ser>
        <c:ser>
          <c:idx val="23"/>
          <c:order val="37"/>
          <c:tx>
            <c:strRef>
              <c:f>Spectral!$U$40</c:f>
              <c:strCache>
                <c:ptCount val="1"/>
                <c:pt idx="0">
                  <c:v>F_01_TM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GUE_all!$G$201</c:f>
                <c:numCache>
                  <c:formatCode>General</c:formatCode>
                  <c:ptCount val="1"/>
                  <c:pt idx="0">
                    <c:v>0.81264922131588224</c:v>
                  </c:pt>
                </c:numCache>
              </c:numRef>
            </c:plus>
            <c:minus>
              <c:numRef>
                <c:f>GUE_all!$G$201</c:f>
                <c:numCache>
                  <c:formatCode>General</c:formatCode>
                  <c:ptCount val="1"/>
                  <c:pt idx="0">
                    <c:v>0.81264922131588224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Spectral!$U$49</c:f>
                <c:numCache>
                  <c:formatCode>General</c:formatCode>
                  <c:ptCount val="1"/>
                  <c:pt idx="0">
                    <c:v>3.9211099471040907</c:v>
                  </c:pt>
                </c:numCache>
              </c:numRef>
            </c:plus>
            <c:minus>
              <c:numRef>
                <c:f>Spectral!$U$49</c:f>
                <c:numCache>
                  <c:formatCode>General</c:formatCode>
                  <c:ptCount val="1"/>
                  <c:pt idx="0">
                    <c:v>3.9211099471040907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GUE_all!$G$200</c:f>
              <c:numCache>
                <c:formatCode>0.00</c:formatCode>
                <c:ptCount val="1"/>
                <c:pt idx="0">
                  <c:v>89.990530339464598</c:v>
                </c:pt>
              </c:numCache>
            </c:numRef>
          </c:xVal>
          <c:yVal>
            <c:numRef>
              <c:f>Spectral!$U$48</c:f>
              <c:numCache>
                <c:formatCode>0.00</c:formatCode>
                <c:ptCount val="1"/>
                <c:pt idx="0">
                  <c:v>35.031567568554081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C61B-4FE1-92CA-2AF6503B4504}"/>
            </c:ext>
          </c:extLst>
        </c:ser>
        <c:ser>
          <c:idx val="28"/>
          <c:order val="38"/>
          <c:tx>
            <c:strRef>
              <c:f>Spectral!$U$50</c:f>
              <c:strCache>
                <c:ptCount val="1"/>
                <c:pt idx="0">
                  <c:v>F_07_ETM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GUE_all!$G$249</c:f>
                <c:numCache>
                  <c:formatCode>General</c:formatCode>
                  <c:ptCount val="1"/>
                  <c:pt idx="0">
                    <c:v>0.92824244358332397</c:v>
                  </c:pt>
                </c:numCache>
              </c:numRef>
            </c:plus>
            <c:minus>
              <c:numRef>
                <c:f>GUE_all!$G$249</c:f>
                <c:numCache>
                  <c:formatCode>General</c:formatCode>
                  <c:ptCount val="1"/>
                  <c:pt idx="0">
                    <c:v>0.92824244358332397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Spectral!$U$59</c:f>
                <c:numCache>
                  <c:formatCode>General</c:formatCode>
                  <c:ptCount val="1"/>
                  <c:pt idx="0">
                    <c:v>2.4918802702796192</c:v>
                  </c:pt>
                </c:numCache>
              </c:numRef>
            </c:plus>
            <c:minus>
              <c:numRef>
                <c:f>Spectral!$U$59</c:f>
                <c:numCache>
                  <c:formatCode>General</c:formatCode>
                  <c:ptCount val="1"/>
                  <c:pt idx="0">
                    <c:v>2.4918802702796192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GUE_all!$G$248</c:f>
              <c:numCache>
                <c:formatCode>0.00</c:formatCode>
                <c:ptCount val="1"/>
                <c:pt idx="0">
                  <c:v>87.705836516974827</c:v>
                </c:pt>
              </c:numCache>
            </c:numRef>
          </c:xVal>
          <c:yVal>
            <c:numRef>
              <c:f>Spectral!$U$58</c:f>
              <c:numCache>
                <c:formatCode>0.00</c:formatCode>
                <c:ptCount val="1"/>
                <c:pt idx="0">
                  <c:v>23.407137197356654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C61B-4FE1-92CA-2AF6503B4504}"/>
            </c:ext>
          </c:extLst>
        </c:ser>
        <c:ser>
          <c:idx val="33"/>
          <c:order val="39"/>
          <c:tx>
            <c:strRef>
              <c:f>Spectral!$U$60</c:f>
              <c:strCache>
                <c:ptCount val="1"/>
                <c:pt idx="0">
                  <c:v>F_11_ETM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149721">
                  <a:alpha val="20000"/>
                </a:srgbClr>
              </a:solidFill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GUE_all!$G$297</c:f>
                <c:numCache>
                  <c:formatCode>General</c:formatCode>
                  <c:ptCount val="1"/>
                  <c:pt idx="0">
                    <c:v>0.62950154269041958</c:v>
                  </c:pt>
                </c:numCache>
              </c:numRef>
            </c:plus>
            <c:minus>
              <c:numRef>
                <c:f>GUE_all!$G$297</c:f>
                <c:numCache>
                  <c:formatCode>General</c:formatCode>
                  <c:ptCount val="1"/>
                  <c:pt idx="0">
                    <c:v>0.62950154269041958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Spectral!$U$69</c:f>
                <c:numCache>
                  <c:formatCode>General</c:formatCode>
                  <c:ptCount val="1"/>
                  <c:pt idx="0">
                    <c:v>2.1211777523564672</c:v>
                  </c:pt>
                </c:numCache>
              </c:numRef>
            </c:plus>
            <c:minus>
              <c:numRef>
                <c:f>Spectral!$U$69</c:f>
                <c:numCache>
                  <c:formatCode>General</c:formatCode>
                  <c:ptCount val="1"/>
                  <c:pt idx="0">
                    <c:v>2.1211777523564672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GUE_all!$G$296</c:f>
              <c:numCache>
                <c:formatCode>0.00</c:formatCode>
                <c:ptCount val="1"/>
                <c:pt idx="0">
                  <c:v>92.79570408854471</c:v>
                </c:pt>
              </c:numCache>
            </c:numRef>
          </c:xVal>
          <c:yVal>
            <c:numRef>
              <c:f>Spectral!$U$68</c:f>
              <c:numCache>
                <c:formatCode>0.00</c:formatCode>
                <c:ptCount val="1"/>
                <c:pt idx="0">
                  <c:v>31.744930059984856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C61B-4FE1-92CA-2AF6503B4504}"/>
            </c:ext>
          </c:extLst>
        </c:ser>
        <c:ser>
          <c:idx val="38"/>
          <c:order val="40"/>
          <c:tx>
            <c:strRef>
              <c:f>Spectral!$U$70</c:f>
              <c:strCache>
                <c:ptCount val="1"/>
                <c:pt idx="0">
                  <c:v>F_15_OLI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GUE_all!$G$345</c:f>
                <c:numCache>
                  <c:formatCode>General</c:formatCode>
                  <c:ptCount val="1"/>
                  <c:pt idx="0">
                    <c:v>0.56012779103475796</c:v>
                  </c:pt>
                </c:numCache>
              </c:numRef>
            </c:plus>
            <c:minus>
              <c:numRef>
                <c:f>GUE_all!$G$345</c:f>
                <c:numCache>
                  <c:formatCode>General</c:formatCode>
                  <c:ptCount val="1"/>
                  <c:pt idx="0">
                    <c:v>0.56012779103475796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Spectral!$U$79</c:f>
                <c:numCache>
                  <c:formatCode>General</c:formatCode>
                  <c:ptCount val="1"/>
                  <c:pt idx="0">
                    <c:v>4.9485520235958189</c:v>
                  </c:pt>
                </c:numCache>
              </c:numRef>
            </c:plus>
            <c:minus>
              <c:numRef>
                <c:f>Spectral!$U$79</c:f>
                <c:numCache>
                  <c:formatCode>General</c:formatCode>
                  <c:ptCount val="1"/>
                  <c:pt idx="0">
                    <c:v>4.9485520235958189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GUE_all!$G$344</c:f>
              <c:numCache>
                <c:formatCode>0.00</c:formatCode>
                <c:ptCount val="1"/>
                <c:pt idx="0">
                  <c:v>91.057906828471317</c:v>
                </c:pt>
              </c:numCache>
            </c:numRef>
          </c:xVal>
          <c:yVal>
            <c:numRef>
              <c:f>Spectral!$U$78</c:f>
              <c:numCache>
                <c:formatCode>0.00</c:formatCode>
                <c:ptCount val="1"/>
                <c:pt idx="0">
                  <c:v>41.123387130684605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C61B-4FE1-92CA-2AF6503B4504}"/>
            </c:ext>
          </c:extLst>
        </c:ser>
        <c:ser>
          <c:idx val="42"/>
          <c:order val="41"/>
          <c:tx>
            <c:strRef>
              <c:f>Spectral!$U$80</c:f>
              <c:strCache>
                <c:ptCount val="1"/>
                <c:pt idx="0">
                  <c:v>F_19_OLI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49721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GUE_all!$G$393</c:f>
                <c:numCache>
                  <c:formatCode>General</c:formatCode>
                  <c:ptCount val="1"/>
                  <c:pt idx="0">
                    <c:v>0.61769872118223768</c:v>
                  </c:pt>
                </c:numCache>
              </c:numRef>
            </c:plus>
            <c:minus>
              <c:numRef>
                <c:f>GUE_all!$G$393</c:f>
                <c:numCache>
                  <c:formatCode>General</c:formatCode>
                  <c:ptCount val="1"/>
                  <c:pt idx="0">
                    <c:v>0.61769872118223768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Spectral!$U$89</c:f>
                <c:numCache>
                  <c:formatCode>General</c:formatCode>
                  <c:ptCount val="1"/>
                  <c:pt idx="0">
                    <c:v>3.615220964806332</c:v>
                  </c:pt>
                </c:numCache>
              </c:numRef>
            </c:plus>
            <c:minus>
              <c:numRef>
                <c:f>Spectral!$U$89</c:f>
                <c:numCache>
                  <c:formatCode>General</c:formatCode>
                  <c:ptCount val="1"/>
                  <c:pt idx="0">
                    <c:v>3.615220964806332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GUE_all!$G$392</c:f>
              <c:numCache>
                <c:formatCode>0.00</c:formatCode>
                <c:ptCount val="1"/>
                <c:pt idx="0">
                  <c:v>90.671866871729094</c:v>
                </c:pt>
              </c:numCache>
            </c:numRef>
          </c:xVal>
          <c:yVal>
            <c:numRef>
              <c:f>Spectral!$U$88</c:f>
              <c:numCache>
                <c:formatCode>0.00</c:formatCode>
                <c:ptCount val="1"/>
                <c:pt idx="0">
                  <c:v>36.555798053651458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C61B-4FE1-92CA-2AF6503B4504}"/>
            </c:ext>
          </c:extLst>
        </c:ser>
        <c:ser>
          <c:idx val="47"/>
          <c:order val="42"/>
          <c:tx>
            <c:strRef>
              <c:f>Spectral!$U$90</c:f>
              <c:strCache>
                <c:ptCount val="1"/>
                <c:pt idx="0">
                  <c:v>F_19_MSI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GUE_all!$G$441</c:f>
                <c:numCache>
                  <c:formatCode>General</c:formatCode>
                  <c:ptCount val="1"/>
                  <c:pt idx="0">
                    <c:v>0.92250358661704734</c:v>
                  </c:pt>
                </c:numCache>
              </c:numRef>
            </c:plus>
            <c:minus>
              <c:numRef>
                <c:f>GUE_all!$G$441</c:f>
                <c:numCache>
                  <c:formatCode>General</c:formatCode>
                  <c:ptCount val="1"/>
                  <c:pt idx="0">
                    <c:v>0.92250358661704734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Spectral!$U$103</c:f>
                <c:numCache>
                  <c:formatCode>General</c:formatCode>
                  <c:ptCount val="1"/>
                  <c:pt idx="0">
                    <c:v>3.2394833238142047</c:v>
                  </c:pt>
                </c:numCache>
              </c:numRef>
            </c:plus>
            <c:minus>
              <c:numRef>
                <c:f>Spectral!$U$103</c:f>
                <c:numCache>
                  <c:formatCode>General</c:formatCode>
                  <c:ptCount val="1"/>
                  <c:pt idx="0">
                    <c:v>3.2394833238142047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GUE_all!$G$440</c:f>
              <c:numCache>
                <c:formatCode>0.00</c:formatCode>
                <c:ptCount val="1"/>
                <c:pt idx="0">
                  <c:v>88.432238235359179</c:v>
                </c:pt>
              </c:numCache>
            </c:numRef>
          </c:xVal>
          <c:yVal>
            <c:numRef>
              <c:f>Spectral!$U$102</c:f>
              <c:numCache>
                <c:formatCode>0.00</c:formatCode>
                <c:ptCount val="1"/>
                <c:pt idx="0">
                  <c:v>23.665037359442433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C61B-4FE1-92CA-2AF6503B4504}"/>
            </c:ext>
          </c:extLst>
        </c:ser>
        <c:ser>
          <c:idx val="52"/>
          <c:order val="43"/>
          <c:tx>
            <c:strRef>
              <c:f>Spectral!$U$104</c:f>
              <c:strCache>
                <c:ptCount val="1"/>
                <c:pt idx="0">
                  <c:v>F_24_MSI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31750" cmpd="dbl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GUE_all!$G$489</c:f>
                <c:numCache>
                  <c:formatCode>General</c:formatCode>
                  <c:ptCount val="1"/>
                  <c:pt idx="0">
                    <c:v>0.66504223515134753</c:v>
                  </c:pt>
                </c:numCache>
              </c:numRef>
            </c:plus>
            <c:minus>
              <c:numRef>
                <c:f>GUE_all!$G$489</c:f>
                <c:numCache>
                  <c:formatCode>General</c:formatCode>
                  <c:ptCount val="1"/>
                  <c:pt idx="0">
                    <c:v>0.66504223515134753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Spectral!$U$117</c:f>
                <c:numCache>
                  <c:formatCode>General</c:formatCode>
                  <c:ptCount val="1"/>
                  <c:pt idx="0">
                    <c:v>1.8452266335419774</c:v>
                  </c:pt>
                </c:numCache>
              </c:numRef>
            </c:plus>
            <c:minus>
              <c:numRef>
                <c:f>Spectral!$U$117</c:f>
                <c:numCache>
                  <c:formatCode>General</c:formatCode>
                  <c:ptCount val="1"/>
                  <c:pt idx="0">
                    <c:v>1.8452266335419774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GUE_all!$G$488</c:f>
              <c:numCache>
                <c:formatCode>0.00</c:formatCode>
                <c:ptCount val="1"/>
                <c:pt idx="0">
                  <c:v>92.399490667283459</c:v>
                </c:pt>
              </c:numCache>
            </c:numRef>
          </c:xVal>
          <c:yVal>
            <c:numRef>
              <c:f>Spectral!$U$116</c:f>
              <c:numCache>
                <c:formatCode>0.00</c:formatCode>
                <c:ptCount val="1"/>
                <c:pt idx="0">
                  <c:v>20.564687449468423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C61B-4FE1-92CA-2AF6503B4504}"/>
            </c:ext>
          </c:extLst>
        </c:ser>
        <c:ser>
          <c:idx val="6"/>
          <c:order val="44"/>
          <c:tx>
            <c:strRef>
              <c:f>Spectral!$V$4</c:f>
              <c:strCache>
                <c:ptCount val="1"/>
                <c:pt idx="0">
                  <c:v>S_77_MSS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GUE_all!$H$9</c:f>
                <c:numCache>
                  <c:formatCode>General</c:formatCode>
                  <c:ptCount val="1"/>
                  <c:pt idx="0">
                    <c:v>5.3359983030271971</c:v>
                  </c:pt>
                </c:numCache>
              </c:numRef>
            </c:plus>
            <c:minus>
              <c:numRef>
                <c:f>GUE_all!$H$9</c:f>
                <c:numCache>
                  <c:formatCode>General</c:formatCode>
                  <c:ptCount val="1"/>
                  <c:pt idx="0">
                    <c:v>5.3359983030271971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Spectral!$V$11</c:f>
                <c:numCache>
                  <c:formatCode>General</c:formatCode>
                  <c:ptCount val="1"/>
                  <c:pt idx="0">
                    <c:v>0.6202129301569187</c:v>
                  </c:pt>
                </c:numCache>
              </c:numRef>
            </c:plus>
            <c:minus>
              <c:numRef>
                <c:f>Spectral!$V$11</c:f>
                <c:numCache>
                  <c:formatCode>General</c:formatCode>
                  <c:ptCount val="1"/>
                  <c:pt idx="0">
                    <c:v>0.6202129301569187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GUE_all!$H$8</c:f>
              <c:numCache>
                <c:formatCode>0.00</c:formatCode>
                <c:ptCount val="1"/>
                <c:pt idx="0">
                  <c:v>78.271776326033319</c:v>
                </c:pt>
              </c:numCache>
            </c:numRef>
          </c:xVal>
          <c:yVal>
            <c:numRef>
              <c:f>Spectral!$V$10</c:f>
              <c:numCache>
                <c:formatCode>0.00</c:formatCode>
                <c:ptCount val="1"/>
                <c:pt idx="0">
                  <c:v>18.212343519306707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C61B-4FE1-92CA-2AF6503B4504}"/>
            </c:ext>
          </c:extLst>
        </c:ser>
        <c:ser>
          <c:idx val="5"/>
          <c:order val="45"/>
          <c:tx>
            <c:strRef>
              <c:f>Spectral!$V$12</c:f>
              <c:strCache>
                <c:ptCount val="1"/>
                <c:pt idx="0">
                  <c:v>S_88_MSS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GUE_all!$H$57</c:f>
                <c:numCache>
                  <c:formatCode>General</c:formatCode>
                  <c:ptCount val="1"/>
                  <c:pt idx="0">
                    <c:v>6.98244848169601</c:v>
                  </c:pt>
                </c:numCache>
              </c:numRef>
            </c:plus>
            <c:minus>
              <c:numRef>
                <c:f>GUE_all!$H$57</c:f>
                <c:numCache>
                  <c:formatCode>General</c:formatCode>
                  <c:ptCount val="1"/>
                  <c:pt idx="0">
                    <c:v>6.98244848169601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Spectral!$V$19</c:f>
                <c:numCache>
                  <c:formatCode>General</c:formatCode>
                  <c:ptCount val="1"/>
                  <c:pt idx="0">
                    <c:v>1.1884107482268844</c:v>
                  </c:pt>
                </c:numCache>
              </c:numRef>
            </c:plus>
            <c:minus>
              <c:numRef>
                <c:f>Spectral!$V$19</c:f>
                <c:numCache>
                  <c:formatCode>General</c:formatCode>
                  <c:ptCount val="1"/>
                  <c:pt idx="0">
                    <c:v>1.1884107482268844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olid"/>
                <a:round/>
              </a:ln>
              <a:effectLst/>
            </c:spPr>
          </c:errBars>
          <c:xVal>
            <c:numRef>
              <c:f>GUE_all!$H$56</c:f>
              <c:numCache>
                <c:formatCode>0.00</c:formatCode>
                <c:ptCount val="1"/>
                <c:pt idx="0">
                  <c:v>69.380060633295685</c:v>
                </c:pt>
              </c:numCache>
            </c:numRef>
          </c:xVal>
          <c:yVal>
            <c:numRef>
              <c:f>Spectral!$V$18</c:f>
              <c:numCache>
                <c:formatCode>0.00</c:formatCode>
                <c:ptCount val="1"/>
                <c:pt idx="0">
                  <c:v>11.894668748717017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C61B-4FE1-92CA-2AF6503B4504}"/>
            </c:ext>
          </c:extLst>
        </c:ser>
        <c:ser>
          <c:idx val="14"/>
          <c:order val="46"/>
          <c:tx>
            <c:strRef>
              <c:f>Spectral!$V$20</c:f>
              <c:strCache>
                <c:ptCount val="1"/>
                <c:pt idx="0">
                  <c:v>S_88_TM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GUE_all!$H$105</c:f>
                <c:numCache>
                  <c:formatCode>General</c:formatCode>
                  <c:ptCount val="1"/>
                  <c:pt idx="0">
                    <c:v>2.4667415158523145</c:v>
                  </c:pt>
                </c:numCache>
              </c:numRef>
            </c:plus>
            <c:minus>
              <c:numRef>
                <c:f>GUE_all!$H$105</c:f>
                <c:numCache>
                  <c:formatCode>General</c:formatCode>
                  <c:ptCount val="1"/>
                  <c:pt idx="0">
                    <c:v>2.4667415158523145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Spectral!$V$29</c:f>
                <c:numCache>
                  <c:formatCode>General</c:formatCode>
                  <c:ptCount val="1"/>
                  <c:pt idx="0">
                    <c:v>0.82639815966829422</c:v>
                  </c:pt>
                </c:numCache>
              </c:numRef>
            </c:plus>
            <c:minus>
              <c:numRef>
                <c:f>Spectral!$V$29</c:f>
                <c:numCache>
                  <c:formatCode>General</c:formatCode>
                  <c:ptCount val="1"/>
                  <c:pt idx="0">
                    <c:v>0.82639815966829422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GUE_all!$H$104</c:f>
              <c:numCache>
                <c:formatCode>0.00</c:formatCode>
                <c:ptCount val="1"/>
                <c:pt idx="0">
                  <c:v>79.965486896400463</c:v>
                </c:pt>
              </c:numCache>
            </c:numRef>
          </c:xVal>
          <c:yVal>
            <c:numRef>
              <c:f>Spectral!$V$28</c:f>
              <c:numCache>
                <c:formatCode>0.00</c:formatCode>
                <c:ptCount val="1"/>
                <c:pt idx="0">
                  <c:v>14.131255860874498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C61B-4FE1-92CA-2AF6503B4504}"/>
            </c:ext>
          </c:extLst>
        </c:ser>
        <c:ser>
          <c:idx val="19"/>
          <c:order val="47"/>
          <c:tx>
            <c:strRef>
              <c:f>Spectral!$V$30</c:f>
              <c:strCache>
                <c:ptCount val="1"/>
                <c:pt idx="0">
                  <c:v>S_91_TM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Spectral!$V$39</c:f>
                <c:numCache>
                  <c:formatCode>General</c:formatCode>
                  <c:ptCount val="1"/>
                  <c:pt idx="0">
                    <c:v>0.65440490590807254</c:v>
                  </c:pt>
                </c:numCache>
              </c:numRef>
            </c:plus>
            <c:minus>
              <c:numRef>
                <c:f>Spectral!$V$39</c:f>
                <c:numCache>
                  <c:formatCode>General</c:formatCode>
                  <c:ptCount val="1"/>
                  <c:pt idx="0">
                    <c:v>0.65440490590807254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ysDot"/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GUE_all!$H$153</c:f>
                <c:numCache>
                  <c:formatCode>General</c:formatCode>
                  <c:ptCount val="1"/>
                  <c:pt idx="0">
                    <c:v>2.0471241424842521</c:v>
                  </c:pt>
                </c:numCache>
              </c:numRef>
            </c:plus>
            <c:minus>
              <c:numRef>
                <c:f>GUE_all!$H$153</c:f>
                <c:numCache>
                  <c:formatCode>General</c:formatCode>
                  <c:ptCount val="1"/>
                  <c:pt idx="0">
                    <c:v>2.0471241424842521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ysDot"/>
                <a:round/>
              </a:ln>
              <a:effectLst/>
            </c:spPr>
          </c:errBars>
          <c:xVal>
            <c:numRef>
              <c:f>GUE_all!$H$152</c:f>
              <c:numCache>
                <c:formatCode>0.00</c:formatCode>
                <c:ptCount val="1"/>
                <c:pt idx="0">
                  <c:v>88.04874879558588</c:v>
                </c:pt>
              </c:numCache>
            </c:numRef>
          </c:xVal>
          <c:yVal>
            <c:numRef>
              <c:f>Spectral!$V$38</c:f>
              <c:numCache>
                <c:formatCode>0.00</c:formatCode>
                <c:ptCount val="1"/>
                <c:pt idx="0">
                  <c:v>18.227438083691077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C61B-4FE1-92CA-2AF6503B4504}"/>
            </c:ext>
          </c:extLst>
        </c:ser>
        <c:ser>
          <c:idx val="24"/>
          <c:order val="48"/>
          <c:tx>
            <c:strRef>
              <c:f>Spectral!$V$40</c:f>
              <c:strCache>
                <c:ptCount val="1"/>
                <c:pt idx="0">
                  <c:v>S_01_TM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GUE_all!$H$201</c:f>
                <c:numCache>
                  <c:formatCode>General</c:formatCode>
                  <c:ptCount val="1"/>
                  <c:pt idx="0">
                    <c:v>1.6656578062102736</c:v>
                  </c:pt>
                </c:numCache>
              </c:numRef>
            </c:plus>
            <c:minus>
              <c:numRef>
                <c:f>GUE_all!$H$201</c:f>
                <c:numCache>
                  <c:formatCode>General</c:formatCode>
                  <c:ptCount val="1"/>
                  <c:pt idx="0">
                    <c:v>1.6656578062102736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Spectral!$V$49</c:f>
                <c:numCache>
                  <c:formatCode>General</c:formatCode>
                  <c:ptCount val="1"/>
                  <c:pt idx="0">
                    <c:v>0.63431463334685567</c:v>
                  </c:pt>
                </c:numCache>
              </c:numRef>
            </c:plus>
            <c:minus>
              <c:numRef>
                <c:f>Spectral!$V$49</c:f>
                <c:numCache>
                  <c:formatCode>General</c:formatCode>
                  <c:ptCount val="1"/>
                  <c:pt idx="0">
                    <c:v>0.63431463334685567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GUE_all!$H$200</c:f>
              <c:numCache>
                <c:formatCode>0.00</c:formatCode>
                <c:ptCount val="1"/>
                <c:pt idx="0">
                  <c:v>88.243327455260911</c:v>
                </c:pt>
              </c:numCache>
            </c:numRef>
          </c:xVal>
          <c:yVal>
            <c:numRef>
              <c:f>Spectral!$V$48</c:f>
              <c:numCache>
                <c:formatCode>0.00</c:formatCode>
                <c:ptCount val="1"/>
                <c:pt idx="0">
                  <c:v>18.511490871234294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C61B-4FE1-92CA-2AF6503B4504}"/>
            </c:ext>
          </c:extLst>
        </c:ser>
        <c:ser>
          <c:idx val="29"/>
          <c:order val="49"/>
          <c:tx>
            <c:strRef>
              <c:f>Spectral!$V$50</c:f>
              <c:strCache>
                <c:ptCount val="1"/>
                <c:pt idx="0">
                  <c:v>S_07_ETM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GUE_all!$H$249</c:f>
                <c:numCache>
                  <c:formatCode>General</c:formatCode>
                  <c:ptCount val="1"/>
                  <c:pt idx="0">
                    <c:v>2.5734091835796948</c:v>
                  </c:pt>
                </c:numCache>
              </c:numRef>
            </c:plus>
            <c:minus>
              <c:numRef>
                <c:f>GUE_all!$H$249</c:f>
                <c:numCache>
                  <c:formatCode>General</c:formatCode>
                  <c:ptCount val="1"/>
                  <c:pt idx="0">
                    <c:v>2.5734091835796948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Spectral!$V$59</c:f>
                <c:numCache>
                  <c:formatCode>General</c:formatCode>
                  <c:ptCount val="1"/>
                  <c:pt idx="0">
                    <c:v>0.86748584676805507</c:v>
                  </c:pt>
                </c:numCache>
              </c:numRef>
            </c:plus>
            <c:minus>
              <c:numRef>
                <c:f>Spectral!$V$59</c:f>
                <c:numCache>
                  <c:formatCode>General</c:formatCode>
                  <c:ptCount val="1"/>
                  <c:pt idx="0">
                    <c:v>0.86748584676805507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GUE_all!$H$248</c:f>
              <c:numCache>
                <c:formatCode>0.00</c:formatCode>
                <c:ptCount val="1"/>
                <c:pt idx="0">
                  <c:v>87.600513986293791</c:v>
                </c:pt>
              </c:numCache>
            </c:numRef>
          </c:xVal>
          <c:yVal>
            <c:numRef>
              <c:f>Spectral!$V$58</c:f>
              <c:numCache>
                <c:formatCode>0.00</c:formatCode>
                <c:ptCount val="1"/>
                <c:pt idx="0">
                  <c:v>16.810252028184919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C61B-4FE1-92CA-2AF6503B4504}"/>
            </c:ext>
          </c:extLst>
        </c:ser>
        <c:ser>
          <c:idx val="34"/>
          <c:order val="50"/>
          <c:tx>
            <c:strRef>
              <c:f>Spectral!$V$60</c:f>
              <c:strCache>
                <c:ptCount val="1"/>
                <c:pt idx="0">
                  <c:v>S_11_ETM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AD8D06">
                  <a:alpha val="20000"/>
                </a:srgbClr>
              </a:solidFill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GUE_all!$H$297</c:f>
                <c:numCache>
                  <c:formatCode>General</c:formatCode>
                  <c:ptCount val="1"/>
                  <c:pt idx="0">
                    <c:v>1.8977164103569939</c:v>
                  </c:pt>
                </c:numCache>
              </c:numRef>
            </c:plus>
            <c:minus>
              <c:numRef>
                <c:f>GUE_all!$H$297</c:f>
                <c:numCache>
                  <c:formatCode>General</c:formatCode>
                  <c:ptCount val="1"/>
                  <c:pt idx="0">
                    <c:v>1.8977164103569939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Spectral!$V$69</c:f>
                <c:numCache>
                  <c:formatCode>General</c:formatCode>
                  <c:ptCount val="1"/>
                  <c:pt idx="0">
                    <c:v>2.0478257629066197</c:v>
                  </c:pt>
                </c:numCache>
              </c:numRef>
            </c:plus>
            <c:minus>
              <c:numRef>
                <c:f>Spectral!$V$69</c:f>
                <c:numCache>
                  <c:formatCode>General</c:formatCode>
                  <c:ptCount val="1"/>
                  <c:pt idx="0">
                    <c:v>2.0478257629066197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GUE_all!$H$296</c:f>
              <c:numCache>
                <c:formatCode>0.00</c:formatCode>
                <c:ptCount val="1"/>
                <c:pt idx="0">
                  <c:v>83.237622965561343</c:v>
                </c:pt>
              </c:numCache>
            </c:numRef>
          </c:xVal>
          <c:yVal>
            <c:numRef>
              <c:f>Spectral!$V$68</c:f>
              <c:numCache>
                <c:formatCode>0.00</c:formatCode>
                <c:ptCount val="1"/>
                <c:pt idx="0">
                  <c:v>25.269453885746135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C61B-4FE1-92CA-2AF6503B4504}"/>
            </c:ext>
          </c:extLst>
        </c:ser>
        <c:ser>
          <c:idx val="39"/>
          <c:order val="51"/>
          <c:tx>
            <c:strRef>
              <c:f>Spectral!$V$70</c:f>
              <c:strCache>
                <c:ptCount val="1"/>
                <c:pt idx="0">
                  <c:v>S_15_OLI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GUE_all!$H$345</c:f>
                <c:numCache>
                  <c:formatCode>General</c:formatCode>
                  <c:ptCount val="1"/>
                  <c:pt idx="0">
                    <c:v>2.0286666977387791</c:v>
                  </c:pt>
                </c:numCache>
              </c:numRef>
            </c:plus>
            <c:minus>
              <c:numRef>
                <c:f>GUE_all!$H$345</c:f>
                <c:numCache>
                  <c:formatCode>General</c:formatCode>
                  <c:ptCount val="1"/>
                  <c:pt idx="0">
                    <c:v>2.0286666977387791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Spectral!$V$79</c:f>
                <c:numCache>
                  <c:formatCode>General</c:formatCode>
                  <c:ptCount val="1"/>
                  <c:pt idx="0">
                    <c:v>12.307938867137262</c:v>
                  </c:pt>
                </c:numCache>
              </c:numRef>
            </c:plus>
            <c:minus>
              <c:numRef>
                <c:f>Spectral!$V$79</c:f>
                <c:numCache>
                  <c:formatCode>General</c:formatCode>
                  <c:ptCount val="1"/>
                  <c:pt idx="0">
                    <c:v>12.307938867137262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GUE_all!$H$344</c:f>
              <c:numCache>
                <c:formatCode>0.00</c:formatCode>
                <c:ptCount val="1"/>
                <c:pt idx="0">
                  <c:v>88.913979832133279</c:v>
                </c:pt>
              </c:numCache>
            </c:numRef>
          </c:xVal>
          <c:yVal>
            <c:numRef>
              <c:f>Spectral!$V$78</c:f>
              <c:numCache>
                <c:formatCode>0.00</c:formatCode>
                <c:ptCount val="1"/>
                <c:pt idx="0">
                  <c:v>27.110021527701043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C61B-4FE1-92CA-2AF6503B4504}"/>
            </c:ext>
          </c:extLst>
        </c:ser>
        <c:ser>
          <c:idx val="43"/>
          <c:order val="52"/>
          <c:tx>
            <c:strRef>
              <c:f>Spectral!$V$80</c:f>
              <c:strCache>
                <c:ptCount val="1"/>
                <c:pt idx="0">
                  <c:v>S_19_OLI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AD8D06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GUE_all!$H$393</c:f>
                <c:numCache>
                  <c:formatCode>General</c:formatCode>
                  <c:ptCount val="1"/>
                  <c:pt idx="0">
                    <c:v>1.8375231045571487</c:v>
                  </c:pt>
                </c:numCache>
              </c:numRef>
            </c:plus>
            <c:minus>
              <c:numRef>
                <c:f>GUE_all!$H$393</c:f>
                <c:numCache>
                  <c:formatCode>General</c:formatCode>
                  <c:ptCount val="1"/>
                  <c:pt idx="0">
                    <c:v>1.8375231045571487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Spectral!$V$89</c:f>
                <c:numCache>
                  <c:formatCode>General</c:formatCode>
                  <c:ptCount val="1"/>
                  <c:pt idx="0">
                    <c:v>8.741021067826475</c:v>
                  </c:pt>
                </c:numCache>
              </c:numRef>
            </c:plus>
            <c:minus>
              <c:numRef>
                <c:f>Spectral!$V$89</c:f>
                <c:numCache>
                  <c:formatCode>General</c:formatCode>
                  <c:ptCount val="1"/>
                  <c:pt idx="0">
                    <c:v>8.741021067826475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GUE_all!$H$392</c:f>
              <c:numCache>
                <c:formatCode>0.00</c:formatCode>
                <c:ptCount val="1"/>
                <c:pt idx="0">
                  <c:v>88.695412506856712</c:v>
                </c:pt>
              </c:numCache>
            </c:numRef>
          </c:xVal>
          <c:yVal>
            <c:numRef>
              <c:f>Spectral!$V$88</c:f>
              <c:numCache>
                <c:formatCode>0.00</c:formatCode>
                <c:ptCount val="1"/>
                <c:pt idx="0">
                  <c:v>28.334701521799801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C61B-4FE1-92CA-2AF6503B4504}"/>
            </c:ext>
          </c:extLst>
        </c:ser>
        <c:ser>
          <c:idx val="48"/>
          <c:order val="53"/>
          <c:tx>
            <c:strRef>
              <c:f>Spectral!$V$90</c:f>
              <c:strCache>
                <c:ptCount val="1"/>
                <c:pt idx="0">
                  <c:v>S_19_MSI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GUE_all!$H$441</c:f>
                <c:numCache>
                  <c:formatCode>General</c:formatCode>
                  <c:ptCount val="1"/>
                  <c:pt idx="0">
                    <c:v>2.6242039722281816</c:v>
                  </c:pt>
                </c:numCache>
              </c:numRef>
            </c:plus>
            <c:minus>
              <c:numRef>
                <c:f>GUE_all!$H$441</c:f>
                <c:numCache>
                  <c:formatCode>General</c:formatCode>
                  <c:ptCount val="1"/>
                  <c:pt idx="0">
                    <c:v>2.6242039722281816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Spectral!$V$103</c:f>
                <c:numCache>
                  <c:formatCode>General</c:formatCode>
                  <c:ptCount val="1"/>
                  <c:pt idx="0">
                    <c:v>2.6535909040214039</c:v>
                  </c:pt>
                </c:numCache>
              </c:numRef>
            </c:plus>
            <c:minus>
              <c:numRef>
                <c:f>Spectral!$V$103</c:f>
                <c:numCache>
                  <c:formatCode>General</c:formatCode>
                  <c:ptCount val="1"/>
                  <c:pt idx="0">
                    <c:v>2.6535909040214039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GUE_all!$H$440</c:f>
              <c:numCache>
                <c:formatCode>0.00</c:formatCode>
                <c:ptCount val="1"/>
                <c:pt idx="0">
                  <c:v>83.836569082609941</c:v>
                </c:pt>
              </c:numCache>
            </c:numRef>
          </c:xVal>
          <c:yVal>
            <c:numRef>
              <c:f>Spectral!$V$102</c:f>
              <c:numCache>
                <c:formatCode>0.00</c:formatCode>
                <c:ptCount val="1"/>
                <c:pt idx="0">
                  <c:v>16.694616048313016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C61B-4FE1-92CA-2AF6503B4504}"/>
            </c:ext>
          </c:extLst>
        </c:ser>
        <c:ser>
          <c:idx val="53"/>
          <c:order val="54"/>
          <c:tx>
            <c:strRef>
              <c:f>Spectral!$V$104</c:f>
              <c:strCache>
                <c:ptCount val="1"/>
                <c:pt idx="0">
                  <c:v>S_24_MSI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31750" cmpd="dbl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GUE_all!$H$489</c:f>
                <c:numCache>
                  <c:formatCode>General</c:formatCode>
                  <c:ptCount val="1"/>
                  <c:pt idx="0">
                    <c:v>1.7097909686991446</c:v>
                  </c:pt>
                </c:numCache>
              </c:numRef>
            </c:plus>
            <c:minus>
              <c:numRef>
                <c:f>GUE_all!$H$489</c:f>
                <c:numCache>
                  <c:formatCode>General</c:formatCode>
                  <c:ptCount val="1"/>
                  <c:pt idx="0">
                    <c:v>1.7097909686991446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Spectral!$V$117</c:f>
                <c:numCache>
                  <c:formatCode>General</c:formatCode>
                  <c:ptCount val="1"/>
                  <c:pt idx="0">
                    <c:v>1.1657126662064474</c:v>
                  </c:pt>
                </c:numCache>
              </c:numRef>
            </c:plus>
            <c:minus>
              <c:numRef>
                <c:f>Spectral!$V$117</c:f>
                <c:numCache>
                  <c:formatCode>General</c:formatCode>
                  <c:ptCount val="1"/>
                  <c:pt idx="0">
                    <c:v>1.1657126662064474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GUE_all!$H$488</c:f>
              <c:numCache>
                <c:formatCode>0.00</c:formatCode>
                <c:ptCount val="1"/>
                <c:pt idx="0">
                  <c:v>86.541682457195208</c:v>
                </c:pt>
              </c:numCache>
            </c:numRef>
          </c:xVal>
          <c:yVal>
            <c:numRef>
              <c:f>Spectral!$V$116</c:f>
              <c:numCache>
                <c:formatCode>0.00</c:formatCode>
                <c:ptCount val="1"/>
                <c:pt idx="0">
                  <c:v>13.239534595826779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C61B-4FE1-92CA-2AF6503B4504}"/>
            </c:ext>
          </c:extLst>
        </c:ser>
        <c:ser>
          <c:idx val="55"/>
          <c:order val="55"/>
          <c:tx>
            <c:strRef>
              <c:f>Cumulative!$F$19</c:f>
              <c:strCache>
                <c:ptCount val="1"/>
                <c:pt idx="0">
                  <c:v>W_All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002060"/>
              </a:solidFill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Cumulative!$C$19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Cumulative!$E$19</c:f>
              <c:numCache>
                <c:formatCode>0.00</c:formatCode>
                <c:ptCount val="1"/>
                <c:pt idx="0">
                  <c:v>59.003013078138778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7A-4D05-998A-32CBA048A294}"/>
            </c:ext>
          </c:extLst>
        </c:ser>
        <c:ser>
          <c:idx val="56"/>
          <c:order val="56"/>
          <c:tx>
            <c:strRef>
              <c:f>Cumulative!$F$20</c:f>
              <c:strCache>
                <c:ptCount val="1"/>
                <c:pt idx="0">
                  <c:v>B_All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ysClr val="windowText" lastClr="000000">
                  <a:lumMod val="85000"/>
                  <a:lumOff val="15000"/>
                </a:sysClr>
              </a:solidFill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Cumulative!$C$20</c:f>
              <c:numCache>
                <c:formatCode>0.00</c:formatCode>
                <c:ptCount val="1"/>
                <c:pt idx="0">
                  <c:v>59.940336671638605</c:v>
                </c:pt>
              </c:numCache>
            </c:numRef>
          </c:xVal>
          <c:yVal>
            <c:numRef>
              <c:f>Cumulative!$E$20</c:f>
              <c:numCache>
                <c:formatCode>0.00</c:formatCode>
                <c:ptCount val="1"/>
                <c:pt idx="0">
                  <c:v>20.515043379326052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7A-4D05-998A-32CBA048A294}"/>
            </c:ext>
          </c:extLst>
        </c:ser>
        <c:ser>
          <c:idx val="57"/>
          <c:order val="57"/>
          <c:tx>
            <c:strRef>
              <c:f>Cumulative!$F$21</c:f>
              <c:strCache>
                <c:ptCount val="1"/>
                <c:pt idx="0">
                  <c:v>A_All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Cumulative!$C$21</c:f>
              <c:numCache>
                <c:formatCode>0.00</c:formatCode>
                <c:ptCount val="1"/>
                <c:pt idx="0">
                  <c:v>98.222508887455561</c:v>
                </c:pt>
              </c:numCache>
            </c:numRef>
          </c:xVal>
          <c:yVal>
            <c:numRef>
              <c:f>Cumulative!$E$21</c:f>
              <c:numCache>
                <c:formatCode>0.00</c:formatCode>
                <c:ptCount val="1"/>
                <c:pt idx="0">
                  <c:v>23.353552854926413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7A-4D05-998A-32CBA048A294}"/>
            </c:ext>
          </c:extLst>
        </c:ser>
        <c:ser>
          <c:idx val="58"/>
          <c:order val="58"/>
          <c:tx>
            <c:strRef>
              <c:f>Cumulative!$F$22</c:f>
              <c:strCache>
                <c:ptCount val="1"/>
                <c:pt idx="0">
                  <c:v>F_All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Cumulative!$C$22</c:f>
              <c:numCache>
                <c:formatCode>0.00</c:formatCode>
                <c:ptCount val="1"/>
                <c:pt idx="0">
                  <c:v>91.444046261606132</c:v>
                </c:pt>
              </c:numCache>
            </c:numRef>
          </c:xVal>
          <c:yVal>
            <c:numRef>
              <c:f>Cumulative!$E$22</c:f>
              <c:numCache>
                <c:formatCode>0.00</c:formatCode>
                <c:ptCount val="1"/>
                <c:pt idx="0">
                  <c:v>26.672062185134969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7A-4D05-998A-32CBA048A294}"/>
            </c:ext>
          </c:extLst>
        </c:ser>
        <c:ser>
          <c:idx val="59"/>
          <c:order val="59"/>
          <c:tx>
            <c:strRef>
              <c:f>Cumulative!$F$23</c:f>
              <c:strCache>
                <c:ptCount val="1"/>
                <c:pt idx="0">
                  <c:v>S_All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E97132">
                  <a:lumMod val="50000"/>
                </a:srgbClr>
              </a:solidFill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Cumulative!$C$23</c:f>
              <c:numCache>
                <c:formatCode>0.00</c:formatCode>
                <c:ptCount val="1"/>
                <c:pt idx="0">
                  <c:v>81.077764141470482</c:v>
                </c:pt>
              </c:numCache>
            </c:numRef>
          </c:xVal>
          <c:yVal>
            <c:numRef>
              <c:f>Cumulative!$E$23</c:f>
              <c:numCache>
                <c:formatCode>0.00</c:formatCode>
                <c:ptCount val="1"/>
                <c:pt idx="0">
                  <c:v>17.802281730967902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7A-4D05-998A-32CBA048A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 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10"/>
          <c:min val="0"/>
        </c:scaling>
        <c:delete val="0"/>
        <c:axPos val="l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Sensor's</a:t>
                </a:r>
                <a:r>
                  <a:rPr lang="en-US" baseline="0"/>
                  <a:t> </a:t>
                </a:r>
                <a:r>
                  <a:rPr lang="en-US"/>
                  <a:t>Bands Median</a:t>
                </a:r>
                <a:r>
                  <a:rPr lang="en-US" baseline="0"/>
                  <a:t> </a:t>
                </a:r>
                <a:r>
                  <a:rPr lang="en-US"/>
                  <a:t>Coefficient of</a:t>
                </a:r>
                <a:r>
                  <a:rPr lang="en-US" baseline="0"/>
                  <a:t> Variation </a:t>
                </a: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  <c:majorUnit val="10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063203891628551"/>
          <c:y val="6.5182617644988478E-2"/>
          <c:w val="0.3345300986445483"/>
          <c:h val="0.877687627961838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Mode Classification Cumulative Results</a:t>
            </a:r>
            <a:endParaRPr lang="en-US" sz="2000"/>
          </a:p>
        </c:rich>
      </c:tx>
      <c:layout>
        <c:manualLayout>
          <c:xMode val="edge"/>
          <c:yMode val="edge"/>
          <c:x val="0.32620683426469255"/>
          <c:y val="1.0282884262081189E-2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95803004567238"/>
          <c:y val="8.196151821393248E-2"/>
          <c:w val="0.51982492264896873"/>
          <c:h val="0.77113989819133355"/>
        </c:manualLayout>
      </c:layout>
      <c:scatterChart>
        <c:scatterStyle val="lineMarker"/>
        <c:varyColors val="0"/>
        <c:ser>
          <c:idx val="0"/>
          <c:order val="0"/>
          <c:tx>
            <c:strRef>
              <c:f>Cumulative!$F$43</c:f>
              <c:strCache>
                <c:ptCount val="1"/>
                <c:pt idx="0">
                  <c:v>W_MSS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8"/>
              <c:spPr>
                <a:solidFill>
                  <a:srgbClr val="1F9DFF"/>
                </a:solidFill>
                <a:ln w="9525">
                  <a:solidFill>
                    <a:srgbClr val="1F9DFF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B00E-44B3-BDD3-D884CEE0D9E8}"/>
              </c:ext>
            </c:extLst>
          </c:dPt>
          <c:xVal>
            <c:numRef>
              <c:f>Cumulative!$C$43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Cumulative!$E$43</c:f>
              <c:numCache>
                <c:formatCode>0.00</c:formatCode>
                <c:ptCount val="1"/>
                <c:pt idx="0">
                  <c:v>47.85718286999974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C583-46DA-8CF6-94FE3275DD31}"/>
            </c:ext>
          </c:extLst>
        </c:ser>
        <c:ser>
          <c:idx val="5"/>
          <c:order val="1"/>
          <c:tx>
            <c:strRef>
              <c:f>Cumulative!$F$67</c:f>
              <c:strCache>
                <c:ptCount val="1"/>
                <c:pt idx="0">
                  <c:v>W_TM/ETM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Cumulative!$C$67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Cumulative!$D$67</c:f>
              <c:numCache>
                <c:formatCode>0.00</c:formatCode>
                <c:ptCount val="1"/>
                <c:pt idx="0">
                  <c:v>99.911190053285964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C583-46DA-8CF6-94FE3275DD31}"/>
            </c:ext>
          </c:extLst>
        </c:ser>
        <c:ser>
          <c:idx val="10"/>
          <c:order val="2"/>
          <c:tx>
            <c:strRef>
              <c:f>Cumulative!$F$91</c:f>
              <c:strCache>
                <c:ptCount val="1"/>
                <c:pt idx="0">
                  <c:v>W_OLI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Cumulative!$C$91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Cumulative!$E$91</c:f>
              <c:numCache>
                <c:formatCode>0.00</c:formatCode>
                <c:ptCount val="1"/>
                <c:pt idx="0">
                  <c:v>80.055421749571522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E-44B3-BDD3-D884CEE0D9E8}"/>
            </c:ext>
          </c:extLst>
        </c:ser>
        <c:ser>
          <c:idx val="15"/>
          <c:order val="3"/>
          <c:tx>
            <c:strRef>
              <c:f>Cumulative!$F$115</c:f>
              <c:strCache>
                <c:ptCount val="1"/>
                <c:pt idx="0">
                  <c:v>W_MSI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25400">
                <a:solidFill>
                  <a:srgbClr val="1F9DFF"/>
                </a:solidFill>
              </a:ln>
              <a:effectLst/>
            </c:spPr>
          </c:marker>
          <c:xVal>
            <c:numRef>
              <c:f>Cumulative!$C$115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Cumulative!$E$115</c:f>
              <c:numCache>
                <c:formatCode>0.00</c:formatCode>
                <c:ptCount val="1"/>
                <c:pt idx="0">
                  <c:v>55.333059522274027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0E-44B3-BDD3-D884CEE0D9E8}"/>
            </c:ext>
          </c:extLst>
        </c:ser>
        <c:ser>
          <c:idx val="1"/>
          <c:order val="4"/>
          <c:tx>
            <c:strRef>
              <c:f>Cumulative!$F$44</c:f>
              <c:strCache>
                <c:ptCount val="1"/>
                <c:pt idx="0">
                  <c:v>B_MSS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Cumulative!$C$44</c:f>
              <c:numCache>
                <c:formatCode>0.00</c:formatCode>
                <c:ptCount val="1"/>
                <c:pt idx="0">
                  <c:v>74.789915966386559</c:v>
                </c:pt>
              </c:numCache>
            </c:numRef>
          </c:xVal>
          <c:yVal>
            <c:numRef>
              <c:f>Cumulative!$E$44</c:f>
              <c:numCache>
                <c:formatCode>0.00</c:formatCode>
                <c:ptCount val="1"/>
                <c:pt idx="0">
                  <c:v>17.943635544867853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C583-46DA-8CF6-94FE3275DD31}"/>
            </c:ext>
          </c:extLst>
        </c:ser>
        <c:ser>
          <c:idx val="6"/>
          <c:order val="5"/>
          <c:tx>
            <c:strRef>
              <c:f>Cumulative!$F$68</c:f>
              <c:strCache>
                <c:ptCount val="1"/>
                <c:pt idx="0">
                  <c:v>B_TM/ETM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Cumulative!$C$68</c:f>
              <c:numCache>
                <c:formatCode>0.00</c:formatCode>
                <c:ptCount val="1"/>
                <c:pt idx="0">
                  <c:v>58.662861801875252</c:v>
                </c:pt>
              </c:numCache>
            </c:numRef>
          </c:xVal>
          <c:yVal>
            <c:numRef>
              <c:f>Cumulative!$E$68</c:f>
              <c:numCache>
                <c:formatCode>0.00</c:formatCode>
                <c:ptCount val="1"/>
                <c:pt idx="0">
                  <c:v>19.732338455243223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0E-44B3-BDD3-D884CEE0D9E8}"/>
            </c:ext>
          </c:extLst>
        </c:ser>
        <c:ser>
          <c:idx val="11"/>
          <c:order val="6"/>
          <c:tx>
            <c:strRef>
              <c:f>Cumulative!$F$92</c:f>
              <c:strCache>
                <c:ptCount val="1"/>
                <c:pt idx="0">
                  <c:v>B_OLI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2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Cumulative!$C$92</c:f>
              <c:numCache>
                <c:formatCode>0.00</c:formatCode>
                <c:ptCount val="1"/>
                <c:pt idx="0">
                  <c:v>64.050901378578999</c:v>
                </c:pt>
              </c:numCache>
            </c:numRef>
          </c:xVal>
          <c:yVal>
            <c:numRef>
              <c:f>Cumulative!$E$92</c:f>
              <c:numCache>
                <c:formatCode>0.00</c:formatCode>
                <c:ptCount val="1"/>
                <c:pt idx="0">
                  <c:v>26.087207210236741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E-44B3-BDD3-D884CEE0D9E8}"/>
            </c:ext>
          </c:extLst>
        </c:ser>
        <c:ser>
          <c:idx val="16"/>
          <c:order val="7"/>
          <c:tx>
            <c:strRef>
              <c:f>Cumulative!$F$116</c:f>
              <c:strCache>
                <c:ptCount val="1"/>
                <c:pt idx="0">
                  <c:v>B_MSI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25400">
                <a:solidFill>
                  <a:srgbClr val="CACDDE"/>
                </a:solidFill>
              </a:ln>
              <a:effectLst/>
            </c:spPr>
          </c:marker>
          <c:xVal>
            <c:numRef>
              <c:f>Cumulative!$C$116</c:f>
              <c:numCache>
                <c:formatCode>0.00</c:formatCode>
                <c:ptCount val="1"/>
                <c:pt idx="0">
                  <c:v>55.901794145420205</c:v>
                </c:pt>
              </c:numCache>
            </c:numRef>
          </c:xVal>
          <c:yVal>
            <c:numRef>
              <c:f>Cumulative!$E$116</c:f>
              <c:numCache>
                <c:formatCode>0.00</c:formatCode>
                <c:ptCount val="1"/>
                <c:pt idx="0">
                  <c:v>21.038451410108074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0E-44B3-BDD3-D884CEE0D9E8}"/>
            </c:ext>
          </c:extLst>
        </c:ser>
        <c:ser>
          <c:idx val="2"/>
          <c:order val="8"/>
          <c:tx>
            <c:strRef>
              <c:f>Cumulative!$F$45</c:f>
              <c:strCache>
                <c:ptCount val="1"/>
                <c:pt idx="0">
                  <c:v>A_MSS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Cumulative!$C$45</c:f>
              <c:numCache>
                <c:formatCode>0.00</c:formatCode>
                <c:ptCount val="1"/>
                <c:pt idx="0">
                  <c:v>98.51355290002914</c:v>
                </c:pt>
              </c:numCache>
            </c:numRef>
          </c:xVal>
          <c:yVal>
            <c:numRef>
              <c:f>Cumulative!$E$45</c:f>
              <c:numCache>
                <c:formatCode>0.00</c:formatCode>
                <c:ptCount val="1"/>
                <c:pt idx="0">
                  <c:v>16.849665252324847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C583-46DA-8CF6-94FE3275DD31}"/>
            </c:ext>
          </c:extLst>
        </c:ser>
        <c:ser>
          <c:idx val="7"/>
          <c:order val="9"/>
          <c:tx>
            <c:strRef>
              <c:f>Cumulative!$F$69</c:f>
              <c:strCache>
                <c:ptCount val="1"/>
                <c:pt idx="0">
                  <c:v>A_TM/ETM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Cumulative!$C$69</c:f>
              <c:numCache>
                <c:formatCode>0.00</c:formatCode>
                <c:ptCount val="1"/>
                <c:pt idx="0">
                  <c:v>98.380283741661074</c:v>
                </c:pt>
              </c:numCache>
            </c:numRef>
          </c:xVal>
          <c:yVal>
            <c:numRef>
              <c:f>Cumulative!$E$69</c:f>
              <c:numCache>
                <c:formatCode>0.00</c:formatCode>
                <c:ptCount val="1"/>
                <c:pt idx="0">
                  <c:v>22.925473871736074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E-44B3-BDD3-D884CEE0D9E8}"/>
            </c:ext>
          </c:extLst>
        </c:ser>
        <c:ser>
          <c:idx val="12"/>
          <c:order val="10"/>
          <c:tx>
            <c:strRef>
              <c:f>Cumulative!$F$93</c:f>
              <c:strCache>
                <c:ptCount val="1"/>
                <c:pt idx="0">
                  <c:v>A_OLI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2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Cumulative!$C$93</c:f>
              <c:numCache>
                <c:formatCode>0.00</c:formatCode>
                <c:ptCount val="1"/>
                <c:pt idx="0">
                  <c:v>98.877494456762747</c:v>
                </c:pt>
              </c:numCache>
            </c:numRef>
          </c:xVal>
          <c:yVal>
            <c:numRef>
              <c:f>Cumulative!$E$93</c:f>
              <c:numCache>
                <c:formatCode>0.00</c:formatCode>
                <c:ptCount val="1"/>
                <c:pt idx="0">
                  <c:v>31.947233145551646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0E-44B3-BDD3-D884CEE0D9E8}"/>
            </c:ext>
          </c:extLst>
        </c:ser>
        <c:ser>
          <c:idx val="17"/>
          <c:order val="11"/>
          <c:tx>
            <c:strRef>
              <c:f>Cumulative!$F$117</c:f>
              <c:strCache>
                <c:ptCount val="1"/>
                <c:pt idx="0">
                  <c:v>A_MSI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25400">
                <a:solidFill>
                  <a:srgbClr val="B1EE2D"/>
                </a:solidFill>
              </a:ln>
              <a:effectLst/>
            </c:spPr>
          </c:marker>
          <c:xVal>
            <c:numRef>
              <c:f>Cumulative!$C$117</c:f>
              <c:numCache>
                <c:formatCode>0.00</c:formatCode>
                <c:ptCount val="1"/>
                <c:pt idx="0">
                  <c:v>97.126476479933686</c:v>
                </c:pt>
              </c:numCache>
            </c:numRef>
          </c:xVal>
          <c:yVal>
            <c:numRef>
              <c:f>Cumulative!$E$117</c:f>
              <c:numCache>
                <c:formatCode>0.00</c:formatCode>
                <c:ptCount val="1"/>
                <c:pt idx="0">
                  <c:v>25.254341591787199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00E-44B3-BDD3-D884CEE0D9E8}"/>
            </c:ext>
          </c:extLst>
        </c:ser>
        <c:ser>
          <c:idx val="3"/>
          <c:order val="12"/>
          <c:tx>
            <c:strRef>
              <c:f>Cumulative!$F$46</c:f>
              <c:strCache>
                <c:ptCount val="1"/>
                <c:pt idx="0">
                  <c:v>F_MSS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Cumulative!$C$46</c:f>
              <c:numCache>
                <c:formatCode>0.00</c:formatCode>
                <c:ptCount val="1"/>
                <c:pt idx="0">
                  <c:v>89.853896103896105</c:v>
                </c:pt>
              </c:numCache>
            </c:numRef>
          </c:xVal>
          <c:yVal>
            <c:numRef>
              <c:f>Cumulative!$E$46</c:f>
              <c:numCache>
                <c:formatCode>0.00</c:formatCode>
                <c:ptCount val="1"/>
                <c:pt idx="0">
                  <c:v>19.486577348107406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C583-46DA-8CF6-94FE3275DD31}"/>
            </c:ext>
          </c:extLst>
        </c:ser>
        <c:ser>
          <c:idx val="8"/>
          <c:order val="13"/>
          <c:tx>
            <c:strRef>
              <c:f>Cumulative!$F$70</c:f>
              <c:strCache>
                <c:ptCount val="1"/>
                <c:pt idx="0">
                  <c:v>F_TM/ETM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Cumulative!$C$70</c:f>
              <c:numCache>
                <c:formatCode>0.00</c:formatCode>
                <c:ptCount val="1"/>
                <c:pt idx="0">
                  <c:v>92.004433185560487</c:v>
                </c:pt>
              </c:numCache>
            </c:numRef>
          </c:xVal>
          <c:yVal>
            <c:numRef>
              <c:f>Cumulative!$E$70</c:f>
              <c:numCache>
                <c:formatCode>0.00</c:formatCode>
                <c:ptCount val="1"/>
                <c:pt idx="0">
                  <c:v>28.055933288323239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E-44B3-BDD3-D884CEE0D9E8}"/>
            </c:ext>
          </c:extLst>
        </c:ser>
        <c:ser>
          <c:idx val="13"/>
          <c:order val="14"/>
          <c:tx>
            <c:strRef>
              <c:f>Cumulative!$F$94</c:f>
              <c:strCache>
                <c:ptCount val="1"/>
                <c:pt idx="0">
                  <c:v>F_OLI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Cumulative!$C$94</c:f>
              <c:numCache>
                <c:formatCode>0.00</c:formatCode>
                <c:ptCount val="1"/>
                <c:pt idx="0">
                  <c:v>90.49174378515697</c:v>
                </c:pt>
              </c:numCache>
            </c:numRef>
          </c:xVal>
          <c:yVal>
            <c:numRef>
              <c:f>Cumulative!$E$94</c:f>
              <c:numCache>
                <c:formatCode>0.00</c:formatCode>
                <c:ptCount val="1"/>
                <c:pt idx="0">
                  <c:v>37.910659000462708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0E-44B3-BDD3-D884CEE0D9E8}"/>
            </c:ext>
          </c:extLst>
        </c:ser>
        <c:ser>
          <c:idx val="18"/>
          <c:order val="15"/>
          <c:tx>
            <c:strRef>
              <c:f>Cumulative!$F$118</c:f>
              <c:strCache>
                <c:ptCount val="1"/>
                <c:pt idx="0">
                  <c:v>F_MSI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25400">
                <a:solidFill>
                  <a:srgbClr val="149721"/>
                </a:solidFill>
              </a:ln>
              <a:effectLst/>
            </c:spPr>
          </c:marker>
          <c:xVal>
            <c:numRef>
              <c:f>Cumulative!$C$118</c:f>
              <c:numCache>
                <c:formatCode>0.00</c:formatCode>
                <c:ptCount val="1"/>
                <c:pt idx="0">
                  <c:v>91.468828411503566</c:v>
                </c:pt>
              </c:numCache>
            </c:numRef>
          </c:xVal>
          <c:yVal>
            <c:numRef>
              <c:f>Cumulative!$E$118</c:f>
              <c:numCache>
                <c:formatCode>0.00</c:formatCode>
                <c:ptCount val="1"/>
                <c:pt idx="0">
                  <c:v>21.662084578351955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00E-44B3-BDD3-D884CEE0D9E8}"/>
            </c:ext>
          </c:extLst>
        </c:ser>
        <c:ser>
          <c:idx val="4"/>
          <c:order val="16"/>
          <c:tx>
            <c:strRef>
              <c:f>Cumulative!$F$47</c:f>
              <c:strCache>
                <c:ptCount val="1"/>
                <c:pt idx="0">
                  <c:v>S_MSS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Cumulative!$C$47</c:f>
              <c:numCache>
                <c:formatCode>0.00</c:formatCode>
                <c:ptCount val="1"/>
                <c:pt idx="0">
                  <c:v>57.059679767103347</c:v>
                </c:pt>
              </c:numCache>
            </c:numRef>
          </c:xVal>
          <c:yVal>
            <c:numRef>
              <c:f>Cumulative!$E$47</c:f>
              <c:numCache>
                <c:formatCode>0.00</c:formatCode>
                <c:ptCount val="1"/>
                <c:pt idx="0">
                  <c:v>15.132613336933726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C583-46DA-8CF6-94FE3275DD31}"/>
            </c:ext>
          </c:extLst>
        </c:ser>
        <c:ser>
          <c:idx val="9"/>
          <c:order val="17"/>
          <c:tx>
            <c:strRef>
              <c:f>Cumulative!$F$71</c:f>
              <c:strCache>
                <c:ptCount val="1"/>
                <c:pt idx="0">
                  <c:v>S_TM/ETM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Cumulative!$C$71</c:f>
              <c:numCache>
                <c:formatCode>0.00</c:formatCode>
                <c:ptCount val="1"/>
                <c:pt idx="0">
                  <c:v>80.924605746381502</c:v>
                </c:pt>
              </c:numCache>
            </c:numRef>
          </c:xVal>
          <c:yVal>
            <c:numRef>
              <c:f>Cumulative!$E$71</c:f>
              <c:numCache>
                <c:formatCode>0.00</c:formatCode>
                <c:ptCount val="1"/>
                <c:pt idx="0">
                  <c:v>17.802281730967902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0E-44B3-BDD3-D884CEE0D9E8}"/>
            </c:ext>
          </c:extLst>
        </c:ser>
        <c:ser>
          <c:idx val="14"/>
          <c:order val="18"/>
          <c:tx>
            <c:strRef>
              <c:f>Cumulative!$F$95</c:f>
              <c:strCache>
                <c:ptCount val="1"/>
                <c:pt idx="0">
                  <c:v>S_OLI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Cumulative!$C$95</c:f>
              <c:numCache>
                <c:formatCode>0.00</c:formatCode>
                <c:ptCount val="1"/>
                <c:pt idx="0">
                  <c:v>88.170163170163178</c:v>
                </c:pt>
              </c:numCache>
            </c:numRef>
          </c:xVal>
          <c:yVal>
            <c:numRef>
              <c:f>Cumulative!$E$95</c:f>
              <c:numCache>
                <c:formatCode>0.00</c:formatCode>
                <c:ptCount val="1"/>
                <c:pt idx="0">
                  <c:v>28.334701521799801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0E-44B3-BDD3-D884CEE0D9E8}"/>
            </c:ext>
          </c:extLst>
        </c:ser>
        <c:ser>
          <c:idx val="19"/>
          <c:order val="19"/>
          <c:tx>
            <c:strRef>
              <c:f>Cumulative!$F$119</c:f>
              <c:strCache>
                <c:ptCount val="1"/>
                <c:pt idx="0">
                  <c:v>S_MSI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25400">
                <a:solidFill>
                  <a:srgbClr val="AD8D06"/>
                </a:solidFill>
              </a:ln>
              <a:effectLst/>
            </c:spPr>
          </c:marker>
          <c:xVal>
            <c:numRef>
              <c:f>Cumulative!$C$119</c:f>
              <c:numCache>
                <c:formatCode>0.00</c:formatCode>
                <c:ptCount val="1"/>
                <c:pt idx="0">
                  <c:v>83.687208700155352</c:v>
                </c:pt>
              </c:numCache>
            </c:numRef>
          </c:xVal>
          <c:yVal>
            <c:numRef>
              <c:f>Cumulative!$E$119</c:f>
              <c:numCache>
                <c:formatCode>0.00</c:formatCode>
                <c:ptCount val="1"/>
                <c:pt idx="0">
                  <c:v>14.591039785977747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00E-44B3-BDD3-D884CEE0D9E8}"/>
            </c:ext>
          </c:extLst>
        </c:ser>
        <c:ser>
          <c:idx val="58"/>
          <c:order val="20"/>
          <c:tx>
            <c:strRef>
              <c:f>Cumulative!$F$22</c:f>
              <c:strCache>
                <c:ptCount val="1"/>
                <c:pt idx="0">
                  <c:v>F_All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Cumulative!$C$22</c:f>
              <c:numCache>
                <c:formatCode>0.00</c:formatCode>
                <c:ptCount val="1"/>
                <c:pt idx="0">
                  <c:v>91.444046261606132</c:v>
                </c:pt>
              </c:numCache>
            </c:numRef>
          </c:xVal>
          <c:yVal>
            <c:numRef>
              <c:f>Cumulative!$E$22</c:f>
              <c:numCache>
                <c:formatCode>0.00</c:formatCode>
                <c:ptCount val="1"/>
                <c:pt idx="0">
                  <c:v>26.672062185134969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C583-46DA-8CF6-94FE3275DD31}"/>
            </c:ext>
          </c:extLst>
        </c:ser>
        <c:ser>
          <c:idx val="55"/>
          <c:order val="21"/>
          <c:tx>
            <c:strRef>
              <c:f>Cumulative!$F$19</c:f>
              <c:strCache>
                <c:ptCount val="1"/>
                <c:pt idx="0">
                  <c:v>W_All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002060"/>
              </a:solidFill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Cumulative!$C$19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Cumulative!$E$19</c:f>
              <c:numCache>
                <c:formatCode>0.00</c:formatCode>
                <c:ptCount val="1"/>
                <c:pt idx="0">
                  <c:v>59.003013078138778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C583-46DA-8CF6-94FE3275DD31}"/>
            </c:ext>
          </c:extLst>
        </c:ser>
        <c:ser>
          <c:idx val="56"/>
          <c:order val="22"/>
          <c:tx>
            <c:strRef>
              <c:f>Cumulative!$F$20</c:f>
              <c:strCache>
                <c:ptCount val="1"/>
                <c:pt idx="0">
                  <c:v>B_All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ysClr val="windowText" lastClr="000000">
                  <a:lumMod val="85000"/>
                  <a:lumOff val="15000"/>
                </a:sysClr>
              </a:solidFill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Cumulative!$C$20</c:f>
              <c:numCache>
                <c:formatCode>0.00</c:formatCode>
                <c:ptCount val="1"/>
                <c:pt idx="0">
                  <c:v>59.940336671638605</c:v>
                </c:pt>
              </c:numCache>
            </c:numRef>
          </c:xVal>
          <c:yVal>
            <c:numRef>
              <c:f>Cumulative!$E$20</c:f>
              <c:numCache>
                <c:formatCode>0.00</c:formatCode>
                <c:ptCount val="1"/>
                <c:pt idx="0">
                  <c:v>20.515043379326052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C583-46DA-8CF6-94FE3275DD31}"/>
            </c:ext>
          </c:extLst>
        </c:ser>
        <c:ser>
          <c:idx val="57"/>
          <c:order val="23"/>
          <c:tx>
            <c:strRef>
              <c:f>Cumulative!$F$21</c:f>
              <c:strCache>
                <c:ptCount val="1"/>
                <c:pt idx="0">
                  <c:v>A_All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Cumulative!$C$21</c:f>
              <c:numCache>
                <c:formatCode>0.00</c:formatCode>
                <c:ptCount val="1"/>
                <c:pt idx="0">
                  <c:v>98.222508887455561</c:v>
                </c:pt>
              </c:numCache>
            </c:numRef>
          </c:xVal>
          <c:yVal>
            <c:numRef>
              <c:f>Cumulative!$E$21</c:f>
              <c:numCache>
                <c:formatCode>0.00</c:formatCode>
                <c:ptCount val="1"/>
                <c:pt idx="0">
                  <c:v>23.353552854926413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C583-46DA-8CF6-94FE3275DD31}"/>
            </c:ext>
          </c:extLst>
        </c:ser>
        <c:ser>
          <c:idx val="59"/>
          <c:order val="24"/>
          <c:tx>
            <c:strRef>
              <c:f>Cumulative!$F$23</c:f>
              <c:strCache>
                <c:ptCount val="1"/>
                <c:pt idx="0">
                  <c:v>S_All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E97132">
                  <a:lumMod val="50000"/>
                </a:srgbClr>
              </a:solidFill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Cumulative!$C$23</c:f>
              <c:numCache>
                <c:formatCode>0.00</c:formatCode>
                <c:ptCount val="1"/>
                <c:pt idx="0">
                  <c:v>81.077764141470482</c:v>
                </c:pt>
              </c:numCache>
            </c:numRef>
          </c:xVal>
          <c:yVal>
            <c:numRef>
              <c:f>Cumulative!$E$23</c:f>
              <c:numCache>
                <c:formatCode>0.00</c:formatCode>
                <c:ptCount val="1"/>
                <c:pt idx="0">
                  <c:v>17.802281730967902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C583-46DA-8CF6-94FE3275D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 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10"/>
          <c:min val="0"/>
        </c:scaling>
        <c:delete val="0"/>
        <c:axPos val="l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Sensor's</a:t>
                </a:r>
                <a:r>
                  <a:rPr lang="en-US" baseline="0"/>
                  <a:t> </a:t>
                </a:r>
                <a:r>
                  <a:rPr lang="en-US"/>
                  <a:t>Bands Median</a:t>
                </a:r>
                <a:r>
                  <a:rPr lang="en-US" baseline="0"/>
                  <a:t> </a:t>
                </a:r>
                <a:r>
                  <a:rPr lang="en-US"/>
                  <a:t>Coefficient of</a:t>
                </a:r>
                <a:r>
                  <a:rPr lang="en-US" baseline="0"/>
                  <a:t> Variation </a:t>
                </a: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  <c:majorUnit val="10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983780636575365"/>
          <c:y val="6.8413897822877281E-2"/>
          <c:w val="0.24263751802151493"/>
          <c:h val="0.831747063170501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Mode Classification</a:t>
            </a:r>
            <a:endParaRPr lang="en-US" sz="2000"/>
          </a:p>
        </c:rich>
      </c:tx>
      <c:layout>
        <c:manualLayout>
          <c:xMode val="edge"/>
          <c:yMode val="edge"/>
          <c:x val="0.32620683426469255"/>
          <c:y val="1.0282884262081189E-2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95803004567238"/>
          <c:y val="8.196151821393248E-2"/>
          <c:w val="0.51982492264896873"/>
          <c:h val="0.77113989819133355"/>
        </c:manualLayout>
      </c:layout>
      <c:scatterChart>
        <c:scatterStyle val="lineMarker"/>
        <c:varyColors val="0"/>
        <c:ser>
          <c:idx val="0"/>
          <c:order val="0"/>
          <c:tx>
            <c:strRef>
              <c:f>Cumulative!$F$43</c:f>
              <c:strCache>
                <c:ptCount val="1"/>
                <c:pt idx="0">
                  <c:v>W_MSS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Cumulative!$E$43</c:f>
              <c:numCache>
                <c:formatCode>0.00</c:formatCode>
                <c:ptCount val="1"/>
                <c:pt idx="0">
                  <c:v>47.85718286999974</c:v>
                </c:pt>
              </c:numCache>
            </c:numRef>
          </c:xVal>
          <c:yVal>
            <c:numRef>
              <c:f>Cumulative!$D$43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12A9-4F31-807A-F07C221FF2AD}"/>
            </c:ext>
          </c:extLst>
        </c:ser>
        <c:ser>
          <c:idx val="5"/>
          <c:order val="1"/>
          <c:tx>
            <c:strRef>
              <c:f>Cumulative!$F$67</c:f>
              <c:strCache>
                <c:ptCount val="1"/>
                <c:pt idx="0">
                  <c:v>W_TM/ETM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Cumulative!$E$67</c:f>
              <c:numCache>
                <c:formatCode>0.00</c:formatCode>
                <c:ptCount val="1"/>
                <c:pt idx="0">
                  <c:v>59.003013078138778</c:v>
                </c:pt>
              </c:numCache>
            </c:numRef>
          </c:xVal>
          <c:yVal>
            <c:numRef>
              <c:f>Cumulative!$D$67</c:f>
              <c:numCache>
                <c:formatCode>0.00</c:formatCode>
                <c:ptCount val="1"/>
                <c:pt idx="0">
                  <c:v>99.911190053285964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12A9-4F31-807A-F07C221FF2AD}"/>
            </c:ext>
          </c:extLst>
        </c:ser>
        <c:ser>
          <c:idx val="10"/>
          <c:order val="2"/>
          <c:tx>
            <c:strRef>
              <c:f>Cumulative!$F$91</c:f>
              <c:strCache>
                <c:ptCount val="1"/>
                <c:pt idx="0">
                  <c:v>W_OLI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Cumulative!$E$91</c:f>
              <c:numCache>
                <c:formatCode>0.00</c:formatCode>
                <c:ptCount val="1"/>
                <c:pt idx="0">
                  <c:v>80.055421749571522</c:v>
                </c:pt>
              </c:numCache>
            </c:numRef>
          </c:xVal>
          <c:yVal>
            <c:numRef>
              <c:f>Cumulative!$D$91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12A9-4F31-807A-F07C221FF2AD}"/>
            </c:ext>
          </c:extLst>
        </c:ser>
        <c:ser>
          <c:idx val="15"/>
          <c:order val="3"/>
          <c:tx>
            <c:strRef>
              <c:f>Cumulative!$F$115</c:f>
              <c:strCache>
                <c:ptCount val="1"/>
                <c:pt idx="0">
                  <c:v>W_MSI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25400">
                <a:solidFill>
                  <a:srgbClr val="1F9DFF"/>
                </a:solidFill>
              </a:ln>
              <a:effectLst/>
            </c:spPr>
          </c:marker>
          <c:xVal>
            <c:numRef>
              <c:f>Cumulative!$E$115</c:f>
              <c:numCache>
                <c:formatCode>0.00</c:formatCode>
                <c:ptCount val="1"/>
                <c:pt idx="0">
                  <c:v>55.333059522274027</c:v>
                </c:pt>
              </c:numCache>
            </c:numRef>
          </c:xVal>
          <c:yVal>
            <c:numRef>
              <c:f>Cumulative!$D$115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12A9-4F31-807A-F07C221FF2AD}"/>
            </c:ext>
          </c:extLst>
        </c:ser>
        <c:ser>
          <c:idx val="1"/>
          <c:order val="4"/>
          <c:tx>
            <c:strRef>
              <c:f>Cumulative!$F$44</c:f>
              <c:strCache>
                <c:ptCount val="1"/>
                <c:pt idx="0">
                  <c:v>B_MSS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Cumulative!$E$44</c:f>
              <c:numCache>
                <c:formatCode>0.00</c:formatCode>
                <c:ptCount val="1"/>
                <c:pt idx="0">
                  <c:v>17.943635544867853</c:v>
                </c:pt>
              </c:numCache>
            </c:numRef>
          </c:xVal>
          <c:yVal>
            <c:numRef>
              <c:f>Cumulative!$D$44</c:f>
              <c:numCache>
                <c:formatCode>0.00</c:formatCode>
                <c:ptCount val="1"/>
                <c:pt idx="0">
                  <c:v>96.739130434782609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12A9-4F31-807A-F07C221FF2AD}"/>
            </c:ext>
          </c:extLst>
        </c:ser>
        <c:ser>
          <c:idx val="6"/>
          <c:order val="5"/>
          <c:tx>
            <c:strRef>
              <c:f>Cumulative!$F$68</c:f>
              <c:strCache>
                <c:ptCount val="1"/>
                <c:pt idx="0">
                  <c:v>B_TM/ETM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Cumulative!$E$68</c:f>
              <c:numCache>
                <c:formatCode>0.00</c:formatCode>
                <c:ptCount val="1"/>
                <c:pt idx="0">
                  <c:v>19.732338455243223</c:v>
                </c:pt>
              </c:numCache>
            </c:numRef>
          </c:xVal>
          <c:yVal>
            <c:numRef>
              <c:f>Cumulative!$D$68</c:f>
              <c:numCache>
                <c:formatCode>0.00</c:formatCode>
                <c:ptCount val="1"/>
                <c:pt idx="0">
                  <c:v>92.421323057161203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12A9-4F31-807A-F07C221FF2AD}"/>
            </c:ext>
          </c:extLst>
        </c:ser>
        <c:ser>
          <c:idx val="11"/>
          <c:order val="6"/>
          <c:tx>
            <c:strRef>
              <c:f>Cumulative!$F$92</c:f>
              <c:strCache>
                <c:ptCount val="1"/>
                <c:pt idx="0">
                  <c:v>B_OLI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Cumulative!$E$92</c:f>
              <c:numCache>
                <c:formatCode>0.00</c:formatCode>
                <c:ptCount val="1"/>
                <c:pt idx="0">
                  <c:v>26.087207210236741</c:v>
                </c:pt>
              </c:numCache>
            </c:numRef>
          </c:xVal>
          <c:yVal>
            <c:numRef>
              <c:f>Cumulative!$D$92</c:f>
              <c:numCache>
                <c:formatCode>0.00</c:formatCode>
                <c:ptCount val="1"/>
                <c:pt idx="0">
                  <c:v>89.08554572271386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12A9-4F31-807A-F07C221FF2AD}"/>
            </c:ext>
          </c:extLst>
        </c:ser>
        <c:ser>
          <c:idx val="16"/>
          <c:order val="7"/>
          <c:tx>
            <c:strRef>
              <c:f>Cumulative!$F$116</c:f>
              <c:strCache>
                <c:ptCount val="1"/>
                <c:pt idx="0">
                  <c:v>B_MSI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25400">
                <a:solidFill>
                  <a:srgbClr val="CACDDE"/>
                </a:solidFill>
              </a:ln>
              <a:effectLst/>
            </c:spPr>
          </c:marker>
          <c:xVal>
            <c:numRef>
              <c:f>Cumulative!$E$116</c:f>
              <c:numCache>
                <c:formatCode>0.00</c:formatCode>
                <c:ptCount val="1"/>
                <c:pt idx="0">
                  <c:v>21.038451410108074</c:v>
                </c:pt>
              </c:numCache>
            </c:numRef>
          </c:xVal>
          <c:yVal>
            <c:numRef>
              <c:f>Cumulative!$D$116</c:f>
              <c:numCache>
                <c:formatCode>0.00</c:formatCode>
                <c:ptCount val="1"/>
                <c:pt idx="0">
                  <c:v>85.30259365994236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12A9-4F31-807A-F07C221FF2AD}"/>
            </c:ext>
          </c:extLst>
        </c:ser>
        <c:ser>
          <c:idx val="2"/>
          <c:order val="8"/>
          <c:tx>
            <c:strRef>
              <c:f>Cumulative!$F$45</c:f>
              <c:strCache>
                <c:ptCount val="1"/>
                <c:pt idx="0">
                  <c:v>A_MSS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Cumulative!$E$45</c:f>
              <c:numCache>
                <c:formatCode>0.00</c:formatCode>
                <c:ptCount val="1"/>
                <c:pt idx="0">
                  <c:v>16.849665252324847</c:v>
                </c:pt>
              </c:numCache>
            </c:numRef>
          </c:xVal>
          <c:yVal>
            <c:numRef>
              <c:f>Cumulative!$D$45</c:f>
              <c:numCache>
                <c:formatCode>0.00</c:formatCode>
                <c:ptCount val="1"/>
                <c:pt idx="0">
                  <c:v>93.473451327433636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12A9-4F31-807A-F07C221FF2AD}"/>
            </c:ext>
          </c:extLst>
        </c:ser>
        <c:ser>
          <c:idx val="7"/>
          <c:order val="9"/>
          <c:tx>
            <c:strRef>
              <c:f>Cumulative!$F$69</c:f>
              <c:strCache>
                <c:ptCount val="1"/>
                <c:pt idx="0">
                  <c:v>A_TM/ETM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Cumulative!$E$69</c:f>
              <c:numCache>
                <c:formatCode>0.00</c:formatCode>
                <c:ptCount val="1"/>
                <c:pt idx="0">
                  <c:v>22.925473871736074</c:v>
                </c:pt>
              </c:numCache>
            </c:numRef>
          </c:xVal>
          <c:yVal>
            <c:numRef>
              <c:f>Cumulative!$D$69</c:f>
              <c:numCache>
                <c:formatCode>0.00</c:formatCode>
                <c:ptCount val="1"/>
                <c:pt idx="0">
                  <c:v>95.625212368331631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12A9-4F31-807A-F07C221FF2AD}"/>
            </c:ext>
          </c:extLst>
        </c:ser>
        <c:ser>
          <c:idx val="12"/>
          <c:order val="10"/>
          <c:tx>
            <c:strRef>
              <c:f>Cumulative!$F$93</c:f>
              <c:strCache>
                <c:ptCount val="1"/>
                <c:pt idx="0">
                  <c:v>A_OLI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Cumulative!$E$93</c:f>
              <c:numCache>
                <c:formatCode>0.00</c:formatCode>
                <c:ptCount val="1"/>
                <c:pt idx="0">
                  <c:v>31.947233145551646</c:v>
                </c:pt>
              </c:numCache>
            </c:numRef>
          </c:xVal>
          <c:yVal>
            <c:numRef>
              <c:f>Cumulative!$D$93</c:f>
              <c:numCache>
                <c:formatCode>0.00</c:formatCode>
                <c:ptCount val="1"/>
                <c:pt idx="0">
                  <c:v>96.431950263549126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12A9-4F31-807A-F07C221FF2AD}"/>
            </c:ext>
          </c:extLst>
        </c:ser>
        <c:ser>
          <c:idx val="17"/>
          <c:order val="11"/>
          <c:tx>
            <c:strRef>
              <c:f>Cumulative!$F$117</c:f>
              <c:strCache>
                <c:ptCount val="1"/>
                <c:pt idx="0">
                  <c:v>A_MSI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25400">
                <a:solidFill>
                  <a:srgbClr val="B1EE2D"/>
                </a:solidFill>
              </a:ln>
              <a:effectLst/>
            </c:spPr>
          </c:marker>
          <c:xVal>
            <c:numRef>
              <c:f>Cumulative!$E$117</c:f>
              <c:numCache>
                <c:formatCode>0.00</c:formatCode>
                <c:ptCount val="1"/>
                <c:pt idx="0">
                  <c:v>25.254341591787199</c:v>
                </c:pt>
              </c:numCache>
            </c:numRef>
          </c:xVal>
          <c:yVal>
            <c:numRef>
              <c:f>Cumulative!$D$117</c:f>
              <c:numCache>
                <c:formatCode>0.00</c:formatCode>
                <c:ptCount val="1"/>
                <c:pt idx="0">
                  <c:v>95.666077017281253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12A9-4F31-807A-F07C221FF2AD}"/>
            </c:ext>
          </c:extLst>
        </c:ser>
        <c:ser>
          <c:idx val="3"/>
          <c:order val="12"/>
          <c:tx>
            <c:strRef>
              <c:f>Cumulative!$F$46</c:f>
              <c:strCache>
                <c:ptCount val="1"/>
                <c:pt idx="0">
                  <c:v>F_MSS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Cumulative!$E$46</c:f>
              <c:numCache>
                <c:formatCode>0.00</c:formatCode>
                <c:ptCount val="1"/>
                <c:pt idx="0">
                  <c:v>19.486577348107406</c:v>
                </c:pt>
              </c:numCache>
            </c:numRef>
          </c:xVal>
          <c:yVal>
            <c:numRef>
              <c:f>Cumulative!$D$46</c:f>
              <c:numCache>
                <c:formatCode>0.00</c:formatCode>
                <c:ptCount val="1"/>
                <c:pt idx="0">
                  <c:v>84.762633996937211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12A9-4F31-807A-F07C221FF2AD}"/>
            </c:ext>
          </c:extLst>
        </c:ser>
        <c:ser>
          <c:idx val="8"/>
          <c:order val="13"/>
          <c:tx>
            <c:strRef>
              <c:f>Cumulative!$F$70</c:f>
              <c:strCache>
                <c:ptCount val="1"/>
                <c:pt idx="0">
                  <c:v>F_TM/ETM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Cumulative!$E$70</c:f>
              <c:numCache>
                <c:formatCode>0.00</c:formatCode>
                <c:ptCount val="1"/>
                <c:pt idx="0">
                  <c:v>28.055933288323239</c:v>
                </c:pt>
              </c:numCache>
            </c:numRef>
          </c:xVal>
          <c:yVal>
            <c:numRef>
              <c:f>Cumulative!$D$70</c:f>
              <c:numCache>
                <c:formatCode>0.00</c:formatCode>
                <c:ptCount val="1"/>
                <c:pt idx="0">
                  <c:v>92.304026685727905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12A9-4F31-807A-F07C221FF2AD}"/>
            </c:ext>
          </c:extLst>
        </c:ser>
        <c:ser>
          <c:idx val="13"/>
          <c:order val="14"/>
          <c:tx>
            <c:strRef>
              <c:f>Cumulative!$F$94</c:f>
              <c:strCache>
                <c:ptCount val="1"/>
                <c:pt idx="0">
                  <c:v>F_OLI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Cumulative!$E$94</c:f>
              <c:numCache>
                <c:formatCode>0.00</c:formatCode>
                <c:ptCount val="1"/>
                <c:pt idx="0">
                  <c:v>37.910659000462708</c:v>
                </c:pt>
              </c:numCache>
            </c:numRef>
          </c:xVal>
          <c:yVal>
            <c:numRef>
              <c:f>Cumulative!$D$94</c:f>
              <c:numCache>
                <c:formatCode>0.00</c:formatCode>
                <c:ptCount val="1"/>
                <c:pt idx="0">
                  <c:v>95.79331540530157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12A9-4F31-807A-F07C221FF2AD}"/>
            </c:ext>
          </c:extLst>
        </c:ser>
        <c:ser>
          <c:idx val="18"/>
          <c:order val="15"/>
          <c:tx>
            <c:strRef>
              <c:f>Cumulative!$F$118</c:f>
              <c:strCache>
                <c:ptCount val="1"/>
                <c:pt idx="0">
                  <c:v>F_MSI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25400">
                <a:solidFill>
                  <a:srgbClr val="149721"/>
                </a:solidFill>
              </a:ln>
              <a:effectLst/>
            </c:spPr>
          </c:marker>
          <c:xVal>
            <c:numRef>
              <c:f>Cumulative!$E$118</c:f>
              <c:numCache>
                <c:formatCode>0.00</c:formatCode>
                <c:ptCount val="1"/>
                <c:pt idx="0">
                  <c:v>21.662084578351955</c:v>
                </c:pt>
              </c:numCache>
            </c:numRef>
          </c:xVal>
          <c:yVal>
            <c:numRef>
              <c:f>Cumulative!$D$118</c:f>
              <c:numCache>
                <c:formatCode>0.00</c:formatCode>
                <c:ptCount val="1"/>
                <c:pt idx="0">
                  <c:v>89.821834723275202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12A9-4F31-807A-F07C221FF2AD}"/>
            </c:ext>
          </c:extLst>
        </c:ser>
        <c:ser>
          <c:idx val="4"/>
          <c:order val="16"/>
          <c:tx>
            <c:strRef>
              <c:f>Cumulative!$F$47</c:f>
              <c:strCache>
                <c:ptCount val="1"/>
                <c:pt idx="0">
                  <c:v>S_MSS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Cumulative!$E$47</c:f>
              <c:numCache>
                <c:formatCode>0.00</c:formatCode>
                <c:ptCount val="1"/>
                <c:pt idx="0">
                  <c:v>15.132613336933726</c:v>
                </c:pt>
              </c:numCache>
            </c:numRef>
          </c:xVal>
          <c:yVal>
            <c:numRef>
              <c:f>Cumulative!$D$47</c:f>
              <c:numCache>
                <c:formatCode>0.00</c:formatCode>
                <c:ptCount val="1"/>
                <c:pt idx="0">
                  <c:v>81.327800829875514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12A9-4F31-807A-F07C221FF2AD}"/>
            </c:ext>
          </c:extLst>
        </c:ser>
        <c:ser>
          <c:idx val="9"/>
          <c:order val="17"/>
          <c:tx>
            <c:strRef>
              <c:f>Cumulative!$F$71</c:f>
              <c:strCache>
                <c:ptCount val="1"/>
                <c:pt idx="0">
                  <c:v>S_TM/ETM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Cumulative!$E$71</c:f>
              <c:numCache>
                <c:formatCode>0.00</c:formatCode>
                <c:ptCount val="1"/>
                <c:pt idx="0">
                  <c:v>17.802281730967902</c:v>
                </c:pt>
              </c:numCache>
            </c:numRef>
          </c:xVal>
          <c:yVal>
            <c:numRef>
              <c:f>Cumulative!$D$71</c:f>
              <c:numCache>
                <c:formatCode>0.00</c:formatCode>
                <c:ptCount val="1"/>
                <c:pt idx="0">
                  <c:v>81.861888111888121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12A9-4F31-807A-F07C221FF2AD}"/>
            </c:ext>
          </c:extLst>
        </c:ser>
        <c:ser>
          <c:idx val="14"/>
          <c:order val="18"/>
          <c:tx>
            <c:strRef>
              <c:f>Cumulative!$F$95</c:f>
              <c:strCache>
                <c:ptCount val="1"/>
                <c:pt idx="0">
                  <c:v>S_OLI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Cumulative!$E$95</c:f>
              <c:numCache>
                <c:formatCode>0.00</c:formatCode>
                <c:ptCount val="1"/>
                <c:pt idx="0">
                  <c:v>28.334701521799801</c:v>
                </c:pt>
              </c:numCache>
            </c:numRef>
          </c:xVal>
          <c:yVal>
            <c:numRef>
              <c:f>Cumulative!$D$95</c:f>
              <c:numCache>
                <c:formatCode>0.00</c:formatCode>
                <c:ptCount val="1"/>
                <c:pt idx="0">
                  <c:v>78.802083333333329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12A9-4F31-807A-F07C221FF2AD}"/>
            </c:ext>
          </c:extLst>
        </c:ser>
        <c:ser>
          <c:idx val="19"/>
          <c:order val="19"/>
          <c:tx>
            <c:strRef>
              <c:f>Cumulative!$F$119</c:f>
              <c:strCache>
                <c:ptCount val="1"/>
                <c:pt idx="0">
                  <c:v>S_MSI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25400">
                <a:solidFill>
                  <a:srgbClr val="AD8D06"/>
                </a:solidFill>
              </a:ln>
              <a:effectLst/>
            </c:spPr>
          </c:marker>
          <c:xVal>
            <c:numRef>
              <c:f>Cumulative!$E$119</c:f>
              <c:numCache>
                <c:formatCode>0.00</c:formatCode>
                <c:ptCount val="1"/>
                <c:pt idx="0">
                  <c:v>14.591039785977747</c:v>
                </c:pt>
              </c:numCache>
            </c:numRef>
          </c:xVal>
          <c:yVal>
            <c:numRef>
              <c:f>Cumulative!$D$119</c:f>
              <c:numCache>
                <c:formatCode>0.00</c:formatCode>
                <c:ptCount val="1"/>
                <c:pt idx="0">
                  <c:v>81.616161616161619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12A9-4F31-807A-F07C221FF2AD}"/>
            </c:ext>
          </c:extLst>
        </c:ser>
        <c:ser>
          <c:idx val="55"/>
          <c:order val="20"/>
          <c:tx>
            <c:strRef>
              <c:f>Cumulative!$F$19</c:f>
              <c:strCache>
                <c:ptCount val="1"/>
                <c:pt idx="0">
                  <c:v>W_All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002060"/>
              </a:solidFill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Cumulative!$E$19</c:f>
              <c:numCache>
                <c:formatCode>0.00</c:formatCode>
                <c:ptCount val="1"/>
                <c:pt idx="0">
                  <c:v>59.003013078138778</c:v>
                </c:pt>
              </c:numCache>
            </c:numRef>
          </c:xVal>
          <c:yVal>
            <c:numRef>
              <c:f>Cumulative!$D$19</c:f>
              <c:numCache>
                <c:formatCode>0.00</c:formatCode>
                <c:ptCount val="1"/>
                <c:pt idx="0">
                  <c:v>99.954212454212453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12A9-4F31-807A-F07C221FF2AD}"/>
            </c:ext>
          </c:extLst>
        </c:ser>
        <c:ser>
          <c:idx val="56"/>
          <c:order val="21"/>
          <c:tx>
            <c:strRef>
              <c:f>Cumulative!$F$20</c:f>
              <c:strCache>
                <c:ptCount val="1"/>
                <c:pt idx="0">
                  <c:v>B_All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ysClr val="windowText" lastClr="000000">
                  <a:lumMod val="85000"/>
                  <a:lumOff val="15000"/>
                </a:sysClr>
              </a:solidFill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Cumulative!$E$20</c:f>
              <c:numCache>
                <c:formatCode>0.00</c:formatCode>
                <c:ptCount val="1"/>
                <c:pt idx="0">
                  <c:v>20.515043379326052</c:v>
                </c:pt>
              </c:numCache>
            </c:numRef>
          </c:xVal>
          <c:yVal>
            <c:numRef>
              <c:f>Cumulative!$D$20</c:f>
              <c:numCache>
                <c:formatCode>0.00</c:formatCode>
                <c:ptCount val="1"/>
                <c:pt idx="0">
                  <c:v>90.362993896562799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12A9-4F31-807A-F07C221FF2AD}"/>
            </c:ext>
          </c:extLst>
        </c:ser>
        <c:ser>
          <c:idx val="57"/>
          <c:order val="22"/>
          <c:tx>
            <c:strRef>
              <c:f>Cumulative!$F$21</c:f>
              <c:strCache>
                <c:ptCount val="1"/>
                <c:pt idx="0">
                  <c:v>A_All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Cumulative!$E$21</c:f>
              <c:numCache>
                <c:formatCode>0.00</c:formatCode>
                <c:ptCount val="1"/>
                <c:pt idx="0">
                  <c:v>23.353552854926413</c:v>
                </c:pt>
              </c:numCache>
            </c:numRef>
          </c:xVal>
          <c:yVal>
            <c:numRef>
              <c:f>Cumulative!$D$21</c:f>
              <c:numCache>
                <c:formatCode>0.00</c:formatCode>
                <c:ptCount val="1"/>
                <c:pt idx="0">
                  <c:v>95.69474484129303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12A9-4F31-807A-F07C221FF2AD}"/>
            </c:ext>
          </c:extLst>
        </c:ser>
        <c:ser>
          <c:idx val="59"/>
          <c:order val="23"/>
          <c:tx>
            <c:strRef>
              <c:f>Cumulative!$F$23</c:f>
              <c:strCache>
                <c:ptCount val="1"/>
                <c:pt idx="0">
                  <c:v>S_All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E97132">
                  <a:lumMod val="50000"/>
                </a:srgbClr>
              </a:solidFill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Cumulative!$E$23</c:f>
              <c:numCache>
                <c:formatCode>0.00</c:formatCode>
                <c:ptCount val="1"/>
                <c:pt idx="0">
                  <c:v>17.802281730967902</c:v>
                </c:pt>
              </c:numCache>
            </c:numRef>
          </c:xVal>
          <c:yVal>
            <c:numRef>
              <c:f>Cumulative!$D$23</c:f>
              <c:numCache>
                <c:formatCode>0.00</c:formatCode>
                <c:ptCount val="1"/>
                <c:pt idx="0">
                  <c:v>81.123018530922081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12A9-4F31-807A-F07C221FF2AD}"/>
            </c:ext>
          </c:extLst>
        </c:ser>
        <c:ser>
          <c:idx val="58"/>
          <c:order val="24"/>
          <c:tx>
            <c:strRef>
              <c:f>Cumulative!$F$22</c:f>
              <c:strCache>
                <c:ptCount val="1"/>
                <c:pt idx="0">
                  <c:v>F_All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Cumulative!$E$22</c:f>
              <c:numCache>
                <c:formatCode>0.00</c:formatCode>
                <c:ptCount val="1"/>
                <c:pt idx="0">
                  <c:v>26.672062185134969</c:v>
                </c:pt>
              </c:numCache>
            </c:numRef>
          </c:xVal>
          <c:yVal>
            <c:numRef>
              <c:f>Cumulative!$D$22</c:f>
              <c:numCache>
                <c:formatCode>0.00</c:formatCode>
                <c:ptCount val="1"/>
                <c:pt idx="0">
                  <c:v>92.10796177037615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12A9-4F31-807A-F07C221FF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10"/>
        </c:scaling>
        <c:delete val="0"/>
        <c:axPos val="b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Sensor's Bands Median Coefficient of Variation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10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 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063203891628551"/>
          <c:y val="6.5182617644988478E-2"/>
          <c:w val="0.27517130158559022"/>
          <c:h val="0.84394068651534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Mode Classification</a:t>
            </a:r>
            <a:endParaRPr lang="en-US" sz="2000"/>
          </a:p>
        </c:rich>
      </c:tx>
      <c:layout>
        <c:manualLayout>
          <c:xMode val="edge"/>
          <c:yMode val="edge"/>
          <c:x val="0.32620683426469255"/>
          <c:y val="1.0282884262081189E-2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95803004567238"/>
          <c:y val="8.196151821393248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GUE_all!$D$4</c:f>
              <c:strCache>
                <c:ptCount val="1"/>
                <c:pt idx="0">
                  <c:v>W_77_MSS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Spectral!$R$11</c:f>
                <c:numCache>
                  <c:formatCode>General</c:formatCode>
                  <c:ptCount val="1"/>
                  <c:pt idx="0">
                    <c:v>10.464284701583308</c:v>
                  </c:pt>
                </c:numCache>
              </c:numRef>
            </c:plus>
            <c:minus>
              <c:numRef>
                <c:f>Spectral!$R$11</c:f>
                <c:numCache>
                  <c:formatCode>General</c:formatCode>
                  <c:ptCount val="1"/>
                  <c:pt idx="0">
                    <c:v>10.464284701583308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Spectral!$R$10</c:f>
              <c:numCache>
                <c:formatCode>0.00</c:formatCode>
                <c:ptCount val="1"/>
                <c:pt idx="0">
                  <c:v>57.656726116390544</c:v>
                </c:pt>
              </c:numCache>
            </c:numRef>
          </c:xVal>
          <c:yVal>
            <c:numRef>
              <c:f>GUE_all!$D$10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4B-406F-A9F0-A28503E6CF0F}"/>
            </c:ext>
          </c:extLst>
        </c:ser>
        <c:ser>
          <c:idx val="1"/>
          <c:order val="1"/>
          <c:tx>
            <c:strRef>
              <c:f>GUE_all!$D$52</c:f>
              <c:strCache>
                <c:ptCount val="1"/>
                <c:pt idx="0">
                  <c:v>W_88_MSS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noFill/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Spectral!$R$19</c:f>
                <c:numCache>
                  <c:formatCode>General</c:formatCode>
                  <c:ptCount val="1"/>
                  <c:pt idx="0">
                    <c:v>5.8850634411545775</c:v>
                  </c:pt>
                </c:numCache>
              </c:numRef>
            </c:plus>
            <c:minus>
              <c:numRef>
                <c:f>Spectral!$R$19</c:f>
                <c:numCache>
                  <c:formatCode>General</c:formatCode>
                  <c:ptCount val="1"/>
                  <c:pt idx="0">
                    <c:v>5.8850634411545775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Spectral!$R$18</c:f>
              <c:numCache>
                <c:formatCode>0.00</c:formatCode>
                <c:ptCount val="1"/>
                <c:pt idx="0">
                  <c:v>41.727751788682824</c:v>
                </c:pt>
              </c:numCache>
            </c:numRef>
          </c:xVal>
          <c:yVal>
            <c:numRef>
              <c:f>GUE_all!$D$58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4B-406F-A9F0-A28503E6CF0F}"/>
            </c:ext>
          </c:extLst>
        </c:ser>
        <c:ser>
          <c:idx val="8"/>
          <c:order val="2"/>
          <c:tx>
            <c:strRef>
              <c:f>GUE_all!$D$100</c:f>
              <c:strCache>
                <c:ptCount val="1"/>
                <c:pt idx="0">
                  <c:v>W_88_TM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9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Spectral!$R$29</c:f>
                <c:numCache>
                  <c:formatCode>General</c:formatCode>
                  <c:ptCount val="1"/>
                  <c:pt idx="0">
                    <c:v>7.9056297907488968</c:v>
                  </c:pt>
                </c:numCache>
              </c:numRef>
            </c:plus>
            <c:minus>
              <c:numRef>
                <c:f>Spectral!$R$29</c:f>
                <c:numCache>
                  <c:formatCode>General</c:formatCode>
                  <c:ptCount val="1"/>
                  <c:pt idx="0">
                    <c:v>7.9056297907488968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Spectral!$R$28</c:f>
              <c:numCache>
                <c:formatCode>0.00</c:formatCode>
                <c:ptCount val="1"/>
                <c:pt idx="0">
                  <c:v>60.350452169933888</c:v>
                </c:pt>
              </c:numCache>
            </c:numRef>
          </c:xVal>
          <c:yVal>
            <c:numRef>
              <c:f>GUE_all!$D$106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4B-406F-A9F0-A28503E6CF0F}"/>
            </c:ext>
          </c:extLst>
        </c:ser>
        <c:ser>
          <c:idx val="15"/>
          <c:order val="3"/>
          <c:tx>
            <c:strRef>
              <c:f>GUE_all!$D$148</c:f>
              <c:strCache>
                <c:ptCount val="1"/>
                <c:pt idx="0">
                  <c:v>W_91_TM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9"/>
            <c:spPr>
              <a:noFill/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Spectral!$R$39</c:f>
                <c:numCache>
                  <c:formatCode>General</c:formatCode>
                  <c:ptCount val="1"/>
                  <c:pt idx="0">
                    <c:v>6.046438642101565</c:v>
                  </c:pt>
                </c:numCache>
              </c:numRef>
            </c:plus>
            <c:minus>
              <c:numRef>
                <c:f>Spectral!$R$39</c:f>
                <c:numCache>
                  <c:formatCode>General</c:formatCode>
                  <c:ptCount val="1"/>
                  <c:pt idx="0">
                    <c:v>6.046438642101565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Spectral!$R$38</c:f>
              <c:numCache>
                <c:formatCode>0.00</c:formatCode>
                <c:ptCount val="1"/>
                <c:pt idx="0">
                  <c:v>61.292234380618723</c:v>
                </c:pt>
              </c:numCache>
            </c:numRef>
          </c:xVal>
          <c:yVal>
            <c:numRef>
              <c:f>GUE_all!$D$154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4B-406F-A9F0-A28503E6CF0F}"/>
            </c:ext>
          </c:extLst>
        </c:ser>
        <c:ser>
          <c:idx val="20"/>
          <c:order val="4"/>
          <c:tx>
            <c:strRef>
              <c:f>GUE_all!$D$196</c:f>
              <c:strCache>
                <c:ptCount val="1"/>
                <c:pt idx="0">
                  <c:v>W_01_TM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Spectral!$R$49</c:f>
                <c:numCache>
                  <c:formatCode>General</c:formatCode>
                  <c:ptCount val="1"/>
                  <c:pt idx="0">
                    <c:v>14.275460083065747</c:v>
                  </c:pt>
                </c:numCache>
              </c:numRef>
            </c:plus>
            <c:minus>
              <c:numRef>
                <c:f>Spectral!$R$49</c:f>
                <c:numCache>
                  <c:formatCode>General</c:formatCode>
                  <c:ptCount val="1"/>
                  <c:pt idx="0">
                    <c:v>14.275460083065747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Spectral!$R$48</c:f>
              <c:numCache>
                <c:formatCode>0.00</c:formatCode>
                <c:ptCount val="1"/>
                <c:pt idx="0">
                  <c:v>67.789616719713379</c:v>
                </c:pt>
              </c:numCache>
            </c:numRef>
          </c:xVal>
          <c:yVal>
            <c:numRef>
              <c:f>GUE_all!$D$202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4B-406F-A9F0-A28503E6CF0F}"/>
            </c:ext>
          </c:extLst>
        </c:ser>
        <c:ser>
          <c:idx val="25"/>
          <c:order val="5"/>
          <c:tx>
            <c:strRef>
              <c:f>GUE_all!$D$244</c:f>
              <c:strCache>
                <c:ptCount val="1"/>
                <c:pt idx="0">
                  <c:v>W_07_ETM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 cmpd="sng">
                <a:solidFill>
                  <a:srgbClr val="1F9DFF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Spectral!$R$59</c:f>
                <c:numCache>
                  <c:formatCode>General</c:formatCode>
                  <c:ptCount val="1"/>
                  <c:pt idx="0">
                    <c:v>3.5854764915949504</c:v>
                  </c:pt>
                </c:numCache>
              </c:numRef>
            </c:plus>
            <c:minus>
              <c:numRef>
                <c:f>Spectral!$R$59</c:f>
                <c:numCache>
                  <c:formatCode>General</c:formatCode>
                  <c:ptCount val="1"/>
                  <c:pt idx="0">
                    <c:v>3.5854764915949504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Spectral!$R$58</c:f>
              <c:numCache>
                <c:formatCode>0.00</c:formatCode>
                <c:ptCount val="1"/>
                <c:pt idx="0">
                  <c:v>35.905456596807753</c:v>
                </c:pt>
              </c:numCache>
            </c:numRef>
          </c:xVal>
          <c:yVal>
            <c:numRef>
              <c:f>GUE_all!$D$250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4B-406F-A9F0-A28503E6CF0F}"/>
            </c:ext>
          </c:extLst>
        </c:ser>
        <c:ser>
          <c:idx val="30"/>
          <c:order val="6"/>
          <c:tx>
            <c:strRef>
              <c:f>GUE_all!$D$292</c:f>
              <c:strCache>
                <c:ptCount val="1"/>
                <c:pt idx="0">
                  <c:v>W_11_ETM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1F9DFF">
                  <a:alpha val="20000"/>
                </a:srgbClr>
              </a:solidFill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Spectral!$R$69</c:f>
                <c:numCache>
                  <c:formatCode>General</c:formatCode>
                  <c:ptCount val="1"/>
                  <c:pt idx="0">
                    <c:v>20.84307498956532</c:v>
                  </c:pt>
                </c:numCache>
              </c:numRef>
            </c:plus>
            <c:minus>
              <c:numRef>
                <c:f>Spectral!$R$69</c:f>
                <c:numCache>
                  <c:formatCode>General</c:formatCode>
                  <c:ptCount val="1"/>
                  <c:pt idx="0">
                    <c:v>20.84307498956532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Spectral!$R$68</c:f>
              <c:numCache>
                <c:formatCode>0.00</c:formatCode>
                <c:ptCount val="1"/>
                <c:pt idx="0">
                  <c:v>68.425468641133861</c:v>
                </c:pt>
              </c:numCache>
            </c:numRef>
          </c:xVal>
          <c:yVal>
            <c:numRef>
              <c:f>GUE_all!$D$298</c:f>
              <c:numCache>
                <c:formatCode>0.00</c:formatCode>
                <c:ptCount val="1"/>
                <c:pt idx="0">
                  <c:v>99.613899613899619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4B-406F-A9F0-A28503E6CF0F}"/>
            </c:ext>
          </c:extLst>
        </c:ser>
        <c:ser>
          <c:idx val="35"/>
          <c:order val="7"/>
          <c:tx>
            <c:strRef>
              <c:f>GUE_all!$D$340</c:f>
              <c:strCache>
                <c:ptCount val="1"/>
                <c:pt idx="0">
                  <c:v>W_15_OLI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Spectral!$R$79</c:f>
                <c:numCache>
                  <c:formatCode>General</c:formatCode>
                  <c:ptCount val="1"/>
                  <c:pt idx="0">
                    <c:v>3.2724444917832254</c:v>
                  </c:pt>
                </c:numCache>
              </c:numRef>
            </c:plus>
            <c:minus>
              <c:numRef>
                <c:f>Spectral!$R$79</c:f>
                <c:numCache>
                  <c:formatCode>General</c:formatCode>
                  <c:ptCount val="1"/>
                  <c:pt idx="0">
                    <c:v>3.2724444917832254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Spectral!$R$78</c:f>
              <c:numCache>
                <c:formatCode>0.00</c:formatCode>
                <c:ptCount val="1"/>
                <c:pt idx="0">
                  <c:v>77.024627820204742</c:v>
                </c:pt>
              </c:numCache>
            </c:numRef>
          </c:xVal>
          <c:yVal>
            <c:numRef>
              <c:f>GUE_all!$D$346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4B-406F-A9F0-A28503E6CF0F}"/>
            </c:ext>
          </c:extLst>
        </c:ser>
        <c:ser>
          <c:idx val="40"/>
          <c:order val="8"/>
          <c:tx>
            <c:strRef>
              <c:f>GUE_all!$D$388</c:f>
              <c:strCache>
                <c:ptCount val="1"/>
                <c:pt idx="0">
                  <c:v>W_19_OLI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F9DFF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Spectral!$R$89</c:f>
                <c:numCache>
                  <c:formatCode>General</c:formatCode>
                  <c:ptCount val="1"/>
                  <c:pt idx="0">
                    <c:v>13.198158764569541</c:v>
                  </c:pt>
                </c:numCache>
              </c:numRef>
            </c:plus>
            <c:minus>
              <c:numRef>
                <c:f>Spectral!$R$89</c:f>
                <c:numCache>
                  <c:formatCode>General</c:formatCode>
                  <c:ptCount val="1"/>
                  <c:pt idx="0">
                    <c:v>13.198158764569541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Spectral!$R$88</c:f>
              <c:numCache>
                <c:formatCode>0.00</c:formatCode>
                <c:ptCount val="1"/>
                <c:pt idx="0">
                  <c:v>109.39817989765348</c:v>
                </c:pt>
              </c:numCache>
            </c:numRef>
          </c:xVal>
          <c:yVal>
            <c:numRef>
              <c:f>GUE_all!$D$394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4B-406F-A9F0-A28503E6CF0F}"/>
            </c:ext>
          </c:extLst>
        </c:ser>
        <c:ser>
          <c:idx val="44"/>
          <c:order val="9"/>
          <c:tx>
            <c:strRef>
              <c:f>GUE_all!$D$436</c:f>
              <c:strCache>
                <c:ptCount val="1"/>
                <c:pt idx="0">
                  <c:v>W_19_MSI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Spectral!$R$103</c:f>
                <c:numCache>
                  <c:formatCode>General</c:formatCode>
                  <c:ptCount val="1"/>
                  <c:pt idx="0">
                    <c:v>2.0996813718047838</c:v>
                  </c:pt>
                </c:numCache>
              </c:numRef>
            </c:plus>
            <c:minus>
              <c:numRef>
                <c:f>Spectral!$R$103</c:f>
                <c:numCache>
                  <c:formatCode>General</c:formatCode>
                  <c:ptCount val="1"/>
                  <c:pt idx="0">
                    <c:v>2.0996813718047838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Spectral!$R$102</c:f>
              <c:numCache>
                <c:formatCode>0.00</c:formatCode>
                <c:ptCount val="1"/>
                <c:pt idx="0">
                  <c:v>60.887731307923268</c:v>
                </c:pt>
              </c:numCache>
            </c:numRef>
          </c:xVal>
          <c:yVal>
            <c:numRef>
              <c:f>GUE_all!$D$442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4B-406F-A9F0-A28503E6CF0F}"/>
            </c:ext>
          </c:extLst>
        </c:ser>
        <c:ser>
          <c:idx val="49"/>
          <c:order val="10"/>
          <c:tx>
            <c:strRef>
              <c:f>GUE_all!$D$484</c:f>
              <c:strCache>
                <c:ptCount val="1"/>
                <c:pt idx="0">
                  <c:v>W_24_MSI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31750" cmpd="dbl">
                <a:solidFill>
                  <a:srgbClr val="1F9DFF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Spectral!$R$117</c:f>
                <c:numCache>
                  <c:formatCode>General</c:formatCode>
                  <c:ptCount val="1"/>
                  <c:pt idx="0">
                    <c:v>2.2857320636756637</c:v>
                  </c:pt>
                </c:numCache>
              </c:numRef>
            </c:plus>
            <c:minus>
              <c:numRef>
                <c:f>Spectral!$R$117</c:f>
                <c:numCache>
                  <c:formatCode>General</c:formatCode>
                  <c:ptCount val="1"/>
                  <c:pt idx="0">
                    <c:v>2.2857320636756637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Spectral!$R$116</c:f>
              <c:numCache>
                <c:formatCode>0.00</c:formatCode>
                <c:ptCount val="1"/>
                <c:pt idx="0">
                  <c:v>53.765844686603749</c:v>
                </c:pt>
              </c:numCache>
            </c:numRef>
          </c:xVal>
          <c:yVal>
            <c:numRef>
              <c:f>GUE_all!$D$490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4B-406F-A9F0-A28503E6CF0F}"/>
            </c:ext>
          </c:extLst>
        </c:ser>
        <c:ser>
          <c:idx val="9"/>
          <c:order val="11"/>
          <c:tx>
            <c:strRef>
              <c:f>GUE_all!$E$4</c:f>
              <c:strCache>
                <c:ptCount val="1"/>
                <c:pt idx="0">
                  <c:v>B_77_MSS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Spectral!$S$11</c:f>
                <c:numCache>
                  <c:formatCode>General</c:formatCode>
                  <c:ptCount val="1"/>
                  <c:pt idx="0">
                    <c:v>0.74369254860965373</c:v>
                  </c:pt>
                </c:numCache>
              </c:numRef>
            </c:plus>
            <c:minus>
              <c:numRef>
                <c:f>Spectral!$S$11</c:f>
                <c:numCache>
                  <c:formatCode>General</c:formatCode>
                  <c:ptCount val="1"/>
                  <c:pt idx="0">
                    <c:v>0.74369254860965373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GUE_all!$E$11</c:f>
                <c:numCache>
                  <c:formatCode>General</c:formatCode>
                  <c:ptCount val="1"/>
                  <c:pt idx="0">
                    <c:v>2.1377790082367012</c:v>
                  </c:pt>
                </c:numCache>
              </c:numRef>
            </c:plus>
            <c:minus>
              <c:numRef>
                <c:f>GUE_all!$E$11</c:f>
                <c:numCache>
                  <c:formatCode>General</c:formatCode>
                  <c:ptCount val="1"/>
                  <c:pt idx="0">
                    <c:v>2.1377790082367012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Spectral!$S$10</c:f>
              <c:numCache>
                <c:formatCode>0.00</c:formatCode>
                <c:ptCount val="1"/>
                <c:pt idx="0">
                  <c:v>21.814128496856323</c:v>
                </c:pt>
              </c:numCache>
            </c:numRef>
          </c:xVal>
          <c:yVal>
            <c:numRef>
              <c:f>GUE_all!$E$10</c:f>
              <c:numCache>
                <c:formatCode>0.00</c:formatCode>
                <c:ptCount val="1"/>
                <c:pt idx="0">
                  <c:v>95.652173913043484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74B-406F-A9F0-A28503E6CF0F}"/>
            </c:ext>
          </c:extLst>
        </c:ser>
        <c:ser>
          <c:idx val="2"/>
          <c:order val="12"/>
          <c:tx>
            <c:strRef>
              <c:f>GUE_all!$E$52</c:f>
              <c:strCache>
                <c:ptCount val="1"/>
                <c:pt idx="0">
                  <c:v>B_88_MSS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chemeClr val="accent3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GUE_all!$E$59</c:f>
                <c:numCache>
                  <c:formatCode>General</c:formatCode>
                  <c:ptCount val="1"/>
                  <c:pt idx="0">
                    <c:v>1.5287192313211824</c:v>
                  </c:pt>
                </c:numCache>
              </c:numRef>
            </c:plus>
            <c:minus>
              <c:numRef>
                <c:f>GUE_all!$E$59</c:f>
                <c:numCache>
                  <c:formatCode>General</c:formatCode>
                  <c:ptCount val="1"/>
                  <c:pt idx="0">
                    <c:v>1.5287192313211824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Spectral!$S$19</c:f>
                <c:numCache>
                  <c:formatCode>General</c:formatCode>
                  <c:ptCount val="1"/>
                  <c:pt idx="0">
                    <c:v>1.1954457880737204</c:v>
                  </c:pt>
                </c:numCache>
              </c:numRef>
            </c:plus>
            <c:minus>
              <c:numRef>
                <c:f>Spectral!$S$19</c:f>
                <c:numCache>
                  <c:formatCode>General</c:formatCode>
                  <c:ptCount val="1"/>
                  <c:pt idx="0">
                    <c:v>1.1954457880737204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xVal>
            <c:numRef>
              <c:f>Spectral!$S$18</c:f>
              <c:numCache>
                <c:formatCode>0.00</c:formatCode>
                <c:ptCount val="1"/>
                <c:pt idx="0">
                  <c:v>14.394483562940652</c:v>
                </c:pt>
              </c:numCache>
            </c:numRef>
          </c:xVal>
          <c:yVal>
            <c:numRef>
              <c:f>GUE_all!$E$58</c:f>
              <c:numCache>
                <c:formatCode>0.00</c:formatCode>
                <c:ptCount val="1"/>
                <c:pt idx="0">
                  <c:v>97.826086956521735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74B-406F-A9F0-A28503E6CF0F}"/>
            </c:ext>
          </c:extLst>
        </c:ser>
        <c:ser>
          <c:idx val="11"/>
          <c:order val="13"/>
          <c:tx>
            <c:strRef>
              <c:f>GUE_all!$E$100</c:f>
              <c:strCache>
                <c:ptCount val="1"/>
                <c:pt idx="0">
                  <c:v>B_88_TM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Spectral!$S$29</c:f>
                <c:numCache>
                  <c:formatCode>General</c:formatCode>
                  <c:ptCount val="1"/>
                  <c:pt idx="0">
                    <c:v>1.7224058867498462</c:v>
                  </c:pt>
                </c:numCache>
              </c:numRef>
            </c:plus>
            <c:minus>
              <c:numRef>
                <c:f>Spectral!$S$29</c:f>
                <c:numCache>
                  <c:formatCode>General</c:formatCode>
                  <c:ptCount val="1"/>
                  <c:pt idx="0">
                    <c:v>1.7224058867498462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GUE_all!$E$107</c:f>
                <c:numCache>
                  <c:formatCode>General</c:formatCode>
                  <c:ptCount val="1"/>
                  <c:pt idx="0">
                    <c:v>0.2949852507374659</c:v>
                  </c:pt>
                </c:numCache>
              </c:numRef>
            </c:plus>
            <c:minus>
              <c:numRef>
                <c:f>GUE_all!$E$107</c:f>
                <c:numCache>
                  <c:formatCode>General</c:formatCode>
                  <c:ptCount val="1"/>
                  <c:pt idx="0">
                    <c:v>0.2949852507374659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Spectral!$S$28</c:f>
              <c:numCache>
                <c:formatCode>0.00</c:formatCode>
                <c:ptCount val="1"/>
                <c:pt idx="0">
                  <c:v>18.365551296960525</c:v>
                </c:pt>
              </c:numCache>
            </c:numRef>
          </c:xVal>
          <c:yVal>
            <c:numRef>
              <c:f>GUE_all!$E$106</c:f>
              <c:numCache>
                <c:formatCode>0.00</c:formatCode>
                <c:ptCount val="1"/>
                <c:pt idx="0">
                  <c:v>99.705014749262531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74B-406F-A9F0-A28503E6CF0F}"/>
            </c:ext>
          </c:extLst>
        </c:ser>
        <c:ser>
          <c:idx val="16"/>
          <c:order val="14"/>
          <c:tx>
            <c:strRef>
              <c:f>GUE_all!$E$148</c:f>
              <c:strCache>
                <c:ptCount val="1"/>
                <c:pt idx="0">
                  <c:v>B_91_TM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CACDDE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Spectral!$S$39</c:f>
                <c:numCache>
                  <c:formatCode>General</c:formatCode>
                  <c:ptCount val="1"/>
                  <c:pt idx="0">
                    <c:v>1.0489347025177911</c:v>
                  </c:pt>
                </c:numCache>
              </c:numRef>
            </c:plus>
            <c:minus>
              <c:numRef>
                <c:f>Spectral!$S$39</c:f>
                <c:numCache>
                  <c:formatCode>General</c:formatCode>
                  <c:ptCount val="1"/>
                  <c:pt idx="0">
                    <c:v>1.0489347025177911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GUE_all!$E$155</c:f>
                <c:numCache>
                  <c:formatCode>General</c:formatCode>
                  <c:ptCount val="1"/>
                  <c:pt idx="0">
                    <c:v>1.8627504529603398</c:v>
                  </c:pt>
                </c:numCache>
              </c:numRef>
            </c:plus>
            <c:minus>
              <c:numRef>
                <c:f>GUE_all!$E$155</c:f>
                <c:numCache>
                  <c:formatCode>General</c:formatCode>
                  <c:ptCount val="1"/>
                  <c:pt idx="0">
                    <c:v>1.8627504529603398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xVal>
            <c:numRef>
              <c:f>Spectral!$S$38</c:f>
              <c:numCache>
                <c:formatCode>0.00</c:formatCode>
                <c:ptCount val="1"/>
                <c:pt idx="0">
                  <c:v>20.816189526802926</c:v>
                </c:pt>
              </c:numCache>
            </c:numRef>
          </c:xVal>
          <c:yVal>
            <c:numRef>
              <c:f>GUE_all!$E$154</c:f>
              <c:numCache>
                <c:formatCode>0.00</c:formatCode>
                <c:ptCount val="1"/>
                <c:pt idx="0">
                  <c:v>86.430678466076699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74B-406F-A9F0-A28503E6CF0F}"/>
            </c:ext>
          </c:extLst>
        </c:ser>
        <c:ser>
          <c:idx val="21"/>
          <c:order val="15"/>
          <c:tx>
            <c:strRef>
              <c:f>GUE_all!$E$196</c:f>
              <c:strCache>
                <c:ptCount val="1"/>
                <c:pt idx="0">
                  <c:v>B_01_TM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Spectral!$S$39</c:f>
                <c:numCache>
                  <c:formatCode>General</c:formatCode>
                  <c:ptCount val="1"/>
                  <c:pt idx="0">
                    <c:v>1.0489347025177911</c:v>
                  </c:pt>
                </c:numCache>
              </c:numRef>
            </c:plus>
            <c:minus>
              <c:numRef>
                <c:f>Spectral!$S$39</c:f>
                <c:numCache>
                  <c:formatCode>General</c:formatCode>
                  <c:ptCount val="1"/>
                  <c:pt idx="0">
                    <c:v>1.0489347025177911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GUE_all!$E$203</c:f>
                <c:numCache>
                  <c:formatCode>General</c:formatCode>
                  <c:ptCount val="1"/>
                  <c:pt idx="0">
                    <c:v>1.3678844450285044</c:v>
                  </c:pt>
                </c:numCache>
              </c:numRef>
            </c:plus>
            <c:minus>
              <c:numRef>
                <c:f>GUE_all!$E$203</c:f>
                <c:numCache>
                  <c:formatCode>General</c:formatCode>
                  <c:ptCount val="1"/>
                  <c:pt idx="0">
                    <c:v>1.3678844450285044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Spectral!$S$48</c:f>
              <c:numCache>
                <c:formatCode>0.00</c:formatCode>
                <c:ptCount val="1"/>
                <c:pt idx="0">
                  <c:v>19.733997319874003</c:v>
                </c:pt>
              </c:numCache>
            </c:numRef>
          </c:xVal>
          <c:yVal>
            <c:numRef>
              <c:f>GUE_all!$E$202</c:f>
              <c:numCache>
                <c:formatCode>0.00</c:formatCode>
                <c:ptCount val="1"/>
                <c:pt idx="0">
                  <c:v>93.215339233038335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74B-406F-A9F0-A28503E6CF0F}"/>
            </c:ext>
          </c:extLst>
        </c:ser>
        <c:ser>
          <c:idx val="26"/>
          <c:order val="16"/>
          <c:tx>
            <c:strRef>
              <c:f>GUE_all!$E$244</c:f>
              <c:strCache>
                <c:ptCount val="1"/>
                <c:pt idx="0">
                  <c:v>B_07_ETM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Spectral!$S$59</c:f>
                <c:numCache>
                  <c:formatCode>General</c:formatCode>
                  <c:ptCount val="1"/>
                  <c:pt idx="0">
                    <c:v>0.69483520245193997</c:v>
                  </c:pt>
                </c:numCache>
              </c:numRef>
            </c:plus>
            <c:minus>
              <c:numRef>
                <c:f>Spectral!$S$59</c:f>
                <c:numCache>
                  <c:formatCode>General</c:formatCode>
                  <c:ptCount val="1"/>
                  <c:pt idx="0">
                    <c:v>0.69483520245193997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GUE_all!$E$251</c:f>
                <c:numCache>
                  <c:formatCode>General</c:formatCode>
                  <c:ptCount val="1"/>
                  <c:pt idx="0">
                    <c:v>1.8000052253856256</c:v>
                  </c:pt>
                </c:numCache>
              </c:numRef>
            </c:plus>
            <c:minus>
              <c:numRef>
                <c:f>GUE_all!$E$251</c:f>
                <c:numCache>
                  <c:formatCode>General</c:formatCode>
                  <c:ptCount val="1"/>
                  <c:pt idx="0">
                    <c:v>1.8000052253856256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Spectral!$S$58</c:f>
              <c:numCache>
                <c:formatCode>0.00</c:formatCode>
                <c:ptCount val="1"/>
                <c:pt idx="0">
                  <c:v>19.060127813159923</c:v>
                </c:pt>
              </c:numCache>
            </c:numRef>
          </c:xVal>
          <c:yVal>
            <c:numRef>
              <c:f>GUE_all!$E$250</c:f>
              <c:numCache>
                <c:formatCode>0.00</c:formatCode>
                <c:ptCount val="1"/>
                <c:pt idx="0">
                  <c:v>93.03482587064677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74B-406F-A9F0-A28503E6CF0F}"/>
            </c:ext>
          </c:extLst>
        </c:ser>
        <c:ser>
          <c:idx val="31"/>
          <c:order val="17"/>
          <c:tx>
            <c:strRef>
              <c:f>GUE_all!$E$292</c:f>
              <c:strCache>
                <c:ptCount val="1"/>
                <c:pt idx="0">
                  <c:v>B_11_ETM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CACDDE">
                  <a:alpha val="20000"/>
                </a:srgbClr>
              </a:solidFill>
              <a:ln w="19050">
                <a:solidFill>
                  <a:srgbClr val="CACDDE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Spectral!$S$69</c:f>
                <c:numCache>
                  <c:formatCode>General</c:formatCode>
                  <c:ptCount val="1"/>
                  <c:pt idx="0">
                    <c:v>1.2986547739672247</c:v>
                  </c:pt>
                </c:numCache>
              </c:numRef>
            </c:plus>
            <c:minus>
              <c:numRef>
                <c:f>Spectral!$S$69</c:f>
                <c:numCache>
                  <c:formatCode>General</c:formatCode>
                  <c:ptCount val="1"/>
                  <c:pt idx="0">
                    <c:v>1.2986547739672247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GUE_all!$E$299</c:f>
                <c:numCache>
                  <c:formatCode>General</c:formatCode>
                  <c:ptCount val="1"/>
                  <c:pt idx="0">
                    <c:v>1.6339220356155837</c:v>
                  </c:pt>
                </c:numCache>
              </c:numRef>
            </c:plus>
            <c:minus>
              <c:numRef>
                <c:f>GUE_all!$E$299</c:f>
                <c:numCache>
                  <c:formatCode>General</c:formatCode>
                  <c:ptCount val="1"/>
                  <c:pt idx="0">
                    <c:v>1.6339220356155837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Spectral!$S$68</c:f>
              <c:numCache>
                <c:formatCode>0.00</c:formatCode>
                <c:ptCount val="1"/>
                <c:pt idx="0">
                  <c:v>21.096398225693957</c:v>
                </c:pt>
              </c:numCache>
            </c:numRef>
          </c:xVal>
          <c:yVal>
            <c:numRef>
              <c:f>GUE_all!$E$298</c:f>
              <c:numCache>
                <c:formatCode>0.00</c:formatCode>
                <c:ptCount val="1"/>
                <c:pt idx="0">
                  <c:v>89.970501474926252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74B-406F-A9F0-A28503E6CF0F}"/>
            </c:ext>
          </c:extLst>
        </c:ser>
        <c:ser>
          <c:idx val="36"/>
          <c:order val="18"/>
          <c:tx>
            <c:strRef>
              <c:f>GUE_all!$E$340</c:f>
              <c:strCache>
                <c:ptCount val="1"/>
                <c:pt idx="0">
                  <c:v>B_15_OLI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Spectral!$S$79</c:f>
                <c:numCache>
                  <c:formatCode>General</c:formatCode>
                  <c:ptCount val="1"/>
                  <c:pt idx="0">
                    <c:v>3.9461791632014309</c:v>
                  </c:pt>
                </c:numCache>
              </c:numRef>
            </c:plus>
            <c:minus>
              <c:numRef>
                <c:f>Spectral!$S$79</c:f>
                <c:numCache>
                  <c:formatCode>General</c:formatCode>
                  <c:ptCount val="1"/>
                  <c:pt idx="0">
                    <c:v>3.9461791632014309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GUE_all!$E$347</c:f>
                <c:numCache>
                  <c:formatCode>General</c:formatCode>
                  <c:ptCount val="1"/>
                  <c:pt idx="0">
                    <c:v>1.8455332487033302</c:v>
                  </c:pt>
                </c:numCache>
              </c:numRef>
            </c:plus>
            <c:minus>
              <c:numRef>
                <c:f>GUE_all!$E$347</c:f>
                <c:numCache>
                  <c:formatCode>General</c:formatCode>
                  <c:ptCount val="1"/>
                  <c:pt idx="0">
                    <c:v>1.8455332487033302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Spectral!$S$78</c:f>
              <c:numCache>
                <c:formatCode>0.00</c:formatCode>
                <c:ptCount val="1"/>
                <c:pt idx="0">
                  <c:v>26.292902859714708</c:v>
                </c:pt>
              </c:numCache>
            </c:numRef>
          </c:xVal>
          <c:yVal>
            <c:numRef>
              <c:f>GUE_all!$E$346</c:f>
              <c:numCache>
                <c:formatCode>0.00</c:formatCode>
                <c:ptCount val="1"/>
                <c:pt idx="0">
                  <c:v>86.725663716814154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74B-406F-A9F0-A28503E6CF0F}"/>
            </c:ext>
          </c:extLst>
        </c:ser>
        <c:ser>
          <c:idx val="41"/>
          <c:order val="19"/>
          <c:tx>
            <c:strRef>
              <c:f>GUE_all!$E$388</c:f>
              <c:strCache>
                <c:ptCount val="1"/>
                <c:pt idx="0">
                  <c:v>B_19_OLI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CACDDE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Spectral!$S$89</c:f>
                <c:numCache>
                  <c:formatCode>General</c:formatCode>
                  <c:ptCount val="1"/>
                  <c:pt idx="0">
                    <c:v>3.5083125612780512</c:v>
                  </c:pt>
                </c:numCache>
              </c:numRef>
            </c:plus>
            <c:minus>
              <c:numRef>
                <c:f>Spectral!$S$89</c:f>
                <c:numCache>
                  <c:formatCode>General</c:formatCode>
                  <c:ptCount val="1"/>
                  <c:pt idx="0">
                    <c:v>3.5083125612780512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GUE_all!$E$395</c:f>
                <c:numCache>
                  <c:formatCode>General</c:formatCode>
                  <c:ptCount val="1"/>
                  <c:pt idx="0">
                    <c:v>1.5213242833548206</c:v>
                  </c:pt>
                </c:numCache>
              </c:numRef>
            </c:plus>
            <c:minus>
              <c:numRef>
                <c:f>GUE_all!$E$395</c:f>
                <c:numCache>
                  <c:formatCode>General</c:formatCode>
                  <c:ptCount val="1"/>
                  <c:pt idx="0">
                    <c:v>1.5213242833548206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Spectral!$S$88</c:f>
              <c:numCache>
                <c:formatCode>0.00</c:formatCode>
                <c:ptCount val="1"/>
                <c:pt idx="0">
                  <c:v>25.601621684739449</c:v>
                </c:pt>
              </c:numCache>
            </c:numRef>
          </c:xVal>
          <c:yVal>
            <c:numRef>
              <c:f>GUE_all!$E$394</c:f>
              <c:numCache>
                <c:formatCode>0.00</c:formatCode>
                <c:ptCount val="1"/>
                <c:pt idx="0">
                  <c:v>91.445427728613566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74B-406F-A9F0-A28503E6CF0F}"/>
            </c:ext>
          </c:extLst>
        </c:ser>
        <c:ser>
          <c:idx val="45"/>
          <c:order val="20"/>
          <c:tx>
            <c:strRef>
              <c:f>GUE_all!$E$436</c:f>
              <c:strCache>
                <c:ptCount val="1"/>
                <c:pt idx="0">
                  <c:v>B_19_MSI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Spectral!$S$103</c:f>
                <c:numCache>
                  <c:formatCode>General</c:formatCode>
                  <c:ptCount val="1"/>
                  <c:pt idx="0">
                    <c:v>2.9634290620502974</c:v>
                  </c:pt>
                </c:numCache>
              </c:numRef>
            </c:plus>
            <c:minus>
              <c:numRef>
                <c:f>Spectral!$S$103</c:f>
                <c:numCache>
                  <c:formatCode>General</c:formatCode>
                  <c:ptCount val="1"/>
                  <c:pt idx="0">
                    <c:v>2.9634290620502974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GUE_all!$E$443</c:f>
                <c:numCache>
                  <c:formatCode>General</c:formatCode>
                  <c:ptCount val="1"/>
                  <c:pt idx="0">
                    <c:v>1.8230334586187336</c:v>
                  </c:pt>
                </c:numCache>
              </c:numRef>
            </c:plus>
            <c:minus>
              <c:numRef>
                <c:f>GUE_all!$E$443</c:f>
                <c:numCache>
                  <c:formatCode>General</c:formatCode>
                  <c:ptCount val="1"/>
                  <c:pt idx="0">
                    <c:v>1.8230334586187336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Spectral!$S$102</c:f>
              <c:numCache>
                <c:formatCode>0.00</c:formatCode>
                <c:ptCount val="1"/>
                <c:pt idx="0">
                  <c:v>21.567143590990856</c:v>
                </c:pt>
              </c:numCache>
            </c:numRef>
          </c:xVal>
          <c:yVal>
            <c:numRef>
              <c:f>GUE_all!$E$442</c:f>
              <c:numCache>
                <c:formatCode>0.00</c:formatCode>
                <c:ptCount val="1"/>
                <c:pt idx="0">
                  <c:v>86.743515850144092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74B-406F-A9F0-A28503E6CF0F}"/>
            </c:ext>
          </c:extLst>
        </c:ser>
        <c:ser>
          <c:idx val="50"/>
          <c:order val="21"/>
          <c:tx>
            <c:strRef>
              <c:f>GUE_all!$E$484</c:f>
              <c:strCache>
                <c:ptCount val="1"/>
                <c:pt idx="0">
                  <c:v>B_24_MSI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31750" cmpd="dbl">
                <a:solidFill>
                  <a:srgbClr val="CACDDE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Spectral!$S$117</c:f>
                <c:numCache>
                  <c:formatCode>General</c:formatCode>
                  <c:ptCount val="1"/>
                  <c:pt idx="0">
                    <c:v>3.0320813953620549</c:v>
                  </c:pt>
                </c:numCache>
              </c:numRef>
            </c:plus>
            <c:minus>
              <c:numRef>
                <c:f>Spectral!$S$117</c:f>
                <c:numCache>
                  <c:formatCode>General</c:formatCode>
                  <c:ptCount val="1"/>
                  <c:pt idx="0">
                    <c:v>3.0320813953620549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GUE_all!$E$491</c:f>
                <c:numCache>
                  <c:formatCode>General</c:formatCode>
                  <c:ptCount val="1"/>
                  <c:pt idx="0">
                    <c:v>1.9777572436142541</c:v>
                  </c:pt>
                </c:numCache>
              </c:numRef>
            </c:plus>
            <c:minus>
              <c:numRef>
                <c:f>GUE_all!$E$491</c:f>
                <c:numCache>
                  <c:formatCode>General</c:formatCode>
                  <c:ptCount val="1"/>
                  <c:pt idx="0">
                    <c:v>1.9777572436142541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Spectral!$S$116</c:f>
              <c:numCache>
                <c:formatCode>0.00</c:formatCode>
                <c:ptCount val="1"/>
                <c:pt idx="0">
                  <c:v>20.904960382889275</c:v>
                </c:pt>
              </c:numCache>
            </c:numRef>
          </c:xVal>
          <c:yVal>
            <c:numRef>
              <c:f>GUE_all!$E$490</c:f>
              <c:numCache>
                <c:formatCode>0.00</c:formatCode>
                <c:ptCount val="1"/>
                <c:pt idx="0">
                  <c:v>83.861671469740628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74B-406F-A9F0-A28503E6CF0F}"/>
            </c:ext>
          </c:extLst>
        </c:ser>
        <c:ser>
          <c:idx val="7"/>
          <c:order val="22"/>
          <c:tx>
            <c:strRef>
              <c:f>GUE_all!$F$4</c:f>
              <c:strCache>
                <c:ptCount val="1"/>
                <c:pt idx="0">
                  <c:v>A_77_MSS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Spectral!$T$11</c:f>
                <c:numCache>
                  <c:formatCode>General</c:formatCode>
                  <c:ptCount val="1"/>
                  <c:pt idx="0">
                    <c:v>2.4829836415255673</c:v>
                  </c:pt>
                </c:numCache>
              </c:numRef>
            </c:plus>
            <c:minus>
              <c:numRef>
                <c:f>Spectral!$T$11</c:f>
                <c:numCache>
                  <c:formatCode>General</c:formatCode>
                  <c:ptCount val="1"/>
                  <c:pt idx="0">
                    <c:v>2.4829836415255673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GUE_all!$F$11</c:f>
                <c:numCache>
                  <c:formatCode>General</c:formatCode>
                  <c:ptCount val="1"/>
                  <c:pt idx="0">
                    <c:v>0.49793723016302543</c:v>
                  </c:pt>
                </c:numCache>
              </c:numRef>
            </c:plus>
            <c:minus>
              <c:numRef>
                <c:f>GUE_all!$F$11</c:f>
                <c:numCache>
                  <c:formatCode>General</c:formatCode>
                  <c:ptCount val="1"/>
                  <c:pt idx="0">
                    <c:v>0.49793723016302543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Spectral!$T$10</c:f>
              <c:numCache>
                <c:formatCode>0.00</c:formatCode>
                <c:ptCount val="1"/>
                <c:pt idx="0">
                  <c:v>15.786223173635589</c:v>
                </c:pt>
              </c:numCache>
            </c:numRef>
          </c:xVal>
          <c:yVal>
            <c:numRef>
              <c:f>GUE_all!$F$10</c:f>
              <c:numCache>
                <c:formatCode>0.00</c:formatCode>
                <c:ptCount val="1"/>
                <c:pt idx="0">
                  <c:v>95.298672566371707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74B-406F-A9F0-A28503E6CF0F}"/>
            </c:ext>
          </c:extLst>
        </c:ser>
        <c:ser>
          <c:idx val="3"/>
          <c:order val="23"/>
          <c:tx>
            <c:strRef>
              <c:f>GUE_all!$F$52</c:f>
              <c:strCache>
                <c:ptCount val="1"/>
                <c:pt idx="0">
                  <c:v>A_88_MSS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B1EE2D">
                    <a:alpha val="96000"/>
                  </a:srgbClr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Spectral!$T$19</c:f>
                <c:numCache>
                  <c:formatCode>General</c:formatCode>
                  <c:ptCount val="1"/>
                  <c:pt idx="0">
                    <c:v>1.6708721991529654</c:v>
                  </c:pt>
                </c:numCache>
              </c:numRef>
            </c:plus>
            <c:minus>
              <c:numRef>
                <c:f>Spectral!$T$19</c:f>
                <c:numCache>
                  <c:formatCode>General</c:formatCode>
                  <c:ptCount val="1"/>
                  <c:pt idx="0">
                    <c:v>1.6708721991529654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GUE_all!$F$59</c:f>
                <c:numCache>
                  <c:formatCode>General</c:formatCode>
                  <c:ptCount val="1"/>
                  <c:pt idx="0">
                    <c:v>0.6508369863389688</c:v>
                  </c:pt>
                </c:numCache>
              </c:numRef>
            </c:plus>
            <c:minus>
              <c:numRef>
                <c:f>GUE_all!$F$59</c:f>
                <c:numCache>
                  <c:formatCode>General</c:formatCode>
                  <c:ptCount val="1"/>
                  <c:pt idx="0">
                    <c:v>0.6508369863389688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xVal>
            <c:numRef>
              <c:f>Spectral!$T$18</c:f>
              <c:numCache>
                <c:formatCode>0.00</c:formatCode>
                <c:ptCount val="1"/>
                <c:pt idx="0">
                  <c:v>17.158522117734478</c:v>
                </c:pt>
              </c:numCache>
            </c:numRef>
          </c:xVal>
          <c:yVal>
            <c:numRef>
              <c:f>GUE_all!$F$58</c:f>
              <c:numCache>
                <c:formatCode>0.00</c:formatCode>
                <c:ptCount val="1"/>
                <c:pt idx="0">
                  <c:v>91.648230088495581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74B-406F-A9F0-A28503E6CF0F}"/>
            </c:ext>
          </c:extLst>
        </c:ser>
        <c:ser>
          <c:idx val="12"/>
          <c:order val="24"/>
          <c:tx>
            <c:strRef>
              <c:f>GUE_all!$F$100</c:f>
              <c:strCache>
                <c:ptCount val="1"/>
                <c:pt idx="0">
                  <c:v>A_88_TM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B1EE2D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Spectral!$T$29</c:f>
                <c:numCache>
                  <c:formatCode>General</c:formatCode>
                  <c:ptCount val="1"/>
                  <c:pt idx="0">
                    <c:v>2.2249718136805945</c:v>
                  </c:pt>
                </c:numCache>
              </c:numRef>
            </c:plus>
            <c:minus>
              <c:numRef>
                <c:f>Spectral!$T$29</c:f>
                <c:numCache>
                  <c:formatCode>General</c:formatCode>
                  <c:ptCount val="1"/>
                  <c:pt idx="0">
                    <c:v>2.2249718136805945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GUE_all!$F$107</c:f>
                <c:numCache>
                  <c:formatCode>General</c:formatCode>
                  <c:ptCount val="1"/>
                  <c:pt idx="0">
                    <c:v>0.20092181559870553</c:v>
                  </c:pt>
                </c:numCache>
              </c:numRef>
            </c:plus>
            <c:minus>
              <c:numRef>
                <c:f>GUE_all!$F$107</c:f>
                <c:numCache>
                  <c:formatCode>General</c:formatCode>
                  <c:ptCount val="1"/>
                  <c:pt idx="0">
                    <c:v>0.20092181559870553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Spectral!$T$28</c:f>
              <c:numCache>
                <c:formatCode>0.00</c:formatCode>
                <c:ptCount val="1"/>
                <c:pt idx="0">
                  <c:v>21.143796751174861</c:v>
                </c:pt>
              </c:numCache>
            </c:numRef>
          </c:xVal>
          <c:yVal>
            <c:numRef>
              <c:f>GUE_all!$F$106</c:f>
              <c:numCache>
                <c:formatCode>0.00</c:formatCode>
                <c:ptCount val="1"/>
                <c:pt idx="0">
                  <c:v>96.918502500337894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674B-406F-A9F0-A28503E6CF0F}"/>
            </c:ext>
          </c:extLst>
        </c:ser>
        <c:ser>
          <c:idx val="17"/>
          <c:order val="25"/>
          <c:tx>
            <c:strRef>
              <c:f>GUE_all!$F$148</c:f>
              <c:strCache>
                <c:ptCount val="1"/>
                <c:pt idx="0">
                  <c:v>A_91_TM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B1EE2D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Spectral!$T$39</c:f>
                <c:numCache>
                  <c:formatCode>General</c:formatCode>
                  <c:ptCount val="1"/>
                  <c:pt idx="0">
                    <c:v>2.7911753127012826</c:v>
                  </c:pt>
                </c:numCache>
              </c:numRef>
            </c:plus>
            <c:minus>
              <c:numRef>
                <c:f>Spectral!$T$39</c:f>
                <c:numCache>
                  <c:formatCode>General</c:formatCode>
                  <c:ptCount val="1"/>
                  <c:pt idx="0">
                    <c:v>2.7911753127012826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GUE_all!$F$155</c:f>
                <c:numCache>
                  <c:formatCode>General</c:formatCode>
                  <c:ptCount val="1"/>
                  <c:pt idx="0">
                    <c:v>0.28856932705211469</c:v>
                  </c:pt>
                </c:numCache>
              </c:numRef>
            </c:plus>
            <c:minus>
              <c:numRef>
                <c:f>GUE_all!$F$155</c:f>
                <c:numCache>
                  <c:formatCode>General</c:formatCode>
                  <c:ptCount val="1"/>
                  <c:pt idx="0">
                    <c:v>0.28856932705211469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xVal>
            <c:numRef>
              <c:f>Spectral!$T$38</c:f>
              <c:numCache>
                <c:formatCode>0.00</c:formatCode>
                <c:ptCount val="1"/>
                <c:pt idx="0">
                  <c:v>27.445822290815514</c:v>
                </c:pt>
              </c:numCache>
            </c:numRef>
          </c:xVal>
          <c:yVal>
            <c:numRef>
              <c:f>GUE_all!$F$154</c:f>
              <c:numCache>
                <c:formatCode>0.00</c:formatCode>
                <c:ptCount val="1"/>
                <c:pt idx="0">
                  <c:v>93.40451412353022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674B-406F-A9F0-A28503E6CF0F}"/>
            </c:ext>
          </c:extLst>
        </c:ser>
        <c:ser>
          <c:idx val="22"/>
          <c:order val="26"/>
          <c:tx>
            <c:strRef>
              <c:f>GUE_all!$F$196</c:f>
              <c:strCache>
                <c:ptCount val="1"/>
                <c:pt idx="0">
                  <c:v>A_01_TM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Spectral!$T$49</c:f>
                <c:numCache>
                  <c:formatCode>General</c:formatCode>
                  <c:ptCount val="1"/>
                  <c:pt idx="0">
                    <c:v>1.8769402928791199</c:v>
                  </c:pt>
                </c:numCache>
              </c:numRef>
            </c:plus>
            <c:minus>
              <c:numRef>
                <c:f>Spectral!$T$49</c:f>
                <c:numCache>
                  <c:formatCode>General</c:formatCode>
                  <c:ptCount val="1"/>
                  <c:pt idx="0">
                    <c:v>1.8769402928791199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GUE_all!$F$203</c:f>
                <c:numCache>
                  <c:formatCode>General</c:formatCode>
                  <c:ptCount val="1"/>
                  <c:pt idx="0">
                    <c:v>0.23895427878015812</c:v>
                  </c:pt>
                </c:numCache>
              </c:numRef>
            </c:plus>
            <c:minus>
              <c:numRef>
                <c:f>GUE_all!$F$203</c:f>
                <c:numCache>
                  <c:formatCode>General</c:formatCode>
                  <c:ptCount val="1"/>
                  <c:pt idx="0">
                    <c:v>0.23895427878015812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Spectral!$T$48</c:f>
              <c:numCache>
                <c:formatCode>0.00</c:formatCode>
                <c:ptCount val="1"/>
                <c:pt idx="0">
                  <c:v>22.899238384952231</c:v>
                </c:pt>
              </c:numCache>
            </c:numRef>
          </c:xVal>
          <c:yVal>
            <c:numRef>
              <c:f>GUE_all!$F$202</c:f>
              <c:numCache>
                <c:formatCode>0.00</c:formatCode>
                <c:ptCount val="1"/>
                <c:pt idx="0">
                  <c:v>95.5804838491688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674B-406F-A9F0-A28503E6CF0F}"/>
            </c:ext>
          </c:extLst>
        </c:ser>
        <c:ser>
          <c:idx val="27"/>
          <c:order val="27"/>
          <c:tx>
            <c:strRef>
              <c:f>GUE_all!$F$244</c:f>
              <c:strCache>
                <c:ptCount val="1"/>
                <c:pt idx="0">
                  <c:v>A_07_ETM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Spectral!$T$59</c:f>
                <c:numCache>
                  <c:formatCode>General</c:formatCode>
                  <c:ptCount val="1"/>
                  <c:pt idx="0">
                    <c:v>2.1064966004439465</c:v>
                  </c:pt>
                </c:numCache>
              </c:numRef>
            </c:plus>
            <c:minus>
              <c:numRef>
                <c:f>Spectral!$T$59</c:f>
                <c:numCache>
                  <c:formatCode>General</c:formatCode>
                  <c:ptCount val="1"/>
                  <c:pt idx="0">
                    <c:v>2.1064966004439465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GUE_all!$F$251</c:f>
                <c:numCache>
                  <c:formatCode>General</c:formatCode>
                  <c:ptCount val="1"/>
                  <c:pt idx="0">
                    <c:v>0.23197508893876798</c:v>
                  </c:pt>
                </c:numCache>
              </c:numRef>
            </c:plus>
            <c:minus>
              <c:numRef>
                <c:f>GUE_all!$F$251</c:f>
                <c:numCache>
                  <c:formatCode>General</c:formatCode>
                  <c:ptCount val="1"/>
                  <c:pt idx="0">
                    <c:v>0.23197508893876798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Spectral!$T$58</c:f>
              <c:numCache>
                <c:formatCode>0.00</c:formatCode>
                <c:ptCount val="1"/>
                <c:pt idx="0">
                  <c:v>21.41218831533353</c:v>
                </c:pt>
              </c:numCache>
            </c:numRef>
          </c:xVal>
          <c:yVal>
            <c:numRef>
              <c:f>GUE_all!$F$250</c:f>
              <c:numCache>
                <c:formatCode>0.00</c:formatCode>
                <c:ptCount val="1"/>
                <c:pt idx="0">
                  <c:v>96.689075630252091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674B-406F-A9F0-A28503E6CF0F}"/>
            </c:ext>
          </c:extLst>
        </c:ser>
        <c:ser>
          <c:idx val="32"/>
          <c:order val="28"/>
          <c:tx>
            <c:strRef>
              <c:f>GUE_all!$F$292</c:f>
              <c:strCache>
                <c:ptCount val="1"/>
                <c:pt idx="0">
                  <c:v>A_11_ETM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B1EE2D">
                  <a:alpha val="20000"/>
                </a:srgbClr>
              </a:solidFill>
              <a:ln w="19050">
                <a:solidFill>
                  <a:srgbClr val="B1EE2D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Spectral!$T$69</c:f>
                <c:numCache>
                  <c:formatCode>General</c:formatCode>
                  <c:ptCount val="1"/>
                  <c:pt idx="0">
                    <c:v>2.8943453974213136</c:v>
                  </c:pt>
                </c:numCache>
              </c:numRef>
            </c:plus>
            <c:minus>
              <c:numRef>
                <c:f>Spectral!$T$69</c:f>
                <c:numCache>
                  <c:formatCode>General</c:formatCode>
                  <c:ptCount val="1"/>
                  <c:pt idx="0">
                    <c:v>2.8943453974213136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GUE_all!$F$299</c:f>
                <c:numCache>
                  <c:formatCode>General</c:formatCode>
                  <c:ptCount val="1"/>
                  <c:pt idx="0">
                    <c:v>0.23838612730840067</c:v>
                  </c:pt>
                </c:numCache>
              </c:numRef>
            </c:plus>
            <c:minus>
              <c:numRef>
                <c:f>GUE_all!$F$299</c:f>
                <c:numCache>
                  <c:formatCode>General</c:formatCode>
                  <c:ptCount val="1"/>
                  <c:pt idx="0">
                    <c:v>0.23838612730840067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Spectral!$T$68</c:f>
              <c:numCache>
                <c:formatCode>0.00</c:formatCode>
                <c:ptCount val="1"/>
                <c:pt idx="0">
                  <c:v>25.532854215488271</c:v>
                </c:pt>
              </c:numCache>
            </c:numRef>
          </c:xVal>
          <c:yVal>
            <c:numRef>
              <c:f>GUE_all!$F$298</c:f>
              <c:numCache>
                <c:formatCode>0.00</c:formatCode>
                <c:ptCount val="1"/>
                <c:pt idx="0">
                  <c:v>95.745571209373708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674B-406F-A9F0-A28503E6CF0F}"/>
            </c:ext>
          </c:extLst>
        </c:ser>
        <c:ser>
          <c:idx val="37"/>
          <c:order val="29"/>
          <c:tx>
            <c:strRef>
              <c:f>GUE_all!$F$340</c:f>
              <c:strCache>
                <c:ptCount val="1"/>
                <c:pt idx="0">
                  <c:v>A_15_OLI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Spectral!$T$79</c:f>
                <c:numCache>
                  <c:formatCode>General</c:formatCode>
                  <c:ptCount val="1"/>
                  <c:pt idx="0">
                    <c:v>8.966483770340524</c:v>
                  </c:pt>
                </c:numCache>
              </c:numRef>
            </c:plus>
            <c:minus>
              <c:numRef>
                <c:f>Spectral!$T$79</c:f>
                <c:numCache>
                  <c:formatCode>General</c:formatCode>
                  <c:ptCount val="1"/>
                  <c:pt idx="0">
                    <c:v>8.966483770340524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GUE_all!$F$347</c:f>
                <c:numCache>
                  <c:formatCode>General</c:formatCode>
                  <c:ptCount val="1"/>
                  <c:pt idx="0">
                    <c:v>0.22524415547237875</c:v>
                  </c:pt>
                </c:numCache>
              </c:numRef>
            </c:plus>
            <c:minus>
              <c:numRef>
                <c:f>GUE_all!$F$347</c:f>
                <c:numCache>
                  <c:formatCode>General</c:formatCode>
                  <c:ptCount val="1"/>
                  <c:pt idx="0">
                    <c:v>0.22524415547237875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Spectral!$T$78</c:f>
              <c:numCache>
                <c:formatCode>0.00</c:formatCode>
                <c:ptCount val="1"/>
                <c:pt idx="0">
                  <c:v>31.947233145551646</c:v>
                </c:pt>
              </c:numCache>
            </c:numRef>
          </c:xVal>
          <c:yVal>
            <c:numRef>
              <c:f>GUE_all!$F$346</c:f>
              <c:numCache>
                <c:formatCode>0.00</c:formatCode>
                <c:ptCount val="1"/>
                <c:pt idx="0">
                  <c:v>96.094066765779161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674B-406F-A9F0-A28503E6CF0F}"/>
            </c:ext>
          </c:extLst>
        </c:ser>
        <c:ser>
          <c:idx val="54"/>
          <c:order val="30"/>
          <c:tx>
            <c:strRef>
              <c:f>GUE_all!$F$388</c:f>
              <c:strCache>
                <c:ptCount val="1"/>
                <c:pt idx="0">
                  <c:v>A_19_OLI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B1EE2D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Spectral!$T$89</c:f>
                <c:numCache>
                  <c:formatCode>General</c:formatCode>
                  <c:ptCount val="1"/>
                  <c:pt idx="0">
                    <c:v>6.4533191130203091</c:v>
                  </c:pt>
                </c:numCache>
              </c:numRef>
            </c:plus>
            <c:minus>
              <c:numRef>
                <c:f>Spectral!$T$89</c:f>
                <c:numCache>
                  <c:formatCode>General</c:formatCode>
                  <c:ptCount val="1"/>
                  <c:pt idx="0">
                    <c:v>6.4533191130203091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GUE_all!$F$395</c:f>
                <c:numCache>
                  <c:formatCode>General</c:formatCode>
                  <c:ptCount val="1"/>
                  <c:pt idx="0">
                    <c:v>0.20555368686988729</c:v>
                  </c:pt>
                </c:numCache>
              </c:numRef>
            </c:plus>
            <c:minus>
              <c:numRef>
                <c:f>GUE_all!$F$395</c:f>
                <c:numCache>
                  <c:formatCode>General</c:formatCode>
                  <c:ptCount val="1"/>
                  <c:pt idx="0">
                    <c:v>0.20555368686988729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Spectral!$T$88</c:f>
              <c:numCache>
                <c:formatCode>0.00</c:formatCode>
                <c:ptCount val="1"/>
                <c:pt idx="0">
                  <c:v>31.372184533165857</c:v>
                </c:pt>
              </c:numCache>
            </c:numRef>
          </c:xVal>
          <c:yVal>
            <c:numRef>
              <c:f>GUE_all!$F$394</c:f>
              <c:numCache>
                <c:formatCode>0.00</c:formatCode>
                <c:ptCount val="1"/>
                <c:pt idx="0">
                  <c:v>96.769833761319106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674B-406F-A9F0-A28503E6CF0F}"/>
            </c:ext>
          </c:extLst>
        </c:ser>
        <c:ser>
          <c:idx val="46"/>
          <c:order val="31"/>
          <c:tx>
            <c:strRef>
              <c:f>GUE_all!$F$436</c:f>
              <c:strCache>
                <c:ptCount val="1"/>
                <c:pt idx="0">
                  <c:v>A_19_MSI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Spectral!$T$103</c:f>
                <c:numCache>
                  <c:formatCode>General</c:formatCode>
                  <c:ptCount val="1"/>
                  <c:pt idx="0">
                    <c:v>3.7343458748775236</c:v>
                  </c:pt>
                </c:numCache>
              </c:numRef>
            </c:plus>
            <c:minus>
              <c:numRef>
                <c:f>Spectral!$T$103</c:f>
                <c:numCache>
                  <c:formatCode>General</c:formatCode>
                  <c:ptCount val="1"/>
                  <c:pt idx="0">
                    <c:v>3.7343458748775236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GUE_all!$F$443</c:f>
                <c:numCache>
                  <c:formatCode>General</c:formatCode>
                  <c:ptCount val="1"/>
                  <c:pt idx="0">
                    <c:v>0.20051434844630719</c:v>
                  </c:pt>
                </c:numCache>
              </c:numRef>
            </c:plus>
            <c:minus>
              <c:numRef>
                <c:f>GUE_all!$F$443</c:f>
                <c:numCache>
                  <c:formatCode>General</c:formatCode>
                  <c:ptCount val="1"/>
                  <c:pt idx="0">
                    <c:v>0.20051434844630719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Spectral!$T$102</c:f>
              <c:numCache>
                <c:formatCode>0.00</c:formatCode>
                <c:ptCount val="1"/>
                <c:pt idx="0">
                  <c:v>25.940649549248025</c:v>
                </c:pt>
              </c:numCache>
            </c:numRef>
          </c:xVal>
          <c:yVal>
            <c:numRef>
              <c:f>GUE_all!$F$442</c:f>
              <c:numCache>
                <c:formatCode>0.00</c:formatCode>
                <c:ptCount val="1"/>
                <c:pt idx="0">
                  <c:v>96.952380952380963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674B-406F-A9F0-A28503E6CF0F}"/>
            </c:ext>
          </c:extLst>
        </c:ser>
        <c:ser>
          <c:idx val="51"/>
          <c:order val="32"/>
          <c:tx>
            <c:strRef>
              <c:f>GUE_all!$F$484</c:f>
              <c:strCache>
                <c:ptCount val="1"/>
                <c:pt idx="0">
                  <c:v>A_24_MSI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31750" cmpd="dbl">
                <a:solidFill>
                  <a:srgbClr val="B1EE2D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Spectral!$T$117</c:f>
                <c:numCache>
                  <c:formatCode>General</c:formatCode>
                  <c:ptCount val="1"/>
                  <c:pt idx="0">
                    <c:v>3.1642133826465542</c:v>
                  </c:pt>
                </c:numCache>
              </c:numRef>
            </c:plus>
            <c:minus>
              <c:numRef>
                <c:f>Spectral!$T$117</c:f>
                <c:numCache>
                  <c:formatCode>General</c:formatCode>
                  <c:ptCount val="1"/>
                  <c:pt idx="0">
                    <c:v>3.1642133826465542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GUE_all!$F$491</c:f>
                <c:numCache>
                  <c:formatCode>General</c:formatCode>
                  <c:ptCount val="1"/>
                  <c:pt idx="0">
                    <c:v>0.26870397492424902</c:v>
                  </c:pt>
                </c:numCache>
              </c:numRef>
            </c:plus>
            <c:minus>
              <c:numRef>
                <c:f>GUE_all!$F$491</c:f>
                <c:numCache>
                  <c:formatCode>General</c:formatCode>
                  <c:ptCount val="1"/>
                  <c:pt idx="0">
                    <c:v>0.26870397492424902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Spectral!$T$116</c:f>
              <c:numCache>
                <c:formatCode>0.00</c:formatCode>
                <c:ptCount val="1"/>
                <c:pt idx="0">
                  <c:v>23.433082795546746</c:v>
                </c:pt>
              </c:numCache>
            </c:numRef>
          </c:xVal>
          <c:yVal>
            <c:numRef>
              <c:f>GUE_all!$F$490</c:f>
              <c:numCache>
                <c:formatCode>0.00</c:formatCode>
                <c:ptCount val="1"/>
                <c:pt idx="0">
                  <c:v>94.37942297223735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674B-406F-A9F0-A28503E6CF0F}"/>
            </c:ext>
          </c:extLst>
        </c:ser>
        <c:ser>
          <c:idx val="0"/>
          <c:order val="33"/>
          <c:tx>
            <c:strRef>
              <c:f>GUE_all!$G$4</c:f>
              <c:strCache>
                <c:ptCount val="1"/>
                <c:pt idx="0">
                  <c:v>F_77_MSS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Spectral!$U$11</c:f>
                <c:numCache>
                  <c:formatCode>General</c:formatCode>
                  <c:ptCount val="1"/>
                  <c:pt idx="0">
                    <c:v>1.9166030196568293</c:v>
                  </c:pt>
                </c:numCache>
              </c:numRef>
            </c:plus>
            <c:minus>
              <c:numRef>
                <c:f>Spectral!$U$11</c:f>
                <c:numCache>
                  <c:formatCode>General</c:formatCode>
                  <c:ptCount val="1"/>
                  <c:pt idx="0">
                    <c:v>1.9166030196568293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GUE_all!$G$11</c:f>
                <c:numCache>
                  <c:formatCode>General</c:formatCode>
                  <c:ptCount val="1"/>
                  <c:pt idx="0">
                    <c:v>1.3436853315309185</c:v>
                  </c:pt>
                </c:numCache>
              </c:numRef>
            </c:plus>
            <c:minus>
              <c:numRef>
                <c:f>GUE_all!$G$11</c:f>
                <c:numCache>
                  <c:formatCode>General</c:formatCode>
                  <c:ptCount val="1"/>
                  <c:pt idx="0">
                    <c:v>1.3436853315309185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Spectral!$U$10</c:f>
              <c:numCache>
                <c:formatCode>0.00</c:formatCode>
                <c:ptCount val="1"/>
                <c:pt idx="0">
                  <c:v>23.81734070021092</c:v>
                </c:pt>
              </c:numCache>
            </c:numRef>
          </c:xVal>
          <c:yVal>
            <c:numRef>
              <c:f>GUE_all!$G$10</c:f>
              <c:numCache>
                <c:formatCode>0.00</c:formatCode>
                <c:ptCount val="1"/>
                <c:pt idx="0">
                  <c:v>86.370597243491574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674B-406F-A9F0-A28503E6CF0F}"/>
            </c:ext>
          </c:extLst>
        </c:ser>
        <c:ser>
          <c:idx val="4"/>
          <c:order val="34"/>
          <c:tx>
            <c:strRef>
              <c:f>GUE_all!$G$52</c:f>
              <c:strCache>
                <c:ptCount val="1"/>
                <c:pt idx="0">
                  <c:v>F_88_MSS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Spectral!$U$19</c:f>
                <c:numCache>
                  <c:formatCode>General</c:formatCode>
                  <c:ptCount val="1"/>
                  <c:pt idx="0">
                    <c:v>1.2836906631246643</c:v>
                  </c:pt>
                </c:numCache>
              </c:numRef>
            </c:plus>
            <c:minus>
              <c:numRef>
                <c:f>Spectral!$U$19</c:f>
                <c:numCache>
                  <c:formatCode>General</c:formatCode>
                  <c:ptCount val="1"/>
                  <c:pt idx="0">
                    <c:v>1.2836906631246643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GUE_all!$G$59</c:f>
                <c:numCache>
                  <c:formatCode>General</c:formatCode>
                  <c:ptCount val="1"/>
                  <c:pt idx="0">
                    <c:v>1.4657478918855846</c:v>
                  </c:pt>
                </c:numCache>
              </c:numRef>
            </c:plus>
            <c:minus>
              <c:numRef>
                <c:f>GUE_all!$G$59</c:f>
                <c:numCache>
                  <c:formatCode>General</c:formatCode>
                  <c:ptCount val="1"/>
                  <c:pt idx="0">
                    <c:v>1.4657478918855846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prstDash val="solid"/>
                <a:round/>
              </a:ln>
              <a:effectLst/>
            </c:spPr>
          </c:errBars>
          <c:xVal>
            <c:numRef>
              <c:f>Spectral!$U$18</c:f>
              <c:numCache>
                <c:formatCode>0.00</c:formatCode>
                <c:ptCount val="1"/>
                <c:pt idx="0">
                  <c:v>16.47327090033437</c:v>
                </c:pt>
              </c:numCache>
            </c:numRef>
          </c:xVal>
          <c:yVal>
            <c:numRef>
              <c:f>GUE_all!$G$58</c:f>
              <c:numCache>
                <c:formatCode>0.00</c:formatCode>
                <c:ptCount val="1"/>
                <c:pt idx="0">
                  <c:v>83.154670750382863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674B-406F-A9F0-A28503E6CF0F}"/>
            </c:ext>
          </c:extLst>
        </c:ser>
        <c:ser>
          <c:idx val="13"/>
          <c:order val="35"/>
          <c:tx>
            <c:strRef>
              <c:f>GUE_all!$G$100</c:f>
              <c:strCache>
                <c:ptCount val="1"/>
                <c:pt idx="0">
                  <c:v>F_88_TM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 cmpd="sng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Spectral!$U$29</c:f>
                <c:numCache>
                  <c:formatCode>General</c:formatCode>
                  <c:ptCount val="1"/>
                  <c:pt idx="0">
                    <c:v>2.6079781071324768</c:v>
                  </c:pt>
                </c:numCache>
              </c:numRef>
            </c:plus>
            <c:minus>
              <c:numRef>
                <c:f>Spectral!$U$29</c:f>
                <c:numCache>
                  <c:formatCode>General</c:formatCode>
                  <c:ptCount val="1"/>
                  <c:pt idx="0">
                    <c:v>2.6079781071324768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GUE_all!$G$107</c:f>
                <c:numCache>
                  <c:formatCode>General</c:formatCode>
                  <c:ptCount val="1"/>
                  <c:pt idx="0">
                    <c:v>0.55089568409461287</c:v>
                  </c:pt>
                </c:numCache>
              </c:numRef>
            </c:plus>
            <c:minus>
              <c:numRef>
                <c:f>GUE_all!$G$107</c:f>
                <c:numCache>
                  <c:formatCode>General</c:formatCode>
                  <c:ptCount val="1"/>
                  <c:pt idx="0">
                    <c:v>0.55089568409461287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Spectral!$U$28</c:f>
              <c:numCache>
                <c:formatCode>0.00</c:formatCode>
                <c:ptCount val="1"/>
                <c:pt idx="0">
                  <c:v>26.891461242597615</c:v>
                </c:pt>
              </c:numCache>
            </c:numRef>
          </c:xVal>
          <c:yVal>
            <c:numRef>
              <c:f>GUE_all!$G$106</c:f>
              <c:numCache>
                <c:formatCode>0.00</c:formatCode>
                <c:ptCount val="1"/>
                <c:pt idx="0">
                  <c:v>91.356127545140225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674B-406F-A9F0-A28503E6CF0F}"/>
            </c:ext>
          </c:extLst>
        </c:ser>
        <c:ser>
          <c:idx val="18"/>
          <c:order val="36"/>
          <c:tx>
            <c:strRef>
              <c:f>GUE_all!$G$148</c:f>
              <c:strCache>
                <c:ptCount val="1"/>
                <c:pt idx="0">
                  <c:v>F_91_TM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Spectral!$U$39</c:f>
                <c:numCache>
                  <c:formatCode>General</c:formatCode>
                  <c:ptCount val="1"/>
                  <c:pt idx="0">
                    <c:v>2.5554672323550016</c:v>
                  </c:pt>
                </c:numCache>
              </c:numRef>
            </c:plus>
            <c:minus>
              <c:numRef>
                <c:f>Spectral!$U$39</c:f>
                <c:numCache>
                  <c:formatCode>General</c:formatCode>
                  <c:ptCount val="1"/>
                  <c:pt idx="0">
                    <c:v>2.5554672323550016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GUE_all!$G$155</c:f>
                <c:numCache>
                  <c:formatCode>General</c:formatCode>
                  <c:ptCount val="1"/>
                  <c:pt idx="0">
                    <c:v>0.39265724002115482</c:v>
                  </c:pt>
                </c:numCache>
              </c:numRef>
            </c:plus>
            <c:minus>
              <c:numRef>
                <c:f>GUE_all!$G$155</c:f>
                <c:numCache>
                  <c:formatCode>General</c:formatCode>
                  <c:ptCount val="1"/>
                  <c:pt idx="0">
                    <c:v>0.39265724002115482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prstDash val="sysDash"/>
                <a:round/>
              </a:ln>
              <a:effectLst/>
            </c:spPr>
          </c:errBars>
          <c:xVal>
            <c:numRef>
              <c:f>Spectral!$U$38</c:f>
              <c:numCache>
                <c:formatCode>0.00</c:formatCode>
                <c:ptCount val="1"/>
                <c:pt idx="0">
                  <c:v>24.685920278983431</c:v>
                </c:pt>
              </c:numCache>
            </c:numRef>
          </c:xVal>
          <c:yVal>
            <c:numRef>
              <c:f>GUE_all!$G$154</c:f>
              <c:numCache>
                <c:formatCode>0.00</c:formatCode>
                <c:ptCount val="1"/>
                <c:pt idx="0">
                  <c:v>95.952380952380949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674B-406F-A9F0-A28503E6CF0F}"/>
            </c:ext>
          </c:extLst>
        </c:ser>
        <c:ser>
          <c:idx val="23"/>
          <c:order val="37"/>
          <c:tx>
            <c:strRef>
              <c:f>GUE_all!$G$196</c:f>
              <c:strCache>
                <c:ptCount val="1"/>
                <c:pt idx="0">
                  <c:v>F_01_TM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Spectral!$U$49</c:f>
                <c:numCache>
                  <c:formatCode>General</c:formatCode>
                  <c:ptCount val="1"/>
                  <c:pt idx="0">
                    <c:v>3.9211099471040907</c:v>
                  </c:pt>
                </c:numCache>
              </c:numRef>
            </c:plus>
            <c:minus>
              <c:numRef>
                <c:f>Spectral!$U$49</c:f>
                <c:numCache>
                  <c:formatCode>General</c:formatCode>
                  <c:ptCount val="1"/>
                  <c:pt idx="0">
                    <c:v>3.9211099471040907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GUE_all!$G$203</c:f>
                <c:numCache>
                  <c:formatCode>General</c:formatCode>
                  <c:ptCount val="1"/>
                  <c:pt idx="0">
                    <c:v>0.5531059527269635</c:v>
                  </c:pt>
                </c:numCache>
              </c:numRef>
            </c:plus>
            <c:minus>
              <c:numRef>
                <c:f>GUE_all!$G$203</c:f>
                <c:numCache>
                  <c:formatCode>General</c:formatCode>
                  <c:ptCount val="1"/>
                  <c:pt idx="0">
                    <c:v>0.5531059527269635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Spectral!$U$48</c:f>
              <c:numCache>
                <c:formatCode>0.00</c:formatCode>
                <c:ptCount val="1"/>
                <c:pt idx="0">
                  <c:v>35.031567568554081</c:v>
                </c:pt>
              </c:numCache>
            </c:numRef>
          </c:xVal>
          <c:yVal>
            <c:numRef>
              <c:f>GUE_all!$G$202</c:f>
              <c:numCache>
                <c:formatCode>0.00</c:formatCode>
                <c:ptCount val="1"/>
                <c:pt idx="0">
                  <c:v>91.279293123319235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674B-406F-A9F0-A28503E6CF0F}"/>
            </c:ext>
          </c:extLst>
        </c:ser>
        <c:ser>
          <c:idx val="28"/>
          <c:order val="38"/>
          <c:tx>
            <c:strRef>
              <c:f>GUE_all!$G$244</c:f>
              <c:strCache>
                <c:ptCount val="1"/>
                <c:pt idx="0">
                  <c:v>F_07_ETM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Spectral!$U$59</c:f>
                <c:numCache>
                  <c:formatCode>General</c:formatCode>
                  <c:ptCount val="1"/>
                  <c:pt idx="0">
                    <c:v>2.4918802702796192</c:v>
                  </c:pt>
                </c:numCache>
              </c:numRef>
            </c:plus>
            <c:minus>
              <c:numRef>
                <c:f>Spectral!$U$59</c:f>
                <c:numCache>
                  <c:formatCode>General</c:formatCode>
                  <c:ptCount val="1"/>
                  <c:pt idx="0">
                    <c:v>2.4918802702796192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GUE_all!$G$251</c:f>
                <c:numCache>
                  <c:formatCode>General</c:formatCode>
                  <c:ptCount val="1"/>
                  <c:pt idx="0">
                    <c:v>0.55892537340948734</c:v>
                  </c:pt>
                </c:numCache>
              </c:numRef>
            </c:plus>
            <c:minus>
              <c:numRef>
                <c:f>GUE_all!$G$251</c:f>
                <c:numCache>
                  <c:formatCode>General</c:formatCode>
                  <c:ptCount val="1"/>
                  <c:pt idx="0">
                    <c:v>0.55892537340948734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Spectral!$U$58</c:f>
              <c:numCache>
                <c:formatCode>0.00</c:formatCode>
                <c:ptCount val="1"/>
                <c:pt idx="0">
                  <c:v>23.407137197356654</c:v>
                </c:pt>
              </c:numCache>
            </c:numRef>
          </c:xVal>
          <c:yVal>
            <c:numRef>
              <c:f>GUE_all!$G$250</c:f>
              <c:numCache>
                <c:formatCode>0.00</c:formatCode>
                <c:ptCount val="1"/>
                <c:pt idx="0">
                  <c:v>92.237243785433932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674B-406F-A9F0-A28503E6CF0F}"/>
            </c:ext>
          </c:extLst>
        </c:ser>
        <c:ser>
          <c:idx val="33"/>
          <c:order val="39"/>
          <c:tx>
            <c:strRef>
              <c:f>GUE_all!$G$292</c:f>
              <c:strCache>
                <c:ptCount val="1"/>
                <c:pt idx="0">
                  <c:v>F_11_ETM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149721">
                  <a:alpha val="20000"/>
                </a:srgbClr>
              </a:solidFill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Spectral!$U$69</c:f>
                <c:numCache>
                  <c:formatCode>General</c:formatCode>
                  <c:ptCount val="1"/>
                  <c:pt idx="0">
                    <c:v>2.1211777523564672</c:v>
                  </c:pt>
                </c:numCache>
              </c:numRef>
            </c:plus>
            <c:minus>
              <c:numRef>
                <c:f>Spectral!$U$69</c:f>
                <c:numCache>
                  <c:formatCode>General</c:formatCode>
                  <c:ptCount val="1"/>
                  <c:pt idx="0">
                    <c:v>2.1211777523564672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GUE_all!$G$299</c:f>
                <c:numCache>
                  <c:formatCode>General</c:formatCode>
                  <c:ptCount val="1"/>
                  <c:pt idx="0">
                    <c:v>0.57042114084105178</c:v>
                  </c:pt>
                </c:numCache>
              </c:numRef>
            </c:plus>
            <c:minus>
              <c:numRef>
                <c:f>GUE_all!$G$299</c:f>
                <c:numCache>
                  <c:formatCode>General</c:formatCode>
                  <c:ptCount val="1"/>
                  <c:pt idx="0">
                    <c:v>0.57042114084105178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Spectral!$U$68</c:f>
              <c:numCache>
                <c:formatCode>0.00</c:formatCode>
                <c:ptCount val="1"/>
                <c:pt idx="0">
                  <c:v>31.744930059984856</c:v>
                </c:pt>
              </c:numCache>
            </c:numRef>
          </c:xVal>
          <c:yVal>
            <c:numRef>
              <c:f>GUE_all!$G$298</c:f>
              <c:numCache>
                <c:formatCode>0.00</c:formatCode>
                <c:ptCount val="1"/>
                <c:pt idx="0">
                  <c:v>90.785381026438571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674B-406F-A9F0-A28503E6CF0F}"/>
            </c:ext>
          </c:extLst>
        </c:ser>
        <c:ser>
          <c:idx val="38"/>
          <c:order val="40"/>
          <c:tx>
            <c:strRef>
              <c:f>GUE_all!$G$340</c:f>
              <c:strCache>
                <c:ptCount val="1"/>
                <c:pt idx="0">
                  <c:v>F_15_OLI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Spectral!$U$79</c:f>
                <c:numCache>
                  <c:formatCode>General</c:formatCode>
                  <c:ptCount val="1"/>
                  <c:pt idx="0">
                    <c:v>4.9485520235958189</c:v>
                  </c:pt>
                </c:numCache>
              </c:numRef>
            </c:plus>
            <c:minus>
              <c:numRef>
                <c:f>Spectral!$U$79</c:f>
                <c:numCache>
                  <c:formatCode>General</c:formatCode>
                  <c:ptCount val="1"/>
                  <c:pt idx="0">
                    <c:v>4.9485520235958189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GUE_all!$G$347</c:f>
                <c:numCache>
                  <c:formatCode>General</c:formatCode>
                  <c:ptCount val="1"/>
                  <c:pt idx="0">
                    <c:v>0.37132020901141038</c:v>
                  </c:pt>
                </c:numCache>
              </c:numRef>
            </c:plus>
            <c:minus>
              <c:numRef>
                <c:f>GUE_all!$G$347</c:f>
                <c:numCache>
                  <c:formatCode>General</c:formatCode>
                  <c:ptCount val="1"/>
                  <c:pt idx="0">
                    <c:v>0.37132020901141038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Spectral!$U$78</c:f>
              <c:numCache>
                <c:formatCode>0.00</c:formatCode>
                <c:ptCount val="1"/>
                <c:pt idx="0">
                  <c:v>41.123387130684605</c:v>
                </c:pt>
              </c:numCache>
            </c:numRef>
          </c:xVal>
          <c:yVal>
            <c:numRef>
              <c:f>GUE_all!$G$346</c:f>
              <c:numCache>
                <c:formatCode>0.00</c:formatCode>
                <c:ptCount val="1"/>
                <c:pt idx="0">
                  <c:v>96.273530541682661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674B-406F-A9F0-A28503E6CF0F}"/>
            </c:ext>
          </c:extLst>
        </c:ser>
        <c:ser>
          <c:idx val="42"/>
          <c:order val="41"/>
          <c:tx>
            <c:strRef>
              <c:f>GUE_all!$G$388</c:f>
              <c:strCache>
                <c:ptCount val="1"/>
                <c:pt idx="0">
                  <c:v>F_19_OLI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49721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Spectral!$U$89</c:f>
                <c:numCache>
                  <c:formatCode>General</c:formatCode>
                  <c:ptCount val="1"/>
                  <c:pt idx="0">
                    <c:v>3.615220964806332</c:v>
                  </c:pt>
                </c:numCache>
              </c:numRef>
            </c:plus>
            <c:minus>
              <c:numRef>
                <c:f>Spectral!$U$89</c:f>
                <c:numCache>
                  <c:formatCode>General</c:formatCode>
                  <c:ptCount val="1"/>
                  <c:pt idx="0">
                    <c:v>3.615220964806332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GUE_all!$G$395</c:f>
                <c:numCache>
                  <c:formatCode>General</c:formatCode>
                  <c:ptCount val="1"/>
                  <c:pt idx="0">
                    <c:v>0.41434822549063804</c:v>
                  </c:pt>
                </c:numCache>
              </c:numRef>
            </c:plus>
            <c:minus>
              <c:numRef>
                <c:f>GUE_all!$G$395</c:f>
                <c:numCache>
                  <c:formatCode>General</c:formatCode>
                  <c:ptCount val="1"/>
                  <c:pt idx="0">
                    <c:v>0.41434822549063804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Spectral!$U$88</c:f>
              <c:numCache>
                <c:formatCode>0.00</c:formatCode>
                <c:ptCount val="1"/>
                <c:pt idx="0">
                  <c:v>36.555798053651458</c:v>
                </c:pt>
              </c:numCache>
            </c:numRef>
          </c:xVal>
          <c:yVal>
            <c:numRef>
              <c:f>GUE_all!$G$394</c:f>
              <c:numCache>
                <c:formatCode>0.00</c:formatCode>
                <c:ptCount val="1"/>
                <c:pt idx="0">
                  <c:v>95.313100268920465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674B-406F-A9F0-A28503E6CF0F}"/>
            </c:ext>
          </c:extLst>
        </c:ser>
        <c:ser>
          <c:idx val="47"/>
          <c:order val="42"/>
          <c:tx>
            <c:strRef>
              <c:f>GUE_all!$G$436</c:f>
              <c:strCache>
                <c:ptCount val="1"/>
                <c:pt idx="0">
                  <c:v>F_19_MSI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Spectral!$U$103</c:f>
                <c:numCache>
                  <c:formatCode>General</c:formatCode>
                  <c:ptCount val="1"/>
                  <c:pt idx="0">
                    <c:v>3.2394833238142047</c:v>
                  </c:pt>
                </c:numCache>
              </c:numRef>
            </c:plus>
            <c:minus>
              <c:numRef>
                <c:f>Spectral!$U$103</c:f>
                <c:numCache>
                  <c:formatCode>General</c:formatCode>
                  <c:ptCount val="1"/>
                  <c:pt idx="0">
                    <c:v>3.2394833238142047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GUE_all!$G$443</c:f>
                <c:numCache>
                  <c:formatCode>General</c:formatCode>
                  <c:ptCount val="1"/>
                  <c:pt idx="0">
                    <c:v>0.63059864001507127</c:v>
                  </c:pt>
                </c:numCache>
              </c:numRef>
            </c:plus>
            <c:minus>
              <c:numRef>
                <c:f>GUE_all!$G$443</c:f>
                <c:numCache>
                  <c:formatCode>General</c:formatCode>
                  <c:ptCount val="1"/>
                  <c:pt idx="0">
                    <c:v>0.63059864001507127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Spectral!$U$102</c:f>
              <c:numCache>
                <c:formatCode>0.00</c:formatCode>
                <c:ptCount val="1"/>
                <c:pt idx="0">
                  <c:v>23.665037359442433</c:v>
                </c:pt>
              </c:numCache>
            </c:numRef>
          </c:xVal>
          <c:yVal>
            <c:numRef>
              <c:f>GUE_all!$G$442</c:f>
              <c:numCache>
                <c:formatCode>0.00</c:formatCode>
                <c:ptCount val="1"/>
                <c:pt idx="0">
                  <c:v>88.097043214556464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674B-406F-A9F0-A28503E6CF0F}"/>
            </c:ext>
          </c:extLst>
        </c:ser>
        <c:ser>
          <c:idx val="52"/>
          <c:order val="43"/>
          <c:tx>
            <c:strRef>
              <c:f>GUE_all!$G$484</c:f>
              <c:strCache>
                <c:ptCount val="1"/>
                <c:pt idx="0">
                  <c:v>F_24_MSI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31750" cmpd="dbl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Spectral!$U$117</c:f>
                <c:numCache>
                  <c:formatCode>General</c:formatCode>
                  <c:ptCount val="1"/>
                  <c:pt idx="0">
                    <c:v>1.8452266335419774</c:v>
                  </c:pt>
                </c:numCache>
              </c:numRef>
            </c:plus>
            <c:minus>
              <c:numRef>
                <c:f>Spectral!$U$117</c:f>
                <c:numCache>
                  <c:formatCode>General</c:formatCode>
                  <c:ptCount val="1"/>
                  <c:pt idx="0">
                    <c:v>1.8452266335419774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GUE_all!$G$491</c:f>
                <c:numCache>
                  <c:formatCode>General</c:formatCode>
                  <c:ptCount val="1"/>
                  <c:pt idx="0">
                    <c:v>0.54172782493243543</c:v>
                  </c:pt>
                </c:numCache>
              </c:numRef>
            </c:plus>
            <c:minus>
              <c:numRef>
                <c:f>GUE_all!$G$491</c:f>
                <c:numCache>
                  <c:formatCode>General</c:formatCode>
                  <c:ptCount val="1"/>
                  <c:pt idx="0">
                    <c:v>0.54172782493243543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Spectral!$U$116</c:f>
              <c:numCache>
                <c:formatCode>0.00</c:formatCode>
                <c:ptCount val="1"/>
                <c:pt idx="0">
                  <c:v>20.564687449468423</c:v>
                </c:pt>
              </c:numCache>
            </c:numRef>
          </c:xVal>
          <c:yVal>
            <c:numRef>
              <c:f>GUE_all!$G$490</c:f>
              <c:numCache>
                <c:formatCode>0.00</c:formatCode>
                <c:ptCount val="1"/>
                <c:pt idx="0">
                  <c:v>91.546626231993926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674B-406F-A9F0-A28503E6CF0F}"/>
            </c:ext>
          </c:extLst>
        </c:ser>
        <c:ser>
          <c:idx val="6"/>
          <c:order val="44"/>
          <c:tx>
            <c:strRef>
              <c:f>GUE_all!$H$4</c:f>
              <c:strCache>
                <c:ptCount val="1"/>
                <c:pt idx="0">
                  <c:v>S_77_MSS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Spectral!$V$11</c:f>
                <c:numCache>
                  <c:formatCode>General</c:formatCode>
                  <c:ptCount val="1"/>
                  <c:pt idx="0">
                    <c:v>0.6202129301569187</c:v>
                  </c:pt>
                </c:numCache>
              </c:numRef>
            </c:plus>
            <c:minus>
              <c:numRef>
                <c:f>Spectral!$V$11</c:f>
                <c:numCache>
                  <c:formatCode>General</c:formatCode>
                  <c:ptCount val="1"/>
                  <c:pt idx="0">
                    <c:v>0.6202129301569187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GUE_all!$H$11</c:f>
                <c:numCache>
                  <c:formatCode>General</c:formatCode>
                  <c:ptCount val="1"/>
                  <c:pt idx="0">
                    <c:v>2.4486601865262365</c:v>
                  </c:pt>
                </c:numCache>
              </c:numRef>
            </c:plus>
            <c:minus>
              <c:numRef>
                <c:f>GUE_all!$H$11</c:f>
                <c:numCache>
                  <c:formatCode>General</c:formatCode>
                  <c:ptCount val="1"/>
                  <c:pt idx="0">
                    <c:v>2.4486601865262365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Spectral!$V$10</c:f>
              <c:numCache>
                <c:formatCode>0.00</c:formatCode>
                <c:ptCount val="1"/>
                <c:pt idx="0">
                  <c:v>18.212343519306707</c:v>
                </c:pt>
              </c:numCache>
            </c:numRef>
          </c:xVal>
          <c:yVal>
            <c:numRef>
              <c:f>GUE_all!$H$10</c:f>
              <c:numCache>
                <c:formatCode>0.00</c:formatCode>
                <c:ptCount val="1"/>
                <c:pt idx="0">
                  <c:v>82.572614107883808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674B-406F-A9F0-A28503E6CF0F}"/>
            </c:ext>
          </c:extLst>
        </c:ser>
        <c:ser>
          <c:idx val="5"/>
          <c:order val="45"/>
          <c:tx>
            <c:strRef>
              <c:f>GUE_all!$H$52</c:f>
              <c:strCache>
                <c:ptCount val="1"/>
                <c:pt idx="0">
                  <c:v>S_88_MSS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Spectral!$V$19</c:f>
                <c:numCache>
                  <c:formatCode>General</c:formatCode>
                  <c:ptCount val="1"/>
                  <c:pt idx="0">
                    <c:v>1.1884107482268844</c:v>
                  </c:pt>
                </c:numCache>
              </c:numRef>
            </c:plus>
            <c:minus>
              <c:numRef>
                <c:f>Spectral!$V$19</c:f>
                <c:numCache>
                  <c:formatCode>General</c:formatCode>
                  <c:ptCount val="1"/>
                  <c:pt idx="0">
                    <c:v>1.1884107482268844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GUE_all!$H$59</c:f>
                <c:numCache>
                  <c:formatCode>General</c:formatCode>
                  <c:ptCount val="1"/>
                  <c:pt idx="0">
                    <c:v>2.5779625837359448</c:v>
                  </c:pt>
                </c:numCache>
              </c:numRef>
            </c:plus>
            <c:minus>
              <c:numRef>
                <c:f>GUE_all!$H$59</c:f>
                <c:numCache>
                  <c:formatCode>General</c:formatCode>
                  <c:ptCount val="1"/>
                  <c:pt idx="0">
                    <c:v>2.5779625837359448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olid"/>
                <a:round/>
              </a:ln>
              <a:effectLst/>
            </c:spPr>
          </c:errBars>
          <c:xVal>
            <c:numRef>
              <c:f>Spectral!$V$18</c:f>
              <c:numCache>
                <c:formatCode>0.00</c:formatCode>
                <c:ptCount val="1"/>
                <c:pt idx="0">
                  <c:v>11.894668748717017</c:v>
                </c:pt>
              </c:numCache>
            </c:numRef>
          </c:xVal>
          <c:yVal>
            <c:numRef>
              <c:f>GUE_all!$H$58</c:f>
              <c:numCache>
                <c:formatCode>0.00</c:formatCode>
                <c:ptCount val="1"/>
                <c:pt idx="0">
                  <c:v>80.08298755186722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674B-406F-A9F0-A28503E6CF0F}"/>
            </c:ext>
          </c:extLst>
        </c:ser>
        <c:ser>
          <c:idx val="14"/>
          <c:order val="46"/>
          <c:tx>
            <c:strRef>
              <c:f>GUE_all!$H$100</c:f>
              <c:strCache>
                <c:ptCount val="1"/>
                <c:pt idx="0">
                  <c:v>S_88_TM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Spectral!$V$29</c:f>
                <c:numCache>
                  <c:formatCode>General</c:formatCode>
                  <c:ptCount val="1"/>
                  <c:pt idx="0">
                    <c:v>0.82639815966829422</c:v>
                  </c:pt>
                </c:numCache>
              </c:numRef>
            </c:plus>
            <c:minus>
              <c:numRef>
                <c:f>Spectral!$V$29</c:f>
                <c:numCache>
                  <c:formatCode>General</c:formatCode>
                  <c:ptCount val="1"/>
                  <c:pt idx="0">
                    <c:v>0.82639815966829422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GUE_all!$H$107</c:f>
                <c:numCache>
                  <c:formatCode>General</c:formatCode>
                  <c:ptCount val="1"/>
                  <c:pt idx="0">
                    <c:v>1.1912688532439153</c:v>
                  </c:pt>
                </c:numCache>
              </c:numRef>
            </c:plus>
            <c:minus>
              <c:numRef>
                <c:f>GUE_all!$H$107</c:f>
                <c:numCache>
                  <c:formatCode>General</c:formatCode>
                  <c:ptCount val="1"/>
                  <c:pt idx="0">
                    <c:v>1.1912688532439153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Spectral!$V$28</c:f>
              <c:numCache>
                <c:formatCode>0.00</c:formatCode>
                <c:ptCount val="1"/>
                <c:pt idx="0">
                  <c:v>14.131255860874498</c:v>
                </c:pt>
              </c:numCache>
            </c:numRef>
          </c:xVal>
          <c:yVal>
            <c:numRef>
              <c:f>GUE_all!$H$106</c:f>
              <c:numCache>
                <c:formatCode>0.00</c:formatCode>
                <c:ptCount val="1"/>
                <c:pt idx="0">
                  <c:v>83.749999999999986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674B-406F-A9F0-A28503E6CF0F}"/>
            </c:ext>
          </c:extLst>
        </c:ser>
        <c:ser>
          <c:idx val="19"/>
          <c:order val="47"/>
          <c:tx>
            <c:strRef>
              <c:f>GUE_all!$H$148</c:f>
              <c:strCache>
                <c:ptCount val="1"/>
                <c:pt idx="0">
                  <c:v>S_91_TM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GUE_all!$H$155</c:f>
                <c:numCache>
                  <c:formatCode>General</c:formatCode>
                  <c:ptCount val="1"/>
                  <c:pt idx="0">
                    <c:v>1.3622216223481378</c:v>
                  </c:pt>
                </c:numCache>
              </c:numRef>
            </c:plus>
            <c:minus>
              <c:numRef>
                <c:f>GUE_all!$H$155</c:f>
                <c:numCache>
                  <c:formatCode>General</c:formatCode>
                  <c:ptCount val="1"/>
                  <c:pt idx="0">
                    <c:v>1.3622216223481378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ysDot"/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Spectral!$V$39</c:f>
                <c:numCache>
                  <c:formatCode>General</c:formatCode>
                  <c:ptCount val="1"/>
                  <c:pt idx="0">
                    <c:v>0.65440490590807254</c:v>
                  </c:pt>
                </c:numCache>
              </c:numRef>
            </c:plus>
            <c:minus>
              <c:numRef>
                <c:f>Spectral!$V$39</c:f>
                <c:numCache>
                  <c:formatCode>General</c:formatCode>
                  <c:ptCount val="1"/>
                  <c:pt idx="0">
                    <c:v>0.65440490590807254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ysDot"/>
                <a:round/>
              </a:ln>
              <a:effectLst/>
            </c:spPr>
          </c:errBars>
          <c:xVal>
            <c:numRef>
              <c:f>Spectral!$V$38</c:f>
              <c:numCache>
                <c:formatCode>0.00</c:formatCode>
                <c:ptCount val="1"/>
                <c:pt idx="0">
                  <c:v>18.227438083691077</c:v>
                </c:pt>
              </c:numCache>
            </c:numRef>
          </c:xVal>
          <c:yVal>
            <c:numRef>
              <c:f>GUE_all!$H$154</c:f>
              <c:numCache>
                <c:formatCode>0.00</c:formatCode>
                <c:ptCount val="1"/>
                <c:pt idx="0">
                  <c:v>77.354497354497369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674B-406F-A9F0-A28503E6CF0F}"/>
            </c:ext>
          </c:extLst>
        </c:ser>
        <c:ser>
          <c:idx val="24"/>
          <c:order val="48"/>
          <c:tx>
            <c:strRef>
              <c:f>GUE_all!$H$196</c:f>
              <c:strCache>
                <c:ptCount val="1"/>
                <c:pt idx="0">
                  <c:v>S_01_TM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Spectral!$V$49</c:f>
                <c:numCache>
                  <c:formatCode>General</c:formatCode>
                  <c:ptCount val="1"/>
                  <c:pt idx="0">
                    <c:v>0.63431463334685567</c:v>
                  </c:pt>
                </c:numCache>
              </c:numRef>
            </c:plus>
            <c:minus>
              <c:numRef>
                <c:f>Spectral!$V$49</c:f>
                <c:numCache>
                  <c:formatCode>General</c:formatCode>
                  <c:ptCount val="1"/>
                  <c:pt idx="0">
                    <c:v>0.63431463334685567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GUE_all!$H$203</c:f>
                <c:numCache>
                  <c:formatCode>General</c:formatCode>
                  <c:ptCount val="1"/>
                  <c:pt idx="0">
                    <c:v>1.1912688532439148</c:v>
                  </c:pt>
                </c:numCache>
              </c:numRef>
            </c:plus>
            <c:minus>
              <c:numRef>
                <c:f>GUE_all!$H$203</c:f>
                <c:numCache>
                  <c:formatCode>General</c:formatCode>
                  <c:ptCount val="1"/>
                  <c:pt idx="0">
                    <c:v>1.1912688532439148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Spectral!$V$48</c:f>
              <c:numCache>
                <c:formatCode>0.00</c:formatCode>
                <c:ptCount val="1"/>
                <c:pt idx="0">
                  <c:v>18.511490871234294</c:v>
                </c:pt>
              </c:numCache>
            </c:numRef>
          </c:xVal>
          <c:yVal>
            <c:numRef>
              <c:f>GUE_all!$H$202</c:f>
              <c:numCache>
                <c:formatCode>0.00</c:formatCode>
                <c:ptCount val="1"/>
                <c:pt idx="0">
                  <c:v>83.75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674B-406F-A9F0-A28503E6CF0F}"/>
            </c:ext>
          </c:extLst>
        </c:ser>
        <c:ser>
          <c:idx val="29"/>
          <c:order val="49"/>
          <c:tx>
            <c:strRef>
              <c:f>GUE_all!$H$244</c:f>
              <c:strCache>
                <c:ptCount val="1"/>
                <c:pt idx="0">
                  <c:v>S_07_ETM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Spectral!$V$59</c:f>
                <c:numCache>
                  <c:formatCode>General</c:formatCode>
                  <c:ptCount val="1"/>
                  <c:pt idx="0">
                    <c:v>0.86748584676805507</c:v>
                  </c:pt>
                </c:numCache>
              </c:numRef>
            </c:plus>
            <c:minus>
              <c:numRef>
                <c:f>Spectral!$V$59</c:f>
                <c:numCache>
                  <c:formatCode>General</c:formatCode>
                  <c:ptCount val="1"/>
                  <c:pt idx="0">
                    <c:v>0.86748584676805507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GUE_all!$H$251</c:f>
                <c:numCache>
                  <c:formatCode>General</c:formatCode>
                  <c:ptCount val="1"/>
                  <c:pt idx="0">
                    <c:v>1.6062658522237578</c:v>
                  </c:pt>
                </c:numCache>
              </c:numRef>
            </c:plus>
            <c:minus>
              <c:numRef>
                <c:f>GUE_all!$H$251</c:f>
                <c:numCache>
                  <c:formatCode>General</c:formatCode>
                  <c:ptCount val="1"/>
                  <c:pt idx="0">
                    <c:v>1.6062658522237578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Spectral!$V$58</c:f>
              <c:numCache>
                <c:formatCode>0.00</c:formatCode>
                <c:ptCount val="1"/>
                <c:pt idx="0">
                  <c:v>16.810252028184919</c:v>
                </c:pt>
              </c:numCache>
            </c:numRef>
          </c:xVal>
          <c:yVal>
            <c:numRef>
              <c:f>GUE_all!$H$250</c:f>
              <c:numCache>
                <c:formatCode>0.00</c:formatCode>
                <c:ptCount val="1"/>
                <c:pt idx="0">
                  <c:v>73.768308921438091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674B-406F-A9F0-A28503E6CF0F}"/>
            </c:ext>
          </c:extLst>
        </c:ser>
        <c:ser>
          <c:idx val="34"/>
          <c:order val="50"/>
          <c:tx>
            <c:strRef>
              <c:f>GUE_all!$H$292</c:f>
              <c:strCache>
                <c:ptCount val="1"/>
                <c:pt idx="0">
                  <c:v>S_11_ETM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AD8D06">
                  <a:alpha val="20000"/>
                </a:srgbClr>
              </a:solidFill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Spectral!$V$69</c:f>
                <c:numCache>
                  <c:formatCode>General</c:formatCode>
                  <c:ptCount val="1"/>
                  <c:pt idx="0">
                    <c:v>2.0478257629066197</c:v>
                  </c:pt>
                </c:numCache>
              </c:numRef>
            </c:plus>
            <c:minus>
              <c:numRef>
                <c:f>Spectral!$V$69</c:f>
                <c:numCache>
                  <c:formatCode>General</c:formatCode>
                  <c:ptCount val="1"/>
                  <c:pt idx="0">
                    <c:v>2.0478257629066197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GUE_all!$H$299</c:f>
                <c:numCache>
                  <c:formatCode>General</c:formatCode>
                  <c:ptCount val="1"/>
                  <c:pt idx="0">
                    <c:v>1.0162156240770146</c:v>
                  </c:pt>
                </c:numCache>
              </c:numRef>
            </c:plus>
            <c:minus>
              <c:numRef>
                <c:f>GUE_all!$H$299</c:f>
                <c:numCache>
                  <c:formatCode>General</c:formatCode>
                  <c:ptCount val="1"/>
                  <c:pt idx="0">
                    <c:v>1.0162156240770146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Spectral!$V$68</c:f>
              <c:numCache>
                <c:formatCode>0.00</c:formatCode>
                <c:ptCount val="1"/>
                <c:pt idx="0">
                  <c:v>25.269453885746135</c:v>
                </c:pt>
              </c:numCache>
            </c:numRef>
          </c:xVal>
          <c:yVal>
            <c:numRef>
              <c:f>GUE_all!$H$298</c:f>
              <c:numCache>
                <c:formatCode>0.00</c:formatCode>
                <c:ptCount val="1"/>
                <c:pt idx="0">
                  <c:v>88.854166666666671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674B-406F-A9F0-A28503E6CF0F}"/>
            </c:ext>
          </c:extLst>
        </c:ser>
        <c:ser>
          <c:idx val="39"/>
          <c:order val="51"/>
          <c:tx>
            <c:strRef>
              <c:f>GUE_all!$H$340</c:f>
              <c:strCache>
                <c:ptCount val="1"/>
                <c:pt idx="0">
                  <c:v>S_15_OLI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Spectral!$V$79</c:f>
                <c:numCache>
                  <c:formatCode>General</c:formatCode>
                  <c:ptCount val="1"/>
                  <c:pt idx="0">
                    <c:v>12.307938867137262</c:v>
                  </c:pt>
                </c:numCache>
              </c:numRef>
            </c:plus>
            <c:minus>
              <c:numRef>
                <c:f>Spectral!$V$79</c:f>
                <c:numCache>
                  <c:formatCode>General</c:formatCode>
                  <c:ptCount val="1"/>
                  <c:pt idx="0">
                    <c:v>12.307938867137262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GUE_all!$H$347</c:f>
                <c:numCache>
                  <c:formatCode>General</c:formatCode>
                  <c:ptCount val="1"/>
                  <c:pt idx="0">
                    <c:v>1.3636585469150411</c:v>
                  </c:pt>
                </c:numCache>
              </c:numRef>
            </c:plus>
            <c:minus>
              <c:numRef>
                <c:f>GUE_all!$H$347</c:f>
                <c:numCache>
                  <c:formatCode>General</c:formatCode>
                  <c:ptCount val="1"/>
                  <c:pt idx="0">
                    <c:v>1.3636585469150411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Spectral!$V$78</c:f>
              <c:numCache>
                <c:formatCode>0.00</c:formatCode>
                <c:ptCount val="1"/>
                <c:pt idx="0">
                  <c:v>27.110021527701043</c:v>
                </c:pt>
              </c:numCache>
            </c:numRef>
          </c:xVal>
          <c:yVal>
            <c:numRef>
              <c:f>GUE_all!$H$346</c:f>
              <c:numCache>
                <c:formatCode>0.00</c:formatCode>
                <c:ptCount val="1"/>
                <c:pt idx="0">
                  <c:v>76.770833333333329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674B-406F-A9F0-A28503E6CF0F}"/>
            </c:ext>
          </c:extLst>
        </c:ser>
        <c:ser>
          <c:idx val="43"/>
          <c:order val="52"/>
          <c:tx>
            <c:strRef>
              <c:f>GUE_all!$H$388</c:f>
              <c:strCache>
                <c:ptCount val="1"/>
                <c:pt idx="0">
                  <c:v>S_19_OLI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AD8D06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Spectral!$V$89</c:f>
                <c:numCache>
                  <c:formatCode>General</c:formatCode>
                  <c:ptCount val="1"/>
                  <c:pt idx="0">
                    <c:v>8.741021067826475</c:v>
                  </c:pt>
                </c:numCache>
              </c:numRef>
            </c:plus>
            <c:minus>
              <c:numRef>
                <c:f>Spectral!$V$89</c:f>
                <c:numCache>
                  <c:formatCode>General</c:formatCode>
                  <c:ptCount val="1"/>
                  <c:pt idx="0">
                    <c:v>8.741021067826475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GUE_all!$H$395</c:f>
                <c:numCache>
                  <c:formatCode>General</c:formatCode>
                  <c:ptCount val="1"/>
                  <c:pt idx="0">
                    <c:v>1.2710400508238462</c:v>
                  </c:pt>
                </c:numCache>
              </c:numRef>
            </c:plus>
            <c:minus>
              <c:numRef>
                <c:f>GUE_all!$H$395</c:f>
                <c:numCache>
                  <c:formatCode>General</c:formatCode>
                  <c:ptCount val="1"/>
                  <c:pt idx="0">
                    <c:v>1.2710400508238462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Spectral!$V$88</c:f>
              <c:numCache>
                <c:formatCode>0.00</c:formatCode>
                <c:ptCount val="1"/>
                <c:pt idx="0">
                  <c:v>28.334701521799801</c:v>
                </c:pt>
              </c:numCache>
            </c:numRef>
          </c:xVal>
          <c:yVal>
            <c:numRef>
              <c:f>GUE_all!$H$394</c:f>
              <c:numCache>
                <c:formatCode>0.00</c:formatCode>
                <c:ptCount val="1"/>
                <c:pt idx="0">
                  <c:v>80.833333333333329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674B-406F-A9F0-A28503E6CF0F}"/>
            </c:ext>
          </c:extLst>
        </c:ser>
        <c:ser>
          <c:idx val="48"/>
          <c:order val="53"/>
          <c:tx>
            <c:strRef>
              <c:f>GUE_all!$H$436</c:f>
              <c:strCache>
                <c:ptCount val="1"/>
                <c:pt idx="0">
                  <c:v>S_19_MSI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Spectral!$V$103</c:f>
                <c:numCache>
                  <c:formatCode>General</c:formatCode>
                  <c:ptCount val="1"/>
                  <c:pt idx="0">
                    <c:v>2.6535909040214039</c:v>
                  </c:pt>
                </c:numCache>
              </c:numRef>
            </c:plus>
            <c:minus>
              <c:numRef>
                <c:f>Spectral!$V$103</c:f>
                <c:numCache>
                  <c:formatCode>General</c:formatCode>
                  <c:ptCount val="1"/>
                  <c:pt idx="0">
                    <c:v>2.6535909040214039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GUE_all!$H$443</c:f>
                <c:numCache>
                  <c:formatCode>General</c:formatCode>
                  <c:ptCount val="1"/>
                  <c:pt idx="0">
                    <c:v>1.3529260734990296</c:v>
                  </c:pt>
                </c:numCache>
              </c:numRef>
            </c:plus>
            <c:minus>
              <c:numRef>
                <c:f>GUE_all!$H$443</c:f>
                <c:numCache>
                  <c:formatCode>General</c:formatCode>
                  <c:ptCount val="1"/>
                  <c:pt idx="0">
                    <c:v>1.3529260734990296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Spectral!$V$102</c:f>
              <c:numCache>
                <c:formatCode>0.00</c:formatCode>
                <c:ptCount val="1"/>
                <c:pt idx="0">
                  <c:v>16.694616048313016</c:v>
                </c:pt>
              </c:numCache>
            </c:numRef>
          </c:xVal>
          <c:yVal>
            <c:numRef>
              <c:f>GUE_all!$H$442</c:f>
              <c:numCache>
                <c:formatCode>0.00</c:formatCode>
                <c:ptCount val="1"/>
                <c:pt idx="0">
                  <c:v>76.26262626262627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674B-406F-A9F0-A28503E6CF0F}"/>
            </c:ext>
          </c:extLst>
        </c:ser>
        <c:ser>
          <c:idx val="53"/>
          <c:order val="54"/>
          <c:tx>
            <c:strRef>
              <c:f>GUE_all!$H$484</c:f>
              <c:strCache>
                <c:ptCount val="1"/>
                <c:pt idx="0">
                  <c:v>S_24_MSI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31750" cmpd="dbl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Spectral!$V$117</c:f>
                <c:numCache>
                  <c:formatCode>General</c:formatCode>
                  <c:ptCount val="1"/>
                  <c:pt idx="0">
                    <c:v>1.1657126662064474</c:v>
                  </c:pt>
                </c:numCache>
              </c:numRef>
            </c:plus>
            <c:minus>
              <c:numRef>
                <c:f>Spectral!$V$117</c:f>
                <c:numCache>
                  <c:formatCode>General</c:formatCode>
                  <c:ptCount val="1"/>
                  <c:pt idx="0">
                    <c:v>1.1657126662064474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GUE_all!$H$491</c:f>
                <c:numCache>
                  <c:formatCode>General</c:formatCode>
                  <c:ptCount val="1"/>
                  <c:pt idx="0">
                    <c:v>1.070441875992074</c:v>
                  </c:pt>
                </c:numCache>
              </c:numRef>
            </c:plus>
            <c:minus>
              <c:numRef>
                <c:f>GUE_all!$H$491</c:f>
                <c:numCache>
                  <c:formatCode>General</c:formatCode>
                  <c:ptCount val="1"/>
                  <c:pt idx="0">
                    <c:v>1.070441875992074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Spectral!$V$116</c:f>
              <c:numCache>
                <c:formatCode>0.00</c:formatCode>
                <c:ptCount val="1"/>
                <c:pt idx="0">
                  <c:v>13.239534595826779</c:v>
                </c:pt>
              </c:numCache>
            </c:numRef>
          </c:xVal>
          <c:yVal>
            <c:numRef>
              <c:f>GUE_all!$H$490</c:f>
              <c:numCache>
                <c:formatCode>0.00</c:formatCode>
                <c:ptCount val="1"/>
                <c:pt idx="0">
                  <c:v>86.969696969696969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674B-406F-A9F0-A28503E6CF0F}"/>
            </c:ext>
          </c:extLst>
        </c:ser>
        <c:ser>
          <c:idx val="55"/>
          <c:order val="55"/>
          <c:tx>
            <c:strRef>
              <c:f>Cumulative!$F$19</c:f>
              <c:strCache>
                <c:ptCount val="1"/>
                <c:pt idx="0">
                  <c:v>W_All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002060"/>
              </a:solidFill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Cumulative!$E$19</c:f>
              <c:numCache>
                <c:formatCode>0.00</c:formatCode>
                <c:ptCount val="1"/>
                <c:pt idx="0">
                  <c:v>59.003013078138778</c:v>
                </c:pt>
              </c:numCache>
            </c:numRef>
          </c:xVal>
          <c:yVal>
            <c:numRef>
              <c:f>Cumulative!$D$19</c:f>
              <c:numCache>
                <c:formatCode>0.00</c:formatCode>
                <c:ptCount val="1"/>
                <c:pt idx="0">
                  <c:v>99.954212454212453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01-40E8-87ED-BF9CAD1D29F3}"/>
            </c:ext>
          </c:extLst>
        </c:ser>
        <c:ser>
          <c:idx val="56"/>
          <c:order val="56"/>
          <c:tx>
            <c:strRef>
              <c:f>Cumulative!$F$20</c:f>
              <c:strCache>
                <c:ptCount val="1"/>
                <c:pt idx="0">
                  <c:v>B_All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ysClr val="windowText" lastClr="000000">
                  <a:lumMod val="85000"/>
                  <a:lumOff val="15000"/>
                </a:sysClr>
              </a:solidFill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Cumulative!$E$20</c:f>
              <c:numCache>
                <c:formatCode>0.00</c:formatCode>
                <c:ptCount val="1"/>
                <c:pt idx="0">
                  <c:v>20.515043379326052</c:v>
                </c:pt>
              </c:numCache>
            </c:numRef>
          </c:xVal>
          <c:yVal>
            <c:numRef>
              <c:f>Cumulative!$D$20</c:f>
              <c:numCache>
                <c:formatCode>0.00</c:formatCode>
                <c:ptCount val="1"/>
                <c:pt idx="0">
                  <c:v>90.362993896562799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01-40E8-87ED-BF9CAD1D29F3}"/>
            </c:ext>
          </c:extLst>
        </c:ser>
        <c:ser>
          <c:idx val="57"/>
          <c:order val="57"/>
          <c:tx>
            <c:strRef>
              <c:f>Cumulative!$F$21</c:f>
              <c:strCache>
                <c:ptCount val="1"/>
                <c:pt idx="0">
                  <c:v>A_All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Cumulative!$E$21</c:f>
              <c:numCache>
                <c:formatCode>0.00</c:formatCode>
                <c:ptCount val="1"/>
                <c:pt idx="0">
                  <c:v>23.353552854926413</c:v>
                </c:pt>
              </c:numCache>
            </c:numRef>
          </c:xVal>
          <c:yVal>
            <c:numRef>
              <c:f>Cumulative!$D$21</c:f>
              <c:numCache>
                <c:formatCode>0.00</c:formatCode>
                <c:ptCount val="1"/>
                <c:pt idx="0">
                  <c:v>95.69474484129303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01-40E8-87ED-BF9CAD1D29F3}"/>
            </c:ext>
          </c:extLst>
        </c:ser>
        <c:ser>
          <c:idx val="58"/>
          <c:order val="58"/>
          <c:tx>
            <c:strRef>
              <c:f>Cumulative!$F$22</c:f>
              <c:strCache>
                <c:ptCount val="1"/>
                <c:pt idx="0">
                  <c:v>F_All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Cumulative!$E$22</c:f>
              <c:numCache>
                <c:formatCode>0.00</c:formatCode>
                <c:ptCount val="1"/>
                <c:pt idx="0">
                  <c:v>26.672062185134969</c:v>
                </c:pt>
              </c:numCache>
            </c:numRef>
          </c:xVal>
          <c:yVal>
            <c:numRef>
              <c:f>Cumulative!$D$22</c:f>
              <c:numCache>
                <c:formatCode>0.00</c:formatCode>
                <c:ptCount val="1"/>
                <c:pt idx="0">
                  <c:v>92.10796177037615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501-40E8-87ED-BF9CAD1D29F3}"/>
            </c:ext>
          </c:extLst>
        </c:ser>
        <c:ser>
          <c:idx val="59"/>
          <c:order val="59"/>
          <c:tx>
            <c:strRef>
              <c:f>Cumulative!$F$23</c:f>
              <c:strCache>
                <c:ptCount val="1"/>
                <c:pt idx="0">
                  <c:v>S_All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E97132">
                  <a:lumMod val="50000"/>
                </a:srgbClr>
              </a:solidFill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Cumulative!$E$23</c:f>
              <c:numCache>
                <c:formatCode>0.00</c:formatCode>
                <c:ptCount val="1"/>
                <c:pt idx="0">
                  <c:v>17.802281730967902</c:v>
                </c:pt>
              </c:numCache>
            </c:numRef>
          </c:xVal>
          <c:yVal>
            <c:numRef>
              <c:f>Cumulative!$D$23</c:f>
              <c:numCache>
                <c:formatCode>0.00</c:formatCode>
                <c:ptCount val="1"/>
                <c:pt idx="0">
                  <c:v>81.123018530922081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501-40E8-87ED-BF9CAD1D2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10"/>
        </c:scaling>
        <c:delete val="0"/>
        <c:axPos val="b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Sensor's Bands Median Coefficient of Variation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10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 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063203891628551"/>
          <c:y val="6.5182617644988478E-2"/>
          <c:w val="0.33441357493354568"/>
          <c:h val="0.87948440490732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_xlchart.v1.55</cx:f>
      </cx:strDim>
      <cx:numDim type="val">
        <cx:f>_xlchart.v1.32</cx:f>
      </cx:numDim>
    </cx:data>
    <cx:data id="1">
      <cx:numDim type="val">
        <cx:f>_xlchart.v1.34</cx:f>
      </cx:numDim>
    </cx:data>
    <cx:data id="2">
      <cx:numDim type="val">
        <cx:f>_xlchart.v1.35</cx:f>
      </cx:numDim>
    </cx:data>
    <cx:data id="3">
      <cx:numDim type="val">
        <cx:f>_xlchart.v1.36</cx:f>
      </cx:numDim>
    </cx:data>
    <cx:data id="4">
      <cx:numDim type="val">
        <cx:f>_xlchart.v1.37</cx:f>
      </cx:numDim>
    </cx:data>
    <cx:data id="5">
      <cx:numDim type="val">
        <cx:f>_xlchart.v1.38</cx:f>
      </cx:numDim>
    </cx:data>
    <cx:data id="6">
      <cx:numDim type="val">
        <cx:f>_xlchart.v1.39</cx:f>
      </cx:numDim>
    </cx:data>
    <cx:data id="7">
      <cx:numDim type="val">
        <cx:f>_xlchart.v1.40</cx:f>
      </cx:numDim>
    </cx:data>
    <cx:data id="8">
      <cx:numDim type="val">
        <cx:f>_xlchart.v1.41</cx:f>
      </cx:numDim>
    </cx:data>
    <cx:data id="9">
      <cx:numDim type="val">
        <cx:f>_xlchart.v1.29</cx:f>
      </cx:numDim>
    </cx:data>
    <cx:data id="10">
      <cx:numDim type="val">
        <cx:f>_xlchart.v1.30</cx:f>
      </cx:numDim>
    </cx:data>
    <cx:data id="11">
      <cx:numDim type="val">
        <cx:f>_xlchart.v1.31</cx:f>
      </cx:numDim>
    </cx:data>
    <cx:data id="12">
      <cx:numDim type="val">
        <cx:f>_xlchart.v1.33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1977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_xlchart.v1.47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_xlchart.v1.48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_xlchart.v1.49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_xlchart.v1.50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_xlchart.v1.51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_xlchart.v1.52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>
          <cx:tx>
            <cx:txData>
              <cx:f>_xlchart.v1.53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>
          <cx:tx>
            <cx:txData>
              <cx:f>_xlchart.v1.54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>
          <cx:tx>
            <cx:txData>
              <cx:f>_xlchart.v1.42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>
          <cx:tx>
            <cx:txData>
              <cx:f>_xlchart.v1.43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>
          <cx:tx>
            <cx:txData>
              <cx:f>_xlchart.v1.44</cx:f>
              <cx:v>OA_100</cx:v>
            </cx:txData>
          </cx:tx>
          <cx:dataId val="10"/>
          <cx:layoutPr>
            <cx:statistics quartileMethod="exclusive"/>
          </cx:layoutPr>
        </cx:series>
        <cx:series layoutId="boxWhisker" uniqueId="{0000000F-CC7C-4F33-8FE2-34C9BAE9EEF0}">
          <cx:tx>
            <cx:txData>
              <cx:f>_xlchart.v1.45</cx:f>
              <cx:v>OA_150</cx:v>
            </cx:txData>
          </cx:tx>
          <cx:dataId val="11"/>
          <cx:layoutPr>
            <cx:statistics quartileMethod="exclusive"/>
          </cx:layoutPr>
        </cx:series>
        <cx:series layoutId="boxWhisker" uniqueId="{00000010-CC7C-4F33-8FE2-34C9BAE9EEF0}">
          <cx:tx>
            <cx:txData>
              <cx:f>_xlchart.v1.46</cx:f>
              <cx:v>OA_200</cx:v>
            </cx:txData>
          </cx:tx>
          <cx:dataId val="12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 max="0.92800000000000005" min="0.91200000000000003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_xlchart.v1.26</cx:f>
      </cx:strDim>
      <cx:numDim type="val">
        <cx:f>_xlchart.v1.3</cx:f>
      </cx:numDim>
    </cx:data>
    <cx:data id="1">
      <cx:numDim type="val">
        <cx:f>_xlchart.v1.5</cx:f>
      </cx:numDim>
    </cx:data>
    <cx:data id="2">
      <cx:numDim type="val">
        <cx:f>_xlchart.v1.6</cx:f>
      </cx:numDim>
    </cx:data>
    <cx:data id="3">
      <cx:numDim type="val">
        <cx:f>_xlchart.v1.7</cx:f>
      </cx:numDim>
    </cx:data>
    <cx:data id="4">
      <cx:numDim type="val">
        <cx:f>_xlchart.v1.8</cx:f>
      </cx:numDim>
    </cx:data>
    <cx:data id="5">
      <cx:numDim type="val">
        <cx:f>_xlchart.v1.9</cx:f>
      </cx:numDim>
    </cx:data>
    <cx:data id="6">
      <cx:numDim type="val">
        <cx:f>_xlchart.v1.10</cx:f>
      </cx:numDim>
    </cx:data>
    <cx:data id="7">
      <cx:numDim type="val">
        <cx:f>_xlchart.v1.11</cx:f>
      </cx:numDim>
    </cx:data>
    <cx:data id="8">
      <cx:numDim type="val">
        <cx:f>_xlchart.v1.12</cx:f>
      </cx:numDim>
    </cx:data>
    <cx:data id="9">
      <cx:numDim type="val">
        <cx:f>_xlchart.v1.0</cx:f>
      </cx:numDim>
    </cx:data>
    <cx:data id="10">
      <cx:numDim type="val">
        <cx:f>_xlchart.v1.1</cx:f>
      </cx:numDim>
    </cx:data>
    <cx:data id="11">
      <cx:numDim type="val">
        <cx:f>_xlchart.v1.2</cx:f>
      </cx:numDim>
    </cx:data>
    <cx:data id="12">
      <cx:numDim type="val">
        <cx:f>_xlchart.v1.4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1977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_xlchart.v1.18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_xlchart.v1.19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_xlchart.v1.20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_xlchart.v1.21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_xlchart.v1.22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_xlchart.v1.23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>
          <cx:tx>
            <cx:txData>
              <cx:f>_xlchart.v1.24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>
          <cx:tx>
            <cx:txData>
              <cx:f>_xlchart.v1.25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>
          <cx:tx>
            <cx:txData>
              <cx:f>_xlchart.v1.13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>
          <cx:tx>
            <cx:txData>
              <cx:f>_xlchart.v1.14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>
          <cx:tx>
            <cx:txData>
              <cx:f>_xlchart.v1.15</cx:f>
              <cx:v>Ô_100</cx:v>
            </cx:txData>
          </cx:tx>
          <cx:dataId val="10"/>
          <cx:layoutPr>
            <cx:statistics quartileMethod="exclusive"/>
          </cx:layoutPr>
        </cx:series>
        <cx:series layoutId="boxWhisker" uniqueId="{00000009-6C94-49BB-88D9-CCD3B605BB11}">
          <cx:tx>
            <cx:txData>
              <cx:f>_xlchart.v1.16</cx:f>
              <cx:v>Ô_150</cx:v>
            </cx:txData>
          </cx:tx>
          <cx:dataId val="11"/>
          <cx:layoutPr>
            <cx:statistics quartileMethod="exclusive"/>
          </cx:layoutPr>
        </cx:series>
        <cx:series layoutId="boxWhisker" uniqueId="{0000000A-6C94-49BB-88D9-CCD3B605BB11}">
          <cx:tx>
            <cx:txData>
              <cx:f>_xlchart.v1.17</cx:f>
              <cx:v>Ô_200</cx:v>
            </cx:txData>
          </cx:tx>
          <cx:dataId val="12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 max="0.90800000000000003" min="0.89100000000000013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1977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_xlchart.v1.28</cx:f>
              <cx:v>OA_200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_xlchart.v1.56</cx:f>
      </cx:numDim>
    </cx:data>
    <cx:data id="1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1977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_xlchart.v1.58</cx:f>
              <cx:v>Ô_200</cx:v>
            </cx:txData>
          </cx:tx>
          <cx:dataId val="0"/>
          <cx:layoutPr>
            <cx:binning intervalClosed="r">
              <cx:binCount val="10"/>
            </cx:binning>
          </cx:layoutPr>
        </cx:series>
        <cx:series layoutId="clusteredColumn" hidden="1" uniqueId="{00000000-B768-450C-8392-A145049BC1CD}" formatIdx="0">
          <cx:tx>
            <cx:txData>
              <cx:f>_xlchart.v1.59</cx:f>
              <cx:v>Ô_20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1977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_xlchart.v1.63</cx:f>
              <cx:v>Ô_20</cx:v>
            </cx:txData>
          </cx:tx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1977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_xlchart.v1.61</cx:f>
              <cx:v>OA_50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_xlchart.v1.90</cx:f>
      </cx:strDim>
      <cx:numDim type="val">
        <cx:f>_xlchart.v1.67</cx:f>
      </cx:numDim>
    </cx:data>
    <cx:data id="1">
      <cx:numDim type="val">
        <cx:f>_xlchart.v1.69</cx:f>
      </cx:numDim>
    </cx:data>
    <cx:data id="2">
      <cx:numDim type="val">
        <cx:f>_xlchart.v1.70</cx:f>
      </cx:numDim>
    </cx:data>
    <cx:data id="3">
      <cx:numDim type="val">
        <cx:f>_xlchart.v1.71</cx:f>
      </cx:numDim>
    </cx:data>
    <cx:data id="4">
      <cx:numDim type="val">
        <cx:f>_xlchart.v1.72</cx:f>
      </cx:numDim>
    </cx:data>
    <cx:data id="5">
      <cx:numDim type="val">
        <cx:f>_xlchart.v1.73</cx:f>
      </cx:numDim>
    </cx:data>
    <cx:data id="6">
      <cx:numDim type="val">
        <cx:f>_xlchart.v1.74</cx:f>
      </cx:numDim>
    </cx:data>
    <cx:data id="7">
      <cx:numDim type="val">
        <cx:f>_xlchart.v1.75</cx:f>
      </cx:numDim>
    </cx:data>
    <cx:data id="8">
      <cx:numDim type="val">
        <cx:f>_xlchart.v1.76</cx:f>
      </cx:numDim>
    </cx:data>
    <cx:data id="9">
      <cx:numDim type="val">
        <cx:f>_xlchart.v1.64</cx:f>
      </cx:numDim>
    </cx:data>
    <cx:data id="10">
      <cx:numDim type="val">
        <cx:f>_xlchart.v1.65</cx:f>
      </cx:numDim>
    </cx:data>
    <cx:data id="11">
      <cx:numDim type="val">
        <cx:f>_xlchart.v1.66</cx:f>
      </cx:numDim>
    </cx:data>
    <cx:data id="12">
      <cx:numDim type="val">
        <cx:f>_xlchart.v1.68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_xlchart.v1.82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_xlchart.v1.83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_xlchart.v1.84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_xlchart.v1.85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_xlchart.v1.86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_xlchart.v1.87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>
          <cx:tx>
            <cx:txData>
              <cx:f>_xlchart.v1.88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>
          <cx:tx>
            <cx:txData>
              <cx:f>_xlchart.v1.89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>
          <cx:tx>
            <cx:txData>
              <cx:f>_xlchart.v1.77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>
          <cx:tx>
            <cx:txData>
              <cx:f>_xlchart.v1.78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>
          <cx:tx>
            <cx:txData>
              <cx:f>_xlchart.v1.79</cx:f>
              <cx:v>OA_100</cx:v>
            </cx:txData>
          </cx:tx>
          <cx:dataId val="10"/>
          <cx:layoutPr>
            <cx:statistics quartileMethod="exclusive"/>
          </cx:layoutPr>
        </cx:series>
        <cx:series layoutId="boxWhisker" uniqueId="{0000000F-CC7C-4F33-8FE2-34C9BAE9EEF0}">
          <cx:tx>
            <cx:txData>
              <cx:f>_xlchart.v1.80</cx:f>
              <cx:v>OA_150</cx:v>
            </cx:txData>
          </cx:tx>
          <cx:dataId val="11"/>
          <cx:layoutPr>
            <cx:statistics quartileMethod="exclusive"/>
          </cx:layoutPr>
        </cx:series>
        <cx:series layoutId="boxWhisker" uniqueId="{00000010-CC7C-4F33-8FE2-34C9BAE9EEF0}">
          <cx:tx>
            <cx:txData>
              <cx:f>_xlchart.v1.81</cx:f>
              <cx:v>OA_200</cx:v>
            </cx:txData>
          </cx:tx>
          <cx:dataId val="12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 max="0.89600000000000013" min="0.87700000000000011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_xlchart.v1.117</cx:f>
      </cx:strDim>
      <cx:numDim type="val">
        <cx:f>_xlchart.v1.94</cx:f>
      </cx:numDim>
    </cx:data>
    <cx:data id="1">
      <cx:numDim type="val">
        <cx:f>_xlchart.v1.96</cx:f>
      </cx:numDim>
    </cx:data>
    <cx:data id="2">
      <cx:numDim type="val">
        <cx:f>_xlchart.v1.97</cx:f>
      </cx:numDim>
    </cx:data>
    <cx:data id="3">
      <cx:numDim type="val">
        <cx:f>_xlchart.v1.98</cx:f>
      </cx:numDim>
    </cx:data>
    <cx:data id="4">
      <cx:numDim type="val">
        <cx:f>_xlchart.v1.99</cx:f>
      </cx:numDim>
    </cx:data>
    <cx:data id="5">
      <cx:numDim type="val">
        <cx:f>_xlchart.v1.100</cx:f>
      </cx:numDim>
    </cx:data>
    <cx:data id="6">
      <cx:numDim type="val">
        <cx:f>_xlchart.v1.101</cx:f>
      </cx:numDim>
    </cx:data>
    <cx:data id="7">
      <cx:numDim type="val">
        <cx:f>_xlchart.v1.102</cx:f>
      </cx:numDim>
    </cx:data>
    <cx:data id="8">
      <cx:numDim type="val">
        <cx:f>_xlchart.v1.103</cx:f>
      </cx:numDim>
    </cx:data>
    <cx:data id="9">
      <cx:numDim type="val">
        <cx:f>_xlchart.v1.91</cx:f>
      </cx:numDim>
    </cx:data>
    <cx:data id="10">
      <cx:numDim type="val">
        <cx:f>_xlchart.v1.92</cx:f>
      </cx:numDim>
    </cx:data>
    <cx:data id="11">
      <cx:numDim type="val">
        <cx:f>_xlchart.v1.93</cx:f>
      </cx:numDim>
    </cx:data>
    <cx:data id="12">
      <cx:numDim type="val">
        <cx:f>_xlchart.v1.95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_xlchart.v1.109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_xlchart.v1.110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_xlchart.v1.111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_xlchart.v1.112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_xlchart.v1.113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_xlchart.v1.114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>
          <cx:tx>
            <cx:txData>
              <cx:f>_xlchart.v1.115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>
          <cx:tx>
            <cx:txData>
              <cx:f>_xlchart.v1.116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>
          <cx:tx>
            <cx:txData>
              <cx:f>_xlchart.v1.104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>
          <cx:tx>
            <cx:txData>
              <cx:f>_xlchart.v1.105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>
          <cx:tx>
            <cx:txData>
              <cx:f>_xlchart.v1.106</cx:f>
              <cx:v>Ô_100</cx:v>
            </cx:txData>
          </cx:tx>
          <cx:dataId val="10"/>
          <cx:layoutPr>
            <cx:statistics quartileMethod="exclusive"/>
          </cx:layoutPr>
        </cx:series>
        <cx:series layoutId="boxWhisker" uniqueId="{00000009-6C94-49BB-88D9-CCD3B605BB11}">
          <cx:tx>
            <cx:txData>
              <cx:f>_xlchart.v1.107</cx:f>
              <cx:v>Ô_150</cx:v>
            </cx:txData>
          </cx:tx>
          <cx:dataId val="11"/>
          <cx:layoutPr>
            <cx:statistics quartileMethod="exclusive"/>
          </cx:layoutPr>
        </cx:series>
        <cx:series layoutId="boxWhisker" uniqueId="{0000000A-6C94-49BB-88D9-CCD3B605BB11}">
          <cx:tx>
            <cx:txData>
              <cx:f>_xlchart.v1.108</cx:f>
              <cx:v>Ô_200</cx:v>
            </cx:txData>
          </cx:tx>
          <cx:dataId val="12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 min="0.8680000000000001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_xlchart.v1.119</cx:f>
              <cx:v>OA_200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_xlchart.v1.122</cx:f>
      </cx:numDim>
    </cx:data>
    <cx:data id="1">
      <cx:numDim type="val">
        <cx:f>_xlchart.v1.123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_xlchart.v1.124</cx:f>
              <cx:v>Ô_200</cx:v>
            </cx:txData>
          </cx:tx>
          <cx:dataId val="0"/>
          <cx:layoutPr>
            <cx:binning intervalClosed="r">
              <cx:binCount val="10"/>
            </cx:binning>
          </cx:layoutPr>
        </cx:series>
        <cx:series layoutId="clusteredColumn" hidden="1" uniqueId="{00000000-B768-450C-8392-A145049BC1CD}" formatIdx="0">
          <cx:tx>
            <cx:txData>
              <cx:f>_xlchart.v1.125</cx:f>
              <cx:v>Ô_20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_xlchart.v1.127</cx:f>
              <cx:v>Ô_20</cx:v>
            </cx:txData>
          </cx:tx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_xlchart.v1.121</cx:f>
              <cx:v>OA_50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_xlchart.v1.179</cx:f>
      </cx:strDim>
      <cx:numDim type="val">
        <cx:f>_xlchart.v1.159</cx:f>
      </cx:numDim>
    </cx:data>
    <cx:data id="1">
      <cx:numDim type="val">
        <cx:f>_xlchart.v1.160</cx:f>
      </cx:numDim>
    </cx:data>
    <cx:data id="2">
      <cx:numDim type="val">
        <cx:f>_xlchart.v1.161</cx:f>
      </cx:numDim>
    </cx:data>
    <cx:data id="3">
      <cx:numDim type="val">
        <cx:f>_xlchart.v1.162</cx:f>
      </cx:numDim>
    </cx:data>
    <cx:data id="4">
      <cx:numDim type="val">
        <cx:f>_xlchart.v1.163</cx:f>
      </cx:numDim>
    </cx:data>
    <cx:data id="5">
      <cx:numDim type="val">
        <cx:f>_xlchart.v1.164</cx:f>
      </cx:numDim>
    </cx:data>
    <cx:data id="6">
      <cx:numDim type="val">
        <cx:f>_xlchart.v1.165</cx:f>
      </cx:numDim>
    </cx:data>
    <cx:data id="7">
      <cx:numDim type="val">
        <cx:f>_xlchart.v1.166</cx:f>
      </cx:numDim>
    </cx:data>
    <cx:data id="8">
      <cx:numDim type="val">
        <cx:f>_xlchart.v1.167</cx:f>
      </cx:numDim>
    </cx:data>
    <cx:data id="9">
      <cx:numDim type="val">
        <cx:f>_xlchart.v1.157</cx:f>
      </cx:numDim>
    </cx:data>
    <cx:data id="10">
      <cx:numDim type="val">
        <cx:f>_xlchart.v1.158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_xlchart.v1.171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_xlchart.v1.172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_xlchart.v1.173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_xlchart.v1.174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_xlchart.v1.175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_xlchart.v1.176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_xlchart.v1.177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_xlchart.v1.178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_xlchart.v1.168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_xlchart.v1.169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_xlchart.v1.170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 min="0.94100000000000006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_xlchart.v1.156</cx:f>
      </cx:strDim>
      <cx:numDim type="val">
        <cx:f>_xlchart.v1.136</cx:f>
      </cx:numDim>
    </cx:data>
    <cx:data id="1">
      <cx:numDim type="val">
        <cx:f>_xlchart.v1.137</cx:f>
      </cx:numDim>
    </cx:data>
    <cx:data id="2">
      <cx:numDim type="val">
        <cx:f>_xlchart.v1.138</cx:f>
      </cx:numDim>
    </cx:data>
    <cx:data id="3">
      <cx:numDim type="val">
        <cx:f>_xlchart.v1.139</cx:f>
      </cx:numDim>
    </cx:data>
    <cx:data id="4">
      <cx:numDim type="val">
        <cx:f>_xlchart.v1.140</cx:f>
      </cx:numDim>
    </cx:data>
    <cx:data id="5">
      <cx:numDim type="val">
        <cx:f>_xlchart.v1.141</cx:f>
      </cx:numDim>
    </cx:data>
    <cx:data id="6">
      <cx:numDim type="val">
        <cx:f>_xlchart.v1.142</cx:f>
      </cx:numDim>
    </cx:data>
    <cx:data id="7">
      <cx:numDim type="val">
        <cx:f>_xlchart.v1.143</cx:f>
      </cx:numDim>
    </cx:data>
    <cx:data id="8">
      <cx:numDim type="val">
        <cx:f>_xlchart.v1.144</cx:f>
      </cx:numDim>
    </cx:data>
    <cx:data id="9">
      <cx:numDim type="val">
        <cx:f>_xlchart.v1.134</cx:f>
      </cx:numDim>
    </cx:data>
    <cx:data id="10">
      <cx:numDim type="val">
        <cx:f>_xlchart.v1.135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_xlchart.v1.148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_xlchart.v1.149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_xlchart.v1.150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_xlchart.v1.151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_xlchart.v1.152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_xlchart.v1.153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_xlchart.v1.154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_xlchart.v1.155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_xlchart.v1.145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_xlchart.v1.146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_xlchart.v1.147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 min="0.93800000000000006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_xlchart.v1.131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_xlchart.v1.181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_xlchart.v1.133</cx:f>
              <cx:v>Ô_20</cx:v>
            </cx:txData>
          </cx:tx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_xlchart.v1.129</cx:f>
              <cx:v>OA_20</cx:v>
            </cx:txData>
          </cx:tx>
          <cx:dataId val="0"/>
          <cx:layoutPr>
            <cx:binning intervalClosed="r">
              <cx:binCount val="6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_xlchart.v1.204</cx:f>
      </cx:strDim>
      <cx:numDim type="val">
        <cx:f>_xlchart.v1.184</cx:f>
      </cx:numDim>
    </cx:data>
    <cx:data id="1">
      <cx:numDim type="val">
        <cx:f>_xlchart.v1.185</cx:f>
      </cx:numDim>
    </cx:data>
    <cx:data id="2">
      <cx:numDim type="val">
        <cx:f>_xlchart.v1.186</cx:f>
      </cx:numDim>
    </cx:data>
    <cx:data id="3">
      <cx:numDim type="val">
        <cx:f>_xlchart.v1.187</cx:f>
      </cx:numDim>
    </cx:data>
    <cx:data id="4">
      <cx:numDim type="val">
        <cx:f>_xlchart.v1.188</cx:f>
      </cx:numDim>
    </cx:data>
    <cx:data id="5">
      <cx:numDim type="val">
        <cx:f>_xlchart.v1.189</cx:f>
      </cx:numDim>
    </cx:data>
    <cx:data id="6">
      <cx:numDim type="val">
        <cx:f>_xlchart.v1.190</cx:f>
      </cx:numDim>
    </cx:data>
    <cx:data id="7">
      <cx:numDim type="val">
        <cx:f>_xlchart.v1.191</cx:f>
      </cx:numDim>
    </cx:data>
    <cx:data id="8">
      <cx:numDim type="val">
        <cx:f>_xlchart.v1.192</cx:f>
      </cx:numDim>
    </cx:data>
    <cx:data id="9">
      <cx:numDim type="val">
        <cx:f>_xlchart.v1.182</cx:f>
      </cx:numDim>
    </cx:data>
    <cx:data id="10">
      <cx:numDim type="val">
        <cx:f>_xlchart.v1.183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_xlchart.v1.196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_xlchart.v1.197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_xlchart.v1.198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_xlchart.v1.199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_xlchart.v1.200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_xlchart.v1.201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_xlchart.v1.202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_xlchart.v1.203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_xlchart.v1.193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_xlchart.v1.194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_xlchart.v1.195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 max="0.93500000000000005" min="0.90500000000000003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_xlchart.v1.227</cx:f>
      </cx:strDim>
      <cx:numDim type="val">
        <cx:f>_xlchart.v1.207</cx:f>
      </cx:numDim>
    </cx:data>
    <cx:data id="1">
      <cx:numDim type="val">
        <cx:f>_xlchart.v1.208</cx:f>
      </cx:numDim>
    </cx:data>
    <cx:data id="2">
      <cx:numDim type="val">
        <cx:f>_xlchart.v1.209</cx:f>
      </cx:numDim>
    </cx:data>
    <cx:data id="3">
      <cx:numDim type="val">
        <cx:f>_xlchart.v1.210</cx:f>
      </cx:numDim>
    </cx:data>
    <cx:data id="4">
      <cx:numDim type="val">
        <cx:f>_xlchart.v1.211</cx:f>
      </cx:numDim>
    </cx:data>
    <cx:data id="5">
      <cx:numDim type="val">
        <cx:f>_xlchart.v1.212</cx:f>
      </cx:numDim>
    </cx:data>
    <cx:data id="6">
      <cx:numDim type="val">
        <cx:f>_xlchart.v1.213</cx:f>
      </cx:numDim>
    </cx:data>
    <cx:data id="7">
      <cx:numDim type="val">
        <cx:f>_xlchart.v1.214</cx:f>
      </cx:numDim>
    </cx:data>
    <cx:data id="8">
      <cx:numDim type="val">
        <cx:f>_xlchart.v1.215</cx:f>
      </cx:numDim>
    </cx:data>
    <cx:data id="9">
      <cx:numDim type="val">
        <cx:f>_xlchart.v1.205</cx:f>
      </cx:numDim>
    </cx:data>
    <cx:data id="10">
      <cx:numDim type="val">
        <cx:f>_xlchart.v1.206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_xlchart.v1.219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_xlchart.v1.220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_xlchart.v1.221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_xlchart.v1.222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_xlchart.v1.223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_xlchart.v1.224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_xlchart.v1.225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_xlchart.v1.226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_xlchart.v1.216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_xlchart.v1.217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_xlchart.v1.218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 min="0.90000000000000002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_xlchart.v1.229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_xlchart.v1.231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_xlchart.v1.235</cx:f>
              <cx:v>Ô_20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_xlchart.v1.233</cx:f>
              <cx:v>OA_20</cx:v>
            </cx:txData>
          </cx:tx>
          <cx:dataId val="0"/>
          <cx:layoutPr>
            <cx:binning intervalClosed="r">
              <cx:binCount val="7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_xlchart.v1.264</cx:f>
      </cx:strDim>
      <cx:numDim type="val">
        <cx:f>_xlchart.v1.244</cx:f>
      </cx:numDim>
    </cx:data>
    <cx:data id="1">
      <cx:numDim type="val">
        <cx:f>_xlchart.v1.245</cx:f>
      </cx:numDim>
    </cx:data>
    <cx:data id="2">
      <cx:numDim type="val">
        <cx:f>_xlchart.v1.246</cx:f>
      </cx:numDim>
    </cx:data>
    <cx:data id="3">
      <cx:numDim type="val">
        <cx:f>_xlchart.v1.247</cx:f>
      </cx:numDim>
    </cx:data>
    <cx:data id="4">
      <cx:numDim type="val">
        <cx:f>_xlchart.v1.248</cx:f>
      </cx:numDim>
    </cx:data>
    <cx:data id="5">
      <cx:numDim type="val">
        <cx:f>_xlchart.v1.249</cx:f>
      </cx:numDim>
    </cx:data>
    <cx:data id="6">
      <cx:numDim type="val">
        <cx:f>_xlchart.v1.250</cx:f>
      </cx:numDim>
    </cx:data>
    <cx:data id="7">
      <cx:numDim type="val">
        <cx:f>_xlchart.v1.251</cx:f>
      </cx:numDim>
    </cx:data>
    <cx:data id="8">
      <cx:numDim type="val">
        <cx:f>_xlchart.v1.252</cx:f>
      </cx:numDim>
    </cx:data>
    <cx:data id="9">
      <cx:numDim type="val">
        <cx:f>_xlchart.v1.242</cx:f>
      </cx:numDim>
    </cx:data>
    <cx:data id="10">
      <cx:numDim type="val">
        <cx:f>_xlchart.v1.243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_xlchart.v1.256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_xlchart.v1.257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_xlchart.v1.258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_xlchart.v1.259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_xlchart.v1.260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_xlchart.v1.261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_xlchart.v1.262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_xlchart.v1.263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_xlchart.v1.253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_xlchart.v1.254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_xlchart.v1.255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_xlchart.v1.287</cx:f>
      </cx:strDim>
      <cx:numDim type="val">
        <cx:f>_xlchart.v1.267</cx:f>
      </cx:numDim>
    </cx:data>
    <cx:data id="1">
      <cx:numDim type="val">
        <cx:f>_xlchart.v1.268</cx:f>
      </cx:numDim>
    </cx:data>
    <cx:data id="2">
      <cx:numDim type="val">
        <cx:f>_xlchart.v1.269</cx:f>
      </cx:numDim>
    </cx:data>
    <cx:data id="3">
      <cx:numDim type="val">
        <cx:f>_xlchart.v1.270</cx:f>
      </cx:numDim>
    </cx:data>
    <cx:data id="4">
      <cx:numDim type="val">
        <cx:f>_xlchart.v1.271</cx:f>
      </cx:numDim>
    </cx:data>
    <cx:data id="5">
      <cx:numDim type="val">
        <cx:f>_xlchart.v1.272</cx:f>
      </cx:numDim>
    </cx:data>
    <cx:data id="6">
      <cx:numDim type="val">
        <cx:f>_xlchart.v1.273</cx:f>
      </cx:numDim>
    </cx:data>
    <cx:data id="7">
      <cx:numDim type="val">
        <cx:f>_xlchart.v1.274</cx:f>
      </cx:numDim>
    </cx:data>
    <cx:data id="8">
      <cx:numDim type="val">
        <cx:f>_xlchart.v1.275</cx:f>
      </cx:numDim>
    </cx:data>
    <cx:data id="9">
      <cx:numDim type="val">
        <cx:f>_xlchart.v1.265</cx:f>
      </cx:numDim>
    </cx:data>
    <cx:data id="10">
      <cx:numDim type="val">
        <cx:f>_xlchart.v1.266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_xlchart.v1.279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_xlchart.v1.280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_xlchart.v1.281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_xlchart.v1.282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_xlchart.v1.283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_xlchart.v1.284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_xlchart.v1.285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_xlchart.v1.286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_xlchart.v1.276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_xlchart.v1.277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_xlchart.v1.278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2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_xlchart.v1.237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_xlchart.v1.239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_xlchart.v1.241</cx:f>
              <cx:v>Ô_20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3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_xlchart.v1.288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_xlchart.v1.289</cx:f>
              <cx:v>OA_20</cx:v>
            </cx:txData>
          </cx:tx>
          <cx:dataId val="0"/>
          <cx:layoutPr>
            <cx:binning intervalClosed="r">
              <cx:binCount val="7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3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_xlchart.v1.320</cx:f>
      </cx:strDim>
      <cx:numDim type="val">
        <cx:f>_xlchart.v1.300</cx:f>
      </cx:numDim>
    </cx:data>
    <cx:data id="1">
      <cx:numDim type="val">
        <cx:f>_xlchart.v1.301</cx:f>
      </cx:numDim>
    </cx:data>
    <cx:data id="2">
      <cx:numDim type="val">
        <cx:f>_xlchart.v1.302</cx:f>
      </cx:numDim>
    </cx:data>
    <cx:data id="3">
      <cx:numDim type="val">
        <cx:f>_xlchart.v1.303</cx:f>
      </cx:numDim>
    </cx:data>
    <cx:data id="4">
      <cx:numDim type="val">
        <cx:f>_xlchart.v1.304</cx:f>
      </cx:numDim>
    </cx:data>
    <cx:data id="5">
      <cx:numDim type="val">
        <cx:f>_xlchart.v1.305</cx:f>
      </cx:numDim>
    </cx:data>
    <cx:data id="6">
      <cx:numDim type="val">
        <cx:f>_xlchart.v1.306</cx:f>
      </cx:numDim>
    </cx:data>
    <cx:data id="7">
      <cx:numDim type="val">
        <cx:f>_xlchart.v1.307</cx:f>
      </cx:numDim>
    </cx:data>
    <cx:data id="8">
      <cx:numDim type="val">
        <cx:f>_xlchart.v1.308</cx:f>
      </cx:numDim>
    </cx:data>
    <cx:data id="9">
      <cx:numDim type="val">
        <cx:f>_xlchart.v1.298</cx:f>
      </cx:numDim>
    </cx:data>
    <cx:data id="10">
      <cx:numDim type="val">
        <cx:f>_xlchart.v1.299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_xlchart.v1.312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_xlchart.v1.313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_xlchart.v1.314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_xlchart.v1.315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_xlchart.v1.316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_xlchart.v1.317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_xlchart.v1.318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_xlchart.v1.319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_xlchart.v1.309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_xlchart.v1.310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_xlchart.v1.311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3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_xlchart.v1.343</cx:f>
      </cx:strDim>
      <cx:numDim type="val">
        <cx:f>_xlchart.v1.323</cx:f>
      </cx:numDim>
    </cx:data>
    <cx:data id="1">
      <cx:numDim type="val">
        <cx:f>_xlchart.v1.324</cx:f>
      </cx:numDim>
    </cx:data>
    <cx:data id="2">
      <cx:numDim type="val">
        <cx:f>_xlchart.v1.325</cx:f>
      </cx:numDim>
    </cx:data>
    <cx:data id="3">
      <cx:numDim type="val">
        <cx:f>_xlchart.v1.326</cx:f>
      </cx:numDim>
    </cx:data>
    <cx:data id="4">
      <cx:numDim type="val">
        <cx:f>_xlchart.v1.327</cx:f>
      </cx:numDim>
    </cx:data>
    <cx:data id="5">
      <cx:numDim type="val">
        <cx:f>_xlchart.v1.328</cx:f>
      </cx:numDim>
    </cx:data>
    <cx:data id="6">
      <cx:numDim type="val">
        <cx:f>_xlchart.v1.329</cx:f>
      </cx:numDim>
    </cx:data>
    <cx:data id="7">
      <cx:numDim type="val">
        <cx:f>_xlchart.v1.330</cx:f>
      </cx:numDim>
    </cx:data>
    <cx:data id="8">
      <cx:numDim type="val">
        <cx:f>_xlchart.v1.331</cx:f>
      </cx:numDim>
    </cx:data>
    <cx:data id="9">
      <cx:numDim type="val">
        <cx:f>_xlchart.v1.321</cx:f>
      </cx:numDim>
    </cx:data>
    <cx:data id="10">
      <cx:numDim type="val">
        <cx:f>_xlchart.v1.322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_xlchart.v1.335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_xlchart.v1.336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_xlchart.v1.337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_xlchart.v1.338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_xlchart.v1.339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_xlchart.v1.340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_xlchart.v1.341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_xlchart.v1.342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_xlchart.v1.332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_xlchart.v1.333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_xlchart.v1.334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3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_xlchart.v1.297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3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_xlchart.v1.293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3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_xlchart.v1.295</cx:f>
              <cx:v>Ô_20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3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_xlchart.v1.291</cx:f>
              <cx:v>OA_20</cx:v>
            </cx:txData>
          </cx:tx>
          <cx:dataId val="0"/>
          <cx:layoutPr>
            <cx:binning intervalClosed="r">
              <cx:binCount val="7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3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_xlchart.v1.366</cx:f>
      </cx:strDim>
      <cx:numDim type="val">
        <cx:f>_xlchart.v1.346</cx:f>
      </cx:numDim>
    </cx:data>
    <cx:data id="1">
      <cx:numDim type="val">
        <cx:f>_xlchart.v1.347</cx:f>
      </cx:numDim>
    </cx:data>
    <cx:data id="2">
      <cx:numDim type="val">
        <cx:f>_xlchart.v1.348</cx:f>
      </cx:numDim>
    </cx:data>
    <cx:data id="3">
      <cx:numDim type="val">
        <cx:f>_xlchart.v1.349</cx:f>
      </cx:numDim>
    </cx:data>
    <cx:data id="4">
      <cx:numDim type="val">
        <cx:f>_xlchart.v1.350</cx:f>
      </cx:numDim>
    </cx:data>
    <cx:data id="5">
      <cx:numDim type="val">
        <cx:f>_xlchart.v1.351</cx:f>
      </cx:numDim>
    </cx:data>
    <cx:data id="6">
      <cx:numDim type="val">
        <cx:f>_xlchart.v1.352</cx:f>
      </cx:numDim>
    </cx:data>
    <cx:data id="7">
      <cx:numDim type="val">
        <cx:f>_xlchart.v1.353</cx:f>
      </cx:numDim>
    </cx:data>
    <cx:data id="8">
      <cx:numDim type="val">
        <cx:f>_xlchart.v1.354</cx:f>
      </cx:numDim>
    </cx:data>
    <cx:data id="9">
      <cx:numDim type="val">
        <cx:f>_xlchart.v1.344</cx:f>
      </cx:numDim>
    </cx:data>
    <cx:data id="10">
      <cx:numDim type="val">
        <cx:f>_xlchart.v1.345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_xlchart.v1.358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_xlchart.v1.359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_xlchart.v1.360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_xlchart.v1.361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_xlchart.v1.362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_xlchart.v1.363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_xlchart.v1.364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_xlchart.v1.365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_xlchart.v1.355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_xlchart.v1.356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_xlchart.v1.357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3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_xlchart.v1.389</cx:f>
      </cx:strDim>
      <cx:numDim type="val">
        <cx:f>_xlchart.v1.369</cx:f>
      </cx:numDim>
    </cx:data>
    <cx:data id="1">
      <cx:numDim type="val">
        <cx:f>_xlchart.v1.370</cx:f>
      </cx:numDim>
    </cx:data>
    <cx:data id="2">
      <cx:numDim type="val">
        <cx:f>_xlchart.v1.371</cx:f>
      </cx:numDim>
    </cx:data>
    <cx:data id="3">
      <cx:numDim type="val">
        <cx:f>_xlchart.v1.372</cx:f>
      </cx:numDim>
    </cx:data>
    <cx:data id="4">
      <cx:numDim type="val">
        <cx:f>_xlchart.v1.373</cx:f>
      </cx:numDim>
    </cx:data>
    <cx:data id="5">
      <cx:numDim type="val">
        <cx:f>_xlchart.v1.374</cx:f>
      </cx:numDim>
    </cx:data>
    <cx:data id="6">
      <cx:numDim type="val">
        <cx:f>_xlchart.v1.375</cx:f>
      </cx:numDim>
    </cx:data>
    <cx:data id="7">
      <cx:numDim type="val">
        <cx:f>_xlchart.v1.376</cx:f>
      </cx:numDim>
    </cx:data>
    <cx:data id="8">
      <cx:numDim type="val">
        <cx:f>_xlchart.v1.377</cx:f>
      </cx:numDim>
    </cx:data>
    <cx:data id="9">
      <cx:numDim type="val">
        <cx:f>_xlchart.v1.367</cx:f>
      </cx:numDim>
    </cx:data>
    <cx:data id="10">
      <cx:numDim type="val">
        <cx:f>_xlchart.v1.368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_xlchart.v1.381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_xlchart.v1.382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_xlchart.v1.383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_xlchart.v1.384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_xlchart.v1.385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_xlchart.v1.386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_xlchart.v1.387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_xlchart.v1.388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_xlchart.v1.378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_xlchart.v1.379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_xlchart.v1.380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3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_xlchart.v1.390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_xlchart.v1.391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_xlchart.v1.392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_xlchart.v1.393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_xlchart.v1.394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_xlchart.v1.395</cx:f>
              <cx:v>Ô_20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_xlchart.v1.396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_xlchart.v1.397</cx:f>
              <cx:v>OA_20</cx:v>
            </cx:txData>
          </cx:tx>
          <cx:dataId val="0"/>
          <cx:layoutPr>
            <cx:binning intervalClosed="r">
              <cx:binCount val="7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_xlchart.v1.424</cx:f>
      </cx:strDim>
      <cx:numDim type="val">
        <cx:f>_xlchart.v1.404</cx:f>
      </cx:numDim>
    </cx:data>
    <cx:data id="1">
      <cx:numDim type="val">
        <cx:f>_xlchart.v1.405</cx:f>
      </cx:numDim>
    </cx:data>
    <cx:data id="2">
      <cx:numDim type="val">
        <cx:f>_xlchart.v1.406</cx:f>
      </cx:numDim>
    </cx:data>
    <cx:data id="3">
      <cx:numDim type="val">
        <cx:f>_xlchart.v1.407</cx:f>
      </cx:numDim>
    </cx:data>
    <cx:data id="4">
      <cx:numDim type="val">
        <cx:f>_xlchart.v1.408</cx:f>
      </cx:numDim>
    </cx:data>
    <cx:data id="5">
      <cx:numDim type="val">
        <cx:f>_xlchart.v1.409</cx:f>
      </cx:numDim>
    </cx:data>
    <cx:data id="6">
      <cx:numDim type="val">
        <cx:f>_xlchart.v1.410</cx:f>
      </cx:numDim>
    </cx:data>
    <cx:data id="7">
      <cx:numDim type="val">
        <cx:f>_xlchart.v1.411</cx:f>
      </cx:numDim>
    </cx:data>
    <cx:data id="8">
      <cx:numDim type="val">
        <cx:f>_xlchart.v1.412</cx:f>
      </cx:numDim>
    </cx:data>
    <cx:data id="9">
      <cx:numDim type="val">
        <cx:f>_xlchart.v1.402</cx:f>
      </cx:numDim>
    </cx:data>
    <cx:data id="10">
      <cx:numDim type="val">
        <cx:f>_xlchart.v1.403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_xlchart.v1.416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_xlchart.v1.417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_xlchart.v1.418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_xlchart.v1.419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_xlchart.v1.420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_xlchart.v1.421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_xlchart.v1.422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_xlchart.v1.423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_xlchart.v1.413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_xlchart.v1.414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_xlchart.v1.415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_xlchart.v1.447</cx:f>
      </cx:strDim>
      <cx:numDim type="val">
        <cx:f>_xlchart.v1.427</cx:f>
      </cx:numDim>
    </cx:data>
    <cx:data id="1">
      <cx:numDim type="val">
        <cx:f>_xlchart.v1.428</cx:f>
      </cx:numDim>
    </cx:data>
    <cx:data id="2">
      <cx:numDim type="val">
        <cx:f>_xlchart.v1.429</cx:f>
      </cx:numDim>
    </cx:data>
    <cx:data id="3">
      <cx:numDim type="val">
        <cx:f>_xlchart.v1.430</cx:f>
      </cx:numDim>
    </cx:data>
    <cx:data id="4">
      <cx:numDim type="val">
        <cx:f>_xlchart.v1.431</cx:f>
      </cx:numDim>
    </cx:data>
    <cx:data id="5">
      <cx:numDim type="val">
        <cx:f>_xlchart.v1.432</cx:f>
      </cx:numDim>
    </cx:data>
    <cx:data id="6">
      <cx:numDim type="val">
        <cx:f>_xlchart.v1.433</cx:f>
      </cx:numDim>
    </cx:data>
    <cx:data id="7">
      <cx:numDim type="val">
        <cx:f>_xlchart.v1.434</cx:f>
      </cx:numDim>
    </cx:data>
    <cx:data id="8">
      <cx:numDim type="val">
        <cx:f>_xlchart.v1.435</cx:f>
      </cx:numDim>
    </cx:data>
    <cx:data id="9">
      <cx:numDim type="val">
        <cx:f>_xlchart.v1.425</cx:f>
      </cx:numDim>
    </cx:data>
    <cx:data id="10">
      <cx:numDim type="val">
        <cx:f>_xlchart.v1.426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_xlchart.v1.439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_xlchart.v1.440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_xlchart.v1.441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_xlchart.v1.442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_xlchart.v1.443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_xlchart.v1.444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_xlchart.v1.445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_xlchart.v1.446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_xlchart.v1.436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_xlchart.v1.437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_xlchart.v1.438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4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_xlchart.v1.399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_xlchart.v1.401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_xlchart.v1.448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_xlchart.v1.449</cx:f>
              <cx:v>Ô_20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_xlchart.v1.450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_xlchart.v1.451</cx:f>
              <cx:v>OA_20</cx:v>
            </cx:txData>
          </cx:tx>
          <cx:dataId val="0"/>
          <cx:layoutPr>
            <cx:binning intervalClosed="r">
              <cx:binCount val="7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_xlchart.v1.501</cx:f>
      </cx:strDim>
      <cx:numDim type="val">
        <cx:f>_xlchart.v1.481</cx:f>
      </cx:numDim>
    </cx:data>
    <cx:data id="1">
      <cx:numDim type="val">
        <cx:f>_xlchart.v1.482</cx:f>
      </cx:numDim>
    </cx:data>
    <cx:data id="2">
      <cx:numDim type="val">
        <cx:f>_xlchart.v1.483</cx:f>
      </cx:numDim>
    </cx:data>
    <cx:data id="3">
      <cx:numDim type="val">
        <cx:f>_xlchart.v1.484</cx:f>
      </cx:numDim>
    </cx:data>
    <cx:data id="4">
      <cx:numDim type="val">
        <cx:f>_xlchart.v1.485</cx:f>
      </cx:numDim>
    </cx:data>
    <cx:data id="5">
      <cx:numDim type="val">
        <cx:f>_xlchart.v1.486</cx:f>
      </cx:numDim>
    </cx:data>
    <cx:data id="6">
      <cx:numDim type="val">
        <cx:f>_xlchart.v1.487</cx:f>
      </cx:numDim>
    </cx:data>
    <cx:data id="7">
      <cx:numDim type="val">
        <cx:f>_xlchart.v1.488</cx:f>
      </cx:numDim>
    </cx:data>
    <cx:data id="8">
      <cx:numDim type="val">
        <cx:f>_xlchart.v1.489</cx:f>
      </cx:numDim>
    </cx:data>
    <cx:data id="9">
      <cx:numDim type="val">
        <cx:f>_xlchart.v1.479</cx:f>
      </cx:numDim>
    </cx:data>
    <cx:data id="10">
      <cx:numDim type="val">
        <cx:f>_xlchart.v1.480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_xlchart.v1.493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_xlchart.v1.494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_xlchart.v1.495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_xlchart.v1.496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_xlchart.v1.497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_xlchart.v1.498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_xlchart.v1.499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_xlchart.v1.500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_xlchart.v1.490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_xlchart.v1.491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_xlchart.v1.492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_xlchart.v1.474</cx:f>
      </cx:strDim>
      <cx:numDim type="val">
        <cx:f>_xlchart.v1.454</cx:f>
      </cx:numDim>
    </cx:data>
    <cx:data id="1">
      <cx:numDim type="val">
        <cx:f>_xlchart.v1.455</cx:f>
      </cx:numDim>
    </cx:data>
    <cx:data id="2">
      <cx:numDim type="val">
        <cx:f>_xlchart.v1.456</cx:f>
      </cx:numDim>
    </cx:data>
    <cx:data id="3">
      <cx:numDim type="val">
        <cx:f>_xlchart.v1.457</cx:f>
      </cx:numDim>
    </cx:data>
    <cx:data id="4">
      <cx:numDim type="val">
        <cx:f>_xlchart.v1.458</cx:f>
      </cx:numDim>
    </cx:data>
    <cx:data id="5">
      <cx:numDim type="val">
        <cx:f>_xlchart.v1.459</cx:f>
      </cx:numDim>
    </cx:data>
    <cx:data id="6">
      <cx:numDim type="val">
        <cx:f>_xlchart.v1.460</cx:f>
      </cx:numDim>
    </cx:data>
    <cx:data id="7">
      <cx:numDim type="val">
        <cx:f>_xlchart.v1.461</cx:f>
      </cx:numDim>
    </cx:data>
    <cx:data id="8">
      <cx:numDim type="val">
        <cx:f>_xlchart.v1.462</cx:f>
      </cx:numDim>
    </cx:data>
    <cx:data id="9">
      <cx:numDim type="val">
        <cx:f>_xlchart.v1.452</cx:f>
      </cx:numDim>
    </cx:data>
    <cx:data id="10">
      <cx:numDim type="val">
        <cx:f>_xlchart.v1.453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_xlchart.v1.466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_xlchart.v1.467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_xlchart.v1.468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_xlchart.v1.469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_xlchart.v1.470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_xlchart.v1.471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_xlchart.v1.472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_xlchart.v1.473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_xlchart.v1.463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_xlchart.v1.464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_xlchart.v1.465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5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_xlchart.v1.475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_xlchart.v1.476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_xlchart.v1.477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_xlchart.v1.478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_xlchart.v1.504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_xlchart.v1.505</cx:f>
              <cx:v>Ô_20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_xlchart.v1.502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_xlchart.v1.503</cx:f>
              <cx:v>OA_20</cx:v>
            </cx:txData>
          </cx:tx>
          <cx:dataId val="0"/>
          <cx:layoutPr>
            <cx:binning intervalClosed="r">
              <cx:binCount val="7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_xlchart.v1.536</cx:f>
      </cx:strDim>
      <cx:numDim type="val">
        <cx:f>_xlchart.v1.516</cx:f>
      </cx:numDim>
    </cx:data>
    <cx:data id="1">
      <cx:numDim type="val">
        <cx:f>_xlchart.v1.517</cx:f>
      </cx:numDim>
    </cx:data>
    <cx:data id="2">
      <cx:numDim type="val">
        <cx:f>_xlchart.v1.518</cx:f>
      </cx:numDim>
    </cx:data>
    <cx:data id="3">
      <cx:numDim type="val">
        <cx:f>_xlchart.v1.519</cx:f>
      </cx:numDim>
    </cx:data>
    <cx:data id="4">
      <cx:numDim type="val">
        <cx:f>_xlchart.v1.520</cx:f>
      </cx:numDim>
    </cx:data>
    <cx:data id="5">
      <cx:numDim type="val">
        <cx:f>_xlchart.v1.521</cx:f>
      </cx:numDim>
    </cx:data>
    <cx:data id="6">
      <cx:numDim type="val">
        <cx:f>_xlchart.v1.522</cx:f>
      </cx:numDim>
    </cx:data>
    <cx:data id="7">
      <cx:numDim type="val">
        <cx:f>_xlchart.v1.523</cx:f>
      </cx:numDim>
    </cx:data>
    <cx:data id="8">
      <cx:numDim type="val">
        <cx:f>_xlchart.v1.524</cx:f>
      </cx:numDim>
    </cx:data>
    <cx:data id="9">
      <cx:numDim type="val">
        <cx:f>_xlchart.v1.514</cx:f>
      </cx:numDim>
    </cx:data>
    <cx:data id="10">
      <cx:numDim type="val">
        <cx:f>_xlchart.v1.515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_xlchart.v1.528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_xlchart.v1.529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_xlchart.v1.530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_xlchart.v1.531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_xlchart.v1.532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_xlchart.v1.533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_xlchart.v1.534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_xlchart.v1.535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_xlchart.v1.525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_xlchart.v1.526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_xlchart.v1.527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_xlchart.v1.559</cx:f>
      </cx:strDim>
      <cx:numDim type="val">
        <cx:f>_xlchart.v1.539</cx:f>
      </cx:numDim>
    </cx:data>
    <cx:data id="1">
      <cx:numDim type="val">
        <cx:f>_xlchart.v1.540</cx:f>
      </cx:numDim>
    </cx:data>
    <cx:data id="2">
      <cx:numDim type="val">
        <cx:f>_xlchart.v1.541</cx:f>
      </cx:numDim>
    </cx:data>
    <cx:data id="3">
      <cx:numDim type="val">
        <cx:f>_xlchart.v1.542</cx:f>
      </cx:numDim>
    </cx:data>
    <cx:data id="4">
      <cx:numDim type="val">
        <cx:f>_xlchart.v1.543</cx:f>
      </cx:numDim>
    </cx:data>
    <cx:data id="5">
      <cx:numDim type="val">
        <cx:f>_xlchart.v1.544</cx:f>
      </cx:numDim>
    </cx:data>
    <cx:data id="6">
      <cx:numDim type="val">
        <cx:f>_xlchart.v1.545</cx:f>
      </cx:numDim>
    </cx:data>
    <cx:data id="7">
      <cx:numDim type="val">
        <cx:f>_xlchart.v1.546</cx:f>
      </cx:numDim>
    </cx:data>
    <cx:data id="8">
      <cx:numDim type="val">
        <cx:f>_xlchart.v1.547</cx:f>
      </cx:numDim>
    </cx:data>
    <cx:data id="9">
      <cx:numDim type="val">
        <cx:f>_xlchart.v1.537</cx:f>
      </cx:numDim>
    </cx:data>
    <cx:data id="10">
      <cx:numDim type="val">
        <cx:f>_xlchart.v1.538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_xlchart.v1.551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_xlchart.v1.552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_xlchart.v1.553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_xlchart.v1.554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_xlchart.v1.555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_xlchart.v1.556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_xlchart.v1.557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_xlchart.v1.558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_xlchart.v1.548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_xlchart.v1.549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_xlchart.v1.550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5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_xlchart.v1.506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_xlchart.v1.507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_xlchart.v1.508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_xlchart.v1.509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_xlchart.v1.510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_xlchart.v1.511</cx:f>
              <cx:v>Ô_20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6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_xlchart.v1.512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_xlchart.v1.513</cx:f>
              <cx:v>OA_20</cx:v>
            </cx:txData>
          </cx:tx>
          <cx:dataId val="0"/>
          <cx:layoutPr>
            <cx:binning intervalClosed="r">
              <cx:binCount val="7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6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_xlchart.v1.586</cx:f>
      </cx:strDim>
      <cx:numDim type="val">
        <cx:f>_xlchart.v1.566</cx:f>
      </cx:numDim>
    </cx:data>
    <cx:data id="1">
      <cx:numDim type="val">
        <cx:f>_xlchart.v1.567</cx:f>
      </cx:numDim>
    </cx:data>
    <cx:data id="2">
      <cx:numDim type="val">
        <cx:f>_xlchart.v1.568</cx:f>
      </cx:numDim>
    </cx:data>
    <cx:data id="3">
      <cx:numDim type="val">
        <cx:f>_xlchart.v1.569</cx:f>
      </cx:numDim>
    </cx:data>
    <cx:data id="4">
      <cx:numDim type="val">
        <cx:f>_xlchart.v1.570</cx:f>
      </cx:numDim>
    </cx:data>
    <cx:data id="5">
      <cx:numDim type="val">
        <cx:f>_xlchart.v1.571</cx:f>
      </cx:numDim>
    </cx:data>
    <cx:data id="6">
      <cx:numDim type="val">
        <cx:f>_xlchart.v1.572</cx:f>
      </cx:numDim>
    </cx:data>
    <cx:data id="7">
      <cx:numDim type="val">
        <cx:f>_xlchart.v1.573</cx:f>
      </cx:numDim>
    </cx:data>
    <cx:data id="8">
      <cx:numDim type="val">
        <cx:f>_xlchart.v1.574</cx:f>
      </cx:numDim>
    </cx:data>
    <cx:data id="9">
      <cx:numDim type="val">
        <cx:f>_xlchart.v1.564</cx:f>
      </cx:numDim>
    </cx:data>
    <cx:data id="10">
      <cx:numDim type="val">
        <cx:f>_xlchart.v1.565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_xlchart.v1.578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_xlchart.v1.579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_xlchart.v1.580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_xlchart.v1.581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_xlchart.v1.582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_xlchart.v1.583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_xlchart.v1.584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_xlchart.v1.585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_xlchart.v1.575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_xlchart.v1.576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_xlchart.v1.577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6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_xlchart.v1.609</cx:f>
      </cx:strDim>
      <cx:numDim type="val">
        <cx:f>_xlchart.v1.589</cx:f>
      </cx:numDim>
    </cx:data>
    <cx:data id="1">
      <cx:numDim type="val">
        <cx:f>_xlchart.v1.590</cx:f>
      </cx:numDim>
    </cx:data>
    <cx:data id="2">
      <cx:numDim type="val">
        <cx:f>_xlchart.v1.591</cx:f>
      </cx:numDim>
    </cx:data>
    <cx:data id="3">
      <cx:numDim type="val">
        <cx:f>_xlchart.v1.592</cx:f>
      </cx:numDim>
    </cx:data>
    <cx:data id="4">
      <cx:numDim type="val">
        <cx:f>_xlchart.v1.593</cx:f>
      </cx:numDim>
    </cx:data>
    <cx:data id="5">
      <cx:numDim type="val">
        <cx:f>_xlchart.v1.594</cx:f>
      </cx:numDim>
    </cx:data>
    <cx:data id="6">
      <cx:numDim type="val">
        <cx:f>_xlchart.v1.595</cx:f>
      </cx:numDim>
    </cx:data>
    <cx:data id="7">
      <cx:numDim type="val">
        <cx:f>_xlchart.v1.596</cx:f>
      </cx:numDim>
    </cx:data>
    <cx:data id="8">
      <cx:numDim type="val">
        <cx:f>_xlchart.v1.597</cx:f>
      </cx:numDim>
    </cx:data>
    <cx:data id="9">
      <cx:numDim type="val">
        <cx:f>_xlchart.v1.587</cx:f>
      </cx:numDim>
    </cx:data>
    <cx:data id="10">
      <cx:numDim type="val">
        <cx:f>_xlchart.v1.588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_xlchart.v1.601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_xlchart.v1.602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_xlchart.v1.603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_xlchart.v1.604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_xlchart.v1.605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_xlchart.v1.606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_xlchart.v1.607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_xlchart.v1.608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_xlchart.v1.598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_xlchart.v1.599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_xlchart.v1.600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6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_xlchart.v1.560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_xlchart.v1.561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6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_xlchart.v1.562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_xlchart.v1.563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6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_xlchart.v1.611</cx:f>
              <cx:v>Ô_20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6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_xlchart.v1.613</cx:f>
              <cx:v>OA_20</cx:v>
            </cx:txData>
          </cx:tx>
          <cx:dataId val="0"/>
          <cx:layoutPr>
            <cx:binning intervalClosed="r">
              <cx:binCount val="7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6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_xlchart.v1.647</cx:f>
      </cx:strDim>
      <cx:numDim type="val">
        <cx:f>_xlchart.v1.653</cx:f>
      </cx:numDim>
    </cx:data>
    <cx:data id="1">
      <cx:numDim type="val">
        <cx:f>_xlchart.v1.654</cx:f>
      </cx:numDim>
    </cx:data>
    <cx:data id="2">
      <cx:numDim type="val">
        <cx:f>_xlchart.v1.655</cx:f>
      </cx:numDim>
    </cx:data>
    <cx:data id="3">
      <cx:numDim type="val">
        <cx:f>_xlchart.v1.656</cx:f>
      </cx:numDim>
    </cx:data>
    <cx:data id="4">
      <cx:numDim type="val">
        <cx:f>_xlchart.v1.657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Eleven Epoch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SE[%]  for Class  0 / W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_xlchart.v1.648</cx:f>
              <cx:v>Mode GUE Acc. Der.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6C5A-419B-997C-EFC1C8FCD19D}">
          <cx:tx>
            <cx:txData>
              <cx:f>_xlchart.v1.649</cx:f>
              <cx:v>Mean Gue Px count</cx:v>
            </cx:txData>
          </cx:tx>
          <cx:dataId val="1"/>
          <cx:layoutPr>
            <cx:statistics quartileMethod="exclusive"/>
          </cx:layoutPr>
        </cx:series>
        <cx:series layoutId="boxWhisker" uniqueId="{00000001-6C5A-419B-997C-EFC1C8FCD19D}">
          <cx:tx>
            <cx:txData>
              <cx:f>_xlchart.v1.650</cx:f>
              <cx:v>Mean ACB_A Px count</cx:v>
            </cx:txData>
          </cx:tx>
          <cx:dataId val="2"/>
          <cx:layoutPr>
            <cx:statistics quartileMethod="exclusive"/>
          </cx:layoutPr>
        </cx:series>
        <cx:series layoutId="boxWhisker" uniqueId="{00000002-6C5A-419B-997C-EFC1C8FCD19D}">
          <cx:tx>
            <cx:txData>
              <cx:f>_xlchart.v1.651</cx:f>
              <cx:v>Mean GUE PA Px count</cx:v>
            </cx:txData>
          </cx:tx>
          <cx:dataId val="3"/>
          <cx:layoutPr>
            <cx:statistics quartileMethod="exclusive"/>
          </cx:layoutPr>
        </cx:series>
        <cx:series layoutId="boxWhisker" uniqueId="{00000003-6C5A-419B-997C-EFC1C8FCD19D}">
          <cx:tx>
            <cx:txData>
              <cx:f>_xlchart.v1.652</cx:f>
              <cx:v>Mean ACB_A PA Px count</cx:v>
            </cx:txData>
          </cx:tx>
          <cx:dataId val="4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#.##0,0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6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_xlchart.v1.625</cx:f>
      </cx:strDim>
      <cx:numDim type="val">
        <cx:f>_xlchart.v1.631</cx:f>
      </cx:numDim>
    </cx:data>
    <cx:data id="1">
      <cx:numDim type="val">
        <cx:f>_xlchart.v1.632</cx:f>
      </cx:numDim>
    </cx:data>
    <cx:data id="2">
      <cx:numDim type="val">
        <cx:f>_xlchart.v1.633</cx:f>
      </cx:numDim>
    </cx:data>
    <cx:data id="3">
      <cx:numDim type="val">
        <cx:f>_xlchart.v1.634</cx:f>
      </cx:numDim>
    </cx:data>
    <cx:data id="4">
      <cx:numDim type="val">
        <cx:f>_xlchart.v1.635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Eleven Epoch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SE[%] for Class  1 / B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_xlchart.v1.626</cx:f>
              <cx:v>Mode GUE Acc. Der.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6C5A-419B-997C-EFC1C8FCD19D}">
          <cx:tx>
            <cx:txData>
              <cx:f>_xlchart.v1.627</cx:f>
              <cx:v>Mean Gue Px count</cx:v>
            </cx:txData>
          </cx:tx>
          <cx:dataId val="1"/>
          <cx:layoutPr>
            <cx:statistics quartileMethod="exclusive"/>
          </cx:layoutPr>
        </cx:series>
        <cx:series layoutId="boxWhisker" uniqueId="{00000001-6C5A-419B-997C-EFC1C8FCD19D}">
          <cx:tx>
            <cx:txData>
              <cx:f>_xlchart.v1.628</cx:f>
              <cx:v>Mean ACB_A Px count</cx:v>
            </cx:txData>
          </cx:tx>
          <cx:dataId val="2"/>
          <cx:layoutPr>
            <cx:statistics quartileMethod="exclusive"/>
          </cx:layoutPr>
        </cx:series>
        <cx:series layoutId="boxWhisker" uniqueId="{00000002-6C5A-419B-997C-EFC1C8FCD19D}">
          <cx:tx>
            <cx:txData>
              <cx:f>_xlchart.v1.629</cx:f>
              <cx:v>Mean GUE PA Px count</cx:v>
            </cx:txData>
          </cx:tx>
          <cx:dataId val="3"/>
          <cx:layoutPr>
            <cx:statistics quartileMethod="exclusive"/>
          </cx:layoutPr>
        </cx:series>
        <cx:series layoutId="boxWhisker" uniqueId="{00000003-6C5A-419B-997C-EFC1C8FCD19D}">
          <cx:tx>
            <cx:txData>
              <cx:f>_xlchart.v1.630</cx:f>
              <cx:v>Mean ACB_A PA Px count</cx:v>
            </cx:txData>
          </cx:tx>
          <cx:dataId val="4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6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_xlchart.v1.614</cx:f>
      </cx:strDim>
      <cx:numDim type="val">
        <cx:f>_xlchart.v1.620</cx:f>
      </cx:numDim>
    </cx:data>
    <cx:data id="1">
      <cx:numDim type="val">
        <cx:f>_xlchart.v1.621</cx:f>
      </cx:numDim>
    </cx:data>
    <cx:data id="2">
      <cx:numDim type="val">
        <cx:f>_xlchart.v1.622</cx:f>
      </cx:numDim>
    </cx:data>
    <cx:data id="3">
      <cx:numDim type="val">
        <cx:f>_xlchart.v1.623</cx:f>
      </cx:numDim>
    </cx:data>
    <cx:data id="4">
      <cx:numDim type="val">
        <cx:f>_xlchart.v1.624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Eleven Epoch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SE[%] for Class  2 / A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_xlchart.v1.615</cx:f>
              <cx:v>Mode GUE Acc. Der.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6C5A-419B-997C-EFC1C8FCD19D}">
          <cx:tx>
            <cx:txData>
              <cx:f>_xlchart.v1.616</cx:f>
              <cx:v>Mean Gue Px count</cx:v>
            </cx:txData>
          </cx:tx>
          <cx:dataId val="1"/>
          <cx:layoutPr>
            <cx:statistics quartileMethod="exclusive"/>
          </cx:layoutPr>
        </cx:series>
        <cx:series layoutId="boxWhisker" uniqueId="{00000001-6C5A-419B-997C-EFC1C8FCD19D}">
          <cx:tx>
            <cx:txData>
              <cx:f>_xlchart.v1.617</cx:f>
              <cx:v>Mean ACB_A Px count</cx:v>
            </cx:txData>
          </cx:tx>
          <cx:dataId val="2"/>
          <cx:layoutPr>
            <cx:statistics quartileMethod="exclusive"/>
          </cx:layoutPr>
        </cx:series>
        <cx:series layoutId="boxWhisker" uniqueId="{00000002-6C5A-419B-997C-EFC1C8FCD19D}">
          <cx:tx>
            <cx:txData>
              <cx:f>_xlchart.v1.618</cx:f>
              <cx:v>Mean GUE PA Px count</cx:v>
            </cx:txData>
          </cx:tx>
          <cx:dataId val="3"/>
          <cx:layoutPr>
            <cx:statistics quartileMethod="exclusive"/>
          </cx:layoutPr>
        </cx:series>
        <cx:series layoutId="boxWhisker" uniqueId="{00000003-6C5A-419B-997C-EFC1C8FCD19D}">
          <cx:tx>
            <cx:txData>
              <cx:f>_xlchart.v1.619</cx:f>
              <cx:v>Mean ACB_A PA Px count</cx:v>
            </cx:txData>
          </cx:tx>
          <cx:dataId val="4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7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_xlchart.v1.636</cx:f>
      </cx:strDim>
      <cx:numDim type="val">
        <cx:f>_xlchart.v1.642</cx:f>
      </cx:numDim>
    </cx:data>
    <cx:data id="1">
      <cx:numDim type="val">
        <cx:f>_xlchart.v1.643</cx:f>
      </cx:numDim>
    </cx:data>
    <cx:data id="2">
      <cx:numDim type="val">
        <cx:f>_xlchart.v1.644</cx:f>
      </cx:numDim>
    </cx:data>
    <cx:data id="3">
      <cx:numDim type="val">
        <cx:f>_xlchart.v1.645</cx:f>
      </cx:numDim>
    </cx:data>
    <cx:data id="4">
      <cx:numDim type="val">
        <cx:f>_xlchart.v1.646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Eleven Epoch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SE[%] for Class  3 / F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_xlchart.v1.637</cx:f>
              <cx:v>Mode GUE Acc. Der.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6C5A-419B-997C-EFC1C8FCD19D}">
          <cx:tx>
            <cx:txData>
              <cx:f>_xlchart.v1.638</cx:f>
              <cx:v>Mean Gue Px count</cx:v>
            </cx:txData>
          </cx:tx>
          <cx:dataId val="1"/>
          <cx:layoutPr>
            <cx:statistics quartileMethod="exclusive"/>
          </cx:layoutPr>
        </cx:series>
        <cx:series layoutId="boxWhisker" uniqueId="{00000001-6C5A-419B-997C-EFC1C8FCD19D}">
          <cx:tx>
            <cx:txData>
              <cx:f>_xlchart.v1.639</cx:f>
              <cx:v>Mean ACB_A Px count</cx:v>
            </cx:txData>
          </cx:tx>
          <cx:dataId val="2"/>
          <cx:layoutPr>
            <cx:statistics quartileMethod="exclusive"/>
          </cx:layoutPr>
        </cx:series>
        <cx:series layoutId="boxWhisker" uniqueId="{00000002-6C5A-419B-997C-EFC1C8FCD19D}">
          <cx:tx>
            <cx:txData>
              <cx:f>_xlchart.v1.640</cx:f>
              <cx:v>Mean GUE PA Px count</cx:v>
            </cx:txData>
          </cx:tx>
          <cx:dataId val="3"/>
          <cx:layoutPr>
            <cx:statistics quartileMethod="exclusive"/>
          </cx:layoutPr>
        </cx:series>
        <cx:series layoutId="boxWhisker" uniqueId="{00000003-6C5A-419B-997C-EFC1C8FCD19D}">
          <cx:tx>
            <cx:txData>
              <cx:f>_xlchart.v1.641</cx:f>
              <cx:v>Mean ACB_A PA Px count</cx:v>
            </cx:txData>
          </cx:tx>
          <cx:dataId val="4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7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_xlchart.v1.658</cx:f>
      </cx:strDim>
      <cx:numDim type="val">
        <cx:f>_xlchart.v1.664</cx:f>
      </cx:numDim>
    </cx:data>
    <cx:data id="1">
      <cx:numDim type="val">
        <cx:f>_xlchart.v1.665</cx:f>
      </cx:numDim>
    </cx:data>
    <cx:data id="2">
      <cx:numDim type="val">
        <cx:f>_xlchart.v1.666</cx:f>
      </cx:numDim>
    </cx:data>
    <cx:data id="3">
      <cx:numDim type="val">
        <cx:f>_xlchart.v1.667</cx:f>
      </cx:numDim>
    </cx:data>
    <cx:data id="4">
      <cx:numDim type="val">
        <cx:f>_xlchart.v1.668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Eleven Epoch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SE[%] for Class  4 / 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_xlchart.v1.659</cx:f>
              <cx:v>Mode GUE Acc. Der.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6C5A-419B-997C-EFC1C8FCD19D}">
          <cx:tx>
            <cx:txData>
              <cx:f>_xlchart.v1.660</cx:f>
              <cx:v>Mean Gue Px count</cx:v>
            </cx:txData>
          </cx:tx>
          <cx:dataId val="1"/>
          <cx:layoutPr>
            <cx:statistics quartileMethod="exclusive"/>
          </cx:layoutPr>
        </cx:series>
        <cx:series layoutId="boxWhisker" uniqueId="{00000001-6C5A-419B-997C-EFC1C8FCD19D}">
          <cx:tx>
            <cx:txData>
              <cx:f>_xlchart.v1.661</cx:f>
              <cx:v>Mean ACB_A Px count</cx:v>
            </cx:txData>
          </cx:tx>
          <cx:dataId val="2"/>
          <cx:layoutPr>
            <cx:statistics quartileMethod="exclusive"/>
          </cx:layoutPr>
        </cx:series>
        <cx:series layoutId="boxWhisker" uniqueId="{00000002-6C5A-419B-997C-EFC1C8FCD19D}">
          <cx:tx>
            <cx:txData>
              <cx:f>_xlchart.v1.662</cx:f>
              <cx:v>Mean GUE PA Px count</cx:v>
            </cx:txData>
          </cx:tx>
          <cx:dataId val="3"/>
          <cx:layoutPr>
            <cx:statistics quartileMethod="exclusive"/>
          </cx:layoutPr>
        </cx:series>
        <cx:series layoutId="boxWhisker" uniqueId="{00000003-6C5A-419B-997C-EFC1C8FCD19D}">
          <cx:tx>
            <cx:txData>
              <cx:f>_xlchart.v1.663</cx:f>
              <cx:v>Mean ACB_A PA Px count</cx:v>
            </cx:txData>
          </cx:tx>
          <cx:dataId val="4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7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_xlchart.v1.700</cx:f>
      </cx:numDim>
    </cx:data>
    <cx:data id="1">
      <cx:numDim type="val">
        <cx:f>_xlchart.v1.702</cx:f>
      </cx:numDim>
    </cx:data>
    <cx:data id="2">
      <cx:numDim type="val">
        <cx:f>_xlchart.v1.704</cx:f>
      </cx:numDim>
    </cx:data>
    <cx:data id="3">
      <cx:numDim type="val">
        <cx:f>_xlchart.v1.706</cx:f>
      </cx:numDim>
    </cx:data>
    <cx:data id="4">
      <cx:numDim type="val">
        <cx:f>_xlchart.v1.708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</a:t>
            </a:r>
            <a:r>
              <a:rPr lang="es-CO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PA Area Relative Low Conf. Pixels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[%]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00000000-C4A7-4320-9677-1BC5032BE7E1}">
          <cx:tx>
            <cx:txData>
              <cx:f>_xlchart.v1.699</cx:f>
              <cx:v>0 / W</cx:v>
            </cx:txData>
          </cx:tx>
          <cx:spPr>
            <a:solidFill>
              <a:srgbClr val="1F9DFF"/>
            </a:solidFill>
            <a:ln>
              <a:solidFill>
                <a:schemeClr val="tx1"/>
              </a:solidFill>
            </a:ln>
          </cx:spPr>
          <cx:dataId val="0"/>
          <cx:layoutPr>
            <cx:statistics quartileMethod="exclusive"/>
          </cx:layoutPr>
        </cx:series>
        <cx:series layoutId="boxWhisker" uniqueId="{00000001-C4A7-4320-9677-1BC5032BE7E1}">
          <cx:tx>
            <cx:txData>
              <cx:f>_xlchart.v1.701</cx:f>
              <cx:v>1 / B</cx:v>
            </cx:txData>
          </cx:tx>
          <cx:spPr>
            <a:solidFill>
              <a:srgbClr val="CACDDE"/>
            </a:solidFill>
            <a:ln>
              <a:solidFill>
                <a:schemeClr val="tx1"/>
              </a:solidFill>
            </a:ln>
          </cx:spPr>
          <cx:dataId val="1"/>
          <cx:layoutPr>
            <cx:statistics quartileMethod="exclusive"/>
          </cx:layoutPr>
        </cx:series>
        <cx:series layoutId="boxWhisker" uniqueId="{00000002-C4A7-4320-9677-1BC5032BE7E1}">
          <cx:tx>
            <cx:txData>
              <cx:f>_xlchart.v1.703</cx:f>
              <cx:v>2 / A</cx:v>
            </cx:txData>
          </cx:tx>
          <cx:spPr>
            <a:solidFill>
              <a:srgbClr val="B1EE2D"/>
            </a:solidFill>
            <a:ln>
              <a:solidFill>
                <a:schemeClr val="tx1"/>
              </a:solidFill>
            </a:ln>
          </cx:spPr>
          <cx:dataId val="2"/>
          <cx:layoutPr>
            <cx:statistics quartileMethod="exclusive"/>
          </cx:layoutPr>
        </cx:series>
        <cx:series layoutId="boxWhisker" uniqueId="{00000003-C4A7-4320-9677-1BC5032BE7E1}">
          <cx:tx>
            <cx:txData>
              <cx:f>_xlchart.v1.705</cx:f>
              <cx:v>3 / F</cx:v>
            </cx:txData>
          </cx:tx>
          <cx:spPr>
            <a:solidFill>
              <a:srgbClr val="149721"/>
            </a:solidFill>
            <a:ln>
              <a:solidFill>
                <a:schemeClr val="tx1"/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00000004-C4A7-4320-9677-1BC5032BE7E1}">
          <cx:tx>
            <cx:txData>
              <cx:f>_xlchart.v1.707</cx:f>
              <cx:v>4 / S</cx:v>
            </cx:txData>
          </cx:tx>
          <cx:spPr>
            <a:solidFill>
              <a:srgbClr val="AD8D06"/>
            </a:solidFill>
            <a:ln>
              <a:solidFill>
                <a:schemeClr val="tx1"/>
              </a:solidFill>
            </a:ln>
          </cx:spPr>
          <cx:dataId val="4"/>
          <cx:layoutPr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 max="3.5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7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_xlchart.v1.680</cx:f>
      </cx:numDim>
    </cx:data>
    <cx:data id="1">
      <cx:numDim type="val">
        <cx:f>_xlchart.v1.682</cx:f>
      </cx:numDim>
    </cx:data>
    <cx:data id="2">
      <cx:numDim type="val">
        <cx:f>_xlchart.v1.684</cx:f>
      </cx:numDim>
    </cx:data>
    <cx:data id="3">
      <cx:numDim type="val">
        <cx:f>_xlchart.v1.686</cx:f>
      </cx:numDim>
    </cx:data>
    <cx:data id="4">
      <cx:numDim type="val">
        <cx:f>_xlchart.v1.688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</a:t>
            </a:r>
            <a:r>
              <a:rPr lang="es-CO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PA Low Confidence Pixels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[%]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E2C67516-453C-425D-9A86-4CEA0721D3B1}">
          <cx:tx>
            <cx:txData>
              <cx:f>_xlchart.v1.679</cx:f>
              <cx:v>0 / W</cx:v>
            </cx:txData>
          </cx:tx>
          <cx:spPr>
            <a:solidFill>
              <a:srgbClr val="1F9DFF"/>
            </a:solidFill>
          </cx:spPr>
          <cx:dataId val="0"/>
          <cx:layoutPr>
            <cx:statistics quartileMethod="exclusive"/>
          </cx:layoutPr>
        </cx:series>
        <cx:series layoutId="boxWhisker" uniqueId="{FBA9B51A-364A-4CEB-9A9B-3D9B520FBB78}">
          <cx:tx>
            <cx:txData>
              <cx:f>_xlchart.v1.681</cx:f>
              <cx:v>1 / B</cx:v>
            </cx:txData>
          </cx:tx>
          <cx:spPr>
            <a:solidFill>
              <a:srgbClr val="CACDDE"/>
            </a:solidFill>
          </cx:spPr>
          <cx:dataId val="1"/>
          <cx:layoutPr>
            <cx:statistics quartileMethod="exclusive"/>
          </cx:layoutPr>
        </cx:series>
        <cx:series layoutId="boxWhisker" uniqueId="{3E7D91B6-B72F-4190-8D21-C4BF8CC000AE}">
          <cx:tx>
            <cx:txData>
              <cx:f>_xlchart.v1.683</cx:f>
              <cx:v>2 / A</cx:v>
            </cx:txData>
          </cx:tx>
          <cx:spPr>
            <a:solidFill>
              <a:srgbClr val="B1EE2D"/>
            </a:solidFill>
          </cx:spPr>
          <cx:dataId val="2"/>
          <cx:layoutPr>
            <cx:statistics quartileMethod="exclusive"/>
          </cx:layoutPr>
        </cx:series>
        <cx:series layoutId="boxWhisker" uniqueId="{4D5E1151-3310-4EA1-AA82-BB332D47B450}">
          <cx:tx>
            <cx:txData>
              <cx:f>_xlchart.v1.685</cx:f>
              <cx:v>3 / F</cx:v>
            </cx:txData>
          </cx:tx>
          <cx:spPr>
            <a:solidFill>
              <a:srgbClr val="149721"/>
            </a:solidFill>
            <a:ln>
              <a:solidFill>
                <a:schemeClr val="tx1"/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FDD56478-FE70-406F-9FE4-745D89EA6E7B}">
          <cx:tx>
            <cx:txData>
              <cx:f>_xlchart.v1.687</cx:f>
              <cx:v>4 / S</cx:v>
            </cx:txData>
          </cx:tx>
          <cx:spPr>
            <a:solidFill>
              <a:srgbClr val="AD8D06"/>
            </a:solidFill>
            <a:ln>
              <a:solidFill>
                <a:schemeClr val="tx1"/>
              </a:solidFill>
            </a:ln>
          </cx:spPr>
          <cx:dataId val="4"/>
          <cx:layoutPr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7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_xlchart.v1.690</cx:f>
      </cx:numDim>
    </cx:data>
    <cx:data id="1">
      <cx:numDim type="val">
        <cx:f>_xlchart.v1.692</cx:f>
      </cx:numDim>
    </cx:data>
    <cx:data id="2">
      <cx:numDim type="val">
        <cx:f>_xlchart.v1.694</cx:f>
      </cx:numDim>
    </cx:data>
    <cx:data id="3">
      <cx:numDim type="val">
        <cx:f>_xlchart.v1.696</cx:f>
      </cx:numDim>
    </cx:data>
    <cx:data id="4">
      <cx:numDim type="val">
        <cx:f>_xlchart.v1.698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ACB_A </a:t>
            </a:r>
            <a:r>
              <a:rPr lang="es-CO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PA Area Relative Low Conf. Pixels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[%]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C235D43C-E2FE-4C43-90E7-8229A16A42B5}">
          <cx:tx>
            <cx:txData>
              <cx:f>_xlchart.v1.689</cx:f>
              <cx:v>0 / W</cx:v>
            </cx:txData>
          </cx:tx>
          <cx:spPr>
            <a:solidFill>
              <a:srgbClr val="1F9DFF"/>
            </a:solidFill>
          </cx:spPr>
          <cx:dataId val="0"/>
          <cx:layoutPr>
            <cx:statistics quartileMethod="exclusive"/>
          </cx:layoutPr>
        </cx:series>
        <cx:series layoutId="boxWhisker" uniqueId="{52D42F8E-75B9-48D4-A498-60E378E4B175}">
          <cx:tx>
            <cx:txData>
              <cx:f>_xlchart.v1.691</cx:f>
              <cx:v>1 / B</cx:v>
            </cx:txData>
          </cx:tx>
          <cx:spPr>
            <a:solidFill>
              <a:srgbClr val="CACDDE"/>
            </a:solidFill>
          </cx:spPr>
          <cx:dataId val="1"/>
          <cx:layoutPr>
            <cx:statistics quartileMethod="exclusive"/>
          </cx:layoutPr>
        </cx:series>
        <cx:series layoutId="boxWhisker" uniqueId="{BE779ABE-DD81-4A2F-AAAA-44B2AA3A0BBE}">
          <cx:tx>
            <cx:txData>
              <cx:f>_xlchart.v1.693</cx:f>
              <cx:v>2 / A</cx:v>
            </cx:txData>
          </cx:tx>
          <cx:spPr>
            <a:solidFill>
              <a:srgbClr val="B1EE2D"/>
            </a:solidFill>
          </cx:spPr>
          <cx:dataId val="2"/>
          <cx:layoutPr>
            <cx:statistics quartileMethod="exclusive"/>
          </cx:layoutPr>
        </cx:series>
        <cx:series layoutId="boxWhisker" uniqueId="{509FD569-C907-4BA4-8467-D350D9EFBE99}">
          <cx:tx>
            <cx:txData>
              <cx:f>_xlchart.v1.695</cx:f>
              <cx:v>3 / F</cx:v>
            </cx:txData>
          </cx:tx>
          <cx:spPr>
            <a:solidFill>
              <a:srgbClr val="149721"/>
            </a:solidFill>
            <a:ln>
              <a:solidFill>
                <a:schemeClr val="tx1"/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57C16428-2BEB-44BE-9B76-BB91536731F1}">
          <cx:tx>
            <cx:txData>
              <cx:f>_xlchart.v1.697</cx:f>
              <cx:v>4 / S</cx:v>
            </cx:txData>
          </cx:tx>
          <cx:spPr>
            <a:solidFill>
              <a:srgbClr val="AD8D06"/>
            </a:solidFill>
            <a:ln>
              <a:solidFill>
                <a:schemeClr val="tx1"/>
              </a:solidFill>
            </a:ln>
          </cx:spPr>
          <cx:dataId val="4"/>
          <cx:layoutPr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 max="3.5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7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_xlchart.v1.720</cx:f>
      </cx:numDim>
    </cx:data>
    <cx:data id="1">
      <cx:numDim type="val">
        <cx:f>_xlchart.v1.722</cx:f>
      </cx:numDim>
    </cx:data>
    <cx:data id="2">
      <cx:numDim type="val">
        <cx:f>_xlchart.v1.724</cx:f>
      </cx:numDim>
    </cx:data>
    <cx:data id="3">
      <cx:numDim type="val">
        <cx:f>_xlchart.v1.726</cx:f>
      </cx:numDim>
    </cx:data>
    <cx:data id="4">
      <cx:numDim type="val">
        <cx:f>_xlchart.v1.728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ACB_A </a:t>
            </a:r>
            <a:r>
              <a:rPr lang="es-CO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PA Low Confidence Pixels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[%]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4F1E3138-795D-4DC8-8F88-9B2FDD20C8A1}">
          <cx:tx>
            <cx:txData>
              <cx:f>_xlchart.v1.719</cx:f>
              <cx:v>0 / W</cx:v>
            </cx:txData>
          </cx:tx>
          <cx:spPr>
            <a:solidFill>
              <a:srgbClr val="1F9DFF"/>
            </a:solidFill>
          </cx:spPr>
          <cx:dataId val="0"/>
          <cx:layoutPr>
            <cx:statistics quartileMethod="exclusive"/>
          </cx:layoutPr>
        </cx:series>
        <cx:series layoutId="boxWhisker" uniqueId="{406D3EB0-69B1-46AF-A6A8-B0DFF0FF4E43}">
          <cx:tx>
            <cx:txData>
              <cx:f>_xlchart.v1.721</cx:f>
              <cx:v>1 / B</cx:v>
            </cx:txData>
          </cx:tx>
          <cx:spPr>
            <a:solidFill>
              <a:srgbClr val="CACDDE"/>
            </a:solidFill>
          </cx:spPr>
          <cx:dataId val="1"/>
          <cx:layoutPr>
            <cx:statistics quartileMethod="exclusive"/>
          </cx:layoutPr>
        </cx:series>
        <cx:series layoutId="boxWhisker" uniqueId="{B639DFEA-1690-4DE3-9376-DA843C875BB8}">
          <cx:tx>
            <cx:txData>
              <cx:f>_xlchart.v1.723</cx:f>
              <cx:v>2 / A</cx:v>
            </cx:txData>
          </cx:tx>
          <cx:spPr>
            <a:solidFill>
              <a:srgbClr val="B1EE2D"/>
            </a:solidFill>
            <a:ln>
              <a:solidFill>
                <a:schemeClr val="tx1"/>
              </a:solidFill>
            </a:ln>
          </cx:spPr>
          <cx:dataId val="2"/>
          <cx:layoutPr>
            <cx:statistics quartileMethod="exclusive"/>
          </cx:layoutPr>
        </cx:series>
        <cx:series layoutId="boxWhisker" uniqueId="{46025537-28E0-44DC-9D34-B1512F294AD6}">
          <cx:tx>
            <cx:txData>
              <cx:f>_xlchart.v1.725</cx:f>
              <cx:v>3 / F</cx:v>
            </cx:txData>
          </cx:tx>
          <cx:spPr>
            <a:solidFill>
              <a:srgbClr val="149721"/>
            </a:solidFill>
            <a:ln>
              <a:solidFill>
                <a:schemeClr val="tx1"/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6D71BEC5-5DE4-4BA5-A691-5E3BCD5322B7}">
          <cx:tx>
            <cx:txData>
              <cx:f>_xlchart.v1.727</cx:f>
              <cx:v>4 / S</cx:v>
            </cx:txData>
          </cx:tx>
          <cx:spPr>
            <a:solidFill>
              <a:srgbClr val="AD8D06"/>
            </a:solidFill>
            <a:ln>
              <a:solidFill>
                <a:schemeClr val="tx1"/>
              </a:solidFill>
            </a:ln>
          </cx:spPr>
          <cx:dataId val="4"/>
          <cx:layoutPr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7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_xlchart.v1.670</cx:f>
      </cx:numDim>
    </cx:data>
    <cx:data id="1">
      <cx:numDim type="val">
        <cx:f>_xlchart.v1.672</cx:f>
      </cx:numDim>
    </cx:data>
    <cx:data id="2">
      <cx:numDim type="val">
        <cx:f>_xlchart.v1.674</cx:f>
      </cx:numDim>
    </cx:data>
    <cx:data id="3">
      <cx:numDim type="val">
        <cx:f>_xlchart.v1.676</cx:f>
      </cx:numDim>
    </cx:data>
    <cx:data id="4">
      <cx:numDim type="val">
        <cx:f>_xlchart.v1.678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ACB_G </a:t>
            </a:r>
            <a:r>
              <a:rPr lang="es-CO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PA Area Relative Low Conf. Pixels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[%]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368D7BB7-5D5B-45FE-BBDC-A6D0E01EDE53}">
          <cx:tx>
            <cx:txData>
              <cx:f>_xlchart.v1.669</cx:f>
              <cx:v>0 / W</cx:v>
            </cx:txData>
          </cx:tx>
          <cx:spPr>
            <a:solidFill>
              <a:srgbClr val="1F9DFF"/>
            </a:solidFill>
          </cx:spPr>
          <cx:dataId val="0"/>
          <cx:layoutPr>
            <cx:statistics quartileMethod="exclusive"/>
          </cx:layoutPr>
        </cx:series>
        <cx:series layoutId="boxWhisker" uniqueId="{46542552-8DB1-4F4D-AE4B-B526A93E475E}">
          <cx:tx>
            <cx:txData>
              <cx:f>_xlchart.v1.671</cx:f>
              <cx:v>1 / B</cx:v>
            </cx:txData>
          </cx:tx>
          <cx:spPr>
            <a:solidFill>
              <a:srgbClr val="CACDDE"/>
            </a:solidFill>
          </cx:spPr>
          <cx:dataId val="1"/>
          <cx:layoutPr>
            <cx:statistics quartileMethod="exclusive"/>
          </cx:layoutPr>
        </cx:series>
        <cx:series layoutId="boxWhisker" uniqueId="{6A425D7B-8187-410F-A45D-02FC26E92246}">
          <cx:tx>
            <cx:txData>
              <cx:f>_xlchart.v1.673</cx:f>
              <cx:v>2 / A</cx:v>
            </cx:txData>
          </cx:tx>
          <cx:spPr>
            <a:solidFill>
              <a:srgbClr val="B1EE2D"/>
            </a:solidFill>
          </cx:spPr>
          <cx:dataId val="2"/>
          <cx:layoutPr>
            <cx:statistics quartileMethod="exclusive"/>
          </cx:layoutPr>
        </cx:series>
        <cx:series layoutId="boxWhisker" uniqueId="{5ED60B8A-0454-4A19-BC40-563F21A451E1}">
          <cx:tx>
            <cx:txData>
              <cx:f>_xlchart.v1.675</cx:f>
              <cx:v>3 / F</cx:v>
            </cx:txData>
          </cx:tx>
          <cx:spPr>
            <a:solidFill>
              <a:srgbClr val="149721"/>
            </a:solidFill>
            <a:ln>
              <a:solidFill>
                <a:schemeClr val="tx1"/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B3F6D08B-4BF3-4596-B340-01E427FB0F49}">
          <cx:tx>
            <cx:txData>
              <cx:f>_xlchart.v1.677</cx:f>
              <cx:v>4 / S</cx:v>
            </cx:txData>
          </cx:tx>
          <cx:spPr>
            <a:solidFill>
              <a:srgbClr val="AD8D06"/>
            </a:solidFill>
            <a:ln>
              <a:solidFill>
                <a:schemeClr val="tx1"/>
              </a:solidFill>
            </a:ln>
          </cx:spPr>
          <cx:dataId val="4"/>
          <cx:layoutPr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7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_xlchart.v1.710</cx:f>
      </cx:numDim>
    </cx:data>
    <cx:data id="1">
      <cx:numDim type="val">
        <cx:f>_xlchart.v1.712</cx:f>
      </cx:numDim>
    </cx:data>
    <cx:data id="2">
      <cx:numDim type="val">
        <cx:f>_xlchart.v1.714</cx:f>
      </cx:numDim>
    </cx:data>
    <cx:data id="3">
      <cx:numDim type="val">
        <cx:f>_xlchart.v1.716</cx:f>
      </cx:numDim>
    </cx:data>
    <cx:data id="4">
      <cx:numDim type="val">
        <cx:f>_xlchart.v1.718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ACB_G </a:t>
            </a:r>
            <a:r>
              <a:rPr lang="es-CO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PA Low Confidence Pixels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[%]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ECB0895B-1A57-40AC-BC09-F86EDDFBF499}">
          <cx:tx>
            <cx:txData>
              <cx:f>_xlchart.v1.709</cx:f>
              <cx:v>0 / W</cx:v>
            </cx:txData>
          </cx:tx>
          <cx:spPr>
            <a:solidFill>
              <a:srgbClr val="1F9DFF"/>
            </a:solidFill>
          </cx:spPr>
          <cx:dataId val="0"/>
          <cx:layoutPr>
            <cx:statistics quartileMethod="exclusive"/>
          </cx:layoutPr>
        </cx:series>
        <cx:series layoutId="boxWhisker" uniqueId="{3E943022-6FFD-44E5-A229-D983A9BD5D30}">
          <cx:tx>
            <cx:txData>
              <cx:f>_xlchart.v1.711</cx:f>
              <cx:v>1 / B</cx:v>
            </cx:txData>
          </cx:tx>
          <cx:spPr>
            <a:solidFill>
              <a:srgbClr val="CACDDE"/>
            </a:solidFill>
          </cx:spPr>
          <cx:dataId val="1"/>
          <cx:layoutPr>
            <cx:statistics quartileMethod="exclusive"/>
          </cx:layoutPr>
        </cx:series>
        <cx:series layoutId="boxWhisker" uniqueId="{AFBB3E48-EA8D-4438-9C09-1856C527BA90}">
          <cx:tx>
            <cx:txData>
              <cx:f>_xlchart.v1.713</cx:f>
              <cx:v>2 / A</cx:v>
            </cx:txData>
          </cx:tx>
          <cx:spPr>
            <a:solidFill>
              <a:srgbClr val="B1EE2D"/>
            </a:solidFill>
          </cx:spPr>
          <cx:dataId val="2"/>
          <cx:layoutPr>
            <cx:statistics quartileMethod="exclusive"/>
          </cx:layoutPr>
        </cx:series>
        <cx:series layoutId="boxWhisker" uniqueId="{801B2D47-604A-4C03-8CCC-295F95BCCA76}">
          <cx:tx>
            <cx:txData>
              <cx:f>_xlchart.v1.715</cx:f>
              <cx:v>3 / F</cx:v>
            </cx:txData>
          </cx:tx>
          <cx:spPr>
            <a:solidFill>
              <a:srgbClr val="149721"/>
            </a:solidFill>
            <a:ln>
              <a:solidFill>
                <a:schemeClr val="tx1"/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EC0381C6-4C87-4DFE-AD58-D24BEB177FDC}">
          <cx:tx>
            <cx:txData>
              <cx:f>_xlchart.v1.717</cx:f>
              <cx:v>4 / S</cx:v>
            </cx:txData>
          </cx:tx>
          <cx:spPr>
            <a:solidFill>
              <a:srgbClr val="AD8D06"/>
            </a:solidFill>
            <a:ln>
              <a:solidFill>
                <a:schemeClr val="tx1"/>
              </a:solidFill>
            </a:ln>
          </cx:spPr>
          <cx:dataId val="4"/>
          <cx:layoutPr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9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8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0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7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9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8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6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6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7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7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7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7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7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8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8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8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9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9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9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9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0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1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1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1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1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2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0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6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7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0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ABF44D4-4F16-4E9A-AD20-A33C11062FAC}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3928AA-9A2B-47F3-B579-91441F83EFE4}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0E645E-CAFE-4052-844A-E050A5EAF887}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AAC550-FEF4-4419-8326-6060155F764B}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514960-2A3E-450C-B606-E9B2D844DB5E}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96A9F9B-9B52-4C6F-ABC6-3940C3EF0395}">
  <sheetPr/>
  <sheetViews>
    <sheetView zoomScale="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6.xml"/><Relationship Id="rId3" Type="http://schemas.microsoft.com/office/2014/relationships/chartEx" Target="../charts/chartEx3.xml"/><Relationship Id="rId7" Type="http://schemas.microsoft.com/office/2014/relationships/chartEx" Target="../charts/chartEx5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chart" Target="../charts/chart2.xml"/><Relationship Id="rId5" Type="http://schemas.openxmlformats.org/officeDocument/2006/relationships/chart" Target="../charts/chart1.xml"/><Relationship Id="rId4" Type="http://schemas.microsoft.com/office/2014/relationships/chartEx" Target="../charts/chartEx4.xml"/><Relationship Id="rId9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12.xml"/><Relationship Id="rId3" Type="http://schemas.microsoft.com/office/2014/relationships/chartEx" Target="../charts/chartEx9.xml"/><Relationship Id="rId7" Type="http://schemas.microsoft.com/office/2014/relationships/chartEx" Target="../charts/chartEx11.xml"/><Relationship Id="rId2" Type="http://schemas.microsoft.com/office/2014/relationships/chartEx" Target="../charts/chartEx8.xml"/><Relationship Id="rId1" Type="http://schemas.microsoft.com/office/2014/relationships/chartEx" Target="../charts/chartEx7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microsoft.com/office/2014/relationships/chartEx" Target="../charts/chartEx10.xml"/><Relationship Id="rId9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14/relationships/chartEx" Target="../charts/chartEx18.xml"/><Relationship Id="rId3" Type="http://schemas.microsoft.com/office/2014/relationships/chartEx" Target="../charts/chartEx15.xml"/><Relationship Id="rId7" Type="http://schemas.microsoft.com/office/2014/relationships/chartEx" Target="../charts/chartEx17.xml"/><Relationship Id="rId2" Type="http://schemas.microsoft.com/office/2014/relationships/chartEx" Target="../charts/chartEx14.xml"/><Relationship Id="rId1" Type="http://schemas.microsoft.com/office/2014/relationships/chartEx" Target="../charts/chartEx1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microsoft.com/office/2014/relationships/chartEx" Target="../charts/chartEx16.xml"/><Relationship Id="rId9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8" Type="http://schemas.microsoft.com/office/2014/relationships/chartEx" Target="../charts/chartEx24.xml"/><Relationship Id="rId3" Type="http://schemas.microsoft.com/office/2014/relationships/chartEx" Target="../charts/chartEx21.xml"/><Relationship Id="rId7" Type="http://schemas.microsoft.com/office/2014/relationships/chartEx" Target="../charts/chartEx23.xml"/><Relationship Id="rId2" Type="http://schemas.microsoft.com/office/2014/relationships/chartEx" Target="../charts/chartEx20.xml"/><Relationship Id="rId1" Type="http://schemas.microsoft.com/office/2014/relationships/chartEx" Target="../charts/chartEx19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microsoft.com/office/2014/relationships/chartEx" Target="../charts/chartEx22.xml"/><Relationship Id="rId9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8" Type="http://schemas.microsoft.com/office/2014/relationships/chartEx" Target="../charts/chartEx30.xml"/><Relationship Id="rId3" Type="http://schemas.microsoft.com/office/2014/relationships/chartEx" Target="../charts/chartEx27.xml"/><Relationship Id="rId7" Type="http://schemas.microsoft.com/office/2014/relationships/chartEx" Target="../charts/chartEx29.xml"/><Relationship Id="rId2" Type="http://schemas.microsoft.com/office/2014/relationships/chartEx" Target="../charts/chartEx26.xml"/><Relationship Id="rId1" Type="http://schemas.microsoft.com/office/2014/relationships/chartEx" Target="../charts/chartEx25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microsoft.com/office/2014/relationships/chartEx" Target="../charts/chartEx28.xml"/><Relationship Id="rId9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8" Type="http://schemas.microsoft.com/office/2014/relationships/chartEx" Target="../charts/chartEx36.xml"/><Relationship Id="rId3" Type="http://schemas.microsoft.com/office/2014/relationships/chartEx" Target="../charts/chartEx33.xml"/><Relationship Id="rId7" Type="http://schemas.microsoft.com/office/2014/relationships/chartEx" Target="../charts/chartEx35.xml"/><Relationship Id="rId2" Type="http://schemas.microsoft.com/office/2014/relationships/chartEx" Target="../charts/chartEx32.xml"/><Relationship Id="rId1" Type="http://schemas.microsoft.com/office/2014/relationships/chartEx" Target="../charts/chartEx31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microsoft.com/office/2014/relationships/chartEx" Target="../charts/chartEx34.xml"/><Relationship Id="rId9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8" Type="http://schemas.microsoft.com/office/2014/relationships/chartEx" Target="../charts/chartEx42.xml"/><Relationship Id="rId3" Type="http://schemas.microsoft.com/office/2014/relationships/chartEx" Target="../charts/chartEx39.xml"/><Relationship Id="rId7" Type="http://schemas.microsoft.com/office/2014/relationships/chartEx" Target="../charts/chartEx41.xml"/><Relationship Id="rId2" Type="http://schemas.microsoft.com/office/2014/relationships/chartEx" Target="../charts/chartEx38.xml"/><Relationship Id="rId1" Type="http://schemas.microsoft.com/office/2014/relationships/chartEx" Target="../charts/chartEx37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microsoft.com/office/2014/relationships/chartEx" Target="../charts/chartEx40.xml"/><Relationship Id="rId9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8" Type="http://schemas.microsoft.com/office/2014/relationships/chartEx" Target="../charts/chartEx48.xml"/><Relationship Id="rId3" Type="http://schemas.microsoft.com/office/2014/relationships/chartEx" Target="../charts/chartEx45.xml"/><Relationship Id="rId7" Type="http://schemas.microsoft.com/office/2014/relationships/chartEx" Target="../charts/chartEx47.xml"/><Relationship Id="rId2" Type="http://schemas.microsoft.com/office/2014/relationships/chartEx" Target="../charts/chartEx44.xml"/><Relationship Id="rId1" Type="http://schemas.microsoft.com/office/2014/relationships/chartEx" Target="../charts/chartEx43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microsoft.com/office/2014/relationships/chartEx" Target="../charts/chartEx46.xml"/><Relationship Id="rId9" Type="http://schemas.openxmlformats.org/officeDocument/2006/relationships/chart" Target="../charts/chart24.xml"/></Relationships>
</file>

<file path=xl/drawings/_rels/drawing10.xml.rels><?xml version="1.0" encoding="UTF-8" standalone="yes"?>
<Relationships xmlns="http://schemas.openxmlformats.org/package/2006/relationships"><Relationship Id="rId8" Type="http://schemas.microsoft.com/office/2014/relationships/chartEx" Target="../charts/chartEx54.xml"/><Relationship Id="rId3" Type="http://schemas.microsoft.com/office/2014/relationships/chartEx" Target="../charts/chartEx51.xml"/><Relationship Id="rId7" Type="http://schemas.microsoft.com/office/2014/relationships/chartEx" Target="../charts/chartEx53.xml"/><Relationship Id="rId2" Type="http://schemas.microsoft.com/office/2014/relationships/chartEx" Target="../charts/chartEx50.xml"/><Relationship Id="rId1" Type="http://schemas.microsoft.com/office/2014/relationships/chartEx" Target="../charts/chartEx49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microsoft.com/office/2014/relationships/chartEx" Target="../charts/chartEx52.xml"/><Relationship Id="rId9" Type="http://schemas.openxmlformats.org/officeDocument/2006/relationships/chart" Target="../charts/chart27.xml"/></Relationships>
</file>

<file path=xl/drawings/_rels/drawing11.xml.rels><?xml version="1.0" encoding="UTF-8" standalone="yes"?>
<Relationships xmlns="http://schemas.openxmlformats.org/package/2006/relationships"><Relationship Id="rId8" Type="http://schemas.microsoft.com/office/2014/relationships/chartEx" Target="../charts/chartEx60.xml"/><Relationship Id="rId3" Type="http://schemas.microsoft.com/office/2014/relationships/chartEx" Target="../charts/chartEx57.xml"/><Relationship Id="rId7" Type="http://schemas.microsoft.com/office/2014/relationships/chartEx" Target="../charts/chartEx59.xml"/><Relationship Id="rId2" Type="http://schemas.microsoft.com/office/2014/relationships/chartEx" Target="../charts/chartEx56.xml"/><Relationship Id="rId1" Type="http://schemas.microsoft.com/office/2014/relationships/chartEx" Target="../charts/chartEx55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microsoft.com/office/2014/relationships/chartEx" Target="../charts/chartEx58.xml"/><Relationship Id="rId9" Type="http://schemas.openxmlformats.org/officeDocument/2006/relationships/chart" Target="../charts/chart30.xml"/></Relationships>
</file>

<file path=xl/drawings/_rels/drawing12.xml.rels><?xml version="1.0" encoding="UTF-8" standalone="yes"?>
<Relationships xmlns="http://schemas.openxmlformats.org/package/2006/relationships"><Relationship Id="rId8" Type="http://schemas.microsoft.com/office/2014/relationships/chartEx" Target="../charts/chartEx66.xml"/><Relationship Id="rId3" Type="http://schemas.microsoft.com/office/2014/relationships/chartEx" Target="../charts/chartEx63.xml"/><Relationship Id="rId7" Type="http://schemas.microsoft.com/office/2014/relationships/chartEx" Target="../charts/chartEx65.xml"/><Relationship Id="rId2" Type="http://schemas.microsoft.com/office/2014/relationships/chartEx" Target="../charts/chartEx62.xml"/><Relationship Id="rId1" Type="http://schemas.microsoft.com/office/2014/relationships/chartEx" Target="../charts/chartEx61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microsoft.com/office/2014/relationships/chartEx" Target="../charts/chartEx64.xml"/><Relationship Id="rId9" Type="http://schemas.openxmlformats.org/officeDocument/2006/relationships/chart" Target="../charts/chart33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microsoft.com/office/2014/relationships/chartEx" Target="../charts/chartEx67.xml"/><Relationship Id="rId18" Type="http://schemas.openxmlformats.org/officeDocument/2006/relationships/chart" Target="../charts/chart42.xml"/><Relationship Id="rId3" Type="http://schemas.openxmlformats.org/officeDocument/2006/relationships/chart" Target="../charts/chart36.xml"/><Relationship Id="rId7" Type="http://schemas.openxmlformats.org/officeDocument/2006/relationships/image" Target="../media/image5.png"/><Relationship Id="rId12" Type="http://schemas.openxmlformats.org/officeDocument/2006/relationships/chart" Target="../charts/chart41.xml"/><Relationship Id="rId17" Type="http://schemas.microsoft.com/office/2014/relationships/chartEx" Target="../charts/chartEx71.xml"/><Relationship Id="rId2" Type="http://schemas.openxmlformats.org/officeDocument/2006/relationships/chart" Target="../charts/chart35.xml"/><Relationship Id="rId16" Type="http://schemas.microsoft.com/office/2014/relationships/chartEx" Target="../charts/chartEx70.xml"/><Relationship Id="rId1" Type="http://schemas.openxmlformats.org/officeDocument/2006/relationships/chart" Target="../charts/chart34.xml"/><Relationship Id="rId6" Type="http://schemas.openxmlformats.org/officeDocument/2006/relationships/image" Target="../media/image4.png"/><Relationship Id="rId11" Type="http://schemas.openxmlformats.org/officeDocument/2006/relationships/chart" Target="../charts/chart40.xml"/><Relationship Id="rId5" Type="http://schemas.openxmlformats.org/officeDocument/2006/relationships/chart" Target="../charts/chart38.xml"/><Relationship Id="rId15" Type="http://schemas.microsoft.com/office/2014/relationships/chartEx" Target="../charts/chartEx69.xml"/><Relationship Id="rId10" Type="http://schemas.openxmlformats.org/officeDocument/2006/relationships/chart" Target="../charts/chart39.xml"/><Relationship Id="rId4" Type="http://schemas.openxmlformats.org/officeDocument/2006/relationships/chart" Target="../charts/chart37.xml"/><Relationship Id="rId9" Type="http://schemas.openxmlformats.org/officeDocument/2006/relationships/image" Target="../media/image7.png"/><Relationship Id="rId14" Type="http://schemas.microsoft.com/office/2014/relationships/chartEx" Target="../charts/chartEx68.xml"/></Relationships>
</file>

<file path=xl/drawings/_rels/drawing14.xml.rels><?xml version="1.0" encoding="UTF-8" standalone="yes"?>
<Relationships xmlns="http://schemas.openxmlformats.org/package/2006/relationships"><Relationship Id="rId8" Type="http://schemas.microsoft.com/office/2014/relationships/chartEx" Target="../charts/chartEx77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3" Type="http://schemas.microsoft.com/office/2014/relationships/chartEx" Target="../charts/chartEx74.xml"/><Relationship Id="rId21" Type="http://schemas.openxmlformats.org/officeDocument/2006/relationships/chart" Target="../charts/chart57.xml"/><Relationship Id="rId7" Type="http://schemas.microsoft.com/office/2014/relationships/chartEx" Target="../charts/chartEx76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" Type="http://schemas.microsoft.com/office/2014/relationships/chartEx" Target="../charts/chartEx73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1" Type="http://schemas.microsoft.com/office/2014/relationships/chartEx" Target="../charts/chartEx72.xml"/><Relationship Id="rId6" Type="http://schemas.openxmlformats.org/officeDocument/2006/relationships/chart" Target="../charts/chart44.xml"/><Relationship Id="rId11" Type="http://schemas.openxmlformats.org/officeDocument/2006/relationships/chart" Target="../charts/chart47.xml"/><Relationship Id="rId24" Type="http://schemas.openxmlformats.org/officeDocument/2006/relationships/chart" Target="../charts/chart60.xml"/><Relationship Id="rId5" Type="http://schemas.openxmlformats.org/officeDocument/2006/relationships/chart" Target="../charts/chart43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4" Type="http://schemas.microsoft.com/office/2014/relationships/chartEx" Target="../charts/chartEx75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chart" Target="../charts/chart63.xml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11" Type="http://schemas.openxmlformats.org/officeDocument/2006/relationships/chart" Target="../charts/chart74.xml"/><Relationship Id="rId5" Type="http://schemas.openxmlformats.org/officeDocument/2006/relationships/chart" Target="../charts/chart68.xml"/><Relationship Id="rId10" Type="http://schemas.openxmlformats.org/officeDocument/2006/relationships/chart" Target="../charts/chart73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371475</xdr:colOff>
      <xdr:row>1</xdr:row>
      <xdr:rowOff>76200</xdr:rowOff>
    </xdr:from>
    <xdr:to>
      <xdr:col>2</xdr:col>
      <xdr:colOff>638175</xdr:colOff>
      <xdr:row>4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CAC6C58-298A-1B1D-FA96-19299ED69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57175"/>
          <a:ext cx="10572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419100</xdr:colOff>
      <xdr:row>5</xdr:row>
      <xdr:rowOff>171450</xdr:rowOff>
    </xdr:from>
    <xdr:to>
      <xdr:col>6</xdr:col>
      <xdr:colOff>419100</xdr:colOff>
      <xdr:row>7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40C7B59-022F-57C6-C462-DC8F65600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171450"/>
          <a:ext cx="7905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428625</xdr:colOff>
      <xdr:row>2</xdr:row>
      <xdr:rowOff>161925</xdr:rowOff>
    </xdr:from>
    <xdr:to>
      <xdr:col>3</xdr:col>
      <xdr:colOff>752475</xdr:colOff>
      <xdr:row>4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E883991-F851-867B-DD03-3FF1765EC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571500"/>
          <a:ext cx="3238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419100</xdr:colOff>
      <xdr:row>15</xdr:row>
      <xdr:rowOff>171450</xdr:rowOff>
    </xdr:from>
    <xdr:to>
      <xdr:col>6</xdr:col>
      <xdr:colOff>419100</xdr:colOff>
      <xdr:row>17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85DA73E-6AEC-4457-8438-1D588FEC5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1975" y="1091565"/>
          <a:ext cx="790575" cy="241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Gráfico 18">
              <a:extLst>
                <a:ext uri="{FF2B5EF4-FFF2-40B4-BE49-F238E27FC236}">
                  <a16:creationId xmlns:a16="http://schemas.microsoft.com/office/drawing/2014/main" id="{8CA00919-B433-4C17-A3DE-E2EC1ACF9D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71096" y="227513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1" name="Gráfico 20">
              <a:extLst>
                <a:ext uri="{FF2B5EF4-FFF2-40B4-BE49-F238E27FC236}">
                  <a16:creationId xmlns:a16="http://schemas.microsoft.com/office/drawing/2014/main" id="{10282C30-5FD0-46AB-94B4-D61FCB05DE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499175" y="228790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Gráfico 21">
              <a:extLst>
                <a:ext uri="{FF2B5EF4-FFF2-40B4-BE49-F238E27FC236}">
                  <a16:creationId xmlns:a16="http://schemas.microsoft.com/office/drawing/2014/main" id="{C1B88157-2831-4F46-8A8C-F288573B85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81174" y="6355977"/>
              <a:ext cx="5477789" cy="3941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3" name="Gráfico 22">
              <a:extLst>
                <a:ext uri="{FF2B5EF4-FFF2-40B4-BE49-F238E27FC236}">
                  <a16:creationId xmlns:a16="http://schemas.microsoft.com/office/drawing/2014/main" id="{172D60D9-20F9-41C8-A25E-E19B440ADB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34249" y="6355977"/>
              <a:ext cx="4965551" cy="3941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24" name="Chart 1">
          <a:extLst>
            <a:ext uri="{FF2B5EF4-FFF2-40B4-BE49-F238E27FC236}">
              <a16:creationId xmlns:a16="http://schemas.microsoft.com/office/drawing/2014/main" id="{012B9B1E-FFD3-4BED-BCFE-C0B5EC63186F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901276" y="30438202"/>
    <xdr:ext cx="7920000" cy="5040000"/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68701AE0-BBF3-4843-B026-C472F49F1642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23</xdr:row>
      <xdr:rowOff>190500</xdr:rowOff>
    </xdr:from>
    <xdr:to>
      <xdr:col>47</xdr:col>
      <xdr:colOff>506190</xdr:colOff>
      <xdr:row>23</xdr:row>
      <xdr:rowOff>190500</xdr:rowOff>
    </xdr:to>
    <xdr:cxnSp macro="">
      <xdr:nvCxnSpPr>
        <xdr:cNvPr id="27" name="Conector recto 26">
          <a:extLst>
            <a:ext uri="{FF2B5EF4-FFF2-40B4-BE49-F238E27FC236}">
              <a16:creationId xmlns:a16="http://schemas.microsoft.com/office/drawing/2014/main" id="{57AA3E2C-F209-5F05-5708-3AD9B783D627}"/>
            </a:ext>
          </a:extLst>
        </xdr:cNvPr>
        <xdr:cNvCxnSpPr/>
      </xdr:nvCxnSpPr>
      <xdr:spPr>
        <a:xfrm>
          <a:off x="31516320" y="4486275"/>
          <a:ext cx="4308570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555988</xdr:colOff>
      <xdr:row>25</xdr:row>
      <xdr:rowOff>35650</xdr:rowOff>
    </xdr:from>
    <xdr:to>
      <xdr:col>41</xdr:col>
      <xdr:colOff>157848</xdr:colOff>
      <xdr:row>25</xdr:row>
      <xdr:rowOff>35650</xdr:rowOff>
    </xdr:to>
    <xdr:cxnSp macro="">
      <xdr:nvCxnSpPr>
        <xdr:cNvPr id="29" name="Conector recto 28">
          <a:extLst>
            <a:ext uri="{FF2B5EF4-FFF2-40B4-BE49-F238E27FC236}">
              <a16:creationId xmlns:a16="http://schemas.microsoft.com/office/drawing/2014/main" id="{3299944E-D5C8-4717-8D84-DCFDD8108696}"/>
            </a:ext>
          </a:extLst>
        </xdr:cNvPr>
        <xdr:cNvCxnSpPr/>
      </xdr:nvCxnSpPr>
      <xdr:spPr>
        <a:xfrm>
          <a:off x="26360574" y="4711064"/>
          <a:ext cx="4337145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0" name="Gráfico 29">
              <a:extLst>
                <a:ext uri="{FF2B5EF4-FFF2-40B4-BE49-F238E27FC236}">
                  <a16:creationId xmlns:a16="http://schemas.microsoft.com/office/drawing/2014/main" id="{BD5D0A12-21D5-42E0-9CA0-D22DBAE494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33465" y="10380345"/>
              <a:ext cx="4966335" cy="385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1" name="Gráfico 30">
              <a:extLst>
                <a:ext uri="{FF2B5EF4-FFF2-40B4-BE49-F238E27FC236}">
                  <a16:creationId xmlns:a16="http://schemas.microsoft.com/office/drawing/2014/main" id="{8D3DB7E5-31E4-4B0A-8F74-D7204BBB8B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18490" y="10380345"/>
              <a:ext cx="5481599" cy="385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867046" y="25298094"/>
    <xdr:ext cx="7920000" cy="5040000"/>
    <xdr:graphicFrame macro="">
      <xdr:nvGraphicFramePr>
        <xdr:cNvPr id="32" name="Chart 1">
          <a:extLst>
            <a:ext uri="{FF2B5EF4-FFF2-40B4-BE49-F238E27FC236}">
              <a16:creationId xmlns:a16="http://schemas.microsoft.com/office/drawing/2014/main" id="{5D33D3E4-0900-48B5-AE4F-0A3A19B9B57D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E6581AA7-8A17-403B-B450-5B65555714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25608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A1401849-AD6F-493A-A046-5063BE6DD7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26885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6E0F1039-E0F8-4102-A1F0-26C7BB7AD0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336927"/>
              <a:ext cx="5477789" cy="3941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6D7F4883-844D-4F70-9F1F-E3EF031159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336927"/>
              <a:ext cx="4965551" cy="3941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CA910A58-E195-4E7B-B3C2-D4A22DE51112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869899" y="30243219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47E43543-032A-4FBA-9793-2D92AF51343F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24</xdr:row>
      <xdr:rowOff>5499</xdr:rowOff>
    </xdr:from>
    <xdr:to>
      <xdr:col>47</xdr:col>
      <xdr:colOff>515715</xdr:colOff>
      <xdr:row>24</xdr:row>
      <xdr:rowOff>5499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888450EE-234A-46B4-AC25-7288C869D5A1}"/>
            </a:ext>
          </a:extLst>
        </xdr:cNvPr>
        <xdr:cNvCxnSpPr/>
      </xdr:nvCxnSpPr>
      <xdr:spPr>
        <a:xfrm>
          <a:off x="31994475" y="4531779"/>
          <a:ext cx="4327620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555988</xdr:colOff>
      <xdr:row>23</xdr:row>
      <xdr:rowOff>133963</xdr:rowOff>
    </xdr:from>
    <xdr:to>
      <xdr:col>41</xdr:col>
      <xdr:colOff>173088</xdr:colOff>
      <xdr:row>23</xdr:row>
      <xdr:rowOff>133963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2D6D812B-6E84-4C15-BA03-643CB2AA38E9}"/>
            </a:ext>
          </a:extLst>
        </xdr:cNvPr>
        <xdr:cNvCxnSpPr/>
      </xdr:nvCxnSpPr>
      <xdr:spPr>
        <a:xfrm>
          <a:off x="26463988" y="4462123"/>
          <a:ext cx="4760600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7F3948C6-844B-46FB-9169-2699866330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361295"/>
              <a:ext cx="4966335" cy="385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1A233CE2-3427-4FE7-8D83-A8DF18894B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361295"/>
              <a:ext cx="5481599" cy="385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930919" y="25303697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C82FC761-C07E-48D6-A587-BF61890342F9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D9BCC33A-E16A-40EF-8573-28C3FFD816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25608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D79120C0-717D-40BE-8146-337505DF5B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26885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5A7C4C6D-089F-4126-928A-F4074CF78C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336927"/>
              <a:ext cx="5477789" cy="3941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B45BABCF-36D1-4070-8827-FAC0F93D7F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336927"/>
              <a:ext cx="4965551" cy="3941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49495317-FD11-437D-9824-F19AB9E7FDED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801404" y="30441983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745A8BF3-0D96-4C6F-A692-23D71A612E8D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24</xdr:row>
      <xdr:rowOff>143158</xdr:rowOff>
    </xdr:from>
    <xdr:to>
      <xdr:col>47</xdr:col>
      <xdr:colOff>511905</xdr:colOff>
      <xdr:row>24</xdr:row>
      <xdr:rowOff>143158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99F866B5-80EB-42E1-9D22-213AC892A4E1}"/>
            </a:ext>
          </a:extLst>
        </xdr:cNvPr>
        <xdr:cNvCxnSpPr/>
      </xdr:nvCxnSpPr>
      <xdr:spPr>
        <a:xfrm>
          <a:off x="31848038" y="4665462"/>
          <a:ext cx="4295650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552178</xdr:colOff>
      <xdr:row>24</xdr:row>
      <xdr:rowOff>58762</xdr:rowOff>
    </xdr:from>
    <xdr:to>
      <xdr:col>41</xdr:col>
      <xdr:colOff>169278</xdr:colOff>
      <xdr:row>24</xdr:row>
      <xdr:rowOff>58762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41B49F6C-6E23-4EC4-A6DD-45301E22B9EB}"/>
            </a:ext>
          </a:extLst>
        </xdr:cNvPr>
        <xdr:cNvCxnSpPr/>
      </xdr:nvCxnSpPr>
      <xdr:spPr>
        <a:xfrm>
          <a:off x="26344221" y="4581066"/>
          <a:ext cx="4735753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B4FFD3D1-AC7B-415F-A7B4-0D8B901F2E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361295"/>
              <a:ext cx="4966335" cy="385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693474FF-23DA-4610-AAE9-81921313E3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361295"/>
              <a:ext cx="5481599" cy="385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814659" y="25367571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911D14B3-1D24-44C6-A17D-476830422632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081E848D-6443-41A3-BF99-1D3AA74B4F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25608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2D424E0A-74F2-4B30-88C7-26B79EAF0D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26885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3DCAF31E-5916-4B46-87EA-6DE17CC106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336927"/>
              <a:ext cx="5477789" cy="3941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22FF1E6D-DD08-4092-A46B-F31CE11F03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336927"/>
              <a:ext cx="4965551" cy="3941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F0F621E5-C2F9-40E4-BA22-1FAE6868FC36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985943" y="30806502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7BBF5608-70C6-48E0-8E08-CA3DF0FA1FB8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24</xdr:row>
      <xdr:rowOff>39233</xdr:rowOff>
    </xdr:from>
    <xdr:to>
      <xdr:col>47</xdr:col>
      <xdr:colOff>511905</xdr:colOff>
      <xdr:row>24</xdr:row>
      <xdr:rowOff>39233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F5153150-843D-4405-84C9-26DCBF028640}"/>
            </a:ext>
          </a:extLst>
        </xdr:cNvPr>
        <xdr:cNvCxnSpPr/>
      </xdr:nvCxnSpPr>
      <xdr:spPr>
        <a:xfrm>
          <a:off x="31994475" y="4565513"/>
          <a:ext cx="4323810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552178</xdr:colOff>
      <xdr:row>24</xdr:row>
      <xdr:rowOff>18335</xdr:rowOff>
    </xdr:from>
    <xdr:to>
      <xdr:col>41</xdr:col>
      <xdr:colOff>169278</xdr:colOff>
      <xdr:row>24</xdr:row>
      <xdr:rowOff>18335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8433904F-C512-40B3-A67E-C674A571F1C9}"/>
            </a:ext>
          </a:extLst>
        </xdr:cNvPr>
        <xdr:cNvCxnSpPr/>
      </xdr:nvCxnSpPr>
      <xdr:spPr>
        <a:xfrm>
          <a:off x="26460178" y="4544615"/>
          <a:ext cx="4760600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105C0936-8784-44AF-A5D2-05E59523DC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361295"/>
              <a:ext cx="4966335" cy="385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B28DA5B0-23F4-45CF-AD7B-74FB82B6A7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361295"/>
              <a:ext cx="5481599" cy="385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981346" y="25612419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07FF3EDE-9560-4E95-B2DD-CB8F070D5019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EF4CD60E-4B8B-427B-9AF9-4870D90557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16083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9E60B662-57FA-4D47-B718-B010148603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17360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B8969599-96A0-472D-893D-35769E84FE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241677"/>
              <a:ext cx="5477789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DA39BA7D-EB37-4184-978F-F236CBC291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241677"/>
              <a:ext cx="4965551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B4AEF59D-ADEC-43B7-938E-B8CBB6A41BB7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870320" y="30319139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E42AB3F8-BC8C-43D4-8B69-F33E52F87529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23</xdr:row>
      <xdr:rowOff>45429</xdr:rowOff>
    </xdr:from>
    <xdr:to>
      <xdr:col>47</xdr:col>
      <xdr:colOff>511905</xdr:colOff>
      <xdr:row>23</xdr:row>
      <xdr:rowOff>45429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D34E5447-D5D3-4A46-83D5-C3F79C901CE5}"/>
            </a:ext>
          </a:extLst>
        </xdr:cNvPr>
        <xdr:cNvCxnSpPr/>
      </xdr:nvCxnSpPr>
      <xdr:spPr>
        <a:xfrm>
          <a:off x="31821120" y="4295960"/>
          <a:ext cx="4290473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552178</xdr:colOff>
      <xdr:row>23</xdr:row>
      <xdr:rowOff>33579</xdr:rowOff>
    </xdr:from>
    <xdr:to>
      <xdr:col>41</xdr:col>
      <xdr:colOff>169278</xdr:colOff>
      <xdr:row>23</xdr:row>
      <xdr:rowOff>33579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3877ACCF-11A1-4FD3-A703-A2D7C030C209}"/>
            </a:ext>
          </a:extLst>
        </xdr:cNvPr>
        <xdr:cNvCxnSpPr/>
      </xdr:nvCxnSpPr>
      <xdr:spPr>
        <a:xfrm>
          <a:off x="26329209" y="4284110"/>
          <a:ext cx="4724882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1024C4EF-66F4-42F2-8555-CB514D34C8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218420"/>
              <a:ext cx="4966335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0ACE9309-5440-4995-B7DE-B4B4841A54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218420"/>
              <a:ext cx="5481599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862283" y="25086163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427D6F9E-B6BD-44D9-ACA0-1D8B6360516B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D5755D67-2040-4D72-B502-976C639F5A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16083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0D51E416-9D4B-45D9-AC7B-670D7E1EA9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17360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461B50A9-DB90-4A1F-917C-072CDE7EFD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241677"/>
              <a:ext cx="5477789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28683322-2C94-4ADF-A276-374B8AE58F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241677"/>
              <a:ext cx="4965551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358174FB-3DC0-41A1-9FCD-64CDAFF5E676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851270" y="30052439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6910D859-166D-41D4-A082-9E460CAE02E8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21</xdr:row>
      <xdr:rowOff>78770</xdr:rowOff>
    </xdr:from>
    <xdr:to>
      <xdr:col>47</xdr:col>
      <xdr:colOff>511905</xdr:colOff>
      <xdr:row>21</xdr:row>
      <xdr:rowOff>78770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F0865A86-4B12-4E16-BFDC-C174E5AC5253}"/>
            </a:ext>
          </a:extLst>
        </xdr:cNvPr>
        <xdr:cNvCxnSpPr/>
      </xdr:nvCxnSpPr>
      <xdr:spPr>
        <a:xfrm>
          <a:off x="31821120" y="3876864"/>
          <a:ext cx="4290473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552178</xdr:colOff>
      <xdr:row>21</xdr:row>
      <xdr:rowOff>87400</xdr:rowOff>
    </xdr:from>
    <xdr:to>
      <xdr:col>41</xdr:col>
      <xdr:colOff>169278</xdr:colOff>
      <xdr:row>21</xdr:row>
      <xdr:rowOff>87400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B6A79C29-DD11-4C26-A535-970E58E192E1}"/>
            </a:ext>
          </a:extLst>
        </xdr:cNvPr>
        <xdr:cNvCxnSpPr/>
      </xdr:nvCxnSpPr>
      <xdr:spPr>
        <a:xfrm>
          <a:off x="26329209" y="3885494"/>
          <a:ext cx="4724882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0E455410-1897-4A0E-ADDE-CF10ADC456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218420"/>
              <a:ext cx="4966335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EFBE8E72-B04A-42DA-845B-7F23C7DE00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218420"/>
              <a:ext cx="5481599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843233" y="24952813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7CB6FBB5-54B0-4040-946A-9802871D444F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ED908833-74EF-406C-814C-D0A5CC1548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16083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E1555632-3C0C-4036-AB62-DA2950A45D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17360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3E4EE0C2-EE45-4781-A3F4-A3C2412F14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241677"/>
              <a:ext cx="5477789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87292F64-D588-4B15-B233-E6D014483C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241677"/>
              <a:ext cx="4965551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FE68B171-D4F5-4534-840F-DF4295C0DC74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851270" y="30052439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AB542AF1-9CA5-4D51-8529-04F5608DF627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23</xdr:row>
      <xdr:rowOff>35428</xdr:rowOff>
    </xdr:from>
    <xdr:to>
      <xdr:col>47</xdr:col>
      <xdr:colOff>515715</xdr:colOff>
      <xdr:row>23</xdr:row>
      <xdr:rowOff>35428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84D4ED6A-50CD-4F64-8302-531F7BD4ABBD}"/>
            </a:ext>
          </a:extLst>
        </xdr:cNvPr>
        <xdr:cNvCxnSpPr/>
      </xdr:nvCxnSpPr>
      <xdr:spPr>
        <a:xfrm>
          <a:off x="31821120" y="4190709"/>
          <a:ext cx="4294283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555988</xdr:colOff>
      <xdr:row>24</xdr:row>
      <xdr:rowOff>75964</xdr:rowOff>
    </xdr:from>
    <xdr:to>
      <xdr:col>41</xdr:col>
      <xdr:colOff>173088</xdr:colOff>
      <xdr:row>24</xdr:row>
      <xdr:rowOff>75964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A672EAFE-4548-43ED-BBF3-E3728E8FBD5F}"/>
            </a:ext>
          </a:extLst>
        </xdr:cNvPr>
        <xdr:cNvCxnSpPr/>
      </xdr:nvCxnSpPr>
      <xdr:spPr>
        <a:xfrm>
          <a:off x="26333019" y="4433652"/>
          <a:ext cx="4724882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4EEE1DBD-0E45-46A4-BF59-62A7348271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218420"/>
              <a:ext cx="4966335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95DE7314-FB21-45C8-BA46-4AE92B08C9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218420"/>
              <a:ext cx="5481599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843233" y="24952813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AAD5BE6E-6373-4990-A443-8CD1C327B534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2C31C3AF-340B-4CC9-900C-0D82A90BC4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16083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F6D15137-EAB0-47D0-9934-6E33DDFC1C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17360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EFE93EF4-245A-41D4-836E-3E2C4197A5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241677"/>
              <a:ext cx="5477789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470D83D7-E5E8-45A3-9C6C-B8AE9B0862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241677"/>
              <a:ext cx="4965551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9538D770-44BD-4879-B193-3ECEC06CD282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851270" y="30052439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5BE12C3F-E307-434C-8B58-99E738704612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21</xdr:row>
      <xdr:rowOff>19716</xdr:rowOff>
    </xdr:from>
    <xdr:to>
      <xdr:col>47</xdr:col>
      <xdr:colOff>515715</xdr:colOff>
      <xdr:row>21</xdr:row>
      <xdr:rowOff>19716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1C6A5D69-E63C-4D4C-926A-2AE8BCE5D767}"/>
            </a:ext>
          </a:extLst>
        </xdr:cNvPr>
        <xdr:cNvCxnSpPr/>
      </xdr:nvCxnSpPr>
      <xdr:spPr>
        <a:xfrm>
          <a:off x="31821120" y="3817810"/>
          <a:ext cx="4294283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552178</xdr:colOff>
      <xdr:row>19</xdr:row>
      <xdr:rowOff>186930</xdr:rowOff>
    </xdr:from>
    <xdr:to>
      <xdr:col>41</xdr:col>
      <xdr:colOff>169278</xdr:colOff>
      <xdr:row>19</xdr:row>
      <xdr:rowOff>186930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B4DA6BA9-DF27-436E-BAC8-92B9E9C0879A}"/>
            </a:ext>
          </a:extLst>
        </xdr:cNvPr>
        <xdr:cNvCxnSpPr/>
      </xdr:nvCxnSpPr>
      <xdr:spPr>
        <a:xfrm>
          <a:off x="26329209" y="3604024"/>
          <a:ext cx="4724882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3AEFBA03-726E-48C1-8EFD-C89B346FF7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218420"/>
              <a:ext cx="4966335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AB962268-2318-44F6-9BF1-881EB46E91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218420"/>
              <a:ext cx="5481599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843233" y="24952813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5F269822-294C-4658-B6E2-BEFA552E5031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69D42F69-5647-4EB5-87C2-8C27DE6C46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16083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17E5950C-BB2C-4589-BB59-B4265A2FF3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17360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FBC62042-2DBB-440A-B076-808CC78622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241677"/>
              <a:ext cx="5477789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928334D0-07EC-4191-ACCE-921F48CDE1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241677"/>
              <a:ext cx="4965551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60E636C7-3209-48F5-8CE6-582C587FECCD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851270" y="30052439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8DD34AA6-0348-458E-B2A0-8B62A4C73BAE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21</xdr:row>
      <xdr:rowOff>119250</xdr:rowOff>
    </xdr:from>
    <xdr:to>
      <xdr:col>47</xdr:col>
      <xdr:colOff>511905</xdr:colOff>
      <xdr:row>21</xdr:row>
      <xdr:rowOff>119250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EDF58CAA-55DC-41DB-87E6-47708572A257}"/>
            </a:ext>
          </a:extLst>
        </xdr:cNvPr>
        <xdr:cNvCxnSpPr/>
      </xdr:nvCxnSpPr>
      <xdr:spPr>
        <a:xfrm>
          <a:off x="31821120" y="3917344"/>
          <a:ext cx="4290473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555988</xdr:colOff>
      <xdr:row>22</xdr:row>
      <xdr:rowOff>119300</xdr:rowOff>
    </xdr:from>
    <xdr:to>
      <xdr:col>41</xdr:col>
      <xdr:colOff>173088</xdr:colOff>
      <xdr:row>22</xdr:row>
      <xdr:rowOff>119300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BD93547A-6156-4739-938D-A088D3F6B954}"/>
            </a:ext>
          </a:extLst>
        </xdr:cNvPr>
        <xdr:cNvCxnSpPr/>
      </xdr:nvCxnSpPr>
      <xdr:spPr>
        <a:xfrm>
          <a:off x="26333019" y="4095988"/>
          <a:ext cx="4724882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00C60642-39DB-4760-82D2-02607EDE2C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218420"/>
              <a:ext cx="4966335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B44C77DB-B96D-4D71-BC3D-8BAC6242EC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218420"/>
              <a:ext cx="5481599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843233" y="24952813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1B05C2D8-A86B-4727-8999-6864D74771E7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CF774A08-ED47-4014-8C6C-B905FBC60F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16083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5BFA85E2-E706-4364-A48F-9C0A0B2908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17360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ADA9D1A0-42E7-44DC-949B-0A21C70D02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241677"/>
              <a:ext cx="5477789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DED41FE5-B18B-4C81-B7ED-85E9E68A17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241677"/>
              <a:ext cx="4965551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46FCBD50-5B47-4CFE-8A96-5526B536988C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851270" y="30052439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68AEF645-CBA2-4C74-885E-DE62B056589C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22</xdr:row>
      <xdr:rowOff>19712</xdr:rowOff>
    </xdr:from>
    <xdr:to>
      <xdr:col>47</xdr:col>
      <xdr:colOff>511905</xdr:colOff>
      <xdr:row>22</xdr:row>
      <xdr:rowOff>19712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C2BCF47A-B591-41E1-9E67-468F1CB8D578}"/>
            </a:ext>
          </a:extLst>
        </xdr:cNvPr>
        <xdr:cNvCxnSpPr/>
      </xdr:nvCxnSpPr>
      <xdr:spPr>
        <a:xfrm>
          <a:off x="31821120" y="3996400"/>
          <a:ext cx="4290473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587897</xdr:colOff>
      <xdr:row>21</xdr:row>
      <xdr:rowOff>75483</xdr:rowOff>
    </xdr:from>
    <xdr:to>
      <xdr:col>41</xdr:col>
      <xdr:colOff>212617</xdr:colOff>
      <xdr:row>21</xdr:row>
      <xdr:rowOff>75483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A9CAABC0-78B2-4E4A-B50E-E773D323140B}"/>
            </a:ext>
          </a:extLst>
        </xdr:cNvPr>
        <xdr:cNvCxnSpPr/>
      </xdr:nvCxnSpPr>
      <xdr:spPr>
        <a:xfrm>
          <a:off x="26364928" y="3873577"/>
          <a:ext cx="4732502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5F4B5134-4CB9-4A8B-8999-92B033ECD6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218420"/>
              <a:ext cx="4966335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AED15EA8-26A8-4A51-AEB6-6FE94C6F13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218420"/>
              <a:ext cx="5481599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843233" y="24952813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37803562-5880-46AD-BBED-B27616A4D4B7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2FA86765-85D9-4CDD-A11D-8B01F410F2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16083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58906AE5-C394-43EB-BD98-7D59D6B3A5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17360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AA5D68D5-E4A2-441B-8A07-2F4E49C4D2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241677"/>
              <a:ext cx="5477789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2B04369F-A97D-4EB0-954E-87CA431F76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241677"/>
              <a:ext cx="4965551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2A393A42-3C49-455E-B530-508A16BCF5FE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851270" y="30052439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7F5FB0B2-6F0E-4D6D-A52D-4A6A5E8094A2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22</xdr:row>
      <xdr:rowOff>19712</xdr:rowOff>
    </xdr:from>
    <xdr:to>
      <xdr:col>47</xdr:col>
      <xdr:colOff>511905</xdr:colOff>
      <xdr:row>22</xdr:row>
      <xdr:rowOff>19712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5832A147-C951-4AE8-A52D-FF6200D9CC02}"/>
            </a:ext>
          </a:extLst>
        </xdr:cNvPr>
        <xdr:cNvCxnSpPr/>
      </xdr:nvCxnSpPr>
      <xdr:spPr>
        <a:xfrm>
          <a:off x="31935420" y="4035452"/>
          <a:ext cx="4318095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587897</xdr:colOff>
      <xdr:row>21</xdr:row>
      <xdr:rowOff>75483</xdr:rowOff>
    </xdr:from>
    <xdr:to>
      <xdr:col>41</xdr:col>
      <xdr:colOff>212617</xdr:colOff>
      <xdr:row>21</xdr:row>
      <xdr:rowOff>75483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604743EA-21BA-4FF4-8C16-902E97B24328}"/>
            </a:ext>
          </a:extLst>
        </xdr:cNvPr>
        <xdr:cNvCxnSpPr/>
      </xdr:nvCxnSpPr>
      <xdr:spPr>
        <a:xfrm>
          <a:off x="26452082" y="3914058"/>
          <a:ext cx="4751075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21992ADE-1037-4CF2-A90D-91457BD6B4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218420"/>
              <a:ext cx="4966335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8AADFB7D-3A4F-412A-9FF7-46DE7D4BBB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218420"/>
              <a:ext cx="5481599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843233" y="24952813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B07A53B9-28A4-4839-8107-1034BF9C9A7E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239395</xdr:colOff>
      <xdr:row>5</xdr:row>
      <xdr:rowOff>1</xdr:rowOff>
    </xdr:from>
    <xdr:to>
      <xdr:col>22</xdr:col>
      <xdr:colOff>210465</xdr:colOff>
      <xdr:row>30</xdr:row>
      <xdr:rowOff>1834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952CF3C-F789-400A-BCA1-B30AD8E6CF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252095</xdr:colOff>
      <xdr:row>31</xdr:row>
      <xdr:rowOff>176954</xdr:rowOff>
    </xdr:from>
    <xdr:to>
      <xdr:col>22</xdr:col>
      <xdr:colOff>215545</xdr:colOff>
      <xdr:row>53</xdr:row>
      <xdr:rowOff>178788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C715AAE-B5BC-4AC6-B87B-A15F58B52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372321</xdr:colOff>
      <xdr:row>5</xdr:row>
      <xdr:rowOff>1</xdr:rowOff>
    </xdr:from>
    <xdr:to>
      <xdr:col>32</xdr:col>
      <xdr:colOff>331961</xdr:colOff>
      <xdr:row>30</xdr:row>
      <xdr:rowOff>1834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24525D1-3FFF-461C-BB25-7FD904327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296879</xdr:colOff>
      <xdr:row>31</xdr:row>
      <xdr:rowOff>166369</xdr:rowOff>
    </xdr:from>
    <xdr:to>
      <xdr:col>32</xdr:col>
      <xdr:colOff>269854</xdr:colOff>
      <xdr:row>53</xdr:row>
      <xdr:rowOff>164393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8AC18E4-B690-4198-A01C-AAAE45926A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382401</xdr:colOff>
      <xdr:row>55</xdr:row>
      <xdr:rowOff>175759</xdr:rowOff>
    </xdr:from>
    <xdr:to>
      <xdr:col>32</xdr:col>
      <xdr:colOff>349381</xdr:colOff>
      <xdr:row>77</xdr:row>
      <xdr:rowOff>170891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908A167-532E-45B6-B536-64AE210D5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32</xdr:col>
      <xdr:colOff>519056</xdr:colOff>
      <xdr:row>7</xdr:row>
      <xdr:rowOff>61519</xdr:rowOff>
    </xdr:from>
    <xdr:to>
      <xdr:col>36</xdr:col>
      <xdr:colOff>549819</xdr:colOff>
      <xdr:row>29</xdr:row>
      <xdr:rowOff>95585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E5B4671-C9A7-DC48-21E5-EB1CE6872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79674" y="1316578"/>
          <a:ext cx="3209423" cy="3974726"/>
        </a:xfrm>
        <a:prstGeom prst="rect">
          <a:avLst/>
        </a:prstGeom>
      </xdr:spPr>
    </xdr:pic>
    <xdr:clientData/>
  </xdr:twoCellAnchor>
  <xdr:twoCellAnchor editAs="oneCell">
    <xdr:from>
      <xdr:col>32</xdr:col>
      <xdr:colOff>552673</xdr:colOff>
      <xdr:row>32</xdr:row>
      <xdr:rowOff>7621</xdr:rowOff>
    </xdr:from>
    <xdr:to>
      <xdr:col>36</xdr:col>
      <xdr:colOff>572810</xdr:colOff>
      <xdr:row>54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EA64C58-604B-45E5-43E9-13875F38C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113291" y="5207150"/>
          <a:ext cx="3202607" cy="3936850"/>
        </a:xfrm>
        <a:prstGeom prst="rect">
          <a:avLst/>
        </a:prstGeom>
      </xdr:spPr>
    </xdr:pic>
    <xdr:clientData/>
  </xdr:twoCellAnchor>
  <xdr:twoCellAnchor editAs="oneCell">
    <xdr:from>
      <xdr:col>32</xdr:col>
      <xdr:colOff>549087</xdr:colOff>
      <xdr:row>54</xdr:row>
      <xdr:rowOff>171673</xdr:rowOff>
    </xdr:from>
    <xdr:to>
      <xdr:col>37</xdr:col>
      <xdr:colOff>625624</xdr:colOff>
      <xdr:row>77</xdr:row>
      <xdr:rowOff>1794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F684251-BBF1-3B47-695A-F52BD096B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109705" y="9315673"/>
          <a:ext cx="4054625" cy="3953886"/>
        </a:xfrm>
        <a:prstGeom prst="rect">
          <a:avLst/>
        </a:prstGeom>
      </xdr:spPr>
    </xdr:pic>
    <xdr:clientData/>
  </xdr:twoCellAnchor>
  <xdr:twoCellAnchor editAs="oneCell">
    <xdr:from>
      <xdr:col>32</xdr:col>
      <xdr:colOff>539788</xdr:colOff>
      <xdr:row>81</xdr:row>
      <xdr:rowOff>13111</xdr:rowOff>
    </xdr:from>
    <xdr:to>
      <xdr:col>37</xdr:col>
      <xdr:colOff>667087</xdr:colOff>
      <xdr:row>103</xdr:row>
      <xdr:rowOff>22545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36C04CB-BC63-A6BF-9453-8B09D286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100406" y="13460170"/>
          <a:ext cx="4090147" cy="3959620"/>
        </a:xfrm>
        <a:prstGeom prst="rect">
          <a:avLst/>
        </a:prstGeom>
      </xdr:spPr>
    </xdr:pic>
    <xdr:clientData/>
  </xdr:twoCellAnchor>
  <xdr:twoCellAnchor>
    <xdr:from>
      <xdr:col>12</xdr:col>
      <xdr:colOff>246530</xdr:colOff>
      <xdr:row>56</xdr:row>
      <xdr:rowOff>-1</xdr:rowOff>
    </xdr:from>
    <xdr:to>
      <xdr:col>22</xdr:col>
      <xdr:colOff>209980</xdr:colOff>
      <xdr:row>78</xdr:row>
      <xdr:rowOff>1833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F7DA19BB-46A6-4685-B0D1-DF1B63A9C6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246529</xdr:colOff>
      <xdr:row>79</xdr:row>
      <xdr:rowOff>173803</xdr:rowOff>
    </xdr:from>
    <xdr:to>
      <xdr:col>22</xdr:col>
      <xdr:colOff>209979</xdr:colOff>
      <xdr:row>101</xdr:row>
      <xdr:rowOff>175636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CB9B33DF-62C6-40CA-AAF0-AE46C37A6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381000</xdr:colOff>
      <xdr:row>79</xdr:row>
      <xdr:rowOff>168088</xdr:rowOff>
    </xdr:from>
    <xdr:to>
      <xdr:col>32</xdr:col>
      <xdr:colOff>349885</xdr:colOff>
      <xdr:row>101</xdr:row>
      <xdr:rowOff>170840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A12B9CC-2D3B-4761-B2F6-C7D20507D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160692</xdr:colOff>
      <xdr:row>534</xdr:row>
      <xdr:rowOff>7620</xdr:rowOff>
    </xdr:from>
    <xdr:to>
      <xdr:col>14</xdr:col>
      <xdr:colOff>184280</xdr:colOff>
      <xdr:row>555</xdr:row>
      <xdr:rowOff>65382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Gráfico 14">
              <a:extLst>
                <a:ext uri="{FF2B5EF4-FFF2-40B4-BE49-F238E27FC236}">
                  <a16:creationId xmlns:a16="http://schemas.microsoft.com/office/drawing/2014/main" id="{EC15B6BC-910E-4BC8-8260-6FBD5CE61F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30047" y="96650175"/>
              <a:ext cx="4944203" cy="38544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14</xdr:col>
      <xdr:colOff>268941</xdr:colOff>
      <xdr:row>533</xdr:row>
      <xdr:rowOff>166183</xdr:rowOff>
    </xdr:from>
    <xdr:to>
      <xdr:col>20</xdr:col>
      <xdr:colOff>468237</xdr:colOff>
      <xdr:row>555</xdr:row>
      <xdr:rowOff>50366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Gráfico 15">
              <a:extLst>
                <a:ext uri="{FF2B5EF4-FFF2-40B4-BE49-F238E27FC236}">
                  <a16:creationId xmlns:a16="http://schemas.microsoft.com/office/drawing/2014/main" id="{E0807151-F281-40E6-8814-4381B65BA3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60816" y="96629668"/>
              <a:ext cx="4944651" cy="38656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20</xdr:col>
      <xdr:colOff>573405</xdr:colOff>
      <xdr:row>533</xdr:row>
      <xdr:rowOff>177389</xdr:rowOff>
    </xdr:from>
    <xdr:to>
      <xdr:col>26</xdr:col>
      <xdr:colOff>768891</xdr:colOff>
      <xdr:row>555</xdr:row>
      <xdr:rowOff>63477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Gráfico 16">
              <a:extLst>
                <a:ext uri="{FF2B5EF4-FFF2-40B4-BE49-F238E27FC236}">
                  <a16:creationId xmlns:a16="http://schemas.microsoft.com/office/drawing/2014/main" id="{8E50A380-952E-43C9-A1BF-51B758BD89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08730" y="96633254"/>
              <a:ext cx="4940841" cy="38675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8</xdr:col>
      <xdr:colOff>171899</xdr:colOff>
      <xdr:row>555</xdr:row>
      <xdr:rowOff>158788</xdr:rowOff>
    </xdr:from>
    <xdr:to>
      <xdr:col>14</xdr:col>
      <xdr:colOff>193582</xdr:colOff>
      <xdr:row>577</xdr:row>
      <xdr:rowOff>41065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Gráfico 17">
              <a:extLst>
                <a:ext uri="{FF2B5EF4-FFF2-40B4-BE49-F238E27FC236}">
                  <a16:creationId xmlns:a16="http://schemas.microsoft.com/office/drawing/2014/main" id="{DC4EC034-DD81-41EB-AA3B-72D10C0787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35539" y="100601818"/>
              <a:ext cx="4949918" cy="38618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14</xdr:col>
      <xdr:colOff>261546</xdr:colOff>
      <xdr:row>555</xdr:row>
      <xdr:rowOff>156883</xdr:rowOff>
    </xdr:from>
    <xdr:to>
      <xdr:col>20</xdr:col>
      <xdr:colOff>451317</xdr:colOff>
      <xdr:row>577</xdr:row>
      <xdr:rowOff>31540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Gráfico 18">
              <a:extLst>
                <a:ext uri="{FF2B5EF4-FFF2-40B4-BE49-F238E27FC236}">
                  <a16:creationId xmlns:a16="http://schemas.microsoft.com/office/drawing/2014/main" id="{854C261D-D5D7-4264-B851-5FBBB0AA75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51516" y="100599913"/>
              <a:ext cx="4933221" cy="38522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12</xdr:col>
      <xdr:colOff>244928</xdr:colOff>
      <xdr:row>104</xdr:row>
      <xdr:rowOff>13607</xdr:rowOff>
    </xdr:from>
    <xdr:to>
      <xdr:col>22</xdr:col>
      <xdr:colOff>208378</xdr:colOff>
      <xdr:row>129</xdr:row>
      <xdr:rowOff>15440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B922492-9B07-4DAB-92B7-BEC101596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779930</xdr:colOff>
      <xdr:row>276</xdr:row>
      <xdr:rowOff>0</xdr:rowOff>
    </xdr:from>
    <xdr:to>
      <xdr:col>13</xdr:col>
      <xdr:colOff>784412</xdr:colOff>
      <xdr:row>297</xdr:row>
      <xdr:rowOff>53952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8FE0ECFC-EBB4-496E-AE9F-3931178593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84465" y="49949100"/>
              <a:ext cx="4940337" cy="38582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7</xdr:col>
      <xdr:colOff>783739</xdr:colOff>
      <xdr:row>297</xdr:row>
      <xdr:rowOff>135030</xdr:rowOff>
    </xdr:from>
    <xdr:to>
      <xdr:col>13</xdr:col>
      <xdr:colOff>780601</xdr:colOff>
      <xdr:row>318</xdr:row>
      <xdr:rowOff>22412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EB1A6ECE-A5E0-469F-927A-A79F939314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80654" y="53880795"/>
              <a:ext cx="4947957" cy="36878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21</xdr:col>
      <xdr:colOff>35861</xdr:colOff>
      <xdr:row>276</xdr:row>
      <xdr:rowOff>0</xdr:rowOff>
    </xdr:from>
    <xdr:to>
      <xdr:col>27</xdr:col>
      <xdr:colOff>0</xdr:colOff>
      <xdr:row>297</xdr:row>
      <xdr:rowOff>53952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E26950B1-DCA6-44B8-B9F1-EE2166FE72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361836" y="49949100"/>
              <a:ext cx="4707589" cy="38582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21</xdr:col>
      <xdr:colOff>35860</xdr:colOff>
      <xdr:row>297</xdr:row>
      <xdr:rowOff>135031</xdr:rowOff>
    </xdr:from>
    <xdr:to>
      <xdr:col>26</xdr:col>
      <xdr:colOff>793712</xdr:colOff>
      <xdr:row>318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0E167138-D133-4158-B89B-83B10749C0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361835" y="53880796"/>
              <a:ext cx="4708822" cy="36692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6</xdr:col>
      <xdr:colOff>531121</xdr:colOff>
      <xdr:row>325</xdr:row>
      <xdr:rowOff>6051</xdr:rowOff>
    </xdr:from>
    <xdr:to>
      <xdr:col>12</xdr:col>
      <xdr:colOff>398369</xdr:colOff>
      <xdr:row>340</xdr:row>
      <xdr:rowOff>1906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4B45517-F542-30DF-FBA8-3106840A0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773543</xdr:colOff>
      <xdr:row>324</xdr:row>
      <xdr:rowOff>169992</xdr:rowOff>
    </xdr:from>
    <xdr:to>
      <xdr:col>6</xdr:col>
      <xdr:colOff>328594</xdr:colOff>
      <xdr:row>339</xdr:row>
      <xdr:rowOff>173391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22898B3-CBD3-46EB-B4E3-DC54A4D71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46729</xdr:colOff>
      <xdr:row>276</xdr:row>
      <xdr:rowOff>0</xdr:rowOff>
    </xdr:from>
    <xdr:to>
      <xdr:col>39</xdr:col>
      <xdr:colOff>784412</xdr:colOff>
      <xdr:row>297</xdr:row>
      <xdr:rowOff>57762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F22CFA2E-A355-4AD7-8029-FD7A601FDE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928309" y="49949100"/>
              <a:ext cx="4684843" cy="38544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34</xdr:col>
      <xdr:colOff>0</xdr:colOff>
      <xdr:row>297</xdr:row>
      <xdr:rowOff>97267</xdr:rowOff>
    </xdr:from>
    <xdr:to>
      <xdr:col>39</xdr:col>
      <xdr:colOff>741493</xdr:colOff>
      <xdr:row>318</xdr:row>
      <xdr:rowOff>11206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CB146950-56AF-472E-B2A6-D7C80DB1FB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879675" y="53843032"/>
              <a:ext cx="4698178" cy="37201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7397</xdr:colOff>
      <xdr:row>463</xdr:row>
      <xdr:rowOff>154356</xdr:rowOff>
    </xdr:from>
    <xdr:to>
      <xdr:col>11</xdr:col>
      <xdr:colOff>616594</xdr:colOff>
      <xdr:row>485</xdr:row>
      <xdr:rowOff>107171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F704A0E-87F9-4503-83ED-9D7663AE55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11207</xdr:colOff>
      <xdr:row>486</xdr:row>
      <xdr:rowOff>9524</xdr:rowOff>
    </xdr:from>
    <xdr:to>
      <xdr:col>11</xdr:col>
      <xdr:colOff>603259</xdr:colOff>
      <xdr:row>507</xdr:row>
      <xdr:rowOff>122584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5DB72CDF-7883-4B92-A0A3-9895812A55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393</xdr:row>
      <xdr:rowOff>0</xdr:rowOff>
    </xdr:from>
    <xdr:to>
      <xdr:col>11</xdr:col>
      <xdr:colOff>609197</xdr:colOff>
      <xdr:row>414</xdr:row>
      <xdr:rowOff>135920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E52D4881-F68C-4C7E-9FCA-97C96F64E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414</xdr:row>
      <xdr:rowOff>168089</xdr:rowOff>
    </xdr:from>
    <xdr:to>
      <xdr:col>11</xdr:col>
      <xdr:colOff>609197</xdr:colOff>
      <xdr:row>436</xdr:row>
      <xdr:rowOff>124714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D70F0DF7-848A-405A-A4EA-1958097D37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127372</xdr:colOff>
      <xdr:row>325</xdr:row>
      <xdr:rowOff>4147</xdr:rowOff>
    </xdr:from>
    <xdr:to>
      <xdr:col>27</xdr:col>
      <xdr:colOff>84267</xdr:colOff>
      <xdr:row>340</xdr:row>
      <xdr:rowOff>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29A04ECA-12E8-4A8E-A764-A5CC90AA1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0</xdr:colOff>
      <xdr:row>325</xdr:row>
      <xdr:rowOff>0</xdr:rowOff>
    </xdr:from>
    <xdr:to>
      <xdr:col>20</xdr:col>
      <xdr:colOff>585991</xdr:colOff>
      <xdr:row>340</xdr:row>
      <xdr:rowOff>3399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813D567B-6168-417A-B8C2-8B4CD7195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0</xdr:colOff>
      <xdr:row>393</xdr:row>
      <xdr:rowOff>0</xdr:rowOff>
    </xdr:from>
    <xdr:to>
      <xdr:col>24</xdr:col>
      <xdr:colOff>698844</xdr:colOff>
      <xdr:row>414</xdr:row>
      <xdr:rowOff>132110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B90ED062-6B0B-4883-82B5-D516DAE032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0</xdr:colOff>
      <xdr:row>415</xdr:row>
      <xdr:rowOff>0</xdr:rowOff>
    </xdr:from>
    <xdr:to>
      <xdr:col>24</xdr:col>
      <xdr:colOff>698844</xdr:colOff>
      <xdr:row>436</xdr:row>
      <xdr:rowOff>134014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ABC933D2-F49C-4365-AE78-B6778C3E6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464</xdr:row>
      <xdr:rowOff>0</xdr:rowOff>
    </xdr:from>
    <xdr:to>
      <xdr:col>23</xdr:col>
      <xdr:colOff>441109</xdr:colOff>
      <xdr:row>485</xdr:row>
      <xdr:rowOff>130204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83418D9B-FC52-4995-A061-04582B404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3810</xdr:colOff>
      <xdr:row>486</xdr:row>
      <xdr:rowOff>36367</xdr:rowOff>
    </xdr:from>
    <xdr:to>
      <xdr:col>23</xdr:col>
      <xdr:colOff>423964</xdr:colOff>
      <xdr:row>507</xdr:row>
      <xdr:rowOff>149427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8ACC4912-E0F6-43B6-B05F-A541DD3740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131182</xdr:colOff>
      <xdr:row>325</xdr:row>
      <xdr:rowOff>6052</xdr:rowOff>
    </xdr:from>
    <xdr:to>
      <xdr:col>40</xdr:col>
      <xdr:colOff>86172</xdr:colOff>
      <xdr:row>340</xdr:row>
      <xdr:rowOff>2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AC36BD9E-09C5-40F3-8CCE-AD68CF2CC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28</xdr:col>
      <xdr:colOff>0</xdr:colOff>
      <xdr:row>325</xdr:row>
      <xdr:rowOff>0</xdr:rowOff>
    </xdr:from>
    <xdr:to>
      <xdr:col>33</xdr:col>
      <xdr:colOff>589802</xdr:colOff>
      <xdr:row>340</xdr:row>
      <xdr:rowOff>3399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2EBD1536-21F0-4ED3-83D5-7B38A52DF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28</xdr:col>
      <xdr:colOff>0</xdr:colOff>
      <xdr:row>393</xdr:row>
      <xdr:rowOff>0</xdr:rowOff>
    </xdr:from>
    <xdr:to>
      <xdr:col>37</xdr:col>
      <xdr:colOff>702654</xdr:colOff>
      <xdr:row>414</xdr:row>
      <xdr:rowOff>135920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17ED37AA-EF0D-46F0-8C8B-C2E202230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28</xdr:col>
      <xdr:colOff>13111</xdr:colOff>
      <xdr:row>415</xdr:row>
      <xdr:rowOff>7395</xdr:rowOff>
    </xdr:from>
    <xdr:to>
      <xdr:col>37</xdr:col>
      <xdr:colOff>706240</xdr:colOff>
      <xdr:row>436</xdr:row>
      <xdr:rowOff>152839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F778A67C-5B37-48D2-B472-2456CCC9E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27</xdr:col>
      <xdr:colOff>0</xdr:colOff>
      <xdr:row>464</xdr:row>
      <xdr:rowOff>0</xdr:rowOff>
    </xdr:from>
    <xdr:to>
      <xdr:col>36</xdr:col>
      <xdr:colOff>426093</xdr:colOff>
      <xdr:row>485</xdr:row>
      <xdr:rowOff>134014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FAA8CA9D-C14A-4953-88D5-9E2E265FB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27</xdr:col>
      <xdr:colOff>5715</xdr:colOff>
      <xdr:row>486</xdr:row>
      <xdr:rowOff>36367</xdr:rowOff>
    </xdr:from>
    <xdr:to>
      <xdr:col>36</xdr:col>
      <xdr:colOff>414663</xdr:colOff>
      <xdr:row>507</xdr:row>
      <xdr:rowOff>149427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C8BA49B-8440-47C4-9721-3031D673C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549088</xdr:colOff>
      <xdr:row>66</xdr:row>
      <xdr:rowOff>224</xdr:rowOff>
    </xdr:from>
    <xdr:to>
      <xdr:col>8</xdr:col>
      <xdr:colOff>268941</xdr:colOff>
      <xdr:row>87</xdr:row>
      <xdr:rowOff>122810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FFFC351B-F089-4690-B745-852F88796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474456</xdr:colOff>
      <xdr:row>66</xdr:row>
      <xdr:rowOff>1905</xdr:rowOff>
    </xdr:from>
    <xdr:to>
      <xdr:col>16</xdr:col>
      <xdr:colOff>403411</xdr:colOff>
      <xdr:row>87</xdr:row>
      <xdr:rowOff>118776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6E02F144-17A0-4071-8407-05FE2742C9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571499</xdr:colOff>
      <xdr:row>66</xdr:row>
      <xdr:rowOff>0</xdr:rowOff>
    </xdr:from>
    <xdr:to>
      <xdr:col>24</xdr:col>
      <xdr:colOff>519056</xdr:colOff>
      <xdr:row>87</xdr:row>
      <xdr:rowOff>116871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32720FEF-3C50-453E-8C07-4B018FA9AF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26894</xdr:colOff>
      <xdr:row>95</xdr:row>
      <xdr:rowOff>215152</xdr:rowOff>
    </xdr:from>
    <xdr:to>
      <xdr:col>1</xdr:col>
      <xdr:colOff>438374</xdr:colOff>
      <xdr:row>96</xdr:row>
      <xdr:rowOff>215153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89E69A66-F598-F5BA-0372-61D6766C1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788" y="17283952"/>
          <a:ext cx="411480" cy="233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97</xdr:row>
      <xdr:rowOff>0</xdr:rowOff>
    </xdr:from>
    <xdr:to>
      <xdr:col>1</xdr:col>
      <xdr:colOff>411480</xdr:colOff>
      <xdr:row>98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49F7A0E-73CE-8F21-C6AD-8D7F58C8E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" y="17861280"/>
          <a:ext cx="41148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1</xdr:col>
      <xdr:colOff>320040</xdr:colOff>
      <xdr:row>99</xdr:row>
      <xdr:rowOff>205740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267691C9-3383-1B53-2A77-519993433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" y="18089880"/>
          <a:ext cx="32004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96</xdr:row>
      <xdr:rowOff>0</xdr:rowOff>
    </xdr:from>
    <xdr:to>
      <xdr:col>9</xdr:col>
      <xdr:colOff>411480</xdr:colOff>
      <xdr:row>97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73F7AF3-E25E-443E-9D3D-7E782CF78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618" y="17301882"/>
          <a:ext cx="409575" cy="224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97</xdr:row>
      <xdr:rowOff>0</xdr:rowOff>
    </xdr:from>
    <xdr:to>
      <xdr:col>9</xdr:col>
      <xdr:colOff>411480</xdr:colOff>
      <xdr:row>98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F0F6966-5A26-4666-8753-6F5A7EE22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618" y="17526000"/>
          <a:ext cx="409575" cy="224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99</xdr:row>
      <xdr:rowOff>0</xdr:rowOff>
    </xdr:from>
    <xdr:to>
      <xdr:col>9</xdr:col>
      <xdr:colOff>320040</xdr:colOff>
      <xdr:row>99</xdr:row>
      <xdr:rowOff>205740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C466ECFA-FC7F-4C3C-B7AE-F642E89A9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618" y="17750118"/>
          <a:ext cx="3238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0</xdr:colOff>
      <xdr:row>96</xdr:row>
      <xdr:rowOff>0</xdr:rowOff>
    </xdr:from>
    <xdr:to>
      <xdr:col>17</xdr:col>
      <xdr:colOff>411480</xdr:colOff>
      <xdr:row>97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8EBFF7C6-120F-475C-B510-DA26F7246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618" y="17301882"/>
          <a:ext cx="409575" cy="224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0</xdr:colOff>
      <xdr:row>97</xdr:row>
      <xdr:rowOff>0</xdr:rowOff>
    </xdr:from>
    <xdr:to>
      <xdr:col>17</xdr:col>
      <xdr:colOff>411480</xdr:colOff>
      <xdr:row>98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28326CAD-14E1-499D-B059-F4826FD93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618" y="17526000"/>
          <a:ext cx="409575" cy="224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0</xdr:colOff>
      <xdr:row>99</xdr:row>
      <xdr:rowOff>0</xdr:rowOff>
    </xdr:from>
    <xdr:to>
      <xdr:col>17</xdr:col>
      <xdr:colOff>320040</xdr:colOff>
      <xdr:row>99</xdr:row>
      <xdr:rowOff>205740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D1946943-EA80-48C9-B6AD-6C366B211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618" y="17750118"/>
          <a:ext cx="3238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427728</xdr:colOff>
      <xdr:row>101</xdr:row>
      <xdr:rowOff>46728</xdr:rowOff>
    </xdr:from>
    <xdr:to>
      <xdr:col>10</xdr:col>
      <xdr:colOff>284741</xdr:colOff>
      <xdr:row>104</xdr:row>
      <xdr:rowOff>134358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5E10A1AA-81C2-C89C-116F-0681FFD36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199" y="18379552"/>
          <a:ext cx="6614160" cy="625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96</xdr:row>
      <xdr:rowOff>0</xdr:rowOff>
    </xdr:from>
    <xdr:to>
      <xdr:col>3</xdr:col>
      <xdr:colOff>533400</xdr:colOff>
      <xdr:row>96</xdr:row>
      <xdr:rowOff>205740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85C10125-9058-47A0-129E-71E0C5105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3220" y="17632680"/>
          <a:ext cx="53340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97</xdr:row>
      <xdr:rowOff>0</xdr:rowOff>
    </xdr:from>
    <xdr:to>
      <xdr:col>3</xdr:col>
      <xdr:colOff>533400</xdr:colOff>
      <xdr:row>97</xdr:row>
      <xdr:rowOff>205740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D942EA37-D74C-69CD-AC07-77A46DDCC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3220" y="17861280"/>
          <a:ext cx="53340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99</xdr:row>
      <xdr:rowOff>0</xdr:rowOff>
    </xdr:from>
    <xdr:to>
      <xdr:col>3</xdr:col>
      <xdr:colOff>525780</xdr:colOff>
      <xdr:row>99</xdr:row>
      <xdr:rowOff>205740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F4D6E7D9-10E8-2CD3-E432-6B95C9A5C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3220" y="18089880"/>
          <a:ext cx="52578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98</xdr:row>
      <xdr:rowOff>0</xdr:rowOff>
    </xdr:from>
    <xdr:to>
      <xdr:col>3</xdr:col>
      <xdr:colOff>586740</xdr:colOff>
      <xdr:row>98</xdr:row>
      <xdr:rowOff>205740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6508D46-EE0A-F4B8-E768-DE2D1E486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3220" y="18089880"/>
          <a:ext cx="58674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96</xdr:row>
      <xdr:rowOff>0</xdr:rowOff>
    </xdr:from>
    <xdr:to>
      <xdr:col>11</xdr:col>
      <xdr:colOff>533400</xdr:colOff>
      <xdr:row>96</xdr:row>
      <xdr:rowOff>205740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14326D0E-E167-437E-9590-85D2664B1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3529" y="17301882"/>
          <a:ext cx="5334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97</xdr:row>
      <xdr:rowOff>0</xdr:rowOff>
    </xdr:from>
    <xdr:to>
      <xdr:col>11</xdr:col>
      <xdr:colOff>533400</xdr:colOff>
      <xdr:row>97</xdr:row>
      <xdr:rowOff>205740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FF106FF1-EF2D-4536-BC19-50EAD8D67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3529" y="17526000"/>
          <a:ext cx="5334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99</xdr:row>
      <xdr:rowOff>0</xdr:rowOff>
    </xdr:from>
    <xdr:to>
      <xdr:col>11</xdr:col>
      <xdr:colOff>525780</xdr:colOff>
      <xdr:row>99</xdr:row>
      <xdr:rowOff>205740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58595F28-8DF0-4341-B5AE-510286A98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3529" y="17974235"/>
          <a:ext cx="5238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98</xdr:row>
      <xdr:rowOff>0</xdr:rowOff>
    </xdr:from>
    <xdr:to>
      <xdr:col>11</xdr:col>
      <xdr:colOff>586740</xdr:colOff>
      <xdr:row>98</xdr:row>
      <xdr:rowOff>205740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BC5196D7-8088-489B-A3EA-317A497E6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3529" y="17750118"/>
          <a:ext cx="590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0</xdr:colOff>
      <xdr:row>96</xdr:row>
      <xdr:rowOff>0</xdr:rowOff>
    </xdr:from>
    <xdr:to>
      <xdr:col>19</xdr:col>
      <xdr:colOff>533400</xdr:colOff>
      <xdr:row>96</xdr:row>
      <xdr:rowOff>205740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C096642-EB26-43F7-85C0-5AF8CBCC2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3529" y="17301882"/>
          <a:ext cx="5334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0</xdr:colOff>
      <xdr:row>97</xdr:row>
      <xdr:rowOff>0</xdr:rowOff>
    </xdr:from>
    <xdr:to>
      <xdr:col>19</xdr:col>
      <xdr:colOff>533400</xdr:colOff>
      <xdr:row>97</xdr:row>
      <xdr:rowOff>205740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3B07B1E-3CF3-4B13-8B75-D3F4343F2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3529" y="17526000"/>
          <a:ext cx="5334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0</xdr:colOff>
      <xdr:row>99</xdr:row>
      <xdr:rowOff>0</xdr:rowOff>
    </xdr:from>
    <xdr:to>
      <xdr:col>19</xdr:col>
      <xdr:colOff>525780</xdr:colOff>
      <xdr:row>99</xdr:row>
      <xdr:rowOff>205740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89FBBB8-1B48-46DF-8587-8940EEF6A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3529" y="17974235"/>
          <a:ext cx="5238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0</xdr:colOff>
      <xdr:row>98</xdr:row>
      <xdr:rowOff>0</xdr:rowOff>
    </xdr:from>
    <xdr:to>
      <xdr:col>19</xdr:col>
      <xdr:colOff>586740</xdr:colOff>
      <xdr:row>98</xdr:row>
      <xdr:rowOff>205740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5C7731D7-61C0-44B1-A97F-7C5871E92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3529" y="17750118"/>
          <a:ext cx="590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394446</xdr:colOff>
      <xdr:row>90</xdr:row>
      <xdr:rowOff>89646</xdr:rowOff>
    </xdr:from>
    <xdr:to>
      <xdr:col>18</xdr:col>
      <xdr:colOff>17222</xdr:colOff>
      <xdr:row>92</xdr:row>
      <xdr:rowOff>188258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9CB7618-7E98-0B9E-ECDD-7E52D5A15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68399" y="16235081"/>
          <a:ext cx="1496399" cy="466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631190</xdr:colOff>
      <xdr:row>1</xdr:row>
      <xdr:rowOff>0</xdr:rowOff>
    </xdr:from>
    <xdr:to>
      <xdr:col>50</xdr:col>
      <xdr:colOff>770679</xdr:colOff>
      <xdr:row>27</xdr:row>
      <xdr:rowOff>144357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3155026-2C1A-F9D9-48BC-B4AD20266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191559</xdr:colOff>
      <xdr:row>54</xdr:row>
      <xdr:rowOff>143298</xdr:rowOff>
    </xdr:from>
    <xdr:to>
      <xdr:col>31</xdr:col>
      <xdr:colOff>719667</xdr:colOff>
      <xdr:row>81</xdr:row>
      <xdr:rowOff>100118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D524F72-96B5-4297-8698-01DEB70D1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189653</xdr:colOff>
      <xdr:row>27</xdr:row>
      <xdr:rowOff>156844</xdr:rowOff>
    </xdr:from>
    <xdr:to>
      <xdr:col>31</xdr:col>
      <xdr:colOff>729191</xdr:colOff>
      <xdr:row>54</xdr:row>
      <xdr:rowOff>119379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ADE7AE4-134A-462C-B212-FCB89655D7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188595</xdr:colOff>
      <xdr:row>1</xdr:row>
      <xdr:rowOff>0</xdr:rowOff>
    </xdr:from>
    <xdr:to>
      <xdr:col>31</xdr:col>
      <xdr:colOff>733848</xdr:colOff>
      <xdr:row>27</xdr:row>
      <xdr:rowOff>140547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1C09478-4825-41CB-9BBF-D6BBDAFDC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185632</xdr:colOff>
      <xdr:row>81</xdr:row>
      <xdr:rowOff>116417</xdr:rowOff>
    </xdr:from>
    <xdr:to>
      <xdr:col>31</xdr:col>
      <xdr:colOff>727075</xdr:colOff>
      <xdr:row>108</xdr:row>
      <xdr:rowOff>69427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3D85574-25F8-49AB-ADC0-015404AEE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156845</xdr:colOff>
      <xdr:row>108</xdr:row>
      <xdr:rowOff>86572</xdr:rowOff>
    </xdr:from>
    <xdr:to>
      <xdr:col>31</xdr:col>
      <xdr:colOff>702098</xdr:colOff>
      <xdr:row>135</xdr:row>
      <xdr:rowOff>41487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CEE6BEA-D52E-4E54-ABF8-E5B00557CB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754379</xdr:colOff>
      <xdr:row>0</xdr:row>
      <xdr:rowOff>178011</xdr:rowOff>
    </xdr:from>
    <xdr:to>
      <xdr:col>41</xdr:col>
      <xdr:colOff>519217</xdr:colOff>
      <xdr:row>27</xdr:row>
      <xdr:rowOff>131021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4E48F06-7380-4340-9C96-4D0D47435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747607</xdr:colOff>
      <xdr:row>27</xdr:row>
      <xdr:rowOff>160655</xdr:rowOff>
    </xdr:from>
    <xdr:to>
      <xdr:col>41</xdr:col>
      <xdr:colOff>499110</xdr:colOff>
      <xdr:row>54</xdr:row>
      <xdr:rowOff>121285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CAE12EE-C068-4DD8-AF39-CF64580181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740834</xdr:colOff>
      <xdr:row>54</xdr:row>
      <xdr:rowOff>148167</xdr:rowOff>
    </xdr:from>
    <xdr:to>
      <xdr:col>41</xdr:col>
      <xdr:colOff>473287</xdr:colOff>
      <xdr:row>81</xdr:row>
      <xdr:rowOff>101177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5D24D3D-FDC4-4FB4-978C-DA2CE58AB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742738</xdr:colOff>
      <xdr:row>81</xdr:row>
      <xdr:rowOff>118322</xdr:rowOff>
    </xdr:from>
    <xdr:to>
      <xdr:col>41</xdr:col>
      <xdr:colOff>486621</xdr:colOff>
      <xdr:row>108</xdr:row>
      <xdr:rowOff>73237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355123A7-E6EA-43B2-90FD-323D730E84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751417</xdr:colOff>
      <xdr:row>108</xdr:row>
      <xdr:rowOff>84666</xdr:rowOff>
    </xdr:from>
    <xdr:to>
      <xdr:col>41</xdr:col>
      <xdr:colOff>508635</xdr:colOff>
      <xdr:row>135</xdr:row>
      <xdr:rowOff>41486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E22CCC70-8B17-4870-A718-C790F5851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6974866-C701-AF54-2893-2C50DFCEC40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0B7D31-1B1D-2A20-48FC-28EE78BB36E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389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5B464B-ABF4-55FB-EAC3-A30FD2B5207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389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CD8C800-4074-C3A8-381D-70FAB8160B9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10833379" cy="7860742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885DBE2-D4E8-6238-7E66-3F9DCEFAB40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10833379" cy="7860742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C34198F-D54E-E837-57CD-C8B236B2BAD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F670B-5636-41B8-8364-8E559175A2CF}">
  <dimension ref="B4:H25"/>
  <sheetViews>
    <sheetView topLeftCell="A4" workbookViewId="0">
      <selection activeCell="D8" sqref="D8"/>
    </sheetView>
  </sheetViews>
  <sheetFormatPr baseColWidth="10" defaultRowHeight="14.4" x14ac:dyDescent="0.3"/>
  <cols>
    <col min="8" max="8" width="13.21875" bestFit="1" customWidth="1"/>
  </cols>
  <sheetData>
    <row r="4" spans="2:8" ht="15.6" x14ac:dyDescent="0.3">
      <c r="E4" s="39">
        <v>0.01</v>
      </c>
    </row>
    <row r="7" spans="2:8" ht="18" x14ac:dyDescent="0.4">
      <c r="F7" s="38" t="s">
        <v>40</v>
      </c>
    </row>
    <row r="8" spans="2:8" ht="15.6" x14ac:dyDescent="0.35">
      <c r="C8" s="343" t="s">
        <v>41</v>
      </c>
      <c r="D8" s="343" t="s">
        <v>949</v>
      </c>
      <c r="E8" s="343" t="s">
        <v>950</v>
      </c>
      <c r="F8" s="343" t="s">
        <v>951</v>
      </c>
      <c r="G8" s="354" t="s">
        <v>952</v>
      </c>
      <c r="H8" s="344" t="s">
        <v>44</v>
      </c>
    </row>
    <row r="9" spans="2:8" ht="15" thickBot="1" x14ac:dyDescent="0.35">
      <c r="C9" s="345" t="s">
        <v>8</v>
      </c>
      <c r="D9" s="345" t="s">
        <v>946</v>
      </c>
      <c r="E9" s="345" t="s">
        <v>947</v>
      </c>
      <c r="F9" s="345" t="s">
        <v>948</v>
      </c>
      <c r="G9" s="355"/>
      <c r="H9" s="346" t="s">
        <v>953</v>
      </c>
    </row>
    <row r="10" spans="2:8" ht="15" thickTop="1" x14ac:dyDescent="0.3">
      <c r="B10" t="s">
        <v>3</v>
      </c>
      <c r="C10" s="154" t="s">
        <v>524</v>
      </c>
      <c r="D10" s="44">
        <v>0.02</v>
      </c>
      <c r="E10" s="41">
        <v>0.95</v>
      </c>
      <c r="F10" s="43">
        <f>SQRT(E10*(1-E10))</f>
        <v>0.21794494717703378</v>
      </c>
      <c r="G10" s="42">
        <f>D10*F10</f>
        <v>4.3588989435406752E-3</v>
      </c>
      <c r="H10" s="356">
        <f>(G15/E4)^2</f>
        <v>932.44057164011485</v>
      </c>
    </row>
    <row r="11" spans="2:8" x14ac:dyDescent="0.3">
      <c r="B11" t="s">
        <v>4</v>
      </c>
      <c r="C11" s="155" t="s">
        <v>523</v>
      </c>
      <c r="D11" s="44">
        <v>7.0000000000000007E-2</v>
      </c>
      <c r="E11" s="41">
        <v>0.8</v>
      </c>
      <c r="F11" s="43">
        <f>SQRT(E11*(1-E11))</f>
        <v>0.39999999999999997</v>
      </c>
      <c r="G11" s="42">
        <f>D11*F11</f>
        <v>2.8000000000000001E-2</v>
      </c>
      <c r="H11" s="357"/>
    </row>
    <row r="12" spans="2:8" x14ac:dyDescent="0.3">
      <c r="B12" t="s">
        <v>5</v>
      </c>
      <c r="C12" s="156" t="s">
        <v>525</v>
      </c>
      <c r="D12" s="44">
        <v>0.48</v>
      </c>
      <c r="E12" s="41">
        <v>0.9</v>
      </c>
      <c r="F12" s="43">
        <f>SQRT(E12*(1-E12))</f>
        <v>0.3</v>
      </c>
      <c r="G12" s="42">
        <f>D12*F12</f>
        <v>0.14399999999999999</v>
      </c>
      <c r="H12" s="357"/>
    </row>
    <row r="13" spans="2:8" x14ac:dyDescent="0.3">
      <c r="B13" t="s">
        <v>6</v>
      </c>
      <c r="C13" s="157" t="s">
        <v>526</v>
      </c>
      <c r="D13" s="44">
        <v>0.28000000000000003</v>
      </c>
      <c r="E13" s="41">
        <v>0.9</v>
      </c>
      <c r="F13" s="43">
        <f>SQRT(E13*(1-E13))</f>
        <v>0.3</v>
      </c>
      <c r="G13" s="42">
        <f>D13*F13</f>
        <v>8.4000000000000005E-2</v>
      </c>
      <c r="H13" s="357"/>
    </row>
    <row r="14" spans="2:8" x14ac:dyDescent="0.3">
      <c r="B14" t="s">
        <v>7</v>
      </c>
      <c r="C14" s="123" t="s">
        <v>527</v>
      </c>
      <c r="D14" s="339">
        <v>0.15</v>
      </c>
      <c r="E14" s="340">
        <v>0.9</v>
      </c>
      <c r="F14" s="341">
        <f>SQRT(E14*(1-E14))</f>
        <v>0.3</v>
      </c>
      <c r="G14" s="342">
        <f>D14*F14</f>
        <v>4.4999999999999998E-2</v>
      </c>
      <c r="H14" s="358"/>
    </row>
    <row r="15" spans="2:8" x14ac:dyDescent="0.3">
      <c r="C15" s="1" t="s">
        <v>36</v>
      </c>
      <c r="D15" s="44">
        <f>SUM(D10:D14)</f>
        <v>1</v>
      </c>
      <c r="E15" s="41"/>
      <c r="F15" s="41"/>
      <c r="G15" s="347">
        <f>SUM(G10:G14)</f>
        <v>0.30535889894354068</v>
      </c>
    </row>
    <row r="17" spans="2:8" ht="18" x14ac:dyDescent="0.4">
      <c r="C17" s="13" t="s">
        <v>45</v>
      </c>
      <c r="F17" s="38" t="s">
        <v>40</v>
      </c>
    </row>
    <row r="18" spans="2:8" ht="15.6" x14ac:dyDescent="0.35">
      <c r="C18" s="12"/>
      <c r="D18" s="1" t="s">
        <v>18</v>
      </c>
      <c r="E18" s="1" t="s">
        <v>32</v>
      </c>
      <c r="F18" s="1" t="s">
        <v>42</v>
      </c>
      <c r="G18" s="1" t="s">
        <v>43</v>
      </c>
      <c r="H18" s="1" t="s">
        <v>44</v>
      </c>
    </row>
    <row r="19" spans="2:8" x14ac:dyDescent="0.3">
      <c r="B19" t="s">
        <v>8</v>
      </c>
      <c r="D19" s="1" t="s">
        <v>11</v>
      </c>
    </row>
    <row r="20" spans="2:8" x14ac:dyDescent="0.3">
      <c r="B20" t="s">
        <v>3</v>
      </c>
      <c r="C20" s="1"/>
      <c r="D20" s="44">
        <v>0.01</v>
      </c>
      <c r="E20" s="41">
        <v>0.95</v>
      </c>
      <c r="F20" s="43">
        <f>SQRT(E20*(1-E20))</f>
        <v>0.21794494717703378</v>
      </c>
      <c r="G20" s="42">
        <f>D20*F20</f>
        <v>2.1794494717703376E-3</v>
      </c>
      <c r="H20" s="30">
        <f>(G25/E4)^2</f>
        <v>919.17778582005735</v>
      </c>
    </row>
    <row r="21" spans="2:8" x14ac:dyDescent="0.3">
      <c r="B21" t="s">
        <v>4</v>
      </c>
      <c r="C21" s="1"/>
      <c r="D21" s="44">
        <v>0.04</v>
      </c>
      <c r="E21" s="41">
        <v>0.8</v>
      </c>
      <c r="F21" s="43">
        <f>SQRT(E21*(1-E21))</f>
        <v>0.39999999999999997</v>
      </c>
      <c r="G21" s="42">
        <f>D21*F21</f>
        <v>1.6E-2</v>
      </c>
    </row>
    <row r="22" spans="2:8" x14ac:dyDescent="0.3">
      <c r="B22" t="s">
        <v>5</v>
      </c>
      <c r="C22" s="1"/>
      <c r="D22" s="44">
        <v>0.62</v>
      </c>
      <c r="E22" s="41">
        <v>0.9</v>
      </c>
      <c r="F22" s="43">
        <f>SQRT(E22*(1-E22))</f>
        <v>0.3</v>
      </c>
      <c r="G22" s="42">
        <f>D22*F22</f>
        <v>0.186</v>
      </c>
    </row>
    <row r="23" spans="2:8" x14ac:dyDescent="0.3">
      <c r="B23" t="s">
        <v>6</v>
      </c>
      <c r="C23" s="1"/>
      <c r="D23" s="44">
        <v>0.18</v>
      </c>
      <c r="E23" s="41">
        <v>0.9</v>
      </c>
      <c r="F23" s="43">
        <f>SQRT(E23*(1-E23))</f>
        <v>0.3</v>
      </c>
      <c r="G23" s="42">
        <f>D23*F23</f>
        <v>5.3999999999999999E-2</v>
      </c>
    </row>
    <row r="24" spans="2:8" x14ac:dyDescent="0.3">
      <c r="B24" t="s">
        <v>7</v>
      </c>
      <c r="C24" s="1"/>
      <c r="D24" s="44">
        <v>0.15</v>
      </c>
      <c r="E24" s="41">
        <v>0.9</v>
      </c>
      <c r="F24" s="43">
        <f>SQRT(E24*(1-E24))</f>
        <v>0.3</v>
      </c>
      <c r="G24" s="42">
        <f>D24*F24</f>
        <v>4.4999999999999998E-2</v>
      </c>
    </row>
    <row r="25" spans="2:8" x14ac:dyDescent="0.3">
      <c r="C25" s="1"/>
      <c r="D25" s="44">
        <f>SUM(D20:D24)</f>
        <v>1</v>
      </c>
      <c r="E25" s="41"/>
      <c r="F25" s="41"/>
      <c r="G25" s="40">
        <f>SUM(G20:G24)</f>
        <v>0.30317944947177033</v>
      </c>
    </row>
  </sheetData>
  <mergeCells count="2">
    <mergeCell ref="G8:G9"/>
    <mergeCell ref="H10:H1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084A5-246C-44E4-8DA3-FBE81BC1B741}">
  <dimension ref="A1:BP1459"/>
  <sheetViews>
    <sheetView topLeftCell="Y131" zoomScale="80" zoomScaleNormal="80" workbookViewId="0">
      <selection activeCell="AH176" sqref="AH176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9.5546875" bestFit="1" customWidth="1"/>
    <col min="28" max="28" width="5.44140625" bestFit="1" customWidth="1"/>
    <col min="36" max="36" width="17.21875" bestFit="1" customWidth="1"/>
    <col min="63" max="64" width="12" bestFit="1" customWidth="1"/>
    <col min="65" max="65" width="8.5546875" bestFit="1" customWidth="1"/>
  </cols>
  <sheetData>
    <row r="1" spans="1:66" x14ac:dyDescent="0.3">
      <c r="A1" s="12"/>
      <c r="B1" s="359" t="s">
        <v>956</v>
      </c>
      <c r="C1" s="359"/>
      <c r="D1" s="12" t="s">
        <v>957</v>
      </c>
      <c r="E1" s="12"/>
      <c r="F1" s="12"/>
      <c r="G1" t="s">
        <v>47</v>
      </c>
    </row>
    <row r="2" spans="1:66" ht="15.6" x14ac:dyDescent="0.35">
      <c r="A2" s="12" t="s">
        <v>8</v>
      </c>
      <c r="B2" s="12" t="s">
        <v>9</v>
      </c>
      <c r="C2" s="13" t="s">
        <v>11</v>
      </c>
      <c r="D2" s="343" t="s">
        <v>949</v>
      </c>
      <c r="E2" s="12"/>
      <c r="F2" s="12"/>
      <c r="G2" t="s">
        <v>46</v>
      </c>
      <c r="P2" s="1"/>
      <c r="Q2" s="1"/>
      <c r="R2" s="1"/>
      <c r="S2" s="1"/>
      <c r="AG2" s="51" t="s">
        <v>127</v>
      </c>
      <c r="AH2" s="51" t="s">
        <v>131</v>
      </c>
    </row>
    <row r="3" spans="1:66" x14ac:dyDescent="0.3">
      <c r="A3" s="12" t="s">
        <v>3</v>
      </c>
      <c r="B3" s="103">
        <v>175.36</v>
      </c>
      <c r="C3" s="22">
        <f>B3/$B$8</f>
        <v>5.8291477331276827E-2</v>
      </c>
      <c r="D3" s="85">
        <v>0.02</v>
      </c>
      <c r="E3" s="86">
        <f>D3-C3</f>
        <v>-3.829147733127683E-2</v>
      </c>
      <c r="F3" s="12" t="s">
        <v>49</v>
      </c>
      <c r="G3" t="s">
        <v>50</v>
      </c>
      <c r="P3" s="1"/>
      <c r="Q3" s="1"/>
      <c r="R3" s="1"/>
      <c r="S3" s="1"/>
      <c r="AG3" s="51" t="s">
        <v>128</v>
      </c>
      <c r="AH3" s="51" t="s">
        <v>134</v>
      </c>
    </row>
    <row r="4" spans="1:66" x14ac:dyDescent="0.3">
      <c r="A4" s="12" t="s">
        <v>4</v>
      </c>
      <c r="B4" s="103">
        <v>249.32</v>
      </c>
      <c r="C4" s="22">
        <f>B4/$B$8</f>
        <v>8.2876546123596809E-2</v>
      </c>
      <c r="D4" s="85">
        <v>7.0000000000000007E-2</v>
      </c>
      <c r="E4" s="86">
        <f>D4-C4</f>
        <v>-1.2876546123596802E-2</v>
      </c>
      <c r="F4" s="12" t="s">
        <v>49</v>
      </c>
      <c r="G4" t="s">
        <v>55</v>
      </c>
      <c r="P4" s="1"/>
      <c r="Q4" s="1"/>
      <c r="R4" s="1"/>
      <c r="S4" s="1"/>
      <c r="AG4" s="51" t="s">
        <v>129</v>
      </c>
      <c r="AH4" s="51" t="s">
        <v>132</v>
      </c>
    </row>
    <row r="5" spans="1:66" ht="18" x14ac:dyDescent="0.35">
      <c r="A5" s="12" t="s">
        <v>5</v>
      </c>
      <c r="B5" s="103">
        <v>1402.65</v>
      </c>
      <c r="C5" s="22">
        <f>B5/$B$8</f>
        <v>0.46625536427187181</v>
      </c>
      <c r="D5" s="85">
        <v>0.48</v>
      </c>
      <c r="E5" s="86">
        <f>D5-C5</f>
        <v>1.3744635728128174E-2</v>
      </c>
      <c r="F5" s="12"/>
      <c r="P5" s="1"/>
      <c r="Q5" s="1"/>
      <c r="R5" s="1"/>
      <c r="S5" s="1"/>
      <c r="AG5" s="51" t="s">
        <v>130</v>
      </c>
      <c r="AH5" s="51" t="s">
        <v>133</v>
      </c>
      <c r="BF5" s="362" t="s">
        <v>359</v>
      </c>
      <c r="BG5" s="362"/>
      <c r="BH5" s="362"/>
      <c r="BI5" s="362"/>
      <c r="BJ5" s="362"/>
      <c r="BK5" s="362"/>
      <c r="BL5" s="362"/>
      <c r="BM5" s="362"/>
      <c r="BN5" s="362"/>
    </row>
    <row r="6" spans="1:66" x14ac:dyDescent="0.3">
      <c r="A6" s="12" t="s">
        <v>6</v>
      </c>
      <c r="B6" s="103">
        <v>728.96</v>
      </c>
      <c r="C6" s="22">
        <f>B6/$B$8</f>
        <v>0.2423138418989938</v>
      </c>
      <c r="D6" s="85">
        <v>0.28000000000000003</v>
      </c>
      <c r="E6" s="86">
        <f>D6-C6</f>
        <v>3.7686158101006229E-2</v>
      </c>
      <c r="F6" s="12"/>
      <c r="I6" s="12"/>
      <c r="J6" s="12" t="s">
        <v>54</v>
      </c>
      <c r="K6" s="12"/>
      <c r="P6" s="1"/>
      <c r="Q6" s="1"/>
      <c r="R6" s="1"/>
      <c r="S6" s="1"/>
      <c r="AG6" s="51" t="s">
        <v>155</v>
      </c>
      <c r="AH6" s="51" t="s">
        <v>157</v>
      </c>
      <c r="BF6" s="12" t="s">
        <v>376</v>
      </c>
    </row>
    <row r="7" spans="1:66" x14ac:dyDescent="0.3">
      <c r="A7" s="12" t="s">
        <v>7</v>
      </c>
      <c r="B7" s="103">
        <v>452.04</v>
      </c>
      <c r="C7" s="22">
        <f>B7/$B$8</f>
        <v>0.15026277037426081</v>
      </c>
      <c r="D7" s="85">
        <v>0.15</v>
      </c>
      <c r="E7" s="86">
        <f>D7-C7</f>
        <v>-2.6277037426081229E-4</v>
      </c>
      <c r="F7" s="12"/>
      <c r="I7" s="12"/>
      <c r="J7" s="12">
        <v>5469</v>
      </c>
      <c r="K7" s="12"/>
      <c r="P7" s="1"/>
      <c r="Q7" s="1"/>
      <c r="R7" s="1"/>
      <c r="S7" s="1"/>
      <c r="AG7" s="51" t="s">
        <v>156</v>
      </c>
      <c r="AH7" s="51" t="s">
        <v>158</v>
      </c>
    </row>
    <row r="8" spans="1:66" ht="18" x14ac:dyDescent="0.35">
      <c r="A8" s="12" t="s">
        <v>954</v>
      </c>
      <c r="B8" s="103">
        <f>SUM(B3:B7)</f>
        <v>3008.33</v>
      </c>
      <c r="C8" s="61">
        <f>SUM(C3:C7)</f>
        <v>1</v>
      </c>
      <c r="D8" s="61">
        <f>SUM(D3:D7)</f>
        <v>1</v>
      </c>
      <c r="E8" s="12" t="s">
        <v>16</v>
      </c>
      <c r="F8" s="135">
        <v>192771.38</v>
      </c>
      <c r="I8" s="12" t="s">
        <v>60</v>
      </c>
      <c r="J8" s="12" t="s">
        <v>54</v>
      </c>
      <c r="K8" s="12" t="s">
        <v>59</v>
      </c>
      <c r="P8" s="1"/>
      <c r="Q8" s="1"/>
      <c r="R8" s="1"/>
      <c r="S8" s="1"/>
      <c r="AG8" s="51" t="s">
        <v>210</v>
      </c>
      <c r="AH8" s="51" t="s">
        <v>215</v>
      </c>
      <c r="BF8" s="83"/>
    </row>
    <row r="9" spans="1:66" x14ac:dyDescent="0.3">
      <c r="A9" s="12" t="s">
        <v>955</v>
      </c>
      <c r="B9" s="87">
        <f>B8/0.36</f>
        <v>8356.4722222222226</v>
      </c>
      <c r="C9" s="12" t="s">
        <v>48</v>
      </c>
      <c r="D9" s="12"/>
      <c r="E9" s="12" t="s">
        <v>51</v>
      </c>
      <c r="F9" s="88">
        <f>B8/F8</f>
        <v>1.5605687939776122E-2</v>
      </c>
      <c r="I9" s="12">
        <v>2850</v>
      </c>
      <c r="J9" s="12">
        <v>5020</v>
      </c>
      <c r="K9" s="89">
        <f>(J7-J9)/J7</f>
        <v>8.2099104040958132E-2</v>
      </c>
      <c r="P9" s="1"/>
      <c r="Q9" s="1"/>
      <c r="R9" s="1"/>
      <c r="S9" s="1"/>
      <c r="AG9" s="51" t="s">
        <v>211</v>
      </c>
      <c r="AH9" s="51" t="s">
        <v>216</v>
      </c>
    </row>
    <row r="10" spans="1:66" x14ac:dyDescent="0.3">
      <c r="A10" s="130" t="s">
        <v>417</v>
      </c>
      <c r="B10" s="131">
        <v>43418</v>
      </c>
      <c r="F10" s="46"/>
      <c r="I10" s="89">
        <f>I9/(I9+J9)</f>
        <v>0.36213468869123255</v>
      </c>
      <c r="J10" s="89">
        <f>J9/(J9+I9)</f>
        <v>0.63786531130876745</v>
      </c>
      <c r="K10" s="12"/>
      <c r="P10" s="1"/>
      <c r="Q10" s="1"/>
      <c r="R10" s="1"/>
      <c r="S10" s="1"/>
      <c r="AG10" s="51" t="s">
        <v>212</v>
      </c>
      <c r="AH10" s="51" t="s">
        <v>217</v>
      </c>
      <c r="BF10" s="82"/>
      <c r="BG10" s="1"/>
      <c r="BH10" s="59"/>
      <c r="BI10" s="1"/>
      <c r="BJ10" s="59"/>
      <c r="BK10" s="1"/>
    </row>
    <row r="11" spans="1:66" x14ac:dyDescent="0.3">
      <c r="B11" s="18"/>
      <c r="F11" s="46"/>
      <c r="I11" s="45"/>
      <c r="J11" s="45"/>
      <c r="P11" s="1"/>
      <c r="Q11" s="1"/>
      <c r="R11" s="1"/>
      <c r="S11" s="1"/>
      <c r="AG11" s="51" t="s">
        <v>213</v>
      </c>
      <c r="AH11" s="51" t="s">
        <v>218</v>
      </c>
      <c r="BJ11" s="13"/>
      <c r="BK11" s="13"/>
    </row>
    <row r="12" spans="1:66" x14ac:dyDescent="0.3">
      <c r="A12" s="361">
        <v>1977</v>
      </c>
      <c r="B12" s="361"/>
      <c r="C12" s="361"/>
      <c r="D12" s="361"/>
      <c r="E12" s="361"/>
      <c r="F12" s="361"/>
      <c r="G12" s="361"/>
      <c r="H12" s="361"/>
      <c r="I12" s="361"/>
      <c r="J12" s="361"/>
      <c r="K12" s="361"/>
      <c r="L12" s="361" t="s">
        <v>52</v>
      </c>
      <c r="M12" s="361"/>
      <c r="N12" s="361"/>
      <c r="O12" s="361"/>
      <c r="P12" s="361"/>
      <c r="R12" s="47">
        <v>1977</v>
      </c>
      <c r="S12" s="47" t="s">
        <v>41</v>
      </c>
      <c r="T12" s="47"/>
      <c r="U12" s="47"/>
      <c r="V12" s="47"/>
      <c r="W12" s="47"/>
      <c r="X12" s="47"/>
      <c r="Y12" s="47"/>
      <c r="Z12" s="47"/>
      <c r="AA12" s="47"/>
      <c r="AB12" s="47" t="s">
        <v>63</v>
      </c>
      <c r="AC12" s="47"/>
      <c r="AD12" s="47"/>
      <c r="AE12" s="47"/>
      <c r="AF12" s="47"/>
      <c r="AG12" s="51" t="s">
        <v>214</v>
      </c>
      <c r="AH12" s="51" t="s">
        <v>219</v>
      </c>
      <c r="AW12" s="66"/>
      <c r="AX12" s="77" t="s">
        <v>328</v>
      </c>
      <c r="AY12" s="77" t="s">
        <v>331</v>
      </c>
      <c r="AZ12" s="77" t="s">
        <v>329</v>
      </c>
      <c r="BA12" s="77" t="s">
        <v>330</v>
      </c>
      <c r="BB12" s="77" t="s">
        <v>332</v>
      </c>
      <c r="BC12" s="77" t="s">
        <v>333</v>
      </c>
      <c r="BD12" s="77" t="s">
        <v>372</v>
      </c>
      <c r="BE12" s="13"/>
      <c r="BF12" s="12"/>
      <c r="BH12" s="59"/>
      <c r="BI12" s="49"/>
      <c r="BJ12" s="1"/>
      <c r="BK12" s="1"/>
    </row>
    <row r="13" spans="1:66" x14ac:dyDescent="0.3">
      <c r="A13" t="s">
        <v>320</v>
      </c>
      <c r="B13" t="s">
        <v>21</v>
      </c>
      <c r="I13" s="1" t="s">
        <v>58</v>
      </c>
      <c r="O13" s="360" t="s">
        <v>411</v>
      </c>
      <c r="P13" s="360"/>
      <c r="AG13" s="51" t="s">
        <v>324</v>
      </c>
      <c r="AH13" s="51" t="s">
        <v>326</v>
      </c>
      <c r="AW13" s="51" t="s">
        <v>131</v>
      </c>
      <c r="AX13" s="80">
        <f>MIN($AE$16:$AE$20)</f>
        <v>0.89380239695872177</v>
      </c>
      <c r="AY13" s="80">
        <f>_xlfn.QUARTILE.EXC($AE$16:$AE$20,1)</f>
        <v>0.89556408059647441</v>
      </c>
      <c r="AZ13" s="80">
        <f>MEDIAN($AE$16:$AE$20)</f>
        <v>0.89919410669970345</v>
      </c>
      <c r="BA13" s="80">
        <f>AVERAGE($AE$16:$AE$20)</f>
        <v>0.89948251304429017</v>
      </c>
      <c r="BB13" s="80">
        <f>_xlfn.QUARTILE.EXC(AE16:AE20,3)</f>
        <v>0.90354514866439928</v>
      </c>
      <c r="BC13" s="80">
        <f>MAX(AE16:AE20)</f>
        <v>0.9047361834936587</v>
      </c>
      <c r="BD13" s="80">
        <f>(BB13-AY13)/AZ13</f>
        <v>8.8758011295443692E-3</v>
      </c>
      <c r="BE13" s="80"/>
      <c r="BF13" s="48"/>
      <c r="BH13" s="59"/>
      <c r="BI13" s="49"/>
      <c r="BJ13" s="1"/>
      <c r="BK13" s="1"/>
    </row>
    <row r="14" spans="1:66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56</v>
      </c>
      <c r="O14" s="13" t="s">
        <v>412</v>
      </c>
      <c r="P14" s="13" t="s">
        <v>41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325</v>
      </c>
      <c r="AH14" s="51" t="s">
        <v>327</v>
      </c>
      <c r="AW14" s="51" t="s">
        <v>134</v>
      </c>
      <c r="AX14" s="80">
        <f>MIN($AE$16:$AE$25)</f>
        <v>0.89380239695872177</v>
      </c>
      <c r="AY14" s="80">
        <f>_xlfn.QUARTILE.EXC($AE$16:$AE$25,1)</f>
        <v>0.89773626212477042</v>
      </c>
      <c r="AZ14" s="80">
        <f>MEDIAN($AE$16:$AE$25)</f>
        <v>0.89970247785310176</v>
      </c>
      <c r="BA14" s="80">
        <f>AVERAGE($AE$16:$AE$25)</f>
        <v>0.89993230734135565</v>
      </c>
      <c r="BB14" s="80">
        <f>_xlfn.QUARTILE.EXC($AE$16:$AE$25,3)</f>
        <v>0.90259373672424392</v>
      </c>
      <c r="BC14" s="80">
        <f>MAX($AE$16:$AE$25)</f>
        <v>0.9047361834936587</v>
      </c>
      <c r="BD14" s="80">
        <f t="shared" ref="BD14:BD25" si="0">(BB14-AY14)/AZ14</f>
        <v>5.3989787947061755E-3</v>
      </c>
      <c r="BE14" s="80"/>
      <c r="BF14" s="48"/>
      <c r="BH14" s="59"/>
      <c r="BI14" s="49"/>
      <c r="BJ14" s="1"/>
      <c r="BK14" s="1"/>
    </row>
    <row r="15" spans="1:66" x14ac:dyDescent="0.3">
      <c r="A15" t="s">
        <v>3</v>
      </c>
      <c r="B15" s="13">
        <v>0</v>
      </c>
      <c r="C15" s="26">
        <v>56</v>
      </c>
      <c r="D15" s="3">
        <v>0</v>
      </c>
      <c r="E15" s="3">
        <v>0</v>
      </c>
      <c r="F15" s="3">
        <v>0</v>
      </c>
      <c r="G15" s="4">
        <v>0</v>
      </c>
      <c r="H15" s="1">
        <f>SUM(C15:G15)</f>
        <v>56</v>
      </c>
      <c r="I15" s="10">
        <f>C15/H15</f>
        <v>1</v>
      </c>
      <c r="J15" s="11">
        <f>1-I15</f>
        <v>0</v>
      </c>
      <c r="K15">
        <f>H15-C20</f>
        <v>0</v>
      </c>
      <c r="N15" s="10">
        <f>2*(C21*I15)/(C21+I15)</f>
        <v>1</v>
      </c>
      <c r="O15" s="1">
        <v>0</v>
      </c>
      <c r="P15" s="1">
        <v>205</v>
      </c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77</v>
      </c>
      <c r="AF15" s="12" t="s">
        <v>29</v>
      </c>
      <c r="AH15" t="s">
        <v>125</v>
      </c>
      <c r="AI15" t="s">
        <v>126</v>
      </c>
      <c r="AW15" s="51" t="s">
        <v>132</v>
      </c>
      <c r="AX15" s="80">
        <f>MIN($AE$16:$AE$35)</f>
        <v>0.89380239695872177</v>
      </c>
      <c r="AY15" s="80">
        <f>_xlfn.QUARTILE.EXC($AE$16:$AE$35,1)</f>
        <v>0.8979824253060783</v>
      </c>
      <c r="AZ15" s="126">
        <f>MEDIAN($AE$16:$AE$35)</f>
        <v>0.89996972614912751</v>
      </c>
      <c r="BA15" s="126">
        <f>AVERAGE($AE$16:$AE$35)</f>
        <v>0.90006338859248081</v>
      </c>
      <c r="BB15" s="80">
        <f>_xlfn.QUARTILE.EXC($AE$16:$AE$35,3)</f>
        <v>0.90230046116644591</v>
      </c>
      <c r="BC15" s="80">
        <f>MAX($AE$16:$AE$35)</f>
        <v>0.9047361834936587</v>
      </c>
      <c r="BD15" s="80">
        <f t="shared" si="0"/>
        <v>4.7979790151875595E-3</v>
      </c>
      <c r="BE15" s="80"/>
      <c r="BF15" s="48"/>
      <c r="BH15" s="59"/>
      <c r="BI15" s="49"/>
      <c r="BJ15" s="1"/>
      <c r="BK15" s="1"/>
    </row>
    <row r="16" spans="1:66" x14ac:dyDescent="0.3">
      <c r="A16" t="s">
        <v>4</v>
      </c>
      <c r="B16" s="13">
        <v>1</v>
      </c>
      <c r="C16" s="5">
        <v>0</v>
      </c>
      <c r="D16" s="27">
        <v>83</v>
      </c>
      <c r="E16" s="1">
        <v>9</v>
      </c>
      <c r="F16" s="1">
        <v>0</v>
      </c>
      <c r="G16" s="6">
        <v>0</v>
      </c>
      <c r="H16" s="1">
        <f>SUM(C16:G16)</f>
        <v>92</v>
      </c>
      <c r="I16" s="10">
        <f>D16/H16</f>
        <v>0.90217391304347827</v>
      </c>
      <c r="J16" s="11">
        <f>1-I16</f>
        <v>9.7826086956521729E-2</v>
      </c>
      <c r="K16">
        <f>H16-D20</f>
        <v>-38</v>
      </c>
      <c r="N16" s="10">
        <f>2*(D21*I16)/(D21+I16)</f>
        <v>0.74774774774774766</v>
      </c>
      <c r="O16" s="1">
        <v>4</v>
      </c>
      <c r="P16" s="1">
        <v>66</v>
      </c>
      <c r="R16" t="s">
        <v>70</v>
      </c>
      <c r="S16" t="s">
        <v>28</v>
      </c>
      <c r="T16" s="57">
        <f t="shared" ref="T16:X19" si="1">C31</f>
        <v>1.545244862321115</v>
      </c>
      <c r="U16" s="57">
        <f t="shared" si="1"/>
        <v>8.8089902474393913</v>
      </c>
      <c r="V16" s="57">
        <f t="shared" si="1"/>
        <v>41.858914023694688</v>
      </c>
      <c r="W16" s="57">
        <f t="shared" si="1"/>
        <v>29.402888632138261</v>
      </c>
      <c r="X16" s="57">
        <f t="shared" si="1"/>
        <v>18.383962234406546</v>
      </c>
      <c r="AC16" t="s">
        <v>70</v>
      </c>
      <c r="AD16" s="55">
        <f>I21</f>
        <v>0.91719298245614034</v>
      </c>
      <c r="AE16" s="55">
        <f>I32</f>
        <v>0.89380239695872177</v>
      </c>
      <c r="AF16" s="55">
        <f>J32</f>
        <v>6.9111614402094616E-3</v>
      </c>
      <c r="AH16">
        <v>21</v>
      </c>
      <c r="AI16">
        <v>32</v>
      </c>
      <c r="AW16" s="51" t="s">
        <v>133</v>
      </c>
      <c r="AX16" s="80">
        <f>MIN($AE$16:$AE$45)</f>
        <v>0.89380239695872177</v>
      </c>
      <c r="AY16" s="80">
        <f>_xlfn.QUARTILE.EXC($AE$16:$AE$45,1)</f>
        <v>0.89860793025522079</v>
      </c>
      <c r="AZ16" s="80">
        <f>MEDIAN($AE$16:$AE$45)</f>
        <v>0.89996972614912751</v>
      </c>
      <c r="BA16" s="80">
        <f>AVERAGE($AE$16:$AE$45)</f>
        <v>0.9006287948448144</v>
      </c>
      <c r="BB16" s="80">
        <f>_xlfn.QUARTILE.EXC($AE$16:$AE$45,3)</f>
        <v>0.90305824852010508</v>
      </c>
      <c r="BC16" s="80">
        <f>MAX($AE$16:$AE$45)</f>
        <v>0.90681353484368299</v>
      </c>
      <c r="BD16" s="80">
        <f t="shared" si="0"/>
        <v>4.9449644088881937E-3</v>
      </c>
      <c r="BE16" s="80"/>
      <c r="BF16" s="48"/>
      <c r="BH16" s="59"/>
      <c r="BI16" s="49"/>
      <c r="BJ16" s="1"/>
      <c r="BK16" s="1"/>
    </row>
    <row r="17" spans="1:66" x14ac:dyDescent="0.3">
      <c r="A17" t="s">
        <v>5</v>
      </c>
      <c r="B17" s="13">
        <v>2</v>
      </c>
      <c r="C17" s="5">
        <v>0</v>
      </c>
      <c r="D17" s="1">
        <v>37</v>
      </c>
      <c r="E17" s="27">
        <v>1728</v>
      </c>
      <c r="F17" s="1">
        <v>23</v>
      </c>
      <c r="G17" s="6">
        <v>20</v>
      </c>
      <c r="H17" s="1">
        <f>SUM(C17:G17)</f>
        <v>1808</v>
      </c>
      <c r="I17" s="10">
        <f>E17/H17</f>
        <v>0.95575221238938057</v>
      </c>
      <c r="J17" s="11">
        <f>1-I17</f>
        <v>4.4247787610619427E-2</v>
      </c>
      <c r="K17">
        <f>H17-E20</f>
        <v>61</v>
      </c>
      <c r="N17" s="10">
        <f>2*(E21*I17)/(E21+I17)</f>
        <v>0.97215189873417729</v>
      </c>
      <c r="O17" s="1">
        <v>898</v>
      </c>
      <c r="P17" s="1">
        <v>9592</v>
      </c>
      <c r="S17" s="66" t="s">
        <v>39</v>
      </c>
      <c r="T17" s="67">
        <f t="shared" si="1"/>
        <v>0</v>
      </c>
      <c r="U17" s="67">
        <f t="shared" si="1"/>
        <v>0.32855080412244364</v>
      </c>
      <c r="V17" s="67">
        <f t="shared" si="1"/>
        <v>0.37423908174813791</v>
      </c>
      <c r="W17" s="67">
        <f t="shared" si="1"/>
        <v>0.60664018780985374</v>
      </c>
      <c r="X17" s="67">
        <f t="shared" si="1"/>
        <v>0.59449979086116866</v>
      </c>
      <c r="AC17" t="s">
        <v>71</v>
      </c>
      <c r="AD17" s="55">
        <f>I50</f>
        <v>0.92</v>
      </c>
      <c r="AE17" s="55">
        <f>I61</f>
        <v>0.90235411383513986</v>
      </c>
      <c r="AF17" s="55">
        <f>J61</f>
        <v>6.5054290634498123E-3</v>
      </c>
      <c r="AH17">
        <v>50</v>
      </c>
      <c r="AI17">
        <v>61</v>
      </c>
      <c r="AW17" s="51" t="s">
        <v>157</v>
      </c>
      <c r="AX17" s="80">
        <f>MIN($AE$16:$AE$55)</f>
        <v>0.89380239695872177</v>
      </c>
      <c r="AY17" s="80">
        <f>_xlfn.QUARTILE.EXC($AE$16:$AE$55,1)</f>
        <v>0.89829747931852855</v>
      </c>
      <c r="AZ17" s="80">
        <f>MEDIAN($AE$16:$AE$55)</f>
        <v>0.8997129053131856</v>
      </c>
      <c r="BA17" s="80">
        <f>AVERAGE($AE$16:$AE$55)</f>
        <v>0.90022778694266026</v>
      </c>
      <c r="BB17" s="80">
        <f>_xlfn.QUARTILE.EXC($AE$16:$AE$55,3)</f>
        <v>0.90247858262274472</v>
      </c>
      <c r="BC17" s="80">
        <f>MAX($AE$16:$AE$55)</f>
        <v>0.90681353484368299</v>
      </c>
      <c r="BD17" s="80">
        <f t="shared" si="0"/>
        <v>4.647152752311306E-3</v>
      </c>
      <c r="BE17" s="80"/>
      <c r="BF17" s="48"/>
      <c r="BH17" s="59"/>
      <c r="BI17" s="49"/>
      <c r="BJ17" s="1"/>
      <c r="BK17" s="1"/>
    </row>
    <row r="18" spans="1:66" x14ac:dyDescent="0.3">
      <c r="A18" t="s">
        <v>6</v>
      </c>
      <c r="B18" s="13">
        <v>3</v>
      </c>
      <c r="C18" s="5">
        <v>0</v>
      </c>
      <c r="D18" s="1">
        <v>10</v>
      </c>
      <c r="E18" s="1">
        <v>6</v>
      </c>
      <c r="F18" s="27">
        <v>549</v>
      </c>
      <c r="G18" s="6">
        <v>88</v>
      </c>
      <c r="H18" s="1">
        <f>SUM(C18:G18)</f>
        <v>653</v>
      </c>
      <c r="I18" s="10">
        <f>F18/H18</f>
        <v>0.84073506891271055</v>
      </c>
      <c r="J18" s="11">
        <f>1-I18</f>
        <v>0.15926493108728945</v>
      </c>
      <c r="K18">
        <f>H18-F20</f>
        <v>42</v>
      </c>
      <c r="N18" s="10">
        <f>2*(F21*I18)/(F21+I18)</f>
        <v>0.86867088607594933</v>
      </c>
      <c r="O18" s="1">
        <v>681</v>
      </c>
      <c r="P18" s="1">
        <v>18765</v>
      </c>
      <c r="S18" s="70" t="s">
        <v>30</v>
      </c>
      <c r="T18" s="64">
        <f t="shared" si="1"/>
        <v>100</v>
      </c>
      <c r="U18" s="64">
        <f t="shared" si="1"/>
        <v>84.749465949578706</v>
      </c>
      <c r="V18" s="64">
        <f t="shared" si="1"/>
        <v>96.720780109104282</v>
      </c>
      <c r="W18" s="64">
        <f t="shared" si="1"/>
        <v>88.974930139402218</v>
      </c>
      <c r="X18" s="64">
        <f t="shared" si="1"/>
        <v>74.640899823468587</v>
      </c>
      <c r="AC18" t="s">
        <v>72</v>
      </c>
      <c r="AD18" s="55">
        <f>I79</f>
        <v>0.91719298245614034</v>
      </c>
      <c r="AE18" s="55">
        <f>I90</f>
        <v>0.89919410669970345</v>
      </c>
      <c r="AF18" s="55">
        <f>J90</f>
        <v>6.5958838178218097E-3</v>
      </c>
      <c r="AH18">
        <v>79</v>
      </c>
      <c r="AI18">
        <v>90</v>
      </c>
      <c r="AW18" s="51" t="s">
        <v>158</v>
      </c>
      <c r="AX18" s="80">
        <f>MIN($AE$16:$AE$65)</f>
        <v>0.891729371085341</v>
      </c>
      <c r="AY18" s="80">
        <f>_xlfn.QUARTILE.EXC($AE$16:$AE$65,1)</f>
        <v>0.89822108472222029</v>
      </c>
      <c r="AZ18" s="80">
        <f>MEDIAN($AE$16:$AE$65)</f>
        <v>0.89968707345154142</v>
      </c>
      <c r="BA18" s="80">
        <f>AVERAGE($AE$16:$AE$65)</f>
        <v>0.90002756230967895</v>
      </c>
      <c r="BB18" s="80">
        <f>_xlfn.QUARTILE.EXC($AE$16:$AE$65,3)</f>
        <v>0.90229868439950722</v>
      </c>
      <c r="BC18" s="80">
        <f>MAX($AE$16:$AE$65)</f>
        <v>0.90681353484368299</v>
      </c>
      <c r="BD18" s="80">
        <f t="shared" si="0"/>
        <v>4.5322421513112497E-3</v>
      </c>
      <c r="BE18" s="80"/>
      <c r="BF18" s="48"/>
      <c r="BH18" s="59"/>
      <c r="BI18" s="49"/>
      <c r="BJ18" s="1"/>
      <c r="BK18" s="1"/>
    </row>
    <row r="19" spans="1:66" x14ac:dyDescent="0.3">
      <c r="A19" t="s">
        <v>7</v>
      </c>
      <c r="B19" s="13">
        <v>4</v>
      </c>
      <c r="C19" s="7">
        <v>0</v>
      </c>
      <c r="D19" s="8">
        <v>0</v>
      </c>
      <c r="E19" s="8">
        <v>4</v>
      </c>
      <c r="F19" s="8">
        <v>39</v>
      </c>
      <c r="G19" s="28">
        <v>198</v>
      </c>
      <c r="H19" s="1">
        <f>SUM(C19:G19)</f>
        <v>241</v>
      </c>
      <c r="I19" s="10">
        <f>G19/H19</f>
        <v>0.82157676348547715</v>
      </c>
      <c r="J19" s="11">
        <f>1-I19</f>
        <v>0.17842323651452285</v>
      </c>
      <c r="K19">
        <f>H19-G20</f>
        <v>-65</v>
      </c>
      <c r="N19" s="10">
        <f>2*(G21*I19)/(G21+I19)</f>
        <v>0.72394881170018277</v>
      </c>
      <c r="O19" s="1">
        <v>268</v>
      </c>
      <c r="P19" s="1">
        <v>14597</v>
      </c>
      <c r="S19" s="66" t="s">
        <v>39</v>
      </c>
      <c r="T19" s="67">
        <f t="shared" si="1"/>
        <v>0</v>
      </c>
      <c r="U19" s="67">
        <f t="shared" si="1"/>
        <v>4.8806284645611955</v>
      </c>
      <c r="V19" s="67">
        <f t="shared" si="1"/>
        <v>0.74419443398500196</v>
      </c>
      <c r="W19" s="67">
        <f t="shared" si="1"/>
        <v>2.086549753547887</v>
      </c>
      <c r="X19" s="67">
        <f t="shared" si="1"/>
        <v>5.9542931787645763</v>
      </c>
      <c r="AC19" t="s">
        <v>73</v>
      </c>
      <c r="AD19" s="55">
        <f>I108</f>
        <v>0.92350877192982461</v>
      </c>
      <c r="AE19" s="73">
        <f>I119</f>
        <v>0.9047361834936587</v>
      </c>
      <c r="AF19" s="73">
        <f>J119</f>
        <v>6.4823102162969194E-3</v>
      </c>
      <c r="AH19">
        <v>108</v>
      </c>
      <c r="AI19">
        <v>119</v>
      </c>
      <c r="AW19" s="51" t="s">
        <v>215</v>
      </c>
      <c r="AX19" s="80">
        <f>MIN($AE$16:$AE$75)</f>
        <v>0.891729371085341</v>
      </c>
      <c r="AY19" s="80">
        <f>_xlfn.QUARTILE.EXC($AE$16:$AE$75,1)</f>
        <v>0.89829747931852855</v>
      </c>
      <c r="AZ19" s="80">
        <f>MEDIAN($AE$16:$AE$75)</f>
        <v>0.8997129053131856</v>
      </c>
      <c r="BA19" s="80">
        <f>AVERAGE($AE$16:$AE$75)</f>
        <v>0.90034847906650417</v>
      </c>
      <c r="BB19" s="80">
        <f>_xlfn.QUARTILE.EXC($AE$16:$AE$75,3)</f>
        <v>0.90254687077654716</v>
      </c>
      <c r="BC19" s="80">
        <f>MAX($AE$16:$AE$75)</f>
        <v>0.90687527468012197</v>
      </c>
      <c r="BD19" s="80">
        <f t="shared" si="0"/>
        <v>4.7230526903906328E-3</v>
      </c>
      <c r="BE19" s="80"/>
      <c r="BF19" s="48"/>
      <c r="BH19" s="59"/>
      <c r="BI19" s="49"/>
      <c r="BJ19" s="1"/>
      <c r="BK19" s="1"/>
    </row>
    <row r="20" spans="1:66" ht="15.6" x14ac:dyDescent="0.35">
      <c r="B20" s="1" t="s">
        <v>19</v>
      </c>
      <c r="C20" s="1">
        <f>SUM(C15:C19)</f>
        <v>56</v>
      </c>
      <c r="D20" s="1">
        <f>SUM(D15:D19)</f>
        <v>130</v>
      </c>
      <c r="E20" s="1">
        <f>SUM(E15:E19)</f>
        <v>1747</v>
      </c>
      <c r="F20" s="1">
        <f>SUM(F15:F19)</f>
        <v>611</v>
      </c>
      <c r="G20" s="1">
        <f>SUM(G15:G19)</f>
        <v>306</v>
      </c>
      <c r="H20" s="1">
        <f>SUM(H14:H19)</f>
        <v>2850</v>
      </c>
      <c r="I20" s="13" t="s">
        <v>12</v>
      </c>
      <c r="N20" s="16" t="s">
        <v>36</v>
      </c>
      <c r="O20" s="1">
        <f>SUM(O15:O19)</f>
        <v>1851</v>
      </c>
      <c r="P20" s="1">
        <f>SUM(P15:P19)</f>
        <v>43225</v>
      </c>
      <c r="S20" s="70" t="s">
        <v>31</v>
      </c>
      <c r="T20" s="64">
        <f>I26</f>
        <v>100</v>
      </c>
      <c r="U20" s="64">
        <f>I27</f>
        <v>90.217391304347828</v>
      </c>
      <c r="V20" s="64">
        <f>I28</f>
        <v>95.57522123893807</v>
      </c>
      <c r="W20" s="64">
        <f>I29</f>
        <v>84.073506891271052</v>
      </c>
      <c r="X20" s="64">
        <f>I30</f>
        <v>82.15767634854771</v>
      </c>
      <c r="AC20" t="s">
        <v>76</v>
      </c>
      <c r="AD20" s="55">
        <f>I137</f>
        <v>0.91964912280701749</v>
      </c>
      <c r="AE20" s="73">
        <f>I148</f>
        <v>0.89732576423422716</v>
      </c>
      <c r="AF20" s="73">
        <f>J148</f>
        <v>6.7256208584267141E-3</v>
      </c>
      <c r="AH20">
        <v>137</v>
      </c>
      <c r="AI20">
        <v>148</v>
      </c>
      <c r="AW20" s="51" t="s">
        <v>216</v>
      </c>
      <c r="AX20" s="80">
        <f>MIN($AE$16:$AE$85)</f>
        <v>0.891729371085341</v>
      </c>
      <c r="AY20" s="80">
        <f>_xlfn.QUARTILE.EXC($AE$16:$AE$85,1)</f>
        <v>0.89829938192659475</v>
      </c>
      <c r="AZ20" s="80">
        <f>MEDIAN($AE$16:$AE$85)</f>
        <v>0.900118257975</v>
      </c>
      <c r="BA20" s="80">
        <f>AVERAGE($AE$16:$AE$85)</f>
        <v>0.90042093057576411</v>
      </c>
      <c r="BB20" s="80">
        <f>_xlfn.QUARTILE.EXC($AE$16:$AE$85,3)</f>
        <v>0.90252591967964424</v>
      </c>
      <c r="BC20" s="80">
        <f>MAX($AE$16:$AE$85)</f>
        <v>0.90687527468012197</v>
      </c>
      <c r="BD20" s="80">
        <f t="shared" si="0"/>
        <v>4.6955360760684347E-3</v>
      </c>
      <c r="BE20" s="80"/>
      <c r="BF20" s="48"/>
      <c r="BH20" s="59"/>
      <c r="BI20" s="49"/>
      <c r="BJ20" s="1"/>
      <c r="BK20" s="1"/>
    </row>
    <row r="21" spans="1:66" x14ac:dyDescent="0.3">
      <c r="A21" s="1" t="s">
        <v>321</v>
      </c>
      <c r="B21" s="1" t="s">
        <v>2</v>
      </c>
      <c r="C21" s="10">
        <f>C15/C20</f>
        <v>1</v>
      </c>
      <c r="D21" s="10">
        <f>D16/D20</f>
        <v>0.63846153846153841</v>
      </c>
      <c r="E21" s="10">
        <f>E17/E20</f>
        <v>0.98912421293646247</v>
      </c>
      <c r="F21" s="10">
        <f>F18/F20</f>
        <v>0.89852700490998361</v>
      </c>
      <c r="G21" s="10">
        <f>G19/G20</f>
        <v>0.6470588235294118</v>
      </c>
      <c r="H21" s="10"/>
      <c r="I21" s="14">
        <f>(C15+D16+E17+F18+G19)/H20</f>
        <v>0.91719298245614034</v>
      </c>
      <c r="S21" s="66" t="s">
        <v>39</v>
      </c>
      <c r="T21" s="67">
        <f>J26</f>
        <v>0</v>
      </c>
      <c r="U21" s="67">
        <f>J27</f>
        <v>3.1142378403192921</v>
      </c>
      <c r="V21" s="67">
        <f>J28</f>
        <v>0.48377047582785077</v>
      </c>
      <c r="W21" s="67">
        <f>J29</f>
        <v>1.4330649123975316</v>
      </c>
      <c r="X21" s="67">
        <f>J30</f>
        <v>2.4714063572708076</v>
      </c>
      <c r="AC21" t="s">
        <v>98</v>
      </c>
      <c r="AD21" s="55">
        <f>I166</f>
        <v>0.91754385964912277</v>
      </c>
      <c r="AE21" s="55">
        <f>I177</f>
        <v>0.90021084900649995</v>
      </c>
      <c r="AF21" s="55">
        <f>J177</f>
        <v>6.5073810588735992E-3</v>
      </c>
      <c r="AH21">
        <v>166</v>
      </c>
      <c r="AI21">
        <v>177</v>
      </c>
      <c r="AW21" s="51" t="s">
        <v>217</v>
      </c>
      <c r="AX21" s="80">
        <f>MIN($AE$16:$AE$95)</f>
        <v>0.891729371085341</v>
      </c>
      <c r="AY21" s="80">
        <f>_xlfn.QUARTILE.EXC($AE$16:$AE$95,1)</f>
        <v>0.89816411440092048</v>
      </c>
      <c r="AZ21" s="80">
        <f>MEDIAN($AE$16:$AE$95)</f>
        <v>0.900118257975</v>
      </c>
      <c r="BA21" s="80">
        <f>AVERAGE($AE$16:$AE$95)</f>
        <v>0.90034368175119206</v>
      </c>
      <c r="BB21" s="80">
        <f>_xlfn.QUARTILE.EXC($AE$16:$AE$95,3)</f>
        <v>0.90255271823757843</v>
      </c>
      <c r="BC21" s="80">
        <f>MAX($AE$16:$AE$95)</f>
        <v>0.90687527468012197</v>
      </c>
      <c r="BD21" s="80">
        <f t="shared" si="0"/>
        <v>4.8755858441656514E-3</v>
      </c>
      <c r="BE21" s="80"/>
      <c r="BF21" s="48"/>
      <c r="BH21" s="59"/>
      <c r="BI21" s="49"/>
      <c r="BJ21" s="1"/>
      <c r="BK21" s="1"/>
      <c r="BM21" s="1"/>
      <c r="BN21" s="1"/>
    </row>
    <row r="22" spans="1:66" x14ac:dyDescent="0.3">
      <c r="B22" s="1" t="s">
        <v>14</v>
      </c>
      <c r="C22" s="11">
        <f>1-C21</f>
        <v>0</v>
      </c>
      <c r="D22" s="11">
        <f>1-D21</f>
        <v>0.36153846153846159</v>
      </c>
      <c r="E22" s="11">
        <f>1-E21</f>
        <v>1.0875787063537534E-2</v>
      </c>
      <c r="F22" s="11">
        <f>1-F21</f>
        <v>0.10147299509001639</v>
      </c>
      <c r="G22" s="11">
        <f>1-G21</f>
        <v>0.3529411764705882</v>
      </c>
      <c r="S22" s="68" t="s">
        <v>56</v>
      </c>
      <c r="T22" s="65">
        <f>N15*100</f>
        <v>100</v>
      </c>
      <c r="U22" s="65">
        <f>N16*100</f>
        <v>74.77477477477477</v>
      </c>
      <c r="V22" s="65">
        <f>N17*100</f>
        <v>97.215189873417728</v>
      </c>
      <c r="W22" s="65">
        <f>N18*100</f>
        <v>86.867088607594937</v>
      </c>
      <c r="X22" s="65">
        <f>N19*100</f>
        <v>72.39488117001828</v>
      </c>
      <c r="Y22" s="46"/>
      <c r="Z22" s="46"/>
      <c r="AA22" s="46"/>
      <c r="AC22" t="s">
        <v>99</v>
      </c>
      <c r="AD22" s="55">
        <f>I195</f>
        <v>0.92140350877192978</v>
      </c>
      <c r="AE22" s="55">
        <f>I206</f>
        <v>0.90331260539155622</v>
      </c>
      <c r="AF22" s="55">
        <f>J206</f>
        <v>6.4580773653236936E-3</v>
      </c>
      <c r="AH22">
        <v>195</v>
      </c>
      <c r="AI22">
        <v>206</v>
      </c>
      <c r="AW22" s="51" t="s">
        <v>218</v>
      </c>
      <c r="AX22" s="80">
        <f>MIN($AE$16:$AE$105)</f>
        <v>0.891729371085341</v>
      </c>
      <c r="AY22" s="80">
        <f>_xlfn.QUARTILE.EXC($AE$16:$AE$105,1)</f>
        <v>0.89809299929651554</v>
      </c>
      <c r="AZ22" s="80">
        <f>MEDIAN($AE$16:$AE$105)</f>
        <v>0.9002526602131965</v>
      </c>
      <c r="BA22" s="80">
        <f>AVERAGE($AE$16:$AE$105)</f>
        <v>0.90032119199033878</v>
      </c>
      <c r="BB22" s="80">
        <f>_xlfn.QUARTILE.EXC($AE$16:$AE$105,3)</f>
        <v>0.90254654745435148</v>
      </c>
      <c r="BC22" s="80">
        <f>MAX($AE$16:$AE$105)</f>
        <v>0.90687527468012197</v>
      </c>
      <c r="BD22" s="80">
        <f t="shared" si="0"/>
        <v>4.9469980536144794E-3</v>
      </c>
      <c r="BE22" s="80"/>
      <c r="BF22" s="48"/>
      <c r="BI22" s="1"/>
      <c r="BJ22" s="13"/>
      <c r="BK22" s="1"/>
      <c r="BM22" s="1"/>
      <c r="BN22" s="81"/>
    </row>
    <row r="23" spans="1:66" x14ac:dyDescent="0.3">
      <c r="C23" s="2"/>
      <c r="R23" s="16" t="s">
        <v>66</v>
      </c>
      <c r="S23" t="s">
        <v>9</v>
      </c>
      <c r="T23" s="30">
        <f>N26</f>
        <v>2978.79</v>
      </c>
      <c r="U23" s="30">
        <f>N27</f>
        <v>15952.01</v>
      </c>
      <c r="V23" s="30">
        <f>N28</f>
        <v>81659.179999999993</v>
      </c>
      <c r="W23" s="30">
        <f>N29</f>
        <v>59984.78</v>
      </c>
      <c r="X23" s="30">
        <f>N30</f>
        <v>32196.63</v>
      </c>
      <c r="Z23" t="s">
        <v>36</v>
      </c>
      <c r="AA23" s="1">
        <f>N31</f>
        <v>192771.39</v>
      </c>
      <c r="AC23" t="s">
        <v>100</v>
      </c>
      <c r="AD23" s="55">
        <f>I224</f>
        <v>0.92070175438596491</v>
      </c>
      <c r="AE23" s="55">
        <f>I235</f>
        <v>0.90210342519746745</v>
      </c>
      <c r="AF23" s="55">
        <f>J235</f>
        <v>6.4761484612467545E-3</v>
      </c>
      <c r="AH23">
        <v>224</v>
      </c>
      <c r="AI23">
        <v>235</v>
      </c>
      <c r="AW23" s="51" t="s">
        <v>219</v>
      </c>
      <c r="AX23" s="80">
        <f>MIN($AE$16:$AE$115)</f>
        <v>0.891729371085341</v>
      </c>
      <c r="AY23" s="80">
        <f>_xlfn.QUARTILE.EXC($AE$16:$AE$115,1)</f>
        <v>0.89816411440092048</v>
      </c>
      <c r="AZ23" s="80">
        <f>MEDIAN($AE$16:$AE$115)</f>
        <v>0.9003016572668876</v>
      </c>
      <c r="BA23" s="80">
        <f>AVERAGE($AE$16:$AE$115)</f>
        <v>0.90041760335860621</v>
      </c>
      <c r="BB23" s="80">
        <f>_xlfn.QUARTILE.EXC($AE$16:$AE$115,3)</f>
        <v>0.90269688653662428</v>
      </c>
      <c r="BC23" s="80">
        <f>MAX($AE$16:$AE$115)</f>
        <v>0.90687527468012197</v>
      </c>
      <c r="BD23" s="80">
        <f t="shared" si="0"/>
        <v>5.0347259711420187E-3</v>
      </c>
      <c r="BE23" s="80"/>
      <c r="BF23" s="48"/>
      <c r="BI23" s="1"/>
      <c r="BJ23" s="1"/>
      <c r="BK23" s="1"/>
      <c r="BM23" s="23"/>
      <c r="BN23" s="1"/>
    </row>
    <row r="24" spans="1:66" ht="15.6" x14ac:dyDescent="0.35">
      <c r="A24" t="s">
        <v>322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323</v>
      </c>
      <c r="S24" t="s">
        <v>68</v>
      </c>
      <c r="T24" s="57">
        <f>$AA23*T16/100</f>
        <v>2978.79</v>
      </c>
      <c r="U24" s="57">
        <f>$AA23*U16/100</f>
        <v>16981.212944953357</v>
      </c>
      <c r="V24" s="57">
        <f>$AA23*V16/100</f>
        <v>80692.010402381187</v>
      </c>
      <c r="W24" s="57">
        <f>$AA23*W16/100</f>
        <v>56680.357116324922</v>
      </c>
      <c r="X24" s="57">
        <f>$AA23*X16/100</f>
        <v>35439.019536340558</v>
      </c>
      <c r="Z24" t="s">
        <v>36</v>
      </c>
      <c r="AA24" s="25">
        <f>SUM(T24:X24)</f>
        <v>192771.39</v>
      </c>
      <c r="AC24" t="s">
        <v>101</v>
      </c>
      <c r="AD24" s="55">
        <f>I253</f>
        <v>0.91824561403508775</v>
      </c>
      <c r="AE24" s="55">
        <f>I264</f>
        <v>0.89841053384163017</v>
      </c>
      <c r="AF24" s="55">
        <f>J264</f>
        <v>6.6155456689917765E-3</v>
      </c>
      <c r="AH24">
        <v>253</v>
      </c>
      <c r="AI24">
        <v>264</v>
      </c>
      <c r="AW24" s="51" t="s">
        <v>326</v>
      </c>
      <c r="AX24" s="80">
        <f>MIN($AE$16:$AE$165)</f>
        <v>0.891729371085341</v>
      </c>
      <c r="AY24" s="80">
        <f>_xlfn.QUARTILE.EXC($AE$16:$AE$165,1)</f>
        <v>0.89827349035557602</v>
      </c>
      <c r="AZ24" s="80">
        <f>MEDIAN($AE$16:$AE$165)</f>
        <v>0.9003016572668876</v>
      </c>
      <c r="BA24" s="80">
        <f>AVERAGE($AE$16:$AE$165)</f>
        <v>0.90039807117796788</v>
      </c>
      <c r="BB24" s="80">
        <f>_xlfn.QUARTILE.EXC($AE$16:$AE$165,3)</f>
        <v>0.90254527948704422</v>
      </c>
      <c r="BC24" s="80">
        <f>MAX($AE$16:$AE$165)</f>
        <v>0.90964629605236902</v>
      </c>
      <c r="BD24" s="80">
        <f t="shared" si="0"/>
        <v>4.7448420171038921E-3</v>
      </c>
      <c r="BE24" s="80"/>
      <c r="BF24" s="48"/>
      <c r="BI24" s="1"/>
      <c r="BJ24" s="13"/>
      <c r="BK24" s="1"/>
      <c r="BM24" s="23"/>
      <c r="BN24" s="1"/>
    </row>
    <row r="25" spans="1:66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67</v>
      </c>
      <c r="T25" s="67">
        <f>$AA23*T17/100</f>
        <v>0</v>
      </c>
      <c r="U25" s="67">
        <f>$AA23*U17/100</f>
        <v>633.35195196301197</v>
      </c>
      <c r="V25" s="67">
        <f>$AA23*V17/100</f>
        <v>721.42587980912185</v>
      </c>
      <c r="W25" s="67">
        <f>$AA23*W17/100</f>
        <v>1169.4287223396657</v>
      </c>
      <c r="X25" s="67">
        <f>$AA23*X17/100</f>
        <v>1146.0255103901679</v>
      </c>
      <c r="AA25" s="1"/>
      <c r="AC25" t="s">
        <v>102</v>
      </c>
      <c r="AD25" s="55">
        <f>I282</f>
        <v>0.91789473684210521</v>
      </c>
      <c r="AE25" s="55">
        <f>I293</f>
        <v>0.89787309475495147</v>
      </c>
      <c r="AF25" s="55">
        <f>J293</f>
        <v>6.697102299442776E-3</v>
      </c>
      <c r="AH25">
        <v>282</v>
      </c>
      <c r="AI25">
        <v>293</v>
      </c>
      <c r="AW25" s="51" t="s">
        <v>327</v>
      </c>
      <c r="AX25" s="80">
        <f>MIN($AE$16:$AE$215)</f>
        <v>0.891729371085341</v>
      </c>
      <c r="AY25" s="80">
        <f>_xlfn.QUARTILE.EXC($AE$16:$AE$215,1)</f>
        <v>0.89786136639927361</v>
      </c>
      <c r="AZ25" s="126">
        <f>MEDIAN($AE$16:$AE$215)</f>
        <v>0.899981849772169</v>
      </c>
      <c r="BA25" s="126">
        <f>AVERAGE($AE$16:$AE$215)</f>
        <v>0.89999628459582792</v>
      </c>
      <c r="BB25" s="80">
        <f>_xlfn.QUARTILE.EXC($AE$16:$AE$215,3)</f>
        <v>0.90228033120389606</v>
      </c>
      <c r="BC25" s="80">
        <f>MAX($AE$16:$AE$215)</f>
        <v>0.90964629605236902</v>
      </c>
      <c r="BD25" s="80">
        <f t="shared" si="0"/>
        <v>4.9100599148095194E-3</v>
      </c>
      <c r="BE25" s="80"/>
      <c r="BF25" s="48"/>
      <c r="BJ25" s="12"/>
    </row>
    <row r="26" spans="1:66" x14ac:dyDescent="0.3">
      <c r="A26" t="s">
        <v>3</v>
      </c>
      <c r="B26" s="13">
        <v>0</v>
      </c>
      <c r="C26" s="29">
        <f>(C15/$L26)*$O26</f>
        <v>1.545244862321115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0</v>
      </c>
      <c r="G26" s="32">
        <f t="shared" si="2"/>
        <v>0</v>
      </c>
      <c r="H26" s="17">
        <f>SUM(C26:G26)</f>
        <v>1.545244862321115</v>
      </c>
      <c r="I26" s="17">
        <f>C26/H26*100</f>
        <v>100</v>
      </c>
      <c r="J26" s="17">
        <f>SQRT(I26*(100-I26)/(L26-1))</f>
        <v>0</v>
      </c>
      <c r="K26" s="18">
        <f>100-I26</f>
        <v>0</v>
      </c>
      <c r="L26" s="1">
        <f>H15</f>
        <v>56</v>
      </c>
      <c r="M26">
        <v>0</v>
      </c>
      <c r="N26">
        <v>2978.79</v>
      </c>
      <c r="O26" s="17">
        <f>N26/N31*100</f>
        <v>1.545244862321115</v>
      </c>
      <c r="P26" s="52">
        <f>((O26*O26*(I26/100)*(K26/100))/(L26-1))</f>
        <v>0</v>
      </c>
      <c r="R26" t="s">
        <v>71</v>
      </c>
      <c r="S26" s="70" t="s">
        <v>28</v>
      </c>
      <c r="T26" s="64">
        <f t="shared" ref="T26:X29" si="3">C60</f>
        <v>1.569537886301489</v>
      </c>
      <c r="U26" s="64">
        <f t="shared" si="3"/>
        <v>9.5434800431158209</v>
      </c>
      <c r="V26" s="64">
        <f t="shared" si="3"/>
        <v>41.642622806211051</v>
      </c>
      <c r="W26" s="64">
        <f t="shared" si="3"/>
        <v>28.637735035083491</v>
      </c>
      <c r="X26" s="64">
        <f t="shared" si="3"/>
        <v>18.606624229288162</v>
      </c>
      <c r="Y26" s="13"/>
      <c r="Z26" s="74"/>
      <c r="AA26" s="12"/>
      <c r="AC26" t="s">
        <v>103</v>
      </c>
      <c r="AD26" s="55">
        <f>I311</f>
        <v>0.91929824561403506</v>
      </c>
      <c r="AE26" s="55">
        <f>I322</f>
        <v>0.90061889681430751</v>
      </c>
      <c r="AF26" s="55">
        <f>J322</f>
        <v>6.5579155206154545E-3</v>
      </c>
      <c r="AH26">
        <v>311</v>
      </c>
      <c r="AI26">
        <v>322</v>
      </c>
      <c r="BF26" s="48"/>
      <c r="BJ26" s="13"/>
      <c r="BK26" s="13"/>
    </row>
    <row r="27" spans="1:66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7.4655721902553562</v>
      </c>
      <c r="E27" s="19">
        <f t="shared" si="2"/>
        <v>0.80951987605178566</v>
      </c>
      <c r="F27" s="18">
        <f t="shared" si="2"/>
        <v>0</v>
      </c>
      <c r="G27" s="20">
        <f t="shared" si="2"/>
        <v>0</v>
      </c>
      <c r="H27" s="17">
        <f>SUM(C27:G27)</f>
        <v>8.2750920663071419</v>
      </c>
      <c r="I27" s="17">
        <f>D27/H27*100</f>
        <v>90.217391304347828</v>
      </c>
      <c r="J27" s="17">
        <f>SQRT(I27*(100-I27)/(L27-1))</f>
        <v>3.1142378403192921</v>
      </c>
      <c r="K27" s="18">
        <f>100-I27</f>
        <v>9.7826086956521721</v>
      </c>
      <c r="L27" s="1">
        <f>H16</f>
        <v>92</v>
      </c>
      <c r="M27">
        <v>1</v>
      </c>
      <c r="N27">
        <v>15952.01</v>
      </c>
      <c r="O27" s="17">
        <f>N27/N31*100</f>
        <v>8.2750920663071419</v>
      </c>
      <c r="P27" s="52">
        <f>((O27*O27*(I27/100)*(K27/100))/(L27-1))</f>
        <v>6.641240740781508E-2</v>
      </c>
      <c r="S27" s="66" t="s">
        <v>39</v>
      </c>
      <c r="T27" s="67">
        <f t="shared" si="3"/>
        <v>0</v>
      </c>
      <c r="U27" s="67">
        <f t="shared" si="3"/>
        <v>0.27655783792906491</v>
      </c>
      <c r="V27" s="67">
        <f t="shared" si="3"/>
        <v>0.33893382635324104</v>
      </c>
      <c r="W27" s="67">
        <f t="shared" si="3"/>
        <v>0.58089301225665746</v>
      </c>
      <c r="X27" s="67">
        <f t="shared" si="3"/>
        <v>0.57679007721666509</v>
      </c>
      <c r="AC27" t="s">
        <v>104</v>
      </c>
      <c r="AD27" s="55">
        <f>I340</f>
        <v>0.92280701754385963</v>
      </c>
      <c r="AE27" s="55">
        <f>I351</f>
        <v>0.90418138904781897</v>
      </c>
      <c r="AF27" s="55">
        <f>J351</f>
        <v>6.4803957544030651E-3</v>
      </c>
      <c r="AH27">
        <v>340</v>
      </c>
      <c r="AI27">
        <v>351</v>
      </c>
      <c r="BF27" s="48"/>
    </row>
    <row r="28" spans="1:66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0.86689347395249983</v>
      </c>
      <c r="E28" s="34">
        <f t="shared" si="2"/>
        <v>40.486268188916753</v>
      </c>
      <c r="F28" s="19">
        <f t="shared" si="2"/>
        <v>0.53887972705155396</v>
      </c>
      <c r="G28" s="20">
        <f t="shared" si="2"/>
        <v>0.46859106700135128</v>
      </c>
      <c r="H28" s="17">
        <f>SUM(C28:G28)</f>
        <v>42.360632456922154</v>
      </c>
      <c r="I28" s="17">
        <f>E28/H28*100</f>
        <v>95.57522123893807</v>
      </c>
      <c r="J28" s="17">
        <f>SQRT(I28*(100-I28)/(L28-1))</f>
        <v>0.48377047582785077</v>
      </c>
      <c r="K28" s="18">
        <f>100-I28</f>
        <v>4.4247787610619298</v>
      </c>
      <c r="L28" s="1">
        <f>H17</f>
        <v>1808</v>
      </c>
      <c r="M28">
        <v>2</v>
      </c>
      <c r="N28">
        <v>81659.179999999993</v>
      </c>
      <c r="O28" s="17">
        <f>N28/N31*100</f>
        <v>42.360632456922154</v>
      </c>
      <c r="P28" s="52">
        <f>((O28*O28*(I28/100)*(K28/100))/(L28-1))</f>
        <v>4.1995580762694613E-2</v>
      </c>
      <c r="S28" t="s">
        <v>30</v>
      </c>
      <c r="T28" s="57">
        <f t="shared" si="3"/>
        <v>100</v>
      </c>
      <c r="U28" s="57">
        <f t="shared" si="3"/>
        <v>84.737012399618976</v>
      </c>
      <c r="V28" s="57">
        <f t="shared" si="3"/>
        <v>97.658892887223956</v>
      </c>
      <c r="W28" s="57">
        <f t="shared" si="3"/>
        <v>89.850323702096986</v>
      </c>
      <c r="X28" s="57">
        <f t="shared" si="3"/>
        <v>76.21044754417052</v>
      </c>
      <c r="AC28" t="s">
        <v>105</v>
      </c>
      <c r="AD28" s="55">
        <f>I369</f>
        <v>0.91929824561403506</v>
      </c>
      <c r="AE28" s="55">
        <f>I380</f>
        <v>0.89787772440327263</v>
      </c>
      <c r="AF28" s="55">
        <f>J380</f>
        <v>6.6746883542489989E-3</v>
      </c>
      <c r="AH28">
        <v>369</v>
      </c>
      <c r="AI28">
        <v>380</v>
      </c>
      <c r="BF28" s="48"/>
    </row>
    <row r="29" spans="1:66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0.47652458323153463</v>
      </c>
      <c r="E29" s="19">
        <f t="shared" si="2"/>
        <v>0.2859147499389208</v>
      </c>
      <c r="F29" s="34">
        <f t="shared" si="2"/>
        <v>26.161199619411253</v>
      </c>
      <c r="G29" s="20">
        <f t="shared" si="2"/>
        <v>4.1934163324375051</v>
      </c>
      <c r="H29" s="17">
        <f>SUM(C29:G29)</f>
        <v>31.117055285019212</v>
      </c>
      <c r="I29" s="17">
        <f>F29/H29*100</f>
        <v>84.073506891271052</v>
      </c>
      <c r="J29" s="17">
        <f>SQRT(I29*(100-I29)/(L29-1))</f>
        <v>1.4330649123975316</v>
      </c>
      <c r="K29" s="18">
        <f>100-I29</f>
        <v>15.926493108728948</v>
      </c>
      <c r="L29" s="1">
        <f>H18</f>
        <v>653</v>
      </c>
      <c r="M29">
        <v>3</v>
      </c>
      <c r="N29">
        <v>59984.78</v>
      </c>
      <c r="O29" s="17">
        <f>N29/N31*100</f>
        <v>31.117055285019212</v>
      </c>
      <c r="P29" s="52">
        <f>((O29*O29*(I29/100)*(K29/100))/(L29-1))</f>
        <v>0.19885142538797562</v>
      </c>
      <c r="S29" s="66" t="s">
        <v>39</v>
      </c>
      <c r="T29" s="67">
        <f t="shared" si="3"/>
        <v>0</v>
      </c>
      <c r="U29" s="67">
        <f t="shared" si="3"/>
        <v>3.4411297898073889</v>
      </c>
      <c r="V29" s="67">
        <f t="shared" si="3"/>
        <v>0.63290150714997362</v>
      </c>
      <c r="W29" s="67">
        <f t="shared" si="3"/>
        <v>1.9568420752105393</v>
      </c>
      <c r="X29" s="67">
        <f t="shared" si="3"/>
        <v>5.4153126217289058</v>
      </c>
      <c r="AC29" t="s">
        <v>106</v>
      </c>
      <c r="AD29" s="55">
        <f>I398</f>
        <v>0.91929824561403506</v>
      </c>
      <c r="AE29" s="55">
        <f>I409</f>
        <v>0.89972860329175519</v>
      </c>
      <c r="AF29" s="55">
        <f>J409</f>
        <v>6.6767078991654336E-3</v>
      </c>
      <c r="AH29">
        <v>398</v>
      </c>
      <c r="AI29">
        <v>409</v>
      </c>
      <c r="BF29" s="48"/>
    </row>
    <row r="30" spans="1:66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0</v>
      </c>
      <c r="E30" s="21">
        <f t="shared" si="2"/>
        <v>0.27721120878722605</v>
      </c>
      <c r="F30" s="21">
        <f t="shared" si="2"/>
        <v>2.7028092856754538</v>
      </c>
      <c r="G30" s="37">
        <f t="shared" si="2"/>
        <v>13.721954834967688</v>
      </c>
      <c r="H30" s="17">
        <f>SUM(C30:G30)</f>
        <v>16.701975329430368</v>
      </c>
      <c r="I30" s="17">
        <f>G30/H30*100</f>
        <v>82.15767634854771</v>
      </c>
      <c r="J30" s="17">
        <f>SQRT(I30*(100-I30)/(L30-1))</f>
        <v>2.4714063572708076</v>
      </c>
      <c r="K30" s="18">
        <f>100-I30</f>
        <v>17.84232365145229</v>
      </c>
      <c r="L30" s="1">
        <f>H19</f>
        <v>241</v>
      </c>
      <c r="M30">
        <v>4</v>
      </c>
      <c r="N30">
        <v>32196.63</v>
      </c>
      <c r="O30" s="17">
        <f>N30/N31*100</f>
        <v>16.701975329430368</v>
      </c>
      <c r="P30" s="52">
        <f>((O30*O30*(I30/100)*(K30/100))/(L30-1))</f>
        <v>0.17038211096789579</v>
      </c>
      <c r="S30" t="s">
        <v>31</v>
      </c>
      <c r="T30" s="57">
        <f>I55</f>
        <v>100</v>
      </c>
      <c r="U30" s="57">
        <f>I56</f>
        <v>95.652173913043484</v>
      </c>
      <c r="V30" s="57">
        <f>I57</f>
        <v>95.298672566371678</v>
      </c>
      <c r="W30" s="57">
        <f>I58</f>
        <v>84.686064318529858</v>
      </c>
      <c r="X30" s="57">
        <f>I59</f>
        <v>83.817427385892117</v>
      </c>
      <c r="AC30" t="s">
        <v>107</v>
      </c>
      <c r="AD30" s="55">
        <f>I427</f>
        <v>0.92</v>
      </c>
      <c r="AE30" s="55">
        <f>I438</f>
        <v>0.90213950316036418</v>
      </c>
      <c r="AF30" s="55">
        <f>J438</f>
        <v>6.5118179140634495E-3</v>
      </c>
      <c r="AH30">
        <v>427</v>
      </c>
      <c r="AI30">
        <v>438</v>
      </c>
      <c r="BF30" s="48"/>
    </row>
    <row r="31" spans="1:66" x14ac:dyDescent="0.3">
      <c r="B31" t="s">
        <v>28</v>
      </c>
      <c r="C31" s="17">
        <f>SUM(C26:C30)</f>
        <v>1.545244862321115</v>
      </c>
      <c r="D31" s="17">
        <f>SUM(D26:D30)</f>
        <v>8.8089902474393913</v>
      </c>
      <c r="E31" s="17">
        <f>SUM(E26:E30)</f>
        <v>41.858914023694688</v>
      </c>
      <c r="F31" s="17">
        <f>SUM(F26:F30)</f>
        <v>29.402888632138261</v>
      </c>
      <c r="G31" s="17">
        <f>SUM(G26:G30)</f>
        <v>18.383962234406546</v>
      </c>
      <c r="H31" s="1">
        <f>SUM(H25:H30)</f>
        <v>99.999999999999986</v>
      </c>
      <c r="I31" s="13" t="s">
        <v>24</v>
      </c>
      <c r="J31" s="12" t="s">
        <v>29</v>
      </c>
      <c r="N31" s="18">
        <f>SUM(N26:N30)</f>
        <v>192771.39</v>
      </c>
      <c r="O31" s="17">
        <f>SUM(O26:O30)</f>
        <v>99.999999999999986</v>
      </c>
      <c r="S31" s="66" t="s">
        <v>39</v>
      </c>
      <c r="T31" s="67">
        <f>J55</f>
        <v>0</v>
      </c>
      <c r="U31" s="67">
        <f>J56</f>
        <v>2.1377790082367012</v>
      </c>
      <c r="V31" s="67">
        <f>J57</f>
        <v>0.49793723016302682</v>
      </c>
      <c r="W31" s="67">
        <f>J58</f>
        <v>1.4103457251881386</v>
      </c>
      <c r="X31" s="67">
        <f>J59</f>
        <v>2.3773073046690816</v>
      </c>
      <c r="AC31" t="s">
        <v>108</v>
      </c>
      <c r="AD31" s="55">
        <f>I456</f>
        <v>0.91964912280701749</v>
      </c>
      <c r="AE31" s="55">
        <f>I467</f>
        <v>0.9003586716168388</v>
      </c>
      <c r="AF31" s="55">
        <f>J467</f>
        <v>6.5412013113300806E-3</v>
      </c>
      <c r="AH31">
        <v>456</v>
      </c>
      <c r="AI31">
        <v>467</v>
      </c>
      <c r="BF31" s="48"/>
    </row>
    <row r="32" spans="1:66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0</v>
      </c>
      <c r="D32" s="18">
        <f>SQRT(SUM((O26*O26*(D26/O26)*(1-D26/O26))/L26,(O27*O27*(D27/O27)*(1-D27/O27))/L27,(O28*O28*(D28/O28)*(1-D28/O28))/L28,(O29*O29*(D29/O29)*(1-D29/O29))/L29,(O30*O30*(D30/O30)*(1-D30/O30))/L30))</f>
        <v>0.32855080412244364</v>
      </c>
      <c r="E32" s="18">
        <f>SQRT(SUM((O26*O26*(E26/O26)*(1-E26/O26))/L26,(O27*O27*(E27/O27)*(1-E27/O27))/L27,(O28*O28*(E28/O28)*(1-E28/O28))/L28,(O29*O29*(E29/O29)*(1-E29/O29))/L29,(O30*O30*(E30/O30)*(1-E30/O30))/L30))</f>
        <v>0.37423908174813791</v>
      </c>
      <c r="F32" s="18">
        <f>SQRT(SUM((O26*O26*(F26/O26)*(1-F26/O26))/L26,(O27*O27*(F27/O27)*(1-F27/O27))/L27,(O28*O28*(F28/O28)*(1-F28/O28))/L28,(O29*O29*(F29/O29)*(1-F29/O29))/L29,(O30*O30*(F30/O30)*(1-F30/O30))/L30))</f>
        <v>0.60664018780985374</v>
      </c>
      <c r="G32" s="18">
        <f>SQRT(SUM((O26*O26*(G26/O26)*(1-G26/O26))/L26,(O27*O27*(G27/O27)*(1-G27/O27))/L27,(O28*O28*(G28/O28)*(1-G28/O28))/L28,(O29*O29*(G29/O29)*(1-G29/O29))/L29,(O30*O30*(G30/O30)*(1-G30/O30))/L30))</f>
        <v>0.59449979086116866</v>
      </c>
      <c r="H32" s="1"/>
      <c r="I32" s="14">
        <f>(C26+D27+E28+F29+G30)/H31</f>
        <v>0.89380239695872177</v>
      </c>
      <c r="J32" s="53">
        <f>SQRT(SUM(P26:P30))/100</f>
        <v>6.9111614402094616E-3</v>
      </c>
      <c r="M32" s="1"/>
      <c r="N32" s="9"/>
      <c r="S32" s="66" t="s">
        <v>56</v>
      </c>
      <c r="T32" s="67">
        <f>N44*100</f>
        <v>100</v>
      </c>
      <c r="U32" s="67">
        <f>N45*100</f>
        <v>75.862068965517238</v>
      </c>
      <c r="V32" s="67">
        <f>N46*100</f>
        <v>97.207334273624809</v>
      </c>
      <c r="W32" s="67">
        <f>N47*100</f>
        <v>87.5</v>
      </c>
      <c r="X32" s="67">
        <f>N48*100</f>
        <v>73.857404021937839</v>
      </c>
      <c r="AC32" t="s">
        <v>109</v>
      </c>
      <c r="AD32" s="55">
        <f>I485</f>
        <v>0.91578947368421049</v>
      </c>
      <c r="AE32" s="55">
        <f>I496</f>
        <v>0.89556889274045148</v>
      </c>
      <c r="AF32" s="55">
        <f>J496</f>
        <v>6.7294918974752649E-3</v>
      </c>
      <c r="AH32">
        <v>485</v>
      </c>
      <c r="AI32">
        <v>496</v>
      </c>
      <c r="BF32" s="48"/>
    </row>
    <row r="33" spans="1:68" x14ac:dyDescent="0.3">
      <c r="B33" s="1" t="s">
        <v>30</v>
      </c>
      <c r="C33" s="17">
        <f>C26/C31*100</f>
        <v>100</v>
      </c>
      <c r="D33" s="17">
        <f>D27/D31*100</f>
        <v>84.749465949578706</v>
      </c>
      <c r="E33" s="17">
        <f>E28/E31*100</f>
        <v>96.720780109104282</v>
      </c>
      <c r="F33" s="17">
        <f>F29/F31*100</f>
        <v>88.974930139402218</v>
      </c>
      <c r="G33" s="17">
        <f>G30/G31*100</f>
        <v>74.640899823468587</v>
      </c>
      <c r="H33" s="1"/>
      <c r="R33" s="16" t="s">
        <v>66</v>
      </c>
      <c r="S33" t="s">
        <v>9</v>
      </c>
      <c r="T33" s="30">
        <f>N55</f>
        <v>3025.62</v>
      </c>
      <c r="U33" s="30">
        <f>N56</f>
        <v>16297.75</v>
      </c>
      <c r="V33" s="30">
        <f>N57</f>
        <v>82263.199999999997</v>
      </c>
      <c r="W33" s="30">
        <f>N58</f>
        <v>58571.85</v>
      </c>
      <c r="X33" s="30">
        <f>N59</f>
        <v>32612.97</v>
      </c>
      <c r="Z33" t="s">
        <v>36</v>
      </c>
      <c r="AA33" s="1">
        <f>N60</f>
        <v>192771.38999999998</v>
      </c>
      <c r="AC33" t="s">
        <v>110</v>
      </c>
      <c r="AD33" s="55">
        <f>I514</f>
        <v>0.92</v>
      </c>
      <c r="AE33" s="55">
        <f>I525</f>
        <v>0.89899358907577653</v>
      </c>
      <c r="AF33" s="55">
        <f>J525</f>
        <v>6.7015673935973182E-3</v>
      </c>
      <c r="AH33">
        <v>514</v>
      </c>
      <c r="AI33">
        <v>525</v>
      </c>
    </row>
    <row r="34" spans="1:68" ht="18" x14ac:dyDescent="0.35">
      <c r="B34" s="16" t="s">
        <v>39</v>
      </c>
      <c r="C34" s="18">
        <f>SQRT((C37+C38)/(C31*C31))</f>
        <v>0</v>
      </c>
      <c r="D34" s="18">
        <f>SQRT((D37+D38)/(D31*D31))</f>
        <v>4.8806284645611955</v>
      </c>
      <c r="E34" s="18">
        <f>SQRT((E37+E38)/(E31*E31))</f>
        <v>0.74419443398500196</v>
      </c>
      <c r="F34" s="18">
        <f>SQRT((F37+F38)/(F31*F31))</f>
        <v>2.086549753547887</v>
      </c>
      <c r="G34" s="18">
        <f>SQRT((G37+G38)/(G31*G31))</f>
        <v>5.9542931787645763</v>
      </c>
      <c r="H34" s="1"/>
      <c r="I34" s="14"/>
      <c r="R34" s="16" t="s">
        <v>323</v>
      </c>
      <c r="S34" t="s">
        <v>68</v>
      </c>
      <c r="T34" s="57">
        <f>$AA33*T26/100</f>
        <v>3025.62</v>
      </c>
      <c r="U34" s="57">
        <f>$AA33*U26/100</f>
        <v>18397.099133486965</v>
      </c>
      <c r="V34" s="57">
        <f>$AA33*V26/100</f>
        <v>80275.062815990052</v>
      </c>
      <c r="W34" s="57">
        <f>$AA33*W26/100</f>
        <v>55205.359891647429</v>
      </c>
      <c r="X34" s="57">
        <f>$AA33*X26/100</f>
        <v>35868.248158875576</v>
      </c>
      <c r="Z34" t="s">
        <v>36</v>
      </c>
      <c r="AA34" s="25">
        <f>SUM(T34:X34)</f>
        <v>192771.39</v>
      </c>
      <c r="AB34" s="25"/>
      <c r="AC34" t="s">
        <v>111</v>
      </c>
      <c r="AD34" s="55">
        <f>I543</f>
        <v>0.91754385964912277</v>
      </c>
      <c r="AE34" s="55">
        <f>I554</f>
        <v>0.89829652801449533</v>
      </c>
      <c r="AF34" s="55">
        <f>J554</f>
        <v>6.6137657641406776E-3</v>
      </c>
      <c r="AH34">
        <v>543</v>
      </c>
      <c r="AI34">
        <v>554</v>
      </c>
      <c r="BF34" s="83" t="s">
        <v>361</v>
      </c>
    </row>
    <row r="35" spans="1:68" x14ac:dyDescent="0.3">
      <c r="B35" s="1" t="s">
        <v>37</v>
      </c>
      <c r="C35" s="18">
        <f>100-C33</f>
        <v>0</v>
      </c>
      <c r="D35" s="18">
        <f>100-D33</f>
        <v>15.250534050421294</v>
      </c>
      <c r="E35" s="18">
        <f>100-E33</f>
        <v>3.2792198908957175</v>
      </c>
      <c r="F35" s="18">
        <f>100-F33</f>
        <v>11.025069860597782</v>
      </c>
      <c r="G35" s="18">
        <f>100-G33</f>
        <v>25.359100176531413</v>
      </c>
      <c r="R35" s="66"/>
      <c r="S35" s="66" t="s">
        <v>67</v>
      </c>
      <c r="T35" s="67">
        <f>$AA33*T27/100</f>
        <v>0</v>
      </c>
      <c r="U35" s="67">
        <f>$AA33*U27/100</f>
        <v>533.12438832980558</v>
      </c>
      <c r="V35" s="67">
        <f>$AA33*V27/100</f>
        <v>653.36744824132904</v>
      </c>
      <c r="W35" s="67">
        <f>$AA33*W27/100</f>
        <v>1119.7955341400288</v>
      </c>
      <c r="X35" s="67">
        <f>$AA33*X27/100</f>
        <v>1111.8862492326384</v>
      </c>
      <c r="AA35" s="1"/>
      <c r="AB35" s="25"/>
      <c r="AC35" s="58" t="s">
        <v>112</v>
      </c>
      <c r="AD35" s="121">
        <f>I572</f>
        <v>0.92175438596491233</v>
      </c>
      <c r="AE35" s="121">
        <f>I583</f>
        <v>0.90418090027097719</v>
      </c>
      <c r="AF35" s="121">
        <f>J583</f>
        <v>6.4466219958865759E-3</v>
      </c>
      <c r="AH35">
        <v>572</v>
      </c>
      <c r="AI35">
        <v>583</v>
      </c>
    </row>
    <row r="36" spans="1:68" ht="15.6" x14ac:dyDescent="0.35">
      <c r="B36" s="1" t="s">
        <v>25</v>
      </c>
      <c r="C36" s="1">
        <f>C20</f>
        <v>56</v>
      </c>
      <c r="D36" s="1">
        <f>D20</f>
        <v>130</v>
      </c>
      <c r="E36" s="1">
        <f>E20</f>
        <v>1747</v>
      </c>
      <c r="F36" s="1">
        <f>F20</f>
        <v>611</v>
      </c>
      <c r="G36" s="1">
        <f>G20</f>
        <v>306</v>
      </c>
      <c r="R36" t="s">
        <v>72</v>
      </c>
      <c r="S36" t="s">
        <v>28</v>
      </c>
      <c r="T36" s="57">
        <f t="shared" ref="T36:X39" si="4">C89</f>
        <v>1.5743933786024991</v>
      </c>
      <c r="U36" s="57">
        <f t="shared" si="4"/>
        <v>9.9619246973659266</v>
      </c>
      <c r="V36" s="57">
        <f t="shared" si="4"/>
        <v>41.432150146834395</v>
      </c>
      <c r="W36" s="57">
        <f t="shared" si="4"/>
        <v>29.164783208981905</v>
      </c>
      <c r="X36" s="57">
        <f t="shared" si="4"/>
        <v>17.866748568215279</v>
      </c>
      <c r="Y36" s="13"/>
      <c r="Z36" s="74"/>
      <c r="AA36" s="12"/>
      <c r="AC36" t="s">
        <v>113</v>
      </c>
      <c r="AD36" s="51">
        <v>0.91894736842105196</v>
      </c>
      <c r="AE36" s="51">
        <v>0.89967693956846695</v>
      </c>
      <c r="AH36">
        <v>601</v>
      </c>
      <c r="AI36">
        <v>612</v>
      </c>
      <c r="BF36" s="82" t="s">
        <v>335</v>
      </c>
      <c r="BG36" s="1">
        <v>0.05</v>
      </c>
      <c r="BH36" s="59" t="s">
        <v>336</v>
      </c>
      <c r="BI36" s="1">
        <v>20</v>
      </c>
      <c r="BJ36" s="59" t="s">
        <v>347</v>
      </c>
      <c r="BK36" s="1">
        <f>_xlfn.VAR.S(BF39:BF58)*(BI36-1)</f>
        <v>1.6477542609945615E-4</v>
      </c>
    </row>
    <row r="37" spans="1:68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1544.6117277733206</v>
      </c>
      <c r="E37" s="18">
        <f>(O28*O28*(100-E33)*(100-E33)*(I28)*(100-I28))/((L28-1)*100)</f>
        <v>45.159036858973792</v>
      </c>
      <c r="F37" s="18">
        <f>(O29*O29*(100-F33)*(100-F33)*(I29)*(100-I29))/((L29-1)*100)</f>
        <v>2417.0821354961613</v>
      </c>
      <c r="G37" s="18">
        <f>(O30*O30*(100-G33)*(100-G33)*(I30)*(100-I30))/((L30-1)*100)</f>
        <v>10957.00029348381</v>
      </c>
      <c r="S37" s="66" t="s">
        <v>39</v>
      </c>
      <c r="T37" s="67">
        <f t="shared" si="4"/>
        <v>0</v>
      </c>
      <c r="U37" s="67">
        <f t="shared" si="4"/>
        <v>0.28744269162648228</v>
      </c>
      <c r="V37" s="67">
        <f t="shared" si="4"/>
        <v>0.35020873396504504</v>
      </c>
      <c r="W37" s="67">
        <f t="shared" si="4"/>
        <v>0.59028437712729342</v>
      </c>
      <c r="X37" s="67">
        <f t="shared" si="4"/>
        <v>0.57697307134357301</v>
      </c>
      <c r="AC37" t="s">
        <v>114</v>
      </c>
      <c r="AD37" s="51">
        <v>0.91789473684210499</v>
      </c>
      <c r="AE37" s="51">
        <v>0.899660886016735</v>
      </c>
      <c r="AH37">
        <v>630</v>
      </c>
      <c r="AI37">
        <v>641</v>
      </c>
    </row>
    <row r="38" spans="1:68" ht="15.6" x14ac:dyDescent="0.35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303.82145060369015</v>
      </c>
      <c r="E38" s="18">
        <f>E33*E33*(SUM((H26*E26*(1-E15/H15))/(H15-1),(H27*E27*(1-E16/H16))/(H16-1), (H29*E29*(1-E18/H18))/(H18-1),(H30*E30*(1-E19/H19))/(H19-1)))</f>
        <v>925.23640716419459</v>
      </c>
      <c r="F38" s="18">
        <f>F33*F33*(SUM((H26*F26*(1-F15/H15))/(H15-1),(H27*F27*(1-F16/H16))/(H16-1), (H28*F28*(1-F17/H17))/(H17-1),(H30*F30*(1-F19/H19))/(H19-1)))</f>
        <v>1346.8127614083173</v>
      </c>
      <c r="G38" s="18">
        <f>G33*G33*(SUM((H26*G26*(1-G15/H15))/(H15-1),(H27*G27*(1-G16/H16))/(H16-1), (H28*G28*(1-G17/H17))/(H17-1),(H29*G29*(1-G18/H18))/(H18-1)))</f>
        <v>1025.2577425855807</v>
      </c>
      <c r="S38" t="s">
        <v>30</v>
      </c>
      <c r="T38" s="57">
        <f t="shared" si="4"/>
        <v>100</v>
      </c>
      <c r="U38" s="57">
        <f t="shared" si="4"/>
        <v>83.507955802117635</v>
      </c>
      <c r="V38" s="57">
        <f t="shared" si="4"/>
        <v>97.348124576228969</v>
      </c>
      <c r="W38" s="57">
        <f t="shared" si="4"/>
        <v>89.134299948362795</v>
      </c>
      <c r="X38" s="57">
        <f t="shared" si="4"/>
        <v>76.660681049060074</v>
      </c>
      <c r="Z38" s="50"/>
      <c r="AA38" s="54"/>
      <c r="AC38" t="s">
        <v>115</v>
      </c>
      <c r="AD38" s="51">
        <v>0.91684210526315701</v>
      </c>
      <c r="AE38" s="51">
        <v>0.89902693531794997</v>
      </c>
      <c r="AH38">
        <v>659</v>
      </c>
      <c r="AI38">
        <v>670</v>
      </c>
      <c r="BF38" s="12" t="s">
        <v>334</v>
      </c>
      <c r="BG38" s="13" t="s">
        <v>362</v>
      </c>
      <c r="BH38" s="13" t="s">
        <v>367</v>
      </c>
      <c r="BI38" s="13" t="s">
        <v>368</v>
      </c>
      <c r="BJ38" s="13" t="s">
        <v>369</v>
      </c>
      <c r="BK38" s="13" t="s">
        <v>363</v>
      </c>
      <c r="BL38">
        <f>1/(SQRT(BI36))</f>
        <v>0.22360679774997896</v>
      </c>
      <c r="BP38" s="1"/>
    </row>
    <row r="39" spans="1:68" x14ac:dyDescent="0.3">
      <c r="A39" s="105" t="s">
        <v>390</v>
      </c>
      <c r="B39" s="69" t="s">
        <v>9</v>
      </c>
      <c r="C39" s="1">
        <v>275.5</v>
      </c>
      <c r="D39" s="1">
        <v>930.91</v>
      </c>
      <c r="E39" s="1">
        <v>13507.37</v>
      </c>
      <c r="F39" s="1">
        <v>4005.51</v>
      </c>
      <c r="G39">
        <v>3336.08</v>
      </c>
      <c r="I39" t="s">
        <v>36</v>
      </c>
      <c r="J39" s="57">
        <f>SUM(C39:G39)</f>
        <v>22055.370000000003</v>
      </c>
      <c r="S39" s="66" t="s">
        <v>39</v>
      </c>
      <c r="T39" s="67">
        <f t="shared" si="4"/>
        <v>0</v>
      </c>
      <c r="U39" s="67">
        <f t="shared" si="4"/>
        <v>3.5889763263670478</v>
      </c>
      <c r="V39" s="67">
        <f t="shared" si="4"/>
        <v>0.66039293928373266</v>
      </c>
      <c r="W39" s="67">
        <f t="shared" si="4"/>
        <v>2.0233813166026144</v>
      </c>
      <c r="X39" s="67">
        <f t="shared" si="4"/>
        <v>5.6558394836992489</v>
      </c>
      <c r="AC39" t="s">
        <v>116</v>
      </c>
      <c r="AD39" s="51">
        <v>0.92491228070175402</v>
      </c>
      <c r="AE39" s="51">
        <v>0.90681353484368299</v>
      </c>
      <c r="AF39" s="2"/>
      <c r="AG39" s="2"/>
      <c r="AH39">
        <v>688</v>
      </c>
      <c r="AI39">
        <v>699</v>
      </c>
      <c r="BF39" s="48">
        <v>0.89380225517733303</v>
      </c>
      <c r="BG39" s="27">
        <v>1</v>
      </c>
      <c r="BH39" s="84">
        <f>_xlfn.NORM.S.INV((BG39-0.375)/($BI$36+0.25))</f>
        <v>-1.8682416548639302</v>
      </c>
      <c r="BI39" s="84">
        <f>-BI58</f>
        <v>-0.47336806621893501</v>
      </c>
      <c r="BJ39">
        <f>BI39*BF39</f>
        <v>-0.42309744511541725</v>
      </c>
      <c r="BK39" s="13" t="s">
        <v>355</v>
      </c>
      <c r="BL39">
        <f>SUMSQ(BH39:BH58)</f>
        <v>17.633567020527028</v>
      </c>
      <c r="BP39" s="1"/>
    </row>
    <row r="40" spans="1:68" x14ac:dyDescent="0.3">
      <c r="B40" t="s">
        <v>391</v>
      </c>
      <c r="C40" s="57">
        <f>(C39/$J39)*100</f>
        <v>1.2491288969534402</v>
      </c>
      <c r="D40" s="57">
        <f>(D39/$J39)*100</f>
        <v>4.2207861396113504</v>
      </c>
      <c r="E40" s="57">
        <f>(E39/$J39)*100</f>
        <v>61.242998870569842</v>
      </c>
      <c r="F40" s="57">
        <f>(F39/$J39)*100</f>
        <v>18.161155310475408</v>
      </c>
      <c r="G40" s="57">
        <f>(G39/$J39)*100</f>
        <v>15.125930782389954</v>
      </c>
      <c r="S40" t="s">
        <v>31</v>
      </c>
      <c r="T40" s="57">
        <f>I84</f>
        <v>100</v>
      </c>
      <c r="U40" s="57">
        <f>I85</f>
        <v>95.65217391304347</v>
      </c>
      <c r="V40" s="57">
        <f>I86</f>
        <v>94.966814159292028</v>
      </c>
      <c r="W40" s="57">
        <f>I87</f>
        <v>84.992343032159269</v>
      </c>
      <c r="X40" s="57">
        <f>I88</f>
        <v>82.15767634854771</v>
      </c>
      <c r="AC40" t="s">
        <v>117</v>
      </c>
      <c r="AD40" s="51">
        <v>0.91824561403508698</v>
      </c>
      <c r="AE40" s="51">
        <v>0.899697207334616</v>
      </c>
      <c r="AH40">
        <v>717</v>
      </c>
      <c r="AI40">
        <v>728</v>
      </c>
      <c r="BF40" s="48">
        <v>0.8955687385087816</v>
      </c>
      <c r="BG40" s="27">
        <v>2</v>
      </c>
      <c r="BH40" s="84">
        <f t="shared" ref="BH40:BH58" si="5">_xlfn.NORM.S.INV((BG40-0.375)/($BI$36+0.25))</f>
        <v>-1.4034126358514019</v>
      </c>
      <c r="BI40" s="84">
        <f>-BI57</f>
        <v>-0.32175145499838514</v>
      </c>
      <c r="BJ40">
        <f t="shared" ref="BJ40:BJ58" si="6">BI40*BF40</f>
        <v>-0.28815054466626877</v>
      </c>
      <c r="BK40" s="74" t="s">
        <v>364</v>
      </c>
      <c r="BL40">
        <f>(BL39-2*(BH58^2)-2*(BH57^2))/(1-2*(BI58^2)-2*(BI57^2))</f>
        <v>19.471667059296756</v>
      </c>
      <c r="BP40" s="1"/>
    </row>
    <row r="41" spans="1:68" x14ac:dyDescent="0.3">
      <c r="A41" s="361">
        <v>1977</v>
      </c>
      <c r="B41" s="361"/>
      <c r="C41" s="361"/>
      <c r="D41" s="361"/>
      <c r="E41" s="361"/>
      <c r="F41" s="361"/>
      <c r="G41" s="361"/>
      <c r="H41" s="361"/>
      <c r="I41" s="361"/>
      <c r="J41" s="361"/>
      <c r="K41" s="361"/>
      <c r="L41" s="361" t="s">
        <v>53</v>
      </c>
      <c r="M41" s="361"/>
      <c r="N41" s="361"/>
      <c r="O41" s="361"/>
      <c r="P41" s="361"/>
      <c r="S41" s="66" t="s">
        <v>39</v>
      </c>
      <c r="T41" s="67">
        <f>J84</f>
        <v>0</v>
      </c>
      <c r="U41" s="67">
        <f>J85</f>
        <v>2.1377790082367047</v>
      </c>
      <c r="V41" s="67">
        <f>J86</f>
        <v>0.51431399411249978</v>
      </c>
      <c r="W41" s="67">
        <f>J87</f>
        <v>1.398693479490801</v>
      </c>
      <c r="X41" s="67">
        <f>J88</f>
        <v>2.4714063572708076</v>
      </c>
      <c r="AC41" t="s">
        <v>118</v>
      </c>
      <c r="AD41" s="51">
        <v>0.92245614035087697</v>
      </c>
      <c r="AE41" s="51">
        <v>0.90403820135942503</v>
      </c>
      <c r="AF41" s="2"/>
      <c r="AG41" s="2"/>
      <c r="AH41">
        <v>746</v>
      </c>
      <c r="AI41">
        <v>757</v>
      </c>
      <c r="BF41" s="48">
        <v>0.89732555294201088</v>
      </c>
      <c r="BG41" s="1">
        <v>3</v>
      </c>
      <c r="BH41">
        <f t="shared" si="5"/>
        <v>-1.1281436452787641</v>
      </c>
      <c r="BI41">
        <f t="shared" ref="BI41:BI56" si="7">BH41/SQRT($BL$40)</f>
        <v>-0.25566002901309814</v>
      </c>
      <c r="BJ41">
        <f t="shared" si="6"/>
        <v>-0.22941027689934884</v>
      </c>
      <c r="BK41" s="74" t="s">
        <v>350</v>
      </c>
      <c r="BL41" s="48">
        <f>CORREL(BF39:BF58,BI39:BI58)^2</f>
        <v>0.97072908629391874</v>
      </c>
      <c r="BM41" s="48">
        <f>(BJ59^2)/BK36</f>
        <v>0.97072908629389165</v>
      </c>
      <c r="BP41" s="1"/>
    </row>
    <row r="42" spans="1:68" x14ac:dyDescent="0.3">
      <c r="A42" t="s">
        <v>320</v>
      </c>
      <c r="B42" t="s">
        <v>21</v>
      </c>
      <c r="I42" s="1" t="s">
        <v>58</v>
      </c>
      <c r="O42" s="360" t="s">
        <v>411</v>
      </c>
      <c r="P42" s="360"/>
      <c r="S42" s="66" t="s">
        <v>56</v>
      </c>
      <c r="T42" s="67">
        <f>N73*100</f>
        <v>100</v>
      </c>
      <c r="U42" s="67">
        <f>N74*100</f>
        <v>73.333333333333343</v>
      </c>
      <c r="V42" s="67">
        <f>N75*100</f>
        <v>96.950875211744787</v>
      </c>
      <c r="W42" s="67">
        <f>N76*100</f>
        <v>87.470449172576835</v>
      </c>
      <c r="X42" s="67">
        <f>N77*100</f>
        <v>73.743016759776523</v>
      </c>
      <c r="AC42" t="s">
        <v>119</v>
      </c>
      <c r="AD42" s="51">
        <v>0.917543859649122</v>
      </c>
      <c r="AE42" s="51">
        <v>0.89867372905975096</v>
      </c>
      <c r="AH42">
        <v>775</v>
      </c>
      <c r="AI42">
        <v>786</v>
      </c>
      <c r="BF42" s="48">
        <v>0.89787347081678293</v>
      </c>
      <c r="BG42" s="1">
        <v>4</v>
      </c>
      <c r="BH42">
        <f t="shared" si="5"/>
        <v>-0.91913552204621074</v>
      </c>
      <c r="BI42">
        <f t="shared" si="7"/>
        <v>-0.20829458661289388</v>
      </c>
      <c r="BJ42">
        <f t="shared" si="6"/>
        <v>-0.18702218343446603</v>
      </c>
      <c r="BK42" s="74" t="s">
        <v>78</v>
      </c>
      <c r="BL42">
        <f>0.0038915*(LN(BI36)^3)-0.083751*(LN(BI36)^2)-0.31082*LN(BI36)-1.5861</f>
        <v>-3.1642267470723917</v>
      </c>
      <c r="BP42" s="1"/>
    </row>
    <row r="43" spans="1:68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56</v>
      </c>
      <c r="O43" s="13" t="s">
        <v>412</v>
      </c>
      <c r="P43" s="13" t="s">
        <v>41</v>
      </c>
      <c r="R43" s="16" t="s">
        <v>66</v>
      </c>
      <c r="S43" t="s">
        <v>9</v>
      </c>
      <c r="T43" s="30">
        <f>N84</f>
        <v>3034.98</v>
      </c>
      <c r="U43" s="30">
        <f>N85</f>
        <v>16765.59</v>
      </c>
      <c r="V43" s="30">
        <f>N86</f>
        <v>81872.070000000007</v>
      </c>
      <c r="W43" s="30">
        <f>N87</f>
        <v>58961.21</v>
      </c>
      <c r="X43" s="30">
        <f>N88</f>
        <v>32137.54</v>
      </c>
      <c r="Z43" t="s">
        <v>36</v>
      </c>
      <c r="AA43" s="1">
        <f>N89</f>
        <v>192771.39</v>
      </c>
      <c r="AC43" t="s">
        <v>120</v>
      </c>
      <c r="AD43" s="51">
        <v>0.91824561403508698</v>
      </c>
      <c r="AE43" s="51">
        <v>0.90064659178921402</v>
      </c>
      <c r="AF43" s="2"/>
      <c r="AG43" s="2"/>
      <c r="AH43">
        <v>804</v>
      </c>
      <c r="AI43">
        <v>815</v>
      </c>
      <c r="BF43" s="48">
        <v>0.89787757808170965</v>
      </c>
      <c r="BG43" s="1">
        <v>5</v>
      </c>
      <c r="BH43">
        <f t="shared" si="5"/>
        <v>-0.74414274222016763</v>
      </c>
      <c r="BI43">
        <f t="shared" si="7"/>
        <v>-0.16863770483667825</v>
      </c>
      <c r="BJ43">
        <f t="shared" si="6"/>
        <v>-0.15141601399201488</v>
      </c>
      <c r="BK43" s="74" t="s">
        <v>370</v>
      </c>
      <c r="BL43">
        <f>EXP(0.0030301*(LN(BI36)^2)-0.082676*LN(BI36)-0.4803)</f>
        <v>0.49619722706220387</v>
      </c>
      <c r="BP43" s="1"/>
    </row>
    <row r="44" spans="1:68" ht="15.6" x14ac:dyDescent="0.35">
      <c r="A44" t="s">
        <v>3</v>
      </c>
      <c r="B44" s="13">
        <v>0</v>
      </c>
      <c r="C44" s="26">
        <v>56</v>
      </c>
      <c r="D44" s="3">
        <v>0</v>
      </c>
      <c r="E44" s="3">
        <v>0</v>
      </c>
      <c r="F44" s="3">
        <v>0</v>
      </c>
      <c r="G44" s="4">
        <v>0</v>
      </c>
      <c r="H44" s="1">
        <f>SUM(C44:G44)</f>
        <v>56</v>
      </c>
      <c r="I44" s="10">
        <f>C44/H44</f>
        <v>1</v>
      </c>
      <c r="J44" s="11">
        <f>1-I44</f>
        <v>0</v>
      </c>
      <c r="K44">
        <f>H44-C49</f>
        <v>0</v>
      </c>
      <c r="N44" s="10">
        <f>2*(C50*I44)/(C50+I44)</f>
        <v>1</v>
      </c>
      <c r="O44" s="1">
        <v>0</v>
      </c>
      <c r="P44" s="1">
        <v>258</v>
      </c>
      <c r="R44" s="16" t="s">
        <v>323</v>
      </c>
      <c r="S44" t="s">
        <v>68</v>
      </c>
      <c r="T44" s="57">
        <f>$AA43*T36/100</f>
        <v>3034.98</v>
      </c>
      <c r="U44" s="57">
        <f>$AA43*U36/100</f>
        <v>19203.740709865593</v>
      </c>
      <c r="V44" s="57">
        <f>$AA43*V36/100</f>
        <v>79869.331744939715</v>
      </c>
      <c r="W44" s="57">
        <f>$AA43*W36/100</f>
        <v>56221.357982441026</v>
      </c>
      <c r="X44" s="57">
        <f>$AA43*X36/100</f>
        <v>34441.979562753695</v>
      </c>
      <c r="Z44" t="s">
        <v>36</v>
      </c>
      <c r="AA44" s="25">
        <f>SUM(T44:X44)</f>
        <v>192771.39</v>
      </c>
      <c r="AC44" t="s">
        <v>121</v>
      </c>
      <c r="AD44" s="51">
        <v>0.92280701754385897</v>
      </c>
      <c r="AE44" s="51">
        <v>0.90297346289628799</v>
      </c>
      <c r="AH44">
        <v>833</v>
      </c>
      <c r="AI44">
        <v>844</v>
      </c>
      <c r="BF44" s="48">
        <v>0.89829673630750606</v>
      </c>
      <c r="BG44" s="1">
        <v>6</v>
      </c>
      <c r="BH44">
        <f t="shared" si="5"/>
        <v>-0.58945579784977842</v>
      </c>
      <c r="BI44">
        <f t="shared" si="7"/>
        <v>-0.13358253358150615</v>
      </c>
      <c r="BJ44">
        <f t="shared" si="6"/>
        <v>-0.1199967539439548</v>
      </c>
      <c r="BK44" s="74" t="s">
        <v>366</v>
      </c>
      <c r="BL44">
        <f>(LN(1-BL41)-BL42)/BL43</f>
        <v>-0.73949267591740575</v>
      </c>
      <c r="BP44" s="1"/>
    </row>
    <row r="45" spans="1:68" x14ac:dyDescent="0.3">
      <c r="A45" t="s">
        <v>4</v>
      </c>
      <c r="B45" s="13">
        <v>1</v>
      </c>
      <c r="C45" s="5">
        <v>0</v>
      </c>
      <c r="D45" s="27">
        <v>88</v>
      </c>
      <c r="E45" s="1">
        <v>4</v>
      </c>
      <c r="F45" s="1">
        <v>0</v>
      </c>
      <c r="G45" s="6">
        <v>0</v>
      </c>
      <c r="H45" s="1">
        <f>SUM(C45:G45)</f>
        <v>92</v>
      </c>
      <c r="I45" s="10">
        <f>D45/H45</f>
        <v>0.95652173913043481</v>
      </c>
      <c r="J45" s="11">
        <f>1-I45</f>
        <v>4.3478260869565188E-2</v>
      </c>
      <c r="K45">
        <f>H45-D49</f>
        <v>-48</v>
      </c>
      <c r="N45" s="10">
        <f>2*(D50*I45)/(D50+I45)</f>
        <v>0.75862068965517238</v>
      </c>
      <c r="O45" s="1">
        <v>5</v>
      </c>
      <c r="P45" s="1">
        <v>64</v>
      </c>
      <c r="R45" s="66"/>
      <c r="S45" s="66" t="s">
        <v>67</v>
      </c>
      <c r="T45" s="67">
        <f>$AA43*T37/100</f>
        <v>0</v>
      </c>
      <c r="U45" s="67">
        <f>$AA43*U37/100</f>
        <v>554.10727210178356</v>
      </c>
      <c r="V45" s="67">
        <f>$AA43*V37/100</f>
        <v>675.1022443658195</v>
      </c>
      <c r="W45" s="67">
        <f>$AA43*W37/100</f>
        <v>1137.8993987411257</v>
      </c>
      <c r="X45" s="67">
        <f>$AA43*X37/100</f>
        <v>1112.2390095546973</v>
      </c>
      <c r="AA45" s="1"/>
      <c r="AC45" t="s">
        <v>122</v>
      </c>
      <c r="AD45" s="51">
        <v>0.92526315789473601</v>
      </c>
      <c r="AE45" s="51">
        <v>0.90638858530868505</v>
      </c>
      <c r="AF45" s="2"/>
      <c r="AG45" s="2"/>
      <c r="AH45">
        <v>862</v>
      </c>
      <c r="AI45">
        <v>873</v>
      </c>
      <c r="BF45" s="48">
        <v>0.89841100070878421</v>
      </c>
      <c r="BG45" s="1">
        <v>7</v>
      </c>
      <c r="BH45">
        <f t="shared" si="5"/>
        <v>-0.44776751848294888</v>
      </c>
      <c r="BI45">
        <f t="shared" si="7"/>
        <v>-0.10147312112739562</v>
      </c>
      <c r="BJ45">
        <f t="shared" si="6"/>
        <v>-9.1164568297107174E-2</v>
      </c>
      <c r="BK45" s="74" t="s">
        <v>354</v>
      </c>
      <c r="BL45">
        <f>1-NORMSDIST(BL44)</f>
        <v>0.77019605725645923</v>
      </c>
      <c r="BP45" s="1"/>
    </row>
    <row r="46" spans="1:68" x14ac:dyDescent="0.3">
      <c r="A46" t="s">
        <v>5</v>
      </c>
      <c r="B46" s="13">
        <v>2</v>
      </c>
      <c r="C46" s="5">
        <v>0</v>
      </c>
      <c r="D46" s="1">
        <v>42</v>
      </c>
      <c r="E46" s="27">
        <v>1723</v>
      </c>
      <c r="F46" s="1">
        <v>25</v>
      </c>
      <c r="G46" s="6">
        <v>18</v>
      </c>
      <c r="H46" s="1">
        <f>SUM(C46:G46)</f>
        <v>1808</v>
      </c>
      <c r="I46" s="10">
        <f>E46/H46</f>
        <v>0.95298672566371678</v>
      </c>
      <c r="J46" s="11">
        <f>1-I46</f>
        <v>4.7013274336283217E-2</v>
      </c>
      <c r="K46">
        <f>H46-E49</f>
        <v>71</v>
      </c>
      <c r="N46" s="10">
        <f>2*(E50*I46)/(E50+I46)</f>
        <v>0.97207334273624812</v>
      </c>
      <c r="O46" s="1">
        <v>905</v>
      </c>
      <c r="P46" s="1">
        <v>9839</v>
      </c>
      <c r="R46" t="s">
        <v>73</v>
      </c>
      <c r="S46" t="s">
        <v>28</v>
      </c>
      <c r="T46" s="57">
        <f t="shared" ref="T46:X49" si="8">C118</f>
        <v>1.5431957230170037</v>
      </c>
      <c r="U46" s="57">
        <f t="shared" si="8"/>
        <v>9.7663317622869226</v>
      </c>
      <c r="V46" s="57">
        <f t="shared" si="8"/>
        <v>41.140428524903548</v>
      </c>
      <c r="W46" s="57">
        <f t="shared" si="8"/>
        <v>30.62827476124669</v>
      </c>
      <c r="X46" s="57">
        <f t="shared" si="8"/>
        <v>16.921769228545831</v>
      </c>
      <c r="Y46" s="60"/>
      <c r="Z46" s="74"/>
      <c r="AA46" s="12"/>
      <c r="AC46" t="s">
        <v>135</v>
      </c>
      <c r="AD46" s="51">
        <v>0.92</v>
      </c>
      <c r="AE46" s="51">
        <v>0.90252007221861297</v>
      </c>
      <c r="AH46">
        <v>891</v>
      </c>
      <c r="AI46">
        <v>902</v>
      </c>
      <c r="BF46" s="48">
        <v>0.89899375891203814</v>
      </c>
      <c r="BG46" s="1">
        <v>8</v>
      </c>
      <c r="BH46">
        <f t="shared" si="5"/>
        <v>-0.31457229183888502</v>
      </c>
      <c r="BI46">
        <f t="shared" si="7"/>
        <v>-7.1288405155509674E-2</v>
      </c>
      <c r="BJ46">
        <f t="shared" si="6"/>
        <v>-6.4087831317595961E-2</v>
      </c>
      <c r="BK46" s="13" t="s">
        <v>358</v>
      </c>
      <c r="BL46" s="13" t="str">
        <f>IF(GESTEP(BL45,BG36)=0,"YES","NO")</f>
        <v>NO</v>
      </c>
      <c r="BP46" s="1"/>
    </row>
    <row r="47" spans="1:68" x14ac:dyDescent="0.3">
      <c r="A47" t="s">
        <v>6</v>
      </c>
      <c r="B47" s="13">
        <v>3</v>
      </c>
      <c r="C47" s="5">
        <v>0</v>
      </c>
      <c r="D47" s="1">
        <v>10</v>
      </c>
      <c r="E47" s="1">
        <v>4</v>
      </c>
      <c r="F47" s="27">
        <v>553</v>
      </c>
      <c r="G47" s="6">
        <v>86</v>
      </c>
      <c r="H47" s="1">
        <f>SUM(C47:G47)</f>
        <v>653</v>
      </c>
      <c r="I47" s="10">
        <f>F47/H47</f>
        <v>0.84686064318529863</v>
      </c>
      <c r="J47" s="11">
        <f>1-I47</f>
        <v>0.15313935681470137</v>
      </c>
      <c r="K47">
        <f>H47-F49</f>
        <v>42</v>
      </c>
      <c r="N47" s="10">
        <f>2*(F50*I47)/(F50+I47)</f>
        <v>0.875</v>
      </c>
      <c r="O47" s="1">
        <v>682</v>
      </c>
      <c r="P47" s="1">
        <v>18330</v>
      </c>
      <c r="S47" s="66" t="s">
        <v>39</v>
      </c>
      <c r="T47" s="67">
        <f t="shared" si="8"/>
        <v>0</v>
      </c>
      <c r="U47" s="67">
        <f t="shared" si="8"/>
        <v>0.28013959522872184</v>
      </c>
      <c r="V47" s="67">
        <f t="shared" si="8"/>
        <v>0.33586920142102722</v>
      </c>
      <c r="W47" s="67">
        <f t="shared" si="8"/>
        <v>0.58338216153873557</v>
      </c>
      <c r="X47" s="67">
        <f t="shared" si="8"/>
        <v>0.56868744977690933</v>
      </c>
      <c r="AC47" t="s">
        <v>136</v>
      </c>
      <c r="AD47" s="51">
        <v>0.91789473684210499</v>
      </c>
      <c r="AE47" s="51">
        <v>0.89908168792191001</v>
      </c>
      <c r="AF47" s="78"/>
      <c r="AG47" s="78"/>
      <c r="AH47">
        <v>920</v>
      </c>
      <c r="AI47">
        <v>931</v>
      </c>
      <c r="BF47" s="48">
        <v>0.89919408921858024</v>
      </c>
      <c r="BG47" s="1">
        <v>9</v>
      </c>
      <c r="BH47">
        <f t="shared" si="5"/>
        <v>-0.18675612106373712</v>
      </c>
      <c r="BI47">
        <f t="shared" si="7"/>
        <v>-4.2322691378304626E-2</v>
      </c>
      <c r="BJ47">
        <f t="shared" si="6"/>
        <v>-3.8056313927193684E-2</v>
      </c>
      <c r="BP47" s="1"/>
    </row>
    <row r="48" spans="1:68" x14ac:dyDescent="0.3">
      <c r="A48" t="s">
        <v>7</v>
      </c>
      <c r="B48" s="13">
        <v>4</v>
      </c>
      <c r="C48" s="7">
        <v>0</v>
      </c>
      <c r="D48" s="8">
        <v>0</v>
      </c>
      <c r="E48" s="8">
        <v>6</v>
      </c>
      <c r="F48" s="8">
        <v>33</v>
      </c>
      <c r="G48" s="28">
        <v>202</v>
      </c>
      <c r="H48" s="1">
        <f>SUM(C48:G48)</f>
        <v>241</v>
      </c>
      <c r="I48" s="10">
        <f>G48/H48</f>
        <v>0.83817427385892118</v>
      </c>
      <c r="J48" s="11">
        <f>1-I48</f>
        <v>0.16182572614107882</v>
      </c>
      <c r="K48">
        <f>H48-G49</f>
        <v>-65</v>
      </c>
      <c r="N48" s="10">
        <f>2*(G50*I48)/(G50+I48)</f>
        <v>0.73857404021937845</v>
      </c>
      <c r="O48" s="1">
        <v>259</v>
      </c>
      <c r="P48" s="1">
        <v>14734</v>
      </c>
      <c r="S48" t="s">
        <v>30</v>
      </c>
      <c r="T48" s="57">
        <f t="shared" si="8"/>
        <v>100</v>
      </c>
      <c r="U48" s="57">
        <f t="shared" si="8"/>
        <v>85.544518958374013</v>
      </c>
      <c r="V48" s="57">
        <f t="shared" si="8"/>
        <v>97.556055490294497</v>
      </c>
      <c r="W48" s="57">
        <f t="shared" si="8"/>
        <v>89.163273887774309</v>
      </c>
      <c r="X48" s="57">
        <f t="shared" si="8"/>
        <v>77.602460652276562</v>
      </c>
      <c r="AC48" t="s">
        <v>137</v>
      </c>
      <c r="AD48" s="51">
        <v>0.91824561403508698</v>
      </c>
      <c r="AE48" s="51">
        <v>0.89757770796637704</v>
      </c>
      <c r="AH48">
        <v>949</v>
      </c>
      <c r="AI48">
        <v>960</v>
      </c>
      <c r="BF48" s="48">
        <v>0.89972877029715559</v>
      </c>
      <c r="BG48" s="1">
        <v>10</v>
      </c>
      <c r="BH48">
        <f t="shared" si="5"/>
        <v>-6.1931623455317261E-2</v>
      </c>
      <c r="BI48">
        <f t="shared" si="7"/>
        <v>-1.4034950882076937E-2</v>
      </c>
      <c r="BJ48">
        <f t="shared" si="6"/>
        <v>-1.2627649098312061E-2</v>
      </c>
      <c r="BP48" s="1"/>
    </row>
    <row r="49" spans="1:68" ht="15.6" x14ac:dyDescent="0.35">
      <c r="B49" s="1" t="s">
        <v>19</v>
      </c>
      <c r="C49" s="1">
        <f>SUM(C44:C48)</f>
        <v>56</v>
      </c>
      <c r="D49" s="1">
        <f>SUM(D44:D48)</f>
        <v>140</v>
      </c>
      <c r="E49" s="1">
        <f>SUM(E44:E48)</f>
        <v>1737</v>
      </c>
      <c r="F49" s="1">
        <f>SUM(F44:F48)</f>
        <v>611</v>
      </c>
      <c r="G49" s="1">
        <f>SUM(G44:G48)</f>
        <v>306</v>
      </c>
      <c r="H49" s="1">
        <f>SUM(H43:H48)</f>
        <v>2850</v>
      </c>
      <c r="I49" s="13" t="s">
        <v>12</v>
      </c>
      <c r="N49" s="16" t="s">
        <v>36</v>
      </c>
      <c r="O49" s="1">
        <f>SUM(O44:O48)</f>
        <v>1851</v>
      </c>
      <c r="P49" s="1">
        <f>SUM(P44:P48)</f>
        <v>43225</v>
      </c>
      <c r="S49" s="66" t="s">
        <v>39</v>
      </c>
      <c r="T49" s="67">
        <f t="shared" si="8"/>
        <v>0</v>
      </c>
      <c r="U49" s="67">
        <f t="shared" si="8"/>
        <v>3.3191722485841444</v>
      </c>
      <c r="V49" s="67">
        <f t="shared" si="8"/>
        <v>0.64345281115485098</v>
      </c>
      <c r="W49" s="67">
        <f t="shared" si="8"/>
        <v>1.8956723211604658</v>
      </c>
      <c r="X49" s="67">
        <f t="shared" si="8"/>
        <v>5.7402208353115203</v>
      </c>
      <c r="AC49" t="s">
        <v>138</v>
      </c>
      <c r="AD49" s="51">
        <v>0.91614035087719303</v>
      </c>
      <c r="AE49" s="51">
        <v>0.89626604830773904</v>
      </c>
      <c r="AF49" s="78"/>
      <c r="AG49" s="78"/>
      <c r="AH49">
        <v>978</v>
      </c>
      <c r="AI49">
        <v>989</v>
      </c>
      <c r="BF49" s="48">
        <v>0.90021121038729357</v>
      </c>
      <c r="BG49" s="1">
        <v>11</v>
      </c>
      <c r="BH49">
        <f t="shared" si="5"/>
        <v>6.1931623455317261E-2</v>
      </c>
      <c r="BI49">
        <f t="shared" si="7"/>
        <v>1.4034950882076937E-2</v>
      </c>
      <c r="BJ49">
        <f t="shared" si="6"/>
        <v>1.2634420121280692E-2</v>
      </c>
      <c r="BP49" s="1"/>
    </row>
    <row r="50" spans="1:68" x14ac:dyDescent="0.3">
      <c r="A50" s="1" t="s">
        <v>321</v>
      </c>
      <c r="B50" s="1" t="s">
        <v>2</v>
      </c>
      <c r="C50" s="10">
        <f>C44/C49</f>
        <v>1</v>
      </c>
      <c r="D50" s="10">
        <f>D45/D49</f>
        <v>0.62857142857142856</v>
      </c>
      <c r="E50" s="10">
        <f>E46/E49</f>
        <v>0.99194012665515252</v>
      </c>
      <c r="F50" s="10">
        <f>F47/F49</f>
        <v>0.90507364975450078</v>
      </c>
      <c r="G50" s="10">
        <f>G48/G49</f>
        <v>0.66013071895424835</v>
      </c>
      <c r="H50" s="10"/>
      <c r="I50" s="14">
        <f>(C44+D45+E46+F47+G48)/H49</f>
        <v>0.92</v>
      </c>
      <c r="S50" s="15" t="s">
        <v>31</v>
      </c>
      <c r="T50" s="71">
        <f>I113</f>
        <v>100</v>
      </c>
      <c r="U50" s="71">
        <f>I114</f>
        <v>95.652173913043484</v>
      </c>
      <c r="V50" s="71">
        <f>I115</f>
        <v>95.464601769911511</v>
      </c>
      <c r="W50" s="71">
        <f>I116</f>
        <v>86.830015313935689</v>
      </c>
      <c r="X50" s="71">
        <f>I117</f>
        <v>80.912863070539416</v>
      </c>
      <c r="AC50" t="s">
        <v>139</v>
      </c>
      <c r="AD50" s="51">
        <v>0.91824561403508698</v>
      </c>
      <c r="AE50" s="51">
        <v>0.89830033323062797</v>
      </c>
      <c r="AH50">
        <v>1007</v>
      </c>
      <c r="AI50">
        <v>1018</v>
      </c>
      <c r="BF50" s="48">
        <v>0.90035851980155246</v>
      </c>
      <c r="BG50" s="1">
        <v>12</v>
      </c>
      <c r="BH50">
        <f t="shared" si="5"/>
        <v>0.18675612106373712</v>
      </c>
      <c r="BI50">
        <f t="shared" si="7"/>
        <v>4.2322691378304626E-2</v>
      </c>
      <c r="BJ50">
        <f t="shared" si="6"/>
        <v>3.8105595763388282E-2</v>
      </c>
      <c r="BP50" s="1"/>
    </row>
    <row r="51" spans="1:68" x14ac:dyDescent="0.3">
      <c r="B51" s="1" t="s">
        <v>14</v>
      </c>
      <c r="C51" s="11">
        <f>1-C50</f>
        <v>0</v>
      </c>
      <c r="D51" s="11">
        <f>1-D50</f>
        <v>0.37142857142857144</v>
      </c>
      <c r="E51" s="11">
        <f>1-E50</f>
        <v>8.0598733448474791E-3</v>
      </c>
      <c r="F51" s="11">
        <f>1-F50</f>
        <v>9.4926350245499225E-2</v>
      </c>
      <c r="G51" s="11">
        <f>1-G50</f>
        <v>0.33986928104575165</v>
      </c>
      <c r="S51" s="75" t="s">
        <v>39</v>
      </c>
      <c r="T51" s="76">
        <f>J113</f>
        <v>0</v>
      </c>
      <c r="U51" s="76">
        <f>J114</f>
        <v>2.1377790082367012</v>
      </c>
      <c r="V51" s="76">
        <f>J115</f>
        <v>0.48949675766320316</v>
      </c>
      <c r="W51" s="76">
        <f>J116</f>
        <v>1.3243530495914069</v>
      </c>
      <c r="X51" s="76">
        <f>J117</f>
        <v>2.5367259876841253</v>
      </c>
      <c r="AC51" t="s">
        <v>140</v>
      </c>
      <c r="AD51" s="51">
        <v>0.92</v>
      </c>
      <c r="AE51" s="51">
        <v>0.90002566694349995</v>
      </c>
      <c r="AF51" s="78"/>
      <c r="AG51" s="78"/>
      <c r="AH51">
        <v>1036</v>
      </c>
      <c r="AI51">
        <v>1047</v>
      </c>
      <c r="BF51" s="48">
        <v>0.90061903585370662</v>
      </c>
      <c r="BG51" s="1">
        <v>13</v>
      </c>
      <c r="BH51">
        <f t="shared" si="5"/>
        <v>0.31457229183888502</v>
      </c>
      <c r="BI51">
        <f t="shared" si="7"/>
        <v>7.1288405155509674E-2</v>
      </c>
      <c r="BJ51">
        <f t="shared" si="6"/>
        <v>6.4203694718703533E-2</v>
      </c>
      <c r="BP51" s="1"/>
    </row>
    <row r="52" spans="1:68" x14ac:dyDescent="0.3">
      <c r="C52" s="2"/>
      <c r="S52" s="66" t="s">
        <v>56</v>
      </c>
      <c r="T52" s="67">
        <f>N102*100</f>
        <v>100</v>
      </c>
      <c r="U52" s="67">
        <f>N103*100</f>
        <v>76.521739130434781</v>
      </c>
      <c r="V52" s="67">
        <f>N104*100</f>
        <v>97.26683572837419</v>
      </c>
      <c r="W52" s="67">
        <f>N105*100</f>
        <v>88.249027237354071</v>
      </c>
      <c r="X52" s="67">
        <f>N106*100</f>
        <v>74.427480916030547</v>
      </c>
      <c r="AC52" t="s">
        <v>141</v>
      </c>
      <c r="AD52" s="51">
        <v>0.91649122807017502</v>
      </c>
      <c r="AE52" s="51">
        <v>0.89680610552884399</v>
      </c>
      <c r="AH52">
        <v>1065</v>
      </c>
      <c r="AI52">
        <v>1076</v>
      </c>
      <c r="BF52" s="48">
        <v>0.90210340001987188</v>
      </c>
      <c r="BG52" s="1">
        <v>14</v>
      </c>
      <c r="BH52">
        <f t="shared" si="5"/>
        <v>0.44776751848294888</v>
      </c>
      <c r="BI52">
        <f t="shared" si="7"/>
        <v>0.10147312112739562</v>
      </c>
      <c r="BJ52">
        <f t="shared" si="6"/>
        <v>9.1539247579651886E-2</v>
      </c>
      <c r="BP52" s="1"/>
    </row>
    <row r="53" spans="1:68" ht="15.6" x14ac:dyDescent="0.35">
      <c r="A53" t="s">
        <v>322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66</v>
      </c>
      <c r="S53" t="s">
        <v>9</v>
      </c>
      <c r="T53" s="30">
        <f>N113</f>
        <v>2974.84</v>
      </c>
      <c r="U53" s="30">
        <f>N114</f>
        <v>16837.259999999998</v>
      </c>
      <c r="V53" s="30">
        <f>N115</f>
        <v>81044.45</v>
      </c>
      <c r="W53" s="30">
        <f>N116</f>
        <v>60629.120000000003</v>
      </c>
      <c r="X53" s="30">
        <f>N117</f>
        <v>31285.73</v>
      </c>
      <c r="Z53" t="s">
        <v>36</v>
      </c>
      <c r="AA53" s="1">
        <f>N118</f>
        <v>192771.4</v>
      </c>
      <c r="AC53" t="s">
        <v>142</v>
      </c>
      <c r="AD53" s="51">
        <v>0.917543859649122</v>
      </c>
      <c r="AE53" s="51">
        <v>0.90029447141989305</v>
      </c>
      <c r="AF53" s="78"/>
      <c r="AG53" s="78"/>
      <c r="AH53">
        <v>1094</v>
      </c>
      <c r="AI53">
        <v>1105</v>
      </c>
      <c r="BF53" s="48">
        <v>0.9021394727177352</v>
      </c>
      <c r="BG53" s="1">
        <v>15</v>
      </c>
      <c r="BH53">
        <f t="shared" si="5"/>
        <v>0.58945579784977842</v>
      </c>
      <c r="BI53">
        <f t="shared" si="7"/>
        <v>0.13358253358150615</v>
      </c>
      <c r="BJ53">
        <f t="shared" si="6"/>
        <v>0.12051007640951912</v>
      </c>
      <c r="BP53" s="1"/>
    </row>
    <row r="54" spans="1:68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323</v>
      </c>
      <c r="S54" t="s">
        <v>68</v>
      </c>
      <c r="T54" s="57">
        <f>$AA53*T46/100</f>
        <v>2974.84</v>
      </c>
      <c r="U54" s="57">
        <f>$AA53*U46/100</f>
        <v>18826.694466805173</v>
      </c>
      <c r="V54" s="57">
        <f>$AA53*V46/100</f>
        <v>79306.980033455926</v>
      </c>
      <c r="W54" s="57">
        <f>$AA53*W46/100</f>
        <v>59042.5540531019</v>
      </c>
      <c r="X54" s="57">
        <f>$AA53*X46/100</f>
        <v>32620.331446636996</v>
      </c>
      <c r="Z54" t="s">
        <v>36</v>
      </c>
      <c r="AA54" s="25">
        <f>SUM(T54:X54)</f>
        <v>192771.4</v>
      </c>
      <c r="AC54" t="s">
        <v>143</v>
      </c>
      <c r="AD54" s="51">
        <v>0.91824561403508698</v>
      </c>
      <c r="AE54" s="51">
        <v>0.89607252860098396</v>
      </c>
      <c r="AH54">
        <v>1123</v>
      </c>
      <c r="AI54">
        <v>1134</v>
      </c>
      <c r="BF54" s="48">
        <v>0.9023542708673068</v>
      </c>
      <c r="BG54" s="1">
        <v>16</v>
      </c>
      <c r="BH54">
        <f t="shared" si="5"/>
        <v>0.74414274222016763</v>
      </c>
      <c r="BI54">
        <f t="shared" si="7"/>
        <v>0.16863770483667825</v>
      </c>
      <c r="BJ54">
        <f t="shared" si="6"/>
        <v>0.15217095318863691</v>
      </c>
      <c r="BP54" s="1"/>
    </row>
    <row r="55" spans="1:68" x14ac:dyDescent="0.3">
      <c r="A55" t="s">
        <v>3</v>
      </c>
      <c r="B55" s="13">
        <v>0</v>
      </c>
      <c r="C55" s="29">
        <f>(C44/$L55)*$O55</f>
        <v>1.569537886301489</v>
      </c>
      <c r="D55" s="31">
        <f>(D44/$L55)*$O55</f>
        <v>0</v>
      </c>
      <c r="E55" s="31">
        <f>(E44/$L55)*$O55</f>
        <v>0</v>
      </c>
      <c r="F55" s="31">
        <f>(F44/$L55)*$O55</f>
        <v>0</v>
      </c>
      <c r="G55" s="32">
        <f>(G44/$L55)*$O55</f>
        <v>0</v>
      </c>
      <c r="H55" s="17">
        <f>SUM(C55:G55)</f>
        <v>1.569537886301489</v>
      </c>
      <c r="I55" s="17">
        <f>C55/H55*100</f>
        <v>100</v>
      </c>
      <c r="J55" s="17">
        <f>SQRT(I55*(100-I55)/(L55-1))</f>
        <v>0</v>
      </c>
      <c r="K55" s="18">
        <f>100-I55</f>
        <v>0</v>
      </c>
      <c r="L55" s="1">
        <f>H44</f>
        <v>56</v>
      </c>
      <c r="M55">
        <v>0</v>
      </c>
      <c r="N55">
        <v>3025.62</v>
      </c>
      <c r="O55" s="17">
        <f>N55/N60*100</f>
        <v>1.569537886301489</v>
      </c>
      <c r="P55" s="52">
        <f>((O55*O55*(I55/100)*(K55/100))/(L55-1))</f>
        <v>0</v>
      </c>
      <c r="R55" s="66"/>
      <c r="S55" s="66" t="s">
        <v>67</v>
      </c>
      <c r="T55" s="67">
        <f>$AA53*T47/100</f>
        <v>0</v>
      </c>
      <c r="U55" s="67">
        <f>$AA53*U47/100</f>
        <v>540.02901967674029</v>
      </c>
      <c r="V55" s="67">
        <f>$AA53*V47/100</f>
        <v>647.45976174813404</v>
      </c>
      <c r="W55" s="67">
        <f>$AA53*W47/100</f>
        <v>1124.593960148482</v>
      </c>
      <c r="X55" s="67">
        <f>$AA53*X47/100</f>
        <v>1096.2667585592449</v>
      </c>
      <c r="AA55" s="1"/>
      <c r="AC55" t="s">
        <v>144</v>
      </c>
      <c r="AD55" s="51">
        <v>0.91964912280701705</v>
      </c>
      <c r="AE55" s="51">
        <v>0.90330301022349102</v>
      </c>
      <c r="AF55" s="78"/>
      <c r="AG55" s="78"/>
      <c r="AH55">
        <v>1152</v>
      </c>
      <c r="AI55">
        <v>1163</v>
      </c>
      <c r="BF55" s="48">
        <v>0.90331264378465959</v>
      </c>
      <c r="BG55" s="1">
        <v>17</v>
      </c>
      <c r="BH55">
        <f t="shared" si="5"/>
        <v>0.91913552204621074</v>
      </c>
      <c r="BI55">
        <f t="shared" si="7"/>
        <v>0.20829458661289388</v>
      </c>
      <c r="BJ55">
        <f t="shared" si="6"/>
        <v>0.18815513371932593</v>
      </c>
      <c r="BP55" s="1"/>
    </row>
    <row r="56" spans="1:68" x14ac:dyDescent="0.3">
      <c r="A56" t="s">
        <v>4</v>
      </c>
      <c r="B56" s="13">
        <v>1</v>
      </c>
      <c r="C56" s="33">
        <f t="shared" ref="C56:G59" si="9">(C45/$L56)*$O56</f>
        <v>0</v>
      </c>
      <c r="D56" s="34">
        <f t="shared" si="9"/>
        <v>8.0868598674902152</v>
      </c>
      <c r="E56" s="19">
        <f t="shared" si="9"/>
        <v>0.36758453943137342</v>
      </c>
      <c r="F56" s="18">
        <f t="shared" si="9"/>
        <v>0</v>
      </c>
      <c r="G56" s="20">
        <f t="shared" si="9"/>
        <v>0</v>
      </c>
      <c r="H56" s="17">
        <f>SUM(C56:G56)</f>
        <v>8.4544444069215885</v>
      </c>
      <c r="I56" s="17">
        <f>D56/H56*100</f>
        <v>95.652173913043484</v>
      </c>
      <c r="J56" s="17">
        <f>SQRT(I56*(100-I56)/(L56-1))</f>
        <v>2.1377790082367012</v>
      </c>
      <c r="K56" s="18">
        <f>100-I56</f>
        <v>4.3478260869565162</v>
      </c>
      <c r="L56" s="1">
        <f>H45</f>
        <v>92</v>
      </c>
      <c r="M56">
        <v>1</v>
      </c>
      <c r="N56">
        <v>16297.75</v>
      </c>
      <c r="O56" s="17">
        <f>N56/N60*100</f>
        <v>8.4544444069215885</v>
      </c>
      <c r="P56" s="52">
        <f>((O56*O56*(I56/100)*(K56/100))/(L56-1))</f>
        <v>3.2665985272938951E-2</v>
      </c>
      <c r="R56" t="s">
        <v>76</v>
      </c>
      <c r="S56" t="s">
        <v>28</v>
      </c>
      <c r="T56" s="57">
        <f t="shared" ref="T56:X59" si="10">C147</f>
        <v>1.5786886217918545</v>
      </c>
      <c r="U56" s="57">
        <f t="shared" si="10"/>
        <v>9.0319507913622274</v>
      </c>
      <c r="V56" s="57">
        <f t="shared" si="10"/>
        <v>42.821866368685903</v>
      </c>
      <c r="W56" s="57">
        <f t="shared" si="10"/>
        <v>28.860399849396789</v>
      </c>
      <c r="X56" s="57">
        <f t="shared" si="10"/>
        <v>17.707094368763237</v>
      </c>
      <c r="Y56" s="13"/>
      <c r="Z56" s="74"/>
      <c r="AA56" s="12"/>
      <c r="AC56" t="s">
        <v>145</v>
      </c>
      <c r="AD56" s="51">
        <v>0.91929824561403495</v>
      </c>
      <c r="AE56" s="51">
        <v>0.89964788191285106</v>
      </c>
      <c r="AH56">
        <v>1181</v>
      </c>
      <c r="AI56">
        <v>1192</v>
      </c>
      <c r="BF56" s="48">
        <v>0.9041807883602353</v>
      </c>
      <c r="BG56" s="1">
        <v>18</v>
      </c>
      <c r="BH56">
        <f t="shared" si="5"/>
        <v>1.1281436452787641</v>
      </c>
      <c r="BI56">
        <f t="shared" si="7"/>
        <v>0.25566002901309814</v>
      </c>
      <c r="BJ56">
        <f t="shared" si="6"/>
        <v>0.23116288658526371</v>
      </c>
      <c r="BP56" s="1"/>
    </row>
    <row r="57" spans="1:68" x14ac:dyDescent="0.3">
      <c r="A57" t="s">
        <v>5</v>
      </c>
      <c r="B57" s="13">
        <v>2</v>
      </c>
      <c r="C57" s="33">
        <f t="shared" si="9"/>
        <v>0</v>
      </c>
      <c r="D57" s="19">
        <f t="shared" si="9"/>
        <v>0.99132003765143972</v>
      </c>
      <c r="E57" s="34">
        <f t="shared" si="9"/>
        <v>40.667724401748345</v>
      </c>
      <c r="F57" s="19">
        <f t="shared" si="9"/>
        <v>0.59007145098299985</v>
      </c>
      <c r="G57" s="20">
        <f t="shared" si="9"/>
        <v>0.42485144470775982</v>
      </c>
      <c r="H57" s="17">
        <f>SUM(C57:G57)</f>
        <v>42.673967335090545</v>
      </c>
      <c r="I57" s="17">
        <f>E57/H57*100</f>
        <v>95.298672566371678</v>
      </c>
      <c r="J57" s="17">
        <f>SQRT(I57*(100-I57)/(L57-1))</f>
        <v>0.49793723016302682</v>
      </c>
      <c r="K57" s="18">
        <f>100-I57</f>
        <v>4.7013274336283217</v>
      </c>
      <c r="L57" s="1">
        <f>H46</f>
        <v>1808</v>
      </c>
      <c r="M57">
        <v>2</v>
      </c>
      <c r="N57">
        <v>82263.199999999997</v>
      </c>
      <c r="O57" s="17">
        <f>N57/N60*100</f>
        <v>42.673967335090545</v>
      </c>
      <c r="P57" s="52">
        <f>((O57*O57*(I57/100)*(K57/100))/(L57-1))</f>
        <v>4.5151817762100602E-2</v>
      </c>
      <c r="S57" s="66" t="s">
        <v>39</v>
      </c>
      <c r="T57" s="67">
        <f t="shared" si="10"/>
        <v>0</v>
      </c>
      <c r="U57" s="67">
        <f t="shared" si="10"/>
        <v>0.29400052979803515</v>
      </c>
      <c r="V57" s="67">
        <f t="shared" si="10"/>
        <v>0.37138124714588638</v>
      </c>
      <c r="W57" s="67">
        <f t="shared" si="10"/>
        <v>0.59377031889306131</v>
      </c>
      <c r="X57" s="67">
        <f t="shared" si="10"/>
        <v>0.58993660232207035</v>
      </c>
      <c r="AC57" t="s">
        <v>146</v>
      </c>
      <c r="AD57" s="51">
        <v>0.91894736842105196</v>
      </c>
      <c r="AE57" s="51">
        <v>0.90228020792096297</v>
      </c>
      <c r="AF57" s="78"/>
      <c r="AG57" s="78"/>
      <c r="AH57">
        <v>1210</v>
      </c>
      <c r="AI57">
        <v>1221</v>
      </c>
      <c r="BF57" s="48">
        <v>0.90418140726581409</v>
      </c>
      <c r="BG57" s="27">
        <v>19</v>
      </c>
      <c r="BH57" s="84">
        <f t="shared" si="5"/>
        <v>1.4034126358514019</v>
      </c>
      <c r="BI57" s="84">
        <f>-3.562633*($BL$38)^5+5.682633*($BL$38)^4-1.752461*($BL$38)^3-0.293762*($BL$38)^2+0.042981*$BL$38+BH57*($BL$39^-0.5)</f>
        <v>0.32175145499838514</v>
      </c>
      <c r="BJ57">
        <f t="shared" si="6"/>
        <v>0.29092168337026314</v>
      </c>
      <c r="BP57" s="1"/>
    </row>
    <row r="58" spans="1:68" x14ac:dyDescent="0.3">
      <c r="A58" t="s">
        <v>6</v>
      </c>
      <c r="B58" s="13">
        <v>3</v>
      </c>
      <c r="C58" s="33">
        <f t="shared" si="9"/>
        <v>0</v>
      </c>
      <c r="D58" s="19">
        <f t="shared" si="9"/>
        <v>0.46530013797416558</v>
      </c>
      <c r="E58" s="19">
        <f t="shared" si="9"/>
        <v>0.18612005518966623</v>
      </c>
      <c r="F58" s="34">
        <f t="shared" si="9"/>
        <v>25.731097629971355</v>
      </c>
      <c r="G58" s="20">
        <f t="shared" si="9"/>
        <v>4.0015811865778232</v>
      </c>
      <c r="H58" s="17">
        <f>SUM(C58:G58)</f>
        <v>30.384099009713012</v>
      </c>
      <c r="I58" s="17">
        <f>F58/H58*100</f>
        <v>84.686064318529858</v>
      </c>
      <c r="J58" s="17">
        <f>SQRT(I58*(100-I58)/(L58-1))</f>
        <v>1.4103457251881386</v>
      </c>
      <c r="K58" s="18">
        <f>100-I58</f>
        <v>15.313935681470142</v>
      </c>
      <c r="L58" s="1">
        <f>H47</f>
        <v>653</v>
      </c>
      <c r="M58">
        <v>3</v>
      </c>
      <c r="N58">
        <v>58571.85</v>
      </c>
      <c r="O58" s="17">
        <f>N58/N60*100</f>
        <v>30.384099009713012</v>
      </c>
      <c r="P58" s="52">
        <f>((O58*O58*(I58/100)*(K58/100))/(L58-1))</f>
        <v>0.18363011161736809</v>
      </c>
      <c r="S58" t="s">
        <v>30</v>
      </c>
      <c r="T58" s="57">
        <f t="shared" si="10"/>
        <v>100</v>
      </c>
      <c r="U58" s="57">
        <f t="shared" si="10"/>
        <v>85.333633331397678</v>
      </c>
      <c r="V58" s="57">
        <f t="shared" si="10"/>
        <v>96.694647604999616</v>
      </c>
      <c r="W58" s="57">
        <f t="shared" si="10"/>
        <v>88.845413518604317</v>
      </c>
      <c r="X58" s="57">
        <f t="shared" si="10"/>
        <v>75.670244813799471</v>
      </c>
      <c r="AC58" t="s">
        <v>147</v>
      </c>
      <c r="AD58" s="51">
        <v>0.91824561403508698</v>
      </c>
      <c r="AE58" s="51">
        <v>0.90030884311388204</v>
      </c>
      <c r="AH58">
        <v>1239</v>
      </c>
      <c r="AI58">
        <v>1250</v>
      </c>
      <c r="BF58" s="48">
        <v>0.90473596497959341</v>
      </c>
      <c r="BG58" s="27">
        <v>20</v>
      </c>
      <c r="BH58" s="84">
        <f t="shared" si="5"/>
        <v>1.8682416548639302</v>
      </c>
      <c r="BI58" s="84">
        <f>-2.70605*($BL$38)^5+4.4334685*($BL$38)^4-2.07119*($BL$38)^3-0.147981*($BL$38)^2+0.221157*$BL$38+BH58*($BL$39^-0.5)</f>
        <v>0.47336806621893501</v>
      </c>
      <c r="BJ58">
        <f t="shared" si="6"/>
        <v>0.42827311418111225</v>
      </c>
    </row>
    <row r="59" spans="1:68" x14ac:dyDescent="0.3">
      <c r="A59" t="s">
        <v>7</v>
      </c>
      <c r="B59" s="13">
        <v>4</v>
      </c>
      <c r="C59" s="35">
        <f t="shared" si="9"/>
        <v>0</v>
      </c>
      <c r="D59" s="36">
        <f t="shared" si="9"/>
        <v>0</v>
      </c>
      <c r="E59" s="21">
        <f t="shared" si="9"/>
        <v>0.42119380984166072</v>
      </c>
      <c r="F59" s="21">
        <f t="shared" si="9"/>
        <v>2.3165659541291341</v>
      </c>
      <c r="G59" s="37">
        <f t="shared" si="9"/>
        <v>14.180191598002578</v>
      </c>
      <c r="H59" s="17">
        <f>SUM(C59:G59)</f>
        <v>16.917951361973373</v>
      </c>
      <c r="I59" s="17">
        <f>G59/H59*100</f>
        <v>83.817427385892117</v>
      </c>
      <c r="J59" s="17">
        <f>SQRT(I59*(100-I59)/(L59-1))</f>
        <v>2.3773073046690816</v>
      </c>
      <c r="K59" s="18">
        <f>100-I59</f>
        <v>16.182572614107883</v>
      </c>
      <c r="L59" s="1">
        <f>H48</f>
        <v>241</v>
      </c>
      <c r="M59">
        <v>4</v>
      </c>
      <c r="N59">
        <v>32612.97</v>
      </c>
      <c r="O59" s="17">
        <f>N59/N60*100</f>
        <v>16.917951361973373</v>
      </c>
      <c r="P59" s="52">
        <f>((O59*O59*(I59/100)*(K59/100))/(L59-1))</f>
        <v>0.16175815834336743</v>
      </c>
      <c r="S59" s="66" t="s">
        <v>39</v>
      </c>
      <c r="T59" s="67">
        <f t="shared" si="10"/>
        <v>0</v>
      </c>
      <c r="U59" s="67">
        <f t="shared" si="10"/>
        <v>3.9632296896073655</v>
      </c>
      <c r="V59" s="67">
        <f t="shared" si="10"/>
        <v>0.72242088056060627</v>
      </c>
      <c r="W59" s="67">
        <f t="shared" si="10"/>
        <v>2.0875268059393082</v>
      </c>
      <c r="X59" s="67">
        <f t="shared" si="10"/>
        <v>6.1056413832867218</v>
      </c>
      <c r="AC59" t="s">
        <v>148</v>
      </c>
      <c r="AD59" s="51">
        <v>0.91859649122806997</v>
      </c>
      <c r="AE59" s="51">
        <v>0.89962623806444497</v>
      </c>
      <c r="AF59" s="78"/>
      <c r="AG59" s="78"/>
      <c r="AH59">
        <v>1268</v>
      </c>
      <c r="AI59">
        <v>1279</v>
      </c>
      <c r="BI59" t="s">
        <v>365</v>
      </c>
      <c r="BJ59">
        <f>SUM(BJ39:BJ58)</f>
        <v>1.2647224945465774E-2</v>
      </c>
    </row>
    <row r="60" spans="1:68" x14ac:dyDescent="0.3">
      <c r="B60" t="s">
        <v>28</v>
      </c>
      <c r="C60" s="17">
        <f>SUM(C55:C59)</f>
        <v>1.569537886301489</v>
      </c>
      <c r="D60" s="17">
        <f>SUM(D55:D59)</f>
        <v>9.5434800431158209</v>
      </c>
      <c r="E60" s="17">
        <f>SUM(E55:E59)</f>
        <v>41.642622806211051</v>
      </c>
      <c r="F60" s="17">
        <f>SUM(F55:F59)</f>
        <v>28.637735035083491</v>
      </c>
      <c r="G60" s="17">
        <f>SUM(G55:G59)</f>
        <v>18.606624229288162</v>
      </c>
      <c r="H60" s="1">
        <f>SUM(H54:H59)</f>
        <v>100</v>
      </c>
      <c r="I60" s="13" t="s">
        <v>24</v>
      </c>
      <c r="J60" s="12" t="s">
        <v>29</v>
      </c>
      <c r="N60" s="1">
        <f>SUM(N55:N59)</f>
        <v>192771.38999999998</v>
      </c>
      <c r="O60" s="17">
        <f>SUM(O55:O59)</f>
        <v>100</v>
      </c>
      <c r="S60" s="15" t="s">
        <v>31</v>
      </c>
      <c r="T60" s="71">
        <f>I142</f>
        <v>100</v>
      </c>
      <c r="U60" s="71">
        <f>I143</f>
        <v>93.478260869565219</v>
      </c>
      <c r="V60" s="71">
        <f>I144</f>
        <v>95.851769911504419</v>
      </c>
      <c r="W60" s="71">
        <f>I145</f>
        <v>84.532924961715167</v>
      </c>
      <c r="X60" s="71">
        <f>I146</f>
        <v>80.497925311203318</v>
      </c>
      <c r="AC60" t="s">
        <v>149</v>
      </c>
      <c r="AD60" s="51">
        <v>0.921403508771929</v>
      </c>
      <c r="AE60" s="51">
        <v>0.90347077064463199</v>
      </c>
      <c r="AH60">
        <v>1297</v>
      </c>
      <c r="AI60">
        <v>1308</v>
      </c>
    </row>
    <row r="61" spans="1:68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0</v>
      </c>
      <c r="D61" s="18">
        <f>SQRT(SUM((O55*O55*(D55/O55)*(1-D55/O55))/L55,(O56*O56*(D56/O56)*(1-D56/O56))/L56,(O57*O57*(D57/O57)*(1-D57/O57))/L57,(O58*O58*(D58/O58)*(1-D58/O58))/L58,(O59*O59*(D59/O59)*(1-D59/O59))/L59))</f>
        <v>0.27655783792906491</v>
      </c>
      <c r="E61" s="18">
        <f>SQRT(SUM((O55*O55*(E55/O55)*(1-E55/O55))/L55,(O56*O56*(E56/O56)*(1-E56/O56))/L56,(O57*O57*(E57/O57)*(1-E57/O57))/L57,(O58*O58*(E58/O58)*(1-E58/O58))/L58,(O59*O59*(E59/O59)*(1-E59/O59))/L59))</f>
        <v>0.33893382635324104</v>
      </c>
      <c r="F61" s="18">
        <f>SQRT(SUM((O55*O55*(F55/O55)*(1-F55/O55))/L55,(O56*O56*(F56/O56)*(1-F56/O56))/L56,(O57*O57*(F57/O57)*(1-F57/O57))/L57,(O58*O58*(F58/O58)*(1-F58/O58))/L58,(O59*O59*(F59/O59)*(1-F59/O59))/L59))</f>
        <v>0.58089301225665746</v>
      </c>
      <c r="G61" s="18">
        <f>SQRT(SUM((O55*O55*(G55/O55)*(1-G55/O55))/L55,(O56*O56*(G56/O56)*(1-G56/O56))/L56,(O57*O57*(G57/O57)*(1-G57/O57))/L57,(O58*O58*(G58/O58)*(1-G58/O58))/L58,(O59*O59*(G59/O59)*(1-G59/O59))/L59))</f>
        <v>0.57679007721666509</v>
      </c>
      <c r="H61" s="1"/>
      <c r="I61" s="14">
        <f>(C55+D56+E57+F58+G59)/H60</f>
        <v>0.90235411383513986</v>
      </c>
      <c r="J61" s="53">
        <f>SQRT(SUM(P55:P59))/100</f>
        <v>6.5054290634498123E-3</v>
      </c>
      <c r="M61" s="1"/>
      <c r="N61" s="9"/>
      <c r="S61" s="75" t="s">
        <v>39</v>
      </c>
      <c r="T61" s="76">
        <f>J142</f>
        <v>0</v>
      </c>
      <c r="U61" s="76">
        <f>J143</f>
        <v>2.5883102208852078</v>
      </c>
      <c r="V61" s="76">
        <f>J144</f>
        <v>0.46908593425373274</v>
      </c>
      <c r="W61" s="76">
        <f>J145</f>
        <v>1.4160977952198814</v>
      </c>
      <c r="X61" s="76">
        <f>J146</f>
        <v>2.5575676528297544</v>
      </c>
      <c r="AC61" t="s">
        <v>150</v>
      </c>
      <c r="AD61" s="51">
        <v>0.917543859649122</v>
      </c>
      <c r="AE61" s="51">
        <v>0.89799475484539504</v>
      </c>
      <c r="AF61" s="78"/>
      <c r="AG61" s="78"/>
      <c r="AH61">
        <v>1326</v>
      </c>
      <c r="AI61">
        <v>1337</v>
      </c>
      <c r="BF61" s="82" t="s">
        <v>335</v>
      </c>
      <c r="BG61" s="1">
        <v>0.05</v>
      </c>
      <c r="BH61" s="59" t="s">
        <v>336</v>
      </c>
      <c r="BI61" s="1">
        <v>200</v>
      </c>
      <c r="BJ61" s="59" t="s">
        <v>347</v>
      </c>
      <c r="BK61" s="1">
        <f>_xlfn.VAR.S(BF64:BF263)*(BI61-1)</f>
        <v>1.9909553349977543E-3</v>
      </c>
    </row>
    <row r="62" spans="1:68" x14ac:dyDescent="0.3">
      <c r="B62" s="1" t="s">
        <v>30</v>
      </c>
      <c r="C62" s="17">
        <f>C55/C60*100</f>
        <v>100</v>
      </c>
      <c r="D62" s="17">
        <f>D56/D60*100</f>
        <v>84.737012399618976</v>
      </c>
      <c r="E62" s="17">
        <f>E57/E60*100</f>
        <v>97.658892887223956</v>
      </c>
      <c r="F62" s="17">
        <f>F58/F60*100</f>
        <v>89.850323702096986</v>
      </c>
      <c r="G62" s="17">
        <f>G59/G60*100</f>
        <v>76.21044754417052</v>
      </c>
      <c r="H62" s="1"/>
      <c r="S62" s="66" t="s">
        <v>56</v>
      </c>
      <c r="T62" s="67">
        <f>N131*100</f>
        <v>100</v>
      </c>
      <c r="U62" s="67">
        <f>N132*100</f>
        <v>76.785714285714278</v>
      </c>
      <c r="V62" s="67">
        <f>N133*100</f>
        <v>97.30488489612577</v>
      </c>
      <c r="W62" s="67">
        <f>N134*100</f>
        <v>87.203791469194314</v>
      </c>
      <c r="X62" s="67">
        <f>N135*100</f>
        <v>72.388059701492537</v>
      </c>
      <c r="AC62" t="s">
        <v>151</v>
      </c>
      <c r="AD62" s="51">
        <v>0.91403508771929798</v>
      </c>
      <c r="AE62" s="51">
        <v>0.891729371085341</v>
      </c>
      <c r="AH62">
        <v>1355</v>
      </c>
      <c r="AI62">
        <v>1366</v>
      </c>
    </row>
    <row r="63" spans="1:68" ht="15.6" x14ac:dyDescent="0.35">
      <c r="B63" s="16" t="s">
        <v>39</v>
      </c>
      <c r="C63" s="18">
        <f>SQRT((C66+C67)/(C60*C60))</f>
        <v>0</v>
      </c>
      <c r="D63" s="18">
        <f>SQRT((D66+D67)/(D60*D60))</f>
        <v>3.4411297898073889</v>
      </c>
      <c r="E63" s="18">
        <f>SQRT((E66+E67)/(E60*E60))</f>
        <v>0.63290150714997362</v>
      </c>
      <c r="F63" s="18">
        <f>SQRT((F66+F67)/(F60*F60))</f>
        <v>1.9568420752105393</v>
      </c>
      <c r="G63" s="18">
        <f>SQRT((G66+G67)/(G60*G60))</f>
        <v>5.4153126217289058</v>
      </c>
      <c r="H63" s="1"/>
      <c r="I63" s="14"/>
      <c r="R63" s="16" t="s">
        <v>66</v>
      </c>
      <c r="S63" t="s">
        <v>9</v>
      </c>
      <c r="T63" s="30">
        <f>N142</f>
        <v>3043.26</v>
      </c>
      <c r="U63" s="30">
        <f>N143</f>
        <v>15894.02</v>
      </c>
      <c r="V63" s="30">
        <f>N144</f>
        <v>83274.2</v>
      </c>
      <c r="W63" s="30">
        <f>N145</f>
        <v>58472.82</v>
      </c>
      <c r="X63" s="30">
        <f>N146</f>
        <v>32087.09</v>
      </c>
      <c r="Z63" t="s">
        <v>36</v>
      </c>
      <c r="AA63" s="1">
        <f>N147</f>
        <v>192771.38999999998</v>
      </c>
      <c r="AC63" t="s">
        <v>152</v>
      </c>
      <c r="AD63" s="51">
        <v>0.92175438596491199</v>
      </c>
      <c r="AE63" s="51">
        <v>0.90047855069579097</v>
      </c>
      <c r="AF63" s="78"/>
      <c r="AG63" s="78"/>
      <c r="AH63">
        <v>1384</v>
      </c>
      <c r="AI63">
        <v>1395</v>
      </c>
      <c r="BF63" s="12" t="s">
        <v>334</v>
      </c>
      <c r="BG63" s="13" t="s">
        <v>362</v>
      </c>
      <c r="BH63" s="13" t="s">
        <v>367</v>
      </c>
      <c r="BI63" s="13" t="s">
        <v>368</v>
      </c>
      <c r="BJ63" s="13" t="s">
        <v>369</v>
      </c>
      <c r="BK63" s="13" t="s">
        <v>363</v>
      </c>
      <c r="BL63">
        <f>1/(SQRT(BI61))</f>
        <v>7.0710678118654752E-2</v>
      </c>
    </row>
    <row r="64" spans="1:68" ht="15.6" x14ac:dyDescent="0.35">
      <c r="B64" s="1" t="s">
        <v>37</v>
      </c>
      <c r="C64" s="18">
        <f>100-C62</f>
        <v>0</v>
      </c>
      <c r="D64" s="18">
        <f>100-D62</f>
        <v>15.262987600381024</v>
      </c>
      <c r="E64" s="18">
        <f>100-E62</f>
        <v>2.3411071127760437</v>
      </c>
      <c r="F64" s="18">
        <f>100-F62</f>
        <v>10.149676297903014</v>
      </c>
      <c r="G64" s="18">
        <f>100-G62</f>
        <v>23.78955245582948</v>
      </c>
      <c r="R64" s="16" t="s">
        <v>323</v>
      </c>
      <c r="S64" t="s">
        <v>68</v>
      </c>
      <c r="T64" s="57">
        <f>$AA63*T56/100</f>
        <v>3043.2600000000007</v>
      </c>
      <c r="U64" s="57">
        <f>$AA63*U56/100</f>
        <v>17411.017084624964</v>
      </c>
      <c r="V64" s="57">
        <f>$AA63*V56/100</f>
        <v>82548.307022858338</v>
      </c>
      <c r="W64" s="57">
        <f>$AA63*W56/100</f>
        <v>55634.593949240094</v>
      </c>
      <c r="X64" s="57">
        <f>$AA63*X56/100</f>
        <v>34134.211943276612</v>
      </c>
      <c r="Z64" t="s">
        <v>36</v>
      </c>
      <c r="AA64" s="25">
        <f>SUM(T64:X64)</f>
        <v>192771.38999999998</v>
      </c>
      <c r="AC64" t="s">
        <v>153</v>
      </c>
      <c r="AD64" s="51">
        <v>0.91684210526315701</v>
      </c>
      <c r="AE64" s="51">
        <v>0.89764386478174796</v>
      </c>
      <c r="AH64">
        <v>1413</v>
      </c>
      <c r="AI64">
        <v>1424</v>
      </c>
      <c r="BF64" s="51">
        <v>0.89380225517733303</v>
      </c>
      <c r="BG64" s="27">
        <v>1</v>
      </c>
      <c r="BH64" s="84">
        <f>_xlfn.NORM.S.INV((BG64-0.375)/($BI$61+0.25))</f>
        <v>-2.7347800424613062</v>
      </c>
      <c r="BI64" s="84">
        <f>-BI263</f>
        <v>-0.20934182212459215</v>
      </c>
      <c r="BJ64">
        <f>BI64*BF64</f>
        <v>-0.18711019271789259</v>
      </c>
      <c r="BK64" s="13" t="s">
        <v>355</v>
      </c>
      <c r="BL64">
        <f>SUMSQ(BH64:BH263)</f>
        <v>196.54625623244561</v>
      </c>
    </row>
    <row r="65" spans="1:65" ht="15.6" x14ac:dyDescent="0.35">
      <c r="B65" s="1" t="s">
        <v>25</v>
      </c>
      <c r="C65" s="1">
        <f>C49</f>
        <v>56</v>
      </c>
      <c r="D65" s="1">
        <f>D49</f>
        <v>140</v>
      </c>
      <c r="E65" s="1">
        <f>E49</f>
        <v>1737</v>
      </c>
      <c r="F65" s="1">
        <f>F49</f>
        <v>611</v>
      </c>
      <c r="G65" s="1">
        <f>G49</f>
        <v>306</v>
      </c>
      <c r="R65" s="66"/>
      <c r="S65" s="66" t="s">
        <v>67</v>
      </c>
      <c r="T65" s="67">
        <f>$AA63*T57/100</f>
        <v>0</v>
      </c>
      <c r="U65" s="67">
        <f>$AA63*U57/100</f>
        <v>566.74890789903645</v>
      </c>
      <c r="V65" s="67">
        <f>$AA63*V57/100</f>
        <v>715.91679232246042</v>
      </c>
      <c r="W65" s="67">
        <f>$AA63*W57/100</f>
        <v>1144.6192971375867</v>
      </c>
      <c r="X65" s="67">
        <f>$AA63*X57/100</f>
        <v>1137.2289884150271</v>
      </c>
      <c r="AA65" s="1"/>
      <c r="AC65" t="s">
        <v>154</v>
      </c>
      <c r="AD65" s="51">
        <v>0.91964912280701705</v>
      </c>
      <c r="AE65" s="51">
        <v>0.89908615471249198</v>
      </c>
      <c r="AF65" s="78"/>
      <c r="AG65" s="78"/>
      <c r="AH65">
        <v>1442</v>
      </c>
      <c r="AI65">
        <v>1453</v>
      </c>
      <c r="BF65" s="51">
        <v>0.89172937108534145</v>
      </c>
      <c r="BG65" s="27">
        <v>2</v>
      </c>
      <c r="BH65" s="84">
        <f>_xlfn.NORM.S.INV((BG65-0.375)/($BI$61+0.25))</f>
        <v>-2.4037084127855821</v>
      </c>
      <c r="BI65" s="84">
        <f>-BI262</f>
        <v>-0.17254128536790717</v>
      </c>
      <c r="BJ65">
        <f t="shared" ref="BJ65:BJ128" si="11">BI65*BF65</f>
        <v>-0.15386013188738029</v>
      </c>
      <c r="BK65" s="74" t="s">
        <v>364</v>
      </c>
      <c r="BL65">
        <f>(BL64-2*(BH263^2)-2*(BH262^2))/(1-2*(BI263^2)-2*(BI262^2))</f>
        <v>199.37897338378195</v>
      </c>
    </row>
    <row r="66" spans="1:65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760.98284193279176</v>
      </c>
      <c r="E66" s="18">
        <f>(O57*O57*(100-E62)*(100-E62)*(I57)*(100-I57))/((L57-1)*100)</f>
        <v>24.74672932428345</v>
      </c>
      <c r="F66" s="18">
        <f>(O58*O58*(100-F62)*(100-F62)*(I58)*(100-I58))/((L58-1)*100)</f>
        <v>1891.6826531861959</v>
      </c>
      <c r="G66" s="18">
        <f>(O59*O59*(100-G62)*(100-G62)*(I59)*(100-I59))/((L59-1)*100)</f>
        <v>9154.5866034109222</v>
      </c>
      <c r="R66" t="s">
        <v>98</v>
      </c>
      <c r="S66" t="s">
        <v>28</v>
      </c>
      <c r="T66" s="57">
        <f>C176</f>
        <v>1.5487982941867044</v>
      </c>
      <c r="U66" s="57">
        <f t="shared" ref="U66:X69" si="12">D176</f>
        <v>10.192344199945575</v>
      </c>
      <c r="V66" s="57">
        <f t="shared" si="12"/>
        <v>42.233413494860542</v>
      </c>
      <c r="W66" s="57">
        <f t="shared" si="12"/>
        <v>28.194266079082411</v>
      </c>
      <c r="X66" s="57">
        <f t="shared" si="12"/>
        <v>17.831177931924771</v>
      </c>
      <c r="Y66" s="13"/>
      <c r="Z66" s="74"/>
      <c r="AA66" s="12"/>
      <c r="AC66" t="s">
        <v>163</v>
      </c>
      <c r="AD66" s="51">
        <v>0.92280701754385897</v>
      </c>
      <c r="AE66" s="51">
        <v>0.90255580362919197</v>
      </c>
      <c r="AH66" s="78"/>
      <c r="BF66" s="51">
        <v>0.89302781397308595</v>
      </c>
      <c r="BG66" s="1">
        <v>3</v>
      </c>
      <c r="BH66">
        <f>_xlfn.NORM.S.INV((BG66-0.375)/($BI$61+0.25))</f>
        <v>-2.2229788158905457</v>
      </c>
      <c r="BI66">
        <f>BH66/SQRT($BL$65)</f>
        <v>-0.15743295469116447</v>
      </c>
      <c r="BJ66">
        <f t="shared" si="11"/>
        <v>-0.14059200737517449</v>
      </c>
      <c r="BK66" s="74" t="s">
        <v>350</v>
      </c>
      <c r="BL66" s="48">
        <f>CORREL(BF64:BF263,BI64:BI263)^2</f>
        <v>0.9916666385859465</v>
      </c>
      <c r="BM66" s="48">
        <f>(BJ264^2)/BK61</f>
        <v>0.991666638585876</v>
      </c>
    </row>
    <row r="67" spans="1:65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317.50597441689547</v>
      </c>
      <c r="E67" s="18">
        <f>E62*E62*(SUM((H55*E55*(1-E44/H44))/(H44-1),(H56*E56*(1-E45/H45))/(H45-1), (H58*E58*(1-E47/H47))/(H47-1),(H59*E59*(1-E48/H48))/(H48-1)))</f>
        <v>669.87507229666585</v>
      </c>
      <c r="F67" s="18">
        <f>F62*F62*(SUM((H55*F55*(1-F44/H44))/(H44-1),(H56*F56*(1-F45/H45))/(H45-1), (H57*F57*(1-F46/H46))/(H46-1),(H59*F59*(1-F48/H48))/(H48-1)))</f>
        <v>1248.7456928308195</v>
      </c>
      <c r="G67" s="18">
        <f>G62*G62*(SUM((H55*G55*(1-G44/H44))/(H44-1),(H56*G56*(1-G45/H45))/(H45-1), (H57*G57*(1-G46/H46))/(H46-1),(H58*G58*(1-G47/H47))/(H47-1)))</f>
        <v>998.12944868298621</v>
      </c>
      <c r="S67" s="66" t="s">
        <v>39</v>
      </c>
      <c r="T67" s="67">
        <f>C177</f>
        <v>0</v>
      </c>
      <c r="U67" s="67">
        <f t="shared" si="12"/>
        <v>0.29849732101993481</v>
      </c>
      <c r="V67" s="67">
        <f t="shared" si="12"/>
        <v>0.35747325796597174</v>
      </c>
      <c r="W67" s="67">
        <f t="shared" si="12"/>
        <v>0.57540796207723233</v>
      </c>
      <c r="X67" s="67">
        <f t="shared" si="12"/>
        <v>0.56367417651437024</v>
      </c>
      <c r="AC67" t="s">
        <v>164</v>
      </c>
      <c r="AD67" s="51">
        <v>0.91894736842105196</v>
      </c>
      <c r="AE67" s="51">
        <v>0.90039101541648503</v>
      </c>
      <c r="AF67" s="78"/>
      <c r="AG67" s="78"/>
      <c r="AI67" s="78"/>
      <c r="BF67" s="51">
        <v>0.89343976769356803</v>
      </c>
      <c r="BG67" s="1">
        <v>4</v>
      </c>
      <c r="BH67">
        <f t="shared" ref="BH67:BH130" si="13">_xlfn.NORM.S.INV((BG67-0.375)/($BI$61+0.25))</f>
        <v>-2.0946204699384201</v>
      </c>
      <c r="BI67">
        <f t="shared" ref="BI67:BI130" si="14">BH67/SQRT($BL$65)</f>
        <v>-0.14834252453588728</v>
      </c>
      <c r="BJ67">
        <f t="shared" si="11"/>
        <v>-0.13253511066042056</v>
      </c>
      <c r="BK67" s="74" t="s">
        <v>78</v>
      </c>
      <c r="BL67">
        <f>0.0038915*(LN(BI61)^3)-0.083751*(LN(BI61)^2)-0.31082*LN(BI61)-1.5861</f>
        <v>-5.00519183191303</v>
      </c>
    </row>
    <row r="68" spans="1:65" x14ac:dyDescent="0.3">
      <c r="A68" s="105" t="s">
        <v>390</v>
      </c>
      <c r="B68" s="69" t="s">
        <v>9</v>
      </c>
      <c r="C68" s="1">
        <v>274.77999999999997</v>
      </c>
      <c r="D68" s="1">
        <v>956.12</v>
      </c>
      <c r="E68" s="1">
        <v>13616.84</v>
      </c>
      <c r="F68" s="1">
        <v>3884.87</v>
      </c>
      <c r="G68">
        <v>3322.76</v>
      </c>
      <c r="I68" t="s">
        <v>36</v>
      </c>
      <c r="J68" s="57">
        <f>SUM(C68:G68)</f>
        <v>22055.370000000003</v>
      </c>
      <c r="S68" t="s">
        <v>30</v>
      </c>
      <c r="T68" s="57">
        <f>C178</f>
        <v>100</v>
      </c>
      <c r="U68" s="57">
        <f t="shared" si="12"/>
        <v>82.864957233212493</v>
      </c>
      <c r="V68" s="57">
        <f t="shared" si="12"/>
        <v>97.084323179495357</v>
      </c>
      <c r="W68" s="57">
        <f t="shared" si="12"/>
        <v>90.348802411698315</v>
      </c>
      <c r="X68" s="57">
        <f t="shared" si="12"/>
        <v>75.997220136270229</v>
      </c>
      <c r="AC68" t="s">
        <v>165</v>
      </c>
      <c r="AD68" s="51">
        <v>0.92596491228070099</v>
      </c>
      <c r="AE68" s="51">
        <v>0.90687527468012197</v>
      </c>
      <c r="AI68" s="78"/>
      <c r="BF68" s="51">
        <v>0.89354285351113405</v>
      </c>
      <c r="BG68" s="1">
        <v>5</v>
      </c>
      <c r="BH68">
        <f t="shared" si="13"/>
        <v>-1.9936322372681392</v>
      </c>
      <c r="BI68">
        <f t="shared" si="14"/>
        <v>-0.14119046544082484</v>
      </c>
      <c r="BJ68">
        <f t="shared" si="11"/>
        <v>-0.12615973137855979</v>
      </c>
      <c r="BK68" s="74" t="s">
        <v>370</v>
      </c>
      <c r="BL68">
        <f>EXP(0.0030301*(LN(BI61)^2)-0.082676*LN(BI61)-0.4803)</f>
        <v>0.43462042560966935</v>
      </c>
    </row>
    <row r="69" spans="1:65" x14ac:dyDescent="0.3">
      <c r="B69" t="s">
        <v>391</v>
      </c>
      <c r="C69" s="57">
        <f>(C68/$J68)*100</f>
        <v>1.2458643858615834</v>
      </c>
      <c r="D69" s="57">
        <f>(D68/$J68)*100</f>
        <v>4.3350893682581599</v>
      </c>
      <c r="E69" s="57">
        <f>(E68/$J68)*100</f>
        <v>61.739340577827527</v>
      </c>
      <c r="F69" s="57">
        <f>(F68/$J68)*100</f>
        <v>17.614168340862111</v>
      </c>
      <c r="G69" s="57">
        <f>(G68/$J68)*100</f>
        <v>15.065537327190611</v>
      </c>
      <c r="S69" s="66" t="s">
        <v>39</v>
      </c>
      <c r="T69" s="67">
        <f>C179</f>
        <v>0</v>
      </c>
      <c r="U69" s="67">
        <f t="shared" si="12"/>
        <v>3.692526083737476</v>
      </c>
      <c r="V69" s="67">
        <f t="shared" si="12"/>
        <v>0.67231906871188729</v>
      </c>
      <c r="W69" s="67">
        <f t="shared" si="12"/>
        <v>1.9188037316244499</v>
      </c>
      <c r="X69" s="67">
        <f t="shared" si="12"/>
        <v>5.5328795738019956</v>
      </c>
      <c r="AC69" t="s">
        <v>166</v>
      </c>
      <c r="AD69" s="51">
        <v>0.921403508771929</v>
      </c>
      <c r="AE69" s="51">
        <v>0.903789976846882</v>
      </c>
      <c r="AF69" s="78"/>
      <c r="AG69" s="78"/>
      <c r="BF69" s="51">
        <v>0.89367059764754997</v>
      </c>
      <c r="BG69" s="1">
        <v>6</v>
      </c>
      <c r="BH69">
        <f t="shared" si="13"/>
        <v>-1.9096384934921877</v>
      </c>
      <c r="BI69">
        <f t="shared" si="14"/>
        <v>-0.13524196824251786</v>
      </c>
      <c r="BJ69">
        <f t="shared" si="11"/>
        <v>-0.1208617705863219</v>
      </c>
      <c r="BK69" s="74" t="s">
        <v>366</v>
      </c>
      <c r="BL69">
        <f>(LN(1-BL66)-BL67)/BL68</f>
        <v>0.50090480332658149</v>
      </c>
    </row>
    <row r="70" spans="1:65" x14ac:dyDescent="0.3">
      <c r="A70" s="361">
        <v>1977</v>
      </c>
      <c r="B70" s="361"/>
      <c r="C70" s="361"/>
      <c r="D70" s="361"/>
      <c r="E70" s="361"/>
      <c r="F70" s="361"/>
      <c r="G70" s="361"/>
      <c r="H70" s="361"/>
      <c r="I70" s="361"/>
      <c r="J70" s="361"/>
      <c r="K70" s="361"/>
      <c r="L70" s="361" t="s">
        <v>61</v>
      </c>
      <c r="M70" s="361"/>
      <c r="N70" s="361"/>
      <c r="O70" s="361"/>
      <c r="P70" s="361"/>
      <c r="S70" s="15" t="s">
        <v>31</v>
      </c>
      <c r="T70" s="71">
        <f>I171</f>
        <v>100</v>
      </c>
      <c r="U70" s="71">
        <f>I172</f>
        <v>95.652173913043498</v>
      </c>
      <c r="V70" s="71">
        <f>I173</f>
        <v>95.188053097345133</v>
      </c>
      <c r="W70" s="71">
        <f>I174</f>
        <v>84.073506891271052</v>
      </c>
      <c r="X70" s="71">
        <f>I175</f>
        <v>83.402489626556019</v>
      </c>
      <c r="AC70" t="s">
        <v>167</v>
      </c>
      <c r="AD70" s="51">
        <v>0.91859649122806997</v>
      </c>
      <c r="AE70" s="51">
        <v>0.89863471292360797</v>
      </c>
      <c r="AI70" s="78"/>
      <c r="BF70" s="51">
        <v>0.89428854943317704</v>
      </c>
      <c r="BG70" s="1">
        <v>7</v>
      </c>
      <c r="BH70">
        <f t="shared" si="13"/>
        <v>-1.8372886748302382</v>
      </c>
      <c r="BI70">
        <f t="shared" si="14"/>
        <v>-0.13011810217510433</v>
      </c>
      <c r="BJ70">
        <f t="shared" si="11"/>
        <v>-0.11636312884917198</v>
      </c>
      <c r="BK70" s="74" t="s">
        <v>354</v>
      </c>
      <c r="BL70">
        <f>1-NORMSDIST(BL69)</f>
        <v>0.30821906093598894</v>
      </c>
    </row>
    <row r="71" spans="1:65" x14ac:dyDescent="0.3">
      <c r="A71" t="s">
        <v>320</v>
      </c>
      <c r="B71" t="s">
        <v>21</v>
      </c>
      <c r="I71" s="1" t="s">
        <v>58</v>
      </c>
      <c r="O71" s="360" t="s">
        <v>411</v>
      </c>
      <c r="P71" s="360"/>
      <c r="S71" s="75" t="s">
        <v>39</v>
      </c>
      <c r="T71" s="76">
        <f>J171</f>
        <v>0</v>
      </c>
      <c r="U71" s="76">
        <f>J172</f>
        <v>2.1377790082366981</v>
      </c>
      <c r="V71" s="76">
        <f>J173</f>
        <v>0.50346879604916406</v>
      </c>
      <c r="W71" s="76">
        <f>J174</f>
        <v>1.4330649123975316</v>
      </c>
      <c r="X71" s="76">
        <f>J175</f>
        <v>2.4016259134419555</v>
      </c>
      <c r="AC71" t="s">
        <v>168</v>
      </c>
      <c r="AD71" s="51">
        <v>0.92596491228070099</v>
      </c>
      <c r="AE71" s="51">
        <v>0.90600652771869095</v>
      </c>
      <c r="AF71" s="78"/>
      <c r="AG71" s="78"/>
      <c r="BF71" s="51">
        <v>0.89466769100572796</v>
      </c>
      <c r="BG71" s="1">
        <v>8</v>
      </c>
      <c r="BH71">
        <f t="shared" si="13"/>
        <v>-1.7734461562988939</v>
      </c>
      <c r="BI71">
        <f t="shared" si="14"/>
        <v>-0.12559672920678461</v>
      </c>
      <c r="BJ71">
        <f t="shared" si="11"/>
        <v>-0.11236733571730566</v>
      </c>
      <c r="BK71" s="13" t="s">
        <v>358</v>
      </c>
      <c r="BL71" s="13" t="str">
        <f>IF(GESTEP(BL70,BG61)=0,"YES","NO")</f>
        <v>NO</v>
      </c>
    </row>
    <row r="72" spans="1:65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56</v>
      </c>
      <c r="O72" s="13" t="s">
        <v>412</v>
      </c>
      <c r="P72" s="13" t="s">
        <v>41</v>
      </c>
      <c r="S72" s="66" t="s">
        <v>56</v>
      </c>
      <c r="T72" s="67">
        <f>N160*100</f>
        <v>100</v>
      </c>
      <c r="U72" s="67">
        <f>N161*100</f>
        <v>72.727272727272734</v>
      </c>
      <c r="V72" s="67">
        <f>N162*100</f>
        <v>96.985066215835445</v>
      </c>
      <c r="W72" s="67">
        <f>N163*100</f>
        <v>87.559808612440193</v>
      </c>
      <c r="X72" s="67">
        <f>N164*100</f>
        <v>74.033149171270736</v>
      </c>
      <c r="AC72" t="s">
        <v>159</v>
      </c>
      <c r="AD72" s="51">
        <v>0.91789473684210499</v>
      </c>
      <c r="AE72" s="51">
        <v>0.89815447041260299</v>
      </c>
      <c r="AI72" s="78"/>
      <c r="BF72" s="51">
        <v>0.89507168168705897</v>
      </c>
      <c r="BG72" s="1">
        <v>9</v>
      </c>
      <c r="BH72">
        <f t="shared" si="13"/>
        <v>-1.7161077551573309</v>
      </c>
      <c r="BI72">
        <f t="shared" si="14"/>
        <v>-0.12153598249860366</v>
      </c>
      <c r="BJ72">
        <f t="shared" si="11"/>
        <v>-0.10878341624051414</v>
      </c>
    </row>
    <row r="73" spans="1:65" x14ac:dyDescent="0.3">
      <c r="A73" t="s">
        <v>3</v>
      </c>
      <c r="B73" s="13">
        <v>0</v>
      </c>
      <c r="C73" s="26">
        <v>56</v>
      </c>
      <c r="D73" s="3">
        <v>0</v>
      </c>
      <c r="E73" s="3">
        <v>0</v>
      </c>
      <c r="F73" s="3">
        <v>0</v>
      </c>
      <c r="G73" s="4">
        <v>0</v>
      </c>
      <c r="H73" s="1">
        <f>SUM(C73:G73)</f>
        <v>56</v>
      </c>
      <c r="I73" s="10">
        <f>C73/H73</f>
        <v>1</v>
      </c>
      <c r="J73" s="11">
        <f>1-I73</f>
        <v>0</v>
      </c>
      <c r="K73">
        <f>H73-C78</f>
        <v>0</v>
      </c>
      <c r="N73" s="10">
        <f>2*(C79*I73)/(C79+I73)</f>
        <v>1</v>
      </c>
      <c r="O73" s="1">
        <v>0</v>
      </c>
      <c r="P73" s="1">
        <v>285</v>
      </c>
      <c r="R73" s="16" t="s">
        <v>66</v>
      </c>
      <c r="S73" t="s">
        <v>9</v>
      </c>
      <c r="T73" s="1">
        <f>N171</f>
        <v>2985.64</v>
      </c>
      <c r="U73" s="1">
        <f>N172</f>
        <v>17021.3</v>
      </c>
      <c r="V73" s="1">
        <f>N173</f>
        <v>83035.81</v>
      </c>
      <c r="W73" s="1">
        <f>N174</f>
        <v>58407.23</v>
      </c>
      <c r="X73" s="1">
        <f>N175</f>
        <v>31321.41</v>
      </c>
      <c r="Z73" t="s">
        <v>36</v>
      </c>
      <c r="AA73" s="1">
        <f>N176</f>
        <v>192771.39</v>
      </c>
      <c r="AC73" t="s">
        <v>169</v>
      </c>
      <c r="AD73" s="51">
        <v>0.91824561403508698</v>
      </c>
      <c r="AE73" s="51">
        <v>0.89819304636587305</v>
      </c>
      <c r="AF73" s="78"/>
      <c r="AG73" s="78"/>
      <c r="BF73" s="51">
        <v>0.89509077033183004</v>
      </c>
      <c r="BG73" s="1">
        <v>10</v>
      </c>
      <c r="BH73">
        <f t="shared" si="13"/>
        <v>-1.6639128949712361</v>
      </c>
      <c r="BI73">
        <f t="shared" si="14"/>
        <v>-0.11783950505129283</v>
      </c>
      <c r="BJ73">
        <f t="shared" si="11"/>
        <v>-0.10547705335188327</v>
      </c>
    </row>
    <row r="74" spans="1:65" ht="15.6" x14ac:dyDescent="0.35">
      <c r="A74" t="s">
        <v>4</v>
      </c>
      <c r="B74" s="13">
        <v>1</v>
      </c>
      <c r="C74" s="5">
        <v>0</v>
      </c>
      <c r="D74" s="27">
        <v>88</v>
      </c>
      <c r="E74" s="1">
        <v>4</v>
      </c>
      <c r="F74" s="1">
        <v>0</v>
      </c>
      <c r="G74" s="6">
        <v>0</v>
      </c>
      <c r="H74" s="1">
        <f>SUM(C74:G74)</f>
        <v>92</v>
      </c>
      <c r="I74" s="10">
        <f>D74/H74</f>
        <v>0.95652173913043481</v>
      </c>
      <c r="J74" s="11">
        <f>1-I74</f>
        <v>4.3478260869565188E-2</v>
      </c>
      <c r="K74">
        <f>H74-D78</f>
        <v>-56</v>
      </c>
      <c r="N74" s="10">
        <f>2*(D79*I74)/(D79+I74)</f>
        <v>0.73333333333333339</v>
      </c>
      <c r="O74" s="1">
        <v>5</v>
      </c>
      <c r="P74" s="1">
        <v>82</v>
      </c>
      <c r="R74" s="16" t="s">
        <v>323</v>
      </c>
      <c r="S74" t="s">
        <v>68</v>
      </c>
      <c r="T74" s="57">
        <f>$AA73*T66/100</f>
        <v>2985.6399999999994</v>
      </c>
      <c r="U74" s="57">
        <f>$AA73*U66/100</f>
        <v>19647.923587819467</v>
      </c>
      <c r="V74" s="57">
        <f>$AA73*V66/100</f>
        <v>81413.938238490256</v>
      </c>
      <c r="W74" s="57">
        <f>$AA73*W66/100</f>
        <v>54350.478620945665</v>
      </c>
      <c r="X74" s="57">
        <f>$AA73*X66/100</f>
        <v>34373.409552744633</v>
      </c>
      <c r="Z74" t="s">
        <v>36</v>
      </c>
      <c r="AA74" s="25">
        <f>SUM(T74:X74)</f>
        <v>192771.39</v>
      </c>
      <c r="AC74" t="s">
        <v>170</v>
      </c>
      <c r="AD74" s="51">
        <v>0.91894736842105196</v>
      </c>
      <c r="AE74" s="51">
        <v>0.89957766250436699</v>
      </c>
      <c r="AI74" s="78"/>
      <c r="BF74" s="51">
        <v>0.89512345620468503</v>
      </c>
      <c r="BG74" s="1">
        <v>11</v>
      </c>
      <c r="BH74">
        <f t="shared" si="13"/>
        <v>-1.6158934440722883</v>
      </c>
      <c r="BI74">
        <f t="shared" si="14"/>
        <v>-0.11443873308548347</v>
      </c>
      <c r="BJ74">
        <f t="shared" si="11"/>
        <v>-0.10243679428316341</v>
      </c>
    </row>
    <row r="75" spans="1:65" x14ac:dyDescent="0.3">
      <c r="A75" t="s">
        <v>5</v>
      </c>
      <c r="B75" s="13">
        <v>2</v>
      </c>
      <c r="C75" s="5">
        <v>0</v>
      </c>
      <c r="D75" s="1">
        <v>50</v>
      </c>
      <c r="E75" s="27">
        <v>1717</v>
      </c>
      <c r="F75" s="1">
        <v>23</v>
      </c>
      <c r="G75" s="6">
        <v>18</v>
      </c>
      <c r="H75" s="1">
        <f>SUM(C75:G75)</f>
        <v>1808</v>
      </c>
      <c r="I75" s="10">
        <f>E75/H75</f>
        <v>0.94966814159292035</v>
      </c>
      <c r="J75" s="11">
        <f>1-I75</f>
        <v>5.0331858407079655E-2</v>
      </c>
      <c r="K75">
        <f>H75-E78</f>
        <v>74</v>
      </c>
      <c r="N75" s="10">
        <f>2*(E79*I75)/(E79+I75)</f>
        <v>0.9695087521174478</v>
      </c>
      <c r="O75" s="1">
        <v>916</v>
      </c>
      <c r="P75" s="1">
        <v>9839</v>
      </c>
      <c r="R75" s="66"/>
      <c r="S75" s="66" t="s">
        <v>67</v>
      </c>
      <c r="T75" s="67">
        <f>$AA73*T67/100</f>
        <v>0</v>
      </c>
      <c r="U75" s="67">
        <f>$AA73*U67/100</f>
        <v>575.41743484289054</v>
      </c>
      <c r="V75" s="67">
        <f>$AA73*V67/100</f>
        <v>689.10616825928957</v>
      </c>
      <c r="W75" s="67">
        <f>$AA73*W67/100</f>
        <v>1109.2219266669536</v>
      </c>
      <c r="X75" s="67">
        <f>$AA73*X67/100</f>
        <v>1086.6025451378052</v>
      </c>
      <c r="AA75" s="1"/>
      <c r="AC75" t="s">
        <v>171</v>
      </c>
      <c r="AD75" s="51">
        <v>0.92385964912280705</v>
      </c>
      <c r="AE75" s="51">
        <v>0.90535213800846503</v>
      </c>
      <c r="AF75" s="78"/>
      <c r="AG75" s="78"/>
      <c r="BF75" s="51">
        <v>0.89524708257813301</v>
      </c>
      <c r="BG75" s="1">
        <v>12</v>
      </c>
      <c r="BH75">
        <f t="shared" si="13"/>
        <v>-1.5713349421078384</v>
      </c>
      <c r="BI75">
        <f t="shared" si="14"/>
        <v>-0.11128306800638772</v>
      </c>
      <c r="BJ75">
        <f t="shared" si="11"/>
        <v>-9.9625841973062582E-2</v>
      </c>
    </row>
    <row r="76" spans="1:65" x14ac:dyDescent="0.3">
      <c r="A76" t="s">
        <v>6</v>
      </c>
      <c r="B76" s="13">
        <v>3</v>
      </c>
      <c r="C76" s="5">
        <v>0</v>
      </c>
      <c r="D76" s="1">
        <v>10</v>
      </c>
      <c r="E76" s="1">
        <v>8</v>
      </c>
      <c r="F76" s="27">
        <v>555</v>
      </c>
      <c r="G76" s="6">
        <v>80</v>
      </c>
      <c r="H76" s="1">
        <f>SUM(C76:G76)</f>
        <v>653</v>
      </c>
      <c r="I76" s="10">
        <f>F76/H76</f>
        <v>0.84992343032159268</v>
      </c>
      <c r="J76" s="11">
        <f>1-I76</f>
        <v>0.15007656967840732</v>
      </c>
      <c r="K76">
        <f>H76-F78</f>
        <v>37</v>
      </c>
      <c r="N76" s="10">
        <f>2*(F79*I76)/(F79+I76)</f>
        <v>0.87470449172576836</v>
      </c>
      <c r="O76" s="1">
        <v>667</v>
      </c>
      <c r="P76" s="1">
        <v>18563</v>
      </c>
      <c r="R76" t="s">
        <v>99</v>
      </c>
      <c r="S76" t="s">
        <v>28</v>
      </c>
      <c r="T76" s="57">
        <f t="shared" ref="T76:X79" si="15">C205</f>
        <v>1.5826103655734391</v>
      </c>
      <c r="U76" s="57">
        <f t="shared" si="15"/>
        <v>9.2356260565515189</v>
      </c>
      <c r="V76" s="57">
        <f t="shared" si="15"/>
        <v>42.171790566658636</v>
      </c>
      <c r="W76" s="57">
        <f t="shared" si="15"/>
        <v>29.774923954424423</v>
      </c>
      <c r="X76" s="57">
        <f t="shared" si="15"/>
        <v>17.235049056791972</v>
      </c>
      <c r="AC76" t="s">
        <v>172</v>
      </c>
      <c r="AD76" s="51">
        <v>0.91929824561403495</v>
      </c>
      <c r="AE76" s="51">
        <v>0.90154361825902096</v>
      </c>
      <c r="AI76" s="78"/>
      <c r="BF76" s="51">
        <v>0.89525004790360097</v>
      </c>
      <c r="BG76" s="1">
        <v>13</v>
      </c>
      <c r="BH76">
        <f t="shared" si="13"/>
        <v>-1.5296944238710335</v>
      </c>
      <c r="BI76">
        <f t="shared" si="14"/>
        <v>-0.1083340566284879</v>
      </c>
      <c r="BJ76">
        <f t="shared" si="11"/>
        <v>-9.6986069386245211E-2</v>
      </c>
    </row>
    <row r="77" spans="1:65" x14ac:dyDescent="0.3">
      <c r="A77" t="s">
        <v>7</v>
      </c>
      <c r="B77" s="13">
        <v>4</v>
      </c>
      <c r="C77" s="7">
        <v>0</v>
      </c>
      <c r="D77" s="8">
        <v>0</v>
      </c>
      <c r="E77" s="8">
        <v>5</v>
      </c>
      <c r="F77" s="8">
        <v>38</v>
      </c>
      <c r="G77" s="28">
        <v>198</v>
      </c>
      <c r="H77" s="1">
        <f>SUM(C77:G77)</f>
        <v>241</v>
      </c>
      <c r="I77" s="10">
        <f>G77/H77</f>
        <v>0.82157676348547715</v>
      </c>
      <c r="J77" s="11">
        <f>1-I77</f>
        <v>0.17842323651452285</v>
      </c>
      <c r="K77">
        <f>H77-G78</f>
        <v>-55</v>
      </c>
      <c r="N77" s="10">
        <f>2*(G79*I77)/(G79+I77)</f>
        <v>0.73743016759776525</v>
      </c>
      <c r="O77" s="1">
        <v>264</v>
      </c>
      <c r="P77" s="1">
        <v>14456</v>
      </c>
      <c r="S77" s="66" t="s">
        <v>39</v>
      </c>
      <c r="T77" s="67">
        <f t="shared" si="15"/>
        <v>0</v>
      </c>
      <c r="U77" s="67">
        <f t="shared" si="15"/>
        <v>0.28269052838988978</v>
      </c>
      <c r="V77" s="67">
        <f t="shared" si="15"/>
        <v>0.33267095381552003</v>
      </c>
      <c r="W77" s="67">
        <f t="shared" si="15"/>
        <v>0.58210024844795105</v>
      </c>
      <c r="X77" s="67">
        <f t="shared" si="15"/>
        <v>0.56608702992617266</v>
      </c>
      <c r="AC77" t="s">
        <v>173</v>
      </c>
      <c r="AD77" s="51">
        <v>0.91929824561403495</v>
      </c>
      <c r="AE77" s="51">
        <v>0.90254346206273794</v>
      </c>
      <c r="AF77" s="78"/>
      <c r="AG77" s="78"/>
      <c r="BF77" s="51">
        <v>0.89534456075245095</v>
      </c>
      <c r="BG77" s="1">
        <v>14</v>
      </c>
      <c r="BH77">
        <f t="shared" si="13"/>
        <v>-1.4905491617855362</v>
      </c>
      <c r="BI77">
        <f t="shared" si="14"/>
        <v>-0.10556176108152786</v>
      </c>
      <c r="BJ77">
        <f t="shared" si="11"/>
        <v>-9.4514148607795737E-2</v>
      </c>
    </row>
    <row r="78" spans="1:65" ht="15.6" x14ac:dyDescent="0.35">
      <c r="B78" s="1" t="s">
        <v>19</v>
      </c>
      <c r="C78" s="1">
        <f>SUM(C73:C77)</f>
        <v>56</v>
      </c>
      <c r="D78" s="1">
        <f>SUM(D73:D77)</f>
        <v>148</v>
      </c>
      <c r="E78" s="1">
        <f>SUM(E73:E77)</f>
        <v>1734</v>
      </c>
      <c r="F78" s="1">
        <f>SUM(F73:F77)</f>
        <v>616</v>
      </c>
      <c r="G78" s="1">
        <f>SUM(G73:G77)</f>
        <v>296</v>
      </c>
      <c r="H78" s="1">
        <f>SUM(H72:H77)</f>
        <v>2850</v>
      </c>
      <c r="I78" s="13" t="s">
        <v>12</v>
      </c>
      <c r="N78" s="16" t="s">
        <v>36</v>
      </c>
      <c r="O78" s="1">
        <f>SUM(O73:O77)</f>
        <v>1852</v>
      </c>
      <c r="P78" s="1">
        <f>SUM(P73:P77)</f>
        <v>43225</v>
      </c>
      <c r="S78" s="70" t="s">
        <v>30</v>
      </c>
      <c r="T78" s="64">
        <f t="shared" si="15"/>
        <v>100</v>
      </c>
      <c r="U78" s="64">
        <f t="shared" si="15"/>
        <v>82.203734662790154</v>
      </c>
      <c r="V78" s="64">
        <f t="shared" si="15"/>
        <v>97.703839478852217</v>
      </c>
      <c r="W78" s="64">
        <f t="shared" si="15"/>
        <v>89.258979147073902</v>
      </c>
      <c r="X78" s="64">
        <f t="shared" si="15"/>
        <v>77.61143509013101</v>
      </c>
      <c r="AC78" t="s">
        <v>174</v>
      </c>
      <c r="AD78" s="51">
        <v>0.92035087719298203</v>
      </c>
      <c r="AE78" s="51">
        <v>0.90236306752195705</v>
      </c>
      <c r="BF78" s="51">
        <v>0.89538438739043802</v>
      </c>
      <c r="BG78" s="1">
        <v>15</v>
      </c>
      <c r="BH78">
        <f t="shared" si="13"/>
        <v>-1.4535633083711825</v>
      </c>
      <c r="BI78">
        <f t="shared" si="14"/>
        <v>-0.1029423964059975</v>
      </c>
      <c r="BJ78">
        <f t="shared" si="11"/>
        <v>-9.2173014542487705E-2</v>
      </c>
    </row>
    <row r="79" spans="1:65" x14ac:dyDescent="0.3">
      <c r="A79" s="1" t="s">
        <v>321</v>
      </c>
      <c r="B79" s="1" t="s">
        <v>2</v>
      </c>
      <c r="C79" s="10">
        <f>C73/C78</f>
        <v>1</v>
      </c>
      <c r="D79" s="10">
        <f>D74/D78</f>
        <v>0.59459459459459463</v>
      </c>
      <c r="E79" s="10">
        <f>E75/E78</f>
        <v>0.99019607843137258</v>
      </c>
      <c r="F79" s="10">
        <f>F76/F78</f>
        <v>0.90097402597402598</v>
      </c>
      <c r="G79" s="10">
        <f>G77/G78</f>
        <v>0.66891891891891897</v>
      </c>
      <c r="H79" s="10"/>
      <c r="I79" s="14">
        <f>(C73+D74+E75+F76+G77)/H78</f>
        <v>0.91719298245614034</v>
      </c>
      <c r="S79" s="66" t="s">
        <v>39</v>
      </c>
      <c r="T79" s="67">
        <f t="shared" si="15"/>
        <v>0</v>
      </c>
      <c r="U79" s="67">
        <f t="shared" si="15"/>
        <v>3.8430717875993072</v>
      </c>
      <c r="V79" s="67">
        <f t="shared" si="15"/>
        <v>0.60118150655839997</v>
      </c>
      <c r="W79" s="67">
        <f t="shared" si="15"/>
        <v>1.9389484552554974</v>
      </c>
      <c r="X79" s="67">
        <f t="shared" si="15"/>
        <v>5.5891393243457506</v>
      </c>
      <c r="AC79" t="s">
        <v>175</v>
      </c>
      <c r="AD79" s="51">
        <v>0.91964912280701705</v>
      </c>
      <c r="AE79" s="51">
        <v>0.90175094746072004</v>
      </c>
      <c r="AF79" s="78"/>
      <c r="AG79" s="78"/>
      <c r="BF79" s="51">
        <v>0.89541187312019099</v>
      </c>
      <c r="BG79" s="1">
        <v>16</v>
      </c>
      <c r="BH79">
        <f t="shared" si="13"/>
        <v>-1.4184654072104084</v>
      </c>
      <c r="BI79">
        <f t="shared" si="14"/>
        <v>-0.10045673786363954</v>
      </c>
      <c r="BJ79">
        <f t="shared" si="11"/>
        <v>-8.9950155818025498E-2</v>
      </c>
    </row>
    <row r="80" spans="1:65" x14ac:dyDescent="0.3">
      <c r="B80" s="1" t="s">
        <v>14</v>
      </c>
      <c r="C80" s="11">
        <f>1-C79</f>
        <v>0</v>
      </c>
      <c r="D80" s="11">
        <f>1-D79</f>
        <v>0.40540540540540537</v>
      </c>
      <c r="E80" s="11">
        <f>1-E79</f>
        <v>9.8039215686274161E-3</v>
      </c>
      <c r="F80" s="11">
        <f>1-F79</f>
        <v>9.9025974025974017E-2</v>
      </c>
      <c r="G80" s="11">
        <f>1-G79</f>
        <v>0.33108108108108103</v>
      </c>
      <c r="S80" s="70" t="s">
        <v>31</v>
      </c>
      <c r="T80" s="64">
        <f>I200</f>
        <v>100</v>
      </c>
      <c r="U80" s="64">
        <f>I201</f>
        <v>95.652173913043484</v>
      </c>
      <c r="V80" s="64">
        <f>I202</f>
        <v>95.298672566371707</v>
      </c>
      <c r="W80" s="64">
        <f>I203</f>
        <v>86.064318529862177</v>
      </c>
      <c r="X80" s="64">
        <f>I204</f>
        <v>81.742738589211612</v>
      </c>
      <c r="AC80" t="s">
        <v>176</v>
      </c>
      <c r="AD80" s="51">
        <v>0.91789473684210499</v>
      </c>
      <c r="AE80" s="51">
        <v>0.89950727890065396</v>
      </c>
      <c r="AI80" s="78"/>
      <c r="AJ80" s="361" t="s">
        <v>373</v>
      </c>
      <c r="AK80" s="361"/>
      <c r="AL80" s="361"/>
      <c r="AM80" s="361"/>
      <c r="AN80" s="361"/>
      <c r="AO80" s="361"/>
      <c r="AP80" s="361"/>
      <c r="AQ80" s="361"/>
      <c r="AR80" s="361"/>
      <c r="AS80" s="361"/>
      <c r="AT80" s="361"/>
      <c r="AU80" s="361" t="s">
        <v>374</v>
      </c>
      <c r="AV80" s="361"/>
      <c r="AW80" s="361"/>
      <c r="AX80" s="361"/>
      <c r="AY80" s="361"/>
      <c r="BF80" s="51">
        <v>0.89546953737264401</v>
      </c>
      <c r="BG80" s="1">
        <v>17</v>
      </c>
      <c r="BH80">
        <f t="shared" si="13"/>
        <v>-1.3850327712601831</v>
      </c>
      <c r="BI80">
        <f t="shared" si="14"/>
        <v>-9.8089014598292334E-2</v>
      </c>
      <c r="BJ80">
        <f t="shared" si="11"/>
        <v>-8.783572452367136E-2</v>
      </c>
    </row>
    <row r="81" spans="1:62" x14ac:dyDescent="0.3">
      <c r="C81" s="2"/>
      <c r="S81" s="66" t="s">
        <v>39</v>
      </c>
      <c r="T81" s="67">
        <f>J200</f>
        <v>0</v>
      </c>
      <c r="U81" s="67">
        <f>J201</f>
        <v>2.1377790082367012</v>
      </c>
      <c r="V81" s="67">
        <f>J202</f>
        <v>0.49793723016302543</v>
      </c>
      <c r="W81" s="67">
        <f>J203</f>
        <v>1.3562878611246618</v>
      </c>
      <c r="X81" s="67">
        <f>J204</f>
        <v>2.4936574100246278</v>
      </c>
      <c r="AC81" t="s">
        <v>177</v>
      </c>
      <c r="AD81" s="51">
        <v>0.92</v>
      </c>
      <c r="AE81" s="51">
        <v>0.90184380731548897</v>
      </c>
      <c r="AF81" s="78"/>
      <c r="AG81" s="78"/>
      <c r="AJ81" t="s">
        <v>320</v>
      </c>
      <c r="AK81" t="s">
        <v>21</v>
      </c>
      <c r="AR81" s="1" t="s">
        <v>58</v>
      </c>
      <c r="BF81" s="51">
        <v>0.89547509469002695</v>
      </c>
      <c r="BG81" s="1">
        <v>18</v>
      </c>
      <c r="BH81">
        <f t="shared" si="13"/>
        <v>-1.3530803497322956</v>
      </c>
      <c r="BI81">
        <f t="shared" si="14"/>
        <v>-9.5826121180363974E-2</v>
      </c>
      <c r="BJ81">
        <f t="shared" si="11"/>
        <v>-8.5809904937764428E-2</v>
      </c>
    </row>
    <row r="82" spans="1:62" ht="15.6" x14ac:dyDescent="0.35">
      <c r="A82" t="s">
        <v>322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56</v>
      </c>
      <c r="T82" s="65">
        <f>N189*100</f>
        <v>100</v>
      </c>
      <c r="U82" s="65">
        <f>N190*100</f>
        <v>74.261603375527415</v>
      </c>
      <c r="V82" s="65">
        <f>N191*100</f>
        <v>97.179921037789057</v>
      </c>
      <c r="W82" s="65">
        <f>N192*100</f>
        <v>88.018794048551285</v>
      </c>
      <c r="X82" s="65">
        <f>N193*100</f>
        <v>74.621212121212125</v>
      </c>
      <c r="Z82" s="46"/>
      <c r="AA82" s="46"/>
      <c r="AC82" t="s">
        <v>178</v>
      </c>
      <c r="AD82" s="51">
        <v>0.91438596491227997</v>
      </c>
      <c r="AE82" s="51">
        <v>0.89538438739043802</v>
      </c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56</v>
      </c>
      <c r="BF82" s="51">
        <v>0.89553020393441696</v>
      </c>
      <c r="BG82" s="1">
        <v>19</v>
      </c>
      <c r="BH82">
        <f t="shared" si="13"/>
        <v>-1.3224526154698777</v>
      </c>
      <c r="BI82">
        <f t="shared" si="14"/>
        <v>-9.3657043065016932E-2</v>
      </c>
      <c r="BJ82">
        <f t="shared" si="11"/>
        <v>-8.3872710875909084E-2</v>
      </c>
    </row>
    <row r="83" spans="1:62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66</v>
      </c>
      <c r="S83" t="s">
        <v>9</v>
      </c>
      <c r="T83" s="30">
        <f>N200</f>
        <v>3050.82</v>
      </c>
      <c r="U83" s="30">
        <f>N201</f>
        <v>15300.5</v>
      </c>
      <c r="V83" s="30">
        <f>N202</f>
        <v>83346.89</v>
      </c>
      <c r="W83" s="30">
        <f>N203</f>
        <v>59528.1</v>
      </c>
      <c r="X83" s="30">
        <f>N204</f>
        <v>31545.08</v>
      </c>
      <c r="Z83" t="s">
        <v>36</v>
      </c>
      <c r="AA83" s="1">
        <f>N205</f>
        <v>192771.39</v>
      </c>
      <c r="AC83" t="s">
        <v>179</v>
      </c>
      <c r="AD83" s="51">
        <v>0.917543859649122</v>
      </c>
      <c r="AE83" s="51">
        <v>0.90110822006786995</v>
      </c>
      <c r="AF83" s="78"/>
      <c r="AG83" s="78"/>
      <c r="AJ83" t="s">
        <v>3</v>
      </c>
      <c r="AK83" s="13">
        <v>0</v>
      </c>
      <c r="AL83" s="26">
        <v>56</v>
      </c>
      <c r="AM83" s="3">
        <v>0</v>
      </c>
      <c r="AN83" s="3">
        <v>0</v>
      </c>
      <c r="AO83" s="3">
        <v>0</v>
      </c>
      <c r="AP83" s="4">
        <v>0</v>
      </c>
      <c r="AQ83" s="1">
        <f>SUM(AL83:AP83)</f>
        <v>56</v>
      </c>
      <c r="AR83" s="10">
        <f>AL83/AQ83</f>
        <v>1</v>
      </c>
      <c r="AS83" s="11">
        <f>1-AR83</f>
        <v>0</v>
      </c>
      <c r="AT83">
        <f>AQ83-AL88</f>
        <v>0</v>
      </c>
      <c r="AW83" s="10">
        <f>2*(AL89*AR83)/(AL89+AR83)</f>
        <v>1</v>
      </c>
      <c r="BF83" s="51">
        <v>0.8955687385087816</v>
      </c>
      <c r="BG83" s="1">
        <v>20</v>
      </c>
      <c r="BH83">
        <f t="shared" si="13"/>
        <v>-1.2930175370911461</v>
      </c>
      <c r="BI83">
        <f t="shared" si="14"/>
        <v>-9.1572429695063032E-2</v>
      </c>
      <c r="BJ83">
        <f t="shared" si="11"/>
        <v>-8.2009405344191696E-2</v>
      </c>
    </row>
    <row r="84" spans="1:62" ht="15.6" x14ac:dyDescent="0.35">
      <c r="A84" t="s">
        <v>3</v>
      </c>
      <c r="B84" s="13">
        <v>0</v>
      </c>
      <c r="C84" s="29">
        <f>(C73/$L84)*$O84</f>
        <v>1.5743933786024991</v>
      </c>
      <c r="D84" s="31">
        <f>(D73/$L84)*$O84</f>
        <v>0</v>
      </c>
      <c r="E84" s="31">
        <f>(E73/$L84)*$O84</f>
        <v>0</v>
      </c>
      <c r="F84" s="31">
        <f>(F73/$L84)*$O84</f>
        <v>0</v>
      </c>
      <c r="G84" s="32">
        <f>(G73/$L84)*$O84</f>
        <v>0</v>
      </c>
      <c r="H84" s="17">
        <f>SUM(C84:G84)</f>
        <v>1.5743933786024991</v>
      </c>
      <c r="I84" s="17">
        <f>C84/H84*100</f>
        <v>100</v>
      </c>
      <c r="J84" s="17">
        <f>SQRT(I84*(100-I84)/(L84-1))</f>
        <v>0</v>
      </c>
      <c r="K84" s="18">
        <f>100-I84</f>
        <v>0</v>
      </c>
      <c r="L84" s="1">
        <f>H73</f>
        <v>56</v>
      </c>
      <c r="M84">
        <v>0</v>
      </c>
      <c r="N84">
        <v>3034.98</v>
      </c>
      <c r="O84" s="17">
        <f>N84/N89*100</f>
        <v>1.5743933786024991</v>
      </c>
      <c r="P84" s="52">
        <f>((O84*O84*(I84/100)*(K84/100))/(L84-1))</f>
        <v>0</v>
      </c>
      <c r="R84" s="16" t="s">
        <v>323</v>
      </c>
      <c r="S84" t="s">
        <v>68</v>
      </c>
      <c r="T84" s="57">
        <f>$AA83*T76/100</f>
        <v>3050.8200000000006</v>
      </c>
      <c r="U84" s="57">
        <f>$AA83*U76/100</f>
        <v>17803.64472441655</v>
      </c>
      <c r="V84" s="57">
        <f>$AA83*V76/100</f>
        <v>81295.146863236732</v>
      </c>
      <c r="W84" s="57">
        <f>$AA83*W76/100</f>
        <v>57397.534778386929</v>
      </c>
      <c r="X84" s="57">
        <f>$AA83*X76/100</f>
        <v>33224.243633959777</v>
      </c>
      <c r="Z84" t="s">
        <v>36</v>
      </c>
      <c r="AA84" s="25">
        <f>SUM(T84:X84)</f>
        <v>192771.39</v>
      </c>
      <c r="AC84" t="s">
        <v>180</v>
      </c>
      <c r="AD84" s="51">
        <v>0.91614035087719303</v>
      </c>
      <c r="AE84" s="51">
        <v>0.898125747446889</v>
      </c>
      <c r="AI84" s="78"/>
      <c r="AJ84" t="s">
        <v>4</v>
      </c>
      <c r="AK84" s="13">
        <v>1</v>
      </c>
      <c r="AL84" s="5">
        <v>0</v>
      </c>
      <c r="AM84" s="27">
        <v>88</v>
      </c>
      <c r="AN84" s="1">
        <v>4</v>
      </c>
      <c r="AO84" s="1">
        <v>0</v>
      </c>
      <c r="AP84" s="6">
        <v>0</v>
      </c>
      <c r="AQ84" s="1">
        <f>SUM(AL84:AP84)</f>
        <v>92</v>
      </c>
      <c r="AR84" s="10">
        <f>AM84/AQ84</f>
        <v>0.95652173913043481</v>
      </c>
      <c r="AS84" s="11">
        <f>1-AR84</f>
        <v>4.3478260869565188E-2</v>
      </c>
      <c r="AT84">
        <f>AQ84-AM88</f>
        <v>-50</v>
      </c>
      <c r="AW84" s="10">
        <f>2*(AM89*AR84)/(AM89+AR84)</f>
        <v>0.75213675213675224</v>
      </c>
      <c r="BF84" s="51">
        <v>0.89565231370611997</v>
      </c>
      <c r="BG84" s="1">
        <v>21</v>
      </c>
      <c r="BH84">
        <f t="shared" si="13"/>
        <v>-1.2646620224523379</v>
      </c>
      <c r="BI84">
        <f t="shared" si="14"/>
        <v>-8.9564271803739284E-2</v>
      </c>
      <c r="BJ84">
        <f t="shared" si="11"/>
        <v>-8.0218447266422896E-2</v>
      </c>
    </row>
    <row r="85" spans="1:62" x14ac:dyDescent="0.3">
      <c r="A85" t="s">
        <v>4</v>
      </c>
      <c r="B85" s="13">
        <v>1</v>
      </c>
      <c r="C85" s="33">
        <f t="shared" ref="C85:G88" si="16">(C74/$L85)*$O85</f>
        <v>0</v>
      </c>
      <c r="D85" s="34">
        <f t="shared" si="16"/>
        <v>8.3189996733165792</v>
      </c>
      <c r="E85" s="19">
        <f t="shared" si="16"/>
        <v>0.37813634878711716</v>
      </c>
      <c r="F85" s="18">
        <f t="shared" si="16"/>
        <v>0</v>
      </c>
      <c r="G85" s="20">
        <f t="shared" si="16"/>
        <v>0</v>
      </c>
      <c r="H85" s="17">
        <f>SUM(C85:G85)</f>
        <v>8.6971360221036971</v>
      </c>
      <c r="I85" s="17">
        <f>D85/H85*100</f>
        <v>95.65217391304347</v>
      </c>
      <c r="J85" s="17">
        <f>SQRT(I85*(100-I85)/(L85-1))</f>
        <v>2.1377790082367047</v>
      </c>
      <c r="K85" s="18">
        <f>100-I85</f>
        <v>4.3478260869565304</v>
      </c>
      <c r="L85" s="1">
        <f>H74</f>
        <v>92</v>
      </c>
      <c r="M85">
        <v>1</v>
      </c>
      <c r="N85">
        <v>16765.59</v>
      </c>
      <c r="O85" s="17">
        <f>N85/N89*100</f>
        <v>8.6971360221036953</v>
      </c>
      <c r="P85" s="52">
        <f>((O85*O85*(I85/100)*(K85/100))/(L85-1))</f>
        <v>3.4568309472847891E-2</v>
      </c>
      <c r="R85" s="66"/>
      <c r="S85" s="66" t="s">
        <v>67</v>
      </c>
      <c r="T85" s="67">
        <f>$AA83*T77/100</f>
        <v>0</v>
      </c>
      <c r="U85" s="67">
        <f>$AA83*U77/100</f>
        <v>544.94646097553527</v>
      </c>
      <c r="V85" s="67">
        <f>$AA83*V77/100</f>
        <v>641.29442179643604</v>
      </c>
      <c r="W85" s="67">
        <f>$AA83*W77/100</f>
        <v>1122.1227401265687</v>
      </c>
      <c r="X85" s="67">
        <f>$AA83*X77/100</f>
        <v>1091.2538361983991</v>
      </c>
      <c r="AA85" s="1"/>
      <c r="AC85" t="s">
        <v>181</v>
      </c>
      <c r="AD85" s="51">
        <v>0.92280701754385897</v>
      </c>
      <c r="AE85" s="51">
        <v>0.90438585988747</v>
      </c>
      <c r="AF85" s="78"/>
      <c r="AG85" s="78"/>
      <c r="AJ85" t="s">
        <v>5</v>
      </c>
      <c r="AK85" s="13">
        <v>2</v>
      </c>
      <c r="AL85" s="5">
        <v>0</v>
      </c>
      <c r="AM85" s="1">
        <v>44</v>
      </c>
      <c r="AN85" s="27">
        <v>1723</v>
      </c>
      <c r="AO85" s="1">
        <v>22</v>
      </c>
      <c r="AP85" s="6">
        <v>19</v>
      </c>
      <c r="AQ85" s="1">
        <f>SUM(AL85:AP85)</f>
        <v>1808</v>
      </c>
      <c r="AR85" s="10">
        <f>AN85/AQ85</f>
        <v>0.95298672566371678</v>
      </c>
      <c r="AS85" s="11">
        <f>1-AR85</f>
        <v>4.7013274336283217E-2</v>
      </c>
      <c r="AT85">
        <f>AQ85-AN88</f>
        <v>68</v>
      </c>
      <c r="AW85" s="10">
        <f>2*(AN89*AR85)/(AN89+AR85)</f>
        <v>0.97125140924464481</v>
      </c>
      <c r="BF85" s="51">
        <v>0.89580007708321496</v>
      </c>
      <c r="BG85" s="1">
        <v>22</v>
      </c>
      <c r="BH85">
        <f t="shared" si="13"/>
        <v>-1.2372884211694735</v>
      </c>
      <c r="BI85">
        <f t="shared" si="14"/>
        <v>-8.7625653720789717E-2</v>
      </c>
      <c r="BJ85">
        <f t="shared" si="11"/>
        <v>-7.8495067357550533E-2</v>
      </c>
    </row>
    <row r="86" spans="1:62" x14ac:dyDescent="0.3">
      <c r="A86" t="s">
        <v>5</v>
      </c>
      <c r="B86" s="13">
        <v>2</v>
      </c>
      <c r="C86" s="33">
        <f t="shared" si="16"/>
        <v>0</v>
      </c>
      <c r="D86" s="19">
        <f t="shared" si="16"/>
        <v>1.1745317745937851</v>
      </c>
      <c r="E86" s="34">
        <f t="shared" si="16"/>
        <v>40.33342113955058</v>
      </c>
      <c r="F86" s="19">
        <f t="shared" si="16"/>
        <v>0.54028461631314117</v>
      </c>
      <c r="G86" s="20">
        <f t="shared" si="16"/>
        <v>0.42283143885376262</v>
      </c>
      <c r="H86" s="17">
        <f>SUM(C86:G86)</f>
        <v>42.471068969311276</v>
      </c>
      <c r="I86" s="17">
        <f>E86/H86*100</f>
        <v>94.966814159292028</v>
      </c>
      <c r="J86" s="17">
        <f>SQRT(I86*(100-I86)/(L86-1))</f>
        <v>0.51431399411249978</v>
      </c>
      <c r="K86" s="18">
        <f>100-I86</f>
        <v>5.0331858407079721</v>
      </c>
      <c r="L86" s="1">
        <f>H75</f>
        <v>1808</v>
      </c>
      <c r="M86">
        <v>2</v>
      </c>
      <c r="N86">
        <v>81872.070000000007</v>
      </c>
      <c r="O86" s="17">
        <f>N86/N89*100</f>
        <v>42.471068969311268</v>
      </c>
      <c r="P86" s="52">
        <f>((O86*O86*(I86/100)*(K86/100))/(L86-1))</f>
        <v>4.7713696826665361E-2</v>
      </c>
      <c r="R86" t="s">
        <v>100</v>
      </c>
      <c r="S86" s="70" t="s">
        <v>28</v>
      </c>
      <c r="T86" s="64">
        <f t="shared" ref="T86:X89" si="17">C234</f>
        <v>1.5732729619925945</v>
      </c>
      <c r="U86" s="64">
        <f t="shared" si="17"/>
        <v>9.8702928746417964</v>
      </c>
      <c r="V86" s="64">
        <f t="shared" si="17"/>
        <v>42.191284674222914</v>
      </c>
      <c r="W86" s="64">
        <f t="shared" si="17"/>
        <v>29.612123272329153</v>
      </c>
      <c r="X86" s="64">
        <f t="shared" si="17"/>
        <v>16.753026216813538</v>
      </c>
      <c r="AA86" s="12"/>
      <c r="AC86" t="s">
        <v>182</v>
      </c>
      <c r="AD86" s="51">
        <v>0.92315789473684196</v>
      </c>
      <c r="AE86" s="51">
        <v>0.90464692679905701</v>
      </c>
      <c r="AI86" s="78"/>
      <c r="AJ86" t="s">
        <v>6</v>
      </c>
      <c r="AK86" s="13">
        <v>3</v>
      </c>
      <c r="AL86" s="5">
        <v>0</v>
      </c>
      <c r="AM86" s="1">
        <v>10</v>
      </c>
      <c r="AN86" s="1">
        <v>8</v>
      </c>
      <c r="AO86" s="27">
        <v>564</v>
      </c>
      <c r="AP86" s="6">
        <v>71</v>
      </c>
      <c r="AQ86" s="1">
        <f>SUM(AL86:AP86)</f>
        <v>653</v>
      </c>
      <c r="AR86" s="10">
        <f>AO86/AQ86</f>
        <v>0.86370597243491576</v>
      </c>
      <c r="AS86" s="11">
        <f>1-AR86</f>
        <v>0.13629402756508424</v>
      </c>
      <c r="AT86">
        <f>AQ86-AO88</f>
        <v>30</v>
      </c>
      <c r="AW86" s="10">
        <f>2*(AO89*AR86)/(AO89+AR86)</f>
        <v>0.88401253918495293</v>
      </c>
      <c r="BF86" s="51">
        <v>0.895879191347562</v>
      </c>
      <c r="BG86" s="1">
        <v>23</v>
      </c>
      <c r="BH86">
        <f t="shared" si="13"/>
        <v>-1.210811802980156</v>
      </c>
      <c r="BI86">
        <f t="shared" si="14"/>
        <v>-8.5750560624095404E-2</v>
      </c>
      <c r="BJ86">
        <f t="shared" si="11"/>
        <v>-7.6822142909514682E-2</v>
      </c>
    </row>
    <row r="87" spans="1:62" x14ac:dyDescent="0.3">
      <c r="A87" t="s">
        <v>6</v>
      </c>
      <c r="B87" s="13">
        <v>3</v>
      </c>
      <c r="C87" s="33">
        <f t="shared" si="16"/>
        <v>0</v>
      </c>
      <c r="D87" s="19">
        <f t="shared" si="16"/>
        <v>0.46839324945556182</v>
      </c>
      <c r="E87" s="19">
        <f t="shared" si="16"/>
        <v>0.37471459956444947</v>
      </c>
      <c r="F87" s="34">
        <f t="shared" si="16"/>
        <v>25.995825344783679</v>
      </c>
      <c r="G87" s="20">
        <f t="shared" si="16"/>
        <v>3.7471459956444946</v>
      </c>
      <c r="H87" s="17">
        <f>SUM(C87:G87)</f>
        <v>30.586079189448185</v>
      </c>
      <c r="I87" s="17">
        <f>F87/H87*100</f>
        <v>84.992343032159269</v>
      </c>
      <c r="J87" s="17">
        <f>SQRT(I87*(100-I87)/(L87-1))</f>
        <v>1.398693479490801</v>
      </c>
      <c r="K87" s="18">
        <f>100-I87</f>
        <v>15.007656967840731</v>
      </c>
      <c r="L87" s="1">
        <f>H76</f>
        <v>653</v>
      </c>
      <c r="M87">
        <v>3</v>
      </c>
      <c r="N87">
        <v>58961.21</v>
      </c>
      <c r="O87" s="17">
        <f>N87/N89*100</f>
        <v>30.586079189448185</v>
      </c>
      <c r="P87" s="52">
        <f>((O87*O87*(I87/100)*(K87/100))/(L87-1))</f>
        <v>0.18301754177012308</v>
      </c>
      <c r="S87" s="66" t="s">
        <v>39</v>
      </c>
      <c r="T87" s="67">
        <f t="shared" si="17"/>
        <v>0</v>
      </c>
      <c r="U87" s="67">
        <f t="shared" si="17"/>
        <v>0.29025490261879955</v>
      </c>
      <c r="V87" s="67">
        <f t="shared" si="17"/>
        <v>0.34227350894129011</v>
      </c>
      <c r="W87" s="67">
        <f t="shared" si="17"/>
        <v>0.57913617675435203</v>
      </c>
      <c r="X87" s="67">
        <f t="shared" si="17"/>
        <v>0.56502964416054879</v>
      </c>
      <c r="AC87" t="s">
        <v>183</v>
      </c>
      <c r="AD87" s="51">
        <v>0.91614035087719303</v>
      </c>
      <c r="AE87" s="51">
        <v>0.89793941958100498</v>
      </c>
      <c r="AF87" s="78"/>
      <c r="AG87" s="78"/>
      <c r="AJ87" t="s">
        <v>7</v>
      </c>
      <c r="AK87" s="13">
        <v>4</v>
      </c>
      <c r="AL87" s="7">
        <v>0</v>
      </c>
      <c r="AM87" s="8">
        <v>0</v>
      </c>
      <c r="AN87" s="8">
        <v>5</v>
      </c>
      <c r="AO87" s="8">
        <v>37</v>
      </c>
      <c r="AP87" s="28">
        <v>199</v>
      </c>
      <c r="AQ87" s="1">
        <f>SUM(AL87:AP87)</f>
        <v>241</v>
      </c>
      <c r="AR87" s="10">
        <f>AP87/AQ87</f>
        <v>0.82572614107883813</v>
      </c>
      <c r="AS87" s="11">
        <f>1-AR87</f>
        <v>0.17427385892116187</v>
      </c>
      <c r="AT87">
        <f>AQ87-AP88</f>
        <v>-48</v>
      </c>
      <c r="AW87" s="10">
        <f>2*(AP89*AR87)/(AP89+AR87)</f>
        <v>0.75094339622641515</v>
      </c>
      <c r="BF87" s="51">
        <v>0.89601160984459205</v>
      </c>
      <c r="BG87" s="1">
        <v>24</v>
      </c>
      <c r="BH87">
        <f t="shared" si="13"/>
        <v>-1.1851578135117355</v>
      </c>
      <c r="BI87">
        <f t="shared" si="14"/>
        <v>-8.393372668363723E-2</v>
      </c>
      <c r="BJ87">
        <f t="shared" si="11"/>
        <v>-7.5205593566061782E-2</v>
      </c>
    </row>
    <row r="88" spans="1:62" ht="15.6" x14ac:dyDescent="0.35">
      <c r="A88" t="s">
        <v>7</v>
      </c>
      <c r="B88" s="13">
        <v>4</v>
      </c>
      <c r="C88" s="35">
        <f t="shared" si="16"/>
        <v>0</v>
      </c>
      <c r="D88" s="36">
        <f t="shared" si="16"/>
        <v>0</v>
      </c>
      <c r="E88" s="21">
        <f t="shared" si="16"/>
        <v>0.34587805893224804</v>
      </c>
      <c r="F88" s="21">
        <f t="shared" si="16"/>
        <v>2.6286732478850854</v>
      </c>
      <c r="G88" s="37">
        <f t="shared" si="16"/>
        <v>13.696771133717023</v>
      </c>
      <c r="H88" s="17">
        <f>SUM(C88:G88)</f>
        <v>16.671322440534357</v>
      </c>
      <c r="I88" s="17">
        <f>G88/H88*100</f>
        <v>82.15767634854771</v>
      </c>
      <c r="J88" s="17">
        <f>SQRT(I88*(100-I88)/(L88-1))</f>
        <v>2.4714063572708076</v>
      </c>
      <c r="K88" s="18">
        <f>100-I88</f>
        <v>17.84232365145229</v>
      </c>
      <c r="L88" s="1">
        <f>H77</f>
        <v>241</v>
      </c>
      <c r="M88">
        <v>4</v>
      </c>
      <c r="N88">
        <v>32137.54</v>
      </c>
      <c r="O88" s="17">
        <f>N88/N89*100</f>
        <v>16.671322440534357</v>
      </c>
      <c r="P88" s="52">
        <f>((O88*O88*(I88/100)*(K88/100))/(L88-1))</f>
        <v>0.16975728531239967</v>
      </c>
      <c r="S88" t="s">
        <v>30</v>
      </c>
      <c r="T88" s="57">
        <f t="shared" si="17"/>
        <v>100</v>
      </c>
      <c r="U88" s="57">
        <f t="shared" si="17"/>
        <v>84.163769198714206</v>
      </c>
      <c r="V88" s="57">
        <f t="shared" si="17"/>
        <v>97.432269118543076</v>
      </c>
      <c r="W88" s="57">
        <f t="shared" si="17"/>
        <v>89.399137285614515</v>
      </c>
      <c r="X88" s="57">
        <f t="shared" si="17"/>
        <v>76.099387136003216</v>
      </c>
      <c r="AC88" t="s">
        <v>184</v>
      </c>
      <c r="AD88" s="51">
        <v>0.91368421052631499</v>
      </c>
      <c r="AE88" s="51">
        <v>0.89524708257813301</v>
      </c>
      <c r="AI88" s="78"/>
      <c r="AK88" s="1" t="s">
        <v>19</v>
      </c>
      <c r="AL88" s="1">
        <f>SUM(AL83:AL87)</f>
        <v>56</v>
      </c>
      <c r="AM88" s="1">
        <f>SUM(AM83:AM87)</f>
        <v>142</v>
      </c>
      <c r="AN88" s="1">
        <f>SUM(AN83:AN87)</f>
        <v>1740</v>
      </c>
      <c r="AO88" s="1">
        <f>SUM(AO83:AO87)</f>
        <v>623</v>
      </c>
      <c r="AP88" s="1">
        <f>SUM(AP83:AP87)</f>
        <v>289</v>
      </c>
      <c r="AQ88" s="1">
        <f>SUM(AQ82:AQ87)</f>
        <v>2850</v>
      </c>
      <c r="AR88" s="13" t="s">
        <v>12</v>
      </c>
      <c r="BF88" s="51">
        <v>0.89602471620952095</v>
      </c>
      <c r="BG88" s="1">
        <v>25</v>
      </c>
      <c r="BH88">
        <f t="shared" si="13"/>
        <v>-1.1602609659441347</v>
      </c>
      <c r="BI88">
        <f t="shared" si="14"/>
        <v>-8.217051407583166E-2</v>
      </c>
      <c r="BJ88">
        <f t="shared" si="11"/>
        <v>-7.3626811555587507E-2</v>
      </c>
    </row>
    <row r="89" spans="1:62" x14ac:dyDescent="0.3">
      <c r="B89" t="s">
        <v>28</v>
      </c>
      <c r="C89" s="17">
        <f>SUM(C84:C88)</f>
        <v>1.5743933786024991</v>
      </c>
      <c r="D89" s="17">
        <f>SUM(D84:D88)</f>
        <v>9.9619246973659266</v>
      </c>
      <c r="E89" s="17">
        <f>SUM(E84:E88)</f>
        <v>41.432150146834395</v>
      </c>
      <c r="F89" s="17">
        <f>SUM(F84:F88)</f>
        <v>29.164783208981905</v>
      </c>
      <c r="G89" s="17">
        <f>SUM(G84:G88)</f>
        <v>17.866748568215279</v>
      </c>
      <c r="H89" s="1">
        <f>SUM(H83:H88)</f>
        <v>100.00000000000001</v>
      </c>
      <c r="I89" s="13" t="s">
        <v>24</v>
      </c>
      <c r="J89" s="12" t="s">
        <v>29</v>
      </c>
      <c r="N89" s="1">
        <f>SUM(N84:N88)</f>
        <v>192771.39</v>
      </c>
      <c r="O89" s="17">
        <f>SUM(O84:O88)</f>
        <v>100</v>
      </c>
      <c r="S89" s="66" t="s">
        <v>39</v>
      </c>
      <c r="T89" s="67">
        <f t="shared" si="17"/>
        <v>0</v>
      </c>
      <c r="U89" s="67">
        <f t="shared" si="17"/>
        <v>3.5390168883351656</v>
      </c>
      <c r="V89" s="67">
        <f t="shared" si="17"/>
        <v>0.63797513482604729</v>
      </c>
      <c r="W89" s="67">
        <f t="shared" si="17"/>
        <v>1.9323472028545599</v>
      </c>
      <c r="X89" s="67">
        <f t="shared" si="17"/>
        <v>5.9854228843882353</v>
      </c>
      <c r="AC89" t="s">
        <v>185</v>
      </c>
      <c r="AD89" s="51">
        <v>0.92280701754385897</v>
      </c>
      <c r="AE89" s="51">
        <v>0.90298501554722799</v>
      </c>
      <c r="AF89" s="78"/>
      <c r="AG89" s="78"/>
      <c r="AJ89" s="1" t="s">
        <v>321</v>
      </c>
      <c r="AK89" s="1" t="s">
        <v>2</v>
      </c>
      <c r="AL89" s="10">
        <f>AL83/AL88</f>
        <v>1</v>
      </c>
      <c r="AM89" s="10">
        <f>AM84/AM88</f>
        <v>0.61971830985915488</v>
      </c>
      <c r="AN89" s="10">
        <f>AN85/AN88</f>
        <v>0.99022988505747123</v>
      </c>
      <c r="AO89" s="10">
        <f>AO86/AO88</f>
        <v>0.9052969502407705</v>
      </c>
      <c r="AP89" s="10">
        <f>AP87/AP88</f>
        <v>0.68858131487889274</v>
      </c>
      <c r="AQ89" s="10"/>
      <c r="AR89" s="14">
        <f>(AL83+AM84+AN85+AO86+AP87)/AQ88</f>
        <v>0.92280701754385963</v>
      </c>
      <c r="BF89" s="56">
        <v>0.89607252860098485</v>
      </c>
      <c r="BG89" s="1">
        <v>26</v>
      </c>
      <c r="BH89">
        <f t="shared" si="13"/>
        <v>-1.1360632660214303</v>
      </c>
      <c r="BI89">
        <f t="shared" si="14"/>
        <v>-8.0456815605864276E-2</v>
      </c>
      <c r="BJ89">
        <f t="shared" si="11"/>
        <v>-7.2095142203129986E-2</v>
      </c>
    </row>
    <row r="90" spans="1:62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0</v>
      </c>
      <c r="D90" s="18">
        <f>SQRT(SUM((O84*O84*(D84/O84)*(1-D84/O84))/L84,(O85*O85*(D85/O85)*(1-D85/O85))/L85,(O86*O86*(D86/O86)*(1-D86/O86))/L86,(O87*O87*(D87/O87)*(1-D87/O87))/L87,(O88*O88*(D88/O88)*(1-D88/O88))/L88))</f>
        <v>0.28744269162648228</v>
      </c>
      <c r="E90" s="18">
        <f>SQRT(SUM((O84*O84*(E84/O84)*(1-E84/O84))/L84,(O85*O85*(E85/O85)*(1-E85/O85))/L85,(O86*O86*(E86/O86)*(1-E86/O86))/L86,(O87*O87*(E87/O87)*(1-E87/O87))/L87,(O88*O88*(E88/O88)*(1-E88/O88))/L88))</f>
        <v>0.35020873396504504</v>
      </c>
      <c r="F90" s="18">
        <f>SQRT(SUM((O84*O84*(F84/O84)*(1-F84/O84))/L84,(O85*O85*(F85/O85)*(1-F85/O85))/L85,(O86*O86*(F86/O86)*(1-F86/O86))/L86,(O87*O87*(F87/O87)*(1-F87/O87))/L87,(O88*O88*(F88/O88)*(1-F88/O88))/L88))</f>
        <v>0.59028437712729342</v>
      </c>
      <c r="G90" s="18">
        <f>SQRT(SUM((O84*O84*(G84/O84)*(1-G84/O84))/L84,(O85*O85*(G85/O85)*(1-G85/O85))/L85,(O86*O86*(G86/O86)*(1-G86/O86))/L86,(O87*O87*(G87/O87)*(1-G87/O87))/L87,(O88*O88*(G88/O88)*(1-G88/O88))/L88))</f>
        <v>0.57697307134357301</v>
      </c>
      <c r="H90" s="1"/>
      <c r="I90" s="14">
        <f>(C84+D85+E86+F87+G88)/H89</f>
        <v>0.89919410669970345</v>
      </c>
      <c r="J90" s="53">
        <f>SQRT(SUM(P84:P88))/100</f>
        <v>6.5958838178218097E-3</v>
      </c>
      <c r="M90" s="1"/>
      <c r="N90" s="9"/>
      <c r="S90" t="s">
        <v>31</v>
      </c>
      <c r="T90" s="57">
        <f>I229</f>
        <v>100</v>
      </c>
      <c r="U90" s="57">
        <f>I230</f>
        <v>95.65217391304347</v>
      </c>
      <c r="V90" s="57">
        <f>I231</f>
        <v>95.464601769911511</v>
      </c>
      <c r="W90" s="57">
        <f>I232</f>
        <v>85.604900459418062</v>
      </c>
      <c r="X90" s="57">
        <f>I233</f>
        <v>80.912863070539416</v>
      </c>
      <c r="AC90" t="s">
        <v>186</v>
      </c>
      <c r="AD90" s="51">
        <v>0.91684210526315701</v>
      </c>
      <c r="AE90" s="51">
        <v>0.89785745694738095</v>
      </c>
      <c r="AI90" s="78"/>
      <c r="AK90" s="1" t="s">
        <v>14</v>
      </c>
      <c r="AL90" s="11">
        <f>1-AL89</f>
        <v>0</v>
      </c>
      <c r="AM90" s="11">
        <f>1-AM89</f>
        <v>0.38028169014084512</v>
      </c>
      <c r="AN90" s="11">
        <f>1-AN89</f>
        <v>9.7701149425287737E-3</v>
      </c>
      <c r="AO90" s="11">
        <f>1-AO89</f>
        <v>9.4703049759229496E-2</v>
      </c>
      <c r="AP90" s="11">
        <f>1-AP89</f>
        <v>0.31141868512110726</v>
      </c>
      <c r="BF90" s="51">
        <v>0.8962660483077397</v>
      </c>
      <c r="BG90" s="1">
        <v>27</v>
      </c>
      <c r="BH90">
        <f t="shared" si="13"/>
        <v>-1.1125130950141264</v>
      </c>
      <c r="BI90">
        <f t="shared" si="14"/>
        <v>-7.8788975598276648E-2</v>
      </c>
      <c r="BJ90">
        <f t="shared" si="11"/>
        <v>-7.0615883809682339E-2</v>
      </c>
    </row>
    <row r="91" spans="1:62" x14ac:dyDescent="0.3">
      <c r="B91" s="1" t="s">
        <v>30</v>
      </c>
      <c r="C91" s="17">
        <f>C84/C89*100</f>
        <v>100</v>
      </c>
      <c r="D91" s="17">
        <f>D85/D89*100</f>
        <v>83.507955802117635</v>
      </c>
      <c r="E91" s="17">
        <f>E86/E89*100</f>
        <v>97.348124576228969</v>
      </c>
      <c r="F91" s="17">
        <f>F87/F89*100</f>
        <v>89.134299948362795</v>
      </c>
      <c r="G91" s="17">
        <f>G88/G89*100</f>
        <v>76.660681049060074</v>
      </c>
      <c r="H91" s="1"/>
      <c r="S91" s="66" t="s">
        <v>39</v>
      </c>
      <c r="T91" s="67">
        <f>J229</f>
        <v>0</v>
      </c>
      <c r="U91" s="67">
        <f>J230</f>
        <v>2.1377790082367047</v>
      </c>
      <c r="V91" s="67">
        <f>J231</f>
        <v>0.48949675766320316</v>
      </c>
      <c r="W91" s="67">
        <f>J232</f>
        <v>1.374778879752335</v>
      </c>
      <c r="X91" s="67">
        <f>J233</f>
        <v>2.5367259876841253</v>
      </c>
      <c r="AC91" t="s">
        <v>187</v>
      </c>
      <c r="AD91" s="51">
        <v>0.92245614035087697</v>
      </c>
      <c r="AE91" s="51">
        <v>0.90274391417243505</v>
      </c>
      <c r="AF91" s="78"/>
      <c r="AG91" s="78"/>
      <c r="AL91" s="2"/>
      <c r="BF91" s="51">
        <v>0.89633888195544897</v>
      </c>
      <c r="BG91" s="1">
        <v>28</v>
      </c>
      <c r="BH91">
        <f t="shared" si="13"/>
        <v>-1.0895642944538471</v>
      </c>
      <c r="BI91">
        <f t="shared" si="14"/>
        <v>-7.7163725077220427E-2</v>
      </c>
      <c r="BJ91">
        <f t="shared" si="11"/>
        <v>-6.9164847063233392E-2</v>
      </c>
    </row>
    <row r="92" spans="1:62" ht="15.6" x14ac:dyDescent="0.35">
      <c r="B92" s="16" t="s">
        <v>39</v>
      </c>
      <c r="C92" s="18">
        <f>SQRT((C95+C96)/(C89*C89))</f>
        <v>0</v>
      </c>
      <c r="D92" s="18">
        <f>SQRT((D95+D96)/(D89*D89))</f>
        <v>3.5889763263670478</v>
      </c>
      <c r="E92" s="18">
        <f>SQRT((E95+E96)/(E89*E89))</f>
        <v>0.66039293928373266</v>
      </c>
      <c r="F92" s="18">
        <f>SQRT((F95+F96)/(F89*F89))</f>
        <v>2.0233813166026144</v>
      </c>
      <c r="G92" s="18">
        <f>SQRT((G95+G96)/(G89*G89))</f>
        <v>5.6558394836992489</v>
      </c>
      <c r="H92" s="1"/>
      <c r="I92" s="14"/>
      <c r="O92" s="1"/>
      <c r="P92" s="1"/>
      <c r="S92" s="66" t="s">
        <v>56</v>
      </c>
      <c r="T92" s="67">
        <f>N218*100</f>
        <v>100</v>
      </c>
      <c r="U92" s="67">
        <f>N219*100</f>
        <v>75.213675213675231</v>
      </c>
      <c r="V92" s="67">
        <f>N220*100</f>
        <v>97.212052942833012</v>
      </c>
      <c r="W92" s="67">
        <f>N221*100</f>
        <v>87.755102040816325</v>
      </c>
      <c r="X92" s="67">
        <f>N222*100</f>
        <v>73.724007561436693</v>
      </c>
      <c r="AC92" t="s">
        <v>188</v>
      </c>
      <c r="AD92" s="51">
        <v>0.91964912280701705</v>
      </c>
      <c r="AE92" s="51">
        <v>0.902310910374022</v>
      </c>
      <c r="AI92" s="78"/>
      <c r="AJ92" t="s">
        <v>322</v>
      </c>
      <c r="AK92" s="15" t="s">
        <v>23</v>
      </c>
      <c r="AW92" s="12" t="s">
        <v>17</v>
      </c>
      <c r="AX92" s="1" t="s">
        <v>27</v>
      </c>
      <c r="AY92" s="1" t="s">
        <v>33</v>
      </c>
      <c r="BF92" s="51">
        <v>0.896416973089879</v>
      </c>
      <c r="BG92" s="1">
        <v>29</v>
      </c>
      <c r="BH92">
        <f t="shared" si="13"/>
        <v>-1.0671754102700386</v>
      </c>
      <c r="BI92">
        <f t="shared" si="14"/>
        <v>-7.5578128235676445E-2</v>
      </c>
      <c r="BJ92">
        <f t="shared" si="11"/>
        <v>-6.7749516944823798E-2</v>
      </c>
    </row>
    <row r="93" spans="1:62" ht="15.6" x14ac:dyDescent="0.35">
      <c r="B93" s="1" t="s">
        <v>37</v>
      </c>
      <c r="C93" s="18">
        <f>100-C91</f>
        <v>0</v>
      </c>
      <c r="D93" s="18">
        <f>100-D91</f>
        <v>16.492044197882365</v>
      </c>
      <c r="E93" s="18">
        <f>100-E91</f>
        <v>2.6518754237710311</v>
      </c>
      <c r="F93" s="18">
        <f>100-F91</f>
        <v>10.865700051637205</v>
      </c>
      <c r="G93" s="18">
        <f>100-G91</f>
        <v>23.339318950939926</v>
      </c>
      <c r="O93" s="1"/>
      <c r="P93" s="1"/>
      <c r="R93" s="16" t="s">
        <v>66</v>
      </c>
      <c r="S93" t="s">
        <v>9</v>
      </c>
      <c r="T93" s="30">
        <f>N229</f>
        <v>3032.82</v>
      </c>
      <c r="U93" s="30">
        <f>N230</f>
        <v>16741.830000000002</v>
      </c>
      <c r="V93" s="30">
        <f>N231</f>
        <v>83009.11</v>
      </c>
      <c r="W93" s="30">
        <f>N232</f>
        <v>59613.8</v>
      </c>
      <c r="X93" s="30">
        <f>N233</f>
        <v>30373.82</v>
      </c>
      <c r="Z93" t="s">
        <v>36</v>
      </c>
      <c r="AA93" s="1">
        <f>N234</f>
        <v>192771.38</v>
      </c>
      <c r="AC93" t="s">
        <v>189</v>
      </c>
      <c r="AD93" s="51">
        <v>0.91543859649122805</v>
      </c>
      <c r="AE93" s="51">
        <v>0.89525004790360097</v>
      </c>
      <c r="AF93" s="78"/>
      <c r="AG93" s="78"/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  <c r="BF93" s="51">
        <v>0.89647900721254703</v>
      </c>
      <c r="BG93" s="1">
        <v>30</v>
      </c>
      <c r="BH93">
        <f t="shared" si="13"/>
        <v>-1.0453090640125338</v>
      </c>
      <c r="BI93">
        <f t="shared" si="14"/>
        <v>-7.4029537904985426E-2</v>
      </c>
      <c r="BJ93">
        <f t="shared" si="11"/>
        <v>-6.6365926645464951E-2</v>
      </c>
    </row>
    <row r="94" spans="1:62" ht="15.6" x14ac:dyDescent="0.35">
      <c r="B94" s="1" t="s">
        <v>25</v>
      </c>
      <c r="C94" s="1">
        <f>C78</f>
        <v>56</v>
      </c>
      <c r="D94" s="1">
        <f>D78</f>
        <v>148</v>
      </c>
      <c r="E94" s="1">
        <f>E78</f>
        <v>1734</v>
      </c>
      <c r="F94" s="1">
        <f>F78</f>
        <v>616</v>
      </c>
      <c r="G94" s="1">
        <f>G78</f>
        <v>296</v>
      </c>
      <c r="O94" s="1"/>
      <c r="P94" s="1"/>
      <c r="R94" s="16" t="s">
        <v>323</v>
      </c>
      <c r="S94" t="s">
        <v>68</v>
      </c>
      <c r="T94" s="57">
        <f>$AA93*T86/100</f>
        <v>3032.82</v>
      </c>
      <c r="U94" s="57">
        <f>$AA93*U86/100</f>
        <v>19027.099784488662</v>
      </c>
      <c r="V94" s="57">
        <f>$AA93*V86/100</f>
        <v>81332.721706228011</v>
      </c>
      <c r="W94" s="57">
        <f>$AA93*W86/100</f>
        <v>57083.698679370071</v>
      </c>
      <c r="X94" s="57">
        <f>$AA93*X86/100</f>
        <v>32295.03982991325</v>
      </c>
      <c r="Z94" t="s">
        <v>36</v>
      </c>
      <c r="AA94" s="25">
        <f>SUM(T94:X94)</f>
        <v>192771.38</v>
      </c>
      <c r="AC94" t="s">
        <v>190</v>
      </c>
      <c r="AD94" s="51">
        <v>0.92210526315789398</v>
      </c>
      <c r="AE94" s="51">
        <v>0.90351842195459098</v>
      </c>
      <c r="AI94" s="78"/>
      <c r="AJ94" t="s">
        <v>3</v>
      </c>
      <c r="AK94" s="13">
        <v>0</v>
      </c>
      <c r="AL94" s="29">
        <f>(AL83/$AU94)*$AX94</f>
        <v>1.568604219153279</v>
      </c>
      <c r="AM94" s="31">
        <f>(AM83/$AU94)*$AX94</f>
        <v>0</v>
      </c>
      <c r="AN94" s="31">
        <f>(AN83/$AU94)*$AX94</f>
        <v>0</v>
      </c>
      <c r="AO94" s="31">
        <f>(AO83/$AU94)*$AX94</f>
        <v>0</v>
      </c>
      <c r="AP94" s="32">
        <f>(AP83/$AU94)*$AX94</f>
        <v>0</v>
      </c>
      <c r="AQ94" s="17">
        <f>SUM(AL94:AP94)</f>
        <v>1.568604219153279</v>
      </c>
      <c r="AR94" s="17">
        <f>AL94/AQ94*100</f>
        <v>100</v>
      </c>
      <c r="AS94" s="17">
        <f>SQRT(AR94*(100-AR94)/(AU94-1))</f>
        <v>0</v>
      </c>
      <c r="AT94" s="18">
        <f>100-AR94</f>
        <v>0</v>
      </c>
      <c r="AU94" s="1">
        <f>AQ83</f>
        <v>56</v>
      </c>
      <c r="AV94">
        <v>0</v>
      </c>
      <c r="AW94" s="1">
        <v>3023.82</v>
      </c>
      <c r="AX94" s="17">
        <f>AW94/AW99*100</f>
        <v>1.568604219153279</v>
      </c>
      <c r="AY94" s="52">
        <f>((AX94*AX94*(AR94/100)*(AT94/100))/(AU94-1))</f>
        <v>0</v>
      </c>
      <c r="BF94" s="51">
        <v>0.89673070878093997</v>
      </c>
      <c r="BG94" s="1">
        <v>31</v>
      </c>
      <c r="BH94">
        <f t="shared" si="13"/>
        <v>-1.0239314262560566</v>
      </c>
      <c r="BI94">
        <f t="shared" si="14"/>
        <v>-7.2515558260977289E-2</v>
      </c>
      <c r="BJ94">
        <f t="shared" si="11"/>
        <v>-6.5026927957011704E-2</v>
      </c>
    </row>
    <row r="95" spans="1:62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940.21488271962971</v>
      </c>
      <c r="E95" s="18">
        <f>(O86*O86*(100-E91)*(100-E91)*(I86)*(100-I86))/((L86-1)*100)</f>
        <v>33.554386581108751</v>
      </c>
      <c r="F95" s="18">
        <f>(O87*O87*(100-F91)*(100-F91)*(I87)*(100-I87))/((L87-1)*100)</f>
        <v>2160.7680124705757</v>
      </c>
      <c r="G95" s="18">
        <f>(O88*O88*(100-G91)*(100-G91)*(I88)*(100-I88))/((L88-1)*100)</f>
        <v>9247.0835076776948</v>
      </c>
      <c r="O95" s="1"/>
      <c r="P95" s="1"/>
      <c r="R95" s="66"/>
      <c r="S95" s="66" t="s">
        <v>67</v>
      </c>
      <c r="T95" s="67">
        <f>$AA93*T87/100</f>
        <v>0</v>
      </c>
      <c r="U95" s="67">
        <f>$AA93*U87/100</f>
        <v>559.52838129591601</v>
      </c>
      <c r="V95" s="67">
        <f>$AA93*V87/100</f>
        <v>659.80536656054824</v>
      </c>
      <c r="W95" s="67">
        <f>$AA93*W87/100</f>
        <v>1116.4088000086035</v>
      </c>
      <c r="X95" s="67">
        <f>$AA93*X87/100</f>
        <v>1089.2154424573794</v>
      </c>
      <c r="AA95" s="1"/>
      <c r="AC95" t="s">
        <v>191</v>
      </c>
      <c r="AD95" s="51">
        <v>0.91649122807017502</v>
      </c>
      <c r="AE95" s="51">
        <v>0.89553020393441696</v>
      </c>
      <c r="AF95" s="78"/>
      <c r="AG95" s="78"/>
      <c r="AJ95" t="s">
        <v>4</v>
      </c>
      <c r="AK95" s="13">
        <v>1</v>
      </c>
      <c r="AL95" s="33">
        <f t="shared" ref="AL95:AO98" si="18">(AL84/$AU95)*$AX95</f>
        <v>0</v>
      </c>
      <c r="AM95" s="34">
        <f>(AM84/$AU95)*$AX95</f>
        <v>8.2396535798226278</v>
      </c>
      <c r="AN95" s="19">
        <f>(AN84/$AU95)*$AX95</f>
        <v>0.37452970817375575</v>
      </c>
      <c r="AO95" s="18">
        <f>(AO84/$AU95)*$AX95</f>
        <v>0</v>
      </c>
      <c r="AP95" s="20">
        <f>(AP84/$AU95)*$AX95</f>
        <v>0</v>
      </c>
      <c r="AQ95" s="17">
        <f>SUM(AL95:AP95)</f>
        <v>8.6141832879963829</v>
      </c>
      <c r="AR95" s="17">
        <f>AM95/AQ95*100</f>
        <v>95.652173913043484</v>
      </c>
      <c r="AS95" s="17">
        <f>SQRT(AR95*(100-AR95)/(AU95-1))</f>
        <v>2.1377790082367012</v>
      </c>
      <c r="AT95" s="18">
        <f>100-AR95</f>
        <v>4.3478260869565162</v>
      </c>
      <c r="AU95" s="1">
        <f>AQ84</f>
        <v>92</v>
      </c>
      <c r="AV95">
        <v>1</v>
      </c>
      <c r="AW95" s="1">
        <v>16605.68</v>
      </c>
      <c r="AX95" s="17">
        <f>AW95/AW99*100</f>
        <v>8.6141832879963829</v>
      </c>
      <c r="AY95" s="52">
        <f>((AX95*AX95*(AR95/100)*(AT95/100))/(AU95-1))</f>
        <v>3.3912033524217657E-2</v>
      </c>
      <c r="BF95" s="51">
        <v>0.89680610552884443</v>
      </c>
      <c r="BG95" s="1">
        <v>32</v>
      </c>
      <c r="BH95">
        <f t="shared" si="13"/>
        <v>-1.0030117728102939</v>
      </c>
      <c r="BI95">
        <f t="shared" si="14"/>
        <v>-7.1034013394449966E-2</v>
      </c>
      <c r="BJ95">
        <f t="shared" si="11"/>
        <v>-6.3703736912360448E-2</v>
      </c>
    </row>
    <row r="96" spans="1:62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338.07012809298919</v>
      </c>
      <c r="E96" s="18">
        <f>E91*E91*(SUM((H84*E84*(1-E73/H73))/(H73-1),(H85*E85*(1-E74/H74))/(H74-1), (H87*E87*(1-E76/H76))/(H76-1),(H88*E88*(1-E77/H77))/(H77-1)))</f>
        <v>715.09726372778266</v>
      </c>
      <c r="F96" s="18">
        <f>F91*F91*(SUM((H84*F84*(1-F73/H73))/(H73-1),(H85*F85*(1-F74/H74))/(H74-1), (H86*F86*(1-F75/H75))/(H75-1),(H88*F88*(1-F77/H77))/(H77-1)))</f>
        <v>1321.5864581039489</v>
      </c>
      <c r="G96" s="18">
        <f>G91*G91*(SUM((H84*G84*(1-G73/H73))/(H73-1),(H85*G85*(1-G74/H74))/(H74-1), (H86*G86*(1-G75/H75))/(H75-1),(H87*G87*(1-G76/H76))/(H76-1)))</f>
        <v>964.31446414216157</v>
      </c>
      <c r="O96" s="1"/>
      <c r="P96" s="1"/>
      <c r="R96" t="s">
        <v>101</v>
      </c>
      <c r="S96" t="s">
        <v>28</v>
      </c>
      <c r="T96" s="57">
        <f t="shared" ref="T96:X99" si="19">C263</f>
        <v>1.5327327116712035</v>
      </c>
      <c r="U96" s="57">
        <f t="shared" si="19"/>
        <v>9.2570785179492105</v>
      </c>
      <c r="V96" s="57">
        <f t="shared" si="19"/>
        <v>42.535403737598642</v>
      </c>
      <c r="W96" s="57">
        <f t="shared" si="19"/>
        <v>29.186097231620096</v>
      </c>
      <c r="X96" s="57">
        <f t="shared" si="19"/>
        <v>17.488687801160832</v>
      </c>
      <c r="Y96" s="13"/>
      <c r="Z96" s="74"/>
      <c r="AA96" s="12"/>
      <c r="AC96" t="s">
        <v>192</v>
      </c>
      <c r="AD96" s="51">
        <v>0.91824561403508698</v>
      </c>
      <c r="AE96" s="51">
        <v>0.89719659153715303</v>
      </c>
      <c r="AI96" s="78"/>
      <c r="AJ96" t="s">
        <v>5</v>
      </c>
      <c r="AK96" s="13">
        <v>2</v>
      </c>
      <c r="AL96" s="33">
        <f t="shared" si="18"/>
        <v>0</v>
      </c>
      <c r="AM96" s="19">
        <f t="shared" si="18"/>
        <v>1.0381984561974098</v>
      </c>
      <c r="AN96" s="34">
        <f t="shared" si="18"/>
        <v>40.65490772791221</v>
      </c>
      <c r="AO96" s="19">
        <f t="shared" si="18"/>
        <v>0.5190992280987049</v>
      </c>
      <c r="AP96" s="20">
        <f>(AP85/$AU96)*$AX96</f>
        <v>0.44831296972160883</v>
      </c>
      <c r="AQ96" s="17">
        <f>SUM(AL96:AP96)</f>
        <v>42.660518381929926</v>
      </c>
      <c r="AR96" s="17">
        <f>AN96/AQ96*100</f>
        <v>95.298672566371707</v>
      </c>
      <c r="AS96" s="17">
        <f>SQRT(AR96*(100-AR96)/(AU96-1))</f>
        <v>0.49793723016302543</v>
      </c>
      <c r="AT96" s="18">
        <f>100-AR96</f>
        <v>4.7013274336282933</v>
      </c>
      <c r="AU96" s="1">
        <f>AQ85</f>
        <v>1808</v>
      </c>
      <c r="AV96">
        <v>2</v>
      </c>
      <c r="AW96" s="1">
        <v>82237.27</v>
      </c>
      <c r="AX96" s="17">
        <f>AW96/AW99*100</f>
        <v>42.660518381929933</v>
      </c>
      <c r="AY96" s="52">
        <f>((AX96*AX96*(AR96/100)*(AT96/100))/(AU96-1))</f>
        <v>4.5123362521974429E-2</v>
      </c>
      <c r="BF96" s="51">
        <v>0.89687772726307102</v>
      </c>
      <c r="BG96" s="1">
        <v>33</v>
      </c>
      <c r="BH96">
        <f t="shared" si="13"/>
        <v>-0.98252210852503719</v>
      </c>
      <c r="BI96">
        <f t="shared" si="14"/>
        <v>-6.9582920668779649E-2</v>
      </c>
      <c r="BJ96">
        <f t="shared" si="11"/>
        <v>-6.2407371745741659E-2</v>
      </c>
    </row>
    <row r="97" spans="1:62" x14ac:dyDescent="0.3">
      <c r="A97" s="105" t="s">
        <v>390</v>
      </c>
      <c r="B97" s="69" t="s">
        <v>9</v>
      </c>
      <c r="C97" s="1">
        <v>271.52999999999997</v>
      </c>
      <c r="D97" s="1">
        <v>968</v>
      </c>
      <c r="E97" s="1">
        <v>13603.16</v>
      </c>
      <c r="F97" s="1">
        <v>3858.23</v>
      </c>
      <c r="G97">
        <v>3354.45</v>
      </c>
      <c r="I97" t="s">
        <v>36</v>
      </c>
      <c r="J97" s="57">
        <f>SUM(C97:G97)</f>
        <v>22055.370000000003</v>
      </c>
      <c r="S97" s="66" t="s">
        <v>39</v>
      </c>
      <c r="T97" s="67">
        <f t="shared" si="19"/>
        <v>0</v>
      </c>
      <c r="U97" s="67">
        <f t="shared" si="19"/>
        <v>0.2917277873090528</v>
      </c>
      <c r="V97" s="67">
        <f t="shared" si="19"/>
        <v>0.35282860414720912</v>
      </c>
      <c r="W97" s="67">
        <f t="shared" si="19"/>
        <v>0.59515440528747288</v>
      </c>
      <c r="X97" s="67">
        <f t="shared" si="19"/>
        <v>0.57332696467104038</v>
      </c>
      <c r="AC97" t="s">
        <v>193</v>
      </c>
      <c r="AD97" s="51">
        <v>0.91368421052631499</v>
      </c>
      <c r="AE97" s="51">
        <v>0.89507168168705897</v>
      </c>
      <c r="AF97" s="78"/>
      <c r="AG97" s="78"/>
      <c r="AJ97" t="s">
        <v>6</v>
      </c>
      <c r="AK97" s="13">
        <v>3</v>
      </c>
      <c r="AL97" s="33">
        <f t="shared" si="18"/>
        <v>0</v>
      </c>
      <c r="AM97" s="19">
        <f t="shared" si="18"/>
        <v>0.46950044184856721</v>
      </c>
      <c r="AN97" s="19">
        <f t="shared" si="18"/>
        <v>0.37560035347885373</v>
      </c>
      <c r="AO97" s="34">
        <f t="shared" si="18"/>
        <v>26.479824920259187</v>
      </c>
      <c r="AP97" s="20">
        <f>(AP86/$AU97)*$AX97</f>
        <v>3.333453137124827</v>
      </c>
      <c r="AQ97" s="17">
        <f>SUM(AL97:AP97)</f>
        <v>30.658378852711436</v>
      </c>
      <c r="AR97" s="17">
        <f>AO97/AQ97*100</f>
        <v>86.370597243491574</v>
      </c>
      <c r="AS97" s="17">
        <f>SQRT(AR97*(100-AR97)/(AU97-1))</f>
        <v>1.3436853315309185</v>
      </c>
      <c r="AT97" s="18">
        <f>100-AR97</f>
        <v>13.629402756508426</v>
      </c>
      <c r="AU97" s="1">
        <f>AQ86</f>
        <v>653</v>
      </c>
      <c r="AV97">
        <v>3</v>
      </c>
      <c r="AW97" s="1">
        <v>59100.58</v>
      </c>
      <c r="AX97" s="17">
        <f>AW97/AW99*100</f>
        <v>30.658378852711436</v>
      </c>
      <c r="AY97" s="52">
        <f>((AX97*AX97*(AR97/100)*(AT97/100))/(AU97-1))</f>
        <v>0.16970456526257072</v>
      </c>
      <c r="BF97" s="51">
        <v>0.89704724809429304</v>
      </c>
      <c r="BG97" s="1">
        <v>34</v>
      </c>
      <c r="BH97">
        <f t="shared" si="13"/>
        <v>-0.96243684665105678</v>
      </c>
      <c r="BI97">
        <f t="shared" si="14"/>
        <v>-6.8160468012027825E-2</v>
      </c>
      <c r="BJ97">
        <f t="shared" si="11"/>
        <v>-6.114316025900865E-2</v>
      </c>
    </row>
    <row r="98" spans="1:62" x14ac:dyDescent="0.3">
      <c r="B98" t="s">
        <v>391</v>
      </c>
      <c r="C98" s="57">
        <f>(C97/$J97)*100</f>
        <v>1.2311287455163977</v>
      </c>
      <c r="D98" s="57">
        <f>(D97/$J97)*100</f>
        <v>4.3889538012737939</v>
      </c>
      <c r="E98" s="57">
        <f>(E97/$J97)*100</f>
        <v>61.677314867082245</v>
      </c>
      <c r="F98" s="57">
        <f>(F97/$J97)*100</f>
        <v>17.493381430463415</v>
      </c>
      <c r="G98" s="57">
        <f>(G97/$J97)*100</f>
        <v>15.20922115566413</v>
      </c>
      <c r="S98" t="s">
        <v>30</v>
      </c>
      <c r="T98" s="57">
        <f t="shared" si="19"/>
        <v>100</v>
      </c>
      <c r="U98" s="57">
        <f t="shared" si="19"/>
        <v>83.291378217019982</v>
      </c>
      <c r="V98" s="57">
        <f t="shared" si="19"/>
        <v>97.105511976893339</v>
      </c>
      <c r="W98" s="57">
        <f t="shared" si="19"/>
        <v>88.911885352978643</v>
      </c>
      <c r="X98" s="57">
        <f t="shared" si="19"/>
        <v>76.299844010902845</v>
      </c>
      <c r="AA98" s="54"/>
      <c r="AC98" t="s">
        <v>194</v>
      </c>
      <c r="AD98" s="51">
        <v>0.91894736842105196</v>
      </c>
      <c r="AE98" s="51">
        <v>0.90236859864504504</v>
      </c>
      <c r="AI98" s="78"/>
      <c r="AJ98" t="s">
        <v>7</v>
      </c>
      <c r="AK98" s="13">
        <v>4</v>
      </c>
      <c r="AL98" s="35">
        <f>(AL87/$AU98)*$AX98</f>
        <v>0</v>
      </c>
      <c r="AM98" s="36">
        <f t="shared" si="18"/>
        <v>0</v>
      </c>
      <c r="AN98" s="21">
        <f t="shared" si="18"/>
        <v>0.34228869830309061</v>
      </c>
      <c r="AO98" s="21">
        <f t="shared" si="18"/>
        <v>2.5329363674428711</v>
      </c>
      <c r="AP98" s="37">
        <f>(AP87/$AU98)*$AX98</f>
        <v>13.623090192463007</v>
      </c>
      <c r="AQ98" s="17">
        <f>SUM(AL98:AP98)</f>
        <v>16.498315258208969</v>
      </c>
      <c r="AR98" s="17">
        <f>AP98/AQ98*100</f>
        <v>82.572614107883808</v>
      </c>
      <c r="AS98" s="17">
        <f>SQRT(AR98*(100-AR98)/(AU98-1))</f>
        <v>2.4486601865262365</v>
      </c>
      <c r="AT98" s="18">
        <f>100-AR98</f>
        <v>17.427385892116192</v>
      </c>
      <c r="AU98" s="1">
        <f>AQ87</f>
        <v>241</v>
      </c>
      <c r="AV98">
        <v>4</v>
      </c>
      <c r="AW98" s="1">
        <v>31804.03</v>
      </c>
      <c r="AX98" s="17">
        <f>AW98/AW99*100</f>
        <v>16.498315258208969</v>
      </c>
      <c r="AY98" s="52">
        <f>((AX98*AX98*(AR98/100)*(AT98/100))/(AU98-1))</f>
        <v>0.16320604330953178</v>
      </c>
      <c r="BF98" s="51">
        <v>0.89706624955204906</v>
      </c>
      <c r="BG98" s="1">
        <v>35</v>
      </c>
      <c r="BH98">
        <f t="shared" si="13"/>
        <v>-0.94273253415310254</v>
      </c>
      <c r="BI98">
        <f t="shared" si="14"/>
        <v>-6.6764994463410915E-2</v>
      </c>
      <c r="BJ98">
        <f t="shared" si="11"/>
        <v>-5.9892623184655353E-2</v>
      </c>
    </row>
    <row r="99" spans="1:62" x14ac:dyDescent="0.3">
      <c r="A99" s="361">
        <v>1977</v>
      </c>
      <c r="B99" s="361"/>
      <c r="C99" s="361"/>
      <c r="D99" s="361"/>
      <c r="E99" s="361"/>
      <c r="F99" s="361"/>
      <c r="G99" s="361"/>
      <c r="H99" s="361"/>
      <c r="I99" s="361"/>
      <c r="J99" s="361"/>
      <c r="K99" s="361"/>
      <c r="L99" s="361" t="s">
        <v>62</v>
      </c>
      <c r="M99" s="361"/>
      <c r="N99" s="361"/>
      <c r="O99" s="361"/>
      <c r="P99" s="361"/>
      <c r="S99" s="66" t="s">
        <v>39</v>
      </c>
      <c r="T99" s="67">
        <f t="shared" si="19"/>
        <v>0</v>
      </c>
      <c r="U99" s="67">
        <f t="shared" si="19"/>
        <v>4.0148675027773644</v>
      </c>
      <c r="V99" s="67">
        <f t="shared" si="19"/>
        <v>0.66024459786777223</v>
      </c>
      <c r="W99" s="67">
        <f t="shared" si="19"/>
        <v>2.0663083367498327</v>
      </c>
      <c r="X99" s="67">
        <f t="shared" si="19"/>
        <v>5.792392760383521</v>
      </c>
      <c r="AC99" t="s">
        <v>195</v>
      </c>
      <c r="AD99" s="51">
        <v>0.91859649122806997</v>
      </c>
      <c r="AE99" s="51">
        <v>0.90110954399973697</v>
      </c>
      <c r="AK99" t="s">
        <v>28</v>
      </c>
      <c r="AL99" s="17">
        <f t="shared" ref="AL99:AQ99" si="20">SUM(AL94:AL98)</f>
        <v>1.568604219153279</v>
      </c>
      <c r="AM99" s="17">
        <f>SUM(AM94:AM98)</f>
        <v>9.7473524778686045</v>
      </c>
      <c r="AN99" s="17">
        <f>SUM(AN94:AN98)</f>
        <v>41.747326487867909</v>
      </c>
      <c r="AO99" s="17">
        <f t="shared" si="20"/>
        <v>29.531860515800762</v>
      </c>
      <c r="AP99" s="17">
        <f t="shared" si="20"/>
        <v>17.404856299309444</v>
      </c>
      <c r="AQ99" s="18">
        <f t="shared" si="20"/>
        <v>100</v>
      </c>
      <c r="AR99" s="13" t="s">
        <v>24</v>
      </c>
      <c r="AS99" s="12" t="s">
        <v>29</v>
      </c>
      <c r="AW99" s="1">
        <f>SUM(AW94:AW98)</f>
        <v>192771.38</v>
      </c>
      <c r="AX99" s="17">
        <f>SUM(AX94:AX98)</f>
        <v>100</v>
      </c>
      <c r="BF99" s="51">
        <v>0.89708196138168095</v>
      </c>
      <c r="BG99" s="1">
        <v>36</v>
      </c>
      <c r="BH99">
        <f t="shared" si="13"/>
        <v>-0.92338761525908586</v>
      </c>
      <c r="BI99">
        <f t="shared" si="14"/>
        <v>-6.5394973427683731E-2</v>
      </c>
      <c r="BJ99">
        <f t="shared" si="11"/>
        <v>-5.8664651027009428E-2</v>
      </c>
    </row>
    <row r="100" spans="1:62" x14ac:dyDescent="0.3">
      <c r="A100" t="s">
        <v>320</v>
      </c>
      <c r="B100" t="s">
        <v>21</v>
      </c>
      <c r="I100" s="1" t="s">
        <v>58</v>
      </c>
      <c r="O100" s="360" t="s">
        <v>411</v>
      </c>
      <c r="P100" s="360"/>
      <c r="S100" t="s">
        <v>31</v>
      </c>
      <c r="T100" s="57">
        <f>I258</f>
        <v>100</v>
      </c>
      <c r="U100" s="57">
        <f>I259</f>
        <v>94.565217391304344</v>
      </c>
      <c r="V100" s="57">
        <f>I260</f>
        <v>95.409292035398224</v>
      </c>
      <c r="W100" s="57">
        <f>I261</f>
        <v>84.532924961715167</v>
      </c>
      <c r="X100" s="57">
        <f>I262</f>
        <v>81.742738589211612</v>
      </c>
      <c r="AC100" t="s">
        <v>196</v>
      </c>
      <c r="AD100" s="51">
        <v>0.92070175438596402</v>
      </c>
      <c r="AE100" s="51">
        <v>0.90385024471693498</v>
      </c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0</v>
      </c>
      <c r="AM100" s="18">
        <f>SQRT(SUM((AX94*AM94-AM94*AM94)/AU94,(AX95*AM95-AM95*AM95)/AU95,(AX96*AM96-AM96*AM96)/AU96,(AX97*AM97-AM97*AM97)/AU97,(AX98*AM98-AM98*AM98)/AU98))</f>
        <v>0.28133519793288403</v>
      </c>
      <c r="AN100" s="18">
        <f>SQRT(SUM((AX94*AN94-AN94*AN94)/AU94,(AX95*AN95-AN95*AN95)/AU95,(AX96*AN96-AN96*AN96)/AU96,(AX97*AN97-AN97*AN97)/AU97,(AX98*AN98-AN98*AN98)/AU98))</f>
        <v>0.34497304725831718</v>
      </c>
      <c r="AO100" s="18">
        <f>SQRT(SUM((AX94*AO94-AO94*AO94)/AU94,(AX95*AO95-AO95*AO95)/AU95,(AX96*AO96-AO96*AO96)/AU96,(AX97*AO97-AO97*AO97)/AU97,(AX98*AO98-AO98*AO98)/AU98))</f>
        <v>0.57299359948929673</v>
      </c>
      <c r="AP100" s="18">
        <f>SQRT(SUM((AX94*AP94-AP94*AP94)/AU94,(AX95*AP95-AP95*AP95)/AU95,(AX96*AP96-AP96*AP96)/AU96,(AX97*AP97-AP97*AP97)/AU97,(AX98*AP98-AP98*AP98)/AU98))</f>
        <v>0.5590034644150319</v>
      </c>
      <c r="AQ100" s="1"/>
      <c r="AR100" s="56">
        <f>(AL94+AM95+AN96+AO97+AP98)/AQ99</f>
        <v>0.90566080639610325</v>
      </c>
      <c r="AS100" s="53">
        <f>SQRT(SUM(AY94:AY98))/100</f>
        <v>6.4183019921026973E-3</v>
      </c>
      <c r="AV100" s="1"/>
      <c r="AW100" s="9"/>
      <c r="BF100" s="51">
        <v>0.89719659153715303</v>
      </c>
      <c r="BG100" s="1">
        <v>37</v>
      </c>
      <c r="BH100">
        <f t="shared" si="13"/>
        <v>-0.90438222700361048</v>
      </c>
      <c r="BI100">
        <f t="shared" si="14"/>
        <v>-6.4048998195385523E-2</v>
      </c>
      <c r="BJ100">
        <f t="shared" si="11"/>
        <v>-5.746454287226916E-2</v>
      </c>
    </row>
    <row r="101" spans="1:62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56</v>
      </c>
      <c r="O101" s="13" t="s">
        <v>412</v>
      </c>
      <c r="P101" s="13" t="s">
        <v>41</v>
      </c>
      <c r="S101" s="66" t="s">
        <v>39</v>
      </c>
      <c r="T101" s="67">
        <f>J258</f>
        <v>0</v>
      </c>
      <c r="U101" s="67">
        <f>J259</f>
        <v>2.3764906227132032</v>
      </c>
      <c r="V101" s="67">
        <f>J260</f>
        <v>0.49232976564771452</v>
      </c>
      <c r="W101" s="67">
        <f>J261</f>
        <v>1.4160977952198814</v>
      </c>
      <c r="X101" s="67">
        <f>J262</f>
        <v>2.4936574100246278</v>
      </c>
      <c r="AC101" t="s">
        <v>197</v>
      </c>
      <c r="AD101" s="51">
        <v>0.92070175438596402</v>
      </c>
      <c r="AE101" s="51">
        <v>0.90222470621155704</v>
      </c>
      <c r="AK101" s="1" t="s">
        <v>30</v>
      </c>
      <c r="AL101" s="17">
        <f>AL94/AL99*100</f>
        <v>100</v>
      </c>
      <c r="AM101" s="17">
        <f>AM95/AM99*100</f>
        <v>84.532221426595456</v>
      </c>
      <c r="AN101" s="17">
        <f>AN96/AN99*100</f>
        <v>97.383260553767045</v>
      </c>
      <c r="AO101" s="17">
        <f>AO97/AO99*100</f>
        <v>89.665278305413196</v>
      </c>
      <c r="AP101" s="17">
        <f>AP98/AP99*100</f>
        <v>78.271776326033319</v>
      </c>
      <c r="AQ101" s="1"/>
      <c r="BF101" s="51">
        <v>0.89728380639079997</v>
      </c>
      <c r="BG101" s="1">
        <v>38</v>
      </c>
      <c r="BH101">
        <f t="shared" si="13"/>
        <v>-0.8856980216844178</v>
      </c>
      <c r="BI101">
        <f t="shared" si="14"/>
        <v>-6.2725769369078213E-2</v>
      </c>
      <c r="BJ101">
        <f t="shared" si="11"/>
        <v>-5.6282817098277947E-2</v>
      </c>
    </row>
    <row r="102" spans="1:62" x14ac:dyDescent="0.3">
      <c r="A102" t="s">
        <v>3</v>
      </c>
      <c r="B102" s="13">
        <v>0</v>
      </c>
      <c r="C102" s="26">
        <v>56</v>
      </c>
      <c r="D102" s="3">
        <v>0</v>
      </c>
      <c r="E102" s="3">
        <v>0</v>
      </c>
      <c r="F102" s="3">
        <v>0</v>
      </c>
      <c r="G102" s="4">
        <v>0</v>
      </c>
      <c r="H102" s="1">
        <f>SUM(C102:G102)</f>
        <v>56</v>
      </c>
      <c r="I102" s="10">
        <f>C102/H102</f>
        <v>1</v>
      </c>
      <c r="J102" s="11">
        <f>1-I102</f>
        <v>0</v>
      </c>
      <c r="K102">
        <f>H102-C107</f>
        <v>0</v>
      </c>
      <c r="N102" s="10">
        <f>2*(C108*I102)/(C108+I102)</f>
        <v>1</v>
      </c>
      <c r="O102" s="1">
        <v>0</v>
      </c>
      <c r="P102" s="1">
        <v>244</v>
      </c>
      <c r="S102" s="66" t="s">
        <v>56</v>
      </c>
      <c r="T102" s="67">
        <f>N247*100</f>
        <v>100</v>
      </c>
      <c r="U102" s="67">
        <f>N248*100</f>
        <v>74.678111587982826</v>
      </c>
      <c r="V102" s="67">
        <f>N249*100</f>
        <v>97.101041373487192</v>
      </c>
      <c r="W102" s="67">
        <f>N250*100</f>
        <v>87.134964483030785</v>
      </c>
      <c r="X102" s="67">
        <f>N251*100</f>
        <v>73.644859813084111</v>
      </c>
      <c r="AC102" t="s">
        <v>198</v>
      </c>
      <c r="AD102" s="51">
        <v>0.92385964912280705</v>
      </c>
      <c r="AE102" s="51">
        <v>0.90553977263961205</v>
      </c>
      <c r="AI102" s="78"/>
      <c r="AK102" s="16" t="s">
        <v>39</v>
      </c>
      <c r="AL102" s="18">
        <f>SQRT((AL105+AL106)/(AL99*AL99))</f>
        <v>0</v>
      </c>
      <c r="AM102" s="18">
        <f>SQRT((AM105+AM106)/(AM99*AM99))</f>
        <v>3.4602129973897178</v>
      </c>
      <c r="AN102" s="18">
        <f>SQRT((AN105+AN106)/(AN99*AN99))</f>
        <v>0.6500485800386161</v>
      </c>
      <c r="AO102" s="18">
        <f>SQRT((AO105+AO106)/(AO99*AO99))</f>
        <v>1.8837822882175099</v>
      </c>
      <c r="AP102" s="18">
        <f>SQRT((AP105+AP106)/(AP99*AP99))</f>
        <v>5.3359983030271971</v>
      </c>
      <c r="AQ102" s="1"/>
      <c r="AR102" s="14"/>
      <c r="BF102" s="51">
        <v>0.89732555294201088</v>
      </c>
      <c r="BG102" s="1">
        <v>39</v>
      </c>
      <c r="BH102">
        <f t="shared" si="13"/>
        <v>-0.8673180120699755</v>
      </c>
      <c r="BI102">
        <f t="shared" si="14"/>
        <v>-6.1424083900836604E-2</v>
      </c>
      <c r="BJ102">
        <f t="shared" si="11"/>
        <v>-5.5117400050274677E-2</v>
      </c>
    </row>
    <row r="103" spans="1:62" x14ac:dyDescent="0.3">
      <c r="A103" t="s">
        <v>4</v>
      </c>
      <c r="B103" s="13">
        <v>1</v>
      </c>
      <c r="C103" s="5">
        <v>0</v>
      </c>
      <c r="D103" s="27">
        <v>88</v>
      </c>
      <c r="E103" s="1">
        <v>4</v>
      </c>
      <c r="F103" s="1">
        <v>0</v>
      </c>
      <c r="G103" s="6">
        <v>0</v>
      </c>
      <c r="H103" s="1">
        <f>SUM(C103:G103)</f>
        <v>92</v>
      </c>
      <c r="I103" s="10">
        <f>D103/H103</f>
        <v>0.95652173913043481</v>
      </c>
      <c r="J103" s="11">
        <f>1-I103</f>
        <v>4.3478260869565188E-2</v>
      </c>
      <c r="K103">
        <f>H103-D107</f>
        <v>-46</v>
      </c>
      <c r="N103" s="10">
        <f>2*(D108*I103)/(D108+I103)</f>
        <v>0.76521739130434785</v>
      </c>
      <c r="O103" s="1">
        <v>5</v>
      </c>
      <c r="P103" s="1">
        <v>88</v>
      </c>
      <c r="R103" s="16" t="s">
        <v>66</v>
      </c>
      <c r="S103" t="s">
        <v>9</v>
      </c>
      <c r="T103" s="30">
        <f>N258</f>
        <v>2954.67</v>
      </c>
      <c r="U103" s="30">
        <f>N259</f>
        <v>15717.56</v>
      </c>
      <c r="V103" s="30">
        <f>N260</f>
        <v>83453.84</v>
      </c>
      <c r="W103" s="30">
        <f>N261</f>
        <v>59176.94</v>
      </c>
      <c r="X103" s="30">
        <f>N262</f>
        <v>31468.37</v>
      </c>
      <c r="Z103" t="s">
        <v>36</v>
      </c>
      <c r="AA103" s="1">
        <f>N263</f>
        <v>192771.38</v>
      </c>
      <c r="AC103" t="s">
        <v>199</v>
      </c>
      <c r="AD103" s="51">
        <v>0.91964912280701705</v>
      </c>
      <c r="AE103" s="51">
        <v>0.901851353444452</v>
      </c>
      <c r="AK103" s="1" t="s">
        <v>37</v>
      </c>
      <c r="AL103" s="18">
        <f>100-AL101</f>
        <v>0</v>
      </c>
      <c r="AM103" s="18">
        <f>100-AM101</f>
        <v>15.467778573404544</v>
      </c>
      <c r="AN103" s="18">
        <f>100-AN101</f>
        <v>2.6167394462329554</v>
      </c>
      <c r="AO103" s="18">
        <f>100-AO101</f>
        <v>10.334721694586804</v>
      </c>
      <c r="AP103" s="18">
        <f>100-AP101</f>
        <v>21.728223673966681</v>
      </c>
      <c r="BF103" s="51">
        <v>0.897374200486454</v>
      </c>
      <c r="BG103" s="1">
        <v>40</v>
      </c>
      <c r="BH103">
        <f t="shared" si="13"/>
        <v>-0.84922643593033087</v>
      </c>
      <c r="BI103">
        <f t="shared" si="14"/>
        <v>-6.0142825498226318E-2</v>
      </c>
      <c r="BJ103">
        <f t="shared" si="11"/>
        <v>-5.3970619946467159E-2</v>
      </c>
    </row>
    <row r="104" spans="1:62" ht="15.6" x14ac:dyDescent="0.35">
      <c r="A104" t="s">
        <v>5</v>
      </c>
      <c r="B104" s="13">
        <v>2</v>
      </c>
      <c r="C104" s="5">
        <v>0</v>
      </c>
      <c r="D104" s="1">
        <v>40</v>
      </c>
      <c r="E104" s="27">
        <v>1726</v>
      </c>
      <c r="F104" s="1">
        <v>24</v>
      </c>
      <c r="G104" s="6">
        <v>18</v>
      </c>
      <c r="H104" s="1">
        <f>SUM(C104:G104)</f>
        <v>1808</v>
      </c>
      <c r="I104" s="10">
        <f>E104/H104</f>
        <v>0.95464601769911506</v>
      </c>
      <c r="J104" s="11">
        <f>1-I104</f>
        <v>4.5353982300884943E-2</v>
      </c>
      <c r="K104">
        <f>H104-E107</f>
        <v>67</v>
      </c>
      <c r="N104" s="10">
        <f>2*(E108*I104)/(E108+I104)</f>
        <v>0.9726683572837419</v>
      </c>
      <c r="O104" s="1">
        <v>896</v>
      </c>
      <c r="P104" s="1">
        <v>9648</v>
      </c>
      <c r="R104" s="16" t="s">
        <v>323</v>
      </c>
      <c r="S104" t="s">
        <v>68</v>
      </c>
      <c r="T104" s="57">
        <f>$AA103*T96/100</f>
        <v>2954.67</v>
      </c>
      <c r="U104" s="57">
        <f>$AA103*U96/100</f>
        <v>17844.99800673424</v>
      </c>
      <c r="V104" s="57">
        <f>$AA103*V96/100</f>
        <v>81996.084773540482</v>
      </c>
      <c r="W104" s="57">
        <f>$AA103*W96/100</f>
        <v>56262.442401535853</v>
      </c>
      <c r="X104" s="57">
        <f>$AA103*X96/100</f>
        <v>33713.184818189395</v>
      </c>
      <c r="Z104" t="s">
        <v>36</v>
      </c>
      <c r="AA104" s="25">
        <f>SUM(T104:X104)</f>
        <v>192771.37999999998</v>
      </c>
      <c r="AC104" t="s">
        <v>200</v>
      </c>
      <c r="AD104" s="51">
        <v>0.91578947368421004</v>
      </c>
      <c r="AE104" s="51">
        <v>0.89673070878093997</v>
      </c>
      <c r="AI104" s="78"/>
      <c r="AK104" s="1" t="s">
        <v>25</v>
      </c>
      <c r="AL104" s="1">
        <f>AL88</f>
        <v>56</v>
      </c>
      <c r="AM104" s="1">
        <f>AM88</f>
        <v>142</v>
      </c>
      <c r="AN104" s="1">
        <f>AN88</f>
        <v>1740</v>
      </c>
      <c r="AO104" s="1">
        <f>AO88</f>
        <v>623</v>
      </c>
      <c r="AP104" s="1">
        <f>AP88</f>
        <v>289</v>
      </c>
      <c r="BF104" s="51">
        <v>0.89747910354547</v>
      </c>
      <c r="BG104" s="1">
        <v>41</v>
      </c>
      <c r="BH104">
        <f t="shared" si="13"/>
        <v>-0.83140863705266987</v>
      </c>
      <c r="BI104">
        <f t="shared" si="14"/>
        <v>-5.8880956197740281E-2</v>
      </c>
      <c r="BJ104">
        <f t="shared" si="11"/>
        <v>-5.2844427784248034E-2</v>
      </c>
    </row>
    <row r="105" spans="1:62" x14ac:dyDescent="0.3">
      <c r="A105" t="s">
        <v>6</v>
      </c>
      <c r="B105" s="13">
        <v>3</v>
      </c>
      <c r="C105" s="5">
        <v>0</v>
      </c>
      <c r="D105" s="1">
        <v>10</v>
      </c>
      <c r="E105" s="1">
        <v>6</v>
      </c>
      <c r="F105" s="27">
        <v>567</v>
      </c>
      <c r="G105" s="6">
        <v>70</v>
      </c>
      <c r="H105" s="1">
        <f>SUM(C105:G105)</f>
        <v>653</v>
      </c>
      <c r="I105" s="10">
        <f>F105/H105</f>
        <v>0.86830015313935682</v>
      </c>
      <c r="J105" s="11">
        <f>1-I105</f>
        <v>0.13169984686064318</v>
      </c>
      <c r="K105">
        <f>H105-F107</f>
        <v>21</v>
      </c>
      <c r="N105" s="10">
        <f>2*(F108*I105)/(F108+I105)</f>
        <v>0.88249027237354072</v>
      </c>
      <c r="O105" s="1">
        <v>681</v>
      </c>
      <c r="P105" s="1">
        <v>18992</v>
      </c>
      <c r="R105" s="66"/>
      <c r="S105" s="66" t="s">
        <v>67</v>
      </c>
      <c r="T105" s="67">
        <f>$AA103*T97/100</f>
        <v>0</v>
      </c>
      <c r="U105" s="67">
        <f>$AA103*U97/100</f>
        <v>562.36768143912593</v>
      </c>
      <c r="V105" s="67">
        <f>$AA103*V97/100</f>
        <v>680.15256924931225</v>
      </c>
      <c r="W105" s="67">
        <f>$AA103*W97/100</f>
        <v>1147.2873602034545</v>
      </c>
      <c r="X105" s="67">
        <f>$AA103*X97/100</f>
        <v>1105.2103017084771</v>
      </c>
      <c r="AA105" s="1"/>
      <c r="AC105" t="s">
        <v>201</v>
      </c>
      <c r="AD105" s="51">
        <v>0.91578947368421004</v>
      </c>
      <c r="AE105" s="51">
        <v>0.89546953737264401</v>
      </c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811.35277452899913</v>
      </c>
      <c r="AN105" s="18">
        <f>(AX96*AX96*(100-AN101)*(100-AN101)*(AR96)*(100-AR96))/((AU96-1)*100)</f>
        <v>30.897434314764297</v>
      </c>
      <c r="AO105" s="18">
        <f>(AX97*AX97*(100-AO101)*(100-AO101)*(AR97)*(100-AR97))/((AU97-1)*100)</f>
        <v>1812.55459836156</v>
      </c>
      <c r="AP105" s="18">
        <f>(AX98*AX98*(100-AP101)*(100-AP101)*(AR98)*(100-AR98))/((AU98-1)*100)</f>
        <v>7705.2136038365397</v>
      </c>
      <c r="BF105" s="51">
        <v>0.89748643695453001</v>
      </c>
      <c r="BG105" s="1">
        <v>42</v>
      </c>
      <c r="BH105">
        <f t="shared" si="13"/>
        <v>-0.81385096037908278</v>
      </c>
      <c r="BI105">
        <f t="shared" si="14"/>
        <v>-5.7637508938380051E-2</v>
      </c>
      <c r="BJ105">
        <f t="shared" si="11"/>
        <v>-5.1728882532041588E-2</v>
      </c>
    </row>
    <row r="106" spans="1:62" x14ac:dyDescent="0.3">
      <c r="A106" t="s">
        <v>7</v>
      </c>
      <c r="B106" s="13">
        <v>4</v>
      </c>
      <c r="C106" s="7">
        <v>0</v>
      </c>
      <c r="D106" s="8">
        <v>0</v>
      </c>
      <c r="E106" s="8">
        <v>5</v>
      </c>
      <c r="F106" s="8">
        <v>41</v>
      </c>
      <c r="G106" s="28">
        <v>195</v>
      </c>
      <c r="H106" s="1">
        <f>SUM(C106:G106)</f>
        <v>241</v>
      </c>
      <c r="I106" s="10">
        <f>G106/H106</f>
        <v>0.8091286307053942</v>
      </c>
      <c r="J106" s="11">
        <f>1-I106</f>
        <v>0.1908713692946058</v>
      </c>
      <c r="K106">
        <f>H106-G107</f>
        <v>-42</v>
      </c>
      <c r="N106" s="10">
        <f>2*(G108*I106)/(G108+I106)</f>
        <v>0.74427480916030542</v>
      </c>
      <c r="O106" s="1">
        <v>270</v>
      </c>
      <c r="P106" s="1">
        <v>14253</v>
      </c>
      <c r="R106" t="s">
        <v>102</v>
      </c>
      <c r="S106" t="s">
        <v>28</v>
      </c>
      <c r="T106" s="57">
        <f t="shared" ref="T106:X109" si="21">C292</f>
        <v>1.5613157928319026</v>
      </c>
      <c r="U106" s="57">
        <f t="shared" si="21"/>
        <v>9.6907581280855464</v>
      </c>
      <c r="V106" s="57">
        <f t="shared" si="21"/>
        <v>42.451704518470159</v>
      </c>
      <c r="W106" s="57">
        <f t="shared" si="21"/>
        <v>28.232164210175782</v>
      </c>
      <c r="X106" s="57">
        <f t="shared" si="21"/>
        <v>18.064057350436613</v>
      </c>
      <c r="Y106" s="60"/>
      <c r="Z106" s="74"/>
      <c r="AA106" s="12"/>
      <c r="AC106" t="s">
        <v>202</v>
      </c>
      <c r="AD106" s="51">
        <v>0.91684210526315701</v>
      </c>
      <c r="AE106" s="51">
        <v>0.89831649575440997</v>
      </c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326.21952523484066</v>
      </c>
      <c r="AN106" s="18">
        <f>AN101*AN101*(SUM((AQ94*AN94*(1-AN83/AQ83))/(AQ83-1),(AQ95*AN95*(1-AN84/AQ84))/(AQ84-1), (AQ97*AN97*(1-AN86/AQ86))/(AQ86-1),(AQ98*AN98*(1-AN87/AQ87))/(AQ87-1)))</f>
        <v>705.56222826081012</v>
      </c>
      <c r="AO106" s="18">
        <f>AO101*AO101*(SUM((AQ94*AO94*(1-AO83/AQ83))/(AQ83-1),(AQ95*AO95*(1-AO84/AQ84))/(AQ84-1), (AQ96*AO96*(1-AO85/AQ85))/(AQ85-1),(AQ98*AO98*(1-AO87/AQ87))/(AQ87-1)))</f>
        <v>1282.319850420248</v>
      </c>
      <c r="AP106" s="18">
        <f>AP101*AP101*(SUM((AQ94*AP94*(1-AP83/AQ83))/(AQ83-1),(AQ95*AP95*(1-AP84/AQ84))/(AQ84-1), (AQ96*AP96*(1-AP85/AQ85))/(AQ85-1),(AQ97*AP97*(1-AP86/AQ86))/(AQ86-1)))</f>
        <v>920.04747164629964</v>
      </c>
      <c r="BF106" s="51">
        <v>0.89751472934257037</v>
      </c>
      <c r="BG106" s="1">
        <v>43</v>
      </c>
      <c r="BH106">
        <f t="shared" si="13"/>
        <v>-0.79654065929088214</v>
      </c>
      <c r="BI106">
        <f t="shared" si="14"/>
        <v>-5.6411580995464693E-2</v>
      </c>
      <c r="BJ106">
        <f t="shared" si="11"/>
        <v>-5.0630224848930983E-2</v>
      </c>
    </row>
    <row r="107" spans="1:62" ht="15.6" x14ac:dyDescent="0.35">
      <c r="B107" s="1" t="s">
        <v>19</v>
      </c>
      <c r="C107" s="1">
        <f>SUM(C102:C106)</f>
        <v>56</v>
      </c>
      <c r="D107" s="1">
        <f>SUM(D102:D106)</f>
        <v>138</v>
      </c>
      <c r="E107" s="1">
        <f>SUM(E102:E106)</f>
        <v>1741</v>
      </c>
      <c r="F107" s="1">
        <f>SUM(F102:F106)</f>
        <v>632</v>
      </c>
      <c r="G107" s="1">
        <f>SUM(G102:G106)</f>
        <v>283</v>
      </c>
      <c r="H107" s="1">
        <f>SUM(H101:H106)</f>
        <v>2850</v>
      </c>
      <c r="I107" s="13" t="s">
        <v>12</v>
      </c>
      <c r="N107" s="16" t="s">
        <v>36</v>
      </c>
      <c r="O107" s="1">
        <f>SUM(O102:O106)</f>
        <v>1852</v>
      </c>
      <c r="P107" s="1">
        <f>SUM(P102:P106)</f>
        <v>43225</v>
      </c>
      <c r="S107" s="66" t="s">
        <v>39</v>
      </c>
      <c r="T107" s="67">
        <f t="shared" si="21"/>
        <v>0</v>
      </c>
      <c r="U107" s="67">
        <f t="shared" si="21"/>
        <v>0.3105007553432364</v>
      </c>
      <c r="V107" s="67">
        <f t="shared" si="21"/>
        <v>0.35883243573104723</v>
      </c>
      <c r="W107" s="67">
        <f t="shared" si="21"/>
        <v>0.58992794456718423</v>
      </c>
      <c r="X107" s="67">
        <f t="shared" si="21"/>
        <v>0.58129301041877823</v>
      </c>
      <c r="AC107" t="s">
        <v>203</v>
      </c>
      <c r="AD107" s="51">
        <v>0.92280701754385897</v>
      </c>
      <c r="AE107" s="51">
        <v>0.90473887025019595</v>
      </c>
      <c r="BF107" s="51">
        <v>0.8975777079663777</v>
      </c>
      <c r="BG107" s="1">
        <v>44</v>
      </c>
      <c r="BH107">
        <f t="shared" si="13"/>
        <v>-0.77946581337961318</v>
      </c>
      <c r="BI107">
        <f t="shared" si="14"/>
        <v>-5.5202328157114761E-2</v>
      </c>
      <c r="BJ107">
        <f t="shared" si="11"/>
        <v>-4.9548379181670904E-2</v>
      </c>
    </row>
    <row r="108" spans="1:62" x14ac:dyDescent="0.3">
      <c r="A108" s="1" t="s">
        <v>321</v>
      </c>
      <c r="B108" s="1" t="s">
        <v>2</v>
      </c>
      <c r="C108" s="10">
        <f>C102/C107</f>
        <v>1</v>
      </c>
      <c r="D108" s="10">
        <f>D103/D107</f>
        <v>0.6376811594202898</v>
      </c>
      <c r="E108" s="10">
        <f>E104/E107</f>
        <v>0.99138426191843765</v>
      </c>
      <c r="F108" s="10">
        <f>F105/F107</f>
        <v>0.89715189873417722</v>
      </c>
      <c r="G108" s="10">
        <f>G106/G107</f>
        <v>0.68904593639575973</v>
      </c>
      <c r="H108" s="10"/>
      <c r="I108" s="14">
        <f>(C102+D103+E104+F105+G106)/H107</f>
        <v>0.92350877192982461</v>
      </c>
      <c r="S108" t="s">
        <v>30</v>
      </c>
      <c r="T108" s="57">
        <f t="shared" si="21"/>
        <v>100</v>
      </c>
      <c r="U108" s="57">
        <f t="shared" si="21"/>
        <v>83.70806715709287</v>
      </c>
      <c r="V108" s="57">
        <f t="shared" si="21"/>
        <v>97.259707044462814</v>
      </c>
      <c r="W108" s="57">
        <f t="shared" si="21"/>
        <v>88.73798241842222</v>
      </c>
      <c r="X108" s="57">
        <f t="shared" si="21"/>
        <v>76.245279398596054</v>
      </c>
      <c r="AC108" t="s">
        <v>204</v>
      </c>
      <c r="AD108" s="51">
        <v>0.91929824561403495</v>
      </c>
      <c r="AE108" s="51">
        <v>0.90312869542964302</v>
      </c>
      <c r="AJ108" s="118" t="s">
        <v>375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  <c r="BF108" s="51">
        <v>0.89757835137516395</v>
      </c>
      <c r="BG108" s="1">
        <v>45</v>
      </c>
      <c r="BH108">
        <f t="shared" si="13"/>
        <v>-0.76261525530438468</v>
      </c>
      <c r="BI108">
        <f t="shared" si="14"/>
        <v>-5.400895954423595E-2</v>
      </c>
      <c r="BJ108">
        <f t="shared" si="11"/>
        <v>-4.8477272867203228E-2</v>
      </c>
    </row>
    <row r="109" spans="1:62" x14ac:dyDescent="0.3">
      <c r="B109" s="1" t="s">
        <v>14</v>
      </c>
      <c r="C109" s="11">
        <f>1-C108</f>
        <v>0</v>
      </c>
      <c r="D109" s="11">
        <f>1-D108</f>
        <v>0.3623188405797102</v>
      </c>
      <c r="E109" s="11">
        <f>1-E108</f>
        <v>8.6157380815623519E-3</v>
      </c>
      <c r="F109" s="11">
        <f>1-F108</f>
        <v>0.10284810126582278</v>
      </c>
      <c r="G109" s="11">
        <f>1-G108</f>
        <v>0.31095406360424027</v>
      </c>
      <c r="S109" s="66" t="s">
        <v>39</v>
      </c>
      <c r="T109" s="67">
        <f t="shared" si="21"/>
        <v>0</v>
      </c>
      <c r="U109" s="67">
        <f t="shared" si="21"/>
        <v>4.211020331263807</v>
      </c>
      <c r="V109" s="67">
        <f t="shared" si="21"/>
        <v>0.67827507732360537</v>
      </c>
      <c r="W109" s="67">
        <f t="shared" si="21"/>
        <v>2.123740735446118</v>
      </c>
      <c r="X109" s="67">
        <f t="shared" si="21"/>
        <v>5.7810265222896611</v>
      </c>
      <c r="AC109" t="s">
        <v>205</v>
      </c>
      <c r="AD109" s="51">
        <v>0.92245614035087697</v>
      </c>
      <c r="AE109" s="51">
        <v>0.90405143346051897</v>
      </c>
      <c r="AJ109" s="106" t="s">
        <v>392</v>
      </c>
      <c r="AK109" s="107" t="s">
        <v>28</v>
      </c>
      <c r="AL109" s="108">
        <f t="shared" ref="AL109:AP112" si="22">AL99</f>
        <v>1.568604219153279</v>
      </c>
      <c r="AM109" s="108">
        <f>AM99</f>
        <v>9.7473524778686045</v>
      </c>
      <c r="AN109" s="108">
        <f>AN99</f>
        <v>41.747326487867909</v>
      </c>
      <c r="AO109" s="108">
        <f t="shared" si="22"/>
        <v>29.531860515800762</v>
      </c>
      <c r="AP109" s="108">
        <f t="shared" si="22"/>
        <v>17.404856299309444</v>
      </c>
      <c r="AQ109" s="107"/>
      <c r="AR109" s="232" t="s">
        <v>77</v>
      </c>
      <c r="AS109" s="233">
        <f>AR100</f>
        <v>0.90566080639610325</v>
      </c>
      <c r="BF109" s="51">
        <v>0.8976438647817484</v>
      </c>
      <c r="BG109" s="1">
        <v>46</v>
      </c>
      <c r="BH109">
        <f t="shared" si="13"/>
        <v>-0.74597850554896161</v>
      </c>
      <c r="BI109">
        <f t="shared" si="14"/>
        <v>-5.2830732989969618E-2</v>
      </c>
      <c r="BJ109">
        <f t="shared" si="11"/>
        <v>-4.7423183340368942E-2</v>
      </c>
    </row>
    <row r="110" spans="1:62" x14ac:dyDescent="0.3">
      <c r="C110" s="2"/>
      <c r="S110" s="15" t="s">
        <v>31</v>
      </c>
      <c r="T110" s="71">
        <f>I287</f>
        <v>100</v>
      </c>
      <c r="U110" s="71">
        <f>I288</f>
        <v>93.478260869565204</v>
      </c>
      <c r="V110" s="71">
        <f>I289</f>
        <v>95.409292035398224</v>
      </c>
      <c r="W110" s="71">
        <f>I290</f>
        <v>84.532924961715167</v>
      </c>
      <c r="X110" s="71">
        <f>I291</f>
        <v>81.742738589211612</v>
      </c>
      <c r="AC110" t="s">
        <v>206</v>
      </c>
      <c r="AD110" s="51">
        <v>0.91859649122806997</v>
      </c>
      <c r="AE110" s="51">
        <v>0.89647900721254703</v>
      </c>
      <c r="AI110" s="78"/>
      <c r="AJ110" s="107"/>
      <c r="AK110" s="109" t="s">
        <v>39</v>
      </c>
      <c r="AL110" s="110">
        <f t="shared" si="22"/>
        <v>0</v>
      </c>
      <c r="AM110" s="110">
        <f t="shared" si="22"/>
        <v>0.28133519793288403</v>
      </c>
      <c r="AN110" s="110">
        <f t="shared" si="22"/>
        <v>0.34497304725831718</v>
      </c>
      <c r="AO110" s="110">
        <f t="shared" si="22"/>
        <v>0.57299359948929673</v>
      </c>
      <c r="AP110" s="110">
        <f t="shared" si="22"/>
        <v>0.5590034644150319</v>
      </c>
      <c r="AQ110" s="107"/>
      <c r="AR110" s="232" t="s">
        <v>29</v>
      </c>
      <c r="AS110" s="234">
        <f>AS100</f>
        <v>6.4183019921026973E-3</v>
      </c>
      <c r="AX110" s="103" t="s">
        <v>386</v>
      </c>
      <c r="BF110" s="56">
        <v>0.89771687144156098</v>
      </c>
      <c r="BG110" s="1">
        <v>47</v>
      </c>
      <c r="BH110">
        <f t="shared" si="13"/>
        <v>-0.7295457140694851</v>
      </c>
      <c r="BI110">
        <f t="shared" si="14"/>
        <v>-5.1666950907142448E-2</v>
      </c>
      <c r="BJ110">
        <f t="shared" si="11"/>
        <v>-4.638229352528464E-2</v>
      </c>
    </row>
    <row r="111" spans="1:62" ht="15.6" x14ac:dyDescent="0.35">
      <c r="A111" t="s">
        <v>322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</v>
      </c>
      <c r="U111" s="76">
        <f>J288</f>
        <v>2.5883102208852105</v>
      </c>
      <c r="V111" s="76">
        <f>J289</f>
        <v>0.49232976564771452</v>
      </c>
      <c r="W111" s="76">
        <f>J290</f>
        <v>1.4160977952198814</v>
      </c>
      <c r="X111" s="76">
        <f>J291</f>
        <v>2.4936574100246278</v>
      </c>
      <c r="AC111" t="s">
        <v>160</v>
      </c>
      <c r="AD111" s="51">
        <v>0.92280701754385897</v>
      </c>
      <c r="AE111" s="51">
        <v>0.90462084377242102</v>
      </c>
      <c r="AJ111" s="107"/>
      <c r="AK111" s="107" t="s">
        <v>30</v>
      </c>
      <c r="AL111" s="108">
        <f t="shared" si="22"/>
        <v>100</v>
      </c>
      <c r="AM111" s="108">
        <f t="shared" si="22"/>
        <v>84.532221426595456</v>
      </c>
      <c r="AN111" s="108">
        <f t="shared" si="22"/>
        <v>97.383260553767045</v>
      </c>
      <c r="AO111" s="108">
        <f t="shared" si="22"/>
        <v>89.665278305413196</v>
      </c>
      <c r="AP111" s="108">
        <f t="shared" si="22"/>
        <v>78.271776326033319</v>
      </c>
      <c r="AQ111" s="107"/>
      <c r="AR111" s="107"/>
      <c r="AS111" s="107"/>
      <c r="AU111" s="103" t="s">
        <v>386</v>
      </c>
      <c r="AW111" s="101"/>
      <c r="AX111" s="1" t="s">
        <v>380</v>
      </c>
      <c r="AY111" s="96"/>
      <c r="BF111" s="51">
        <v>0.89773622954925103</v>
      </c>
      <c r="BG111" s="1">
        <v>48</v>
      </c>
      <c r="BH111">
        <f t="shared" si="13"/>
        <v>-0.7133076079711943</v>
      </c>
      <c r="BI111">
        <f t="shared" si="14"/>
        <v>-5.0516956582694325E-2</v>
      </c>
      <c r="BJ111">
        <f t="shared" si="11"/>
        <v>-4.5350902130851217E-2</v>
      </c>
    </row>
    <row r="112" spans="1:62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56</v>
      </c>
      <c r="T112" s="67">
        <f>N276*100</f>
        <v>100</v>
      </c>
      <c r="U112" s="67">
        <f>N277*100</f>
        <v>73.191489361702125</v>
      </c>
      <c r="V112" s="67">
        <f>N278*100</f>
        <v>97.183098591549296</v>
      </c>
      <c r="W112" s="67">
        <f>N279*100</f>
        <v>87.549563838223634</v>
      </c>
      <c r="X112" s="67">
        <f>N280*100</f>
        <v>72.693726937269361</v>
      </c>
      <c r="AC112" t="s">
        <v>207</v>
      </c>
      <c r="AD112" s="51">
        <v>0.91964912280701705</v>
      </c>
      <c r="AE112" s="51">
        <v>0.89930660028659903</v>
      </c>
      <c r="AI112" s="78"/>
      <c r="AJ112" s="107"/>
      <c r="AK112" s="109" t="s">
        <v>39</v>
      </c>
      <c r="AL112" s="110">
        <f t="shared" si="22"/>
        <v>0</v>
      </c>
      <c r="AM112" s="110">
        <f t="shared" si="22"/>
        <v>3.4602129973897178</v>
      </c>
      <c r="AN112" s="110">
        <f t="shared" si="22"/>
        <v>0.6500485800386161</v>
      </c>
      <c r="AO112" s="110">
        <f t="shared" si="22"/>
        <v>1.8837822882175099</v>
      </c>
      <c r="AP112" s="110">
        <f t="shared" si="22"/>
        <v>5.3359983030271971</v>
      </c>
      <c r="AQ112" s="107"/>
      <c r="AR112" s="107"/>
      <c r="AS112" s="107"/>
      <c r="AU112" s="93"/>
      <c r="AV112" s="1" t="s">
        <v>380</v>
      </c>
      <c r="AW112" s="97"/>
      <c r="AX112" s="71" t="s">
        <v>381</v>
      </c>
      <c r="AY112" s="95"/>
      <c r="BF112" s="51">
        <v>0.89775170635560697</v>
      </c>
      <c r="BG112" s="1">
        <v>49</v>
      </c>
      <c r="BH112">
        <f t="shared" si="13"/>
        <v>-0.69725544447594368</v>
      </c>
      <c r="BI112">
        <f t="shared" si="14"/>
        <v>-4.9380130846804184E-2</v>
      </c>
      <c r="BJ112">
        <f t="shared" si="11"/>
        <v>-4.4331096727781599E-2</v>
      </c>
    </row>
    <row r="113" spans="1:62" x14ac:dyDescent="0.3">
      <c r="A113" t="s">
        <v>3</v>
      </c>
      <c r="B113" s="13">
        <v>0</v>
      </c>
      <c r="C113" s="29">
        <f>(C102/$L113)*$O113</f>
        <v>1.5431957230170037</v>
      </c>
      <c r="D113" s="31">
        <f>(D102/$L113)*$O113</f>
        <v>0</v>
      </c>
      <c r="E113" s="31">
        <f>(E102/$L113)*$O113</f>
        <v>0</v>
      </c>
      <c r="F113" s="31">
        <f>(F102/$L113)*$O113</f>
        <v>0</v>
      </c>
      <c r="G113" s="32">
        <f>(G102/$L113)*$O113</f>
        <v>0</v>
      </c>
      <c r="H113" s="17">
        <f>SUM(C113:G113)</f>
        <v>1.5431957230170037</v>
      </c>
      <c r="I113" s="17">
        <f>C113/H113*100</f>
        <v>100</v>
      </c>
      <c r="J113" s="17">
        <f>SQRT(I113*(100-I113)/(L113-1))</f>
        <v>0</v>
      </c>
      <c r="K113" s="18">
        <f>100-I113</f>
        <v>0</v>
      </c>
      <c r="L113" s="1">
        <f>H102</f>
        <v>56</v>
      </c>
      <c r="M113">
        <v>0</v>
      </c>
      <c r="N113">
        <v>2974.84</v>
      </c>
      <c r="O113" s="17">
        <f>N113/N118*100</f>
        <v>1.5431957230170037</v>
      </c>
      <c r="P113" s="52">
        <f>((O113*O113*(I113/100)*(K113/100))/(L113-1))</f>
        <v>0</v>
      </c>
      <c r="R113" s="16" t="s">
        <v>66</v>
      </c>
      <c r="S113" t="s">
        <v>9</v>
      </c>
      <c r="T113" s="30">
        <f>N287</f>
        <v>3009.77</v>
      </c>
      <c r="U113" s="30">
        <f>N288</f>
        <v>16728.5</v>
      </c>
      <c r="V113" s="30">
        <f>N289</f>
        <v>83421.88</v>
      </c>
      <c r="W113" s="30">
        <f>N290</f>
        <v>57130.81</v>
      </c>
      <c r="X113" s="30">
        <f>N291</f>
        <v>32480.42</v>
      </c>
      <c r="Z113" t="s">
        <v>36</v>
      </c>
      <c r="AA113" s="1">
        <f>N292</f>
        <v>192771.38</v>
      </c>
      <c r="AC113" t="s">
        <v>161</v>
      </c>
      <c r="AD113" s="51">
        <v>0.91929824561403495</v>
      </c>
      <c r="AE113" s="51">
        <v>0.89846443820831601</v>
      </c>
      <c r="AJ113" s="107"/>
      <c r="AK113" s="111" t="s">
        <v>31</v>
      </c>
      <c r="AL113" s="112">
        <f>AR94</f>
        <v>100</v>
      </c>
      <c r="AM113" s="112">
        <f>AR95</f>
        <v>95.652173913043484</v>
      </c>
      <c r="AN113" s="112">
        <f>AR96</f>
        <v>95.298672566371707</v>
      </c>
      <c r="AO113" s="112">
        <f>AR97</f>
        <v>86.370597243491574</v>
      </c>
      <c r="AP113" s="112">
        <f>AR98</f>
        <v>82.572614107883808</v>
      </c>
      <c r="AQ113" s="107"/>
      <c r="AR113" s="107"/>
      <c r="AS113" s="107"/>
      <c r="AU113" s="94"/>
      <c r="AV113" s="71" t="s">
        <v>383</v>
      </c>
      <c r="AW113" s="98"/>
      <c r="AX113" s="71" t="s">
        <v>382</v>
      </c>
      <c r="AY113" s="93"/>
      <c r="BF113" s="79">
        <v>0.89777712719835301</v>
      </c>
      <c r="BG113" s="1">
        <v>50</v>
      </c>
      <c r="BH113">
        <f t="shared" si="13"/>
        <v>-0.68138096854583952</v>
      </c>
      <c r="BI113">
        <f t="shared" si="14"/>
        <v>-4.8255889071765555E-2</v>
      </c>
      <c r="BJ113">
        <f t="shared" si="11"/>
        <v>-4.3323033461252075E-2</v>
      </c>
    </row>
    <row r="114" spans="1:62" ht="15.6" x14ac:dyDescent="0.35">
      <c r="A114" t="s">
        <v>4</v>
      </c>
      <c r="B114" s="13">
        <v>1</v>
      </c>
      <c r="C114" s="33">
        <f t="shared" ref="C114:G117" si="23">(C103/$L114)*$O114</f>
        <v>0</v>
      </c>
      <c r="D114" s="34">
        <f t="shared" si="23"/>
        <v>8.3545615259272399</v>
      </c>
      <c r="E114" s="19">
        <f t="shared" si="23"/>
        <v>0.37975279663305633</v>
      </c>
      <c r="F114" s="18">
        <f t="shared" si="23"/>
        <v>0</v>
      </c>
      <c r="G114" s="20">
        <f t="shared" si="23"/>
        <v>0</v>
      </c>
      <c r="H114" s="17">
        <f>SUM(C114:G114)</f>
        <v>8.7343143225602962</v>
      </c>
      <c r="I114" s="17">
        <f>D114/H114*100</f>
        <v>95.652173913043484</v>
      </c>
      <c r="J114" s="17">
        <f>SQRT(I114*(100-I114)/(L114-1))</f>
        <v>2.1377790082367012</v>
      </c>
      <c r="K114" s="18">
        <f>100-I114</f>
        <v>4.3478260869565162</v>
      </c>
      <c r="L114" s="1">
        <f>H103</f>
        <v>92</v>
      </c>
      <c r="M114">
        <v>1</v>
      </c>
      <c r="N114">
        <v>16837.259999999998</v>
      </c>
      <c r="O114" s="17">
        <f>N114/N118*100</f>
        <v>8.7343143225602962</v>
      </c>
      <c r="P114" s="52">
        <f>((O114*O114*(I114/100)*(K114/100))/(L114-1))</f>
        <v>3.4864484660591208E-2</v>
      </c>
      <c r="R114" s="16" t="s">
        <v>323</v>
      </c>
      <c r="S114" t="s">
        <v>68</v>
      </c>
      <c r="T114" s="57">
        <f>$AA113*T106/100</f>
        <v>3009.77</v>
      </c>
      <c r="U114" s="57">
        <f>$AA113*U106/100</f>
        <v>18681.008175972678</v>
      </c>
      <c r="V114" s="57">
        <f>$AA113*V106/100</f>
        <v>81834.736633777284</v>
      </c>
      <c r="W114" s="57">
        <f>$AA113*W106/100</f>
        <v>54423.532551821954</v>
      </c>
      <c r="X114" s="57">
        <f>$AA113*X106/100</f>
        <v>34822.332638428095</v>
      </c>
      <c r="Z114" t="s">
        <v>36</v>
      </c>
      <c r="AA114" s="25">
        <f>SUM(T114:X114)</f>
        <v>192771.38</v>
      </c>
      <c r="AC114" t="s">
        <v>208</v>
      </c>
      <c r="AD114" s="51">
        <v>0.92</v>
      </c>
      <c r="AE114" s="51">
        <v>0.90157915046899495</v>
      </c>
      <c r="AI114" s="78"/>
      <c r="AJ114" s="107"/>
      <c r="AK114" s="113" t="s">
        <v>39</v>
      </c>
      <c r="AL114" s="114">
        <f>AS94</f>
        <v>0</v>
      </c>
      <c r="AM114" s="114">
        <f>AS95</f>
        <v>2.1377790082367012</v>
      </c>
      <c r="AN114" s="114">
        <f>AS96</f>
        <v>0.49793723016302543</v>
      </c>
      <c r="AO114" s="114">
        <f>AS97</f>
        <v>1.3436853315309185</v>
      </c>
      <c r="AP114" s="114">
        <f>AS98</f>
        <v>2.4486601865262365</v>
      </c>
      <c r="AQ114" s="107"/>
      <c r="AR114" s="107"/>
      <c r="AS114" s="107"/>
      <c r="AU114" s="95"/>
      <c r="AV114" s="1" t="s">
        <v>384</v>
      </c>
      <c r="AW114" s="99"/>
      <c r="AX114" s="1" t="s">
        <v>387</v>
      </c>
      <c r="AY114" s="99"/>
      <c r="BF114" s="51">
        <v>0.89785745694738095</v>
      </c>
      <c r="BG114" s="1">
        <v>51</v>
      </c>
      <c r="BH114">
        <f t="shared" si="13"/>
        <v>-0.66567637461552465</v>
      </c>
      <c r="BI114">
        <f t="shared" si="14"/>
        <v>-4.7143678461839464E-2</v>
      </c>
      <c r="BJ114">
        <f t="shared" si="11"/>
        <v>-4.2328303254892195E-2</v>
      </c>
    </row>
    <row r="115" spans="1:62" x14ac:dyDescent="0.3">
      <c r="A115" t="s">
        <v>5</v>
      </c>
      <c r="B115" s="13">
        <v>2</v>
      </c>
      <c r="C115" s="33">
        <f t="shared" si="23"/>
        <v>0</v>
      </c>
      <c r="D115" s="19">
        <f t="shared" si="23"/>
        <v>0.93012698217149137</v>
      </c>
      <c r="E115" s="34">
        <f t="shared" si="23"/>
        <v>40.134979280699852</v>
      </c>
      <c r="F115" s="19">
        <f t="shared" si="23"/>
        <v>0.55807618930289482</v>
      </c>
      <c r="G115" s="20">
        <f t="shared" si="23"/>
        <v>0.41855714197717109</v>
      </c>
      <c r="H115" s="17">
        <f>SUM(C115:G115)</f>
        <v>42.041739594151409</v>
      </c>
      <c r="I115" s="17">
        <f>E115/H115*100</f>
        <v>95.464601769911511</v>
      </c>
      <c r="J115" s="17">
        <f>SQRT(I115*(100-I115)/(L115-1))</f>
        <v>0.48949675766320316</v>
      </c>
      <c r="K115" s="18">
        <f>100-I115</f>
        <v>4.5353982300884894</v>
      </c>
      <c r="L115" s="1">
        <f>H104</f>
        <v>1808</v>
      </c>
      <c r="M115">
        <v>2</v>
      </c>
      <c r="N115">
        <v>81044.45</v>
      </c>
      <c r="O115" s="17">
        <f>N115/N118*100</f>
        <v>42.041739594151409</v>
      </c>
      <c r="P115" s="52">
        <f>((O115*O115*(I115/100)*(K115/100))/(L115-1))</f>
        <v>4.23507391663746E-2</v>
      </c>
      <c r="R115" s="66"/>
      <c r="S115" s="66" t="s">
        <v>67</v>
      </c>
      <c r="T115" s="67">
        <f>$AA113*T107/100</f>
        <v>0</v>
      </c>
      <c r="U115" s="67">
        <f>$AA113*U107/100</f>
        <v>598.55659098558056</v>
      </c>
      <c r="V115" s="67">
        <f>$AA113*V107/100</f>
        <v>691.72623824635286</v>
      </c>
      <c r="W115" s="67">
        <f>$AA113*W107/100</f>
        <v>1137.212239747796</v>
      </c>
      <c r="X115" s="67">
        <f>$AA113*X107/100</f>
        <v>1120.5665580278226</v>
      </c>
      <c r="AA115" s="1"/>
      <c r="AC115" t="s">
        <v>209</v>
      </c>
      <c r="AD115" s="51">
        <v>0.921403508771929</v>
      </c>
      <c r="AE115" s="51">
        <v>0.90216752188646399</v>
      </c>
      <c r="AJ115" s="107"/>
      <c r="AK115" s="109" t="s">
        <v>56</v>
      </c>
      <c r="AL115" s="110">
        <f>AW83*100</f>
        <v>100</v>
      </c>
      <c r="AM115" s="110">
        <f>AW84*100</f>
        <v>75.213675213675231</v>
      </c>
      <c r="AN115" s="110">
        <f>AW85*100</f>
        <v>97.125140924464475</v>
      </c>
      <c r="AO115" s="110">
        <f>AW86*100</f>
        <v>88.401253918495286</v>
      </c>
      <c r="AP115" s="110">
        <f>AW87*100</f>
        <v>75.094339622641513</v>
      </c>
      <c r="AQ115" s="107"/>
      <c r="AR115" s="107"/>
      <c r="AS115" s="107"/>
      <c r="AU115" s="96"/>
      <c r="AV115" s="1" t="s">
        <v>385</v>
      </c>
      <c r="AW115" s="100"/>
      <c r="AX115" s="71" t="s">
        <v>388</v>
      </c>
      <c r="AY115" s="102"/>
      <c r="BF115" s="51">
        <v>0.89787347081678293</v>
      </c>
      <c r="BG115" s="1">
        <v>52</v>
      </c>
      <c r="BH115">
        <f t="shared" si="13"/>
        <v>-0.65013427195943652</v>
      </c>
      <c r="BI115">
        <f t="shared" si="14"/>
        <v>-4.6042975600538862E-2</v>
      </c>
      <c r="BJ115">
        <f t="shared" si="11"/>
        <v>-4.134076630918828E-2</v>
      </c>
    </row>
    <row r="116" spans="1:62" x14ac:dyDescent="0.3">
      <c r="A116" t="s">
        <v>6</v>
      </c>
      <c r="B116" s="13">
        <v>3</v>
      </c>
      <c r="C116" s="33">
        <f t="shared" si="23"/>
        <v>0</v>
      </c>
      <c r="D116" s="19">
        <f t="shared" si="23"/>
        <v>0.48164325418819121</v>
      </c>
      <c r="E116" s="19">
        <f t="shared" si="23"/>
        <v>0.28898595251291476</v>
      </c>
      <c r="F116" s="34">
        <f t="shared" si="23"/>
        <v>27.30917251247044</v>
      </c>
      <c r="G116" s="20">
        <f t="shared" si="23"/>
        <v>3.3715027793173382</v>
      </c>
      <c r="H116" s="17">
        <f>SUM(C116:G116)</f>
        <v>31.451304498488884</v>
      </c>
      <c r="I116" s="17">
        <f>F116/H116*100</f>
        <v>86.830015313935689</v>
      </c>
      <c r="J116" s="17">
        <f>SQRT(I116*(100-I116)/(L116-1))</f>
        <v>1.3243530495914069</v>
      </c>
      <c r="K116" s="18">
        <f>100-I116</f>
        <v>13.169984686064311</v>
      </c>
      <c r="L116" s="1">
        <f>H105</f>
        <v>653</v>
      </c>
      <c r="M116">
        <v>3</v>
      </c>
      <c r="N116">
        <v>60629.120000000003</v>
      </c>
      <c r="O116" s="17">
        <f>N116/N118*100</f>
        <v>31.451304498488884</v>
      </c>
      <c r="P116" s="52">
        <f>((O116*O116*(I116/100)*(K116/100))/(L116-1))</f>
        <v>0.17349416714048993</v>
      </c>
      <c r="R116" t="s">
        <v>103</v>
      </c>
      <c r="S116" t="s">
        <v>28</v>
      </c>
      <c r="T116" s="57">
        <f t="shared" ref="T116:X119" si="24">C321</f>
        <v>1.525070785922682</v>
      </c>
      <c r="U116" s="57">
        <f t="shared" si="24"/>
        <v>9.8393693999503178</v>
      </c>
      <c r="V116" s="57">
        <f t="shared" si="24"/>
        <v>41.45933967137622</v>
      </c>
      <c r="W116" s="57">
        <f t="shared" si="24"/>
        <v>30.212267230748274</v>
      </c>
      <c r="X116" s="57">
        <f t="shared" si="24"/>
        <v>16.963952912002508</v>
      </c>
      <c r="Z116" s="74"/>
      <c r="AA116" s="12"/>
      <c r="AC116" t="s">
        <v>220</v>
      </c>
      <c r="AD116" s="51">
        <v>0.91508771929824495</v>
      </c>
      <c r="AE116" s="51">
        <v>0.89512345620468503</v>
      </c>
      <c r="AI116" s="78"/>
      <c r="AJ116" s="115" t="s">
        <v>379</v>
      </c>
      <c r="AK116" s="107" t="s">
        <v>9</v>
      </c>
      <c r="AL116" s="116">
        <f>AW94</f>
        <v>3023.82</v>
      </c>
      <c r="AM116" s="116">
        <f>AW95</f>
        <v>16605.68</v>
      </c>
      <c r="AN116" s="116">
        <f>AW96</f>
        <v>82237.27</v>
      </c>
      <c r="AO116" s="116">
        <f>AW97</f>
        <v>59100.58</v>
      </c>
      <c r="AP116" s="116">
        <f>AW98</f>
        <v>31804.03</v>
      </c>
      <c r="AQ116" s="107"/>
      <c r="AR116" s="115" t="s">
        <v>36</v>
      </c>
      <c r="AS116" s="111">
        <f>AW99</f>
        <v>192771.38</v>
      </c>
      <c r="AW116" s="102"/>
      <c r="AX116" s="1" t="s">
        <v>385</v>
      </c>
      <c r="AY116" s="104"/>
      <c r="BF116" s="51">
        <v>0.89787757808170965</v>
      </c>
      <c r="BG116" s="1">
        <v>53</v>
      </c>
      <c r="BH116">
        <f t="shared" si="13"/>
        <v>-0.63474765328291094</v>
      </c>
      <c r="BI116">
        <f t="shared" si="14"/>
        <v>-4.4953284226228012E-2</v>
      </c>
      <c r="BJ116">
        <f t="shared" si="11"/>
        <v>-4.036254596786433E-2</v>
      </c>
    </row>
    <row r="117" spans="1:62" ht="15.6" x14ac:dyDescent="0.35">
      <c r="A117" t="s">
        <v>7</v>
      </c>
      <c r="B117" s="13">
        <v>4</v>
      </c>
      <c r="C117" s="35">
        <f t="shared" si="23"/>
        <v>0</v>
      </c>
      <c r="D117" s="36">
        <f t="shared" si="23"/>
        <v>0</v>
      </c>
      <c r="E117" s="21">
        <f t="shared" si="23"/>
        <v>0.33671049505772616</v>
      </c>
      <c r="F117" s="21">
        <f t="shared" si="23"/>
        <v>2.7610260594733549</v>
      </c>
      <c r="G117" s="37">
        <f t="shared" si="23"/>
        <v>13.131709307251322</v>
      </c>
      <c r="H117" s="17">
        <f>SUM(C117:G117)</f>
        <v>16.229445861782402</v>
      </c>
      <c r="I117" s="17">
        <f>G117/H117*100</f>
        <v>80.912863070539416</v>
      </c>
      <c r="J117" s="17">
        <f>SQRT(I117*(100-I117)/(L117-1))</f>
        <v>2.5367259876841253</v>
      </c>
      <c r="K117" s="18">
        <f>100-I117</f>
        <v>19.087136929460584</v>
      </c>
      <c r="L117" s="1">
        <f>H106</f>
        <v>241</v>
      </c>
      <c r="M117">
        <v>4</v>
      </c>
      <c r="N117">
        <v>31285.73</v>
      </c>
      <c r="O117" s="17">
        <f>N117/N118*100</f>
        <v>16.229445861782402</v>
      </c>
      <c r="P117" s="52">
        <f>((O117*O117*(I117/100)*(K117/100))/(L117-1))</f>
        <v>0.16949406643561851</v>
      </c>
      <c r="S117" s="66" t="s">
        <v>39</v>
      </c>
      <c r="T117" s="67">
        <f t="shared" si="24"/>
        <v>0</v>
      </c>
      <c r="U117" s="67">
        <f t="shared" si="24"/>
        <v>0.28409040349054082</v>
      </c>
      <c r="V117" s="67">
        <f t="shared" si="24"/>
        <v>0.34361974579568699</v>
      </c>
      <c r="W117" s="67">
        <f t="shared" si="24"/>
        <v>0.5897558303643704</v>
      </c>
      <c r="X117" s="67">
        <f t="shared" si="24"/>
        <v>0.57386122458641908</v>
      </c>
      <c r="AC117" t="s">
        <v>221</v>
      </c>
      <c r="AD117" s="51">
        <v>0.91824561403508698</v>
      </c>
      <c r="AE117" s="51">
        <v>0.901076906779537</v>
      </c>
      <c r="AH117" s="78"/>
      <c r="AJ117" s="115" t="s">
        <v>378</v>
      </c>
      <c r="AK117" s="107" t="s">
        <v>68</v>
      </c>
      <c r="AL117" s="108">
        <f>$AS116*AL109/100</f>
        <v>3023.82</v>
      </c>
      <c r="AM117" s="108">
        <f>$AS116*AM109/100</f>
        <v>18790.105885051504</v>
      </c>
      <c r="AN117" s="108">
        <f>$AS116*AN109/100</f>
        <v>80476.897383768504</v>
      </c>
      <c r="AO117" s="108">
        <f>$AS116*AO109/100</f>
        <v>56928.975055984251</v>
      </c>
      <c r="AP117" s="108">
        <f>$AS116*AP109/100</f>
        <v>33551.581675195746</v>
      </c>
      <c r="AQ117" s="107"/>
      <c r="AR117" s="115" t="s">
        <v>36</v>
      </c>
      <c r="AS117" s="117">
        <f>SUM(AL117:AP117)</f>
        <v>192771.38</v>
      </c>
      <c r="BF117" s="51">
        <v>0.89793941958100498</v>
      </c>
      <c r="BG117" s="1">
        <v>54</v>
      </c>
      <c r="BH117">
        <f t="shared" si="13"/>
        <v>-0.6195098661793067</v>
      </c>
      <c r="BI117">
        <f t="shared" si="14"/>
        <v>-4.3874133210695589E-2</v>
      </c>
      <c r="BJ117">
        <f t="shared" si="11"/>
        <v>-3.9396313709831689E-2</v>
      </c>
    </row>
    <row r="118" spans="1:62" x14ac:dyDescent="0.3">
      <c r="B118" t="s">
        <v>28</v>
      </c>
      <c r="C118" s="17">
        <f t="shared" ref="C118:H118" si="25">SUM(C113:C117)</f>
        <v>1.5431957230170037</v>
      </c>
      <c r="D118" s="17">
        <f t="shared" si="25"/>
        <v>9.7663317622869226</v>
      </c>
      <c r="E118" s="17">
        <f t="shared" si="25"/>
        <v>41.140428524903548</v>
      </c>
      <c r="F118" s="17">
        <f t="shared" si="25"/>
        <v>30.62827476124669</v>
      </c>
      <c r="G118" s="17">
        <f t="shared" si="25"/>
        <v>16.921769228545831</v>
      </c>
      <c r="H118" s="18">
        <f t="shared" si="25"/>
        <v>100</v>
      </c>
      <c r="I118" s="13" t="s">
        <v>24</v>
      </c>
      <c r="J118" s="12" t="s">
        <v>29</v>
      </c>
      <c r="N118" s="1">
        <f>SUM(N113:N117)</f>
        <v>192771.4</v>
      </c>
      <c r="O118" s="17">
        <f>SUM(O113:O117)</f>
        <v>100</v>
      </c>
      <c r="S118" t="s">
        <v>30</v>
      </c>
      <c r="T118" s="57">
        <f t="shared" si="24"/>
        <v>100</v>
      </c>
      <c r="U118" s="57">
        <f t="shared" si="24"/>
        <v>84.406344846816651</v>
      </c>
      <c r="V118" s="57">
        <f t="shared" si="24"/>
        <v>97.475239447748621</v>
      </c>
      <c r="W118" s="57">
        <f t="shared" si="24"/>
        <v>88.732263330740636</v>
      </c>
      <c r="X118" s="57">
        <f t="shared" si="24"/>
        <v>76.698796330211692</v>
      </c>
      <c r="AC118" t="s">
        <v>222</v>
      </c>
      <c r="AD118" s="51">
        <v>0.92210526315789398</v>
      </c>
      <c r="AE118" s="51">
        <v>0.90209957190544598</v>
      </c>
      <c r="AI118" s="78"/>
      <c r="AJ118" s="109"/>
      <c r="AK118" s="109" t="s">
        <v>377</v>
      </c>
      <c r="AL118" s="110">
        <f>$AS116*AL110/100</f>
        <v>0</v>
      </c>
      <c r="AM118" s="110">
        <f>$AS116*AM110/100</f>
        <v>542.33374348095208</v>
      </c>
      <c r="AN118" s="110">
        <f>$AS116*AN110/100</f>
        <v>665.00930382791023</v>
      </c>
      <c r="AO118" s="110">
        <f>$AS116*AO110/100</f>
        <v>1104.5676690471903</v>
      </c>
      <c r="AP118" s="110">
        <f>$AS116*AP110/100</f>
        <v>1077.598692600666</v>
      </c>
      <c r="AQ118" s="107"/>
      <c r="AR118" s="107"/>
      <c r="AS118" s="107"/>
      <c r="BF118" s="51">
        <v>0.898125747446889</v>
      </c>
      <c r="BG118" s="1">
        <v>55</v>
      </c>
      <c r="BH118">
        <f t="shared" si="13"/>
        <v>-0.6044145871408374</v>
      </c>
      <c r="BI118">
        <f t="shared" si="14"/>
        <v>-4.2805074718583164E-2</v>
      </c>
      <c r="BJ118">
        <f t="shared" si="11"/>
        <v>-3.8444339726147435E-2</v>
      </c>
    </row>
    <row r="119" spans="1:62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0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0.28013959522872184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0.33586920142102722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0.58338216153873557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0.56868744977690933</v>
      </c>
      <c r="H119" s="1"/>
      <c r="I119" s="56">
        <f>(C113+D114+E115+F116+G117)/H118</f>
        <v>0.9047361834936587</v>
      </c>
      <c r="J119" s="53">
        <f>SQRT(SUM(P113:P117))/100</f>
        <v>6.4823102162969194E-3</v>
      </c>
      <c r="M119" s="1"/>
      <c r="N119" s="9"/>
      <c r="S119" s="66" t="s">
        <v>39</v>
      </c>
      <c r="T119" s="67">
        <f t="shared" si="24"/>
        <v>0</v>
      </c>
      <c r="U119" s="67">
        <f t="shared" si="24"/>
        <v>3.4768158355448784</v>
      </c>
      <c r="V119" s="67">
        <f t="shared" si="24"/>
        <v>0.64581192229977968</v>
      </c>
      <c r="W119" s="67">
        <f t="shared" si="24"/>
        <v>1.9877570424307891</v>
      </c>
      <c r="X119" s="67">
        <f t="shared" si="24"/>
        <v>5.9581544155127943</v>
      </c>
      <c r="AC119" t="s">
        <v>223</v>
      </c>
      <c r="AD119" s="51">
        <v>0.92245614035087697</v>
      </c>
      <c r="AE119" s="51">
        <v>0.90446869196520197</v>
      </c>
      <c r="AH119" s="78"/>
      <c r="AJ119" s="115" t="s">
        <v>410</v>
      </c>
      <c r="AK119" s="122" t="s">
        <v>9</v>
      </c>
      <c r="AL119" s="136">
        <f>AVERAGE(AR195:AR214)</f>
        <v>3006.0064999999995</v>
      </c>
      <c r="AM119" s="136">
        <f>AVERAGE(AS195:AS214)</f>
        <v>16398.723000000002</v>
      </c>
      <c r="AN119" s="136">
        <f>AVERAGE(AT195:AT214)</f>
        <v>82480.828500000018</v>
      </c>
      <c r="AO119" s="136">
        <f>AVERAGE(AU195:AU214)</f>
        <v>59105.118500000004</v>
      </c>
      <c r="AP119" s="136">
        <f>AVERAGE(AV195:AV214)</f>
        <v>31780.710500000005</v>
      </c>
      <c r="AQ119" s="107"/>
      <c r="AR119" s="115" t="s">
        <v>36</v>
      </c>
      <c r="AS119" s="137">
        <f>SUM(AL119:AP119)</f>
        <v>192771.38700000005</v>
      </c>
      <c r="BF119" s="51">
        <v>0.89815447041260299</v>
      </c>
      <c r="BG119" s="1">
        <v>56</v>
      </c>
      <c r="BH119">
        <f t="shared" si="13"/>
        <v>-0.58945579784977842</v>
      </c>
      <c r="BI119">
        <f t="shared" si="14"/>
        <v>-4.1745682528311422E-2</v>
      </c>
      <c r="BJ119">
        <f t="shared" si="11"/>
        <v>-3.7494071383228196E-2</v>
      </c>
    </row>
    <row r="120" spans="1:62" x14ac:dyDescent="0.3">
      <c r="B120" s="1" t="s">
        <v>30</v>
      </c>
      <c r="C120" s="17">
        <f>C113/C118*100</f>
        <v>100</v>
      </c>
      <c r="D120" s="17">
        <f>D114/D118*100</f>
        <v>85.544518958374013</v>
      </c>
      <c r="E120" s="17">
        <f>E115/E118*100</f>
        <v>97.556055490294497</v>
      </c>
      <c r="F120" s="17">
        <f>F116/F118*100</f>
        <v>89.163273887774309</v>
      </c>
      <c r="G120" s="17">
        <f>G117/G118*100</f>
        <v>77.602460652276562</v>
      </c>
      <c r="H120" s="1"/>
      <c r="S120" s="15" t="s">
        <v>31</v>
      </c>
      <c r="T120" s="71">
        <f>I316</f>
        <v>100</v>
      </c>
      <c r="U120" s="71">
        <f>I317</f>
        <v>95.65217391304347</v>
      </c>
      <c r="V120" s="71">
        <f>I318</f>
        <v>95.132743362831846</v>
      </c>
      <c r="W120" s="71">
        <f>I319</f>
        <v>86.064318529862177</v>
      </c>
      <c r="X120" s="71">
        <f>I320</f>
        <v>80.497925311203318</v>
      </c>
      <c r="AC120" t="s">
        <v>224</v>
      </c>
      <c r="AD120" s="51">
        <v>0.91684210526315701</v>
      </c>
      <c r="AE120" s="51">
        <v>0.898231977575358</v>
      </c>
      <c r="AI120" s="78"/>
      <c r="AJ120" s="141"/>
      <c r="AK120" s="129" t="s">
        <v>394</v>
      </c>
      <c r="AL120" s="125">
        <f>_xlfn.STDEV.S(AR195:AR214)/SQRT($AK$108)</f>
        <v>7.6137179960702719</v>
      </c>
      <c r="AM120" s="125">
        <f>_xlfn.STDEV.S(AS195:AS214)/SQRT($AK$108)</f>
        <v>107.93240630647149</v>
      </c>
      <c r="AN120" s="125">
        <f>_xlfn.STDEV.S(AT195:AT214)/SQRT($AK$108)</f>
        <v>181.41292854653153</v>
      </c>
      <c r="AO120" s="125">
        <f>_xlfn.STDEV.S(AU195:AU214)/SQRT($AK$108)</f>
        <v>192.5308376137445</v>
      </c>
      <c r="AP120" s="125">
        <f>_xlfn.STDEV.S(AV195:AV214)/SQRT($AK$108)</f>
        <v>124.37985620559179</v>
      </c>
      <c r="AQ120" s="107"/>
      <c r="AR120" s="107"/>
      <c r="AS120" s="107"/>
      <c r="BF120" s="51">
        <v>0.89816061653648605</v>
      </c>
      <c r="BG120" s="1">
        <v>57</v>
      </c>
      <c r="BH120">
        <f t="shared" si="13"/>
        <v>-0.57462776351023559</v>
      </c>
      <c r="BI120">
        <f t="shared" si="14"/>
        <v>-4.0695550497520529E-2</v>
      </c>
      <c r="BJ120">
        <f t="shared" si="11"/>
        <v>-3.6551140725144739E-2</v>
      </c>
    </row>
    <row r="121" spans="1:62" x14ac:dyDescent="0.3">
      <c r="B121" s="16" t="s">
        <v>39</v>
      </c>
      <c r="C121" s="18">
        <f>SQRT((C124+C125)/(C118*C118))</f>
        <v>0</v>
      </c>
      <c r="D121" s="18">
        <f>SQRT((D124+D125)/(D118*D118))</f>
        <v>3.3191722485841444</v>
      </c>
      <c r="E121" s="18">
        <f>SQRT((E124+E125)/(E118*E118))</f>
        <v>0.64345281115485098</v>
      </c>
      <c r="F121" s="18">
        <f>SQRT((F124+F125)/(F118*F118))</f>
        <v>1.8956723211604658</v>
      </c>
      <c r="G121" s="18">
        <f>SQRT((G124+G125)/(G118*G118))</f>
        <v>5.7402208353115203</v>
      </c>
      <c r="H121" s="1"/>
      <c r="I121" s="14"/>
      <c r="S121" s="75" t="s">
        <v>39</v>
      </c>
      <c r="T121" s="76">
        <f>J316</f>
        <v>0</v>
      </c>
      <c r="U121" s="76">
        <f>J317</f>
        <v>2.1377790082367047</v>
      </c>
      <c r="V121" s="76">
        <f>J318</f>
        <v>0.50620689588495527</v>
      </c>
      <c r="W121" s="76">
        <f>J319</f>
        <v>1.3562878611246618</v>
      </c>
      <c r="X121" s="76">
        <f>J320</f>
        <v>2.5575676528297544</v>
      </c>
      <c r="AC121" t="s">
        <v>225</v>
      </c>
      <c r="AD121" s="51">
        <v>0.91684210526315701</v>
      </c>
      <c r="AE121" s="51">
        <v>0.89777712719835301</v>
      </c>
      <c r="AH121" s="78"/>
      <c r="AJ121" s="119" t="s">
        <v>393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  <c r="BF121" s="51">
        <v>0.8981874200012</v>
      </c>
      <c r="BG121" s="1">
        <v>58</v>
      </c>
      <c r="BH121">
        <f t="shared" si="13"/>
        <v>-0.5599250130095369</v>
      </c>
      <c r="BI121">
        <f t="shared" si="14"/>
        <v>-3.9654291158085615E-2</v>
      </c>
      <c r="BJ121">
        <f t="shared" si="11"/>
        <v>-3.5616985467257313E-2</v>
      </c>
    </row>
    <row r="122" spans="1:62" x14ac:dyDescent="0.3">
      <c r="B122" s="1" t="s">
        <v>37</v>
      </c>
      <c r="C122" s="18">
        <f>100-C120</f>
        <v>0</v>
      </c>
      <c r="D122" s="18">
        <f>100-D120</f>
        <v>14.455481041625987</v>
      </c>
      <c r="E122" s="18">
        <f>100-E120</f>
        <v>2.4439445097055028</v>
      </c>
      <c r="F122" s="18">
        <f>100-F120</f>
        <v>10.836726112225691</v>
      </c>
      <c r="G122" s="18">
        <f>100-G120</f>
        <v>22.397539347723438</v>
      </c>
      <c r="S122" s="66" t="s">
        <v>56</v>
      </c>
      <c r="T122" s="67">
        <f>N305*100</f>
        <v>100</v>
      </c>
      <c r="U122" s="67">
        <f>N306*100</f>
        <v>74.893617021276597</v>
      </c>
      <c r="V122" s="67">
        <f>N307*100</f>
        <v>97.065462753950342</v>
      </c>
      <c r="W122" s="67">
        <f>N308*100</f>
        <v>87.675507020280804</v>
      </c>
      <c r="X122" s="67">
        <f>N309*100</f>
        <v>73.624288425047439</v>
      </c>
      <c r="AC122" t="s">
        <v>226</v>
      </c>
      <c r="AD122" s="51">
        <v>0.91859649122806997</v>
      </c>
      <c r="AE122" s="51">
        <v>0.89893649978826595</v>
      </c>
      <c r="AI122" s="78"/>
      <c r="AJ122" s="115" t="s">
        <v>409</v>
      </c>
      <c r="AK122" s="122" t="s">
        <v>9</v>
      </c>
      <c r="AL122" s="136">
        <v>273.33</v>
      </c>
      <c r="AM122" s="136">
        <v>944.96</v>
      </c>
      <c r="AN122" s="136">
        <v>13685.26</v>
      </c>
      <c r="AO122" s="136">
        <v>3857.87</v>
      </c>
      <c r="AP122" s="136">
        <v>3293.95</v>
      </c>
      <c r="AQ122" s="107"/>
      <c r="AR122" s="115" t="s">
        <v>36</v>
      </c>
      <c r="AS122" s="137">
        <f>SUM(AL122:AP122)</f>
        <v>22055.37</v>
      </c>
      <c r="AU122">
        <v>1</v>
      </c>
      <c r="AV122">
        <v>68</v>
      </c>
      <c r="BF122" s="51">
        <v>0.89819304636587305</v>
      </c>
      <c r="BG122" s="1">
        <v>59</v>
      </c>
      <c r="BH122">
        <f t="shared" si="13"/>
        <v>-0.5453423207232565</v>
      </c>
      <c r="BI122">
        <f t="shared" si="14"/>
        <v>-3.8621534427535548E-2</v>
      </c>
      <c r="BJ122">
        <f t="shared" si="11"/>
        <v>-3.4689593662792596E-2</v>
      </c>
    </row>
    <row r="123" spans="1:62" ht="15.6" x14ac:dyDescent="0.35">
      <c r="B123" s="1" t="s">
        <v>25</v>
      </c>
      <c r="C123" s="1">
        <f>C107</f>
        <v>56</v>
      </c>
      <c r="D123" s="1">
        <f>D107</f>
        <v>138</v>
      </c>
      <c r="E123" s="1">
        <f>E107</f>
        <v>1741</v>
      </c>
      <c r="F123" s="1">
        <f>F107</f>
        <v>632</v>
      </c>
      <c r="G123" s="1">
        <f>G107</f>
        <v>283</v>
      </c>
      <c r="R123" s="16" t="s">
        <v>66</v>
      </c>
      <c r="S123" t="s">
        <v>9</v>
      </c>
      <c r="T123" s="30">
        <f>N316</f>
        <v>2939.9</v>
      </c>
      <c r="U123" s="30">
        <f>N317</f>
        <v>16737.48</v>
      </c>
      <c r="V123" s="30">
        <f>N318</f>
        <v>81889.69</v>
      </c>
      <c r="W123" s="30">
        <f>N319</f>
        <v>60046.03</v>
      </c>
      <c r="X123" s="30">
        <f>N320</f>
        <v>31158.28</v>
      </c>
      <c r="Z123" t="s">
        <v>36</v>
      </c>
      <c r="AA123" s="1">
        <f>N321</f>
        <v>192771.38</v>
      </c>
      <c r="AC123" t="s">
        <v>227</v>
      </c>
      <c r="AD123" s="51">
        <v>0.91684210526315701</v>
      </c>
      <c r="AE123" s="51">
        <v>0.89466769100572796</v>
      </c>
      <c r="AH123" s="78"/>
      <c r="AJ123" s="107"/>
      <c r="AK123" s="107" t="s">
        <v>391</v>
      </c>
      <c r="AL123" s="108">
        <f>(AL122/$AS122)*100</f>
        <v>1.2392900232460393</v>
      </c>
      <c r="AM123" s="108">
        <f>(AM122/$AS122)*100</f>
        <v>4.2844894463343852</v>
      </c>
      <c r="AN123" s="108">
        <f>(AN122/$AS122)*100</f>
        <v>62.049559812417563</v>
      </c>
      <c r="AO123" s="108">
        <f>(AO122/$AS122)*100</f>
        <v>17.491749174917494</v>
      </c>
      <c r="AP123" s="108">
        <f>(AP122/$AS122)*100</f>
        <v>14.934911543084519</v>
      </c>
      <c r="AQ123" s="107"/>
      <c r="AR123" s="107"/>
      <c r="AS123" s="107"/>
      <c r="AU123">
        <v>2</v>
      </c>
      <c r="AV123">
        <v>97</v>
      </c>
      <c r="BF123" s="51">
        <v>0.898231977575358</v>
      </c>
      <c r="BG123" s="1">
        <v>60</v>
      </c>
      <c r="BH123">
        <f t="shared" si="13"/>
        <v>-0.53087468979951646</v>
      </c>
      <c r="BI123">
        <f t="shared" si="14"/>
        <v>-3.7596926425235176E-2</v>
      </c>
      <c r="BJ123">
        <f t="shared" si="11"/>
        <v>-3.3770761573694227E-2</v>
      </c>
    </row>
    <row r="124" spans="1:62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728.53152134255095</v>
      </c>
      <c r="E124" s="18">
        <f>(O115*O115*(100-E120)*(100-E120)*(I115)*(100-I115))/((L115-1)*100)</f>
        <v>25.295523780290353</v>
      </c>
      <c r="F124" s="18">
        <f>(O116*O116*(100-F120)*(100-F120)*(I116)*(100-I116))/((L116-1)*100)</f>
        <v>2037.4223816531958</v>
      </c>
      <c r="G124" s="18">
        <f>(O117*O117*(100-G120)*(100-G120)*(I117)*(100-I117))/((L117-1)*100)</f>
        <v>8502.6659245962583</v>
      </c>
      <c r="R124" s="16" t="s">
        <v>323</v>
      </c>
      <c r="S124" t="s">
        <v>68</v>
      </c>
      <c r="T124" s="57">
        <f>$AA123*T116/100</f>
        <v>2939.9</v>
      </c>
      <c r="U124" s="57">
        <f>$AA123*U116/100</f>
        <v>18967.488175581948</v>
      </c>
      <c r="V124" s="57">
        <f>$AA123*V116/100</f>
        <v>79921.741223399411</v>
      </c>
      <c r="W124" s="57">
        <f>$AA123*W116/100</f>
        <v>58240.604470001235</v>
      </c>
      <c r="X124" s="57">
        <f>$AA123*X116/100</f>
        <v>32701.646131017424</v>
      </c>
      <c r="Z124" t="s">
        <v>36</v>
      </c>
      <c r="AA124" s="25">
        <f>SUM(T124:X124)</f>
        <v>192771.38</v>
      </c>
      <c r="AC124" t="s">
        <v>228</v>
      </c>
      <c r="AD124" s="51">
        <v>0.92175438596491199</v>
      </c>
      <c r="AE124" s="51">
        <v>0.902113243356646</v>
      </c>
      <c r="AI124" s="78"/>
      <c r="AJ124" s="115" t="s">
        <v>410</v>
      </c>
      <c r="AK124" s="122" t="s">
        <v>9</v>
      </c>
      <c r="AL124" s="136">
        <f>AVERAGE(C39,C68,C97,C126,C155,C184,C213,C242,C271,C300,C329,C358,C387,C416,C445,C474,C503,C532,C561,C590)</f>
        <v>272.59649999999999</v>
      </c>
      <c r="AM124" s="136">
        <f>AVERAGE(D39,D68,D97,D126,D155,D184,D213,D242,D271,D300,D329,D358,D387,D416,D445,D474,D503,D532,D561,D590)</f>
        <v>950.7355</v>
      </c>
      <c r="AN124" s="136">
        <f>AVERAGE(E39,E68,E97,E126,E155,E184,E213,E242,E271,E300,E329,E358,E387,E416,E445,E474,E503,E532,E561,E590)</f>
        <v>13627.662500000002</v>
      </c>
      <c r="AO124" s="136">
        <f>AVERAGE(F39,F68,F97,F126,F155,F184,F213,F242,F271,F300,F329,F358,F387,F416,F445,F474,F503,F532,F561,F590)</f>
        <v>3901.4925000000003</v>
      </c>
      <c r="AP124" s="136">
        <f>AVERAGE(G39,G68,G97,G126,G155,G184,G213,G242,G271,G300,G329,G358,G387,G416,G445,G474,G503,G532,G561,G590)</f>
        <v>3302.8789999999995</v>
      </c>
      <c r="AQ124" s="107"/>
      <c r="AR124" s="115" t="s">
        <v>36</v>
      </c>
      <c r="AS124" s="137">
        <f>SUM(AL124:AP124)</f>
        <v>22055.366000000002</v>
      </c>
      <c r="AU124">
        <v>3</v>
      </c>
      <c r="AV124">
        <v>126</v>
      </c>
      <c r="BF124" s="51">
        <v>0.898256063237859</v>
      </c>
      <c r="BG124" s="1">
        <v>61</v>
      </c>
      <c r="BH124">
        <f t="shared" si="13"/>
        <v>-0.51651733677697942</v>
      </c>
      <c r="BI124">
        <f t="shared" si="14"/>
        <v>-3.6580128383020535E-2</v>
      </c>
      <c r="BJ124">
        <f t="shared" si="11"/>
        <v>-3.2858322114067494E-2</v>
      </c>
    </row>
    <row r="125" spans="1:62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322.27443973069455</v>
      </c>
      <c r="E125" s="18">
        <f>E120*E120*(SUM((H113*E113*(1-E102/H102))/(H102-1),(H114*E114*(1-E103/H103))/(H103-1), (H116*E116*(1-E105/H105))/(H105-1),(H117*E117*(1-E106/H106))/(H106-1)))</f>
        <v>675.46725694239876</v>
      </c>
      <c r="F125" s="18">
        <f>F120*F120*(SUM((H113*F113*(1-F102/H102))/(H102-1),(H114*F114*(1-F103/H103))/(H103-1), (H115*F115*(1-F104/H104))/(H104-1),(H117*F117*(1-F106/H106))/(H106-1)))</f>
        <v>1333.6773947832178</v>
      </c>
      <c r="G125" s="18">
        <f>G120*G120*(SUM((H113*G113*(1-G102/H102))/(H102-1),(H114*G114*(1-G103/H103))/(H103-1), (H115*G115*(1-G104/H104))/(H104-1),(H116*G116*(1-G105/H105))/(H105-1)))</f>
        <v>932.4825228485862</v>
      </c>
      <c r="R125" s="66"/>
      <c r="S125" s="66" t="s">
        <v>67</v>
      </c>
      <c r="T125" s="67">
        <f>$AA123*T117/100</f>
        <v>0</v>
      </c>
      <c r="U125" s="67">
        <f>$AA123*U117/100</f>
        <v>547.64499125628379</v>
      </c>
      <c r="V125" s="67">
        <f>$AA123*V117/100</f>
        <v>662.4005259228378</v>
      </c>
      <c r="W125" s="67">
        <f>$AA123*W117/100</f>
        <v>1136.8804528238559</v>
      </c>
      <c r="X125" s="67">
        <f>$AA123*X117/100</f>
        <v>1106.2402019201393</v>
      </c>
      <c r="AA125" s="1"/>
      <c r="AC125" t="s">
        <v>229</v>
      </c>
      <c r="AD125" s="51">
        <v>0.91894736842105196</v>
      </c>
      <c r="AE125" s="51">
        <v>0.89854550234417496</v>
      </c>
      <c r="AH125" s="78"/>
      <c r="AJ125" s="107"/>
      <c r="AK125" s="129" t="s">
        <v>394</v>
      </c>
      <c r="AL125" s="125">
        <f>_xlfn.STDEV.S(C39,C68,C97,C126,C155,C184,C213,C242,C271,C300,C329,C358,C387,C416,C445,C474,C503,C532,C561,C590)/SQRT($AK$108)</f>
        <v>0.90813814014110672</v>
      </c>
      <c r="AM125" s="125">
        <f>_xlfn.STDEV.S(D39,D68,D97,D126,D155,D184,D213,D242,D271,D300,D329,D358,D387,D416,D445,D474,D503,D532,D561,D590)/SQRT($AK$108)</f>
        <v>5.8963895052284681</v>
      </c>
      <c r="AN125" s="125">
        <f>_xlfn.STDEV.S(E39,E68,E97,E126,E155,E184,E213,E242,E271,E300,E329,E358,E387,E416,E445,E474,E503,E532,E561,E590)/SQRT($AK$108)</f>
        <v>30.282641344115163</v>
      </c>
      <c r="AO125" s="125">
        <f>_xlfn.STDEV.S(F39,F68,F97,F126,F155,F184,F213,F242,F271,F300,F329,F358,F387,F416,F445,F474,F503,F532,F561,F590)/SQRT($AK$108)</f>
        <v>27.701686390571599</v>
      </c>
      <c r="AP125" s="125">
        <f>_xlfn.STDEV.S(G39,G68,G97,G126,G155,G184,G213,G242,G271,G300,G329,G358,G387,G416,G445,G474,G503,G532,G561,G590)/SQRT($AK$108)</f>
        <v>14.390609491133992</v>
      </c>
      <c r="AQ125" s="107"/>
      <c r="AR125" s="107"/>
      <c r="AS125" s="107"/>
      <c r="AU125">
        <v>4</v>
      </c>
      <c r="AV125">
        <v>155</v>
      </c>
      <c r="BF125" s="51">
        <v>0.89828536306618401</v>
      </c>
      <c r="BG125" s="1">
        <v>62</v>
      </c>
      <c r="BH125">
        <f t="shared" si="13"/>
        <v>-0.5022656774073111</v>
      </c>
      <c r="BI125">
        <f t="shared" si="14"/>
        <v>-3.557081564113547E-2</v>
      </c>
      <c r="BJ125">
        <f t="shared" si="11"/>
        <v>-3.1952743042757671E-2</v>
      </c>
    </row>
    <row r="126" spans="1:62" x14ac:dyDescent="0.3">
      <c r="A126" s="105" t="s">
        <v>390</v>
      </c>
      <c r="B126" s="69" t="s">
        <v>9</v>
      </c>
      <c r="C126" s="1">
        <v>272.97000000000003</v>
      </c>
      <c r="D126" s="1">
        <v>968</v>
      </c>
      <c r="E126" s="1">
        <v>13401.85</v>
      </c>
      <c r="F126" s="1">
        <v>4085.82</v>
      </c>
      <c r="G126">
        <v>3326.72</v>
      </c>
      <c r="I126" t="s">
        <v>36</v>
      </c>
      <c r="J126" s="57">
        <f>SUM(C126:G126)</f>
        <v>22055.360000000001</v>
      </c>
      <c r="R126" t="s">
        <v>104</v>
      </c>
      <c r="S126" t="s">
        <v>28</v>
      </c>
      <c r="T126" s="57">
        <f t="shared" ref="T126:X129" si="26">C350</f>
        <v>1.5691643868937191</v>
      </c>
      <c r="U126" s="57">
        <f t="shared" si="26"/>
        <v>9.4921933435502268</v>
      </c>
      <c r="V126" s="57">
        <f t="shared" si="26"/>
        <v>42.269436587954957</v>
      </c>
      <c r="W126" s="57">
        <f t="shared" si="26"/>
        <v>29.454762242809998</v>
      </c>
      <c r="X126" s="57">
        <f t="shared" si="26"/>
        <v>17.214443438791101</v>
      </c>
      <c r="Y126" s="13"/>
      <c r="Z126" s="74"/>
      <c r="AA126" s="12"/>
      <c r="AC126" t="s">
        <v>230</v>
      </c>
      <c r="AD126" s="51">
        <v>0.92105263157894701</v>
      </c>
      <c r="AE126" s="51">
        <v>0.90330972693542899</v>
      </c>
      <c r="AI126" s="78"/>
      <c r="AJ126" s="119" t="s">
        <v>413</v>
      </c>
      <c r="AK126" s="107"/>
      <c r="AL126" s="116"/>
      <c r="AM126" s="116"/>
      <c r="AN126" s="116"/>
      <c r="AO126" s="116"/>
      <c r="AP126" s="116"/>
      <c r="AQ126" s="107"/>
      <c r="AR126" s="107"/>
      <c r="AS126" s="107"/>
      <c r="AU126">
        <v>5</v>
      </c>
      <c r="AV126">
        <v>184</v>
      </c>
      <c r="BF126" s="51">
        <v>0.89828732794898203</v>
      </c>
      <c r="BG126" s="1">
        <v>63</v>
      </c>
      <c r="BH126">
        <f t="shared" si="13"/>
        <v>-0.48811531356716492</v>
      </c>
      <c r="BI126">
        <f t="shared" si="14"/>
        <v>-3.4568676721328996E-2</v>
      </c>
      <c r="BJ126">
        <f t="shared" si="11"/>
        <v>-3.1052604242734802E-2</v>
      </c>
    </row>
    <row r="127" spans="1:62" x14ac:dyDescent="0.3">
      <c r="B127" t="s">
        <v>391</v>
      </c>
      <c r="C127" s="57">
        <f>(C126/$J126)*100</f>
        <v>1.2376583288597423</v>
      </c>
      <c r="D127" s="57">
        <f>(D126/$J126)*100</f>
        <v>4.3889557912453023</v>
      </c>
      <c r="E127" s="57">
        <f>(E126/$J126)*100</f>
        <v>60.764594184814932</v>
      </c>
      <c r="F127" s="57">
        <f>(F126/$J126)*100</f>
        <v>18.525292717960625</v>
      </c>
      <c r="G127" s="57">
        <f>(G126/$J126)*100</f>
        <v>15.083498977119392</v>
      </c>
      <c r="S127" s="66" t="s">
        <v>39</v>
      </c>
      <c r="T127" s="67">
        <f t="shared" si="26"/>
        <v>0</v>
      </c>
      <c r="U127" s="67">
        <f t="shared" si="26"/>
        <v>0.29160085092694277</v>
      </c>
      <c r="V127" s="67">
        <f t="shared" si="26"/>
        <v>0.36585147648764854</v>
      </c>
      <c r="W127" s="67">
        <f t="shared" si="26"/>
        <v>0.57190491898873719</v>
      </c>
      <c r="X127" s="67">
        <f t="shared" si="26"/>
        <v>0.55841574148187934</v>
      </c>
      <c r="AC127" t="s">
        <v>231</v>
      </c>
      <c r="AD127" s="51">
        <v>0.92070175438596402</v>
      </c>
      <c r="AE127" s="51">
        <v>0.90085178884820005</v>
      </c>
      <c r="AH127" s="78"/>
      <c r="AJ127" s="115" t="s">
        <v>409</v>
      </c>
      <c r="AK127" s="122" t="s">
        <v>9</v>
      </c>
      <c r="AL127" s="136">
        <v>259.14999999999998</v>
      </c>
      <c r="AM127" s="136">
        <v>66.38</v>
      </c>
      <c r="AN127" s="136">
        <v>9890.15</v>
      </c>
      <c r="AO127" s="136">
        <v>18503.009999999998</v>
      </c>
      <c r="AP127" s="136">
        <v>14506.12</v>
      </c>
      <c r="AQ127" s="107"/>
      <c r="AR127" s="115" t="s">
        <v>36</v>
      </c>
      <c r="AS127" s="137">
        <f>SUM(AL127:AP127)</f>
        <v>43224.81</v>
      </c>
      <c r="AU127">
        <v>6</v>
      </c>
      <c r="AV127">
        <v>213</v>
      </c>
      <c r="BF127" s="51">
        <v>0.89829673630750606</v>
      </c>
      <c r="BG127" s="1">
        <v>64</v>
      </c>
      <c r="BH127">
        <f t="shared" si="13"/>
        <v>-0.4740620211572345</v>
      </c>
      <c r="BI127">
        <f t="shared" si="14"/>
        <v>-3.3573412469857518E-2</v>
      </c>
      <c r="BJ127">
        <f t="shared" si="11"/>
        <v>-3.0158886848378735E-2</v>
      </c>
    </row>
    <row r="128" spans="1:62" x14ac:dyDescent="0.3">
      <c r="A128" s="361">
        <v>1977</v>
      </c>
      <c r="B128" s="361"/>
      <c r="C128" s="361"/>
      <c r="D128" s="361"/>
      <c r="E128" s="361"/>
      <c r="F128" s="361"/>
      <c r="G128" s="361"/>
      <c r="H128" s="361"/>
      <c r="I128" s="361"/>
      <c r="J128" s="361"/>
      <c r="K128" s="361"/>
      <c r="L128" s="361" t="s">
        <v>64</v>
      </c>
      <c r="M128" s="361"/>
      <c r="N128" s="361"/>
      <c r="O128" s="361"/>
      <c r="P128" s="361"/>
      <c r="S128" t="s">
        <v>30</v>
      </c>
      <c r="T128" s="57">
        <f t="shared" si="26"/>
        <v>100</v>
      </c>
      <c r="U128" s="57">
        <f t="shared" si="26"/>
        <v>84.78140770726057</v>
      </c>
      <c r="V128" s="57">
        <f t="shared" si="26"/>
        <v>96.785625737295746</v>
      </c>
      <c r="W128" s="57">
        <f t="shared" si="26"/>
        <v>90.097924437937792</v>
      </c>
      <c r="X128" s="57">
        <f t="shared" si="26"/>
        <v>77.565628538765452</v>
      </c>
      <c r="AC128" t="s">
        <v>232</v>
      </c>
      <c r="AD128" s="51">
        <v>0.91964912280701705</v>
      </c>
      <c r="AE128" s="51">
        <v>0.90042020710158099</v>
      </c>
      <c r="AI128" s="78"/>
      <c r="AJ128" s="107"/>
      <c r="AK128" s="107" t="s">
        <v>391</v>
      </c>
      <c r="AL128" s="108">
        <f>(AL127/$AS127)*100</f>
        <v>0.59953994014085887</v>
      </c>
      <c r="AM128" s="108">
        <f>(AM127/$AS127)*100</f>
        <v>0.15356921175593369</v>
      </c>
      <c r="AN128" s="108">
        <f>(AN127/$AS127)*100</f>
        <v>22.880725213135698</v>
      </c>
      <c r="AO128" s="108">
        <f>(AO127/$AS127)*100</f>
        <v>42.806457680207266</v>
      </c>
      <c r="AP128" s="108">
        <f>(AP127/$AS127)*100</f>
        <v>33.559707954760242</v>
      </c>
      <c r="AQ128" s="107"/>
      <c r="AR128" s="107"/>
      <c r="AS128" s="107"/>
      <c r="AU128">
        <v>7</v>
      </c>
      <c r="AV128">
        <v>242</v>
      </c>
      <c r="BF128" s="51">
        <v>0.89830033323062797</v>
      </c>
      <c r="BG128" s="1">
        <v>65</v>
      </c>
      <c r="BH128">
        <f t="shared" si="13"/>
        <v>-0.46010173889686451</v>
      </c>
      <c r="BI128">
        <f t="shared" si="14"/>
        <v>-3.2584735263911119E-2</v>
      </c>
      <c r="BJ128">
        <f t="shared" si="11"/>
        <v>-2.9270878545803153E-2</v>
      </c>
    </row>
    <row r="129" spans="1:62" x14ac:dyDescent="0.3">
      <c r="A129" t="s">
        <v>320</v>
      </c>
      <c r="B129" t="s">
        <v>21</v>
      </c>
      <c r="I129" s="1" t="s">
        <v>58</v>
      </c>
      <c r="O129" s="360" t="s">
        <v>411</v>
      </c>
      <c r="P129" s="360"/>
      <c r="S129" s="66" t="s">
        <v>39</v>
      </c>
      <c r="T129" s="67">
        <f t="shared" si="26"/>
        <v>0</v>
      </c>
      <c r="U129" s="67">
        <f t="shared" si="26"/>
        <v>3.7514494019775606</v>
      </c>
      <c r="V129" s="67">
        <f t="shared" si="26"/>
        <v>0.71063810069567757</v>
      </c>
      <c r="W129" s="67">
        <f t="shared" si="26"/>
        <v>1.8485442985727059</v>
      </c>
      <c r="X129" s="67">
        <f t="shared" si="26"/>
        <v>5.4584272859628813</v>
      </c>
      <c r="AC129" t="s">
        <v>233</v>
      </c>
      <c r="AD129" s="51">
        <v>0.92280701754385897</v>
      </c>
      <c r="AE129" s="51">
        <v>0.90423307456702895</v>
      </c>
      <c r="AH129" s="78"/>
      <c r="AJ129" s="115" t="s">
        <v>410</v>
      </c>
      <c r="AK129" s="122" t="s">
        <v>9</v>
      </c>
      <c r="AL129" s="136">
        <f>AVERAGE(AL195:AL214)</f>
        <v>253.65250000000006</v>
      </c>
      <c r="AM129" s="136">
        <f>AVERAGE(AM195:AM214)</f>
        <v>81.317000000000021</v>
      </c>
      <c r="AN129" s="136">
        <f>AVERAGE(AN195:AN214)</f>
        <v>9886.5280000000002</v>
      </c>
      <c r="AO129" s="136">
        <f>AVERAGE(AO195:AO214)</f>
        <v>18577.997499999994</v>
      </c>
      <c r="AP129" s="136">
        <f>AVERAGE(AP195:AP214)</f>
        <v>14425.309999999998</v>
      </c>
      <c r="AQ129" s="107"/>
      <c r="AR129" s="115" t="s">
        <v>36</v>
      </c>
      <c r="AS129" s="137">
        <f>SUM(AL129:AP129)</f>
        <v>43224.804999999993</v>
      </c>
      <c r="AU129">
        <v>8</v>
      </c>
      <c r="AV129">
        <v>271</v>
      </c>
      <c r="BF129" s="51">
        <v>0.89831649575440997</v>
      </c>
      <c r="BG129" s="1">
        <v>66</v>
      </c>
      <c r="BH129">
        <f t="shared" si="13"/>
        <v>-0.44623055793233662</v>
      </c>
      <c r="BI129">
        <f t="shared" si="14"/>
        <v>-3.1602368275664941E-2</v>
      </c>
      <c r="BJ129">
        <f t="shared" ref="BJ129:BJ192" si="27">BI129*BF129</f>
        <v>-2.8388928726935665E-2</v>
      </c>
    </row>
    <row r="130" spans="1:62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56</v>
      </c>
      <c r="O130" s="13" t="s">
        <v>412</v>
      </c>
      <c r="P130" s="13" t="s">
        <v>41</v>
      </c>
      <c r="S130" s="15" t="s">
        <v>31</v>
      </c>
      <c r="T130" s="71">
        <f>I345</f>
        <v>100</v>
      </c>
      <c r="U130" s="71">
        <f>I346</f>
        <v>94.565217391304344</v>
      </c>
      <c r="V130" s="71">
        <f>I347</f>
        <v>95.575221238938056</v>
      </c>
      <c r="W130" s="71">
        <f>I348</f>
        <v>85.758039816232767</v>
      </c>
      <c r="X130" s="71">
        <f>I349</f>
        <v>82.572614107883808</v>
      </c>
      <c r="AC130" t="s">
        <v>234</v>
      </c>
      <c r="AD130" s="51">
        <v>0.92</v>
      </c>
      <c r="AE130" s="51">
        <v>0.90106561094704696</v>
      </c>
      <c r="AI130" s="78"/>
      <c r="AJ130" s="107"/>
      <c r="AK130" s="129" t="s">
        <v>394</v>
      </c>
      <c r="AL130" s="125">
        <f>_xlfn.STDEV.S(AL195:AL214)/SQRT($AK$108)</f>
        <v>4.1894248364812938</v>
      </c>
      <c r="AM130" s="125">
        <f>_xlfn.STDEV.S(AM195:AM214)/SQRT($AK$108)</f>
        <v>2.8869136770861665</v>
      </c>
      <c r="AN130" s="125">
        <f>_xlfn.STDEV.S(AN195:AN214)/SQRT($AK$108)</f>
        <v>45.511989719309412</v>
      </c>
      <c r="AO130" s="125">
        <f>_xlfn.STDEV.S(AO195:AO214)/SQRT($AK$108)</f>
        <v>51.174386890498411</v>
      </c>
      <c r="AP130" s="125">
        <f>_xlfn.STDEV.S(AP195:AP214)/SQRT($AK$108)</f>
        <v>37.408954416373568</v>
      </c>
      <c r="AQ130" s="107"/>
      <c r="AR130" s="107"/>
      <c r="AS130" s="107"/>
      <c r="AU130">
        <v>9</v>
      </c>
      <c r="AV130">
        <v>300</v>
      </c>
      <c r="BF130" s="51">
        <v>0.89841100070878421</v>
      </c>
      <c r="BG130" s="1">
        <v>67</v>
      </c>
      <c r="BH130">
        <f t="shared" si="13"/>
        <v>-0.43244471218542158</v>
      </c>
      <c r="BI130">
        <f t="shared" si="14"/>
        <v>-3.0626044788756676E-2</v>
      </c>
      <c r="BJ130">
        <f t="shared" si="27"/>
        <v>-2.7514775546418933E-2</v>
      </c>
    </row>
    <row r="131" spans="1:62" x14ac:dyDescent="0.3">
      <c r="A131" t="s">
        <v>3</v>
      </c>
      <c r="B131" s="13">
        <v>0</v>
      </c>
      <c r="C131" s="26">
        <v>56</v>
      </c>
      <c r="D131" s="3">
        <v>0</v>
      </c>
      <c r="E131" s="3">
        <v>0</v>
      </c>
      <c r="F131" s="3">
        <v>0</v>
      </c>
      <c r="G131" s="4">
        <v>0</v>
      </c>
      <c r="H131" s="1">
        <f>SUM(C131:G131)</f>
        <v>56</v>
      </c>
      <c r="I131" s="10">
        <f>C131/H131</f>
        <v>1</v>
      </c>
      <c r="J131" s="11">
        <f>1-I131</f>
        <v>0</v>
      </c>
      <c r="K131">
        <f>H131-C136</f>
        <v>0</v>
      </c>
      <c r="N131" s="10">
        <f>2*(C137*I131)/(C137+I131)</f>
        <v>1</v>
      </c>
      <c r="O131" s="1">
        <v>0</v>
      </c>
      <c r="P131" s="1">
        <v>241</v>
      </c>
      <c r="S131" s="75" t="s">
        <v>39</v>
      </c>
      <c r="T131" s="76">
        <f>J345</f>
        <v>0</v>
      </c>
      <c r="U131" s="76">
        <f>J346</f>
        <v>2.3764906227132032</v>
      </c>
      <c r="V131" s="76">
        <f>J347</f>
        <v>0.48377047582785149</v>
      </c>
      <c r="W131" s="76">
        <f>J348</f>
        <v>1.3686692455942189</v>
      </c>
      <c r="X131" s="76">
        <f>J349</f>
        <v>2.4486601865262365</v>
      </c>
      <c r="AC131" t="s">
        <v>235</v>
      </c>
      <c r="AD131" s="51">
        <v>0.91438596491227997</v>
      </c>
      <c r="AE131" s="51">
        <v>0.89601160984459205</v>
      </c>
      <c r="AH131" s="78"/>
      <c r="AJ131" s="119" t="s">
        <v>414</v>
      </c>
      <c r="AK131" s="107"/>
      <c r="AL131" s="116"/>
      <c r="AM131" s="116"/>
      <c r="AN131" s="116"/>
      <c r="AO131" s="116"/>
      <c r="AP131" s="116"/>
      <c r="AQ131" s="107"/>
      <c r="AR131" s="107"/>
      <c r="AS131" s="107"/>
      <c r="AU131">
        <v>10</v>
      </c>
      <c r="AV131">
        <v>329</v>
      </c>
      <c r="BF131" s="51">
        <v>0.89843223941595096</v>
      </c>
      <c r="BG131" s="1">
        <v>68</v>
      </c>
      <c r="BH131">
        <f t="shared" ref="BH131:BH194" si="28">_xlfn.NORM.S.INV((BG131-0.375)/($BI$61+0.25))</f>
        <v>-0.41874056937625298</v>
      </c>
      <c r="BI131">
        <f t="shared" ref="BI131:BI194" si="29">BH131/SQRT($BL$65)</f>
        <v>-2.9655507562520094E-2</v>
      </c>
      <c r="BJ131">
        <f t="shared" si="27"/>
        <v>-2.6643464070411599E-2</v>
      </c>
    </row>
    <row r="132" spans="1:62" x14ac:dyDescent="0.3">
      <c r="A132" t="s">
        <v>4</v>
      </c>
      <c r="B132" s="13">
        <v>1</v>
      </c>
      <c r="C132" s="5">
        <v>0</v>
      </c>
      <c r="D132" s="27">
        <v>86</v>
      </c>
      <c r="E132" s="1">
        <v>6</v>
      </c>
      <c r="F132" s="1">
        <v>0</v>
      </c>
      <c r="G132" s="6">
        <v>0</v>
      </c>
      <c r="H132" s="1">
        <f>SUM(C132:G132)</f>
        <v>92</v>
      </c>
      <c r="I132" s="10">
        <f>D132/H132</f>
        <v>0.93478260869565222</v>
      </c>
      <c r="J132" s="11">
        <f>1-I132</f>
        <v>6.5217391304347783E-2</v>
      </c>
      <c r="K132">
        <f>H132-D136</f>
        <v>-40</v>
      </c>
      <c r="N132" s="10">
        <f>2*(D137*I132)/(D137+I132)</f>
        <v>0.76785714285714279</v>
      </c>
      <c r="O132" s="1">
        <v>5</v>
      </c>
      <c r="P132" s="1">
        <v>61</v>
      </c>
      <c r="S132" s="66" t="s">
        <v>56</v>
      </c>
      <c r="T132" s="67">
        <f>N334*100</f>
        <v>100</v>
      </c>
      <c r="U132" s="67">
        <f>N335*100</f>
        <v>75.65217391304347</v>
      </c>
      <c r="V132" s="67">
        <f>N336*100</f>
        <v>97.160528535282538</v>
      </c>
      <c r="W132" s="67">
        <f>N337*100</f>
        <v>88.050314465408803</v>
      </c>
      <c r="X132" s="67">
        <f>N338*100</f>
        <v>75.236294896030259</v>
      </c>
      <c r="AC132" t="s">
        <v>236</v>
      </c>
      <c r="AD132" s="51">
        <v>0.92</v>
      </c>
      <c r="AE132" s="51">
        <v>0.90170251634068899</v>
      </c>
      <c r="AI132" s="78"/>
      <c r="AJ132" s="115" t="s">
        <v>409</v>
      </c>
      <c r="AK132" s="122" t="s">
        <v>9</v>
      </c>
      <c r="AL132" s="136">
        <v>0.26</v>
      </c>
      <c r="AM132" s="136">
        <v>4.53</v>
      </c>
      <c r="AN132" s="136">
        <v>921.5</v>
      </c>
      <c r="AO132" s="136">
        <v>663.63</v>
      </c>
      <c r="AP132" s="136">
        <v>261.73</v>
      </c>
      <c r="AQ132" s="107"/>
      <c r="AR132" s="115" t="s">
        <v>36</v>
      </c>
      <c r="AS132" s="137">
        <f>SUM(AL132:AP132)</f>
        <v>1851.65</v>
      </c>
      <c r="AU132">
        <v>11</v>
      </c>
      <c r="AV132">
        <v>358</v>
      </c>
      <c r="BF132" s="51">
        <v>0.89846443820831601</v>
      </c>
      <c r="BG132" s="1">
        <v>69</v>
      </c>
      <c r="BH132">
        <f t="shared" si="28"/>
        <v>-0.40511462266119341</v>
      </c>
      <c r="BI132">
        <f t="shared" si="29"/>
        <v>-2.8690508239772695E-2</v>
      </c>
      <c r="BJ132">
        <f t="shared" si="27"/>
        <v>-2.5777401367558437E-2</v>
      </c>
    </row>
    <row r="133" spans="1:62" x14ac:dyDescent="0.3">
      <c r="A133" t="s">
        <v>5</v>
      </c>
      <c r="B133" s="13">
        <v>2</v>
      </c>
      <c r="C133" s="5">
        <v>0</v>
      </c>
      <c r="D133" s="1">
        <v>36</v>
      </c>
      <c r="E133" s="27">
        <v>1733</v>
      </c>
      <c r="F133" s="1">
        <v>22</v>
      </c>
      <c r="G133" s="6">
        <v>17</v>
      </c>
      <c r="H133" s="1">
        <f>SUM(C133:G133)</f>
        <v>1808</v>
      </c>
      <c r="I133" s="10">
        <f>E133/H133</f>
        <v>0.95851769911504425</v>
      </c>
      <c r="J133" s="11">
        <f>1-I133</f>
        <v>4.1482300884955747E-2</v>
      </c>
      <c r="K133">
        <f>H133-E136</f>
        <v>54</v>
      </c>
      <c r="N133" s="10">
        <f>2*(E137*I133)/(E137+I133)</f>
        <v>0.97304884896125776</v>
      </c>
      <c r="O133" s="1">
        <v>938</v>
      </c>
      <c r="P133" s="1">
        <v>10109</v>
      </c>
      <c r="R133" s="16" t="s">
        <v>66</v>
      </c>
      <c r="S133" t="s">
        <v>9</v>
      </c>
      <c r="T133" s="30">
        <f>N345</f>
        <v>3024.9</v>
      </c>
      <c r="U133" s="30">
        <f>N346</f>
        <v>16405.080000000002</v>
      </c>
      <c r="V133" s="30">
        <f>N347</f>
        <v>82515.320000000007</v>
      </c>
      <c r="W133" s="30">
        <f>N348</f>
        <v>59653.79</v>
      </c>
      <c r="X133" s="30">
        <f>N349</f>
        <v>31172.3</v>
      </c>
      <c r="Z133" t="s">
        <v>36</v>
      </c>
      <c r="AA133" s="1">
        <f>N350</f>
        <v>192771.39</v>
      </c>
      <c r="AC133" t="s">
        <v>237</v>
      </c>
      <c r="AD133" s="51">
        <v>0.92035087719298203</v>
      </c>
      <c r="AE133" s="51">
        <v>0.90319945328978901</v>
      </c>
      <c r="AH133" s="78"/>
      <c r="AJ133" s="107"/>
      <c r="AK133" s="107" t="s">
        <v>391</v>
      </c>
      <c r="AL133" s="108">
        <f>(AL132/$AS132)*100</f>
        <v>1.4041530526827424E-2</v>
      </c>
      <c r="AM133" s="108">
        <f>(AM132/$AS132)*100</f>
        <v>0.24464666648664704</v>
      </c>
      <c r="AN133" s="108">
        <f>(AN132/$AS132)*100</f>
        <v>49.76642454027489</v>
      </c>
      <c r="AO133" s="108">
        <f>(AO132/$AS132)*100</f>
        <v>35.839926551994168</v>
      </c>
      <c r="AP133" s="108">
        <f>(AP132/$AS132)*100</f>
        <v>14.134960710717467</v>
      </c>
      <c r="AQ133" s="107"/>
      <c r="AR133" s="107"/>
      <c r="AS133" s="107"/>
      <c r="AU133">
        <v>12</v>
      </c>
      <c r="AV133">
        <v>387</v>
      </c>
      <c r="BF133" s="51">
        <v>0.89847621705633696</v>
      </c>
      <c r="BG133" s="1">
        <v>70</v>
      </c>
      <c r="BH133">
        <f t="shared" si="28"/>
        <v>-0.3915634828322011</v>
      </c>
      <c r="BI133">
        <f t="shared" si="29"/>
        <v>-2.7730806794369258E-2</v>
      </c>
      <c r="BJ133">
        <f t="shared" si="27"/>
        <v>-2.4915470384525056E-2</v>
      </c>
    </row>
    <row r="134" spans="1:62" ht="15.6" x14ac:dyDescent="0.35">
      <c r="A134" t="s">
        <v>6</v>
      </c>
      <c r="B134" s="13">
        <v>3</v>
      </c>
      <c r="C134" s="5">
        <v>0</v>
      </c>
      <c r="D134" s="1">
        <v>10</v>
      </c>
      <c r="E134" s="1">
        <v>7</v>
      </c>
      <c r="F134" s="27">
        <v>552</v>
      </c>
      <c r="G134" s="6">
        <v>84</v>
      </c>
      <c r="H134" s="1">
        <f>SUM(C134:G134)</f>
        <v>653</v>
      </c>
      <c r="I134" s="10">
        <f>F134/H134</f>
        <v>0.84532924961715161</v>
      </c>
      <c r="J134" s="11">
        <f>1-I134</f>
        <v>0.15467075038284839</v>
      </c>
      <c r="K134">
        <f>H134-F136</f>
        <v>40</v>
      </c>
      <c r="N134" s="10">
        <f>2*(F137*I134)/(F137+I134)</f>
        <v>0.87203791469194314</v>
      </c>
      <c r="O134" s="1">
        <v>646</v>
      </c>
      <c r="P134" s="1">
        <v>18432</v>
      </c>
      <c r="R134" s="16" t="s">
        <v>323</v>
      </c>
      <c r="S134" t="s">
        <v>68</v>
      </c>
      <c r="T134" s="57">
        <f>$AA133*T126/100</f>
        <v>3024.9</v>
      </c>
      <c r="U134" s="57">
        <f>$AA133*U126/100</f>
        <v>18298.233049849248</v>
      </c>
      <c r="V134" s="57">
        <f>$AA133*V126/100</f>
        <v>81483.380455769351</v>
      </c>
      <c r="W134" s="57">
        <f>$AA133*W126/100</f>
        <v>56780.354596660014</v>
      </c>
      <c r="X134" s="57">
        <f>$AA133*X126/100</f>
        <v>33184.52189772141</v>
      </c>
      <c r="Z134" t="s">
        <v>36</v>
      </c>
      <c r="AA134" s="25">
        <f>SUM(T134:X134)</f>
        <v>192771.39</v>
      </c>
      <c r="AC134" t="s">
        <v>238</v>
      </c>
      <c r="AD134" s="51">
        <v>0.92105263157894701</v>
      </c>
      <c r="AE134" s="51">
        <v>0.90345533455262705</v>
      </c>
      <c r="AI134" s="78"/>
      <c r="AJ134" s="115" t="s">
        <v>410</v>
      </c>
      <c r="AK134" s="122" t="s">
        <v>9</v>
      </c>
      <c r="AL134" s="140">
        <f>AVERAGE(AL216:AL235)</f>
        <v>0.14799999999999999</v>
      </c>
      <c r="AM134" s="136">
        <f>AVERAGE(AM216:AM235)</f>
        <v>4.7445000000000013</v>
      </c>
      <c r="AN134" s="136">
        <f>AVERAGE(AN216:AN235)</f>
        <v>914.08799999999997</v>
      </c>
      <c r="AO134" s="136">
        <f>AVERAGE(AO216:AO235)</f>
        <v>670.26400000000012</v>
      </c>
      <c r="AP134" s="136">
        <f>AVERAGE(AP216:AP235)</f>
        <v>262.39449999999999</v>
      </c>
      <c r="AQ134" s="107"/>
      <c r="AR134" s="115" t="s">
        <v>36</v>
      </c>
      <c r="AS134" s="137">
        <f>SUM(AL134:AP134)</f>
        <v>1851.6390000000001</v>
      </c>
      <c r="AU134">
        <v>13</v>
      </c>
      <c r="AV134">
        <v>416</v>
      </c>
      <c r="BF134" s="51">
        <v>0.89854550234417496</v>
      </c>
      <c r="BG134" s="1">
        <v>71</v>
      </c>
      <c r="BH134">
        <f t="shared" si="28"/>
        <v>-0.37808387102940144</v>
      </c>
      <c r="BI134">
        <f t="shared" si="29"/>
        <v>-2.6776171015100936E-2</v>
      </c>
      <c r="BJ134">
        <f t="shared" si="27"/>
        <v>-2.4059608035617408E-2</v>
      </c>
    </row>
    <row r="135" spans="1:62" x14ac:dyDescent="0.3">
      <c r="A135" t="s">
        <v>7</v>
      </c>
      <c r="B135" s="13">
        <v>4</v>
      </c>
      <c r="C135" s="7">
        <v>0</v>
      </c>
      <c r="D135" s="8">
        <v>0</v>
      </c>
      <c r="E135" s="8">
        <v>8</v>
      </c>
      <c r="F135" s="8">
        <v>39</v>
      </c>
      <c r="G135" s="28">
        <v>194</v>
      </c>
      <c r="H135" s="1">
        <f>SUM(C135:G135)</f>
        <v>241</v>
      </c>
      <c r="I135" s="10">
        <f>G135/H135</f>
        <v>0.80497925311203322</v>
      </c>
      <c r="J135" s="11">
        <f>1-I135</f>
        <v>0.19502074688796678</v>
      </c>
      <c r="K135">
        <f>H135-G136</f>
        <v>-54</v>
      </c>
      <c r="N135" s="10">
        <f>2*(G137*I135)/(G137+I135)</f>
        <v>0.72388059701492535</v>
      </c>
      <c r="O135" s="1">
        <v>262</v>
      </c>
      <c r="P135" s="1">
        <v>14382</v>
      </c>
      <c r="R135" s="66"/>
      <c r="S135" s="66" t="s">
        <v>67</v>
      </c>
      <c r="T135" s="67">
        <f>$AA133*T127/100</f>
        <v>0</v>
      </c>
      <c r="U135" s="67">
        <f>$AA133*U127/100</f>
        <v>562.12301358369552</v>
      </c>
      <c r="V135" s="67">
        <f>$AA133*V127/100</f>
        <v>705.25697656076329</v>
      </c>
      <c r="W135" s="67">
        <f>$AA133*W127/100</f>
        <v>1102.4690618129628</v>
      </c>
      <c r="X135" s="67">
        <f>$AA133*X127/100</f>
        <v>1076.4657868334255</v>
      </c>
      <c r="AA135" s="1"/>
      <c r="AC135" t="s">
        <v>239</v>
      </c>
      <c r="AD135" s="51">
        <v>0.91824561403508698</v>
      </c>
      <c r="AE135" s="51">
        <v>0.89773622954925103</v>
      </c>
      <c r="AH135" s="78"/>
      <c r="AJ135" s="107"/>
      <c r="AK135" s="129" t="s">
        <v>394</v>
      </c>
      <c r="AL135" s="125">
        <f>_xlfn.STDEV.S(AL216:AL235)/SQRT($AK$108)</f>
        <v>3.820719138701785E-2</v>
      </c>
      <c r="AM135" s="125">
        <f>_xlfn.STDEV.S(AM216:AM235)/SQRT($AK$108)</f>
        <v>8.3683221609516023E-2</v>
      </c>
      <c r="AN135" s="125">
        <f>_xlfn.STDEV.S(AN216:AN235)/SQRT($AK$108)</f>
        <v>3.3321035398078469</v>
      </c>
      <c r="AO135" s="125">
        <f>_xlfn.STDEV.S(AO216:AO235)/SQRT($AK$108)</f>
        <v>3.2890591679880599</v>
      </c>
      <c r="AP135" s="125">
        <f>_xlfn.STDEV.S(AP216:AP235)/SQRT($AK$108)</f>
        <v>1.3933370535289882</v>
      </c>
      <c r="AQ135" s="107"/>
      <c r="AR135" s="107"/>
      <c r="AS135" s="107"/>
      <c r="AU135">
        <v>14</v>
      </c>
      <c r="AV135">
        <v>445</v>
      </c>
      <c r="BF135" s="51">
        <v>0.89855120019902401</v>
      </c>
      <c r="BG135" s="1">
        <v>72</v>
      </c>
      <c r="BH135">
        <f t="shared" si="28"/>
        <v>-0.36467261192316763</v>
      </c>
      <c r="BI135">
        <f t="shared" si="29"/>
        <v>-2.5826376022845311E-2</v>
      </c>
      <c r="BJ135">
        <f t="shared" si="27"/>
        <v>-2.320632117211895E-2</v>
      </c>
    </row>
    <row r="136" spans="1:62" ht="15.6" x14ac:dyDescent="0.35">
      <c r="B136" s="1" t="s">
        <v>19</v>
      </c>
      <c r="C136" s="1">
        <f>SUM(C131:C135)</f>
        <v>56</v>
      </c>
      <c r="D136" s="1">
        <f>SUM(D131:D135)</f>
        <v>132</v>
      </c>
      <c r="E136" s="1">
        <f>SUM(E131:E135)</f>
        <v>1754</v>
      </c>
      <c r="F136" s="1">
        <f>SUM(F131:F135)</f>
        <v>613</v>
      </c>
      <c r="G136" s="1">
        <f>SUM(G131:G135)</f>
        <v>295</v>
      </c>
      <c r="H136" s="1">
        <f>SUM(H130:H135)</f>
        <v>2850</v>
      </c>
      <c r="I136" s="13" t="s">
        <v>12</v>
      </c>
      <c r="N136" s="16" t="s">
        <v>36</v>
      </c>
      <c r="O136" s="1">
        <f>SUM(O131:O135)</f>
        <v>1851</v>
      </c>
      <c r="P136" s="1">
        <f>SUM(P131:P135)</f>
        <v>43225</v>
      </c>
      <c r="R136" t="s">
        <v>105</v>
      </c>
      <c r="S136" t="s">
        <v>28</v>
      </c>
      <c r="T136" s="57">
        <f t="shared" ref="T136:X139" si="30">C379</f>
        <v>1.5521649763484096</v>
      </c>
      <c r="U136" s="57">
        <f t="shared" si="30"/>
        <v>9.3397042691608263</v>
      </c>
      <c r="V136" s="57">
        <f t="shared" si="30"/>
        <v>42.17096939779281</v>
      </c>
      <c r="W136" s="57">
        <f t="shared" si="30"/>
        <v>28.494999924593166</v>
      </c>
      <c r="X136" s="57">
        <f t="shared" si="30"/>
        <v>18.442161432104804</v>
      </c>
      <c r="Z136" s="74"/>
      <c r="AA136" s="12"/>
      <c r="AC136" t="s">
        <v>240</v>
      </c>
      <c r="AD136" s="51">
        <v>0.91894736842105196</v>
      </c>
      <c r="AE136" s="51">
        <v>0.89997474327727001</v>
      </c>
      <c r="AI136" s="78"/>
      <c r="AU136">
        <v>15</v>
      </c>
      <c r="AV136">
        <v>474</v>
      </c>
      <c r="BF136" s="51">
        <v>0.89863471292360797</v>
      </c>
      <c r="BG136" s="1">
        <v>73</v>
      </c>
      <c r="BH136">
        <f t="shared" si="28"/>
        <v>-0.35132662732612346</v>
      </c>
      <c r="BI136">
        <f t="shared" si="29"/>
        <v>-2.4881203818163857E-2</v>
      </c>
      <c r="BJ136">
        <f t="shared" si="27"/>
        <v>-2.2359113450329458E-2</v>
      </c>
    </row>
    <row r="137" spans="1:62" x14ac:dyDescent="0.3">
      <c r="A137" s="1" t="s">
        <v>321</v>
      </c>
      <c r="B137" s="1" t="s">
        <v>2</v>
      </c>
      <c r="C137" s="10">
        <f>C131/C136</f>
        <v>1</v>
      </c>
      <c r="D137" s="10">
        <f>D132/D136</f>
        <v>0.65151515151515149</v>
      </c>
      <c r="E137" s="10">
        <f>E133/E136</f>
        <v>0.98802736602052454</v>
      </c>
      <c r="F137" s="10">
        <f>F134/F136</f>
        <v>0.90048939641109293</v>
      </c>
      <c r="G137" s="10">
        <f>G135/G136</f>
        <v>0.65762711864406775</v>
      </c>
      <c r="H137" s="10"/>
      <c r="I137" s="14">
        <f>(C131+D132+E133+F134+G135)/H136</f>
        <v>0.91964912280701749</v>
      </c>
      <c r="S137" s="66" t="s">
        <v>39</v>
      </c>
      <c r="T137" s="67">
        <f t="shared" si="30"/>
        <v>0</v>
      </c>
      <c r="U137" s="67">
        <f t="shared" si="30"/>
        <v>0.29273170899214035</v>
      </c>
      <c r="V137" s="67">
        <f t="shared" si="30"/>
        <v>0.34756868990581807</v>
      </c>
      <c r="W137" s="67">
        <f t="shared" si="30"/>
        <v>0.59648535601795594</v>
      </c>
      <c r="X137" s="67">
        <f t="shared" si="30"/>
        <v>0.5897309943524871</v>
      </c>
      <c r="AC137" t="s">
        <v>241</v>
      </c>
      <c r="AD137" s="51">
        <v>0.92035087719298203</v>
      </c>
      <c r="AE137" s="51">
        <v>0.90430428436808796</v>
      </c>
      <c r="AH137" s="78"/>
      <c r="AU137">
        <v>16</v>
      </c>
      <c r="AV137">
        <v>503</v>
      </c>
      <c r="BF137" s="51">
        <v>0.89867075836477195</v>
      </c>
      <c r="BG137" s="1">
        <v>74</v>
      </c>
      <c r="BH137">
        <f t="shared" si="28"/>
        <v>-0.33804293019912629</v>
      </c>
      <c r="BI137">
        <f t="shared" si="29"/>
        <v>-2.3940442856801341E-2</v>
      </c>
      <c r="BJ137">
        <f t="shared" si="27"/>
        <v>-2.151457593771015E-2</v>
      </c>
    </row>
    <row r="138" spans="1:62" x14ac:dyDescent="0.3">
      <c r="B138" s="1" t="s">
        <v>14</v>
      </c>
      <c r="C138" s="11">
        <f>1-C137</f>
        <v>0</v>
      </c>
      <c r="D138" s="11">
        <f>1-D137</f>
        <v>0.34848484848484851</v>
      </c>
      <c r="E138" s="11">
        <f>1-E137</f>
        <v>1.1972633979475455E-2</v>
      </c>
      <c r="F138" s="11">
        <f>1-F137</f>
        <v>9.9510603588907065E-2</v>
      </c>
      <c r="G138" s="11">
        <f>1-G137</f>
        <v>0.34237288135593225</v>
      </c>
      <c r="S138" t="s">
        <v>30</v>
      </c>
      <c r="T138" s="57">
        <f t="shared" si="30"/>
        <v>100</v>
      </c>
      <c r="U138" s="57">
        <f t="shared" si="30"/>
        <v>85.897024779576086</v>
      </c>
      <c r="V138" s="57">
        <f t="shared" si="30"/>
        <v>97.258775888896054</v>
      </c>
      <c r="W138" s="57">
        <f t="shared" si="30"/>
        <v>89.365025709946352</v>
      </c>
      <c r="X138" s="57">
        <f t="shared" si="30"/>
        <v>74.468205902452738</v>
      </c>
      <c r="AA138" s="54"/>
      <c r="AC138" t="s">
        <v>242</v>
      </c>
      <c r="AD138" s="51">
        <v>0.91929824561403495</v>
      </c>
      <c r="AE138" s="51">
        <v>0.89998895626706799</v>
      </c>
      <c r="AI138" s="78"/>
      <c r="AU138">
        <v>17</v>
      </c>
      <c r="AV138">
        <v>532</v>
      </c>
      <c r="BF138" s="51">
        <v>0.89867372905975118</v>
      </c>
      <c r="BG138" s="1">
        <v>75</v>
      </c>
      <c r="BH138">
        <f t="shared" si="28"/>
        <v>-0.32481861901855619</v>
      </c>
      <c r="BI138">
        <f t="shared" si="29"/>
        <v>-2.3003887650773207E-2</v>
      </c>
      <c r="BJ138">
        <f t="shared" si="27"/>
        <v>-2.0672989497991918E-2</v>
      </c>
    </row>
    <row r="139" spans="1:62" x14ac:dyDescent="0.3">
      <c r="C139" s="2"/>
      <c r="S139" s="66" t="s">
        <v>39</v>
      </c>
      <c r="T139" s="67">
        <f t="shared" si="30"/>
        <v>0</v>
      </c>
      <c r="U139" s="67">
        <f t="shared" si="30"/>
        <v>3.6222921250126792</v>
      </c>
      <c r="V139" s="67">
        <f t="shared" si="30"/>
        <v>0.67172555315489513</v>
      </c>
      <c r="W139" s="67">
        <f t="shared" si="30"/>
        <v>2.0794650552042686</v>
      </c>
      <c r="X139" s="67">
        <f t="shared" si="30"/>
        <v>5.8967561113354643</v>
      </c>
      <c r="AC139" t="s">
        <v>243</v>
      </c>
      <c r="AD139" s="51">
        <v>0.91789473684210499</v>
      </c>
      <c r="AE139" s="51">
        <v>0.89855120019902401</v>
      </c>
      <c r="AH139" s="78"/>
      <c r="AU139">
        <v>18</v>
      </c>
      <c r="AV139">
        <v>561</v>
      </c>
      <c r="BF139" s="51">
        <v>0.89872556275190496</v>
      </c>
      <c r="BG139" s="1">
        <v>76</v>
      </c>
      <c r="BH139">
        <f t="shared" si="28"/>
        <v>-0.31165087247515011</v>
      </c>
      <c r="BI139">
        <f t="shared" si="29"/>
        <v>-2.2071338392933199E-2</v>
      </c>
      <c r="BJ139">
        <f t="shared" si="27"/>
        <v>-1.9836076017876614E-2</v>
      </c>
    </row>
    <row r="140" spans="1:62" ht="15.6" x14ac:dyDescent="0.35">
      <c r="A140" t="s">
        <v>322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100</v>
      </c>
      <c r="U140" s="57">
        <f>I375</f>
        <v>94.565217391304358</v>
      </c>
      <c r="V140" s="57">
        <f>I376</f>
        <v>95.907079646017706</v>
      </c>
      <c r="W140" s="57">
        <f>I377</f>
        <v>83.30781010719754</v>
      </c>
      <c r="X140" s="57">
        <f>I378</f>
        <v>82.572614107883808</v>
      </c>
      <c r="AC140" t="s">
        <v>244</v>
      </c>
      <c r="AD140" s="51">
        <v>0.91719298245614</v>
      </c>
      <c r="AE140" s="51">
        <v>0.89704724809429304</v>
      </c>
      <c r="AI140" s="78"/>
      <c r="AU140">
        <v>19</v>
      </c>
      <c r="AV140">
        <v>590</v>
      </c>
      <c r="BF140" s="51">
        <v>0.89893649978826595</v>
      </c>
      <c r="BG140" s="1">
        <v>77</v>
      </c>
      <c r="BH140">
        <f t="shared" si="28"/>
        <v>-0.29853694447722279</v>
      </c>
      <c r="BI140">
        <f t="shared" si="29"/>
        <v>-2.1142600603097896E-2</v>
      </c>
      <c r="BJ140">
        <f t="shared" si="27"/>
        <v>-1.9005855382570103E-2</v>
      </c>
    </row>
    <row r="141" spans="1:62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</v>
      </c>
      <c r="U141" s="67">
        <f>J375</f>
        <v>2.3764906227132001</v>
      </c>
      <c r="V141" s="67">
        <f>J376</f>
        <v>0.46608261508116805</v>
      </c>
      <c r="W141" s="67">
        <f>J377</f>
        <v>1.4604130991041799</v>
      </c>
      <c r="X141" s="67">
        <f>J378</f>
        <v>2.4486601865262365</v>
      </c>
      <c r="AC141" t="s">
        <v>245</v>
      </c>
      <c r="AD141" s="51">
        <v>0.91964912280701705</v>
      </c>
      <c r="AE141" s="51">
        <v>0.89816061653648605</v>
      </c>
      <c r="AH141" s="78"/>
      <c r="BF141" s="51">
        <v>0.89895242378288498</v>
      </c>
      <c r="BG141" s="1">
        <v>78</v>
      </c>
      <c r="BH141">
        <f t="shared" si="28"/>
        <v>-0.28547415943346122</v>
      </c>
      <c r="BI141">
        <f t="shared" si="29"/>
        <v>-2.0217484793970817E-2</v>
      </c>
      <c r="BJ141">
        <f t="shared" si="27"/>
        <v>-1.8174556958333688E-2</v>
      </c>
    </row>
    <row r="142" spans="1:62" x14ac:dyDescent="0.3">
      <c r="A142" t="s">
        <v>3</v>
      </c>
      <c r="B142" s="13">
        <v>0</v>
      </c>
      <c r="C142" s="29">
        <f>(C131/$L142)*$O142</f>
        <v>1.5786886217918545</v>
      </c>
      <c r="D142" s="31">
        <f>(D131/$L142)*$O142</f>
        <v>0</v>
      </c>
      <c r="E142" s="31">
        <f>(E131/$L142)*$O142</f>
        <v>0</v>
      </c>
      <c r="F142" s="31">
        <f>(F131/$L142)*$O142</f>
        <v>0</v>
      </c>
      <c r="G142" s="32">
        <f>(G131/$L142)*$O142</f>
        <v>0</v>
      </c>
      <c r="H142" s="17">
        <f>SUM(C142:G142)</f>
        <v>1.5786886217918545</v>
      </c>
      <c r="I142" s="17">
        <f>C142/H142*100</f>
        <v>100</v>
      </c>
      <c r="J142" s="17">
        <f>SQRT(I142*(100-I142)/(L142-1))</f>
        <v>0</v>
      </c>
      <c r="K142" s="18">
        <f>100-I142</f>
        <v>0</v>
      </c>
      <c r="L142" s="1">
        <f>H131</f>
        <v>56</v>
      </c>
      <c r="M142">
        <v>0</v>
      </c>
      <c r="N142">
        <v>3043.26</v>
      </c>
      <c r="O142" s="17">
        <f>N142/N147*100</f>
        <v>1.5786886217918545</v>
      </c>
      <c r="P142" s="52">
        <f>((O142*O142*(I142/100)*(K142/100))/(L142-1))</f>
        <v>0</v>
      </c>
      <c r="S142" s="66" t="s">
        <v>56</v>
      </c>
      <c r="T142" s="67">
        <f>N363*100</f>
        <v>100</v>
      </c>
      <c r="U142" s="67">
        <f>N364*100</f>
        <v>78.378378378378372</v>
      </c>
      <c r="V142" s="67">
        <f>N365*100</f>
        <v>97.44310199494241</v>
      </c>
      <c r="W142" s="67">
        <f>N366*100</f>
        <v>86.486486486486484</v>
      </c>
      <c r="X142" s="67">
        <f>N367*100</f>
        <v>72.495446265938071</v>
      </c>
      <c r="AC142" t="s">
        <v>246</v>
      </c>
      <c r="AD142" s="51">
        <v>0.92070175438596402</v>
      </c>
      <c r="AE142" s="51">
        <v>0.90255073175996303</v>
      </c>
      <c r="AI142" s="78"/>
      <c r="BF142" s="51">
        <v>0.89899375891203814</v>
      </c>
      <c r="BG142" s="1">
        <v>79</v>
      </c>
      <c r="BH142">
        <f t="shared" si="28"/>
        <v>-0.27245990779256396</v>
      </c>
      <c r="BI142">
        <f t="shared" si="29"/>
        <v>-1.9295806155256487E-2</v>
      </c>
      <c r="BJ142">
        <f t="shared" si="27"/>
        <v>-1.7346809306752073E-2</v>
      </c>
    </row>
    <row r="143" spans="1:62" x14ac:dyDescent="0.3">
      <c r="A143" t="s">
        <v>4</v>
      </c>
      <c r="B143" s="13">
        <v>1</v>
      </c>
      <c r="C143" s="33">
        <f t="shared" ref="C143:G146" si="31">(C132/$L143)*$O143</f>
        <v>0</v>
      </c>
      <c r="D143" s="34">
        <f t="shared" si="31"/>
        <v>7.7072917709733133</v>
      </c>
      <c r="E143" s="19">
        <f t="shared" si="31"/>
        <v>0.53771803053302181</v>
      </c>
      <c r="F143" s="18">
        <f t="shared" si="31"/>
        <v>0</v>
      </c>
      <c r="G143" s="20">
        <f t="shared" si="31"/>
        <v>0</v>
      </c>
      <c r="H143" s="17">
        <f>SUM(C143:G143)</f>
        <v>8.2450098015063347</v>
      </c>
      <c r="I143" s="17">
        <f>D143/H143*100</f>
        <v>93.478260869565219</v>
      </c>
      <c r="J143" s="17">
        <f>SQRT(I143*(100-I143)/(L143-1))</f>
        <v>2.5883102208852078</v>
      </c>
      <c r="K143" s="18">
        <f>100-I143</f>
        <v>6.5217391304347814</v>
      </c>
      <c r="L143" s="1">
        <f>H132</f>
        <v>92</v>
      </c>
      <c r="M143">
        <v>1</v>
      </c>
      <c r="N143">
        <v>15894.02</v>
      </c>
      <c r="O143" s="17">
        <f>N143/N147*100</f>
        <v>8.2450098015063347</v>
      </c>
      <c r="P143" s="52">
        <f>((O143*O143*(I143/100)*(K143/100))/(L143-1))</f>
        <v>4.5542304965177312E-2</v>
      </c>
      <c r="R143" s="16" t="s">
        <v>66</v>
      </c>
      <c r="S143" t="s">
        <v>9</v>
      </c>
      <c r="T143" s="30">
        <f>N374</f>
        <v>2992.13</v>
      </c>
      <c r="U143" s="30">
        <f>N375</f>
        <v>16353.94</v>
      </c>
      <c r="V143" s="30">
        <f>N376</f>
        <v>82439.3</v>
      </c>
      <c r="W143" s="30">
        <f>N377</f>
        <v>58924.12</v>
      </c>
      <c r="X143" s="30">
        <f>N378</f>
        <v>32061.9</v>
      </c>
      <c r="Z143" t="s">
        <v>36</v>
      </c>
      <c r="AA143" s="1">
        <f>N379</f>
        <v>192771.38999999998</v>
      </c>
      <c r="AC143" t="s">
        <v>247</v>
      </c>
      <c r="AD143" s="51">
        <v>0.91719298245614</v>
      </c>
      <c r="AE143" s="51">
        <v>0.89867075836477195</v>
      </c>
      <c r="AH143" s="78"/>
      <c r="BF143" s="51">
        <v>0.89902693531795042</v>
      </c>
      <c r="BG143" s="1">
        <v>80</v>
      </c>
      <c r="BH143">
        <f t="shared" si="28"/>
        <v>-0.25949164181888412</v>
      </c>
      <c r="BI143">
        <f t="shared" si="29"/>
        <v>-1.8377384254488437E-2</v>
      </c>
      <c r="BJ143">
        <f t="shared" si="27"/>
        <v>-1.6521763445473098E-2</v>
      </c>
    </row>
    <row r="144" spans="1:62" ht="15.6" x14ac:dyDescent="0.35">
      <c r="A144" t="s">
        <v>5</v>
      </c>
      <c r="B144" s="13">
        <v>2</v>
      </c>
      <c r="C144" s="33">
        <f t="shared" si="31"/>
        <v>0</v>
      </c>
      <c r="D144" s="19">
        <f t="shared" si="31"/>
        <v>0.86014558579979727</v>
      </c>
      <c r="E144" s="34">
        <f t="shared" si="31"/>
        <v>41.406452783084681</v>
      </c>
      <c r="F144" s="19">
        <f t="shared" si="31"/>
        <v>0.52564452465543166</v>
      </c>
      <c r="G144" s="20">
        <f t="shared" si="31"/>
        <v>0.40617985996101541</v>
      </c>
      <c r="H144" s="17">
        <f>SUM(C144:G144)</f>
        <v>43.198422753500928</v>
      </c>
      <c r="I144" s="17">
        <f>E144/H144*100</f>
        <v>95.851769911504419</v>
      </c>
      <c r="J144" s="17">
        <f>SQRT(I144*(100-I144)/(L144-1))</f>
        <v>0.46908593425373274</v>
      </c>
      <c r="K144" s="18">
        <f>100-I144</f>
        <v>4.1482300884955805</v>
      </c>
      <c r="L144" s="1">
        <f>H133</f>
        <v>1808</v>
      </c>
      <c r="M144">
        <v>2</v>
      </c>
      <c r="N144">
        <v>83274.2</v>
      </c>
      <c r="O144" s="17">
        <f>N144/N147*100</f>
        <v>43.198422753500928</v>
      </c>
      <c r="P144" s="52">
        <f>((O144*O144*(I144/100)*(K144/100))/(L144-1))</f>
        <v>4.1062047575398983E-2</v>
      </c>
      <c r="R144" s="16" t="s">
        <v>323</v>
      </c>
      <c r="S144" t="s">
        <v>68</v>
      </c>
      <c r="T144" s="57">
        <f>$AA143*T136/100</f>
        <v>2992.13</v>
      </c>
      <c r="U144" s="57">
        <f>$AA143*U136/100</f>
        <v>18004.277741550664</v>
      </c>
      <c r="V144" s="57">
        <f>$AA143*V136/100</f>
        <v>81293.563884599818</v>
      </c>
      <c r="W144" s="57">
        <f>$AA143*W136/100</f>
        <v>54930.207435137192</v>
      </c>
      <c r="X144" s="57">
        <f>$AA143*X136/100</f>
        <v>35551.210938712335</v>
      </c>
      <c r="Z144" t="s">
        <v>36</v>
      </c>
      <c r="AA144" s="25">
        <f>SUM(T144:X144)</f>
        <v>192771.39</v>
      </c>
      <c r="AC144" t="s">
        <v>248</v>
      </c>
      <c r="AD144" s="51">
        <v>0.92</v>
      </c>
      <c r="AE144" s="51">
        <v>0.89960545875193099</v>
      </c>
      <c r="AI144" s="78"/>
      <c r="BF144" s="51">
        <v>0.8990816879219109</v>
      </c>
      <c r="BG144" s="1">
        <v>81</v>
      </c>
      <c r="BH144">
        <f t="shared" si="28"/>
        <v>-0.24656687158492113</v>
      </c>
      <c r="BI144">
        <f t="shared" si="29"/>
        <v>-1.7462042753214592E-2</v>
      </c>
      <c r="BJ144">
        <f t="shared" si="27"/>
        <v>-1.5699802873124748E-2</v>
      </c>
    </row>
    <row r="145" spans="1:62" x14ac:dyDescent="0.3">
      <c r="A145" t="s">
        <v>6</v>
      </c>
      <c r="B145" s="13">
        <v>3</v>
      </c>
      <c r="C145" s="33">
        <f t="shared" si="31"/>
        <v>0</v>
      </c>
      <c r="D145" s="19">
        <f t="shared" si="31"/>
        <v>0.46451343458911659</v>
      </c>
      <c r="E145" s="19">
        <f t="shared" si="31"/>
        <v>0.3251594042123816</v>
      </c>
      <c r="F145" s="34">
        <f t="shared" si="31"/>
        <v>25.641141589319236</v>
      </c>
      <c r="G145" s="20">
        <f t="shared" si="31"/>
        <v>3.9019128505485794</v>
      </c>
      <c r="H145" s="17">
        <f>SUM(C145:G145)</f>
        <v>30.332727278669314</v>
      </c>
      <c r="I145" s="17">
        <f>F145/H145*100</f>
        <v>84.532924961715167</v>
      </c>
      <c r="J145" s="17">
        <f>SQRT(I145*(100-I145)/(L145-1))</f>
        <v>1.4160977952198814</v>
      </c>
      <c r="K145" s="18">
        <f>100-I145</f>
        <v>15.467075038284833</v>
      </c>
      <c r="L145" s="1">
        <f>H134</f>
        <v>653</v>
      </c>
      <c r="M145">
        <v>3</v>
      </c>
      <c r="N145">
        <v>58472.82</v>
      </c>
      <c r="O145" s="17">
        <f>N145/N147*100</f>
        <v>30.332727278669314</v>
      </c>
      <c r="P145" s="52">
        <f>((O145*O145*(I145/100)*(K145/100))/(L145-1))</f>
        <v>0.18450554131756011</v>
      </c>
      <c r="R145" s="66"/>
      <c r="S145" s="66" t="s">
        <v>67</v>
      </c>
      <c r="T145" s="67">
        <f>$AA143*T137/100</f>
        <v>0</v>
      </c>
      <c r="U145" s="67">
        <f>$AA143*U137/100</f>
        <v>564.30298439490389</v>
      </c>
      <c r="V145" s="67">
        <f>$AA143*V137/100</f>
        <v>670.0129947362351</v>
      </c>
      <c r="W145" s="67">
        <f>$AA143*W137/100</f>
        <v>1149.8531119422621</v>
      </c>
      <c r="X145" s="67">
        <f>$AA143*X137/100</f>
        <v>1136.8326350741108</v>
      </c>
      <c r="AA145" s="1"/>
      <c r="AC145" t="s">
        <v>249</v>
      </c>
      <c r="AD145" s="51">
        <v>0.91789473684210499</v>
      </c>
      <c r="AE145" s="51">
        <v>0.900066771836605</v>
      </c>
      <c r="AH145" s="78"/>
      <c r="BF145" s="51">
        <v>0.89908615471249209</v>
      </c>
      <c r="BG145" s="1">
        <v>82</v>
      </c>
      <c r="BH145">
        <f t="shared" si="28"/>
        <v>-0.23368316116302504</v>
      </c>
      <c r="BI145">
        <f t="shared" si="29"/>
        <v>-1.6549609137291046E-2</v>
      </c>
      <c r="BJ145">
        <f t="shared" si="27"/>
        <v>-1.4879524441241731E-2</v>
      </c>
    </row>
    <row r="146" spans="1:62" x14ac:dyDescent="0.3">
      <c r="A146" t="s">
        <v>7</v>
      </c>
      <c r="B146" s="13">
        <v>4</v>
      </c>
      <c r="C146" s="35">
        <f t="shared" si="31"/>
        <v>0</v>
      </c>
      <c r="D146" s="36">
        <f t="shared" si="31"/>
        <v>0</v>
      </c>
      <c r="E146" s="21">
        <f t="shared" si="31"/>
        <v>0.5525361508558202</v>
      </c>
      <c r="F146" s="21">
        <f t="shared" si="31"/>
        <v>2.6936137354221237</v>
      </c>
      <c r="G146" s="37">
        <f t="shared" si="31"/>
        <v>13.39900165825364</v>
      </c>
      <c r="H146" s="17">
        <f>SUM(C146:G146)</f>
        <v>16.645151544531583</v>
      </c>
      <c r="I146" s="17">
        <f>G146/H146*100</f>
        <v>80.497925311203318</v>
      </c>
      <c r="J146" s="17">
        <f>SQRT(I146*(100-I146)/(L146-1))</f>
        <v>2.5575676528297544</v>
      </c>
      <c r="K146" s="18">
        <f>100-I146</f>
        <v>19.502074688796682</v>
      </c>
      <c r="L146" s="1">
        <f>H135</f>
        <v>241</v>
      </c>
      <c r="M146">
        <v>4</v>
      </c>
      <c r="N146">
        <v>32087.09</v>
      </c>
      <c r="O146" s="17">
        <f>N146/N147*100</f>
        <v>16.645151544531583</v>
      </c>
      <c r="P146" s="52">
        <f>((O146*O146*(I146/100)*(K146/100))/(L146-1))</f>
        <v>0.18122986545490852</v>
      </c>
      <c r="R146" t="s">
        <v>106</v>
      </c>
      <c r="S146" t="s">
        <v>28</v>
      </c>
      <c r="T146" s="57">
        <f t="shared" ref="T146:X149" si="32">C408</f>
        <v>1.5902722909244986</v>
      </c>
      <c r="U146" s="57">
        <f t="shared" si="32"/>
        <v>9.2263561471978743</v>
      </c>
      <c r="V146" s="57">
        <f t="shared" si="32"/>
        <v>42.050432516321138</v>
      </c>
      <c r="W146" s="57">
        <f t="shared" si="32"/>
        <v>28.617914193757713</v>
      </c>
      <c r="X146" s="57">
        <f t="shared" si="32"/>
        <v>18.51502485179876</v>
      </c>
      <c r="Y146" s="60"/>
      <c r="Z146" s="74"/>
      <c r="AA146" s="12"/>
      <c r="AC146" t="s">
        <v>250</v>
      </c>
      <c r="AD146" s="51">
        <v>0.91859649122806997</v>
      </c>
      <c r="AE146" s="51">
        <v>0.89847621705633696</v>
      </c>
      <c r="AI146" s="78"/>
      <c r="BF146" s="51">
        <v>0.89911235413762802</v>
      </c>
      <c r="BG146" s="1">
        <v>83</v>
      </c>
      <c r="BH146">
        <f t="shared" si="28"/>
        <v>-0.2208381250000446</v>
      </c>
      <c r="BI146">
        <f t="shared" si="29"/>
        <v>-1.5639914460132034E-2</v>
      </c>
      <c r="BJ146">
        <f t="shared" si="27"/>
        <v>-1.4062040308760444E-2</v>
      </c>
    </row>
    <row r="147" spans="1:62" x14ac:dyDescent="0.3">
      <c r="B147" t="s">
        <v>28</v>
      </c>
      <c r="C147" s="17">
        <f t="shared" ref="C147:H147" si="33">SUM(C142:C146)</f>
        <v>1.5786886217918545</v>
      </c>
      <c r="D147" s="17">
        <f t="shared" si="33"/>
        <v>9.0319507913622274</v>
      </c>
      <c r="E147" s="17">
        <f t="shared" si="33"/>
        <v>42.821866368685903</v>
      </c>
      <c r="F147" s="17">
        <f t="shared" si="33"/>
        <v>28.860399849396789</v>
      </c>
      <c r="G147" s="17">
        <f t="shared" si="33"/>
        <v>17.707094368763237</v>
      </c>
      <c r="H147" s="18">
        <f t="shared" si="33"/>
        <v>100.00000000000001</v>
      </c>
      <c r="I147" s="13" t="s">
        <v>24</v>
      </c>
      <c r="J147" s="12" t="s">
        <v>29</v>
      </c>
      <c r="N147" s="1">
        <f>SUM(N142:N146)</f>
        <v>192771.38999999998</v>
      </c>
      <c r="O147" s="17">
        <f>SUM(O142:O146)</f>
        <v>100.00000000000001</v>
      </c>
      <c r="S147" s="66" t="s">
        <v>39</v>
      </c>
      <c r="T147" s="67">
        <f t="shared" si="32"/>
        <v>0</v>
      </c>
      <c r="U147" s="67">
        <f t="shared" si="32"/>
        <v>0.32698320050467644</v>
      </c>
      <c r="V147" s="67">
        <f t="shared" si="32"/>
        <v>0.37196660596593295</v>
      </c>
      <c r="W147" s="67">
        <f t="shared" si="32"/>
        <v>0.58027491808654841</v>
      </c>
      <c r="X147" s="67">
        <f t="shared" si="32"/>
        <v>0.56789035445952152</v>
      </c>
      <c r="AC147" t="s">
        <v>251</v>
      </c>
      <c r="AD147" s="51">
        <v>0.91929824561403495</v>
      </c>
      <c r="AE147" s="51">
        <v>0.90194171931239098</v>
      </c>
      <c r="AH147" s="78"/>
      <c r="BF147" s="51">
        <v>0.89919408921858024</v>
      </c>
      <c r="BG147" s="1">
        <v>84</v>
      </c>
      <c r="BH147">
        <f t="shared" si="28"/>
        <v>-0.20802942445987585</v>
      </c>
      <c r="BI147">
        <f t="shared" si="29"/>
        <v>-1.4732793097850746E-2</v>
      </c>
      <c r="BJ147">
        <f t="shared" si="27"/>
        <v>-1.3247640471267686E-2</v>
      </c>
    </row>
    <row r="148" spans="1:62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0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0.29400052979803515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0.37138124714588638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0.59377031889306131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0.58993660232207035</v>
      </c>
      <c r="H148" s="1"/>
      <c r="I148" s="56">
        <f>(C142+D143+E144+F145+G146)/H147</f>
        <v>0.89732576423422716</v>
      </c>
      <c r="J148" s="53">
        <f>SQRT(SUM(P142:P146))/100</f>
        <v>6.7256208584267141E-3</v>
      </c>
      <c r="M148" s="1"/>
      <c r="N148" s="9"/>
      <c r="S148" t="s">
        <v>30</v>
      </c>
      <c r="T148" s="57">
        <f t="shared" si="32"/>
        <v>100</v>
      </c>
      <c r="U148" s="57">
        <f t="shared" si="32"/>
        <v>84.170264834470814</v>
      </c>
      <c r="V148" s="57">
        <f t="shared" si="32"/>
        <v>96.917299948186198</v>
      </c>
      <c r="W148" s="57">
        <f t="shared" si="32"/>
        <v>90.152044946216918</v>
      </c>
      <c r="X148" s="57">
        <f t="shared" si="32"/>
        <v>75.954318555710813</v>
      </c>
      <c r="AC148" t="s">
        <v>252</v>
      </c>
      <c r="AD148" s="51">
        <v>0.91859649122806997</v>
      </c>
      <c r="AE148" s="51">
        <v>0.90043696607207302</v>
      </c>
      <c r="AI148" s="78"/>
      <c r="BF148" s="51">
        <v>0.899206643047187</v>
      </c>
      <c r="BG148" s="1">
        <v>85</v>
      </c>
      <c r="BH148">
        <f t="shared" si="28"/>
        <v>-0.19525476451997853</v>
      </c>
      <c r="BI148">
        <f t="shared" si="29"/>
        <v>-1.3828082515304235E-2</v>
      </c>
      <c r="BJ148">
        <f t="shared" si="27"/>
        <v>-1.2434303658366223E-2</v>
      </c>
    </row>
    <row r="149" spans="1:62" x14ac:dyDescent="0.3">
      <c r="B149" s="1" t="s">
        <v>30</v>
      </c>
      <c r="C149" s="17">
        <f>C142/C147*100</f>
        <v>100</v>
      </c>
      <c r="D149" s="17">
        <f>D143/D147*100</f>
        <v>85.333633331397678</v>
      </c>
      <c r="E149" s="17">
        <f>E144/E147*100</f>
        <v>96.694647604999616</v>
      </c>
      <c r="F149" s="17">
        <f>F145/F147*100</f>
        <v>88.845413518604317</v>
      </c>
      <c r="G149" s="17">
        <f>G146/G147*100</f>
        <v>75.670244813799471</v>
      </c>
      <c r="H149" s="1"/>
      <c r="S149" s="66" t="s">
        <v>39</v>
      </c>
      <c r="T149" s="67">
        <f t="shared" si="32"/>
        <v>0</v>
      </c>
      <c r="U149" s="67">
        <f t="shared" si="32"/>
        <v>4.7207799071678433</v>
      </c>
      <c r="V149" s="67">
        <f t="shared" si="32"/>
        <v>0.72670741727741606</v>
      </c>
      <c r="W149" s="67">
        <f t="shared" si="32"/>
        <v>1.9267917301071336</v>
      </c>
      <c r="X149" s="67">
        <f t="shared" si="32"/>
        <v>5.3042386624347078</v>
      </c>
      <c r="AC149" t="s">
        <v>253</v>
      </c>
      <c r="AD149" s="51">
        <v>0.92105263157894701</v>
      </c>
      <c r="AE149" s="51">
        <v>0.90070841784801603</v>
      </c>
      <c r="AH149" s="78"/>
      <c r="BF149" s="51">
        <v>0.89930660028659903</v>
      </c>
      <c r="BG149" s="1">
        <v>86</v>
      </c>
      <c r="BH149">
        <f t="shared" si="28"/>
        <v>-0.1825118906089187</v>
      </c>
      <c r="BI149">
        <f t="shared" si="29"/>
        <v>-1.2925623042125935E-2</v>
      </c>
      <c r="BJ149">
        <f t="shared" si="27"/>
        <v>-1.1624098114600403E-2</v>
      </c>
    </row>
    <row r="150" spans="1:62" x14ac:dyDescent="0.3">
      <c r="B150" s="16" t="s">
        <v>39</v>
      </c>
      <c r="C150" s="18">
        <f>SQRT((C153+C154)/(C147*C147))</f>
        <v>0</v>
      </c>
      <c r="D150" s="18">
        <f>SQRT((D153+D154)/(D147*D147))</f>
        <v>3.9632296896073655</v>
      </c>
      <c r="E150" s="18">
        <f>SQRT((E153+E154)/(E147*E147))</f>
        <v>0.72242088056060627</v>
      </c>
      <c r="F150" s="18">
        <f>SQRT((F153+F154)/(F147*F147))</f>
        <v>2.0875268059393082</v>
      </c>
      <c r="G150" s="18">
        <f>SQRT((G153+G154)/(G147*G147))</f>
        <v>6.1056413832867218</v>
      </c>
      <c r="H150" s="1"/>
      <c r="I150" s="14"/>
      <c r="S150" s="15" t="s">
        <v>31</v>
      </c>
      <c r="T150" s="71">
        <f>I403</f>
        <v>100</v>
      </c>
      <c r="U150" s="71">
        <f>I404</f>
        <v>91.304347826086953</v>
      </c>
      <c r="V150" s="71">
        <f>I405</f>
        <v>95.409292035398238</v>
      </c>
      <c r="W150" s="71">
        <f>I406</f>
        <v>84.379785604900462</v>
      </c>
      <c r="X150" s="71">
        <f>I407</f>
        <v>84.647302904564313</v>
      </c>
      <c r="AC150" t="s">
        <v>254</v>
      </c>
      <c r="AD150" s="51">
        <v>0.925614035087719</v>
      </c>
      <c r="AE150" s="51">
        <v>0.90964629605236902</v>
      </c>
      <c r="AI150" s="78"/>
      <c r="BF150" s="51">
        <v>0.89950439021875495</v>
      </c>
      <c r="BG150" s="1">
        <v>87</v>
      </c>
      <c r="BH150">
        <f t="shared" si="28"/>
        <v>-0.16979858557289609</v>
      </c>
      <c r="BI150">
        <f t="shared" si="29"/>
        <v>-1.2025257657892939E-2</v>
      </c>
      <c r="BJ150">
        <f t="shared" si="27"/>
        <v>-1.0816772056786401E-2</v>
      </c>
    </row>
    <row r="151" spans="1:62" x14ac:dyDescent="0.3">
      <c r="B151" s="1" t="s">
        <v>37</v>
      </c>
      <c r="C151" s="18">
        <f>100-C149</f>
        <v>0</v>
      </c>
      <c r="D151" s="18">
        <f>100-D149</f>
        <v>14.666366668602322</v>
      </c>
      <c r="E151" s="18">
        <f>100-E149</f>
        <v>3.3053523950003836</v>
      </c>
      <c r="F151" s="18">
        <f>100-F149</f>
        <v>11.154586481395683</v>
      </c>
      <c r="G151" s="18">
        <f>100-G149</f>
        <v>24.329755186200529</v>
      </c>
      <c r="S151" s="75" t="s">
        <v>39</v>
      </c>
      <c r="T151" s="76">
        <f>J403</f>
        <v>0</v>
      </c>
      <c r="U151" s="76">
        <f>J404</f>
        <v>2.9537661760293807</v>
      </c>
      <c r="V151" s="76">
        <f>J405</f>
        <v>0.4923297656477138</v>
      </c>
      <c r="W151" s="76">
        <f>J406</f>
        <v>1.4218012973272354</v>
      </c>
      <c r="X151" s="76">
        <f>J407</f>
        <v>2.3269833846987473</v>
      </c>
      <c r="AC151" t="s">
        <v>255</v>
      </c>
      <c r="AD151" s="51">
        <v>0.91649122807017502</v>
      </c>
      <c r="AE151" s="51">
        <v>0.89541187312019099</v>
      </c>
      <c r="AH151" s="78"/>
      <c r="BF151" s="51">
        <v>0.89950727890065396</v>
      </c>
      <c r="BG151" s="1">
        <v>88</v>
      </c>
      <c r="BH151">
        <f t="shared" si="28"/>
        <v>-0.15711266676001351</v>
      </c>
      <c r="BI151">
        <f t="shared" si="29"/>
        <v>-1.1126831785631874E-2</v>
      </c>
      <c r="BJ151">
        <f t="shared" si="27"/>
        <v>-1.0008666182279032E-2</v>
      </c>
    </row>
    <row r="152" spans="1:62" ht="15.6" x14ac:dyDescent="0.35">
      <c r="B152" s="1" t="s">
        <v>25</v>
      </c>
      <c r="C152" s="1">
        <f>C136</f>
        <v>56</v>
      </c>
      <c r="D152" s="1">
        <f>D136</f>
        <v>132</v>
      </c>
      <c r="E152" s="1">
        <f>E136</f>
        <v>1754</v>
      </c>
      <c r="F152" s="1">
        <f>F136</f>
        <v>613</v>
      </c>
      <c r="G152" s="1">
        <f>G136</f>
        <v>295</v>
      </c>
      <c r="S152" s="66" t="s">
        <v>56</v>
      </c>
      <c r="T152" s="67">
        <f>N392*100</f>
        <v>100</v>
      </c>
      <c r="U152" s="67">
        <f>N393*100</f>
        <v>73.68421052631578</v>
      </c>
      <c r="V152" s="67">
        <f>N394*100</f>
        <v>97.155730780061944</v>
      </c>
      <c r="W152" s="67">
        <f>N395*100</f>
        <v>87.460317460317455</v>
      </c>
      <c r="X152" s="67">
        <f>N396*100</f>
        <v>74.316939890710387</v>
      </c>
      <c r="AC152" t="s">
        <v>256</v>
      </c>
      <c r="AD152" s="51">
        <v>0.92035087719298203</v>
      </c>
      <c r="AE152" s="51">
        <v>0.900556707311437</v>
      </c>
      <c r="AI152" s="78"/>
      <c r="BF152" s="51">
        <v>0.89957766250436699</v>
      </c>
      <c r="BG152" s="1">
        <v>89</v>
      </c>
      <c r="BH152">
        <f t="shared" si="28"/>
        <v>-0.14445198321177469</v>
      </c>
      <c r="BI152">
        <f t="shared" si="29"/>
        <v>-1.0230193092918755E-2</v>
      </c>
      <c r="BJ152">
        <f t="shared" si="27"/>
        <v>-9.2028531894961744E-3</v>
      </c>
    </row>
    <row r="153" spans="1:62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979.62550580212826</v>
      </c>
      <c r="E153" s="18">
        <f>(O144*O144*(100-E149)*(100-E149)*(I144)*(100-I144))/((L144-1)*100)</f>
        <v>44.861742441484118</v>
      </c>
      <c r="F153" s="18">
        <f>(O145*O145*(100-F149)*(100-F149)*(I145)*(100-I145))/((L145-1)*100)</f>
        <v>2295.7064998164342</v>
      </c>
      <c r="G153" s="18">
        <f>(O146*O146*(100-G149)*(100-G149)*(I146)*(100-I146))/((L146-1)*100)</f>
        <v>10727.666058799228</v>
      </c>
      <c r="R153" s="16" t="s">
        <v>66</v>
      </c>
      <c r="S153" t="s">
        <v>9</v>
      </c>
      <c r="T153" s="30">
        <f>N403</f>
        <v>3065.59</v>
      </c>
      <c r="U153" s="30">
        <f>N404</f>
        <v>16396.080000000002</v>
      </c>
      <c r="V153" s="30">
        <f>N405</f>
        <v>82342.429999999993</v>
      </c>
      <c r="W153" s="30">
        <f>N406</f>
        <v>58941.03</v>
      </c>
      <c r="X153" s="30">
        <f>N407</f>
        <v>32026.26</v>
      </c>
      <c r="Z153" t="s">
        <v>36</v>
      </c>
      <c r="AA153" s="1">
        <f>N408</f>
        <v>192771.39</v>
      </c>
      <c r="AC153" t="s">
        <v>257</v>
      </c>
      <c r="AD153" s="51">
        <v>0.91719298245614</v>
      </c>
      <c r="AE153" s="51">
        <v>0.89775170635560697</v>
      </c>
      <c r="AH153" s="78"/>
      <c r="BF153" s="51">
        <v>0.89960545875193099</v>
      </c>
      <c r="BG153" s="1">
        <v>90</v>
      </c>
      <c r="BH153">
        <f t="shared" si="28"/>
        <v>-0.13181441295194157</v>
      </c>
      <c r="BI153">
        <f t="shared" si="29"/>
        <v>-9.3351912998739239E-3</v>
      </c>
      <c r="BJ153">
        <f t="shared" si="27"/>
        <v>-8.3979890518601167E-3</v>
      </c>
    </row>
    <row r="154" spans="1:62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301.70631277452725</v>
      </c>
      <c r="E154" s="18">
        <f>E149*E149*(SUM((H142*E142*(1-E131/H131))/(H131-1),(H143*E143*(1-E132/H132))/(H132-1), (H145*E145*(1-E134/H134))/(H134-1),(H146*E146*(1-E135/H135))/(H135-1)))</f>
        <v>912.13787475125116</v>
      </c>
      <c r="F154" s="18">
        <f>F149*F149*(SUM((H142*F142*(1-F131/H131))/(H131-1),(H143*F143*(1-F132/H132))/(H132-1), (H144*F144*(1-F133/H133))/(H133-1),(H146*F146*(1-F135/H135))/(H135-1)))</f>
        <v>1333.9774371007252</v>
      </c>
      <c r="G154" s="18">
        <f>G149*G149*(SUM((H142*G142*(1-G131/H131))/(H131-1),(H143*G143*(1-G132/H132))/(H132-1), (H144*G144*(1-G133/H133))/(H133-1),(H145*G145*(1-G134/H134))/(H134-1)))</f>
        <v>960.79106985999488</v>
      </c>
      <c r="R154" s="16" t="s">
        <v>323</v>
      </c>
      <c r="S154" t="s">
        <v>68</v>
      </c>
      <c r="T154" s="57">
        <f>$AA153*T146/100</f>
        <v>3065.59</v>
      </c>
      <c r="U154" s="57">
        <f>$AA153*U146/100</f>
        <v>17785.774991303788</v>
      </c>
      <c r="V154" s="57">
        <f>$AA153*V146/100</f>
        <v>81061.203262724244</v>
      </c>
      <c r="W154" s="57">
        <f>$AA153*W146/100</f>
        <v>55167.150980314043</v>
      </c>
      <c r="X154" s="57">
        <f>$AA153*X146/100</f>
        <v>35691.670765657916</v>
      </c>
      <c r="Z154" t="s">
        <v>36</v>
      </c>
      <c r="AA154" s="25">
        <f>SUM(T154:X154)</f>
        <v>192771.38999999998</v>
      </c>
      <c r="AC154" t="s">
        <v>258</v>
      </c>
      <c r="AD154" s="51">
        <v>0.91929824561403495</v>
      </c>
      <c r="AE154" s="51">
        <v>0.90205486551262304</v>
      </c>
      <c r="AI154" s="78"/>
      <c r="BF154" s="51">
        <v>0.89962623806444508</v>
      </c>
      <c r="BG154" s="1">
        <v>91</v>
      </c>
      <c r="BH154">
        <f t="shared" si="28"/>
        <v>-0.11919786036346161</v>
      </c>
      <c r="BI154">
        <f t="shared" si="29"/>
        <v>-8.4416779933941481E-3</v>
      </c>
      <c r="BJ154">
        <f t="shared" si="27"/>
        <v>-7.5943550161485908E-3</v>
      </c>
    </row>
    <row r="155" spans="1:62" x14ac:dyDescent="0.3">
      <c r="A155" s="105" t="s">
        <v>390</v>
      </c>
      <c r="B155" s="69" t="s">
        <v>9</v>
      </c>
      <c r="C155" s="1">
        <v>273.7</v>
      </c>
      <c r="D155" s="1">
        <v>902.1</v>
      </c>
      <c r="E155" s="1">
        <v>13810.22</v>
      </c>
      <c r="F155" s="1">
        <v>3711.66</v>
      </c>
      <c r="G155">
        <v>3357.69</v>
      </c>
      <c r="I155" t="s">
        <v>36</v>
      </c>
      <c r="J155" s="57">
        <f>SUM(C155:G155)</f>
        <v>22055.37</v>
      </c>
      <c r="R155" s="66"/>
      <c r="S155" s="66" t="s">
        <v>67</v>
      </c>
      <c r="T155" s="67">
        <f>$AA153*T147/100</f>
        <v>0</v>
      </c>
      <c r="U155" s="67">
        <f>$AA153*U147/100</f>
        <v>630.33006067935185</v>
      </c>
      <c r="V155" s="67">
        <f>$AA153*V147/100</f>
        <v>717.04519665635189</v>
      </c>
      <c r="W155" s="67">
        <f>$AA153*W147/100</f>
        <v>1118.6040254168008</v>
      </c>
      <c r="X155" s="67">
        <f>$AA153*X147/100</f>
        <v>1094.7301299675466</v>
      </c>
      <c r="AA155" s="1"/>
      <c r="AC155" t="s">
        <v>259</v>
      </c>
      <c r="AD155" s="51">
        <v>0.91894736842105196</v>
      </c>
      <c r="AE155" s="51">
        <v>0.89895242378288498</v>
      </c>
      <c r="AH155" s="78"/>
      <c r="BF155" s="51">
        <v>0.8996478819128515</v>
      </c>
      <c r="BG155" s="1">
        <v>92</v>
      </c>
      <c r="BH155">
        <f t="shared" si="28"/>
        <v>-0.10660025364469777</v>
      </c>
      <c r="BI155">
        <f t="shared" si="29"/>
        <v>-7.5495064470010092E-3</v>
      </c>
      <c r="BJ155">
        <f t="shared" si="27"/>
        <v>-6.7918974845318754E-3</v>
      </c>
    </row>
    <row r="156" spans="1:62" x14ac:dyDescent="0.3">
      <c r="B156" t="s">
        <v>391</v>
      </c>
      <c r="C156" s="57">
        <f>(C155/$J155)*100</f>
        <v>1.2409676192237991</v>
      </c>
      <c r="D156" s="57">
        <f>(D155/$J155)*100</f>
        <v>4.0901603555052581</v>
      </c>
      <c r="E156" s="57">
        <f>(E155/$J155)*100</f>
        <v>62.616133848582002</v>
      </c>
      <c r="F156" s="57">
        <f>(F155/$J155)*100</f>
        <v>16.828826721111454</v>
      </c>
      <c r="G156" s="57">
        <f>(G155/$J155)*100</f>
        <v>15.223911455577484</v>
      </c>
      <c r="R156" t="s">
        <v>107</v>
      </c>
      <c r="S156" t="s">
        <v>28</v>
      </c>
      <c r="T156" s="57">
        <f t="shared" ref="T156:X159" si="34">C437</f>
        <v>1.5665498910393292</v>
      </c>
      <c r="U156" s="57">
        <f t="shared" si="34"/>
        <v>10.118500596925939</v>
      </c>
      <c r="V156" s="57">
        <f t="shared" si="34"/>
        <v>41.323118669261987</v>
      </c>
      <c r="W156" s="57">
        <f t="shared" si="34"/>
        <v>29.342506918143336</v>
      </c>
      <c r="X156" s="57">
        <f t="shared" si="34"/>
        <v>17.649323924629417</v>
      </c>
      <c r="Z156" s="74"/>
      <c r="AA156" s="12"/>
      <c r="AC156" t="s">
        <v>260</v>
      </c>
      <c r="AD156" s="51">
        <v>0.92</v>
      </c>
      <c r="AE156" s="51">
        <v>0.90136632487645896</v>
      </c>
      <c r="AI156" s="78"/>
      <c r="BF156" s="51">
        <v>0.89966088601673588</v>
      </c>
      <c r="BG156" s="1">
        <v>93</v>
      </c>
      <c r="BH156">
        <f t="shared" si="28"/>
        <v>-9.4019542336647222E-2</v>
      </c>
      <c r="BI156">
        <f t="shared" si="29"/>
        <v>-6.6585314457167574E-3</v>
      </c>
      <c r="BJ156">
        <f t="shared" si="27"/>
        <v>-5.9904203000238354E-3</v>
      </c>
    </row>
    <row r="157" spans="1:62" x14ac:dyDescent="0.3">
      <c r="A157" s="361">
        <v>1977</v>
      </c>
      <c r="B157" s="361"/>
      <c r="C157" s="361"/>
      <c r="D157" s="361"/>
      <c r="E157" s="361"/>
      <c r="F157" s="361"/>
      <c r="G157" s="361"/>
      <c r="H157" s="361"/>
      <c r="I157" s="361"/>
      <c r="J157" s="361"/>
      <c r="K157" s="361"/>
      <c r="L157" s="361" t="s">
        <v>83</v>
      </c>
      <c r="M157" s="361"/>
      <c r="N157" s="361"/>
      <c r="O157" s="361"/>
      <c r="P157" s="361"/>
      <c r="S157" s="66" t="s">
        <v>39</v>
      </c>
      <c r="T157" s="67">
        <f t="shared" si="34"/>
        <v>0</v>
      </c>
      <c r="U157" s="67">
        <f t="shared" si="34"/>
        <v>0.29215426195475569</v>
      </c>
      <c r="V157" s="67">
        <f t="shared" si="34"/>
        <v>0.34076088473084998</v>
      </c>
      <c r="W157" s="67">
        <f t="shared" si="34"/>
        <v>0.57977535141495751</v>
      </c>
      <c r="X157" s="67">
        <f t="shared" si="34"/>
        <v>0.570887056252671</v>
      </c>
      <c r="AC157" t="s">
        <v>261</v>
      </c>
      <c r="AD157" s="51">
        <v>0.92385964912280705</v>
      </c>
      <c r="AE157" s="51">
        <v>0.90566355254120301</v>
      </c>
      <c r="AH157" s="78"/>
      <c r="BF157" s="51">
        <v>0.89967693956846717</v>
      </c>
      <c r="BG157" s="1">
        <v>94</v>
      </c>
      <c r="BH157">
        <f t="shared" si="28"/>
        <v>-8.1453694913247957E-2</v>
      </c>
      <c r="BI157">
        <f t="shared" si="29"/>
        <v>-5.7686091154080963E-3</v>
      </c>
      <c r="BJ157">
        <f t="shared" si="27"/>
        <v>-5.1898845945171183E-3</v>
      </c>
    </row>
    <row r="158" spans="1:62" x14ac:dyDescent="0.3">
      <c r="A158" t="s">
        <v>320</v>
      </c>
      <c r="B158" t="s">
        <v>21</v>
      </c>
      <c r="I158" s="1" t="s">
        <v>58</v>
      </c>
      <c r="O158" s="360" t="s">
        <v>411</v>
      </c>
      <c r="P158" s="360"/>
      <c r="S158" t="s">
        <v>30</v>
      </c>
      <c r="T158" s="57">
        <f t="shared" si="34"/>
        <v>100</v>
      </c>
      <c r="U158" s="57">
        <f t="shared" si="34"/>
        <v>83.739995290423792</v>
      </c>
      <c r="V158" s="57">
        <f t="shared" si="34"/>
        <v>97.62738935573833</v>
      </c>
      <c r="W158" s="57">
        <f t="shared" si="34"/>
        <v>89.863062793553084</v>
      </c>
      <c r="X158" s="57">
        <f t="shared" si="34"/>
        <v>76.282871711894742</v>
      </c>
      <c r="AC158" t="s">
        <v>262</v>
      </c>
      <c r="AD158" s="51">
        <v>0.91824561403508698</v>
      </c>
      <c r="AE158" s="51">
        <v>0.899206643047187</v>
      </c>
      <c r="AI158" s="78"/>
      <c r="BF158" s="51">
        <v>0.89969720733461633</v>
      </c>
      <c r="BG158" s="1">
        <v>95</v>
      </c>
      <c r="BH158">
        <f t="shared" si="28"/>
        <v>-6.8900696427226377E-2</v>
      </c>
      <c r="BI158">
        <f t="shared" si="29"/>
        <v>-4.8795967560634193E-3</v>
      </c>
      <c r="BJ158">
        <f t="shared" si="27"/>
        <v>-4.3901595743493114E-3</v>
      </c>
    </row>
    <row r="159" spans="1:62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56</v>
      </c>
      <c r="O159" s="13" t="s">
        <v>412</v>
      </c>
      <c r="P159" s="13" t="s">
        <v>41</v>
      </c>
      <c r="S159" s="66" t="s">
        <v>39</v>
      </c>
      <c r="T159" s="67">
        <f t="shared" si="34"/>
        <v>0</v>
      </c>
      <c r="U159" s="67">
        <f t="shared" si="34"/>
        <v>3.5609925751373943</v>
      </c>
      <c r="V159" s="67">
        <f t="shared" si="34"/>
        <v>0.64412324723475345</v>
      </c>
      <c r="W159" s="67">
        <f t="shared" si="34"/>
        <v>1.9054201741579069</v>
      </c>
      <c r="X159" s="67">
        <f t="shared" si="34"/>
        <v>5.6491013868493836</v>
      </c>
      <c r="AC159" t="s">
        <v>263</v>
      </c>
      <c r="AD159" s="51">
        <v>0.91719298245614</v>
      </c>
      <c r="AE159" s="51">
        <v>0.89992786084628296</v>
      </c>
      <c r="AH159" s="78"/>
      <c r="BF159" s="51">
        <v>0.89972877029715559</v>
      </c>
      <c r="BG159" s="1">
        <v>96</v>
      </c>
      <c r="BH159">
        <f t="shared" si="28"/>
        <v>-5.6358546204254636E-2</v>
      </c>
      <c r="BI159">
        <f t="shared" si="29"/>
        <v>-3.9913526784913769E-3</v>
      </c>
      <c r="BJ159">
        <f t="shared" si="27"/>
        <v>-3.5911348372413047E-3</v>
      </c>
    </row>
    <row r="160" spans="1:62" x14ac:dyDescent="0.3">
      <c r="A160" t="s">
        <v>3</v>
      </c>
      <c r="B160" s="13">
        <v>0</v>
      </c>
      <c r="C160" s="26">
        <v>56</v>
      </c>
      <c r="D160" s="3">
        <v>0</v>
      </c>
      <c r="E160" s="3">
        <v>0</v>
      </c>
      <c r="F160" s="3">
        <v>0</v>
      </c>
      <c r="G160" s="4">
        <v>0</v>
      </c>
      <c r="H160" s="1">
        <f>SUM(C160:G160)</f>
        <v>56</v>
      </c>
      <c r="I160" s="10">
        <f>C160/H160</f>
        <v>1</v>
      </c>
      <c r="J160" s="11">
        <f>1-I160</f>
        <v>0</v>
      </c>
      <c r="K160">
        <f>H160-C165</f>
        <v>0</v>
      </c>
      <c r="N160" s="10">
        <f>2*(C166*I160)/(C166+I160)</f>
        <v>1</v>
      </c>
      <c r="O160" s="1">
        <v>0</v>
      </c>
      <c r="P160" s="1">
        <v>249</v>
      </c>
      <c r="S160" s="15" t="s">
        <v>31</v>
      </c>
      <c r="T160" s="71">
        <f>I432</f>
        <v>100</v>
      </c>
      <c r="U160" s="71">
        <f>I433</f>
        <v>95.652173913043498</v>
      </c>
      <c r="V160" s="71">
        <f>I434</f>
        <v>95.243362831858406</v>
      </c>
      <c r="W160" s="71">
        <f>I435</f>
        <v>85.298621745788665</v>
      </c>
      <c r="X160" s="71">
        <f>I436</f>
        <v>82.572614107883808</v>
      </c>
      <c r="AC160" t="s">
        <v>264</v>
      </c>
      <c r="AD160" s="51">
        <v>0.91508771929824495</v>
      </c>
      <c r="AE160" s="51">
        <v>0.89354285351113405</v>
      </c>
      <c r="AI160" s="78"/>
      <c r="BF160" s="51">
        <v>0.89981070394629203</v>
      </c>
      <c r="BG160" s="1">
        <v>97</v>
      </c>
      <c r="BH160">
        <f t="shared" si="28"/>
        <v>-4.382525557845094E-2</v>
      </c>
      <c r="BI160">
        <f t="shared" si="29"/>
        <v>-3.1037360439473871E-3</v>
      </c>
      <c r="BJ160">
        <f t="shared" si="27"/>
        <v>-2.7927749145677779E-3</v>
      </c>
    </row>
    <row r="161" spans="1:62" x14ac:dyDescent="0.3">
      <c r="A161" t="s">
        <v>4</v>
      </c>
      <c r="B161" s="13">
        <v>1</v>
      </c>
      <c r="C161" s="5">
        <v>0</v>
      </c>
      <c r="D161" s="27">
        <v>88</v>
      </c>
      <c r="E161" s="1">
        <v>4</v>
      </c>
      <c r="F161" s="1">
        <v>0</v>
      </c>
      <c r="G161" s="6">
        <v>0</v>
      </c>
      <c r="H161" s="1">
        <f>SUM(C161:G161)</f>
        <v>92</v>
      </c>
      <c r="I161" s="10">
        <f>D161/H161</f>
        <v>0.95652173913043481</v>
      </c>
      <c r="J161" s="11">
        <f>1-I161</f>
        <v>4.3478260869565188E-2</v>
      </c>
      <c r="K161">
        <f>H161-D165</f>
        <v>-58</v>
      </c>
      <c r="N161" s="10">
        <f>2*(D166*I161)/(D166+I161)</f>
        <v>0.72727272727272729</v>
      </c>
      <c r="O161" s="1">
        <v>5</v>
      </c>
      <c r="P161" s="1">
        <v>85</v>
      </c>
      <c r="S161" s="75" t="s">
        <v>39</v>
      </c>
      <c r="T161" s="76">
        <f>J432</f>
        <v>0</v>
      </c>
      <c r="U161" s="76">
        <f>J433</f>
        <v>2.1377790082366981</v>
      </c>
      <c r="V161" s="76">
        <f>J434</f>
        <v>0.50071234241046703</v>
      </c>
      <c r="W161" s="76">
        <f>J435</f>
        <v>1.3868396028821406</v>
      </c>
      <c r="X161" s="76">
        <f>J436</f>
        <v>2.4486601865262365</v>
      </c>
      <c r="AC161" t="s">
        <v>265</v>
      </c>
      <c r="AD161" s="51">
        <v>0.92491228070175402</v>
      </c>
      <c r="AE161" s="51">
        <v>0.90546779527315202</v>
      </c>
      <c r="AH161" s="78"/>
      <c r="BF161" s="51">
        <v>0.89983218436970902</v>
      </c>
      <c r="BG161" s="1">
        <v>98</v>
      </c>
      <c r="BH161">
        <f t="shared" si="28"/>
        <v>-3.1298845662488722E-2</v>
      </c>
      <c r="BI161">
        <f t="shared" si="29"/>
        <v>-2.2166067062111641E-3</v>
      </c>
      <c r="BJ161">
        <f t="shared" si="27"/>
        <v>-1.9945740543385378E-3</v>
      </c>
    </row>
    <row r="162" spans="1:62" x14ac:dyDescent="0.3">
      <c r="A162" t="s">
        <v>5</v>
      </c>
      <c r="B162" s="13">
        <v>2</v>
      </c>
      <c r="C162" s="5">
        <v>0</v>
      </c>
      <c r="D162" s="1">
        <v>51</v>
      </c>
      <c r="E162" s="27">
        <v>1721</v>
      </c>
      <c r="F162" s="1">
        <v>18</v>
      </c>
      <c r="G162" s="6">
        <v>18</v>
      </c>
      <c r="H162" s="1">
        <f>SUM(C162:G162)</f>
        <v>1808</v>
      </c>
      <c r="I162" s="10">
        <f>E162/H162</f>
        <v>0.95188053097345138</v>
      </c>
      <c r="J162" s="11">
        <f>1-I162</f>
        <v>4.8119469026548622E-2</v>
      </c>
      <c r="K162">
        <f>H162-E165</f>
        <v>67</v>
      </c>
      <c r="N162" s="10">
        <f>2*(E166*I162)/(E166+I162)</f>
        <v>0.96985066215835447</v>
      </c>
      <c r="O162" s="1">
        <v>914</v>
      </c>
      <c r="P162" s="1">
        <v>10070</v>
      </c>
      <c r="S162" s="66" t="s">
        <v>56</v>
      </c>
      <c r="T162" s="67">
        <f>N421*100</f>
        <v>100</v>
      </c>
      <c r="U162" s="67">
        <f>N422*100</f>
        <v>73.640167364016733</v>
      </c>
      <c r="V162" s="67">
        <f>N423*100</f>
        <v>97.178329571106076</v>
      </c>
      <c r="W162" s="67">
        <f>N424*100</f>
        <v>87.785657998423972</v>
      </c>
      <c r="X162" s="67">
        <f>N425*100</f>
        <v>74.253731343283576</v>
      </c>
      <c r="AC162" t="s">
        <v>266</v>
      </c>
      <c r="AD162" s="51">
        <v>0.91894736842105196</v>
      </c>
      <c r="AE162" s="51">
        <v>0.89828732794898203</v>
      </c>
      <c r="AI162" s="78"/>
      <c r="BF162" s="51">
        <v>0.89992786084628296</v>
      </c>
      <c r="BG162" s="1">
        <v>99</v>
      </c>
      <c r="BH162">
        <f t="shared" si="28"/>
        <v>-1.8777345145768697E-2</v>
      </c>
      <c r="BI162">
        <f t="shared" si="29"/>
        <v>-1.3298250556516842E-3</v>
      </c>
      <c r="BJ162">
        <f t="shared" si="27"/>
        <v>-1.1967466176324092E-3</v>
      </c>
    </row>
    <row r="163" spans="1:62" x14ac:dyDescent="0.3">
      <c r="A163" t="s">
        <v>6</v>
      </c>
      <c r="B163" s="13">
        <v>3</v>
      </c>
      <c r="C163" s="5">
        <v>0</v>
      </c>
      <c r="D163" s="1">
        <v>10</v>
      </c>
      <c r="E163" s="1">
        <v>11</v>
      </c>
      <c r="F163" s="27">
        <v>549</v>
      </c>
      <c r="G163" s="6">
        <v>83</v>
      </c>
      <c r="H163" s="1">
        <f>SUM(C163:G163)</f>
        <v>653</v>
      </c>
      <c r="I163" s="10">
        <f>F163/H163</f>
        <v>0.84073506891271055</v>
      </c>
      <c r="J163" s="11">
        <f>1-I163</f>
        <v>0.15926493108728945</v>
      </c>
      <c r="K163">
        <f>H163-F165</f>
        <v>52</v>
      </c>
      <c r="N163" s="10">
        <f>2*(F166*I163)/(F166+I163)</f>
        <v>0.87559808612440193</v>
      </c>
      <c r="O163" s="1">
        <v>670</v>
      </c>
      <c r="P163" s="1">
        <v>18480</v>
      </c>
      <c r="R163" s="16" t="s">
        <v>66</v>
      </c>
      <c r="S163" t="s">
        <v>9</v>
      </c>
      <c r="T163" s="30">
        <f>N432</f>
        <v>3019.86</v>
      </c>
      <c r="U163" s="30">
        <f>N433</f>
        <v>17076.419999999998</v>
      </c>
      <c r="V163" s="30">
        <f>N434</f>
        <v>81653.09</v>
      </c>
      <c r="W163" s="30">
        <f>N435</f>
        <v>59590.77</v>
      </c>
      <c r="X163" s="30">
        <f>N436</f>
        <v>31431.25</v>
      </c>
      <c r="Z163" t="s">
        <v>36</v>
      </c>
      <c r="AA163" s="1">
        <f>N437</f>
        <v>192771.38999999998</v>
      </c>
      <c r="AC163" t="s">
        <v>267</v>
      </c>
      <c r="AD163" s="51">
        <v>0.91859649122806997</v>
      </c>
      <c r="AE163" s="51">
        <v>0.89981070394629203</v>
      </c>
      <c r="AH163" s="78"/>
      <c r="BF163" s="51">
        <v>0.89997474327727001</v>
      </c>
      <c r="BG163" s="1">
        <v>100</v>
      </c>
      <c r="BH163">
        <f t="shared" si="28"/>
        <v>-6.2587881142602613E-3</v>
      </c>
      <c r="BI163">
        <f t="shared" si="29"/>
        <v>-4.4325186482679023E-4</v>
      </c>
      <c r="BJ163">
        <f t="shared" si="27"/>
        <v>-3.9891548325466172E-4</v>
      </c>
    </row>
    <row r="164" spans="1:62" ht="15.6" x14ac:dyDescent="0.35">
      <c r="A164" t="s">
        <v>7</v>
      </c>
      <c r="B164" s="13">
        <v>4</v>
      </c>
      <c r="C164" s="7">
        <v>0</v>
      </c>
      <c r="D164" s="8">
        <v>1</v>
      </c>
      <c r="E164" s="8">
        <v>5</v>
      </c>
      <c r="F164" s="8">
        <v>34</v>
      </c>
      <c r="G164" s="28">
        <v>201</v>
      </c>
      <c r="H164" s="1">
        <f>SUM(C164:G164)</f>
        <v>241</v>
      </c>
      <c r="I164" s="10">
        <f>G164/H164</f>
        <v>0.8340248962655602</v>
      </c>
      <c r="J164" s="11">
        <f>1-I164</f>
        <v>0.1659751037344398</v>
      </c>
      <c r="K164">
        <f>H164-G165</f>
        <v>-61</v>
      </c>
      <c r="N164" s="10">
        <f>2*(G166*I164)/(G166+I164)</f>
        <v>0.74033149171270729</v>
      </c>
      <c r="O164" s="1">
        <v>262</v>
      </c>
      <c r="P164" s="1">
        <v>14341</v>
      </c>
      <c r="R164" s="16" t="s">
        <v>323</v>
      </c>
      <c r="S164" t="s">
        <v>68</v>
      </c>
      <c r="T164" s="57">
        <f>$AA163*T156/100</f>
        <v>3019.86</v>
      </c>
      <c r="U164" s="57">
        <f>$AA163*U156/100</f>
        <v>19505.57424785243</v>
      </c>
      <c r="V164" s="57">
        <f>$AA163*V156/100</f>
        <v>79659.150250085819</v>
      </c>
      <c r="W164" s="57">
        <f>$AA163*W156/100</f>
        <v>56563.958446951059</v>
      </c>
      <c r="X164" s="57">
        <f>$AA163*X156/100</f>
        <v>34022.847055110673</v>
      </c>
      <c r="Z164" t="s">
        <v>36</v>
      </c>
      <c r="AA164" s="25">
        <f>SUM(T164:X164)</f>
        <v>192771.38999999998</v>
      </c>
      <c r="AC164" t="s">
        <v>268</v>
      </c>
      <c r="AD164" s="51">
        <v>0.92245614035087697</v>
      </c>
      <c r="AE164" s="51">
        <v>0.90430355365869497</v>
      </c>
      <c r="AI164" s="78"/>
      <c r="BF164" s="51">
        <v>0.89998895626706799</v>
      </c>
      <c r="BG164" s="1">
        <v>101</v>
      </c>
      <c r="BH164">
        <f t="shared" si="28"/>
        <v>6.2587881142602613E-3</v>
      </c>
      <c r="BI164">
        <f t="shared" si="29"/>
        <v>4.4325186482679023E-4</v>
      </c>
      <c r="BJ164">
        <f t="shared" si="27"/>
        <v>3.9892178318889443E-4</v>
      </c>
    </row>
    <row r="165" spans="1:62" ht="15.6" x14ac:dyDescent="0.35">
      <c r="B165" s="1" t="s">
        <v>19</v>
      </c>
      <c r="C165" s="1">
        <f>SUM(C160:C164)</f>
        <v>56</v>
      </c>
      <c r="D165" s="1">
        <f>SUM(D160:D164)</f>
        <v>150</v>
      </c>
      <c r="E165" s="1">
        <f>SUM(E160:E164)</f>
        <v>1741</v>
      </c>
      <c r="F165" s="1">
        <f>SUM(F160:F164)</f>
        <v>601</v>
      </c>
      <c r="G165" s="1">
        <f>SUM(G160:G164)</f>
        <v>302</v>
      </c>
      <c r="H165" s="1">
        <f>SUM(H159:H164)</f>
        <v>2850</v>
      </c>
      <c r="I165" s="13" t="s">
        <v>12</v>
      </c>
      <c r="N165" s="16" t="s">
        <v>36</v>
      </c>
      <c r="O165" s="1">
        <f>SUM(O160:O164)</f>
        <v>1851</v>
      </c>
      <c r="P165" s="1">
        <f>SUM(P160:P164)</f>
        <v>43225</v>
      </c>
      <c r="R165" s="66"/>
      <c r="S165" s="66" t="s">
        <v>67</v>
      </c>
      <c r="T165" s="67">
        <f>$AA163*T157/100</f>
        <v>0</v>
      </c>
      <c r="U165" s="67">
        <f>$AA163*U157/100</f>
        <v>563.18983171442369</v>
      </c>
      <c r="V165" s="67">
        <f>$AA163*V157/100</f>
        <v>656.88949407195719</v>
      </c>
      <c r="W165" s="67">
        <f>$AA163*W157/100</f>
        <v>1117.6410037999981</v>
      </c>
      <c r="X165" s="67">
        <f>$AA163*X157/100</f>
        <v>1100.5069136683558</v>
      </c>
      <c r="AA165" s="1"/>
      <c r="AC165" t="s">
        <v>269</v>
      </c>
      <c r="AD165" s="51">
        <v>0.92175438596491199</v>
      </c>
      <c r="AE165" s="51">
        <v>0.90048954320608199</v>
      </c>
      <c r="AH165" s="78"/>
      <c r="BF165" s="51">
        <v>0.90000593667901896</v>
      </c>
      <c r="BG165" s="1">
        <v>102</v>
      </c>
      <c r="BH165">
        <f t="shared" si="28"/>
        <v>1.8777345145768697E-2</v>
      </c>
      <c r="BI165">
        <f t="shared" si="29"/>
        <v>1.3298250556516842E-3</v>
      </c>
      <c r="BJ165">
        <f t="shared" si="27"/>
        <v>1.1968504448310224E-3</v>
      </c>
    </row>
    <row r="166" spans="1:62" x14ac:dyDescent="0.3">
      <c r="A166" s="1" t="s">
        <v>321</v>
      </c>
      <c r="B166" s="1" t="s">
        <v>2</v>
      </c>
      <c r="C166" s="10">
        <f>C160/C165</f>
        <v>1</v>
      </c>
      <c r="D166" s="10">
        <f>D161/D165</f>
        <v>0.58666666666666667</v>
      </c>
      <c r="E166" s="10">
        <f>E162/E165</f>
        <v>0.98851234922458353</v>
      </c>
      <c r="F166" s="10">
        <f>F163/F165</f>
        <v>0.91347753743760396</v>
      </c>
      <c r="G166" s="10">
        <f>G164/G165</f>
        <v>0.66556291390728473</v>
      </c>
      <c r="H166" s="10"/>
      <c r="I166" s="14">
        <f>(C160+D161+E162+F163+G164)/H165</f>
        <v>0.91754385964912277</v>
      </c>
      <c r="R166" t="s">
        <v>108</v>
      </c>
      <c r="S166" t="s">
        <v>28</v>
      </c>
      <c r="T166" s="57">
        <f t="shared" ref="T166:X169" si="35">C466</f>
        <v>1.5495452930022449</v>
      </c>
      <c r="U166" s="57">
        <f t="shared" si="35"/>
        <v>9.7071339244705257</v>
      </c>
      <c r="V166" s="57">
        <f t="shared" si="35"/>
        <v>42.862765134334424</v>
      </c>
      <c r="W166" s="57">
        <f t="shared" si="35"/>
        <v>27.939747829327541</v>
      </c>
      <c r="X166" s="57">
        <f t="shared" si="35"/>
        <v>17.940807818865267</v>
      </c>
      <c r="Z166" s="74"/>
      <c r="AA166" s="12"/>
      <c r="AC166" t="s">
        <v>270</v>
      </c>
      <c r="AD166" s="51">
        <v>0.91789473684210499</v>
      </c>
      <c r="AE166" s="51">
        <v>0.89633888195544897</v>
      </c>
      <c r="AI166" s="78"/>
      <c r="BF166" s="51">
        <v>0.90002566694350006</v>
      </c>
      <c r="BG166" s="1">
        <v>103</v>
      </c>
      <c r="BH166">
        <f t="shared" si="28"/>
        <v>3.1298845662488868E-2</v>
      </c>
      <c r="BI166">
        <f t="shared" si="29"/>
        <v>2.2166067062111745E-3</v>
      </c>
      <c r="BJ166">
        <f t="shared" si="27"/>
        <v>1.9950029291091473E-3</v>
      </c>
    </row>
    <row r="167" spans="1:62" x14ac:dyDescent="0.3">
      <c r="B167" s="1" t="s">
        <v>14</v>
      </c>
      <c r="C167" s="11">
        <f>1-C166</f>
        <v>0</v>
      </c>
      <c r="D167" s="11">
        <f>1-D166</f>
        <v>0.41333333333333333</v>
      </c>
      <c r="E167" s="11">
        <f>1-E166</f>
        <v>1.1487650775416469E-2</v>
      </c>
      <c r="F167" s="11">
        <f>1-F166</f>
        <v>8.6522462562396041E-2</v>
      </c>
      <c r="G167" s="11">
        <f>1-G166</f>
        <v>0.33443708609271527</v>
      </c>
      <c r="S167" s="66" t="s">
        <v>39</v>
      </c>
      <c r="T167" s="67">
        <f t="shared" si="35"/>
        <v>0</v>
      </c>
      <c r="U167" s="67">
        <f t="shared" si="35"/>
        <v>0.29209493541959247</v>
      </c>
      <c r="V167" s="67">
        <f t="shared" si="35"/>
        <v>0.34930385965598892</v>
      </c>
      <c r="W167" s="67">
        <f t="shared" si="35"/>
        <v>0.581561209375411</v>
      </c>
      <c r="X167" s="67">
        <f t="shared" si="35"/>
        <v>0.57506047830092788</v>
      </c>
      <c r="AC167" t="s">
        <v>271</v>
      </c>
      <c r="AD167" s="51">
        <v>0.91719298245614</v>
      </c>
      <c r="AE167" s="51">
        <v>0.895879191347562</v>
      </c>
      <c r="AH167" s="78"/>
      <c r="BF167" s="51">
        <v>0.900066771836605</v>
      </c>
      <c r="BG167" s="1">
        <v>104</v>
      </c>
      <c r="BH167">
        <f t="shared" si="28"/>
        <v>4.3825255578451086E-2</v>
      </c>
      <c r="BI167">
        <f t="shared" si="29"/>
        <v>3.1037360439473975E-3</v>
      </c>
      <c r="BJ167">
        <f t="shared" si="27"/>
        <v>2.7935696817086493E-3</v>
      </c>
    </row>
    <row r="168" spans="1:62" x14ac:dyDescent="0.3">
      <c r="C168" s="2"/>
      <c r="S168" t="s">
        <v>30</v>
      </c>
      <c r="T168" s="57">
        <f t="shared" si="35"/>
        <v>100</v>
      </c>
      <c r="U168" s="57">
        <f t="shared" si="35"/>
        <v>83.227399989893243</v>
      </c>
      <c r="V168" s="57">
        <f t="shared" si="35"/>
        <v>97.217181824053156</v>
      </c>
      <c r="W168" s="57">
        <f t="shared" si="35"/>
        <v>89.620751001680105</v>
      </c>
      <c r="X168" s="57">
        <f t="shared" si="35"/>
        <v>76.348527223634093</v>
      </c>
      <c r="AC168" t="s">
        <v>272</v>
      </c>
      <c r="AD168" s="51">
        <v>0.92070175438596402</v>
      </c>
      <c r="AE168" s="51">
        <v>0.90079441293569995</v>
      </c>
      <c r="AI168" s="78"/>
      <c r="BF168" s="51">
        <v>0.90021121038729357</v>
      </c>
      <c r="BG168" s="1">
        <v>105</v>
      </c>
      <c r="BH168">
        <f t="shared" si="28"/>
        <v>5.6358546204254782E-2</v>
      </c>
      <c r="BI168">
        <f t="shared" si="29"/>
        <v>3.9913526784913873E-3</v>
      </c>
      <c r="BJ168">
        <f t="shared" si="27"/>
        <v>3.5930604257872981E-3</v>
      </c>
    </row>
    <row r="169" spans="1:62" ht="15.6" x14ac:dyDescent="0.35">
      <c r="A169" t="s">
        <v>322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 t="shared" si="35"/>
        <v>0</v>
      </c>
      <c r="U169" s="67">
        <f t="shared" si="35"/>
        <v>3.693238489940788</v>
      </c>
      <c r="V169" s="67">
        <f t="shared" si="35"/>
        <v>0.65249523672746412</v>
      </c>
      <c r="W169" s="67">
        <f t="shared" si="35"/>
        <v>2.0319265268152771</v>
      </c>
      <c r="X169" s="67">
        <f t="shared" si="35"/>
        <v>5.6953693742455158</v>
      </c>
      <c r="AC169" t="s">
        <v>273</v>
      </c>
      <c r="AD169" s="51">
        <v>0.92</v>
      </c>
      <c r="AE169" s="51">
        <v>0.90237694065887697</v>
      </c>
      <c r="AH169" s="78"/>
      <c r="BF169" s="51">
        <v>0.90029447141989338</v>
      </c>
      <c r="BG169" s="1">
        <v>106</v>
      </c>
      <c r="BH169">
        <f t="shared" si="28"/>
        <v>6.8900696427226224E-2</v>
      </c>
      <c r="BI169">
        <f t="shared" si="29"/>
        <v>4.879596756063408E-3</v>
      </c>
      <c r="BJ169">
        <f t="shared" si="27"/>
        <v>4.3930739822423326E-3</v>
      </c>
    </row>
    <row r="170" spans="1:62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100</v>
      </c>
      <c r="U170" s="71">
        <f>I462</f>
        <v>95.652173913043484</v>
      </c>
      <c r="V170" s="71">
        <f>I463</f>
        <v>95.685840707964616</v>
      </c>
      <c r="W170" s="71">
        <f>I464</f>
        <v>84.073506891271037</v>
      </c>
      <c r="X170" s="71">
        <f>I465</f>
        <v>82.15767634854771</v>
      </c>
      <c r="AC170" t="s">
        <v>274</v>
      </c>
      <c r="AD170" s="51">
        <v>0.91614035087719303</v>
      </c>
      <c r="AE170" s="51">
        <v>0.89687772726307102</v>
      </c>
      <c r="AI170" s="78"/>
      <c r="BF170" s="51">
        <v>0.9003088431138826</v>
      </c>
      <c r="BG170" s="1">
        <v>107</v>
      </c>
      <c r="BH170">
        <f t="shared" si="28"/>
        <v>8.1453694913247818E-2</v>
      </c>
      <c r="BI170">
        <f t="shared" si="29"/>
        <v>5.7686091154080868E-3</v>
      </c>
      <c r="BJ170">
        <f t="shared" si="27"/>
        <v>5.1935297990692523E-3</v>
      </c>
    </row>
    <row r="171" spans="1:62" x14ac:dyDescent="0.3">
      <c r="A171" t="s">
        <v>3</v>
      </c>
      <c r="B171" s="13">
        <v>0</v>
      </c>
      <c r="C171" s="29">
        <f t="shared" ref="C171:G175" si="36">(C160/$L171)*$O171</f>
        <v>1.5487982941867044</v>
      </c>
      <c r="D171" s="31">
        <f t="shared" si="36"/>
        <v>0</v>
      </c>
      <c r="E171" s="31">
        <f t="shared" si="36"/>
        <v>0</v>
      </c>
      <c r="F171" s="31">
        <f t="shared" si="36"/>
        <v>0</v>
      </c>
      <c r="G171" s="32">
        <f t="shared" si="36"/>
        <v>0</v>
      </c>
      <c r="H171" s="17">
        <f>SUM(C171:G171)</f>
        <v>1.5487982941867044</v>
      </c>
      <c r="I171" s="17">
        <f>C171/H171*100</f>
        <v>100</v>
      </c>
      <c r="J171" s="17">
        <f>SQRT(I171*(100-I171)/(L171-1))</f>
        <v>0</v>
      </c>
      <c r="K171" s="18">
        <f>100-I171</f>
        <v>0</v>
      </c>
      <c r="L171" s="1">
        <f>H160</f>
        <v>56</v>
      </c>
      <c r="M171">
        <v>0</v>
      </c>
      <c r="N171">
        <v>2985.64</v>
      </c>
      <c r="O171" s="17">
        <f>N171/N176*100</f>
        <v>1.5487982941867044</v>
      </c>
      <c r="P171" s="52">
        <f>((O171*O171*(I171/100)*(K171/100))/(L171-1))</f>
        <v>0</v>
      </c>
      <c r="S171" s="75" t="s">
        <v>39</v>
      </c>
      <c r="T171" s="76">
        <f>J461</f>
        <v>0</v>
      </c>
      <c r="U171" s="76">
        <f>J462</f>
        <v>2.1377790082367012</v>
      </c>
      <c r="V171" s="76">
        <f>J463</f>
        <v>0.4779614285438693</v>
      </c>
      <c r="W171" s="76">
        <f>J464</f>
        <v>1.4330649123975323</v>
      </c>
      <c r="X171" s="76">
        <f>J465</f>
        <v>2.4714063572708076</v>
      </c>
      <c r="AC171" t="s">
        <v>275</v>
      </c>
      <c r="AD171" s="51">
        <v>0.91859649122806997</v>
      </c>
      <c r="AE171" s="51">
        <v>0.90040716252065101</v>
      </c>
      <c r="AH171" s="78"/>
      <c r="BF171" s="51">
        <v>0.90035851980155246</v>
      </c>
      <c r="BG171" s="1">
        <v>108</v>
      </c>
      <c r="BH171">
        <f t="shared" si="28"/>
        <v>9.4019542336647222E-2</v>
      </c>
      <c r="BI171">
        <f t="shared" si="29"/>
        <v>6.6585314457167574E-3</v>
      </c>
      <c r="BJ171">
        <f t="shared" si="27"/>
        <v>5.9950655165176307E-3</v>
      </c>
    </row>
    <row r="172" spans="1:62" x14ac:dyDescent="0.3">
      <c r="A172" t="s">
        <v>4</v>
      </c>
      <c r="B172" s="13">
        <v>1</v>
      </c>
      <c r="C172" s="33">
        <f t="shared" si="36"/>
        <v>0</v>
      </c>
      <c r="D172" s="34">
        <f t="shared" si="36"/>
        <v>8.4458816623467143</v>
      </c>
      <c r="E172" s="19">
        <f t="shared" si="36"/>
        <v>0.38390371192485062</v>
      </c>
      <c r="F172" s="18">
        <f t="shared" si="36"/>
        <v>0</v>
      </c>
      <c r="G172" s="20">
        <f t="shared" si="36"/>
        <v>0</v>
      </c>
      <c r="H172" s="17">
        <f>SUM(C172:G172)</f>
        <v>8.8297853742715642</v>
      </c>
      <c r="I172" s="17">
        <f>D172/H172*100</f>
        <v>95.652173913043498</v>
      </c>
      <c r="J172" s="17">
        <f>SQRT(I172*(100-I172)/(L172-1))</f>
        <v>2.1377790082366981</v>
      </c>
      <c r="K172" s="18">
        <f>100-I172</f>
        <v>4.347826086956502</v>
      </c>
      <c r="L172" s="1">
        <f>H161</f>
        <v>92</v>
      </c>
      <c r="M172">
        <v>1</v>
      </c>
      <c r="N172">
        <v>17021.3</v>
      </c>
      <c r="O172" s="17">
        <f>N172/N176*100</f>
        <v>8.8297853742715642</v>
      </c>
      <c r="P172" s="52">
        <f>((O172*O172*(I172/100)*(K172/100))/(L172-1))</f>
        <v>3.5630827699482608E-2</v>
      </c>
      <c r="S172" s="66" t="s">
        <v>56</v>
      </c>
      <c r="T172" s="67">
        <f>N450*100</f>
        <v>100</v>
      </c>
      <c r="U172" s="67">
        <f>N451*100</f>
        <v>74.893617021276597</v>
      </c>
      <c r="V172" s="67">
        <f>N452*100</f>
        <v>97.272982850716886</v>
      </c>
      <c r="W172" s="67">
        <f>N453*100</f>
        <v>87.490039840637451</v>
      </c>
      <c r="X172" s="67">
        <f>N454*100</f>
        <v>73.197781885397418</v>
      </c>
      <c r="AC172" t="s">
        <v>276</v>
      </c>
      <c r="AD172" s="51">
        <v>0.91789473684210499</v>
      </c>
      <c r="AE172" s="51">
        <v>0.89747910354547</v>
      </c>
      <c r="AI172" s="78"/>
      <c r="BF172" s="51">
        <v>0.90039101541648503</v>
      </c>
      <c r="BG172" s="1">
        <v>109</v>
      </c>
      <c r="BH172">
        <f t="shared" si="28"/>
        <v>0.10660025364469777</v>
      </c>
      <c r="BI172">
        <f t="shared" si="29"/>
        <v>7.5495064470010092E-3</v>
      </c>
      <c r="BJ172">
        <f t="shared" si="27"/>
        <v>6.7975077757085386E-3</v>
      </c>
    </row>
    <row r="173" spans="1:62" x14ac:dyDescent="0.3">
      <c r="A173" t="s">
        <v>5</v>
      </c>
      <c r="B173" s="13">
        <v>2</v>
      </c>
      <c r="C173" s="33">
        <f t="shared" si="36"/>
        <v>0</v>
      </c>
      <c r="D173" s="19">
        <f t="shared" si="36"/>
        <v>1.21505125276074</v>
      </c>
      <c r="E173" s="34">
        <f t="shared" si="36"/>
        <v>41.002023647083014</v>
      </c>
      <c r="F173" s="19">
        <f t="shared" si="36"/>
        <v>0.42884161862143766</v>
      </c>
      <c r="G173" s="20">
        <f t="shared" si="36"/>
        <v>0.42884161862143766</v>
      </c>
      <c r="H173" s="17">
        <f>SUM(C173:G173)</f>
        <v>43.074758137086633</v>
      </c>
      <c r="I173" s="17">
        <f>E173/H173*100</f>
        <v>95.188053097345133</v>
      </c>
      <c r="J173" s="17">
        <f>SQRT(I173*(100-I173)/(L173-1))</f>
        <v>0.50346879604916406</v>
      </c>
      <c r="K173" s="18">
        <f>100-I173</f>
        <v>4.8119469026548671</v>
      </c>
      <c r="L173" s="1">
        <f>H162</f>
        <v>1808</v>
      </c>
      <c r="M173">
        <v>2</v>
      </c>
      <c r="N173">
        <v>83035.81</v>
      </c>
      <c r="O173" s="17">
        <f>N173/N176*100</f>
        <v>43.074758137086626</v>
      </c>
      <c r="P173" s="52">
        <f>((O173*O173*(I173/100)*(K173/100))/(L173-1))</f>
        <v>4.7031714761069605E-2</v>
      </c>
      <c r="R173" s="16" t="s">
        <v>66</v>
      </c>
      <c r="S173" t="s">
        <v>9</v>
      </c>
      <c r="T173" s="1">
        <f>N461</f>
        <v>2987.08</v>
      </c>
      <c r="U173" s="1">
        <f>N462</f>
        <v>16281.9</v>
      </c>
      <c r="V173" s="1">
        <f>N463</f>
        <v>83949.5</v>
      </c>
      <c r="W173" s="1">
        <f>N464</f>
        <v>57413.56</v>
      </c>
      <c r="X173" s="1">
        <f>N465</f>
        <v>32139.35</v>
      </c>
      <c r="Z173" t="s">
        <v>36</v>
      </c>
      <c r="AA173" s="1">
        <f>N466</f>
        <v>192771.38999999998</v>
      </c>
      <c r="AC173" t="s">
        <v>277</v>
      </c>
      <c r="AD173" s="51">
        <v>0.921403508771929</v>
      </c>
      <c r="AE173" s="51">
        <v>0.90366840386418001</v>
      </c>
      <c r="AH173" s="78"/>
      <c r="BF173" s="51">
        <v>0.90040716252065101</v>
      </c>
      <c r="BG173" s="1">
        <v>110</v>
      </c>
      <c r="BH173">
        <f t="shared" si="28"/>
        <v>0.11919786036346161</v>
      </c>
      <c r="BI173">
        <f t="shared" si="29"/>
        <v>8.4416779933941481E-3</v>
      </c>
      <c r="BJ173">
        <f t="shared" si="27"/>
        <v>7.6009473289450477E-3</v>
      </c>
    </row>
    <row r="174" spans="1:62" ht="15.6" x14ac:dyDescent="0.35">
      <c r="A174" t="s">
        <v>6</v>
      </c>
      <c r="B174" s="13">
        <v>3</v>
      </c>
      <c r="C174" s="33">
        <f t="shared" si="36"/>
        <v>0</v>
      </c>
      <c r="D174" s="19">
        <f t="shared" si="36"/>
        <v>0.46399238162511203</v>
      </c>
      <c r="E174" s="19">
        <f t="shared" si="36"/>
        <v>0.51039161978762326</v>
      </c>
      <c r="F174" s="34">
        <f t="shared" si="36"/>
        <v>25.47318175121865</v>
      </c>
      <c r="G174" s="20">
        <f t="shared" si="36"/>
        <v>3.8511367674884296</v>
      </c>
      <c r="H174" s="17">
        <f>SUM(C174:G174)</f>
        <v>30.298702520119814</v>
      </c>
      <c r="I174" s="17">
        <f>F174/H174*100</f>
        <v>84.073506891271052</v>
      </c>
      <c r="J174" s="17">
        <f>SQRT(I174*(100-I174)/(L174-1))</f>
        <v>1.4330649123975316</v>
      </c>
      <c r="K174" s="18">
        <f>100-I174</f>
        <v>15.926493108728948</v>
      </c>
      <c r="L174" s="1">
        <f>H163</f>
        <v>653</v>
      </c>
      <c r="M174">
        <v>3</v>
      </c>
      <c r="N174">
        <v>58407.23</v>
      </c>
      <c r="O174" s="17">
        <f>N174/N176*100</f>
        <v>30.298702520119814</v>
      </c>
      <c r="P174" s="52">
        <f>((O174*O174*(I174/100)*(K174/100))/(L174-1))</f>
        <v>0.18852970489340456</v>
      </c>
      <c r="R174" s="16" t="s">
        <v>323</v>
      </c>
      <c r="S174" t="s">
        <v>68</v>
      </c>
      <c r="T174" s="57">
        <f>$AA173*T166/100</f>
        <v>2987.08</v>
      </c>
      <c r="U174" s="57">
        <f>$AA173*U166/100</f>
        <v>18712.576995363383</v>
      </c>
      <c r="V174" s="57">
        <f>$AA173*V166/100</f>
        <v>82627.148141891827</v>
      </c>
      <c r="W174" s="57">
        <f>$AA173*W166/100</f>
        <v>53859.840253089526</v>
      </c>
      <c r="X174" s="57">
        <f>$AA173*X166/100</f>
        <v>34584.744609655252</v>
      </c>
      <c r="Z174" t="s">
        <v>36</v>
      </c>
      <c r="AA174" s="25">
        <f>SUM(T174:X174)</f>
        <v>192771.38999999998</v>
      </c>
      <c r="AC174" t="s">
        <v>278</v>
      </c>
      <c r="AD174" s="51">
        <v>0.91578947368421004</v>
      </c>
      <c r="AE174" s="51">
        <v>0.89911235413762802</v>
      </c>
      <c r="AI174" s="78"/>
      <c r="BF174" s="51">
        <v>0.90042020710158099</v>
      </c>
      <c r="BG174" s="1">
        <v>111</v>
      </c>
      <c r="BH174">
        <f t="shared" si="28"/>
        <v>0.13181441295194157</v>
      </c>
      <c r="BI174">
        <f t="shared" si="29"/>
        <v>9.3351912998739239E-3</v>
      </c>
      <c r="BJ174">
        <f t="shared" si="27"/>
        <v>8.4055948835653552E-3</v>
      </c>
    </row>
    <row r="175" spans="1:62" x14ac:dyDescent="0.3">
      <c r="A175" t="s">
        <v>7</v>
      </c>
      <c r="B175" s="13">
        <v>4</v>
      </c>
      <c r="C175" s="35">
        <f t="shared" si="36"/>
        <v>0</v>
      </c>
      <c r="D175" s="36">
        <f t="shared" si="36"/>
        <v>6.7418903213009473E-2</v>
      </c>
      <c r="E175" s="21">
        <f t="shared" si="36"/>
        <v>0.33709451606504737</v>
      </c>
      <c r="F175" s="21">
        <f t="shared" si="36"/>
        <v>2.2922427092423221</v>
      </c>
      <c r="G175" s="37">
        <f t="shared" si="36"/>
        <v>13.551199545814905</v>
      </c>
      <c r="H175" s="17">
        <f>SUM(C175:G175)</f>
        <v>16.247955674335284</v>
      </c>
      <c r="I175" s="17">
        <f>G175/H175*100</f>
        <v>83.402489626556019</v>
      </c>
      <c r="J175" s="17">
        <f>SQRT(I175*(100-I175)/(L175-1))</f>
        <v>2.4016259134419555</v>
      </c>
      <c r="K175" s="18">
        <f>100-I175</f>
        <v>16.597510373443981</v>
      </c>
      <c r="L175" s="1">
        <f>H164</f>
        <v>241</v>
      </c>
      <c r="M175">
        <v>4</v>
      </c>
      <c r="N175">
        <v>31321.41</v>
      </c>
      <c r="O175" s="17">
        <f>N175/N176*100</f>
        <v>16.247955674335284</v>
      </c>
      <c r="P175" s="52">
        <f>((O175*O175*(I175/100)*(K175/100))/(L175-1))</f>
        <v>0.15226783509991215</v>
      </c>
      <c r="R175" s="66"/>
      <c r="S175" s="66" t="s">
        <v>67</v>
      </c>
      <c r="T175" s="67">
        <f>$AA173*T167/100</f>
        <v>0</v>
      </c>
      <c r="U175" s="67">
        <f>$AA173*U167/100</f>
        <v>563.07546712795067</v>
      </c>
      <c r="V175" s="67">
        <f>$AA173*V167/100</f>
        <v>673.35790558249903</v>
      </c>
      <c r="W175" s="67">
        <f>$AA173*W167/100</f>
        <v>1121.08362701379</v>
      </c>
      <c r="X175" s="67">
        <f>$AA173*X167/100</f>
        <v>1108.5520773613471</v>
      </c>
      <c r="AA175" s="1"/>
      <c r="AC175" t="s">
        <v>279</v>
      </c>
      <c r="AD175" s="51">
        <v>0.92175438596491199</v>
      </c>
      <c r="AE175" s="51">
        <v>0.90228037229820701</v>
      </c>
      <c r="AH175" s="78"/>
      <c r="BF175" s="51">
        <v>0.90043696607207302</v>
      </c>
      <c r="BG175" s="1">
        <v>112</v>
      </c>
      <c r="BH175">
        <f t="shared" si="28"/>
        <v>0.14445198321177485</v>
      </c>
      <c r="BI175">
        <f t="shared" si="29"/>
        <v>1.0230193092918767E-2</v>
      </c>
      <c r="BJ175">
        <f t="shared" si="27"/>
        <v>9.2116440309192513E-3</v>
      </c>
    </row>
    <row r="176" spans="1:62" x14ac:dyDescent="0.3">
      <c r="B176" t="s">
        <v>28</v>
      </c>
      <c r="C176" s="17">
        <f t="shared" ref="C176:H176" si="37">SUM(C171:C175)</f>
        <v>1.5487982941867044</v>
      </c>
      <c r="D176" s="17">
        <f t="shared" si="37"/>
        <v>10.192344199945575</v>
      </c>
      <c r="E176" s="17">
        <f t="shared" si="37"/>
        <v>42.233413494860542</v>
      </c>
      <c r="F176" s="17">
        <f t="shared" si="37"/>
        <v>28.194266079082411</v>
      </c>
      <c r="G176" s="17">
        <f t="shared" si="37"/>
        <v>17.831177931924771</v>
      </c>
      <c r="H176" s="18">
        <f t="shared" si="37"/>
        <v>100</v>
      </c>
      <c r="I176" s="13" t="s">
        <v>24</v>
      </c>
      <c r="J176" s="12" t="s">
        <v>29</v>
      </c>
      <c r="N176" s="1">
        <f>SUM(N171:N175)</f>
        <v>192771.39</v>
      </c>
      <c r="O176" s="17">
        <f>SUM(O171:O175)</f>
        <v>100</v>
      </c>
      <c r="R176" t="s">
        <v>109</v>
      </c>
      <c r="S176" t="s">
        <v>28</v>
      </c>
      <c r="T176" s="57">
        <f t="shared" ref="T176:X179" si="38">C495</f>
        <v>1.5620627916861931</v>
      </c>
      <c r="U176" s="57">
        <f t="shared" si="38"/>
        <v>9.7466932272387297</v>
      </c>
      <c r="V176" s="57">
        <f t="shared" si="38"/>
        <v>41.603622491728501</v>
      </c>
      <c r="W176" s="57">
        <f t="shared" si="38"/>
        <v>28.935962782721258</v>
      </c>
      <c r="X176" s="57">
        <f t="shared" si="38"/>
        <v>18.151658706625309</v>
      </c>
      <c r="AC176" t="s">
        <v>280</v>
      </c>
      <c r="AD176" s="51">
        <v>0.92280701754385897</v>
      </c>
      <c r="AE176" s="51">
        <v>0.90556929745056203</v>
      </c>
      <c r="AI176" s="78"/>
      <c r="BF176" s="51">
        <v>0.90044107938882501</v>
      </c>
      <c r="BG176" s="1">
        <v>113</v>
      </c>
      <c r="BH176">
        <f t="shared" si="28"/>
        <v>0.15711266676001365</v>
      </c>
      <c r="BI176">
        <f t="shared" si="29"/>
        <v>1.1126831785631883E-2</v>
      </c>
      <c r="BJ176">
        <f t="shared" si="27"/>
        <v>1.001905642323226E-2</v>
      </c>
    </row>
    <row r="177" spans="1:62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0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0.29849732101993481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0.35747325796597174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0.57540796207723233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0.56367417651437024</v>
      </c>
      <c r="H177" s="1"/>
      <c r="I177" s="14">
        <f>(C171+D172+E173+F174+G175)/H176</f>
        <v>0.90021084900649995</v>
      </c>
      <c r="J177" s="53">
        <f>SQRT(SUM(P171:P175))/100</f>
        <v>6.5073810588735992E-3</v>
      </c>
      <c r="M177" s="1"/>
      <c r="N177" s="9"/>
      <c r="S177" s="66" t="s">
        <v>39</v>
      </c>
      <c r="T177" s="67">
        <f t="shared" si="38"/>
        <v>0</v>
      </c>
      <c r="U177" s="67">
        <f t="shared" si="38"/>
        <v>0.29941830036732509</v>
      </c>
      <c r="V177" s="67">
        <f t="shared" si="38"/>
        <v>0.36061656861658198</v>
      </c>
      <c r="W177" s="67">
        <f t="shared" si="38"/>
        <v>0.59916996603736683</v>
      </c>
      <c r="X177" s="67">
        <f t="shared" si="38"/>
        <v>0.58775368366535419</v>
      </c>
      <c r="AC177" t="s">
        <v>281</v>
      </c>
      <c r="AD177" s="51">
        <v>0.91578947368421004</v>
      </c>
      <c r="AE177" s="51">
        <v>0.89367059764754997</v>
      </c>
      <c r="AH177" s="78"/>
      <c r="BF177" s="51">
        <v>0.90047855069579186</v>
      </c>
      <c r="BG177" s="1">
        <v>114</v>
      </c>
      <c r="BH177">
        <f t="shared" si="28"/>
        <v>0.16979858557289623</v>
      </c>
      <c r="BI177">
        <f t="shared" si="29"/>
        <v>1.2025257657892949E-2</v>
      </c>
      <c r="BJ177">
        <f t="shared" si="27"/>
        <v>1.0828486587522916E-2</v>
      </c>
    </row>
    <row r="178" spans="1:62" x14ac:dyDescent="0.3">
      <c r="B178" s="1" t="s">
        <v>30</v>
      </c>
      <c r="C178" s="17">
        <f>C171/C176*100</f>
        <v>100</v>
      </c>
      <c r="D178" s="17">
        <f>D172/D176*100</f>
        <v>82.864957233212493</v>
      </c>
      <c r="E178" s="17">
        <f>E173/E176*100</f>
        <v>97.084323179495357</v>
      </c>
      <c r="F178" s="17">
        <f>F174/F176*100</f>
        <v>90.348802411698315</v>
      </c>
      <c r="G178" s="17">
        <f>G175/G176*100</f>
        <v>75.997220136270229</v>
      </c>
      <c r="H178" s="1"/>
      <c r="S178" s="70" t="s">
        <v>30</v>
      </c>
      <c r="T178" s="64">
        <f t="shared" si="38"/>
        <v>100</v>
      </c>
      <c r="U178" s="64">
        <f t="shared" si="38"/>
        <v>84.086625695093332</v>
      </c>
      <c r="V178" s="64">
        <f t="shared" si="38"/>
        <v>97.083347227873418</v>
      </c>
      <c r="W178" s="64">
        <f t="shared" si="38"/>
        <v>89.189975433428771</v>
      </c>
      <c r="X178" s="64">
        <f t="shared" si="38"/>
        <v>74.929756394129285</v>
      </c>
      <c r="AC178" t="s">
        <v>282</v>
      </c>
      <c r="AD178" s="51">
        <v>0.92280701754385897</v>
      </c>
      <c r="AE178" s="51">
        <v>0.90304272200482605</v>
      </c>
      <c r="AI178" s="78"/>
      <c r="BF178" s="51">
        <v>0.90048954320608199</v>
      </c>
      <c r="BG178" s="1">
        <v>115</v>
      </c>
      <c r="BH178">
        <f t="shared" si="28"/>
        <v>0.18251189060891859</v>
      </c>
      <c r="BI178">
        <f t="shared" si="29"/>
        <v>1.2925623042125927E-2</v>
      </c>
      <c r="BJ178">
        <f t="shared" si="27"/>
        <v>1.1639388388857983E-2</v>
      </c>
    </row>
    <row r="179" spans="1:62" x14ac:dyDescent="0.3">
      <c r="B179" s="16" t="s">
        <v>39</v>
      </c>
      <c r="C179" s="18">
        <f>SQRT((C182+C183)/(C176*C176))</f>
        <v>0</v>
      </c>
      <c r="D179" s="18">
        <f>SQRT((D182+D183)/(D176*D176))</f>
        <v>3.692526083737476</v>
      </c>
      <c r="E179" s="18">
        <f>SQRT((E182+E183)/(E176*E176))</f>
        <v>0.67231906871188729</v>
      </c>
      <c r="F179" s="18">
        <f>SQRT((F182+F183)/(F176*F176))</f>
        <v>1.9188037316244499</v>
      </c>
      <c r="G179" s="18">
        <f>SQRT((G182+G183)/(G176*G176))</f>
        <v>5.5328795738019956</v>
      </c>
      <c r="H179" s="1"/>
      <c r="I179" s="14"/>
      <c r="S179" s="66" t="s">
        <v>39</v>
      </c>
      <c r="T179" s="67">
        <f t="shared" si="38"/>
        <v>0</v>
      </c>
      <c r="U179" s="67">
        <f t="shared" si="38"/>
        <v>3.8550479770139776</v>
      </c>
      <c r="V179" s="67">
        <f t="shared" si="38"/>
        <v>0.69869952492900067</v>
      </c>
      <c r="W179" s="67">
        <f t="shared" si="38"/>
        <v>2.0740488444083298</v>
      </c>
      <c r="X179" s="67">
        <f t="shared" si="38"/>
        <v>5.9145562974486836</v>
      </c>
      <c r="AC179" t="s">
        <v>283</v>
      </c>
      <c r="AD179" s="51">
        <v>0.92</v>
      </c>
      <c r="AE179" s="51">
        <v>0.90262554736393796</v>
      </c>
      <c r="AH179" s="78"/>
      <c r="BF179" s="51">
        <v>0.90055369576122901</v>
      </c>
      <c r="BG179" s="1">
        <v>116</v>
      </c>
      <c r="BH179">
        <f t="shared" si="28"/>
        <v>0.19525476451997836</v>
      </c>
      <c r="BI179">
        <f t="shared" si="29"/>
        <v>1.3828082515304223E-2</v>
      </c>
      <c r="BJ179">
        <f t="shared" si="27"/>
        <v>1.2452930814448451E-2</v>
      </c>
    </row>
    <row r="180" spans="1:62" x14ac:dyDescent="0.3">
      <c r="B180" s="1" t="s">
        <v>37</v>
      </c>
      <c r="C180" s="18">
        <f>100-C178</f>
        <v>0</v>
      </c>
      <c r="D180" s="18">
        <f>100-D178</f>
        <v>17.135042766787507</v>
      </c>
      <c r="E180" s="18">
        <f>100-E178</f>
        <v>2.9156768205046433</v>
      </c>
      <c r="F180" s="18">
        <f>100-F178</f>
        <v>9.6511975883016845</v>
      </c>
      <c r="G180" s="18">
        <f>100-G178</f>
        <v>24.002779863729771</v>
      </c>
      <c r="S180" s="70" t="s">
        <v>31</v>
      </c>
      <c r="T180" s="64">
        <f>I490</f>
        <v>100</v>
      </c>
      <c r="U180" s="64">
        <f>I491</f>
        <v>94.565217391304344</v>
      </c>
      <c r="V180" s="64">
        <f>I492</f>
        <v>95.243362831858406</v>
      </c>
      <c r="W180" s="64">
        <f>I493</f>
        <v>83.767228177641655</v>
      </c>
      <c r="X180" s="64">
        <f>I494</f>
        <v>82.15767634854771</v>
      </c>
      <c r="AC180" t="s">
        <v>284</v>
      </c>
      <c r="AD180" s="51">
        <v>0.91894736842105196</v>
      </c>
      <c r="AE180" s="51">
        <v>0.90044107938882501</v>
      </c>
      <c r="AI180" s="78"/>
      <c r="BF180" s="51">
        <v>0.900556707311437</v>
      </c>
      <c r="BG180" s="1">
        <v>117</v>
      </c>
      <c r="BH180">
        <f t="shared" si="28"/>
        <v>0.20802942445987585</v>
      </c>
      <c r="BI180">
        <f t="shared" si="29"/>
        <v>1.4732793097850746E-2</v>
      </c>
      <c r="BJ180">
        <f t="shared" si="27"/>
        <v>1.3267715641701133E-2</v>
      </c>
    </row>
    <row r="181" spans="1:62" ht="15.6" x14ac:dyDescent="0.35">
      <c r="B181" s="1" t="s">
        <v>25</v>
      </c>
      <c r="C181" s="1">
        <f>C165</f>
        <v>56</v>
      </c>
      <c r="D181" s="1">
        <f>D165</f>
        <v>150</v>
      </c>
      <c r="E181" s="1">
        <f>E165</f>
        <v>1741</v>
      </c>
      <c r="F181" s="1">
        <f>F165</f>
        <v>601</v>
      </c>
      <c r="G181" s="1">
        <f>G165</f>
        <v>302</v>
      </c>
      <c r="S181" s="66" t="s">
        <v>39</v>
      </c>
      <c r="T181" s="67">
        <f>J490</f>
        <v>0</v>
      </c>
      <c r="U181" s="67">
        <f>J491</f>
        <v>2.3764906227132032</v>
      </c>
      <c r="V181" s="67">
        <f>J492</f>
        <v>0.50071234241046703</v>
      </c>
      <c r="W181" s="67">
        <f>J493</f>
        <v>1.4441410619281831</v>
      </c>
      <c r="X181" s="67">
        <f>J494</f>
        <v>2.4714063572708076</v>
      </c>
      <c r="AC181" t="s">
        <v>285</v>
      </c>
      <c r="AD181" s="51">
        <v>0.92210526315789398</v>
      </c>
      <c r="AE181" s="51">
        <v>0.90477055675386298</v>
      </c>
      <c r="AH181" s="78"/>
      <c r="BF181" s="51">
        <v>0.90061903585370662</v>
      </c>
      <c r="BG181" s="1">
        <v>118</v>
      </c>
      <c r="BH181">
        <f t="shared" si="28"/>
        <v>0.2208381250000446</v>
      </c>
      <c r="BI181">
        <f t="shared" si="29"/>
        <v>1.5639914460132034E-2</v>
      </c>
      <c r="BJ181">
        <f t="shared" si="27"/>
        <v>1.4085604681918558E-2</v>
      </c>
    </row>
    <row r="182" spans="1:62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1046.1556297366674</v>
      </c>
      <c r="E182" s="18">
        <f>(O173*O173*(100-E178)*(100-E178)*(I173)*(100-I173))/((L173-1)*100)</f>
        <v>39.982466473379624</v>
      </c>
      <c r="F182" s="18">
        <f>(O174*O174*(100-F178)*(100-F178)*(I174)*(100-I174))/((L174-1)*100)</f>
        <v>1756.0715287032349</v>
      </c>
      <c r="G182" s="18">
        <f>(O175*O175*(100-G178)*(100-G178)*(I175)*(100-I175))/((L175-1)*100)</f>
        <v>8772.6591818157031</v>
      </c>
      <c r="S182" s="68" t="s">
        <v>56</v>
      </c>
      <c r="T182" s="65">
        <f>N479*100</f>
        <v>100</v>
      </c>
      <c r="U182" s="65">
        <f>N480*100</f>
        <v>74.358974358974365</v>
      </c>
      <c r="V182" s="65">
        <f>N481*100</f>
        <v>97.068771138669675</v>
      </c>
      <c r="W182" s="65">
        <f>N482*100</f>
        <v>86.687797147385098</v>
      </c>
      <c r="X182" s="65">
        <f>N483*100</f>
        <v>72.794117647058826</v>
      </c>
      <c r="AC182" t="s">
        <v>286</v>
      </c>
      <c r="AD182" s="51">
        <v>0.91894736842105196</v>
      </c>
      <c r="AE182" s="51">
        <v>0.90211054079592401</v>
      </c>
      <c r="AI182" s="78"/>
      <c r="BF182" s="51">
        <v>0.90064659178921458</v>
      </c>
      <c r="BG182" s="1">
        <v>119</v>
      </c>
      <c r="BH182">
        <f t="shared" si="28"/>
        <v>0.23368316116302504</v>
      </c>
      <c r="BI182">
        <f t="shared" si="29"/>
        <v>1.6549609137291046E-2</v>
      </c>
      <c r="BJ182">
        <f t="shared" si="27"/>
        <v>1.4905349064944826E-2</v>
      </c>
    </row>
    <row r="183" spans="1:62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370.27499060429835</v>
      </c>
      <c r="E183" s="18">
        <f>E178*E178*(SUM((H171*E171*(1-E160/H160))/(H160-1),(H172*E172*(1-E161/H161))/(H161-1), (H174*E174*(1-E163/H163))/(H163-1),(H175*E175*(1-E164/H164))/(H164-1)))</f>
        <v>766.25546591353736</v>
      </c>
      <c r="F183" s="18">
        <f>F178*F178*(SUM((H171*F171*(1-F160/H160))/(H160-1),(H172*F172*(1-F161/H161))/(H161-1), (H173*F173*(1-F162/H162))/(H162-1),(H175*F175*(1-F164/H164))/(H164-1)))</f>
        <v>1170.6587244318252</v>
      </c>
      <c r="G183" s="18">
        <f>G178*G178*(SUM((H171*G171*(1-G160/H160))/(H160-1),(H172*G172*(1-G161/H161))/(H161-1), (H173*G173*(1-G162/H162))/(H162-1),(H174*G174*(1-G163/H163))/(H163-1)))</f>
        <v>960.69445725720573</v>
      </c>
      <c r="R183" s="16" t="s">
        <v>66</v>
      </c>
      <c r="S183" t="s">
        <v>9</v>
      </c>
      <c r="T183" s="1">
        <f>N490</f>
        <v>3011.21</v>
      </c>
      <c r="U183" s="1">
        <f>N491</f>
        <v>16706.88</v>
      </c>
      <c r="V183" s="1">
        <f>N492</f>
        <v>81749.240000000005</v>
      </c>
      <c r="W183" s="1">
        <f>N493</f>
        <v>59391.24</v>
      </c>
      <c r="X183" s="1">
        <f>N494</f>
        <v>31912.81</v>
      </c>
      <c r="Z183" t="s">
        <v>36</v>
      </c>
      <c r="AA183" s="1">
        <f>N495</f>
        <v>192771.38</v>
      </c>
      <c r="AC183" t="s">
        <v>287</v>
      </c>
      <c r="AD183" s="51">
        <v>0.91824561403508698</v>
      </c>
      <c r="AE183" s="51">
        <v>0.89828536306618401</v>
      </c>
      <c r="AH183" s="78"/>
      <c r="BF183" s="51">
        <v>0.90067124656887898</v>
      </c>
      <c r="BG183" s="1">
        <v>120</v>
      </c>
      <c r="BH183">
        <f t="shared" si="28"/>
        <v>0.24656687158492113</v>
      </c>
      <c r="BI183">
        <f t="shared" si="29"/>
        <v>1.7462042753214592E-2</v>
      </c>
      <c r="BJ183">
        <f t="shared" si="27"/>
        <v>1.5727559814176846E-2</v>
      </c>
    </row>
    <row r="184" spans="1:62" ht="15.6" x14ac:dyDescent="0.35">
      <c r="A184" s="105" t="s">
        <v>390</v>
      </c>
      <c r="B184" s="69" t="s">
        <v>9</v>
      </c>
      <c r="C184" s="1">
        <v>277.3</v>
      </c>
      <c r="D184" s="1">
        <v>986.73</v>
      </c>
      <c r="E184" s="1">
        <v>13603.52</v>
      </c>
      <c r="F184" s="1">
        <v>3899.64</v>
      </c>
      <c r="G184">
        <v>3288.19</v>
      </c>
      <c r="I184" t="s">
        <v>36</v>
      </c>
      <c r="J184" s="57">
        <f>SUM(C184:G184)</f>
        <v>22055.38</v>
      </c>
      <c r="R184" s="16" t="s">
        <v>323</v>
      </c>
      <c r="S184" t="s">
        <v>68</v>
      </c>
      <c r="T184" s="57">
        <f>$AA183*T176/100</f>
        <v>3011.21</v>
      </c>
      <c r="U184" s="57">
        <f>$AA183*U176/100</f>
        <v>18788.835038514637</v>
      </c>
      <c r="V184" s="57">
        <f>$AA183*V176/100</f>
        <v>80199.877207295416</v>
      </c>
      <c r="W184" s="57">
        <f>$AA183*W176/100</f>
        <v>55780.254772538174</v>
      </c>
      <c r="X184" s="57">
        <f>$AA183*X176/100</f>
        <v>34991.202981651761</v>
      </c>
      <c r="Z184" t="s">
        <v>36</v>
      </c>
      <c r="AA184" s="25">
        <f>SUM(T184:X184)</f>
        <v>192771.38</v>
      </c>
      <c r="AC184" t="s">
        <v>288</v>
      </c>
      <c r="AD184" s="51">
        <v>0.91473684210526296</v>
      </c>
      <c r="AE184" s="51">
        <v>0.89534456075245095</v>
      </c>
      <c r="AI184" s="78"/>
      <c r="BF184" s="51">
        <v>0.90067773156959396</v>
      </c>
      <c r="BG184" s="1">
        <v>121</v>
      </c>
      <c r="BH184">
        <f t="shared" si="28"/>
        <v>0.25949164181888423</v>
      </c>
      <c r="BI184">
        <f t="shared" si="29"/>
        <v>1.8377384254488444E-2</v>
      </c>
      <c r="BJ184">
        <f t="shared" si="27"/>
        <v>1.6552100762515426E-2</v>
      </c>
    </row>
    <row r="185" spans="1:62" x14ac:dyDescent="0.3">
      <c r="B185" t="s">
        <v>391</v>
      </c>
      <c r="C185" s="57">
        <f>(C184/$J184)*100</f>
        <v>1.2572896046225457</v>
      </c>
      <c r="D185" s="57">
        <f>(D184/$J184)*100</f>
        <v>4.4738744016199217</v>
      </c>
      <c r="E185" s="57">
        <f>(E184/$J184)*100</f>
        <v>61.678919157139887</v>
      </c>
      <c r="F185" s="57">
        <f>(F184/$J184)*100</f>
        <v>17.681128141977148</v>
      </c>
      <c r="G185" s="57">
        <f>(G184/$J184)*100</f>
        <v>14.90878869464049</v>
      </c>
      <c r="R185" s="66"/>
      <c r="S185" s="66" t="s">
        <v>67</v>
      </c>
      <c r="T185" s="67">
        <f>$AA183*T177/100</f>
        <v>0</v>
      </c>
      <c r="U185" s="67">
        <f>$AA183*U177/100</f>
        <v>577.19278959063763</v>
      </c>
      <c r="V185" s="67">
        <f>$AA183*V177/100</f>
        <v>695.16553583083191</v>
      </c>
      <c r="W185" s="67">
        <f>$AA183*W177/100</f>
        <v>1155.0282120757633</v>
      </c>
      <c r="X185" s="67">
        <f>$AA183*X177/100</f>
        <v>1133.0208870025378</v>
      </c>
      <c r="AA185" s="1"/>
      <c r="AC185" t="s">
        <v>289</v>
      </c>
      <c r="AD185" s="51">
        <v>0.91929824561403495</v>
      </c>
      <c r="AE185" s="51">
        <v>0.90173730010703701</v>
      </c>
      <c r="AH185" s="78"/>
      <c r="BF185" s="51">
        <v>0.90070841784801603</v>
      </c>
      <c r="BG185" s="1">
        <v>122</v>
      </c>
      <c r="BH185">
        <f t="shared" si="28"/>
        <v>0.27245990779256418</v>
      </c>
      <c r="BI185">
        <f t="shared" si="29"/>
        <v>1.9295806155256504E-2</v>
      </c>
      <c r="BJ185">
        <f t="shared" si="27"/>
        <v>1.7379895033203096E-2</v>
      </c>
    </row>
    <row r="186" spans="1:62" x14ac:dyDescent="0.3">
      <c r="A186" s="361">
        <v>1977</v>
      </c>
      <c r="B186" s="361"/>
      <c r="C186" s="361"/>
      <c r="D186" s="361"/>
      <c r="E186" s="361"/>
      <c r="F186" s="361"/>
      <c r="G186" s="361"/>
      <c r="H186" s="361"/>
      <c r="I186" s="361"/>
      <c r="J186" s="361"/>
      <c r="K186" s="361"/>
      <c r="L186" s="361" t="s">
        <v>84</v>
      </c>
      <c r="M186" s="361"/>
      <c r="N186" s="361"/>
      <c r="O186" s="361"/>
      <c r="P186" s="361"/>
      <c r="R186" t="s">
        <v>110</v>
      </c>
      <c r="S186" s="70" t="s">
        <v>28</v>
      </c>
      <c r="T186" s="64">
        <f t="shared" ref="T186:X189" si="39">C524</f>
        <v>1.5547742847110249</v>
      </c>
      <c r="U186" s="64">
        <f t="shared" si="39"/>
        <v>9.2293531017649801</v>
      </c>
      <c r="V186" s="64">
        <f t="shared" si="39"/>
        <v>41.50628705704537</v>
      </c>
      <c r="W186" s="64">
        <f t="shared" si="39"/>
        <v>29.406573386410813</v>
      </c>
      <c r="X186" s="64">
        <f t="shared" si="39"/>
        <v>18.303012170067827</v>
      </c>
      <c r="AA186" s="12"/>
      <c r="AC186" t="s">
        <v>290</v>
      </c>
      <c r="AD186" s="51">
        <v>0.91789473684210499</v>
      </c>
      <c r="AE186" s="51">
        <v>0.89872556275190496</v>
      </c>
      <c r="AI186" s="78"/>
      <c r="BF186" s="51">
        <v>0.90079441293569995</v>
      </c>
      <c r="BG186" s="1">
        <v>123</v>
      </c>
      <c r="BH186">
        <f t="shared" si="28"/>
        <v>0.28547415943346138</v>
      </c>
      <c r="BI186">
        <f t="shared" si="29"/>
        <v>2.0217484793970827E-2</v>
      </c>
      <c r="BJ186">
        <f t="shared" si="27"/>
        <v>1.8211797346021394E-2</v>
      </c>
    </row>
    <row r="187" spans="1:62" x14ac:dyDescent="0.3">
      <c r="A187" t="s">
        <v>320</v>
      </c>
      <c r="B187" t="s">
        <v>21</v>
      </c>
      <c r="I187" s="1" t="s">
        <v>58</v>
      </c>
      <c r="O187" s="360" t="s">
        <v>411</v>
      </c>
      <c r="P187" s="360"/>
      <c r="S187" s="66" t="s">
        <v>39</v>
      </c>
      <c r="T187" s="67">
        <f t="shared" si="39"/>
        <v>0</v>
      </c>
      <c r="U187" s="67">
        <f t="shared" si="39"/>
        <v>0.30339699733012249</v>
      </c>
      <c r="V187" s="67">
        <f t="shared" si="39"/>
        <v>0.34999433695638699</v>
      </c>
      <c r="W187" s="67">
        <f t="shared" si="39"/>
        <v>0.60014569477673863</v>
      </c>
      <c r="X187" s="67">
        <f t="shared" si="39"/>
        <v>0.58237210123343763</v>
      </c>
      <c r="AC187" t="s">
        <v>291</v>
      </c>
      <c r="AD187" s="51">
        <v>0.92</v>
      </c>
      <c r="AE187" s="51">
        <v>0.90067124656887898</v>
      </c>
      <c r="AH187" s="78"/>
      <c r="BF187" s="51">
        <v>0.90082557070874403</v>
      </c>
      <c r="BG187" s="1">
        <v>124</v>
      </c>
      <c r="BH187">
        <f t="shared" si="28"/>
        <v>0.29853694447722257</v>
      </c>
      <c r="BI187">
        <f t="shared" si="29"/>
        <v>2.1142600603097878E-2</v>
      </c>
      <c r="BJ187">
        <f t="shared" si="27"/>
        <v>1.9045795254552682E-2</v>
      </c>
    </row>
    <row r="188" spans="1:62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56</v>
      </c>
      <c r="O188" s="13" t="s">
        <v>412</v>
      </c>
      <c r="P188" s="13" t="s">
        <v>41</v>
      </c>
      <c r="S188" t="s">
        <v>30</v>
      </c>
      <c r="T188" s="57">
        <f t="shared" si="39"/>
        <v>100</v>
      </c>
      <c r="U188" s="57">
        <f t="shared" si="39"/>
        <v>84.956076680581347</v>
      </c>
      <c r="V188" s="57">
        <f t="shared" si="39"/>
        <v>97.208520114174604</v>
      </c>
      <c r="W188" s="57">
        <f t="shared" si="39"/>
        <v>89.268092884228111</v>
      </c>
      <c r="X188" s="57">
        <f t="shared" si="39"/>
        <v>75.973034100939074</v>
      </c>
      <c r="AC188" t="s">
        <v>292</v>
      </c>
      <c r="AD188" s="51">
        <v>0.92035087719298203</v>
      </c>
      <c r="AE188" s="51">
        <v>0.90055369576122901</v>
      </c>
      <c r="AI188" s="78"/>
      <c r="BF188" s="51">
        <v>0.90085178884820005</v>
      </c>
      <c r="BG188" s="1">
        <v>125</v>
      </c>
      <c r="BH188">
        <f t="shared" si="28"/>
        <v>0.31165087247514994</v>
      </c>
      <c r="BI188">
        <f t="shared" si="29"/>
        <v>2.2071338392933185E-2</v>
      </c>
      <c r="BJ188">
        <f t="shared" si="27"/>
        <v>1.9883004673547817E-2</v>
      </c>
    </row>
    <row r="189" spans="1:62" x14ac:dyDescent="0.3">
      <c r="A189" t="s">
        <v>3</v>
      </c>
      <c r="B189" s="13">
        <v>0</v>
      </c>
      <c r="C189" s="26">
        <v>56</v>
      </c>
      <c r="D189" s="3">
        <v>0</v>
      </c>
      <c r="E189" s="3">
        <v>0</v>
      </c>
      <c r="F189" s="3">
        <v>0</v>
      </c>
      <c r="G189" s="4">
        <v>0</v>
      </c>
      <c r="H189" s="1">
        <f>SUM(C189:G189)</f>
        <v>56</v>
      </c>
      <c r="I189" s="10">
        <f>C189/H189</f>
        <v>1</v>
      </c>
      <c r="J189" s="11">
        <f>1-I189</f>
        <v>0</v>
      </c>
      <c r="K189">
        <f>H189-C194</f>
        <v>0</v>
      </c>
      <c r="N189" s="10">
        <f>2*(C195*I189)/(C195+I189)</f>
        <v>1</v>
      </c>
      <c r="O189" s="1">
        <v>0</v>
      </c>
      <c r="P189" s="1">
        <v>235</v>
      </c>
      <c r="S189" s="66" t="s">
        <v>39</v>
      </c>
      <c r="T189" s="67">
        <f t="shared" si="39"/>
        <v>0</v>
      </c>
      <c r="U189" s="67">
        <f t="shared" si="39"/>
        <v>4.0468360993072139</v>
      </c>
      <c r="V189" s="67">
        <f t="shared" si="39"/>
        <v>0.68427699413200171</v>
      </c>
      <c r="W189" s="67">
        <f t="shared" si="39"/>
        <v>2.0323866044525762</v>
      </c>
      <c r="X189" s="67">
        <f t="shared" si="39"/>
        <v>5.6103244142760946</v>
      </c>
      <c r="AC189" t="s">
        <v>293</v>
      </c>
      <c r="AD189" s="51">
        <v>0.91719298245614</v>
      </c>
      <c r="AE189" s="51">
        <v>0.89708196138168095</v>
      </c>
      <c r="AH189" s="78"/>
      <c r="BF189" s="51">
        <v>0.90090448184712701</v>
      </c>
      <c r="BG189" s="1">
        <v>126</v>
      </c>
      <c r="BH189">
        <f t="shared" si="28"/>
        <v>0.32481861901855619</v>
      </c>
      <c r="BI189">
        <f t="shared" si="29"/>
        <v>2.3003887650773207E-2</v>
      </c>
      <c r="BJ189">
        <f t="shared" si="27"/>
        <v>2.072430548448936E-2</v>
      </c>
    </row>
    <row r="190" spans="1:62" x14ac:dyDescent="0.3">
      <c r="A190" t="s">
        <v>4</v>
      </c>
      <c r="B190" s="13">
        <v>1</v>
      </c>
      <c r="C190" s="5">
        <v>0</v>
      </c>
      <c r="D190" s="27">
        <v>88</v>
      </c>
      <c r="E190" s="1">
        <v>4</v>
      </c>
      <c r="F190" s="1">
        <v>0</v>
      </c>
      <c r="G190" s="6">
        <v>0</v>
      </c>
      <c r="H190" s="1">
        <f>SUM(C190:G190)</f>
        <v>92</v>
      </c>
      <c r="I190" s="10">
        <f>D190/H190</f>
        <v>0.95652173913043481</v>
      </c>
      <c r="J190" s="11">
        <f>1-I190</f>
        <v>4.3478260869565188E-2</v>
      </c>
      <c r="K190">
        <f>H190-D194</f>
        <v>-53</v>
      </c>
      <c r="N190" s="10">
        <f>2*(D195*I190)/(D195+I190)</f>
        <v>0.74261603375527419</v>
      </c>
      <c r="O190" s="1">
        <v>5</v>
      </c>
      <c r="P190" s="1">
        <v>98</v>
      </c>
      <c r="S190" t="s">
        <v>31</v>
      </c>
      <c r="T190" s="57">
        <f>I519</f>
        <v>100</v>
      </c>
      <c r="U190" s="57">
        <f>I520</f>
        <v>93.478260869565219</v>
      </c>
      <c r="V190" s="57">
        <f>I521</f>
        <v>95.630530973451343</v>
      </c>
      <c r="W190" s="57">
        <f>I522</f>
        <v>84.379785604900462</v>
      </c>
      <c r="X190" s="57">
        <f>I523</f>
        <v>82.987551867219921</v>
      </c>
      <c r="AC190" t="s">
        <v>294</v>
      </c>
      <c r="AD190" s="51">
        <v>0.91543859649122805</v>
      </c>
      <c r="AE190" s="51">
        <v>0.89302781397308595</v>
      </c>
      <c r="AI190" s="78"/>
      <c r="BF190" s="51">
        <v>0.90106561094704696</v>
      </c>
      <c r="BG190" s="1">
        <v>127</v>
      </c>
      <c r="BH190">
        <f t="shared" si="28"/>
        <v>0.33804293019912629</v>
      </c>
      <c r="BI190">
        <f t="shared" si="29"/>
        <v>2.3940442856801341E-2</v>
      </c>
      <c r="BJ190">
        <f t="shared" si="27"/>
        <v>2.1571909769106567E-2</v>
      </c>
    </row>
    <row r="191" spans="1:62" x14ac:dyDescent="0.3">
      <c r="A191" t="s">
        <v>5</v>
      </c>
      <c r="B191" s="13">
        <v>2</v>
      </c>
      <c r="C191" s="5">
        <v>0</v>
      </c>
      <c r="D191" s="1">
        <v>45</v>
      </c>
      <c r="E191" s="27">
        <v>1723</v>
      </c>
      <c r="F191" s="1">
        <v>23</v>
      </c>
      <c r="G191" s="6">
        <v>17</v>
      </c>
      <c r="H191" s="1">
        <f>SUM(C191:G191)</f>
        <v>1808</v>
      </c>
      <c r="I191" s="10">
        <f>E191/H191</f>
        <v>0.95298672566371678</v>
      </c>
      <c r="J191" s="11">
        <f>1-I191</f>
        <v>4.7013274336283217E-2</v>
      </c>
      <c r="K191">
        <f>H191-E194</f>
        <v>70</v>
      </c>
      <c r="N191" s="10">
        <f>2*(E195*I191)/(E195+I191)</f>
        <v>0.97179921037789052</v>
      </c>
      <c r="O191" s="1">
        <v>924</v>
      </c>
      <c r="P191" s="1">
        <v>9887</v>
      </c>
      <c r="S191" s="66" t="s">
        <v>39</v>
      </c>
      <c r="T191" s="67">
        <f>J519</f>
        <v>0</v>
      </c>
      <c r="U191" s="67">
        <f>J520</f>
        <v>2.5883102208852078</v>
      </c>
      <c r="V191" s="67">
        <f>J521</f>
        <v>0.48087648433102492</v>
      </c>
      <c r="W191" s="67">
        <f>J522</f>
        <v>1.4218012973272354</v>
      </c>
      <c r="X191" s="67">
        <f>J523</f>
        <v>2.425404967738614</v>
      </c>
      <c r="AC191" t="s">
        <v>295</v>
      </c>
      <c r="AD191" s="51">
        <v>0.91684210526315701</v>
      </c>
      <c r="AE191" s="51">
        <v>0.896416973089879</v>
      </c>
      <c r="AH191" s="78"/>
      <c r="BF191" s="51">
        <v>0.901076906779537</v>
      </c>
      <c r="BG191" s="1">
        <v>128</v>
      </c>
      <c r="BH191">
        <f t="shared" si="28"/>
        <v>0.35132662732612346</v>
      </c>
      <c r="BI191">
        <f t="shared" si="29"/>
        <v>2.4881203818163857E-2</v>
      </c>
      <c r="BJ191">
        <f t="shared" si="27"/>
        <v>2.2419878173422295E-2</v>
      </c>
    </row>
    <row r="192" spans="1:62" x14ac:dyDescent="0.3">
      <c r="A192" t="s">
        <v>6</v>
      </c>
      <c r="B192" s="13">
        <v>3</v>
      </c>
      <c r="C192" s="5">
        <v>0</v>
      </c>
      <c r="D192" s="1">
        <v>12</v>
      </c>
      <c r="E192" s="1">
        <v>6</v>
      </c>
      <c r="F192" s="27">
        <v>562</v>
      </c>
      <c r="G192" s="6">
        <v>73</v>
      </c>
      <c r="H192" s="1">
        <f>SUM(C192:G192)</f>
        <v>653</v>
      </c>
      <c r="I192" s="10">
        <f>F192/H192</f>
        <v>0.86064318529862172</v>
      </c>
      <c r="J192" s="11">
        <f>1-I192</f>
        <v>0.13935681470137828</v>
      </c>
      <c r="K192">
        <f>H192-F194</f>
        <v>29</v>
      </c>
      <c r="N192" s="10">
        <f>2*(F195*I192)/(F195+I192)</f>
        <v>0.88018794048551285</v>
      </c>
      <c r="O192" s="1">
        <v>663</v>
      </c>
      <c r="P192" s="1">
        <v>18665</v>
      </c>
      <c r="S192" s="66" t="s">
        <v>56</v>
      </c>
      <c r="T192" s="67">
        <f>N508*100</f>
        <v>100</v>
      </c>
      <c r="U192" s="67">
        <f>N509*100</f>
        <v>76.444444444444443</v>
      </c>
      <c r="V192" s="67">
        <f>N510*100</f>
        <v>97.298818232976927</v>
      </c>
      <c r="W192" s="67">
        <f>N511*100</f>
        <v>87.04581358609795</v>
      </c>
      <c r="X192" s="67">
        <f>N512*100</f>
        <v>73.664825046040534</v>
      </c>
      <c r="AC192" t="s">
        <v>296</v>
      </c>
      <c r="AD192" s="51">
        <v>0.91824561403508698</v>
      </c>
      <c r="AE192" s="51">
        <v>0.89748643695453001</v>
      </c>
      <c r="AI192" s="78"/>
      <c r="BF192" s="51">
        <v>0.90110822006786995</v>
      </c>
      <c r="BG192" s="1">
        <v>129</v>
      </c>
      <c r="BH192">
        <f t="shared" si="28"/>
        <v>0.36467261192316763</v>
      </c>
      <c r="BI192">
        <f t="shared" si="29"/>
        <v>2.5826376022845311E-2</v>
      </c>
      <c r="BJ192">
        <f t="shared" si="27"/>
        <v>2.327235972874965E-2</v>
      </c>
    </row>
    <row r="193" spans="1:62" x14ac:dyDescent="0.3">
      <c r="A193" t="s">
        <v>7</v>
      </c>
      <c r="B193" s="13">
        <v>4</v>
      </c>
      <c r="C193" s="7">
        <v>0</v>
      </c>
      <c r="D193" s="8">
        <v>0</v>
      </c>
      <c r="E193" s="8">
        <v>5</v>
      </c>
      <c r="F193" s="8">
        <v>39</v>
      </c>
      <c r="G193" s="28">
        <v>197</v>
      </c>
      <c r="H193" s="1">
        <f>SUM(C193:G193)</f>
        <v>241</v>
      </c>
      <c r="I193" s="10">
        <f>G193/H193</f>
        <v>0.81742738589211617</v>
      </c>
      <c r="J193" s="11">
        <f>1-I193</f>
        <v>0.18257261410788383</v>
      </c>
      <c r="K193">
        <f>H193-G194</f>
        <v>-46</v>
      </c>
      <c r="N193" s="10">
        <f>2*(G195*I193)/(G195+I193)</f>
        <v>0.74621212121212122</v>
      </c>
      <c r="O193" s="1">
        <v>260</v>
      </c>
      <c r="P193" s="1">
        <v>14340</v>
      </c>
      <c r="R193" s="16" t="s">
        <v>66</v>
      </c>
      <c r="S193" t="s">
        <v>9</v>
      </c>
      <c r="T193" s="1">
        <f>N519</f>
        <v>2997.16</v>
      </c>
      <c r="U193" s="1">
        <f>N520</f>
        <v>16169.54</v>
      </c>
      <c r="V193" s="1">
        <f>N521</f>
        <v>81332.52</v>
      </c>
      <c r="W193" s="1">
        <f>N522</f>
        <v>59971.49</v>
      </c>
      <c r="X193" s="1">
        <f>N523</f>
        <v>32300.68</v>
      </c>
      <c r="Z193" t="s">
        <v>36</v>
      </c>
      <c r="AA193" s="1">
        <f>N524</f>
        <v>192771.38999999998</v>
      </c>
      <c r="AC193" t="s">
        <v>297</v>
      </c>
      <c r="AD193" s="51">
        <v>0.91789473684210499</v>
      </c>
      <c r="AE193" s="51">
        <v>0.89950439021875495</v>
      </c>
      <c r="AH193" s="78"/>
      <c r="AL193" s="132">
        <v>0</v>
      </c>
      <c r="AM193" s="133">
        <v>1</v>
      </c>
      <c r="AN193" s="133">
        <v>2</v>
      </c>
      <c r="AO193" s="133">
        <v>3</v>
      </c>
      <c r="AP193" s="134">
        <v>4</v>
      </c>
      <c r="BF193" s="51">
        <v>0.90110954399973697</v>
      </c>
      <c r="BG193" s="1">
        <v>130</v>
      </c>
      <c r="BH193">
        <f t="shared" si="28"/>
        <v>0.37808387102940144</v>
      </c>
      <c r="BI193">
        <f t="shared" si="29"/>
        <v>2.6776171015100936E-2</v>
      </c>
      <c r="BJ193">
        <f t="shared" ref="BJ193:BJ256" si="40">BI193*BF193</f>
        <v>2.4128263253476577E-2</v>
      </c>
    </row>
    <row r="194" spans="1:62" ht="15.6" x14ac:dyDescent="0.35">
      <c r="B194" s="1" t="s">
        <v>19</v>
      </c>
      <c r="C194" s="1">
        <f>SUM(C189:C193)</f>
        <v>56</v>
      </c>
      <c r="D194" s="1">
        <f>SUM(D189:D193)</f>
        <v>145</v>
      </c>
      <c r="E194" s="1">
        <f>SUM(E189:E193)</f>
        <v>1738</v>
      </c>
      <c r="F194" s="1">
        <f>SUM(F189:F193)</f>
        <v>624</v>
      </c>
      <c r="G194" s="1">
        <f>SUM(G189:G193)</f>
        <v>287</v>
      </c>
      <c r="H194" s="1">
        <f>SUM(H188:H193)</f>
        <v>2850</v>
      </c>
      <c r="I194" s="13" t="s">
        <v>12</v>
      </c>
      <c r="N194" s="16" t="s">
        <v>36</v>
      </c>
      <c r="O194" s="1">
        <f>SUM(O189:O193)</f>
        <v>1852</v>
      </c>
      <c r="P194" s="1">
        <f>SUM(P189:P193)</f>
        <v>43225</v>
      </c>
      <c r="R194" s="16" t="s">
        <v>323</v>
      </c>
      <c r="S194" t="s">
        <v>68</v>
      </c>
      <c r="T194" s="57">
        <f>$AA193*T186/100</f>
        <v>2997.16</v>
      </c>
      <c r="U194" s="57">
        <f>$AA193*U186/100</f>
        <v>17791.552262280464</v>
      </c>
      <c r="V194" s="57">
        <f>$AA193*V186/100</f>
        <v>80012.246497256448</v>
      </c>
      <c r="W194" s="57">
        <f>$AA193*W186/100</f>
        <v>56687.460268354189</v>
      </c>
      <c r="X194" s="57">
        <f>$AA193*X186/100</f>
        <v>35282.970972108909</v>
      </c>
      <c r="Z194" t="s">
        <v>36</v>
      </c>
      <c r="AA194" s="25">
        <f>SUM(T194:X194)</f>
        <v>192771.39</v>
      </c>
      <c r="AC194" t="s">
        <v>298</v>
      </c>
      <c r="AD194" s="51">
        <v>0.91543859649122805</v>
      </c>
      <c r="AE194" s="51">
        <v>0.89602471620952095</v>
      </c>
      <c r="AI194" s="78"/>
      <c r="AJ194" t="s">
        <v>2</v>
      </c>
      <c r="AQ194" t="s">
        <v>41</v>
      </c>
      <c r="BF194" s="51">
        <v>0.90136632487645896</v>
      </c>
      <c r="BG194" s="1">
        <v>131</v>
      </c>
      <c r="BH194">
        <f t="shared" si="28"/>
        <v>0.39156348283220138</v>
      </c>
      <c r="BI194">
        <f t="shared" si="29"/>
        <v>2.7730806794369275E-2</v>
      </c>
      <c r="BJ194">
        <f t="shared" si="40"/>
        <v>2.4995615406099771E-2</v>
      </c>
    </row>
    <row r="195" spans="1:62" x14ac:dyDescent="0.3">
      <c r="A195" s="1" t="s">
        <v>321</v>
      </c>
      <c r="B195" s="1" t="s">
        <v>2</v>
      </c>
      <c r="C195" s="10">
        <f>C189/C194</f>
        <v>1</v>
      </c>
      <c r="D195" s="10">
        <f>D190/D194</f>
        <v>0.60689655172413792</v>
      </c>
      <c r="E195" s="10">
        <f>E191/E194</f>
        <v>0.99136939010356728</v>
      </c>
      <c r="F195" s="10">
        <f>F192/F194</f>
        <v>0.90064102564102566</v>
      </c>
      <c r="G195" s="10">
        <f>G193/G194</f>
        <v>0.68641114982578399</v>
      </c>
      <c r="H195" s="10"/>
      <c r="I195" s="14">
        <f>(C189+D190+E191+F192+G193)/H194</f>
        <v>0.92140350877192978</v>
      </c>
      <c r="R195" s="66"/>
      <c r="S195" s="66" t="s">
        <v>67</v>
      </c>
      <c r="T195" s="67">
        <f>$AA193*T187/100</f>
        <v>0</v>
      </c>
      <c r="U195" s="67">
        <f>$AA193*U187/100</f>
        <v>584.86260897154</v>
      </c>
      <c r="V195" s="67">
        <f>$AA193*V187/100</f>
        <v>674.68894827211091</v>
      </c>
      <c r="W195" s="67">
        <f>$AA193*W187/100</f>
        <v>1156.9091978462764</v>
      </c>
      <c r="X195" s="67">
        <f>$AA193*X187/100</f>
        <v>1122.6467945199047</v>
      </c>
      <c r="AA195" s="1"/>
      <c r="AC195" t="s">
        <v>299</v>
      </c>
      <c r="AD195" s="51">
        <v>0.91438596491227997</v>
      </c>
      <c r="AE195" s="51">
        <v>0.89428854943317704</v>
      </c>
      <c r="AH195" s="78"/>
      <c r="AJ195" t="s">
        <v>415</v>
      </c>
      <c r="AK195">
        <v>0</v>
      </c>
      <c r="AL195" s="1">
        <v>205.32</v>
      </c>
      <c r="AM195" s="1">
        <v>65.790000000000006</v>
      </c>
      <c r="AN195" s="1">
        <v>9591.86</v>
      </c>
      <c r="AO195" s="1">
        <v>18764.55</v>
      </c>
      <c r="AP195">
        <v>14597.28</v>
      </c>
      <c r="AR195" s="1">
        <v>2978.79</v>
      </c>
      <c r="AS195" s="1">
        <v>15952.01</v>
      </c>
      <c r="AT195" s="1">
        <v>81659.179999999993</v>
      </c>
      <c r="AU195" s="1">
        <v>59984.78</v>
      </c>
      <c r="AV195" s="1">
        <v>32196.63</v>
      </c>
      <c r="BF195" s="51">
        <v>0.90154361825902096</v>
      </c>
      <c r="BG195" s="1">
        <v>132</v>
      </c>
      <c r="BH195">
        <f t="shared" ref="BH195:BH258" si="41">_xlfn.NORM.S.INV((BG195-0.375)/($BI$61+0.25))</f>
        <v>0.40511462266119358</v>
      </c>
      <c r="BI195">
        <f t="shared" ref="BI195:BI258" si="42">BH195/SQRT($BL$65)</f>
        <v>2.8690508239772709E-2</v>
      </c>
      <c r="BJ195">
        <f t="shared" si="40"/>
        <v>2.5865744608174944E-2</v>
      </c>
    </row>
    <row r="196" spans="1:62" x14ac:dyDescent="0.3">
      <c r="B196" s="1" t="s">
        <v>14</v>
      </c>
      <c r="C196" s="11">
        <f>1-C195</f>
        <v>0</v>
      </c>
      <c r="D196" s="11">
        <f>1-D195</f>
        <v>0.39310344827586208</v>
      </c>
      <c r="E196" s="11">
        <f>1-E195</f>
        <v>8.6306098964327171E-3</v>
      </c>
      <c r="F196" s="11">
        <f>1-F195</f>
        <v>9.9358974358974339E-2</v>
      </c>
      <c r="G196" s="11">
        <f>1-G195</f>
        <v>0.31358885017421601</v>
      </c>
      <c r="R196" t="s">
        <v>111</v>
      </c>
      <c r="S196" t="s">
        <v>28</v>
      </c>
      <c r="T196" s="57">
        <f t="shared" ref="T196:X199" si="43">C553</f>
        <v>1.5353472076612205</v>
      </c>
      <c r="U196" s="57">
        <f t="shared" si="43"/>
        <v>9.978638269615745</v>
      </c>
      <c r="V196" s="57">
        <f t="shared" si="43"/>
        <v>41.796095065717431</v>
      </c>
      <c r="W196" s="57">
        <f t="shared" si="43"/>
        <v>28.911934739359801</v>
      </c>
      <c r="X196" s="57">
        <f t="shared" si="43"/>
        <v>17.777984717645818</v>
      </c>
      <c r="Y196" s="13"/>
      <c r="Z196" s="74"/>
      <c r="AA196" s="12"/>
      <c r="AC196" t="s">
        <v>300</v>
      </c>
      <c r="AD196" s="51">
        <v>0.91894736842105196</v>
      </c>
      <c r="AE196" s="51">
        <v>0.90082557070874403</v>
      </c>
      <c r="AI196" s="78"/>
      <c r="AJ196" t="s">
        <v>415</v>
      </c>
      <c r="AK196">
        <v>1</v>
      </c>
      <c r="AL196" s="1">
        <v>257.98</v>
      </c>
      <c r="AM196" s="1">
        <v>64</v>
      </c>
      <c r="AN196" s="1">
        <v>9839.39</v>
      </c>
      <c r="AO196" s="1">
        <v>18329.87</v>
      </c>
      <c r="AP196">
        <v>14733.56</v>
      </c>
      <c r="AR196" s="1">
        <v>3025.62</v>
      </c>
      <c r="AS196" s="1">
        <v>16297.75</v>
      </c>
      <c r="AT196" s="1">
        <v>82263.199999999997</v>
      </c>
      <c r="AU196" s="1">
        <v>58571.85</v>
      </c>
      <c r="AV196" s="1">
        <v>32612.97</v>
      </c>
      <c r="BF196" s="51">
        <v>0.90154548501036003</v>
      </c>
      <c r="BG196" s="1">
        <v>133</v>
      </c>
      <c r="BH196">
        <f t="shared" si="41"/>
        <v>0.41874056937625281</v>
      </c>
      <c r="BI196">
        <f t="shared" si="42"/>
        <v>2.9655507562520084E-2</v>
      </c>
      <c r="BJ196">
        <f t="shared" si="40"/>
        <v>2.6735788948680568E-2</v>
      </c>
    </row>
    <row r="197" spans="1:62" x14ac:dyDescent="0.3">
      <c r="C197" s="2"/>
      <c r="S197" s="66" t="s">
        <v>39</v>
      </c>
      <c r="T197" s="67">
        <f t="shared" si="43"/>
        <v>0</v>
      </c>
      <c r="U197" s="67">
        <f t="shared" si="43"/>
        <v>0.29472179730539377</v>
      </c>
      <c r="V197" s="67">
        <f t="shared" si="43"/>
        <v>0.3490677534408233</v>
      </c>
      <c r="W197" s="67">
        <f t="shared" si="43"/>
        <v>0.59039695822424165</v>
      </c>
      <c r="X197" s="67">
        <f t="shared" si="43"/>
        <v>0.58039147759705079</v>
      </c>
      <c r="AC197" t="s">
        <v>301</v>
      </c>
      <c r="AD197" s="51">
        <v>0.917543859649122</v>
      </c>
      <c r="AE197" s="51">
        <v>0.897374200486454</v>
      </c>
      <c r="AH197" s="78"/>
      <c r="AJ197" t="s">
        <v>415</v>
      </c>
      <c r="AK197">
        <v>2</v>
      </c>
      <c r="AL197" s="1">
        <v>284.76</v>
      </c>
      <c r="AM197" s="1">
        <v>81.94</v>
      </c>
      <c r="AN197" s="1">
        <v>9839.2000000000007</v>
      </c>
      <c r="AO197" s="1">
        <v>18563.21</v>
      </c>
      <c r="AP197">
        <v>14455.69</v>
      </c>
      <c r="AR197" s="1">
        <v>3034.98</v>
      </c>
      <c r="AS197" s="1">
        <v>16765.59</v>
      </c>
      <c r="AT197" s="1">
        <v>81872.070000000007</v>
      </c>
      <c r="AU197" s="1">
        <v>58961.21</v>
      </c>
      <c r="AV197" s="1">
        <v>32137.54</v>
      </c>
      <c r="BF197" s="51">
        <v>0.90157915046899495</v>
      </c>
      <c r="BG197" s="1">
        <v>134</v>
      </c>
      <c r="BH197">
        <f t="shared" si="41"/>
        <v>0.43244471218542141</v>
      </c>
      <c r="BI197">
        <f t="shared" si="42"/>
        <v>3.0626044788756662E-2</v>
      </c>
      <c r="BJ197">
        <f t="shared" si="40"/>
        <v>2.7611803442872621E-2</v>
      </c>
    </row>
    <row r="198" spans="1:62" ht="15.6" x14ac:dyDescent="0.35">
      <c r="A198" t="s">
        <v>322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 t="shared" si="43"/>
        <v>100</v>
      </c>
      <c r="U198" s="57">
        <f t="shared" si="43"/>
        <v>83.737004770282098</v>
      </c>
      <c r="V198" s="57">
        <f t="shared" si="43"/>
        <v>97.265799434155568</v>
      </c>
      <c r="W198" s="57">
        <f t="shared" si="43"/>
        <v>89.504067807052053</v>
      </c>
      <c r="X198" s="57">
        <f t="shared" si="43"/>
        <v>75.418160896864151</v>
      </c>
      <c r="AC198" t="s">
        <v>302</v>
      </c>
      <c r="AD198" s="51">
        <v>0.91824561403508698</v>
      </c>
      <c r="AE198" s="51">
        <v>0.89728380639079997</v>
      </c>
      <c r="AI198" s="78"/>
      <c r="AJ198" t="s">
        <v>415</v>
      </c>
      <c r="AK198">
        <v>3</v>
      </c>
      <c r="AL198" s="1">
        <v>244.28</v>
      </c>
      <c r="AM198" s="1">
        <v>87.74</v>
      </c>
      <c r="AN198" s="1">
        <v>9647.76</v>
      </c>
      <c r="AO198" s="1">
        <v>18991.64</v>
      </c>
      <c r="AP198">
        <v>14253.38</v>
      </c>
      <c r="AR198" s="1">
        <v>2974.84</v>
      </c>
      <c r="AS198" s="1">
        <v>16837.259999999998</v>
      </c>
      <c r="AT198" s="1">
        <v>81044.45</v>
      </c>
      <c r="AU198" s="1">
        <v>60629.120000000003</v>
      </c>
      <c r="AV198" s="1">
        <v>31285.73</v>
      </c>
      <c r="BF198" s="51">
        <v>0.90170251634068899</v>
      </c>
      <c r="BG198" s="1">
        <v>135</v>
      </c>
      <c r="BH198">
        <f t="shared" si="41"/>
        <v>0.44623055793233662</v>
      </c>
      <c r="BI198">
        <f t="shared" si="42"/>
        <v>3.1602368275664941E-2</v>
      </c>
      <c r="BJ198">
        <f t="shared" si="40"/>
        <v>2.8495934996492236E-2</v>
      </c>
    </row>
    <row r="199" spans="1:62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 t="shared" si="43"/>
        <v>0</v>
      </c>
      <c r="U199" s="67">
        <f t="shared" si="43"/>
        <v>3.5994178717129053</v>
      </c>
      <c r="V199" s="67">
        <f t="shared" si="43"/>
        <v>0.66159229673144815</v>
      </c>
      <c r="W199" s="67">
        <f t="shared" si="43"/>
        <v>2.0082145021232023</v>
      </c>
      <c r="X199" s="67">
        <f t="shared" si="43"/>
        <v>5.9206483880444152</v>
      </c>
      <c r="AC199" t="s">
        <v>303</v>
      </c>
      <c r="AD199" s="51">
        <v>0.92035087719298203</v>
      </c>
      <c r="AE199" s="51">
        <v>0.90000593667901896</v>
      </c>
      <c r="AH199" s="78"/>
      <c r="AJ199" t="s">
        <v>415</v>
      </c>
      <c r="AK199">
        <v>4</v>
      </c>
      <c r="AL199" s="1">
        <v>241.1</v>
      </c>
      <c r="AM199" s="1">
        <v>61.03</v>
      </c>
      <c r="AN199" s="1">
        <v>10109.48</v>
      </c>
      <c r="AO199" s="1">
        <v>18431.580000000002</v>
      </c>
      <c r="AP199">
        <v>14381.61</v>
      </c>
      <c r="AR199" s="1">
        <v>3043.26</v>
      </c>
      <c r="AS199" s="1">
        <v>15894.02</v>
      </c>
      <c r="AT199" s="1">
        <v>83274.2</v>
      </c>
      <c r="AU199" s="1">
        <v>58472.82</v>
      </c>
      <c r="AV199" s="1">
        <v>32087.09</v>
      </c>
      <c r="BF199" s="51">
        <v>0.90173730010703701</v>
      </c>
      <c r="BG199" s="1">
        <v>136</v>
      </c>
      <c r="BH199">
        <f t="shared" si="41"/>
        <v>0.46010173889686451</v>
      </c>
      <c r="BI199">
        <f t="shared" si="42"/>
        <v>3.2584735263911119E-2</v>
      </c>
      <c r="BJ199">
        <f t="shared" si="40"/>
        <v>2.9382871201581773E-2</v>
      </c>
    </row>
    <row r="200" spans="1:62" x14ac:dyDescent="0.3">
      <c r="A200" t="s">
        <v>3</v>
      </c>
      <c r="B200" s="13">
        <v>0</v>
      </c>
      <c r="C200" s="29">
        <f t="shared" ref="C200:G204" si="44">(C189/$L200)*$O200</f>
        <v>1.5826103655734391</v>
      </c>
      <c r="D200" s="31">
        <f t="shared" si="44"/>
        <v>0</v>
      </c>
      <c r="E200" s="31">
        <f t="shared" si="44"/>
        <v>0</v>
      </c>
      <c r="F200" s="31">
        <f t="shared" si="44"/>
        <v>0</v>
      </c>
      <c r="G200" s="32">
        <f t="shared" si="44"/>
        <v>0</v>
      </c>
      <c r="H200" s="17">
        <f>SUM(C200:G200)</f>
        <v>1.5826103655734391</v>
      </c>
      <c r="I200" s="17">
        <f>C200/H200*100</f>
        <v>100</v>
      </c>
      <c r="J200" s="17">
        <f>SQRT(I200*(100-I200)/(L200-1))</f>
        <v>0</v>
      </c>
      <c r="K200" s="18">
        <f>100-I200</f>
        <v>0</v>
      </c>
      <c r="L200" s="1">
        <f>H189</f>
        <v>56</v>
      </c>
      <c r="M200">
        <v>0</v>
      </c>
      <c r="N200">
        <v>3050.82</v>
      </c>
      <c r="O200" s="17">
        <f>N200/N205*100</f>
        <v>1.5826103655734391</v>
      </c>
      <c r="P200" s="52">
        <f>((O200*O200*(I200/100)*(K200/100))/(L200-1))</f>
        <v>0</v>
      </c>
      <c r="S200" t="s">
        <v>31</v>
      </c>
      <c r="T200" s="57">
        <f>I548</f>
        <v>100</v>
      </c>
      <c r="U200" s="57">
        <f>I549</f>
        <v>95.652173913043484</v>
      </c>
      <c r="V200" s="57">
        <f>I550</f>
        <v>95.298672566371678</v>
      </c>
      <c r="W200" s="57">
        <f>I551</f>
        <v>84.379785604900462</v>
      </c>
      <c r="X200" s="57">
        <f>I552</f>
        <v>81.742738589211612</v>
      </c>
      <c r="AC200" t="s">
        <v>304</v>
      </c>
      <c r="AD200" s="51">
        <v>0.91614035087719303</v>
      </c>
      <c r="AE200" s="51">
        <v>0.8981874200012</v>
      </c>
      <c r="AI200" s="78"/>
      <c r="AJ200" t="s">
        <v>415</v>
      </c>
      <c r="AK200">
        <v>5</v>
      </c>
      <c r="AL200" s="1">
        <v>248.94</v>
      </c>
      <c r="AM200" s="1">
        <v>85.1</v>
      </c>
      <c r="AN200" s="1">
        <v>10069.76</v>
      </c>
      <c r="AO200" s="1">
        <v>18479.79</v>
      </c>
      <c r="AP200">
        <v>14341.22</v>
      </c>
      <c r="AR200" s="1">
        <v>2985.64</v>
      </c>
      <c r="AS200" s="1">
        <v>17021.3</v>
      </c>
      <c r="AT200" s="1">
        <v>83035.81</v>
      </c>
      <c r="AU200" s="1">
        <v>58407.23</v>
      </c>
      <c r="AV200" s="1">
        <v>31321.41</v>
      </c>
      <c r="BF200" s="51">
        <v>0.90175094746072004</v>
      </c>
      <c r="BG200" s="1">
        <v>137</v>
      </c>
      <c r="BH200">
        <f t="shared" si="41"/>
        <v>0.4740620211572345</v>
      </c>
      <c r="BI200">
        <f t="shared" si="42"/>
        <v>3.3573412469857518E-2</v>
      </c>
      <c r="BJ200">
        <f t="shared" si="40"/>
        <v>3.0274856504183569E-2</v>
      </c>
    </row>
    <row r="201" spans="1:62" x14ac:dyDescent="0.3">
      <c r="A201" t="s">
        <v>4</v>
      </c>
      <c r="B201" s="13">
        <v>1</v>
      </c>
      <c r="C201" s="33">
        <f t="shared" si="44"/>
        <v>0</v>
      </c>
      <c r="D201" s="34">
        <f t="shared" si="44"/>
        <v>7.5920295379751197</v>
      </c>
      <c r="E201" s="19">
        <f t="shared" si="44"/>
        <v>0.34509225172614177</v>
      </c>
      <c r="F201" s="18">
        <f t="shared" si="44"/>
        <v>0</v>
      </c>
      <c r="G201" s="20">
        <f t="shared" si="44"/>
        <v>0</v>
      </c>
      <c r="H201" s="17">
        <f>SUM(C201:G201)</f>
        <v>7.9371217897012611</v>
      </c>
      <c r="I201" s="17">
        <f>D201/H201*100</f>
        <v>95.652173913043484</v>
      </c>
      <c r="J201" s="17">
        <f>SQRT(I201*(100-I201)/(L201-1))</f>
        <v>2.1377790082367012</v>
      </c>
      <c r="K201" s="18">
        <f>100-I201</f>
        <v>4.3478260869565162</v>
      </c>
      <c r="L201" s="1">
        <f>H190</f>
        <v>92</v>
      </c>
      <c r="M201">
        <v>1</v>
      </c>
      <c r="N201">
        <v>15300.5</v>
      </c>
      <c r="O201" s="17">
        <f>N201/N205*100</f>
        <v>7.9371217897012611</v>
      </c>
      <c r="P201" s="52">
        <f>((O201*O201*(I201/100)*(K201/100))/(L201-1))</f>
        <v>2.8790665587156164E-2</v>
      </c>
      <c r="S201" s="66" t="s">
        <v>39</v>
      </c>
      <c r="T201" s="67">
        <f>J548</f>
        <v>0</v>
      </c>
      <c r="U201" s="67">
        <f>J549</f>
        <v>2.1377790082367012</v>
      </c>
      <c r="V201" s="67">
        <f>J550</f>
        <v>0.49793723016302682</v>
      </c>
      <c r="W201" s="67">
        <f>J551</f>
        <v>1.4218012973272354</v>
      </c>
      <c r="X201" s="67">
        <f>J552</f>
        <v>2.4936574100246278</v>
      </c>
      <c r="AC201" t="s">
        <v>305</v>
      </c>
      <c r="AD201" s="51">
        <v>0.91894736842105196</v>
      </c>
      <c r="AE201" s="51">
        <v>0.90154548501036003</v>
      </c>
      <c r="AH201" s="78"/>
      <c r="AJ201" t="s">
        <v>415</v>
      </c>
      <c r="AK201">
        <v>6</v>
      </c>
      <c r="AL201" s="1">
        <v>235.18</v>
      </c>
      <c r="AM201" s="1">
        <v>98.28</v>
      </c>
      <c r="AN201" s="1">
        <v>9887.11</v>
      </c>
      <c r="AO201" s="1">
        <v>18664.689999999999</v>
      </c>
      <c r="AP201">
        <v>14339.55</v>
      </c>
      <c r="AR201" s="1">
        <v>3050.82</v>
      </c>
      <c r="AS201" s="1">
        <v>15300.5</v>
      </c>
      <c r="AT201" s="1">
        <v>83346.89</v>
      </c>
      <c r="AU201" s="1">
        <v>59528.1</v>
      </c>
      <c r="AV201" s="1">
        <v>31545.08</v>
      </c>
      <c r="BF201" s="51">
        <v>0.90180816467952996</v>
      </c>
      <c r="BG201" s="1">
        <v>138</v>
      </c>
      <c r="BH201">
        <f t="shared" si="41"/>
        <v>0.48811531356716492</v>
      </c>
      <c r="BI201">
        <f t="shared" si="42"/>
        <v>3.4568676721328996E-2</v>
      </c>
      <c r="BJ201">
        <f t="shared" si="40"/>
        <v>3.1174314909461692E-2</v>
      </c>
    </row>
    <row r="202" spans="1:62" x14ac:dyDescent="0.3">
      <c r="A202" t="s">
        <v>5</v>
      </c>
      <c r="B202" s="13">
        <v>2</v>
      </c>
      <c r="C202" s="33">
        <f t="shared" si="44"/>
        <v>0</v>
      </c>
      <c r="D202" s="19">
        <f t="shared" si="44"/>
        <v>1.0761205079670721</v>
      </c>
      <c r="E202" s="34">
        <f t="shared" si="44"/>
        <v>41.203458560605895</v>
      </c>
      <c r="F202" s="19">
        <f t="shared" si="44"/>
        <v>0.55001714851650352</v>
      </c>
      <c r="G202" s="20">
        <f t="shared" si="44"/>
        <v>0.40653441412089397</v>
      </c>
      <c r="H202" s="17">
        <f>SUM(C202:G202)</f>
        <v>43.236130631210358</v>
      </c>
      <c r="I202" s="17">
        <f>E202/H202*100</f>
        <v>95.298672566371707</v>
      </c>
      <c r="J202" s="17">
        <f>SQRT(I202*(100-I202)/(L202-1))</f>
        <v>0.49793723016302543</v>
      </c>
      <c r="K202" s="18">
        <f>100-I202</f>
        <v>4.7013274336282933</v>
      </c>
      <c r="L202" s="1">
        <f>H191</f>
        <v>1808</v>
      </c>
      <c r="M202">
        <v>2</v>
      </c>
      <c r="N202">
        <v>83346.89</v>
      </c>
      <c r="O202" s="17">
        <f>N202/N205*100</f>
        <v>43.236130631210365</v>
      </c>
      <c r="P202" s="52">
        <f>((O202*O202*(I202/100)*(K202/100))/(L202-1))</f>
        <v>4.6349263657139907E-2</v>
      </c>
      <c r="S202" s="66" t="s">
        <v>56</v>
      </c>
      <c r="T202" s="67">
        <f>N537*100</f>
        <v>100</v>
      </c>
      <c r="U202" s="67">
        <f>N538*100</f>
        <v>74.576271186440678</v>
      </c>
      <c r="V202" s="67">
        <f>N539*100</f>
        <v>97.097774020850935</v>
      </c>
      <c r="W202" s="67">
        <f>N540*100</f>
        <v>87.390959555908026</v>
      </c>
      <c r="X202" s="67">
        <f>N541*100</f>
        <v>72.693726937269361</v>
      </c>
      <c r="AC202" t="s">
        <v>306</v>
      </c>
      <c r="AD202" s="51">
        <v>0.91719298245614</v>
      </c>
      <c r="AE202" s="51">
        <v>0.90090448184712701</v>
      </c>
      <c r="AI202" s="78"/>
      <c r="AJ202" t="s">
        <v>415</v>
      </c>
      <c r="AK202">
        <v>7</v>
      </c>
      <c r="AL202" s="1">
        <v>281.77</v>
      </c>
      <c r="AM202" s="1">
        <v>84.71</v>
      </c>
      <c r="AN202" s="1">
        <v>10113.73</v>
      </c>
      <c r="AO202" s="1">
        <v>18754.25</v>
      </c>
      <c r="AP202">
        <v>13990.35</v>
      </c>
      <c r="AR202" s="1">
        <v>3032.82</v>
      </c>
      <c r="AS202" s="1">
        <v>16741.830000000002</v>
      </c>
      <c r="AT202" s="1">
        <v>83009.11</v>
      </c>
      <c r="AU202" s="1">
        <v>59613.8</v>
      </c>
      <c r="AV202" s="1">
        <v>30373.82</v>
      </c>
      <c r="BF202" s="51">
        <v>0.90184380731548897</v>
      </c>
      <c r="BG202" s="1">
        <v>139</v>
      </c>
      <c r="BH202">
        <f t="shared" si="41"/>
        <v>0.5022656774073111</v>
      </c>
      <c r="BI202">
        <f t="shared" si="42"/>
        <v>3.557081564113547E-2</v>
      </c>
      <c r="BJ202">
        <f t="shared" si="40"/>
        <v>3.2079319807118957E-2</v>
      </c>
    </row>
    <row r="203" spans="1:62" x14ac:dyDescent="0.3">
      <c r="A203" t="s">
        <v>6</v>
      </c>
      <c r="B203" s="13">
        <v>3</v>
      </c>
      <c r="C203" s="33">
        <f t="shared" si="44"/>
        <v>0</v>
      </c>
      <c r="D203" s="19">
        <f t="shared" si="44"/>
        <v>0.56747601060932695</v>
      </c>
      <c r="E203" s="19">
        <f t="shared" si="44"/>
        <v>0.28373800530466348</v>
      </c>
      <c r="F203" s="34">
        <f t="shared" si="44"/>
        <v>26.576793163536809</v>
      </c>
      <c r="G203" s="20">
        <f t="shared" si="44"/>
        <v>3.452145731206739</v>
      </c>
      <c r="H203" s="17">
        <f>SUM(C203:G203)</f>
        <v>30.880152910657536</v>
      </c>
      <c r="I203" s="17">
        <f>F203/H203*100</f>
        <v>86.064318529862177</v>
      </c>
      <c r="J203" s="17">
        <f>SQRT(I203*(100-I203)/(L203-1))</f>
        <v>1.3562878611246618</v>
      </c>
      <c r="K203" s="18">
        <f>100-I203</f>
        <v>13.935681470137823</v>
      </c>
      <c r="L203" s="1">
        <f>H192</f>
        <v>653</v>
      </c>
      <c r="M203">
        <v>3</v>
      </c>
      <c r="N203">
        <v>59528.1</v>
      </c>
      <c r="O203" s="17">
        <f>N203/N205*100</f>
        <v>30.880152910657539</v>
      </c>
      <c r="P203" s="52">
        <f>((O203*O203*(I203/100)*(K203/100))/(L203-1))</f>
        <v>0.17541334648392282</v>
      </c>
      <c r="R203" s="16" t="s">
        <v>66</v>
      </c>
      <c r="S203" t="s">
        <v>9</v>
      </c>
      <c r="T203" s="1">
        <f>N548</f>
        <v>2959.71</v>
      </c>
      <c r="U203" s="1">
        <f>N549</f>
        <v>16839.78</v>
      </c>
      <c r="V203" s="1">
        <f>N550</f>
        <v>82234.03</v>
      </c>
      <c r="W203" s="1">
        <f>N551</f>
        <v>59118.59</v>
      </c>
      <c r="X203" s="1">
        <f>N552</f>
        <v>31619.27</v>
      </c>
      <c r="Z203" t="s">
        <v>36</v>
      </c>
      <c r="AA203" s="1">
        <f>N553</f>
        <v>192771.37999999998</v>
      </c>
      <c r="AC203" t="s">
        <v>307</v>
      </c>
      <c r="AD203" s="51">
        <v>0.91824561403508698</v>
      </c>
      <c r="AE203" s="51">
        <v>0.89771687144156098</v>
      </c>
      <c r="AH203" s="78"/>
      <c r="AJ203" t="s">
        <v>415</v>
      </c>
      <c r="AK203">
        <v>8</v>
      </c>
      <c r="AL203" s="1">
        <v>249.38</v>
      </c>
      <c r="AM203" s="1">
        <v>87.84</v>
      </c>
      <c r="AN203" s="1">
        <v>9909.42</v>
      </c>
      <c r="AO203" s="1">
        <v>18528.03</v>
      </c>
      <c r="AP203">
        <v>14450.15</v>
      </c>
      <c r="AR203" s="1">
        <v>2954.67</v>
      </c>
      <c r="AS203" s="1">
        <v>15717.56</v>
      </c>
      <c r="AT203" s="1">
        <v>83453.84</v>
      </c>
      <c r="AU203" s="1">
        <v>59176.94</v>
      </c>
      <c r="AV203" s="1">
        <v>31468.37</v>
      </c>
      <c r="BF203" s="51">
        <v>0.901851353444452</v>
      </c>
      <c r="BG203" s="1">
        <v>140</v>
      </c>
      <c r="BH203">
        <f t="shared" si="41"/>
        <v>0.51651733677697964</v>
      </c>
      <c r="BI203">
        <f t="shared" si="42"/>
        <v>3.6580128383020556E-2</v>
      </c>
      <c r="BJ203">
        <f t="shared" si="40"/>
        <v>3.2989838291398899E-2</v>
      </c>
    </row>
    <row r="204" spans="1:62" ht="15.6" x14ac:dyDescent="0.35">
      <c r="A204" t="s">
        <v>7</v>
      </c>
      <c r="B204" s="13">
        <v>4</v>
      </c>
      <c r="C204" s="35">
        <f t="shared" si="44"/>
        <v>0</v>
      </c>
      <c r="D204" s="36">
        <f t="shared" si="44"/>
        <v>0</v>
      </c>
      <c r="E204" s="21">
        <f t="shared" si="44"/>
        <v>0.33950174902193753</v>
      </c>
      <c r="F204" s="21">
        <f t="shared" si="44"/>
        <v>2.6481136423711131</v>
      </c>
      <c r="G204" s="37">
        <f t="shared" si="44"/>
        <v>13.376368911464338</v>
      </c>
      <c r="H204" s="17">
        <f>SUM(C204:G204)</f>
        <v>16.363984302857389</v>
      </c>
      <c r="I204" s="17">
        <f>G204/H204*100</f>
        <v>81.742738589211612</v>
      </c>
      <c r="J204" s="17">
        <f>SQRT(I204*(100-I204)/(L204-1))</f>
        <v>2.4936574100246278</v>
      </c>
      <c r="K204" s="18">
        <f>100-I204</f>
        <v>18.257261410788388</v>
      </c>
      <c r="L204" s="1">
        <f>H193</f>
        <v>241</v>
      </c>
      <c r="M204">
        <v>4</v>
      </c>
      <c r="N204">
        <v>31545.08</v>
      </c>
      <c r="O204" s="17">
        <f>N204/N205*100</f>
        <v>16.363984302857389</v>
      </c>
      <c r="P204" s="52">
        <f>((O204*O204*(I204/100)*(K204/100))/(L204-1))</f>
        <v>0.16651435683684326</v>
      </c>
      <c r="R204" s="16" t="s">
        <v>323</v>
      </c>
      <c r="S204" t="s">
        <v>68</v>
      </c>
      <c r="T204" s="57">
        <f>$AA203*T196/100</f>
        <v>2959.71</v>
      </c>
      <c r="U204" s="57">
        <f>$AA203*U196/100</f>
        <v>19235.95869754639</v>
      </c>
      <c r="V204" s="57">
        <f>$AA203*V196/100</f>
        <v>80570.909244295384</v>
      </c>
      <c r="W204" s="57">
        <f>$AA203*W196/100</f>
        <v>55733.935581763282</v>
      </c>
      <c r="X204" s="57">
        <f>$AA203*X196/100</f>
        <v>34270.866476394942</v>
      </c>
      <c r="Z204" t="s">
        <v>36</v>
      </c>
      <c r="AA204" s="25">
        <f>SUM(T204:X204)</f>
        <v>192771.37999999998</v>
      </c>
      <c r="AC204" t="s">
        <v>308</v>
      </c>
      <c r="AD204" s="51">
        <v>0.91614035087719303</v>
      </c>
      <c r="AE204" s="51">
        <v>0.89580007708321496</v>
      </c>
      <c r="AI204" s="78"/>
      <c r="AJ204" t="s">
        <v>415</v>
      </c>
      <c r="AK204">
        <v>9</v>
      </c>
      <c r="AL204" s="1">
        <v>269.97000000000003</v>
      </c>
      <c r="AM204" s="1">
        <v>68.34</v>
      </c>
      <c r="AN204" s="1">
        <v>10211.799999999999</v>
      </c>
      <c r="AO204" s="1">
        <v>18089.830000000002</v>
      </c>
      <c r="AP204">
        <v>14584.87</v>
      </c>
      <c r="AR204" s="1">
        <v>3009.77</v>
      </c>
      <c r="AS204" s="1">
        <v>16728.5</v>
      </c>
      <c r="AT204" s="1">
        <v>83421.88</v>
      </c>
      <c r="AU204" s="1">
        <v>57130.81</v>
      </c>
      <c r="AV204" s="1">
        <v>32480.42</v>
      </c>
      <c r="BF204" s="51">
        <v>0.90194171931239098</v>
      </c>
      <c r="BG204" s="1">
        <v>141</v>
      </c>
      <c r="BH204">
        <f t="shared" si="41"/>
        <v>0.53087468979951669</v>
      </c>
      <c r="BI204">
        <f t="shared" si="42"/>
        <v>3.7596926425235197E-2</v>
      </c>
      <c r="BJ204">
        <f t="shared" si="40"/>
        <v>3.39102364608381E-2</v>
      </c>
    </row>
    <row r="205" spans="1:62" x14ac:dyDescent="0.3">
      <c r="B205" t="s">
        <v>28</v>
      </c>
      <c r="C205" s="17">
        <f t="shared" ref="C205:H205" si="45">SUM(C200:C204)</f>
        <v>1.5826103655734391</v>
      </c>
      <c r="D205" s="17">
        <f t="shared" si="45"/>
        <v>9.2356260565515189</v>
      </c>
      <c r="E205" s="17">
        <f t="shared" si="45"/>
        <v>42.171790566658636</v>
      </c>
      <c r="F205" s="17">
        <f t="shared" si="45"/>
        <v>29.774923954424423</v>
      </c>
      <c r="G205" s="17">
        <f t="shared" si="45"/>
        <v>17.235049056791972</v>
      </c>
      <c r="H205" s="18">
        <f t="shared" si="45"/>
        <v>99.999999999999986</v>
      </c>
      <c r="I205" s="13" t="s">
        <v>24</v>
      </c>
      <c r="J205" s="12" t="s">
        <v>29</v>
      </c>
      <c r="N205" s="1">
        <f>SUM(N200:N204)</f>
        <v>192771.39</v>
      </c>
      <c r="O205" s="17">
        <f>SUM(O200:O204)</f>
        <v>100</v>
      </c>
      <c r="R205" s="66"/>
      <c r="S205" s="66" t="s">
        <v>67</v>
      </c>
      <c r="T205" s="67">
        <f>$AA203*T197/100</f>
        <v>0</v>
      </c>
      <c r="U205" s="67">
        <f>$AA203*U197/100</f>
        <v>568.13927582641031</v>
      </c>
      <c r="V205" s="67">
        <f>$AA203*V197/100</f>
        <v>672.90272544287245</v>
      </c>
      <c r="W205" s="67">
        <f>$AA203*W197/100</f>
        <v>1138.116363846894</v>
      </c>
      <c r="X205" s="67">
        <f>$AA203*X197/100</f>
        <v>1118.8286607662255</v>
      </c>
      <c r="AA205" s="1"/>
      <c r="AC205" t="s">
        <v>309</v>
      </c>
      <c r="AD205" s="51">
        <v>0.91684210526315701</v>
      </c>
      <c r="AE205" s="51">
        <v>0.898256063237859</v>
      </c>
      <c r="AH205" s="78"/>
      <c r="AJ205" t="s">
        <v>415</v>
      </c>
      <c r="AK205">
        <v>10</v>
      </c>
      <c r="AL205" s="1">
        <v>233.05</v>
      </c>
      <c r="AM205" s="1">
        <v>85.69</v>
      </c>
      <c r="AN205" s="1">
        <v>9721.2199999999993</v>
      </c>
      <c r="AO205" s="1">
        <v>18909.21</v>
      </c>
      <c r="AP205">
        <v>14275.64</v>
      </c>
      <c r="AR205" s="1">
        <v>2939.9</v>
      </c>
      <c r="AS205" s="1">
        <v>16737.48</v>
      </c>
      <c r="AT205" s="1">
        <v>81889.69</v>
      </c>
      <c r="AU205" s="1">
        <v>60046.03</v>
      </c>
      <c r="AV205" s="1">
        <v>31158.28</v>
      </c>
      <c r="BF205" s="51">
        <v>0.90205486551262304</v>
      </c>
      <c r="BG205" s="1">
        <v>142</v>
      </c>
      <c r="BH205">
        <f t="shared" si="41"/>
        <v>0.54534232072325628</v>
      </c>
      <c r="BI205">
        <f t="shared" si="42"/>
        <v>3.8621534427535534E-2</v>
      </c>
      <c r="BJ205">
        <f t="shared" si="40"/>
        <v>3.4838743043921705E-2</v>
      </c>
    </row>
    <row r="206" spans="1:62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0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0.28269052838988978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0.33267095381552003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0.58210024844795105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0.56608702992617266</v>
      </c>
      <c r="H206" s="1"/>
      <c r="I206" s="14">
        <f>(C200+D201+E202+F203+G204)/H205</f>
        <v>0.90331260539155622</v>
      </c>
      <c r="J206" s="53">
        <f>SQRT(SUM(P200:P204))/100</f>
        <v>6.4580773653236936E-3</v>
      </c>
      <c r="M206" s="1"/>
      <c r="N206" s="9"/>
      <c r="R206" t="s">
        <v>112</v>
      </c>
      <c r="S206" t="s">
        <v>28</v>
      </c>
      <c r="T206" s="57">
        <f>C582</f>
        <v>1.5725259631383042</v>
      </c>
      <c r="U206" s="57">
        <f>D582</f>
        <v>9.4496494712566044</v>
      </c>
      <c r="V206" s="57">
        <f>E582</f>
        <v>42.148922028571718</v>
      </c>
      <c r="W206" s="57">
        <f>F582</f>
        <v>28.918796043872938</v>
      </c>
      <c r="X206" s="57">
        <f>G582</f>
        <v>17.910106493160438</v>
      </c>
      <c r="Y206" s="60"/>
      <c r="Z206" s="74"/>
      <c r="AA206" s="12"/>
      <c r="AC206" t="s">
        <v>310</v>
      </c>
      <c r="AD206" s="51">
        <v>0.91824561403508698</v>
      </c>
      <c r="AE206" s="51">
        <v>0.89983218436970902</v>
      </c>
      <c r="AI206" s="78"/>
      <c r="AJ206" t="s">
        <v>415</v>
      </c>
      <c r="AK206">
        <v>11</v>
      </c>
      <c r="AL206" s="1">
        <v>259.97000000000003</v>
      </c>
      <c r="AM206" s="1">
        <v>83.62</v>
      </c>
      <c r="AN206" s="1">
        <v>9820.42</v>
      </c>
      <c r="AO206" s="1">
        <v>18780.02</v>
      </c>
      <c r="AP206">
        <v>14280.77</v>
      </c>
      <c r="AR206" s="1">
        <v>3024.9</v>
      </c>
      <c r="AS206" s="1">
        <v>16405.080000000002</v>
      </c>
      <c r="AT206" s="1">
        <v>82515.320000000007</v>
      </c>
      <c r="AU206" s="1">
        <v>59653.79</v>
      </c>
      <c r="AV206" s="1">
        <v>31172.3</v>
      </c>
      <c r="BF206" s="51">
        <v>0.90209957190544598</v>
      </c>
      <c r="BG206" s="1">
        <v>143</v>
      </c>
      <c r="BH206">
        <f t="shared" si="41"/>
        <v>0.55992501300953679</v>
      </c>
      <c r="BI206">
        <f t="shared" si="42"/>
        <v>3.9654291158085608E-2</v>
      </c>
      <c r="BJ206">
        <f t="shared" si="40"/>
        <v>3.5772119077922937E-2</v>
      </c>
    </row>
    <row r="207" spans="1:62" x14ac:dyDescent="0.3">
      <c r="B207" s="1" t="s">
        <v>30</v>
      </c>
      <c r="C207" s="17">
        <f>C200/C205*100</f>
        <v>100</v>
      </c>
      <c r="D207" s="17">
        <f>D201/D205*100</f>
        <v>82.203734662790154</v>
      </c>
      <c r="E207" s="17">
        <f>E202/E205*100</f>
        <v>97.703839478852217</v>
      </c>
      <c r="F207" s="17">
        <f>F203/F205*100</f>
        <v>89.258979147073902</v>
      </c>
      <c r="G207" s="17">
        <f>G204/G205*100</f>
        <v>77.61143509013101</v>
      </c>
      <c r="H207" s="1"/>
      <c r="S207" s="66" t="s">
        <v>39</v>
      </c>
      <c r="T207" s="67">
        <f t="shared" ref="T207:V209" si="46">C583</f>
        <v>0</v>
      </c>
      <c r="U207" s="67">
        <f t="shared" si="46"/>
        <v>0.28039572300262372</v>
      </c>
      <c r="V207" s="67">
        <f t="shared" si="46"/>
        <v>0.33820798828769327</v>
      </c>
      <c r="W207" s="67">
        <f t="shared" ref="W207:X209" si="47">F583</f>
        <v>0.57592016209776886</v>
      </c>
      <c r="X207" s="67">
        <f t="shared" si="47"/>
        <v>0.56701061998534574</v>
      </c>
      <c r="AC207" t="s">
        <v>311</v>
      </c>
      <c r="AD207" s="51">
        <v>0.92</v>
      </c>
      <c r="AE207" s="51">
        <v>0.90180816467952996</v>
      </c>
      <c r="AH207" s="78"/>
      <c r="AJ207" t="s">
        <v>415</v>
      </c>
      <c r="AK207">
        <v>12</v>
      </c>
      <c r="AL207" s="1">
        <v>278.54000000000002</v>
      </c>
      <c r="AM207" s="1">
        <v>91.01</v>
      </c>
      <c r="AN207" s="1">
        <v>9826.42</v>
      </c>
      <c r="AO207" s="1">
        <v>18495.11</v>
      </c>
      <c r="AP207">
        <v>14533.72</v>
      </c>
      <c r="AR207" s="1">
        <v>2992.13</v>
      </c>
      <c r="AS207" s="1">
        <v>16353.94</v>
      </c>
      <c r="AT207" s="1">
        <v>82439.3</v>
      </c>
      <c r="AU207" s="1">
        <v>58924.12</v>
      </c>
      <c r="AV207" s="1">
        <v>32061.9</v>
      </c>
      <c r="BF207" s="51">
        <v>0.90210340001987188</v>
      </c>
      <c r="BG207" s="1">
        <v>144</v>
      </c>
      <c r="BH207">
        <f t="shared" si="41"/>
        <v>0.57462776351023559</v>
      </c>
      <c r="BI207">
        <f t="shared" si="42"/>
        <v>4.0695550497520529E-2</v>
      </c>
      <c r="BJ207">
        <f t="shared" si="40"/>
        <v>3.6711594469493659E-2</v>
      </c>
    </row>
    <row r="208" spans="1:62" x14ac:dyDescent="0.3">
      <c r="B208" s="16" t="s">
        <v>39</v>
      </c>
      <c r="C208" s="18">
        <f>SQRT((C211+C212)/(C205*C205))</f>
        <v>0</v>
      </c>
      <c r="D208" s="18">
        <f>SQRT((D211+D212)/(D205*D205))</f>
        <v>3.8430717875993072</v>
      </c>
      <c r="E208" s="18">
        <f>SQRT((E211+E212)/(E205*E205))</f>
        <v>0.60118150655839997</v>
      </c>
      <c r="F208" s="18">
        <f>SQRT((F211+F212)/(F205*F205))</f>
        <v>1.9389484552554974</v>
      </c>
      <c r="G208" s="18">
        <f>SQRT((G211+G212)/(G205*G205))</f>
        <v>5.5891393243457506</v>
      </c>
      <c r="H208" s="1"/>
      <c r="I208" s="14"/>
      <c r="S208" t="s">
        <v>30</v>
      </c>
      <c r="T208" s="57">
        <f t="shared" si="46"/>
        <v>100</v>
      </c>
      <c r="U208" s="57">
        <f t="shared" si="46"/>
        <v>82.707677166608207</v>
      </c>
      <c r="V208" s="57">
        <f t="shared" si="46"/>
        <v>97.560017933094485</v>
      </c>
      <c r="W208" s="57">
        <f t="shared" si="47"/>
        <v>89.947443955592249</v>
      </c>
      <c r="X208" s="57">
        <f>G584</f>
        <v>77.597331636908478</v>
      </c>
      <c r="AC208" t="s">
        <v>312</v>
      </c>
      <c r="AD208" s="51">
        <v>0.91473684210526296</v>
      </c>
      <c r="AE208" s="51">
        <v>0.89757835137516395</v>
      </c>
      <c r="AI208" s="78"/>
      <c r="AJ208" t="s">
        <v>415</v>
      </c>
      <c r="AK208">
        <v>13</v>
      </c>
      <c r="AL208" s="1">
        <v>251.12</v>
      </c>
      <c r="AM208" s="1">
        <v>69.150000000000006</v>
      </c>
      <c r="AN208" s="1">
        <v>9958.42</v>
      </c>
      <c r="AO208" s="1">
        <v>18480.939999999999</v>
      </c>
      <c r="AP208">
        <v>14465.18</v>
      </c>
      <c r="AR208" s="1">
        <v>3065.59</v>
      </c>
      <c r="AS208" s="1">
        <v>16396.080000000002</v>
      </c>
      <c r="AT208" s="1">
        <v>82342.429999999993</v>
      </c>
      <c r="AU208" s="1">
        <v>58941.03</v>
      </c>
      <c r="AV208" s="1">
        <v>32026.26</v>
      </c>
      <c r="BF208" s="51">
        <v>0.90211054079592401</v>
      </c>
      <c r="BG208" s="1">
        <v>145</v>
      </c>
      <c r="BH208">
        <f t="shared" si="41"/>
        <v>0.58945579784977842</v>
      </c>
      <c r="BI208">
        <f t="shared" si="42"/>
        <v>4.1745682528311422E-2</v>
      </c>
      <c r="BJ208">
        <f t="shared" si="40"/>
        <v>3.7659220241509972E-2</v>
      </c>
    </row>
    <row r="209" spans="1:62" x14ac:dyDescent="0.3">
      <c r="B209" s="1" t="s">
        <v>37</v>
      </c>
      <c r="C209" s="18">
        <f>100-C207</f>
        <v>0</v>
      </c>
      <c r="D209" s="18">
        <f>100-D207</f>
        <v>17.796265337209846</v>
      </c>
      <c r="E209" s="18">
        <f>100-E207</f>
        <v>2.2961605211477831</v>
      </c>
      <c r="F209" s="18">
        <f>100-F207</f>
        <v>10.741020852926098</v>
      </c>
      <c r="G209" s="18">
        <f>100-G207</f>
        <v>22.38856490986899</v>
      </c>
      <c r="S209" s="66" t="s">
        <v>39</v>
      </c>
      <c r="T209" s="67">
        <f t="shared" si="46"/>
        <v>0</v>
      </c>
      <c r="U209" s="67">
        <f t="shared" si="46"/>
        <v>3.7325398461905341</v>
      </c>
      <c r="V209" s="67">
        <f t="shared" si="46"/>
        <v>0.6216102664255605</v>
      </c>
      <c r="W209" s="67">
        <f t="shared" si="47"/>
        <v>1.9073057166474712</v>
      </c>
      <c r="X209" s="67">
        <f>G585</f>
        <v>5.3635937817644228</v>
      </c>
      <c r="AC209" t="s">
        <v>313</v>
      </c>
      <c r="AD209" s="51">
        <v>0.92</v>
      </c>
      <c r="AE209" s="51">
        <v>0.89843223941595096</v>
      </c>
      <c r="AH209" s="78"/>
      <c r="AJ209" t="s">
        <v>415</v>
      </c>
      <c r="AK209">
        <v>14</v>
      </c>
      <c r="AL209" s="1">
        <v>270.52999999999997</v>
      </c>
      <c r="AM209" s="1">
        <v>102.19</v>
      </c>
      <c r="AN209" s="1">
        <v>9780.0499999999993</v>
      </c>
      <c r="AO209" s="1">
        <v>18696.16</v>
      </c>
      <c r="AP209">
        <v>14375.87</v>
      </c>
      <c r="AQ209" s="1"/>
      <c r="AR209" s="1">
        <v>3019.86</v>
      </c>
      <c r="AS209" s="1">
        <v>17076.419999999998</v>
      </c>
      <c r="AT209" s="1">
        <v>81653.09</v>
      </c>
      <c r="AU209" s="1">
        <v>59590.77</v>
      </c>
      <c r="AV209" s="1">
        <v>31431.25</v>
      </c>
      <c r="BF209" s="51">
        <v>0.902113243356646</v>
      </c>
      <c r="BG209" s="1">
        <v>146</v>
      </c>
      <c r="BH209">
        <f t="shared" si="41"/>
        <v>0.6044145871408374</v>
      </c>
      <c r="BI209">
        <f t="shared" si="42"/>
        <v>4.2805074718583164E-2</v>
      </c>
      <c r="BJ209">
        <f t="shared" si="40"/>
        <v>3.861502478650463E-2</v>
      </c>
    </row>
    <row r="210" spans="1:62" ht="15.6" x14ac:dyDescent="0.35">
      <c r="B210" s="1" t="s">
        <v>25</v>
      </c>
      <c r="C210" s="1">
        <f>C194</f>
        <v>56</v>
      </c>
      <c r="D210" s="1">
        <f>D194</f>
        <v>145</v>
      </c>
      <c r="E210" s="1">
        <f>E194</f>
        <v>1738</v>
      </c>
      <c r="F210" s="1">
        <f>F194</f>
        <v>624</v>
      </c>
      <c r="G210" s="1">
        <f>G194</f>
        <v>287</v>
      </c>
      <c r="S210" s="15" t="s">
        <v>31</v>
      </c>
      <c r="T210" s="71">
        <f>I577</f>
        <v>100</v>
      </c>
      <c r="U210" s="71">
        <f>I578</f>
        <v>95.652173913043484</v>
      </c>
      <c r="V210" s="71">
        <f>I579</f>
        <v>95.353982300884937</v>
      </c>
      <c r="W210" s="71">
        <f>I580</f>
        <v>85.604900459418062</v>
      </c>
      <c r="X210" s="71">
        <f>I581</f>
        <v>82.987551867219921</v>
      </c>
      <c r="AC210" t="s">
        <v>314</v>
      </c>
      <c r="AD210" s="51">
        <v>0.91929824561403495</v>
      </c>
      <c r="AE210" s="51">
        <v>0.90067773156959396</v>
      </c>
      <c r="AI210" s="78"/>
      <c r="AJ210" t="s">
        <v>415</v>
      </c>
      <c r="AK210">
        <v>15</v>
      </c>
      <c r="AL210" s="1">
        <v>252.85</v>
      </c>
      <c r="AM210" s="1">
        <v>89.72</v>
      </c>
      <c r="AN210" s="1">
        <v>10238.42</v>
      </c>
      <c r="AO210" s="1">
        <v>18221.849999999999</v>
      </c>
      <c r="AP210">
        <v>14421.96</v>
      </c>
      <c r="AQ210" s="1"/>
      <c r="AR210" s="1">
        <v>2987.08</v>
      </c>
      <c r="AS210" s="1">
        <v>16281.9</v>
      </c>
      <c r="AT210" s="1">
        <v>83949.5</v>
      </c>
      <c r="AU210" s="1">
        <v>57413.56</v>
      </c>
      <c r="AV210" s="1">
        <v>32139.35</v>
      </c>
      <c r="BF210" s="51">
        <v>0.9021394727177352</v>
      </c>
      <c r="BG210" s="1">
        <v>147</v>
      </c>
      <c r="BH210">
        <f t="shared" si="41"/>
        <v>0.6195098661793067</v>
      </c>
      <c r="BI210">
        <f t="shared" si="42"/>
        <v>4.3874133210695589E-2</v>
      </c>
      <c r="BJ210">
        <f t="shared" si="40"/>
        <v>3.9580587400644594E-2</v>
      </c>
    </row>
    <row r="211" spans="1:62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911.82070521802939</v>
      </c>
      <c r="E211" s="18">
        <f>(O202*O202*(100-E207)*(100-E207)*(I202)*(100-I202))/((L202-1)*100)</f>
        <v>24.436968572738984</v>
      </c>
      <c r="F211" s="18">
        <f>(O203*O203*(100-F207)*(100-F207)*(I203)*(100-I203))/((L203-1)*100)</f>
        <v>2023.7355157672512</v>
      </c>
      <c r="G211" s="18">
        <f>(O204*O204*(100-G207)*(100-G207)*(I204)*(100-I204))/((L204-1)*100)</f>
        <v>8346.4961480887487</v>
      </c>
      <c r="S211" s="75" t="s">
        <v>39</v>
      </c>
      <c r="T211" s="76">
        <f>J577</f>
        <v>0</v>
      </c>
      <c r="U211" s="76">
        <f>J578</f>
        <v>2.1377790082367012</v>
      </c>
      <c r="V211" s="76">
        <f>J579</f>
        <v>0.49514314558110045</v>
      </c>
      <c r="W211" s="76">
        <f>J580</f>
        <v>1.374778879752335</v>
      </c>
      <c r="X211" s="76">
        <f>J581</f>
        <v>2.425404967738614</v>
      </c>
      <c r="AC211" t="s">
        <v>315</v>
      </c>
      <c r="AD211" s="51">
        <v>0.91508771929824495</v>
      </c>
      <c r="AE211" s="51">
        <v>0.89509077033183004</v>
      </c>
      <c r="AH211" s="78"/>
      <c r="AJ211" t="s">
        <v>415</v>
      </c>
      <c r="AK211">
        <v>16</v>
      </c>
      <c r="AL211" s="1">
        <v>248.27</v>
      </c>
      <c r="AM211" s="1">
        <v>82</v>
      </c>
      <c r="AN211" s="1">
        <v>9750.42</v>
      </c>
      <c r="AO211" s="1">
        <v>18574.919999999998</v>
      </c>
      <c r="AP211">
        <v>14569.21</v>
      </c>
      <c r="AQ211" s="1"/>
      <c r="AR211" s="1">
        <v>3011.21</v>
      </c>
      <c r="AS211" s="1">
        <v>16706.88</v>
      </c>
      <c r="AT211" s="1">
        <v>81749.240000000005</v>
      </c>
      <c r="AU211" s="1">
        <v>59391.24</v>
      </c>
      <c r="AV211" s="1">
        <v>31912.81</v>
      </c>
      <c r="BF211" s="51">
        <v>0.90216752188646399</v>
      </c>
      <c r="BG211" s="1">
        <v>148</v>
      </c>
      <c r="BH211">
        <f t="shared" si="41"/>
        <v>0.63474765328291094</v>
      </c>
      <c r="BI211">
        <f t="shared" si="42"/>
        <v>4.4953284226228012E-2</v>
      </c>
      <c r="BJ211">
        <f t="shared" si="40"/>
        <v>4.0555393031033997E-2</v>
      </c>
    </row>
    <row r="212" spans="1:62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347.94469102834591</v>
      </c>
      <c r="E212" s="18">
        <f>E207*E207*(SUM((H200*E200*(1-E189/H189))/(H189-1),(H201*E201*(1-E190/H190))/(H190-1), (H203*E203*(1-E192/H192))/(H192-1),(H204*E204*(1-E193/H193))/(H193-1)))</f>
        <v>618.33259960811506</v>
      </c>
      <c r="F212" s="18">
        <f>F207*F207*(SUM((H200*F200*(1-F189/H189))/(H189-1),(H201*F201*(1-F190/H190))/(H190-1), (H202*F202*(1-F191/H191))/(H191-1),(H204*F204*(1-F193/H193))/(H193-1)))</f>
        <v>1309.253250876759</v>
      </c>
      <c r="G212" s="18">
        <f>G207*G207*(SUM((H200*G200*(1-G189/H189))/(H189-1),(H201*G201*(1-G190/H190))/(H190-1), (H202*G202*(1-G191/H191))/(H191-1),(H203*G203*(1-G192/H192))/(H192-1)))</f>
        <v>932.7975169752558</v>
      </c>
      <c r="S212" s="66" t="s">
        <v>56</v>
      </c>
      <c r="T212" s="67">
        <f>N566*100</f>
        <v>100</v>
      </c>
      <c r="U212" s="67">
        <f>N567*100</f>
        <v>73.640167364016733</v>
      </c>
      <c r="V212" s="67">
        <f>N568*100</f>
        <v>97.181510710259303</v>
      </c>
      <c r="W212" s="67">
        <f>N569*100</f>
        <v>88.379446640316203</v>
      </c>
      <c r="X212" s="67">
        <f>N570*100</f>
        <v>74.626865671641781</v>
      </c>
      <c r="AC212" t="s">
        <v>316</v>
      </c>
      <c r="AD212" s="51">
        <v>0.91824561403508698</v>
      </c>
      <c r="AE212" s="51">
        <v>0.89706624955204906</v>
      </c>
      <c r="AI212" s="78"/>
      <c r="AJ212" t="s">
        <v>415</v>
      </c>
      <c r="AK212">
        <v>17</v>
      </c>
      <c r="AL212" s="1">
        <v>244.76</v>
      </c>
      <c r="AM212" s="1">
        <v>63.47</v>
      </c>
      <c r="AN212" s="1">
        <v>9456.48</v>
      </c>
      <c r="AO212" s="1">
        <v>18828.68</v>
      </c>
      <c r="AP212">
        <v>14631.41</v>
      </c>
      <c r="AQ212" s="1"/>
      <c r="AR212" s="1">
        <v>2997.16</v>
      </c>
      <c r="AS212" s="1">
        <v>16169.54</v>
      </c>
      <c r="AT212" s="1">
        <v>81332.52</v>
      </c>
      <c r="AU212" s="1">
        <v>59971.49</v>
      </c>
      <c r="AV212" s="1">
        <v>32300.68</v>
      </c>
      <c r="BF212" s="51">
        <v>0.90222470621155704</v>
      </c>
      <c r="BG212" s="1">
        <v>149</v>
      </c>
      <c r="BH212">
        <f t="shared" si="41"/>
        <v>0.65013427195943696</v>
      </c>
      <c r="BI212">
        <f t="shared" si="42"/>
        <v>4.6042975600538889E-2</v>
      </c>
      <c r="BJ212">
        <f t="shared" si="40"/>
        <v>4.1541110134302089E-2</v>
      </c>
    </row>
    <row r="213" spans="1:62" x14ac:dyDescent="0.3">
      <c r="A213" s="105" t="s">
        <v>390</v>
      </c>
      <c r="B213" s="69" t="s">
        <v>9</v>
      </c>
      <c r="C213" s="1">
        <v>270.81</v>
      </c>
      <c r="D213" s="1">
        <v>964.76</v>
      </c>
      <c r="E213" s="1">
        <v>13642.05</v>
      </c>
      <c r="F213" s="1">
        <v>3905.04</v>
      </c>
      <c r="G213">
        <v>3272.7</v>
      </c>
      <c r="I213" t="s">
        <v>36</v>
      </c>
      <c r="J213" s="57">
        <f>SUM(C213:G213)</f>
        <v>22055.360000000001</v>
      </c>
      <c r="R213" s="16" t="s">
        <v>66</v>
      </c>
      <c r="S213" t="s">
        <v>9</v>
      </c>
      <c r="T213" s="1">
        <f>N577</f>
        <v>3031.38</v>
      </c>
      <c r="U213" s="1">
        <f>N578</f>
        <v>15751.04</v>
      </c>
      <c r="V213" s="1">
        <f>N579</f>
        <v>83130.820000000007</v>
      </c>
      <c r="W213" s="1">
        <f>N580</f>
        <v>58575.09</v>
      </c>
      <c r="X213" s="1">
        <f>N581</f>
        <v>32283.05</v>
      </c>
      <c r="Z213" t="s">
        <v>36</v>
      </c>
      <c r="AA213" s="1">
        <f>N582</f>
        <v>192771.38</v>
      </c>
      <c r="AC213" t="s">
        <v>317</v>
      </c>
      <c r="AD213" s="51">
        <v>0.91614035087719303</v>
      </c>
      <c r="AE213" s="51">
        <v>0.89565231370611997</v>
      </c>
      <c r="AH213" s="78"/>
      <c r="AJ213" t="s">
        <v>415</v>
      </c>
      <c r="AK213">
        <v>18</v>
      </c>
      <c r="AL213" s="1">
        <v>249.05</v>
      </c>
      <c r="AM213" s="1">
        <v>102.91</v>
      </c>
      <c r="AN213" s="1">
        <v>9955.68</v>
      </c>
      <c r="AO213" s="1">
        <v>18610.830000000002</v>
      </c>
      <c r="AP213">
        <v>14306.33</v>
      </c>
      <c r="AQ213" s="1"/>
      <c r="AR213" s="1">
        <v>2959.71</v>
      </c>
      <c r="AS213" s="1">
        <v>16839.78</v>
      </c>
      <c r="AT213" s="1">
        <v>82234.03</v>
      </c>
      <c r="AU213" s="1">
        <v>59118.59</v>
      </c>
      <c r="AV213" s="1">
        <v>31619.27</v>
      </c>
      <c r="BF213" s="51">
        <v>0.90228020792096308</v>
      </c>
      <c r="BG213" s="1">
        <v>150</v>
      </c>
      <c r="BH213">
        <f t="shared" si="41"/>
        <v>0.66567637461552476</v>
      </c>
      <c r="BI213">
        <f t="shared" si="42"/>
        <v>4.7143678461839471E-2</v>
      </c>
      <c r="BJ213">
        <f t="shared" si="40"/>
        <v>4.2536808004707549E-2</v>
      </c>
    </row>
    <row r="214" spans="1:62" ht="15.6" x14ac:dyDescent="0.35">
      <c r="B214" t="s">
        <v>391</v>
      </c>
      <c r="C214" s="57">
        <f>(C213/$J213)*100</f>
        <v>1.2278647911437401</v>
      </c>
      <c r="D214" s="57">
        <f>(D213/$J213)*100</f>
        <v>4.3742654846712998</v>
      </c>
      <c r="E214" s="57">
        <f>(E213/$J213)*100</f>
        <v>61.853671851196253</v>
      </c>
      <c r="F214" s="57">
        <f>(F213/$J213)*100</f>
        <v>17.705628019674126</v>
      </c>
      <c r="G214" s="57">
        <f>(G213/$J213)*100</f>
        <v>14.838569853314567</v>
      </c>
      <c r="R214" s="16" t="s">
        <v>323</v>
      </c>
      <c r="S214" t="s">
        <v>68</v>
      </c>
      <c r="T214" s="57">
        <f>$AA213*T206/100</f>
        <v>3031.3800000000006</v>
      </c>
      <c r="U214" s="57">
        <f>$AA213*U206/100</f>
        <v>18216.219690904061</v>
      </c>
      <c r="V214" s="57">
        <f>$AA213*V206/100</f>
        <v>81251.058649601691</v>
      </c>
      <c r="W214" s="57">
        <f>$AA213*W206/100</f>
        <v>55747.162213159267</v>
      </c>
      <c r="X214" s="57">
        <f>$AA213*X206/100</f>
        <v>34525.559446334984</v>
      </c>
      <c r="Z214" t="s">
        <v>36</v>
      </c>
      <c r="AA214" s="25">
        <f>SUM(T214:X214)</f>
        <v>192771.38</v>
      </c>
      <c r="AC214" t="s">
        <v>318</v>
      </c>
      <c r="AD214" s="51">
        <v>0.91438596491227997</v>
      </c>
      <c r="AE214" s="51">
        <v>0.89343976769356803</v>
      </c>
      <c r="AI214" s="78"/>
      <c r="AJ214" t="s">
        <v>415</v>
      </c>
      <c r="AK214">
        <v>19</v>
      </c>
      <c r="AL214" s="1">
        <v>266.23</v>
      </c>
      <c r="AM214" s="1">
        <v>71.81</v>
      </c>
      <c r="AN214" s="1">
        <v>10003.52</v>
      </c>
      <c r="AO214" s="1">
        <v>18364.79</v>
      </c>
      <c r="AP214">
        <v>14518.45</v>
      </c>
      <c r="AR214" s="1">
        <v>3031.38</v>
      </c>
      <c r="AS214" s="1">
        <v>15751.04</v>
      </c>
      <c r="AT214" s="1">
        <v>83130.820000000007</v>
      </c>
      <c r="AU214" s="1">
        <v>58575.09</v>
      </c>
      <c r="AV214" s="1">
        <v>32283.05</v>
      </c>
      <c r="BF214" s="51">
        <v>0.90228037229820701</v>
      </c>
      <c r="BG214" s="1">
        <v>151</v>
      </c>
      <c r="BH214">
        <f t="shared" si="41"/>
        <v>0.68138096854583952</v>
      </c>
      <c r="BI214">
        <f t="shared" si="42"/>
        <v>4.8255889071765555E-2</v>
      </c>
      <c r="BJ214">
        <f t="shared" si="40"/>
        <v>4.3540341557253608E-2</v>
      </c>
    </row>
    <row r="215" spans="1:62" x14ac:dyDescent="0.3">
      <c r="A215" s="361">
        <v>1977</v>
      </c>
      <c r="B215" s="361"/>
      <c r="C215" s="361"/>
      <c r="D215" s="361"/>
      <c r="E215" s="361"/>
      <c r="F215" s="361"/>
      <c r="G215" s="361"/>
      <c r="H215" s="361"/>
      <c r="I215" s="361"/>
      <c r="J215" s="361"/>
      <c r="K215" s="361"/>
      <c r="L215" s="361" t="s">
        <v>85</v>
      </c>
      <c r="M215" s="361"/>
      <c r="N215" s="361"/>
      <c r="O215" s="361"/>
      <c r="P215" s="361"/>
      <c r="R215" s="66"/>
      <c r="S215" s="66" t="s">
        <v>67</v>
      </c>
      <c r="T215" s="67">
        <f>$AA213*T207/100</f>
        <v>0</v>
      </c>
      <c r="U215" s="67">
        <f>$AA213*U207/100</f>
        <v>540.52270469313521</v>
      </c>
      <c r="V215" s="67">
        <f>$AA213*V207/100</f>
        <v>651.96820629242472</v>
      </c>
      <c r="W215" s="67">
        <f>$AA213*W207/100</f>
        <v>1110.2092441741061</v>
      </c>
      <c r="X215" s="67">
        <f>$AA213*X207/100</f>
        <v>1093.0341968923067</v>
      </c>
      <c r="AA215" s="1"/>
      <c r="AC215" t="s">
        <v>319</v>
      </c>
      <c r="AD215" s="51">
        <v>0.91508771929824495</v>
      </c>
      <c r="AE215" s="51">
        <v>0.89547509469002695</v>
      </c>
      <c r="AH215" s="78"/>
      <c r="AQ215" s="1" t="s">
        <v>412</v>
      </c>
      <c r="BF215" s="51">
        <v>0.902310910374022</v>
      </c>
      <c r="BG215" s="1">
        <v>152</v>
      </c>
      <c r="BH215">
        <f t="shared" si="41"/>
        <v>0.69725544447594368</v>
      </c>
      <c r="BI215">
        <f t="shared" si="42"/>
        <v>4.9380130846804184E-2</v>
      </c>
      <c r="BJ215">
        <f t="shared" si="40"/>
        <v>4.4556230818768208E-2</v>
      </c>
    </row>
    <row r="216" spans="1:62" x14ac:dyDescent="0.3">
      <c r="A216" t="s">
        <v>320</v>
      </c>
      <c r="B216" t="s">
        <v>21</v>
      </c>
      <c r="I216" s="1" t="s">
        <v>58</v>
      </c>
      <c r="O216" s="360" t="s">
        <v>411</v>
      </c>
      <c r="P216" s="360"/>
      <c r="AI216" s="78"/>
      <c r="AJ216" t="s">
        <v>416</v>
      </c>
      <c r="AK216">
        <v>0</v>
      </c>
      <c r="AL216" s="1">
        <v>0</v>
      </c>
      <c r="AM216" s="1">
        <v>4.17</v>
      </c>
      <c r="AN216" s="1">
        <v>898.32</v>
      </c>
      <c r="AO216" s="1">
        <v>680.86</v>
      </c>
      <c r="AP216">
        <v>268.29000000000002</v>
      </c>
      <c r="AQ216" s="1"/>
      <c r="AR216" s="1">
        <v>2978.79</v>
      </c>
      <c r="AS216" s="1">
        <v>15952.01</v>
      </c>
      <c r="AT216" s="1">
        <v>81659.179999999993</v>
      </c>
      <c r="AU216" s="1">
        <v>59984.78</v>
      </c>
      <c r="AV216" s="1">
        <v>32196.63</v>
      </c>
      <c r="BF216" s="51">
        <v>0.9023542708673068</v>
      </c>
      <c r="BG216" s="1">
        <v>153</v>
      </c>
      <c r="BH216">
        <f t="shared" si="41"/>
        <v>0.7133076079711943</v>
      </c>
      <c r="BI216">
        <f t="shared" si="42"/>
        <v>5.0516956582694325E-2</v>
      </c>
      <c r="BJ216">
        <f t="shared" si="40"/>
        <v>4.5584191523612531E-2</v>
      </c>
    </row>
    <row r="217" spans="1:62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56</v>
      </c>
      <c r="O217" s="13" t="s">
        <v>412</v>
      </c>
      <c r="P217" s="13" t="s">
        <v>41</v>
      </c>
      <c r="AH217" s="78"/>
      <c r="AJ217" t="s">
        <v>416</v>
      </c>
      <c r="AK217">
        <v>1</v>
      </c>
      <c r="AL217" s="1">
        <v>0</v>
      </c>
      <c r="AM217" s="1">
        <v>4.8899999999999997</v>
      </c>
      <c r="AN217" s="1">
        <v>905.32</v>
      </c>
      <c r="AO217" s="1">
        <v>681.99</v>
      </c>
      <c r="AP217">
        <v>259.44</v>
      </c>
      <c r="AQ217" s="1"/>
      <c r="AR217" s="1">
        <v>3025.62</v>
      </c>
      <c r="AS217" s="1">
        <v>16297.75</v>
      </c>
      <c r="AT217" s="1">
        <v>82263.199999999997</v>
      </c>
      <c r="AU217" s="1">
        <v>58571.85</v>
      </c>
      <c r="AV217" s="1">
        <v>32612.97</v>
      </c>
      <c r="BF217" s="51">
        <v>0.90236306752195705</v>
      </c>
      <c r="BG217" s="1">
        <v>154</v>
      </c>
      <c r="BH217">
        <f t="shared" si="41"/>
        <v>0.7295457140694851</v>
      </c>
      <c r="BI217">
        <f t="shared" si="42"/>
        <v>5.1666950907142448E-2</v>
      </c>
      <c r="BJ217">
        <f t="shared" si="40"/>
        <v>4.6622348310075418E-2</v>
      </c>
    </row>
    <row r="218" spans="1:62" x14ac:dyDescent="0.3">
      <c r="A218" t="s">
        <v>3</v>
      </c>
      <c r="B218" s="13">
        <v>0</v>
      </c>
      <c r="C218" s="26">
        <v>56</v>
      </c>
      <c r="D218" s="3">
        <v>0</v>
      </c>
      <c r="E218" s="3">
        <v>0</v>
      </c>
      <c r="F218" s="3">
        <v>0</v>
      </c>
      <c r="G218" s="4">
        <v>0</v>
      </c>
      <c r="H218" s="1">
        <f>SUM(C218:G218)</f>
        <v>56</v>
      </c>
      <c r="I218" s="10">
        <f>C218/H218</f>
        <v>1</v>
      </c>
      <c r="J218" s="11">
        <f>1-I218</f>
        <v>0</v>
      </c>
      <c r="K218">
        <f>H218-C223</f>
        <v>0</v>
      </c>
      <c r="N218" s="10">
        <f>2*(C224*I218)/(C224+I218)</f>
        <v>1</v>
      </c>
      <c r="O218" s="1">
        <v>0</v>
      </c>
      <c r="P218" s="1">
        <v>282</v>
      </c>
      <c r="R218" s="66"/>
      <c r="S218" s="66"/>
      <c r="T218" s="66"/>
      <c r="U218" s="66"/>
      <c r="V218" s="66"/>
      <c r="W218" s="66"/>
      <c r="X218" s="66"/>
      <c r="AI218" s="78"/>
      <c r="AJ218" t="s">
        <v>416</v>
      </c>
      <c r="AK218">
        <v>2</v>
      </c>
      <c r="AL218" s="1">
        <v>0</v>
      </c>
      <c r="AM218" s="1">
        <v>4.53</v>
      </c>
      <c r="AN218" s="1">
        <v>915.77</v>
      </c>
      <c r="AO218" s="1">
        <v>667.12</v>
      </c>
      <c r="AP218">
        <v>264.22000000000003</v>
      </c>
      <c r="AQ218" s="1"/>
      <c r="AR218" s="1">
        <v>3034.98</v>
      </c>
      <c r="AS218" s="1">
        <v>16765.59</v>
      </c>
      <c r="AT218" s="1">
        <v>81872.070000000007</v>
      </c>
      <c r="AU218" s="1">
        <v>58961.21</v>
      </c>
      <c r="AV218" s="1">
        <v>32137.54</v>
      </c>
      <c r="BF218" s="51">
        <v>0.90236859864504504</v>
      </c>
      <c r="BG218" s="1">
        <v>155</v>
      </c>
      <c r="BH218">
        <f t="shared" si="41"/>
        <v>0.74597850554896161</v>
      </c>
      <c r="BI218">
        <f t="shared" si="42"/>
        <v>5.2830732989969618E-2</v>
      </c>
      <c r="BJ218">
        <f t="shared" si="40"/>
        <v>4.7672794493549435E-2</v>
      </c>
    </row>
    <row r="219" spans="1:62" x14ac:dyDescent="0.3">
      <c r="A219" t="s">
        <v>4</v>
      </c>
      <c r="B219" s="13">
        <v>1</v>
      </c>
      <c r="C219" s="5">
        <v>0</v>
      </c>
      <c r="D219" s="27">
        <v>88</v>
      </c>
      <c r="E219" s="1">
        <v>4</v>
      </c>
      <c r="F219" s="1">
        <v>0</v>
      </c>
      <c r="G219" s="6">
        <v>0</v>
      </c>
      <c r="H219" s="1">
        <f>SUM(C219:G219)</f>
        <v>92</v>
      </c>
      <c r="I219" s="10">
        <f>D219/H219</f>
        <v>0.95652173913043481</v>
      </c>
      <c r="J219" s="11">
        <f>1-I219</f>
        <v>4.3478260869565188E-2</v>
      </c>
      <c r="K219">
        <f>H219-D223</f>
        <v>-50</v>
      </c>
      <c r="N219" s="10">
        <f>2*(D224*I219)/(D224+I219)</f>
        <v>0.75213675213675224</v>
      </c>
      <c r="O219" s="1">
        <v>5</v>
      </c>
      <c r="P219" s="1">
        <v>85</v>
      </c>
      <c r="R219" t="s">
        <v>371</v>
      </c>
      <c r="S219" t="s">
        <v>28</v>
      </c>
      <c r="T219" s="57">
        <f t="shared" ref="T219:X228" si="48">AVERAGE(T16,T26,T36,T46,T56,T66,T76,T86,T96,T106,T116,T126,T136,T146,T156,T166,T176,T186,T196,T206)</f>
        <v>1.5593634234808718</v>
      </c>
      <c r="U219" s="57">
        <f t="shared" si="48"/>
        <v>9.5743184534937846</v>
      </c>
      <c r="V219" s="57">
        <f t="shared" si="48"/>
        <v>41.983528374112254</v>
      </c>
      <c r="W219" s="57">
        <f t="shared" si="48"/>
        <v>29.096456076311192</v>
      </c>
      <c r="X219" s="57">
        <f t="shared" si="48"/>
        <v>17.786333672601902</v>
      </c>
      <c r="AH219" s="78"/>
      <c r="AJ219" t="s">
        <v>416</v>
      </c>
      <c r="AK219">
        <v>3</v>
      </c>
      <c r="AL219" s="1">
        <v>0.26</v>
      </c>
      <c r="AM219" s="1">
        <v>4.7300000000000004</v>
      </c>
      <c r="AN219" s="1">
        <v>895.65</v>
      </c>
      <c r="AO219" s="1">
        <v>680.56</v>
      </c>
      <c r="AP219">
        <v>270.43</v>
      </c>
      <c r="AQ219" s="1"/>
      <c r="AR219" s="1">
        <v>2974.84</v>
      </c>
      <c r="AS219" s="1">
        <v>16837.259999999998</v>
      </c>
      <c r="AT219" s="1">
        <v>81044.45</v>
      </c>
      <c r="AU219" s="1">
        <v>60629.120000000003</v>
      </c>
      <c r="AV219" s="1">
        <v>31285.73</v>
      </c>
      <c r="BF219" s="51">
        <v>0.90237694065887697</v>
      </c>
      <c r="BG219" s="1">
        <v>156</v>
      </c>
      <c r="BH219">
        <f t="shared" si="41"/>
        <v>0.76261525530438468</v>
      </c>
      <c r="BI219">
        <f t="shared" si="42"/>
        <v>5.400895954423595E-2</v>
      </c>
      <c r="BJ219">
        <f t="shared" si="40"/>
        <v>4.8736439681696692E-2</v>
      </c>
    </row>
    <row r="220" spans="1:62" x14ac:dyDescent="0.3">
      <c r="A220" t="s">
        <v>5</v>
      </c>
      <c r="B220" s="13">
        <v>2</v>
      </c>
      <c r="C220" s="5">
        <v>0</v>
      </c>
      <c r="D220" s="1">
        <v>43</v>
      </c>
      <c r="E220" s="27">
        <v>1726</v>
      </c>
      <c r="F220" s="1">
        <v>22</v>
      </c>
      <c r="G220" s="6">
        <v>17</v>
      </c>
      <c r="H220" s="1">
        <f>SUM(C220:G220)</f>
        <v>1808</v>
      </c>
      <c r="I220" s="10">
        <f>E220/H220</f>
        <v>0.95464601769911506</v>
      </c>
      <c r="J220" s="11">
        <f>1-I220</f>
        <v>4.5353982300884943E-2</v>
      </c>
      <c r="K220">
        <f>H220-E223</f>
        <v>65</v>
      </c>
      <c r="N220" s="10">
        <f>2*(E224*I220)/(E224+I220)</f>
        <v>0.97212052942833005</v>
      </c>
      <c r="O220" s="1">
        <v>927</v>
      </c>
      <c r="P220" s="1">
        <v>10114</v>
      </c>
      <c r="S220" s="66" t="s">
        <v>39</v>
      </c>
      <c r="T220" s="67">
        <f t="shared" si="48"/>
        <v>0</v>
      </c>
      <c r="U220" s="67">
        <f t="shared" si="48"/>
        <v>0.29489754663398876</v>
      </c>
      <c r="V220" s="67">
        <f t="shared" si="48"/>
        <v>0.35158343805388925</v>
      </c>
      <c r="W220" s="67">
        <f t="shared" si="48"/>
        <v>0.58710435800719452</v>
      </c>
      <c r="X220" s="67">
        <f t="shared" si="48"/>
        <v>0.57548357745631962</v>
      </c>
      <c r="AC220" t="s">
        <v>123</v>
      </c>
      <c r="AD220" t="s">
        <v>162</v>
      </c>
      <c r="AE220" t="s">
        <v>124</v>
      </c>
      <c r="AI220" s="78"/>
      <c r="AJ220" t="s">
        <v>416</v>
      </c>
      <c r="AK220">
        <v>4</v>
      </c>
      <c r="AL220" s="1">
        <v>0.26</v>
      </c>
      <c r="AM220" s="1">
        <v>4.7300000000000004</v>
      </c>
      <c r="AN220" s="1">
        <v>938.29</v>
      </c>
      <c r="AO220" s="1">
        <v>646.14</v>
      </c>
      <c r="AP220">
        <v>262.22000000000003</v>
      </c>
      <c r="AQ220" s="1"/>
      <c r="AR220" s="1">
        <v>3043.26</v>
      </c>
      <c r="AS220" s="1">
        <v>15894.02</v>
      </c>
      <c r="AT220" s="1">
        <v>83274.2</v>
      </c>
      <c r="AU220" s="1">
        <v>58472.82</v>
      </c>
      <c r="AV220" s="1">
        <v>32087.09</v>
      </c>
      <c r="BF220" s="51">
        <v>0.9025200722186133</v>
      </c>
      <c r="BG220" s="1">
        <v>157</v>
      </c>
      <c r="BH220">
        <f t="shared" si="41"/>
        <v>0.77946581337961318</v>
      </c>
      <c r="BI220">
        <f t="shared" si="42"/>
        <v>5.5202328157114761E-2</v>
      </c>
      <c r="BJ220">
        <f t="shared" si="40"/>
        <v>4.9821209194994803E-2</v>
      </c>
    </row>
    <row r="221" spans="1:62" x14ac:dyDescent="0.3">
      <c r="A221" t="s">
        <v>6</v>
      </c>
      <c r="B221" s="13">
        <v>3</v>
      </c>
      <c r="C221" s="5">
        <v>0</v>
      </c>
      <c r="D221" s="1">
        <v>10</v>
      </c>
      <c r="E221" s="1">
        <v>8</v>
      </c>
      <c r="F221" s="27">
        <v>559</v>
      </c>
      <c r="G221" s="6">
        <v>76</v>
      </c>
      <c r="H221" s="1">
        <f>SUM(C221:G221)</f>
        <v>653</v>
      </c>
      <c r="I221" s="10">
        <f>F221/H221</f>
        <v>0.85604900459418065</v>
      </c>
      <c r="J221" s="11">
        <f>1-I221</f>
        <v>0.14395099540581935</v>
      </c>
      <c r="K221">
        <f>H221-F223</f>
        <v>32</v>
      </c>
      <c r="N221" s="10">
        <f>2*(F224*I221)/(F224+I221)</f>
        <v>0.87755102040816324</v>
      </c>
      <c r="O221" s="1">
        <v>670</v>
      </c>
      <c r="P221" s="1">
        <v>18754</v>
      </c>
      <c r="S221" t="s">
        <v>30</v>
      </c>
      <c r="T221" s="57">
        <f t="shared" si="48"/>
        <v>100</v>
      </c>
      <c r="U221" s="57">
        <f t="shared" si="48"/>
        <v>84.090715733546133</v>
      </c>
      <c r="V221" s="57">
        <f t="shared" si="48"/>
        <v>97.248167418865719</v>
      </c>
      <c r="W221" s="57">
        <f t="shared" si="48"/>
        <v>89.418284005620222</v>
      </c>
      <c r="X221" s="57">
        <f t="shared" si="48"/>
        <v>76.213726547309449</v>
      </c>
      <c r="AB221">
        <v>0</v>
      </c>
      <c r="AC221">
        <v>31</v>
      </c>
      <c r="AD221">
        <v>26</v>
      </c>
      <c r="AE221">
        <v>15</v>
      </c>
      <c r="AH221" s="78"/>
      <c r="AJ221" t="s">
        <v>416</v>
      </c>
      <c r="AK221">
        <v>5</v>
      </c>
      <c r="AL221" s="1">
        <v>0</v>
      </c>
      <c r="AM221" s="1">
        <v>4.7</v>
      </c>
      <c r="AN221" s="1">
        <v>914.06</v>
      </c>
      <c r="AO221" s="1">
        <v>670.46</v>
      </c>
      <c r="AP221">
        <v>262.41000000000003</v>
      </c>
      <c r="AQ221" s="1"/>
      <c r="AR221" s="1">
        <v>2985.64</v>
      </c>
      <c r="AS221" s="1">
        <v>17021.3</v>
      </c>
      <c r="AT221" s="1">
        <v>83035.81</v>
      </c>
      <c r="AU221" s="1">
        <v>58407.23</v>
      </c>
      <c r="AV221" s="1">
        <v>31321.41</v>
      </c>
      <c r="BF221" s="51">
        <v>0.90254346206273794</v>
      </c>
      <c r="BG221" s="1">
        <v>158</v>
      </c>
      <c r="BH221">
        <f t="shared" si="41"/>
        <v>0.79654065929088214</v>
      </c>
      <c r="BI221">
        <f t="shared" si="42"/>
        <v>5.6411580995464693E-2</v>
      </c>
      <c r="BJ221">
        <f t="shared" si="40"/>
        <v>5.0913903612079259E-2</v>
      </c>
    </row>
    <row r="222" spans="1:62" x14ac:dyDescent="0.3">
      <c r="A222" t="s">
        <v>7</v>
      </c>
      <c r="B222" s="13">
        <v>4</v>
      </c>
      <c r="C222" s="7">
        <v>0</v>
      </c>
      <c r="D222" s="8">
        <v>1</v>
      </c>
      <c r="E222" s="8">
        <v>5</v>
      </c>
      <c r="F222" s="8">
        <v>40</v>
      </c>
      <c r="G222" s="28">
        <v>195</v>
      </c>
      <c r="H222" s="1">
        <f>SUM(C222:G222)</f>
        <v>241</v>
      </c>
      <c r="I222" s="10">
        <f>G222/H222</f>
        <v>0.8091286307053942</v>
      </c>
      <c r="J222" s="11">
        <f>1-I222</f>
        <v>0.1908713692946058</v>
      </c>
      <c r="K222">
        <f>H222-G223</f>
        <v>-47</v>
      </c>
      <c r="N222" s="10">
        <f>2*(G224*I222)/(G224+I222)</f>
        <v>0.73724007561436689</v>
      </c>
      <c r="O222" s="1">
        <v>251</v>
      </c>
      <c r="P222" s="1">
        <v>13990</v>
      </c>
      <c r="S222" s="66" t="s">
        <v>39</v>
      </c>
      <c r="T222" s="67">
        <f t="shared" si="48"/>
        <v>0</v>
      </c>
      <c r="U222" s="67">
        <f t="shared" si="48"/>
        <v>3.8276524620823018</v>
      </c>
      <c r="V222" s="67">
        <f t="shared" si="48"/>
        <v>0.66855192585149381</v>
      </c>
      <c r="W222" s="67">
        <f t="shared" si="48"/>
        <v>1.9915990614655468</v>
      </c>
      <c r="X222" s="67">
        <f t="shared" si="48"/>
        <v>5.7161669342937254</v>
      </c>
      <c r="AB222">
        <v>1</v>
      </c>
      <c r="AC222">
        <v>60</v>
      </c>
      <c r="AD222">
        <v>55</v>
      </c>
      <c r="AE222">
        <v>44</v>
      </c>
      <c r="AI222" s="78"/>
      <c r="AJ222" t="s">
        <v>416</v>
      </c>
      <c r="AK222">
        <v>6</v>
      </c>
      <c r="AL222" s="1">
        <v>0.26</v>
      </c>
      <c r="AM222" s="1">
        <v>5.09</v>
      </c>
      <c r="AN222" s="1">
        <v>923.6</v>
      </c>
      <c r="AO222" s="1">
        <v>662.54</v>
      </c>
      <c r="AP222">
        <v>260.14999999999998</v>
      </c>
      <c r="AQ222" s="1"/>
      <c r="AR222" s="1">
        <v>3050.82</v>
      </c>
      <c r="AS222" s="1">
        <v>15300.5</v>
      </c>
      <c r="AT222" s="1">
        <v>83346.89</v>
      </c>
      <c r="AU222" s="1">
        <v>59528.1</v>
      </c>
      <c r="AV222" s="1">
        <v>31545.08</v>
      </c>
      <c r="BF222" s="51">
        <v>0.90255073175996303</v>
      </c>
      <c r="BG222" s="1">
        <v>159</v>
      </c>
      <c r="BH222">
        <f t="shared" si="41"/>
        <v>0.81385096037908433</v>
      </c>
      <c r="BI222">
        <f t="shared" si="42"/>
        <v>5.7637508938380155E-2</v>
      </c>
      <c r="BJ222">
        <f t="shared" si="40"/>
        <v>5.2020775869156419E-2</v>
      </c>
    </row>
    <row r="223" spans="1:62" ht="15.6" x14ac:dyDescent="0.35">
      <c r="B223" s="1" t="s">
        <v>19</v>
      </c>
      <c r="C223" s="1">
        <f>SUM(C218:C222)</f>
        <v>56</v>
      </c>
      <c r="D223" s="1">
        <f>SUM(D218:D222)</f>
        <v>142</v>
      </c>
      <c r="E223" s="1">
        <f>SUM(E218:E222)</f>
        <v>1743</v>
      </c>
      <c r="F223" s="1">
        <f>SUM(F218:F222)</f>
        <v>621</v>
      </c>
      <c r="G223" s="1">
        <f>SUM(G218:G222)</f>
        <v>288</v>
      </c>
      <c r="H223" s="1">
        <f>SUM(H217:H222)</f>
        <v>2850</v>
      </c>
      <c r="I223" s="13" t="s">
        <v>12</v>
      </c>
      <c r="N223" s="16" t="s">
        <v>36</v>
      </c>
      <c r="O223" s="1">
        <f>SUM(O218:O222)</f>
        <v>1853</v>
      </c>
      <c r="P223" s="1">
        <f>SUM(P218:P222)</f>
        <v>43225</v>
      </c>
      <c r="S223" s="15" t="s">
        <v>31</v>
      </c>
      <c r="T223" s="71">
        <f t="shared" si="48"/>
        <v>100</v>
      </c>
      <c r="U223" s="71">
        <f t="shared" si="48"/>
        <v>94.619565217391298</v>
      </c>
      <c r="V223" s="71">
        <f t="shared" si="48"/>
        <v>95.420353982300895</v>
      </c>
      <c r="W223" s="71">
        <f t="shared" si="48"/>
        <v>84.846860643185309</v>
      </c>
      <c r="X223" s="71">
        <f t="shared" si="48"/>
        <v>82.199170124481327</v>
      </c>
      <c r="AB223">
        <v>2</v>
      </c>
      <c r="AC223">
        <v>89</v>
      </c>
      <c r="AD223">
        <v>84</v>
      </c>
      <c r="AE223">
        <v>73</v>
      </c>
      <c r="AH223" s="78"/>
      <c r="AJ223" t="s">
        <v>416</v>
      </c>
      <c r="AK223">
        <v>7</v>
      </c>
      <c r="AL223" s="1">
        <v>0.26</v>
      </c>
      <c r="AM223" s="1">
        <v>4.5</v>
      </c>
      <c r="AN223" s="1">
        <v>926.71</v>
      </c>
      <c r="AO223" s="1">
        <v>669.51</v>
      </c>
      <c r="AP223">
        <v>250.66</v>
      </c>
      <c r="AQ223" s="1"/>
      <c r="AR223" s="1">
        <v>3032.82</v>
      </c>
      <c r="AS223" s="1">
        <v>16741.830000000002</v>
      </c>
      <c r="AT223" s="1">
        <v>83009.11</v>
      </c>
      <c r="AU223" s="1">
        <v>59613.8</v>
      </c>
      <c r="AV223" s="1">
        <v>30373.82</v>
      </c>
      <c r="BF223" s="51">
        <v>0.90255580362919197</v>
      </c>
      <c r="BG223" s="1">
        <v>160</v>
      </c>
      <c r="BH223">
        <f t="shared" si="41"/>
        <v>0.8314086370526691</v>
      </c>
      <c r="BI223">
        <f t="shared" si="42"/>
        <v>5.8880956197740225E-2</v>
      </c>
      <c r="BJ223">
        <f t="shared" si="40"/>
        <v>5.3143348739506678E-2</v>
      </c>
    </row>
    <row r="224" spans="1:62" x14ac:dyDescent="0.3">
      <c r="A224" s="1" t="s">
        <v>321</v>
      </c>
      <c r="B224" s="1" t="s">
        <v>2</v>
      </c>
      <c r="C224" s="10">
        <f>C218/C223</f>
        <v>1</v>
      </c>
      <c r="D224" s="10">
        <f>D219/D223</f>
        <v>0.61971830985915488</v>
      </c>
      <c r="E224" s="10">
        <f>E220/E223</f>
        <v>0.99024670109007462</v>
      </c>
      <c r="F224" s="10">
        <f>F221/F223</f>
        <v>0.90016103059581321</v>
      </c>
      <c r="G224" s="10">
        <f>G222/G223</f>
        <v>0.67708333333333337</v>
      </c>
      <c r="H224" s="10"/>
      <c r="I224" s="14">
        <f>(C218+D219+E220+F221+G222)/H223</f>
        <v>0.92070175438596491</v>
      </c>
      <c r="S224" s="75" t="s">
        <v>39</v>
      </c>
      <c r="T224" s="76">
        <f t="shared" si="48"/>
        <v>0</v>
      </c>
      <c r="U224" s="76">
        <f t="shared" si="48"/>
        <v>2.3427233130230407</v>
      </c>
      <c r="V224" s="76">
        <f t="shared" si="48"/>
        <v>0.49159497165363897</v>
      </c>
      <c r="W224" s="76">
        <f t="shared" si="48"/>
        <v>1.4034240380183503</v>
      </c>
      <c r="X224" s="76">
        <f t="shared" si="48"/>
        <v>2.4675774724037618</v>
      </c>
      <c r="AB224">
        <v>3</v>
      </c>
      <c r="AC224">
        <v>118</v>
      </c>
      <c r="AD224">
        <v>113</v>
      </c>
      <c r="AE224">
        <v>102</v>
      </c>
      <c r="AI224" s="78"/>
      <c r="AJ224" t="s">
        <v>416</v>
      </c>
      <c r="AK224">
        <v>8</v>
      </c>
      <c r="AL224" s="1">
        <v>0.26</v>
      </c>
      <c r="AM224" s="1">
        <v>4.29</v>
      </c>
      <c r="AN224" s="1">
        <v>916.32</v>
      </c>
      <c r="AO224" s="1">
        <v>663.5</v>
      </c>
      <c r="AP224">
        <v>267.27999999999997</v>
      </c>
      <c r="AQ224" s="1"/>
      <c r="AR224" s="1">
        <v>2954.67</v>
      </c>
      <c r="AS224" s="1">
        <v>15717.56</v>
      </c>
      <c r="AT224" s="1">
        <v>83453.84</v>
      </c>
      <c r="AU224" s="1">
        <v>59176.94</v>
      </c>
      <c r="AV224" s="1">
        <v>31468.37</v>
      </c>
      <c r="BF224" s="51">
        <v>0.90262554736393796</v>
      </c>
      <c r="BG224" s="1">
        <v>161</v>
      </c>
      <c r="BH224">
        <f t="shared" si="41"/>
        <v>0.84922643593033087</v>
      </c>
      <c r="BI224">
        <f t="shared" si="42"/>
        <v>6.0142825498226318E-2</v>
      </c>
      <c r="BJ224">
        <f t="shared" si="40"/>
        <v>5.4286450785350333E-2</v>
      </c>
    </row>
    <row r="225" spans="1:62" x14ac:dyDescent="0.3">
      <c r="B225" s="1" t="s">
        <v>14</v>
      </c>
      <c r="C225" s="11">
        <f>1-C224</f>
        <v>0</v>
      </c>
      <c r="D225" s="11">
        <f>1-D224</f>
        <v>0.38028169014084512</v>
      </c>
      <c r="E225" s="11">
        <f>1-E224</f>
        <v>9.7532989099253786E-3</v>
      </c>
      <c r="F225" s="11">
        <f>1-F224</f>
        <v>9.9838969404186795E-2</v>
      </c>
      <c r="G225" s="11">
        <f>1-G224</f>
        <v>0.32291666666666663</v>
      </c>
      <c r="S225" s="66" t="s">
        <v>56</v>
      </c>
      <c r="T225" s="67">
        <f t="shared" si="48"/>
        <v>100</v>
      </c>
      <c r="U225" s="67">
        <f t="shared" si="48"/>
        <v>74.875590216705916</v>
      </c>
      <c r="V225" s="67">
        <f t="shared" si="48"/>
        <v>97.176465536679927</v>
      </c>
      <c r="W225" s="67">
        <f t="shared" si="48"/>
        <v>87.488046485552218</v>
      </c>
      <c r="X225" s="67">
        <f t="shared" si="48"/>
        <v>73.621590809097313</v>
      </c>
      <c r="AB225">
        <v>4</v>
      </c>
      <c r="AC225">
        <v>147</v>
      </c>
      <c r="AD225">
        <v>142</v>
      </c>
      <c r="AE225">
        <v>131</v>
      </c>
      <c r="AH225" s="78"/>
      <c r="AJ225" t="s">
        <v>416</v>
      </c>
      <c r="AK225">
        <v>9</v>
      </c>
      <c r="AL225" s="1">
        <v>0.26</v>
      </c>
      <c r="AM225" s="1">
        <v>4.8899999999999997</v>
      </c>
      <c r="AN225" s="1">
        <v>930.02</v>
      </c>
      <c r="AO225" s="1">
        <v>646.58000000000004</v>
      </c>
      <c r="AP225">
        <v>269.89</v>
      </c>
      <c r="AQ225" s="1"/>
      <c r="AR225" s="1">
        <v>3009.77</v>
      </c>
      <c r="AS225" s="1">
        <v>16728.5</v>
      </c>
      <c r="AT225" s="1">
        <v>83421.88</v>
      </c>
      <c r="AU225" s="1">
        <v>57130.81</v>
      </c>
      <c r="AV225" s="1">
        <v>32480.42</v>
      </c>
      <c r="BF225" s="51">
        <v>0.90274391417243505</v>
      </c>
      <c r="BG225" s="1">
        <v>162</v>
      </c>
      <c r="BH225">
        <f t="shared" si="41"/>
        <v>0.8673180120699755</v>
      </c>
      <c r="BI225">
        <f t="shared" si="42"/>
        <v>6.1424083900836604E-2</v>
      </c>
      <c r="BJ225">
        <f t="shared" si="40"/>
        <v>5.5450217925097287E-2</v>
      </c>
    </row>
    <row r="226" spans="1:62" x14ac:dyDescent="0.3">
      <c r="C226" s="2"/>
      <c r="R226" s="16" t="s">
        <v>66</v>
      </c>
      <c r="S226" t="s">
        <v>9</v>
      </c>
      <c r="T226" s="1">
        <f t="shared" si="48"/>
        <v>3006.0064999999995</v>
      </c>
      <c r="U226" s="1">
        <f t="shared" si="48"/>
        <v>16398.723000000002</v>
      </c>
      <c r="V226" s="1">
        <f t="shared" si="48"/>
        <v>82480.828500000018</v>
      </c>
      <c r="W226" s="1">
        <f t="shared" si="48"/>
        <v>59105.118500000004</v>
      </c>
      <c r="X226" s="1">
        <f t="shared" si="48"/>
        <v>31780.710500000005</v>
      </c>
      <c r="AB226">
        <v>5</v>
      </c>
      <c r="AC226">
        <v>176</v>
      </c>
      <c r="AD226">
        <v>171</v>
      </c>
      <c r="AE226">
        <v>160</v>
      </c>
      <c r="AI226" s="78"/>
      <c r="AJ226" t="s">
        <v>416</v>
      </c>
      <c r="AK226">
        <v>10</v>
      </c>
      <c r="AL226" s="1">
        <v>0</v>
      </c>
      <c r="AM226" s="1">
        <v>4.2</v>
      </c>
      <c r="AN226" s="1">
        <v>894.95</v>
      </c>
      <c r="AO226" s="1">
        <v>698.13</v>
      </c>
      <c r="AP226">
        <v>254.35</v>
      </c>
      <c r="AR226" s="1">
        <v>2939.9</v>
      </c>
      <c r="AS226" s="1">
        <v>16737.48</v>
      </c>
      <c r="AT226" s="1">
        <v>81889.69</v>
      </c>
      <c r="AU226" s="1">
        <v>60046.03</v>
      </c>
      <c r="AV226" s="1">
        <v>31158.28</v>
      </c>
      <c r="BF226" s="51">
        <v>0.90297346289628821</v>
      </c>
      <c r="BG226" s="1">
        <v>163</v>
      </c>
      <c r="BH226">
        <f t="shared" si="41"/>
        <v>0.8856980216844178</v>
      </c>
      <c r="BI226">
        <f t="shared" si="42"/>
        <v>6.2725769369078213E-2</v>
      </c>
      <c r="BJ226">
        <f t="shared" si="40"/>
        <v>5.6639705180030475E-2</v>
      </c>
    </row>
    <row r="227" spans="1:62" ht="15.6" x14ac:dyDescent="0.35">
      <c r="A227" t="s">
        <v>322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323</v>
      </c>
      <c r="S227" t="s">
        <v>68</v>
      </c>
      <c r="T227" s="57">
        <f t="shared" si="48"/>
        <v>3006.0064999999995</v>
      </c>
      <c r="U227" s="57">
        <f t="shared" si="48"/>
        <v>18456.546475495736</v>
      </c>
      <c r="V227" s="57">
        <f t="shared" si="48"/>
        <v>80932.229952590875</v>
      </c>
      <c r="W227" s="57">
        <f t="shared" si="48"/>
        <v>56089.641952139187</v>
      </c>
      <c r="X227" s="57">
        <f t="shared" si="48"/>
        <v>34286.962119774209</v>
      </c>
      <c r="AB227">
        <v>6</v>
      </c>
      <c r="AC227">
        <v>205</v>
      </c>
      <c r="AD227">
        <v>200</v>
      </c>
      <c r="AE227">
        <v>189</v>
      </c>
      <c r="AH227" s="78"/>
      <c r="AJ227" t="s">
        <v>416</v>
      </c>
      <c r="AK227">
        <v>11</v>
      </c>
      <c r="AL227" s="1">
        <v>0</v>
      </c>
      <c r="AM227" s="1">
        <v>5.21</v>
      </c>
      <c r="AN227" s="1">
        <v>903.42</v>
      </c>
      <c r="AO227" s="1">
        <v>679.2</v>
      </c>
      <c r="AP227">
        <v>263.81</v>
      </c>
      <c r="AR227" s="1">
        <v>3024.9</v>
      </c>
      <c r="AS227" s="1">
        <v>16405.080000000002</v>
      </c>
      <c r="AT227" s="1">
        <v>82515.320000000007</v>
      </c>
      <c r="AU227" s="1">
        <v>59653.79</v>
      </c>
      <c r="AV227" s="1">
        <v>31172.3</v>
      </c>
      <c r="BF227" s="51">
        <v>0.90298501554722799</v>
      </c>
      <c r="BG227" s="1">
        <v>164</v>
      </c>
      <c r="BH227">
        <f t="shared" si="41"/>
        <v>0.90438222700361048</v>
      </c>
      <c r="BI227">
        <f t="shared" si="42"/>
        <v>6.4048998195385523E-2</v>
      </c>
      <c r="BJ227">
        <f t="shared" si="40"/>
        <v>5.7835285631244571E-2</v>
      </c>
    </row>
    <row r="228" spans="1:62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67</v>
      </c>
      <c r="T228" s="67">
        <f t="shared" si="48"/>
        <v>0</v>
      </c>
      <c r="U228" s="67">
        <f t="shared" si="48"/>
        <v>568.47809086738789</v>
      </c>
      <c r="V228" s="67">
        <f t="shared" si="48"/>
        <v>677.75226999838446</v>
      </c>
      <c r="W228" s="67">
        <f t="shared" si="48"/>
        <v>1131.7692140006486</v>
      </c>
      <c r="X228" s="67">
        <f t="shared" si="48"/>
        <v>1109.3676741843778</v>
      </c>
      <c r="AB228">
        <v>7</v>
      </c>
      <c r="AC228">
        <v>234</v>
      </c>
      <c r="AD228">
        <v>229</v>
      </c>
      <c r="AE228">
        <v>218</v>
      </c>
      <c r="AI228" s="78"/>
      <c r="AJ228" t="s">
        <v>416</v>
      </c>
      <c r="AK228">
        <v>12</v>
      </c>
      <c r="AL228" s="1">
        <v>0</v>
      </c>
      <c r="AM228" s="1">
        <v>5.09</v>
      </c>
      <c r="AN228" s="1">
        <v>910.11</v>
      </c>
      <c r="AO228" s="1">
        <v>673.29</v>
      </c>
      <c r="AP228">
        <v>263.14999999999998</v>
      </c>
      <c r="AR228" s="1">
        <v>2992.13</v>
      </c>
      <c r="AS228" s="1">
        <v>16353.94</v>
      </c>
      <c r="AT228" s="1">
        <v>82439.3</v>
      </c>
      <c r="AU228" s="1">
        <v>58924.12</v>
      </c>
      <c r="AV228" s="1">
        <v>32061.9</v>
      </c>
      <c r="BF228" s="51">
        <v>0.90304272200482605</v>
      </c>
      <c r="BG228" s="1">
        <v>165</v>
      </c>
      <c r="BH228">
        <f t="shared" si="41"/>
        <v>0.92338761525908586</v>
      </c>
      <c r="BI228">
        <f t="shared" si="42"/>
        <v>6.5394973427683731E-2</v>
      </c>
      <c r="BJ228">
        <f t="shared" si="40"/>
        <v>5.9054454809568786E-2</v>
      </c>
    </row>
    <row r="229" spans="1:62" x14ac:dyDescent="0.3">
      <c r="A229" t="s">
        <v>3</v>
      </c>
      <c r="B229" s="13">
        <v>0</v>
      </c>
      <c r="C229" s="29">
        <f t="shared" ref="C229:G233" si="49">(C218/$L229)*$O229</f>
        <v>1.5732729619925945</v>
      </c>
      <c r="D229" s="31">
        <f t="shared" si="49"/>
        <v>0</v>
      </c>
      <c r="E229" s="31">
        <f t="shared" si="49"/>
        <v>0</v>
      </c>
      <c r="F229" s="31">
        <f t="shared" si="49"/>
        <v>0</v>
      </c>
      <c r="G229" s="32">
        <f t="shared" si="49"/>
        <v>0</v>
      </c>
      <c r="H229" s="17">
        <f>SUM(C229:G229)</f>
        <v>1.5732729619925945</v>
      </c>
      <c r="I229" s="17">
        <f>C229/H229*100</f>
        <v>100</v>
      </c>
      <c r="J229" s="17">
        <f>SQRT(I229*(100-I229)/(L229-1))</f>
        <v>0</v>
      </c>
      <c r="K229" s="18">
        <f>100-I229</f>
        <v>0</v>
      </c>
      <c r="L229" s="1">
        <f>H218</f>
        <v>56</v>
      </c>
      <c r="M229">
        <v>0</v>
      </c>
      <c r="N229">
        <v>3032.82</v>
      </c>
      <c r="O229" s="17">
        <f>N229/N234*100</f>
        <v>1.5732729619925945</v>
      </c>
      <c r="P229" s="52">
        <f>((O229*O229*(I229/100)*(K229/100))/(L229-1))</f>
        <v>0</v>
      </c>
      <c r="AB229">
        <v>8</v>
      </c>
      <c r="AC229">
        <v>263</v>
      </c>
      <c r="AD229">
        <v>258</v>
      </c>
      <c r="AE229">
        <v>247</v>
      </c>
      <c r="AH229" s="78"/>
      <c r="AJ229" t="s">
        <v>416</v>
      </c>
      <c r="AK229">
        <v>13</v>
      </c>
      <c r="AL229" s="1">
        <v>0</v>
      </c>
      <c r="AM229" s="1">
        <v>4.17</v>
      </c>
      <c r="AN229" s="1">
        <v>919.96</v>
      </c>
      <c r="AO229" s="1">
        <v>665.55</v>
      </c>
      <c r="AP229">
        <v>261.95999999999998</v>
      </c>
      <c r="AR229" s="1">
        <v>3065.59</v>
      </c>
      <c r="AS229" s="1">
        <v>16396.080000000002</v>
      </c>
      <c r="AT229" s="1">
        <v>82342.429999999993</v>
      </c>
      <c r="AU229" s="1">
        <v>58941.03</v>
      </c>
      <c r="AV229" s="1">
        <v>32026.26</v>
      </c>
      <c r="BF229" s="51">
        <v>0.90312869542964302</v>
      </c>
      <c r="BG229" s="1">
        <v>166</v>
      </c>
      <c r="BH229">
        <f t="shared" si="41"/>
        <v>0.94273253415310254</v>
      </c>
      <c r="BI229">
        <f t="shared" si="42"/>
        <v>6.6764994463410915E-2</v>
      </c>
      <c r="BJ229">
        <f t="shared" si="40"/>
        <v>6.0297382350107641E-2</v>
      </c>
    </row>
    <row r="230" spans="1:62" x14ac:dyDescent="0.3">
      <c r="A230" t="s">
        <v>4</v>
      </c>
      <c r="B230" s="13">
        <v>1</v>
      </c>
      <c r="C230" s="33">
        <f t="shared" si="49"/>
        <v>0</v>
      </c>
      <c r="D230" s="34">
        <f t="shared" si="49"/>
        <v>8.3072105142506558</v>
      </c>
      <c r="E230" s="19">
        <f t="shared" si="49"/>
        <v>0.37760047792048435</v>
      </c>
      <c r="F230" s="18">
        <f t="shared" si="49"/>
        <v>0</v>
      </c>
      <c r="G230" s="20">
        <f t="shared" si="49"/>
        <v>0</v>
      </c>
      <c r="H230" s="17">
        <f>SUM(C230:G230)</f>
        <v>8.6848109921711405</v>
      </c>
      <c r="I230" s="17">
        <f>D230/H230*100</f>
        <v>95.65217391304347</v>
      </c>
      <c r="J230" s="17">
        <f>SQRT(I230*(100-I230)/(L230-1))</f>
        <v>2.1377790082367047</v>
      </c>
      <c r="K230" s="18">
        <f>100-I230</f>
        <v>4.3478260869565304</v>
      </c>
      <c r="L230" s="1">
        <f>H219</f>
        <v>92</v>
      </c>
      <c r="M230">
        <v>1</v>
      </c>
      <c r="N230">
        <v>16741.830000000002</v>
      </c>
      <c r="O230" s="17">
        <f>N230/N234*100</f>
        <v>8.6848109921711405</v>
      </c>
      <c r="P230" s="52">
        <f>((O230*O230*(I230/100)*(K230/100))/(L230-1))</f>
        <v>3.447040286117721E-2</v>
      </c>
      <c r="S230" t="s">
        <v>69</v>
      </c>
      <c r="T230" s="1" t="s">
        <v>418</v>
      </c>
      <c r="U230" s="1" t="s">
        <v>419</v>
      </c>
      <c r="V230" s="1" t="s">
        <v>420</v>
      </c>
      <c r="W230" s="1" t="s">
        <v>421</v>
      </c>
      <c r="X230" s="1" t="s">
        <v>422</v>
      </c>
      <c r="AB230">
        <v>9</v>
      </c>
      <c r="AC230">
        <v>292</v>
      </c>
      <c r="AD230">
        <v>287</v>
      </c>
      <c r="AE230">
        <v>276</v>
      </c>
      <c r="AI230" s="78"/>
      <c r="AJ230" t="s">
        <v>416</v>
      </c>
      <c r="AK230">
        <v>14</v>
      </c>
      <c r="AL230" s="1">
        <v>0.62</v>
      </c>
      <c r="AM230" s="1">
        <v>4.8899999999999997</v>
      </c>
      <c r="AN230" s="1">
        <v>909.15</v>
      </c>
      <c r="AO230" s="1">
        <v>685.79</v>
      </c>
      <c r="AP230">
        <v>251.19</v>
      </c>
      <c r="AR230" s="1">
        <v>3019.86</v>
      </c>
      <c r="AS230" s="1">
        <v>17076.419999999998</v>
      </c>
      <c r="AT230" s="1">
        <v>81653.09</v>
      </c>
      <c r="AU230" s="1">
        <v>59590.77</v>
      </c>
      <c r="AV230" s="1">
        <v>31431.25</v>
      </c>
      <c r="BF230" s="51">
        <v>0.90319945328978901</v>
      </c>
      <c r="BG230" s="1">
        <v>167</v>
      </c>
      <c r="BH230">
        <f t="shared" si="41"/>
        <v>0.96243684665105678</v>
      </c>
      <c r="BI230">
        <f t="shared" si="42"/>
        <v>6.8160468012027825E-2</v>
      </c>
      <c r="BJ230">
        <f t="shared" si="40"/>
        <v>6.156249744443968E-2</v>
      </c>
    </row>
    <row r="231" spans="1:62" x14ac:dyDescent="0.3">
      <c r="A231" t="s">
        <v>5</v>
      </c>
      <c r="B231" s="13">
        <v>2</v>
      </c>
      <c r="C231" s="33">
        <f t="shared" si="49"/>
        <v>0</v>
      </c>
      <c r="D231" s="19">
        <f t="shared" si="49"/>
        <v>1.0241256194782491</v>
      </c>
      <c r="E231" s="34">
        <f t="shared" si="49"/>
        <v>41.107926028359493</v>
      </c>
      <c r="F231" s="19">
        <f t="shared" si="49"/>
        <v>0.52397124717491816</v>
      </c>
      <c r="G231" s="20">
        <f t="shared" si="49"/>
        <v>0.40488687281698227</v>
      </c>
      <c r="H231" s="17">
        <f>SUM(C231:G231)</f>
        <v>43.060909767829642</v>
      </c>
      <c r="I231" s="17">
        <f>E231/H231*100</f>
        <v>95.464601769911511</v>
      </c>
      <c r="J231" s="17">
        <f>SQRT(I231*(100-I231)/(L231-1))</f>
        <v>0.48949675766320316</v>
      </c>
      <c r="K231" s="18">
        <f>100-I231</f>
        <v>4.5353982300884894</v>
      </c>
      <c r="L231" s="1">
        <f>H220</f>
        <v>1808</v>
      </c>
      <c r="M231">
        <v>2</v>
      </c>
      <c r="N231">
        <v>83009.11</v>
      </c>
      <c r="O231" s="17">
        <f>N231/N234*100</f>
        <v>43.060909767829642</v>
      </c>
      <c r="P231" s="52">
        <f>((O231*O231*(I231/100)*(K231/100))/(L231-1))</f>
        <v>4.4428949140413787E-2</v>
      </c>
      <c r="T231" s="57">
        <f>T24</f>
        <v>2978.79</v>
      </c>
      <c r="U231" s="57">
        <f>U24</f>
        <v>16981.212944953357</v>
      </c>
      <c r="V231" s="57">
        <f>V24</f>
        <v>80692.010402381187</v>
      </c>
      <c r="W231" s="57">
        <f>W24</f>
        <v>56680.357116324922</v>
      </c>
      <c r="X231" s="57">
        <f>X24</f>
        <v>35439.019536340558</v>
      </c>
      <c r="AB231">
        <v>10</v>
      </c>
      <c r="AC231">
        <v>321</v>
      </c>
      <c r="AD231">
        <v>316</v>
      </c>
      <c r="AE231">
        <v>305</v>
      </c>
      <c r="AH231" s="78"/>
      <c r="AJ231" t="s">
        <v>416</v>
      </c>
      <c r="AK231">
        <v>15</v>
      </c>
      <c r="AL231" s="1">
        <v>0</v>
      </c>
      <c r="AM231" s="1">
        <v>4.8899999999999997</v>
      </c>
      <c r="AN231" s="1">
        <v>937.27</v>
      </c>
      <c r="AO231" s="1">
        <v>644.70000000000005</v>
      </c>
      <c r="AP231">
        <v>264.77</v>
      </c>
      <c r="AR231" s="1">
        <v>2987.08</v>
      </c>
      <c r="AS231" s="1">
        <v>16281.9</v>
      </c>
      <c r="AT231" s="1">
        <v>83949.5</v>
      </c>
      <c r="AU231" s="1">
        <v>57413.56</v>
      </c>
      <c r="AV231" s="1">
        <v>32139.35</v>
      </c>
      <c r="BF231" s="51">
        <v>0.9033030102234918</v>
      </c>
      <c r="BG231" s="1">
        <v>168</v>
      </c>
      <c r="BH231">
        <f t="shared" si="41"/>
        <v>0.9825221085250373</v>
      </c>
      <c r="BI231">
        <f t="shared" si="42"/>
        <v>6.9582920668779649E-2</v>
      </c>
      <c r="BJ231">
        <f t="shared" si="40"/>
        <v>6.285446170025108E-2</v>
      </c>
    </row>
    <row r="232" spans="1:62" x14ac:dyDescent="0.3">
      <c r="A232" t="s">
        <v>6</v>
      </c>
      <c r="B232" s="13">
        <v>3</v>
      </c>
      <c r="C232" s="33">
        <f t="shared" si="49"/>
        <v>0</v>
      </c>
      <c r="D232" s="19">
        <f t="shared" si="49"/>
        <v>0.47357750871940868</v>
      </c>
      <c r="E232" s="19">
        <f t="shared" si="49"/>
        <v>0.37886200697552697</v>
      </c>
      <c r="F232" s="34">
        <f t="shared" si="49"/>
        <v>26.472982737414945</v>
      </c>
      <c r="G232" s="20">
        <f t="shared" si="49"/>
        <v>3.5991890662675061</v>
      </c>
      <c r="H232" s="17">
        <f>SUM(C232:G232)</f>
        <v>30.924611319377387</v>
      </c>
      <c r="I232" s="17">
        <f>F232/H232*100</f>
        <v>85.604900459418062</v>
      </c>
      <c r="J232" s="17">
        <f>SQRT(I232*(100-I232)/(L232-1))</f>
        <v>1.374778879752335</v>
      </c>
      <c r="K232" s="18">
        <f>100-I232</f>
        <v>14.395099540581938</v>
      </c>
      <c r="L232" s="1">
        <f>H221</f>
        <v>653</v>
      </c>
      <c r="M232">
        <v>3</v>
      </c>
      <c r="N232">
        <v>59613.8</v>
      </c>
      <c r="O232" s="17">
        <f>N232/N234*100</f>
        <v>30.924611319377387</v>
      </c>
      <c r="P232" s="52">
        <f>((O232*O232*(I232/100)*(K232/100))/(L232-1))</f>
        <v>0.18074829233692449</v>
      </c>
      <c r="T232" s="57">
        <f>T34</f>
        <v>3025.62</v>
      </c>
      <c r="U232" s="57">
        <f>U34</f>
        <v>18397.099133486965</v>
      </c>
      <c r="V232" s="57">
        <f>V34</f>
        <v>80275.062815990052</v>
      </c>
      <c r="W232" s="57">
        <f>W34</f>
        <v>55205.359891647429</v>
      </c>
      <c r="X232" s="57">
        <f>X34</f>
        <v>35868.248158875576</v>
      </c>
      <c r="AB232">
        <v>11</v>
      </c>
      <c r="AC232">
        <v>350</v>
      </c>
      <c r="AD232">
        <v>345</v>
      </c>
      <c r="AE232">
        <v>334</v>
      </c>
      <c r="AI232" s="78"/>
      <c r="AJ232" t="s">
        <v>416</v>
      </c>
      <c r="AK232">
        <v>16</v>
      </c>
      <c r="AL232" s="1">
        <v>0.26</v>
      </c>
      <c r="AM232" s="1">
        <v>4.37</v>
      </c>
      <c r="AN232" s="1">
        <v>901.63</v>
      </c>
      <c r="AO232" s="1">
        <v>674.69</v>
      </c>
      <c r="AP232">
        <v>270.69</v>
      </c>
      <c r="AR232" s="1">
        <v>3011.21</v>
      </c>
      <c r="AS232" s="1">
        <v>16706.88</v>
      </c>
      <c r="AT232" s="1">
        <v>81749.240000000005</v>
      </c>
      <c r="AU232" s="1">
        <v>59391.24</v>
      </c>
      <c r="AV232" s="1">
        <v>31912.81</v>
      </c>
      <c r="BF232" s="51">
        <v>0.90330972693542899</v>
      </c>
      <c r="BG232" s="1">
        <v>169</v>
      </c>
      <c r="BH232">
        <f t="shared" si="41"/>
        <v>1.0030117728102925</v>
      </c>
      <c r="BI232">
        <f t="shared" si="42"/>
        <v>7.1034013394449869E-2</v>
      </c>
      <c r="BJ232">
        <f t="shared" si="40"/>
        <v>6.4165715242468113E-2</v>
      </c>
    </row>
    <row r="233" spans="1:62" x14ac:dyDescent="0.3">
      <c r="A233" t="s">
        <v>7</v>
      </c>
      <c r="B233" s="13">
        <v>4</v>
      </c>
      <c r="C233" s="35">
        <f t="shared" si="49"/>
        <v>0</v>
      </c>
      <c r="D233" s="36">
        <f t="shared" si="49"/>
        <v>6.5379232193482295E-2</v>
      </c>
      <c r="E233" s="21">
        <f t="shared" si="49"/>
        <v>0.32689616096741148</v>
      </c>
      <c r="F233" s="21">
        <f t="shared" si="49"/>
        <v>2.6151692877392918</v>
      </c>
      <c r="G233" s="37">
        <f t="shared" si="49"/>
        <v>12.748950277729048</v>
      </c>
      <c r="H233" s="17">
        <f>SUM(C233:G233)</f>
        <v>15.756394958629233</v>
      </c>
      <c r="I233" s="17">
        <f>G233/H233*100</f>
        <v>80.912863070539416</v>
      </c>
      <c r="J233" s="17">
        <f>SQRT(I233*(100-I233)/(L233-1))</f>
        <v>2.5367259876841253</v>
      </c>
      <c r="K233" s="18">
        <f>100-I233</f>
        <v>19.087136929460584</v>
      </c>
      <c r="L233" s="1">
        <f>H222</f>
        <v>241</v>
      </c>
      <c r="M233">
        <v>4</v>
      </c>
      <c r="N233">
        <v>30373.82</v>
      </c>
      <c r="O233" s="17">
        <f>N233/N234*100</f>
        <v>15.756394958629233</v>
      </c>
      <c r="P233" s="52">
        <f>((O233*O233*(I233/100)*(K233/100))/(L233-1))</f>
        <v>0.1597573445825716</v>
      </c>
      <c r="T233" s="57">
        <f>T44</f>
        <v>3034.98</v>
      </c>
      <c r="U233" s="57">
        <f>U44</f>
        <v>19203.740709865593</v>
      </c>
      <c r="V233" s="57">
        <f>V44</f>
        <v>79869.331744939715</v>
      </c>
      <c r="W233" s="57">
        <f>W44</f>
        <v>56221.357982441026</v>
      </c>
      <c r="X233" s="57">
        <f>X44</f>
        <v>34441.979562753695</v>
      </c>
      <c r="AB233">
        <v>12</v>
      </c>
      <c r="AC233">
        <v>379</v>
      </c>
      <c r="AD233">
        <v>374</v>
      </c>
      <c r="AE233">
        <v>363</v>
      </c>
      <c r="AH233" s="78"/>
      <c r="AJ233" t="s">
        <v>416</v>
      </c>
      <c r="AK233">
        <v>17</v>
      </c>
      <c r="AL233" s="1">
        <v>0.26</v>
      </c>
      <c r="AM233" s="1">
        <v>5.4</v>
      </c>
      <c r="AN233" s="1">
        <v>886.1</v>
      </c>
      <c r="AO233" s="1">
        <v>692.99</v>
      </c>
      <c r="AP233">
        <v>266.89</v>
      </c>
      <c r="AQ233" s="1"/>
      <c r="AR233" s="1">
        <v>2997.16</v>
      </c>
      <c r="AS233" s="1">
        <v>16169.54</v>
      </c>
      <c r="AT233" s="1">
        <v>81332.52</v>
      </c>
      <c r="AU233" s="1">
        <v>59971.49</v>
      </c>
      <c r="AV233" s="1">
        <v>32300.68</v>
      </c>
      <c r="BF233" s="51">
        <v>0.90331264378465959</v>
      </c>
      <c r="BG233" s="1">
        <v>170</v>
      </c>
      <c r="BH233">
        <f t="shared" si="41"/>
        <v>1.0239314262560566</v>
      </c>
      <c r="BI233">
        <f t="shared" si="42"/>
        <v>7.2515558260977289E-2</v>
      </c>
      <c r="BJ233">
        <f t="shared" si="40"/>
        <v>6.5504220648243905E-2</v>
      </c>
    </row>
    <row r="234" spans="1:62" x14ac:dyDescent="0.3">
      <c r="B234" t="s">
        <v>28</v>
      </c>
      <c r="C234" s="17">
        <f>SUM(C229:C233)</f>
        <v>1.5732729619925945</v>
      </c>
      <c r="D234" s="17">
        <f>SUM(D229:D233)</f>
        <v>9.8702928746417964</v>
      </c>
      <c r="E234" s="17">
        <f>SUM(E229:E233)</f>
        <v>42.191284674222914</v>
      </c>
      <c r="F234" s="17">
        <f>SUM(F229:F233)</f>
        <v>29.612123272329153</v>
      </c>
      <c r="G234" s="17">
        <f>SUM(G229:G233)</f>
        <v>16.753026216813538</v>
      </c>
      <c r="H234" s="1">
        <f>SUM(H228:H233)</f>
        <v>100</v>
      </c>
      <c r="I234" s="13" t="s">
        <v>24</v>
      </c>
      <c r="J234" s="12" t="s">
        <v>29</v>
      </c>
      <c r="N234" s="1">
        <f>SUM(N229:N233)</f>
        <v>192771.38</v>
      </c>
      <c r="O234" s="17">
        <f>SUM(O229:O233)</f>
        <v>100</v>
      </c>
      <c r="T234" s="57">
        <f>T54</f>
        <v>2974.84</v>
      </c>
      <c r="U234" s="57">
        <f>U54</f>
        <v>18826.694466805173</v>
      </c>
      <c r="V234" s="57">
        <f>V54</f>
        <v>79306.980033455926</v>
      </c>
      <c r="W234" s="57">
        <f>W54</f>
        <v>59042.5540531019</v>
      </c>
      <c r="X234" s="57">
        <f>X54</f>
        <v>32620.331446636996</v>
      </c>
      <c r="AB234">
        <v>13</v>
      </c>
      <c r="AC234">
        <v>408</v>
      </c>
      <c r="AD234">
        <v>403</v>
      </c>
      <c r="AE234">
        <v>392</v>
      </c>
      <c r="AI234" s="78"/>
      <c r="AJ234" t="s">
        <v>416</v>
      </c>
      <c r="AK234">
        <v>18</v>
      </c>
      <c r="AL234" s="1">
        <v>0.26</v>
      </c>
      <c r="AM234" s="1">
        <v>5.25</v>
      </c>
      <c r="AN234" s="1">
        <v>933.17</v>
      </c>
      <c r="AO234" s="1">
        <v>661.17</v>
      </c>
      <c r="AP234">
        <v>251.8</v>
      </c>
      <c r="AQ234" s="1"/>
      <c r="AR234" s="1">
        <v>2959.71</v>
      </c>
      <c r="AS234" s="1">
        <v>16839.78</v>
      </c>
      <c r="AT234" s="1">
        <v>82234.03</v>
      </c>
      <c r="AU234" s="1">
        <v>59118.59</v>
      </c>
      <c r="AV234" s="1">
        <v>31619.27</v>
      </c>
      <c r="BF234" s="51">
        <v>0.90345533455262705</v>
      </c>
      <c r="BG234" s="1">
        <v>171</v>
      </c>
      <c r="BH234">
        <f t="shared" si="41"/>
        <v>1.0453090640125338</v>
      </c>
      <c r="BI234">
        <f t="shared" si="42"/>
        <v>7.4029537904985426E-2</v>
      </c>
      <c r="BJ234">
        <f t="shared" si="40"/>
        <v>6.6882380934724997E-2</v>
      </c>
    </row>
    <row r="235" spans="1:62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0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0.29025490261879955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0.34227350894129011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0.57913617675435203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0.56502964416054879</v>
      </c>
      <c r="H235" s="1"/>
      <c r="I235" s="14">
        <f>(C229+D230+E231+F232+G233)/H234</f>
        <v>0.90210342519746745</v>
      </c>
      <c r="J235" s="53">
        <f>SQRT(SUM(P229:P233))/100</f>
        <v>6.4761484612467545E-3</v>
      </c>
      <c r="M235" s="1"/>
      <c r="N235" s="9"/>
      <c r="T235" s="57">
        <f>T64</f>
        <v>3043.2600000000007</v>
      </c>
      <c r="U235" s="57">
        <f>U64</f>
        <v>17411.017084624964</v>
      </c>
      <c r="V235" s="57">
        <f>V64</f>
        <v>82548.307022858338</v>
      </c>
      <c r="W235" s="57">
        <f>W64</f>
        <v>55634.593949240094</v>
      </c>
      <c r="X235" s="57">
        <f>X64</f>
        <v>34134.211943276612</v>
      </c>
      <c r="AB235">
        <v>14</v>
      </c>
      <c r="AC235">
        <v>437</v>
      </c>
      <c r="AD235">
        <v>432</v>
      </c>
      <c r="AE235">
        <v>421</v>
      </c>
      <c r="AH235" s="78"/>
      <c r="AJ235" t="s">
        <v>416</v>
      </c>
      <c r="AK235">
        <v>19</v>
      </c>
      <c r="AL235" s="1">
        <v>0</v>
      </c>
      <c r="AM235" s="1">
        <v>4.9000000000000004</v>
      </c>
      <c r="AN235" s="1">
        <v>921.94</v>
      </c>
      <c r="AO235" s="1">
        <v>660.51</v>
      </c>
      <c r="AP235">
        <v>264.29000000000002</v>
      </c>
      <c r="AQ235" s="1"/>
      <c r="AR235" s="1">
        <v>3031.38</v>
      </c>
      <c r="AS235" s="1">
        <v>15751.04</v>
      </c>
      <c r="AT235" s="1">
        <v>83130.820000000007</v>
      </c>
      <c r="AU235" s="1">
        <v>58575.09</v>
      </c>
      <c r="AV235" s="1">
        <v>32283.05</v>
      </c>
      <c r="BF235" s="51">
        <v>0.90347077064463255</v>
      </c>
      <c r="BG235" s="1">
        <v>172</v>
      </c>
      <c r="BH235">
        <f t="shared" si="41"/>
        <v>1.0671754102700386</v>
      </c>
      <c r="BI235">
        <f t="shared" si="42"/>
        <v>7.5578128235676445E-2</v>
      </c>
      <c r="BJ235">
        <f t="shared" si="40"/>
        <v>6.8282629760965455E-2</v>
      </c>
    </row>
    <row r="236" spans="1:62" x14ac:dyDescent="0.3">
      <c r="B236" s="1" t="s">
        <v>30</v>
      </c>
      <c r="C236" s="17">
        <f>C229/C234*100</f>
        <v>100</v>
      </c>
      <c r="D236" s="17">
        <f>D230/D234*100</f>
        <v>84.163769198714206</v>
      </c>
      <c r="E236" s="17">
        <f>E231/E234*100</f>
        <v>97.432269118543076</v>
      </c>
      <c r="F236" s="17">
        <f>F232/F234*100</f>
        <v>89.399137285614515</v>
      </c>
      <c r="G236" s="17">
        <f>G233/G234*100</f>
        <v>76.099387136003216</v>
      </c>
      <c r="H236" s="1"/>
      <c r="T236" s="57">
        <f>T74</f>
        <v>2985.6399999999994</v>
      </c>
      <c r="U236" s="57">
        <f>U74</f>
        <v>19647.923587819467</v>
      </c>
      <c r="V236" s="57">
        <f>V74</f>
        <v>81413.938238490256</v>
      </c>
      <c r="W236" s="57">
        <f>W74</f>
        <v>54350.478620945665</v>
      </c>
      <c r="X236" s="57">
        <f>X74</f>
        <v>34373.409552744633</v>
      </c>
      <c r="AB236">
        <v>15</v>
      </c>
      <c r="AC236">
        <v>466</v>
      </c>
      <c r="AD236">
        <v>461</v>
      </c>
      <c r="AE236">
        <v>450</v>
      </c>
      <c r="AI236" s="78"/>
      <c r="AQ236" s="1"/>
      <c r="AR236" s="1"/>
      <c r="BF236" s="51">
        <v>0.90351842195459098</v>
      </c>
      <c r="BG236" s="1">
        <v>173</v>
      </c>
      <c r="BH236">
        <f t="shared" si="41"/>
        <v>1.0895642944538471</v>
      </c>
      <c r="BI236">
        <f t="shared" si="42"/>
        <v>7.7163725077220427E-2</v>
      </c>
      <c r="BJ236">
        <f t="shared" si="40"/>
        <v>6.9718847113908106E-2</v>
      </c>
    </row>
    <row r="237" spans="1:62" x14ac:dyDescent="0.3">
      <c r="B237" s="16" t="s">
        <v>39</v>
      </c>
      <c r="C237" s="18">
        <f>SQRT((C240+C241)/(C234*C234))</f>
        <v>0</v>
      </c>
      <c r="D237" s="18">
        <f>SQRT((D240+D241)/(D234*D234))</f>
        <v>3.5390168883351656</v>
      </c>
      <c r="E237" s="18">
        <f>SQRT((E240+E241)/(E234*E234))</f>
        <v>0.63797513482604729</v>
      </c>
      <c r="F237" s="18">
        <f>SQRT((F240+F241)/(F234*F234))</f>
        <v>1.9323472028545599</v>
      </c>
      <c r="G237" s="18">
        <f>SQRT((G240+G241)/(G234*G234))</f>
        <v>5.9854228843882353</v>
      </c>
      <c r="H237" s="1"/>
      <c r="I237" s="14"/>
      <c r="T237" s="57">
        <f>T84</f>
        <v>3050.8200000000006</v>
      </c>
      <c r="U237" s="57">
        <f>U84</f>
        <v>17803.64472441655</v>
      </c>
      <c r="V237" s="57">
        <f>V84</f>
        <v>81295.146863236732</v>
      </c>
      <c r="W237" s="57">
        <f>W84</f>
        <v>57397.534778386929</v>
      </c>
      <c r="X237" s="57">
        <f>X84</f>
        <v>33224.243633959777</v>
      </c>
      <c r="AB237">
        <v>16</v>
      </c>
      <c r="AC237">
        <v>495</v>
      </c>
      <c r="AD237">
        <v>490</v>
      </c>
      <c r="AE237">
        <v>479</v>
      </c>
      <c r="AH237" s="78"/>
      <c r="AQ237" s="1"/>
      <c r="AR237" s="1"/>
      <c r="BF237" s="51">
        <v>0.90366840386418001</v>
      </c>
      <c r="BG237" s="1">
        <v>174</v>
      </c>
      <c r="BH237">
        <f t="shared" si="41"/>
        <v>1.1125130950141264</v>
      </c>
      <c r="BI237">
        <f t="shared" si="42"/>
        <v>7.8788975598276648E-2</v>
      </c>
      <c r="BJ237">
        <f t="shared" si="40"/>
        <v>7.1199107820988483E-2</v>
      </c>
    </row>
    <row r="238" spans="1:62" x14ac:dyDescent="0.3">
      <c r="B238" s="1" t="s">
        <v>37</v>
      </c>
      <c r="C238" s="18">
        <f>100-C236</f>
        <v>0</v>
      </c>
      <c r="D238" s="18">
        <f>100-D236</f>
        <v>15.836230801285794</v>
      </c>
      <c r="E238" s="18">
        <f>100-E236</f>
        <v>2.5677308814569244</v>
      </c>
      <c r="F238" s="18">
        <f>100-F236</f>
        <v>10.600862714385485</v>
      </c>
      <c r="G238" s="18">
        <f>100-G236</f>
        <v>23.900612863996784</v>
      </c>
      <c r="T238" s="57">
        <f>T94</f>
        <v>3032.82</v>
      </c>
      <c r="U238" s="57">
        <f>U94</f>
        <v>19027.099784488662</v>
      </c>
      <c r="V238" s="57">
        <f>V94</f>
        <v>81332.721706228011</v>
      </c>
      <c r="W238" s="57">
        <f>W94</f>
        <v>57083.698679370071</v>
      </c>
      <c r="X238" s="57">
        <f>X94</f>
        <v>32295.03982991325</v>
      </c>
      <c r="AB238">
        <v>17</v>
      </c>
      <c r="AC238">
        <v>524</v>
      </c>
      <c r="AD238">
        <v>519</v>
      </c>
      <c r="AE238">
        <v>508</v>
      </c>
      <c r="AI238" s="78"/>
      <c r="BF238" s="51">
        <v>0.903789976846882</v>
      </c>
      <c r="BG238" s="1">
        <v>175</v>
      </c>
      <c r="BH238">
        <f t="shared" si="41"/>
        <v>1.1360632660214303</v>
      </c>
      <c r="BI238">
        <f t="shared" si="42"/>
        <v>8.0456815605864276E-2</v>
      </c>
      <c r="BJ238">
        <f t="shared" si="40"/>
        <v>7.2716063513597926E-2</v>
      </c>
    </row>
    <row r="239" spans="1:62" ht="15.6" x14ac:dyDescent="0.35">
      <c r="B239" s="1" t="s">
        <v>25</v>
      </c>
      <c r="C239" s="1">
        <f>C223</f>
        <v>56</v>
      </c>
      <c r="D239" s="1">
        <f>D223</f>
        <v>142</v>
      </c>
      <c r="E239" s="1">
        <f>E223</f>
        <v>1743</v>
      </c>
      <c r="F239" s="1">
        <f>F223</f>
        <v>621</v>
      </c>
      <c r="G239" s="1">
        <f>G223</f>
        <v>288</v>
      </c>
      <c r="T239" s="57">
        <f>T104</f>
        <v>2954.67</v>
      </c>
      <c r="U239" s="57">
        <f>U104</f>
        <v>17844.99800673424</v>
      </c>
      <c r="V239" s="57">
        <f>V104</f>
        <v>81996.084773540482</v>
      </c>
      <c r="W239" s="57">
        <f>W104</f>
        <v>56262.442401535853</v>
      </c>
      <c r="X239" s="57">
        <f>X104</f>
        <v>33713.184818189395</v>
      </c>
      <c r="AB239">
        <v>18</v>
      </c>
      <c r="AC239">
        <v>553</v>
      </c>
      <c r="AD239">
        <v>548</v>
      </c>
      <c r="AE239">
        <v>537</v>
      </c>
      <c r="AH239" s="78"/>
      <c r="BF239" s="51">
        <v>0.90385024471693498</v>
      </c>
      <c r="BG239" s="1">
        <v>176</v>
      </c>
      <c r="BH239">
        <f t="shared" si="41"/>
        <v>1.1602609659441347</v>
      </c>
      <c r="BI239">
        <f t="shared" si="42"/>
        <v>8.217051407583166E-2</v>
      </c>
      <c r="BJ239">
        <f t="shared" si="40"/>
        <v>7.4269839255956802E-2</v>
      </c>
    </row>
    <row r="240" spans="1:62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864.47015525563813</v>
      </c>
      <c r="E240" s="18">
        <f>(O231*O231*(100-E236)*(100-E236)*(I231)*(100-I231))/((L231-1)*100)</f>
        <v>29.293080813864162</v>
      </c>
      <c r="F240" s="18">
        <f>(O232*O232*(100-F236)*(100-F236)*(I232)*(100-I232))/((L232-1)*100)</f>
        <v>2031.2184065524832</v>
      </c>
      <c r="G240" s="18">
        <f>(O233*O233*(100-G236)*(100-G236)*(I233)*(100-I233))/((L233-1)*100)</f>
        <v>9125.9672934297378</v>
      </c>
      <c r="T240" s="57">
        <f>T114</f>
        <v>3009.77</v>
      </c>
      <c r="U240" s="57">
        <f>U114</f>
        <v>18681.008175972678</v>
      </c>
      <c r="V240" s="57">
        <f>V114</f>
        <v>81834.736633777284</v>
      </c>
      <c r="W240" s="57">
        <f>W114</f>
        <v>54423.532551821954</v>
      </c>
      <c r="X240" s="57">
        <f>X114</f>
        <v>34822.332638428095</v>
      </c>
      <c r="AB240">
        <v>19</v>
      </c>
      <c r="AC240">
        <v>582</v>
      </c>
      <c r="AD240">
        <v>577</v>
      </c>
      <c r="AE240">
        <v>566</v>
      </c>
      <c r="AI240" s="78"/>
      <c r="BF240" s="51">
        <v>0.90403820135942525</v>
      </c>
      <c r="BG240" s="1">
        <v>177</v>
      </c>
      <c r="BH240">
        <f t="shared" si="41"/>
        <v>1.1851578135117353</v>
      </c>
      <c r="BI240">
        <f t="shared" si="42"/>
        <v>8.3933726683637216E-2</v>
      </c>
      <c r="BJ240">
        <f t="shared" si="40"/>
        <v>7.5879295304468991E-2</v>
      </c>
    </row>
    <row r="241" spans="1:62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355.71390971579564</v>
      </c>
      <c r="E241" s="18">
        <f>E236*E236*(SUM((H229*E229*(1-E218/H218))/(H218-1),(H230*E230*(1-E219/H219))/(H219-1), (H232*E232*(1-E221/H221))/(H221-1),(H233*E233*(1-E222/H222))/(H222-1)))</f>
        <v>695.23129829865229</v>
      </c>
      <c r="F241" s="18">
        <f>F236*F236*(SUM((H229*F229*(1-F218/H218))/(H218-1),(H230*F230*(1-F219/H219))/(H219-1), (H231*F231*(1-F220/H220))/(H220-1),(H233*F233*(1-F222/H222))/(H222-1)))</f>
        <v>1243.0133994864893</v>
      </c>
      <c r="G241" s="18">
        <f>G236*G236*(SUM((H229*G229*(1-G218/H218))/(H218-1),(H230*G230*(1-G219/H219))/(H219-1), (H231*G231*(1-G220/H220))/(H220-1),(H232*G232*(1-G221/H221))/(H221-1)))</f>
        <v>928.8970534299641</v>
      </c>
      <c r="T241" s="57">
        <f>T124</f>
        <v>2939.9</v>
      </c>
      <c r="U241" s="57">
        <f>U124</f>
        <v>18967.488175581948</v>
      </c>
      <c r="V241" s="57">
        <f>V124</f>
        <v>79921.741223399411</v>
      </c>
      <c r="W241" s="57">
        <f>W124</f>
        <v>58240.604470001235</v>
      </c>
      <c r="X241" s="57">
        <f>X124</f>
        <v>32701.646131017424</v>
      </c>
      <c r="AB241">
        <v>20</v>
      </c>
      <c r="AC241">
        <v>611</v>
      </c>
      <c r="AD241">
        <v>606</v>
      </c>
      <c r="AE241">
        <v>595</v>
      </c>
      <c r="AH241" s="78"/>
      <c r="BF241" s="51">
        <v>0.90405143346051897</v>
      </c>
      <c r="BG241" s="1">
        <v>178</v>
      </c>
      <c r="BH241">
        <f t="shared" si="41"/>
        <v>1.2108118029801551</v>
      </c>
      <c r="BI241">
        <f t="shared" si="42"/>
        <v>8.5750560624095334E-2</v>
      </c>
      <c r="BJ241">
        <f t="shared" si="40"/>
        <v>7.7522917252256518E-2</v>
      </c>
    </row>
    <row r="242" spans="1:62" x14ac:dyDescent="0.3">
      <c r="A242" s="105" t="s">
        <v>390</v>
      </c>
      <c r="B242" s="69" t="s">
        <v>9</v>
      </c>
      <c r="C242" s="1">
        <v>274.06</v>
      </c>
      <c r="D242" s="1">
        <v>940.99</v>
      </c>
      <c r="E242" s="1">
        <v>13812.02</v>
      </c>
      <c r="F242" s="1">
        <v>3896.04</v>
      </c>
      <c r="G242">
        <v>3132.26</v>
      </c>
      <c r="I242" t="s">
        <v>36</v>
      </c>
      <c r="J242" s="57">
        <f>SUM(C242:G242)</f>
        <v>22055.370000000003</v>
      </c>
      <c r="T242" s="57">
        <f>T134</f>
        <v>3024.9</v>
      </c>
      <c r="U242" s="57">
        <f>U134</f>
        <v>18298.233049849248</v>
      </c>
      <c r="V242" s="57">
        <f>V134</f>
        <v>81483.380455769351</v>
      </c>
      <c r="W242" s="57">
        <f>W134</f>
        <v>56780.354596660014</v>
      </c>
      <c r="X242" s="57">
        <f>X134</f>
        <v>33184.52189772141</v>
      </c>
      <c r="AB242">
        <v>21</v>
      </c>
      <c r="AC242">
        <v>640</v>
      </c>
      <c r="AD242">
        <v>635</v>
      </c>
      <c r="AE242">
        <v>624</v>
      </c>
      <c r="AI242" s="78"/>
      <c r="BF242" s="51">
        <v>0.9041807883602353</v>
      </c>
      <c r="BG242" s="1">
        <v>179</v>
      </c>
      <c r="BH242">
        <f t="shared" si="41"/>
        <v>1.2372884211694737</v>
      </c>
      <c r="BI242">
        <f t="shared" si="42"/>
        <v>8.7625653720789745E-2</v>
      </c>
      <c r="BJ242">
        <f t="shared" si="40"/>
        <v>7.9229432661844651E-2</v>
      </c>
    </row>
    <row r="243" spans="1:62" x14ac:dyDescent="0.3">
      <c r="B243" t="s">
        <v>391</v>
      </c>
      <c r="C243" s="57">
        <f>(C242/$J242)*100</f>
        <v>1.2425998747697271</v>
      </c>
      <c r="D243" s="57">
        <f>(D242/$J242)*100</f>
        <v>4.2664892948973421</v>
      </c>
      <c r="E243" s="57">
        <f>(E242/$J242)*100</f>
        <v>62.624295126311637</v>
      </c>
      <c r="F243" s="57">
        <f>(F242/$J242)*100</f>
        <v>17.66481360321772</v>
      </c>
      <c r="G243" s="57">
        <f>(G242/$J242)*100</f>
        <v>14.201802100803567</v>
      </c>
      <c r="T243" s="57">
        <f>T144</f>
        <v>2992.13</v>
      </c>
      <c r="U243" s="57">
        <f>U144</f>
        <v>18004.277741550664</v>
      </c>
      <c r="V243" s="57">
        <f>V144</f>
        <v>81293.563884599818</v>
      </c>
      <c r="W243" s="57">
        <f>W144</f>
        <v>54930.207435137192</v>
      </c>
      <c r="X243" s="57">
        <f>X144</f>
        <v>35551.210938712335</v>
      </c>
      <c r="AB243">
        <v>22</v>
      </c>
      <c r="AC243">
        <v>669</v>
      </c>
      <c r="AD243">
        <v>664</v>
      </c>
      <c r="AE243">
        <v>653</v>
      </c>
      <c r="AH243" s="78"/>
      <c r="BF243" s="51">
        <v>0.90418140726581409</v>
      </c>
      <c r="BG243" s="1">
        <v>180</v>
      </c>
      <c r="BH243">
        <f t="shared" si="41"/>
        <v>1.2646620224523379</v>
      </c>
      <c r="BI243">
        <f t="shared" si="42"/>
        <v>8.9564271803739284E-2</v>
      </c>
      <c r="BJ243">
        <f t="shared" si="40"/>
        <v>8.0982349320242855E-2</v>
      </c>
    </row>
    <row r="244" spans="1:62" x14ac:dyDescent="0.3">
      <c r="A244" s="361">
        <v>1977</v>
      </c>
      <c r="B244" s="361"/>
      <c r="C244" s="361"/>
      <c r="D244" s="361"/>
      <c r="E244" s="361"/>
      <c r="F244" s="361"/>
      <c r="G244" s="361"/>
      <c r="H244" s="361"/>
      <c r="I244" s="361"/>
      <c r="J244" s="361"/>
      <c r="K244" s="361"/>
      <c r="L244" s="361" t="s">
        <v>86</v>
      </c>
      <c r="M244" s="361"/>
      <c r="N244" s="361"/>
      <c r="O244" s="361"/>
      <c r="P244" s="361"/>
      <c r="T244" s="57">
        <f>T154</f>
        <v>3065.59</v>
      </c>
      <c r="U244" s="57">
        <f>U154</f>
        <v>17785.774991303788</v>
      </c>
      <c r="V244" s="57">
        <f>V154</f>
        <v>81061.203262724244</v>
      </c>
      <c r="W244" s="57">
        <f>W154</f>
        <v>55167.150980314043</v>
      </c>
      <c r="X244" s="57">
        <f>X154</f>
        <v>35691.670765657916</v>
      </c>
      <c r="AB244">
        <v>23</v>
      </c>
      <c r="AC244">
        <v>698</v>
      </c>
      <c r="AD244">
        <v>693</v>
      </c>
      <c r="AE244">
        <v>682</v>
      </c>
      <c r="AI244" s="78"/>
      <c r="BF244" s="51">
        <v>0.90423307456702895</v>
      </c>
      <c r="BG244" s="1">
        <v>181</v>
      </c>
      <c r="BH244">
        <f t="shared" si="41"/>
        <v>1.2930175370911461</v>
      </c>
      <c r="BI244">
        <f t="shared" si="42"/>
        <v>9.1572429695063032E-2</v>
      </c>
      <c r="BJ244">
        <f t="shared" si="40"/>
        <v>8.280281964873995E-2</v>
      </c>
    </row>
    <row r="245" spans="1:62" x14ac:dyDescent="0.3">
      <c r="A245" t="s">
        <v>320</v>
      </c>
      <c r="B245" t="s">
        <v>21</v>
      </c>
      <c r="I245" s="1" t="s">
        <v>58</v>
      </c>
      <c r="O245" s="360" t="s">
        <v>411</v>
      </c>
      <c r="P245" s="360"/>
      <c r="T245" s="57">
        <f>T164</f>
        <v>3019.86</v>
      </c>
      <c r="U245" s="57">
        <f>U164</f>
        <v>19505.57424785243</v>
      </c>
      <c r="V245" s="57">
        <f>V164</f>
        <v>79659.150250085819</v>
      </c>
      <c r="W245" s="57">
        <f>W164</f>
        <v>56563.958446951059</v>
      </c>
      <c r="X245" s="57">
        <f>X164</f>
        <v>34022.847055110673</v>
      </c>
      <c r="AB245">
        <v>24</v>
      </c>
      <c r="AC245">
        <v>727</v>
      </c>
      <c r="AD245">
        <v>722</v>
      </c>
      <c r="AE245">
        <v>711</v>
      </c>
      <c r="AH245" s="78"/>
      <c r="BF245" s="51">
        <v>0.90430355365869497</v>
      </c>
      <c r="BG245" s="1">
        <v>182</v>
      </c>
      <c r="BH245">
        <f t="shared" si="41"/>
        <v>1.3224526154698777</v>
      </c>
      <c r="BI245">
        <f t="shared" si="42"/>
        <v>9.3657043065016932E-2</v>
      </c>
      <c r="BJ245">
        <f t="shared" si="40"/>
        <v>8.4694396868860239E-2</v>
      </c>
    </row>
    <row r="246" spans="1:62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56</v>
      </c>
      <c r="O246" s="13" t="s">
        <v>412</v>
      </c>
      <c r="P246" s="13" t="s">
        <v>41</v>
      </c>
      <c r="T246" s="57">
        <f>T174</f>
        <v>2987.08</v>
      </c>
      <c r="U246" s="57">
        <f>U174</f>
        <v>18712.576995363383</v>
      </c>
      <c r="V246" s="57">
        <f>V174</f>
        <v>82627.148141891827</v>
      </c>
      <c r="W246" s="57">
        <f>W174</f>
        <v>53859.840253089526</v>
      </c>
      <c r="X246" s="57">
        <f>X174</f>
        <v>34584.744609655252</v>
      </c>
      <c r="AB246">
        <v>25</v>
      </c>
      <c r="AC246">
        <v>756</v>
      </c>
      <c r="AD246">
        <v>751</v>
      </c>
      <c r="AE246">
        <v>740</v>
      </c>
      <c r="AI246" s="78"/>
      <c r="BF246" s="51">
        <v>0.90430428436808796</v>
      </c>
      <c r="BG246" s="1">
        <v>183</v>
      </c>
      <c r="BH246">
        <f t="shared" si="41"/>
        <v>1.3530803497322956</v>
      </c>
      <c r="BI246">
        <f t="shared" si="42"/>
        <v>9.5826121180363974E-2</v>
      </c>
      <c r="BJ246">
        <f t="shared" si="40"/>
        <v>8.6655971937778714E-2</v>
      </c>
    </row>
    <row r="247" spans="1:62" x14ac:dyDescent="0.3">
      <c r="A247" t="s">
        <v>3</v>
      </c>
      <c r="B247" s="13">
        <v>0</v>
      </c>
      <c r="C247" s="26">
        <v>56</v>
      </c>
      <c r="D247" s="3">
        <v>0</v>
      </c>
      <c r="E247" s="3">
        <v>0</v>
      </c>
      <c r="F247" s="3">
        <v>0</v>
      </c>
      <c r="G247" s="4">
        <v>0</v>
      </c>
      <c r="H247" s="1">
        <f>SUM(C247:G247)</f>
        <v>56</v>
      </c>
      <c r="I247" s="10">
        <f>C247/H247</f>
        <v>1</v>
      </c>
      <c r="J247" s="11">
        <f>1-I247</f>
        <v>0</v>
      </c>
      <c r="K247">
        <f>H247-C252</f>
        <v>0</v>
      </c>
      <c r="N247" s="10">
        <f>2*(C253*I247)/(C253+I247)</f>
        <v>1</v>
      </c>
      <c r="O247" s="1">
        <v>0</v>
      </c>
      <c r="P247" s="1">
        <v>249</v>
      </c>
      <c r="T247" s="57">
        <f>T184</f>
        <v>3011.21</v>
      </c>
      <c r="U247" s="57">
        <f>U184</f>
        <v>18788.835038514637</v>
      </c>
      <c r="V247" s="57">
        <f>V184</f>
        <v>80199.877207295416</v>
      </c>
      <c r="W247" s="57">
        <f>W184</f>
        <v>55780.254772538174</v>
      </c>
      <c r="X247" s="57">
        <f>X184</f>
        <v>34991.202981651761</v>
      </c>
      <c r="AB247">
        <v>26</v>
      </c>
      <c r="AC247">
        <v>785</v>
      </c>
      <c r="AD247">
        <v>780</v>
      </c>
      <c r="AE247">
        <v>769</v>
      </c>
      <c r="AH247" s="78"/>
      <c r="BF247" s="51">
        <v>0.90438585988747</v>
      </c>
      <c r="BG247" s="1">
        <v>184</v>
      </c>
      <c r="BH247">
        <f t="shared" si="41"/>
        <v>1.3850327712601831</v>
      </c>
      <c r="BI247">
        <f t="shared" si="42"/>
        <v>9.8089014598292334E-2</v>
      </c>
      <c r="BJ247">
        <f t="shared" si="40"/>
        <v>8.8710317812991213E-2</v>
      </c>
    </row>
    <row r="248" spans="1:62" x14ac:dyDescent="0.3">
      <c r="A248" t="s">
        <v>4</v>
      </c>
      <c r="B248" s="13">
        <v>1</v>
      </c>
      <c r="C248" s="5">
        <v>0</v>
      </c>
      <c r="D248" s="27">
        <v>87</v>
      </c>
      <c r="E248" s="1">
        <v>5</v>
      </c>
      <c r="F248" s="1">
        <v>0</v>
      </c>
      <c r="G248" s="6">
        <v>0</v>
      </c>
      <c r="H248" s="1">
        <f>SUM(C248:G248)</f>
        <v>92</v>
      </c>
      <c r="I248" s="10">
        <f>D248/H248</f>
        <v>0.94565217391304346</v>
      </c>
      <c r="J248" s="11">
        <f>1-I248</f>
        <v>5.4347826086956541E-2</v>
      </c>
      <c r="K248">
        <f>H248-D252</f>
        <v>-49</v>
      </c>
      <c r="N248" s="10">
        <f>2*(D253*I248)/(D253+I248)</f>
        <v>0.74678111587982821</v>
      </c>
      <c r="O248" s="1">
        <v>4</v>
      </c>
      <c r="P248" s="1">
        <v>88</v>
      </c>
      <c r="T248" s="57">
        <f>T194</f>
        <v>2997.16</v>
      </c>
      <c r="U248" s="57">
        <f>U194</f>
        <v>17791.552262280464</v>
      </c>
      <c r="V248" s="57">
        <f>V194</f>
        <v>80012.246497256448</v>
      </c>
      <c r="W248" s="57">
        <f>W194</f>
        <v>56687.460268354189</v>
      </c>
      <c r="X248" s="57">
        <f>X194</f>
        <v>35282.970972108909</v>
      </c>
      <c r="AB248">
        <v>27</v>
      </c>
      <c r="AC248">
        <v>814</v>
      </c>
      <c r="AD248">
        <v>809</v>
      </c>
      <c r="AE248">
        <v>798</v>
      </c>
      <c r="AI248" s="78"/>
      <c r="BF248" s="51">
        <v>0.90446869196520197</v>
      </c>
      <c r="BG248" s="1">
        <v>185</v>
      </c>
      <c r="BH248">
        <f t="shared" si="41"/>
        <v>1.4184654072104084</v>
      </c>
      <c r="BI248">
        <f t="shared" si="42"/>
        <v>0.10045673786363954</v>
      </c>
      <c r="BJ248">
        <f t="shared" si="40"/>
        <v>9.085997429461723E-2</v>
      </c>
    </row>
    <row r="249" spans="1:62" x14ac:dyDescent="0.3">
      <c r="A249" t="s">
        <v>5</v>
      </c>
      <c r="B249" s="13">
        <v>2</v>
      </c>
      <c r="C249" s="5">
        <v>0</v>
      </c>
      <c r="D249" s="1">
        <v>43</v>
      </c>
      <c r="E249" s="27">
        <v>1725</v>
      </c>
      <c r="F249" s="1">
        <v>22</v>
      </c>
      <c r="G249" s="6">
        <v>18</v>
      </c>
      <c r="H249" s="1">
        <f>SUM(C249:G249)</f>
        <v>1808</v>
      </c>
      <c r="I249" s="10">
        <f>E249/H249</f>
        <v>0.9540929203539823</v>
      </c>
      <c r="J249" s="11">
        <f>1-I249</f>
        <v>4.5907079646017701E-2</v>
      </c>
      <c r="K249">
        <f>H249-E252</f>
        <v>63</v>
      </c>
      <c r="N249" s="10">
        <f>2*(E253*I249)/(E253+I249)</f>
        <v>0.97101041373487196</v>
      </c>
      <c r="O249" s="1">
        <v>916</v>
      </c>
      <c r="P249" s="1">
        <v>9909</v>
      </c>
      <c r="T249" s="57">
        <f>T204</f>
        <v>2959.71</v>
      </c>
      <c r="U249" s="57">
        <f>U204</f>
        <v>19235.95869754639</v>
      </c>
      <c r="V249" s="57">
        <f>V204</f>
        <v>80570.909244295384</v>
      </c>
      <c r="W249" s="57">
        <f>W204</f>
        <v>55733.935581763282</v>
      </c>
      <c r="X249" s="57">
        <f>X204</f>
        <v>34270.866476394942</v>
      </c>
      <c r="AB249">
        <v>28</v>
      </c>
      <c r="AC249">
        <v>843</v>
      </c>
      <c r="AD249">
        <v>838</v>
      </c>
      <c r="AE249">
        <v>827</v>
      </c>
      <c r="AH249" s="78"/>
      <c r="BF249" s="51">
        <v>0.90462084377242102</v>
      </c>
      <c r="BG249" s="1">
        <v>186</v>
      </c>
      <c r="BH249">
        <f t="shared" si="41"/>
        <v>1.4535633083711834</v>
      </c>
      <c r="BI249">
        <f t="shared" si="42"/>
        <v>0.10294239640599756</v>
      </c>
      <c r="BJ249">
        <f t="shared" si="40"/>
        <v>9.312383749674856E-2</v>
      </c>
    </row>
    <row r="250" spans="1:62" x14ac:dyDescent="0.3">
      <c r="A250" t="s">
        <v>6</v>
      </c>
      <c r="B250" s="13">
        <v>3</v>
      </c>
      <c r="C250" s="5">
        <v>0</v>
      </c>
      <c r="D250" s="1">
        <v>11</v>
      </c>
      <c r="E250" s="1">
        <v>11</v>
      </c>
      <c r="F250" s="27">
        <v>552</v>
      </c>
      <c r="G250" s="6">
        <v>79</v>
      </c>
      <c r="H250" s="1">
        <f>SUM(C250:G250)</f>
        <v>653</v>
      </c>
      <c r="I250" s="10">
        <f>F250/H250</f>
        <v>0.84532924961715161</v>
      </c>
      <c r="J250" s="11">
        <f>1-I250</f>
        <v>0.15467075038284839</v>
      </c>
      <c r="K250">
        <f>H250-F252</f>
        <v>39</v>
      </c>
      <c r="N250" s="10">
        <f>2*(F253*I250)/(F253+I250)</f>
        <v>0.87134964483030786</v>
      </c>
      <c r="O250" s="1">
        <v>663</v>
      </c>
      <c r="P250" s="1">
        <v>18528</v>
      </c>
      <c r="T250" s="57">
        <f>T214</f>
        <v>3031.3800000000006</v>
      </c>
      <c r="U250" s="57">
        <f>U214</f>
        <v>18216.219690904061</v>
      </c>
      <c r="V250" s="57">
        <f>V214</f>
        <v>81251.058649601691</v>
      </c>
      <c r="W250" s="57">
        <f>W214</f>
        <v>55747.162213159267</v>
      </c>
      <c r="X250" s="57">
        <f>X214</f>
        <v>34525.559446334984</v>
      </c>
      <c r="AB250">
        <v>29</v>
      </c>
      <c r="AC250">
        <v>872</v>
      </c>
      <c r="AD250">
        <v>867</v>
      </c>
      <c r="AE250">
        <v>856</v>
      </c>
      <c r="AI250" s="78"/>
      <c r="BF250" s="51">
        <v>0.90464692679905701</v>
      </c>
      <c r="BG250" s="1">
        <v>187</v>
      </c>
      <c r="BH250">
        <f t="shared" si="41"/>
        <v>1.490549161785536</v>
      </c>
      <c r="BI250">
        <f t="shared" si="42"/>
        <v>0.10556176108152784</v>
      </c>
      <c r="BJ250">
        <f t="shared" si="40"/>
        <v>9.5496122749900464E-2</v>
      </c>
    </row>
    <row r="251" spans="1:62" x14ac:dyDescent="0.3">
      <c r="A251" t="s">
        <v>7</v>
      </c>
      <c r="B251" s="13">
        <v>4</v>
      </c>
      <c r="C251" s="7">
        <v>0</v>
      </c>
      <c r="D251" s="8">
        <v>0</v>
      </c>
      <c r="E251" s="8">
        <v>4</v>
      </c>
      <c r="F251" s="8">
        <v>40</v>
      </c>
      <c r="G251" s="28">
        <v>197</v>
      </c>
      <c r="H251" s="1">
        <f>SUM(C251:G251)</f>
        <v>241</v>
      </c>
      <c r="I251" s="10">
        <f>G251/H251</f>
        <v>0.81742738589211617</v>
      </c>
      <c r="J251" s="11">
        <f>1-I251</f>
        <v>0.18257261410788383</v>
      </c>
      <c r="K251">
        <f>H251-G252</f>
        <v>-53</v>
      </c>
      <c r="N251" s="10">
        <f>2*(G253*I251)/(G253+I251)</f>
        <v>0.73644859813084107</v>
      </c>
      <c r="O251" s="1">
        <v>267</v>
      </c>
      <c r="P251" s="1">
        <v>14450</v>
      </c>
      <c r="AH251" s="78"/>
      <c r="BF251" s="51">
        <v>0.90473596497959341</v>
      </c>
      <c r="BG251" s="1">
        <v>188</v>
      </c>
      <c r="BH251">
        <f t="shared" si="41"/>
        <v>1.5296944238710337</v>
      </c>
      <c r="BI251">
        <f t="shared" si="42"/>
        <v>0.10833405662848791</v>
      </c>
      <c r="BJ251">
        <f t="shared" si="40"/>
        <v>9.8013717263928934E-2</v>
      </c>
    </row>
    <row r="252" spans="1:62" ht="15.6" x14ac:dyDescent="0.35">
      <c r="B252" s="1" t="s">
        <v>19</v>
      </c>
      <c r="C252" s="1">
        <f>SUM(C247:C251)</f>
        <v>56</v>
      </c>
      <c r="D252" s="1">
        <f>SUM(D247:D251)</f>
        <v>141</v>
      </c>
      <c r="E252" s="1">
        <f>SUM(E247:E251)</f>
        <v>1745</v>
      </c>
      <c r="F252" s="1">
        <f>SUM(F247:F251)</f>
        <v>614</v>
      </c>
      <c r="G252" s="1">
        <f>SUM(G247:G251)</f>
        <v>294</v>
      </c>
      <c r="H252" s="1">
        <f>SUM(H246:H251)</f>
        <v>2850</v>
      </c>
      <c r="I252" s="13" t="s">
        <v>12</v>
      </c>
      <c r="N252" s="16" t="s">
        <v>36</v>
      </c>
      <c r="O252" s="1">
        <f>SUM(O247:O251)</f>
        <v>1850</v>
      </c>
      <c r="P252" s="1">
        <f>SUM(P247:P251)</f>
        <v>43224</v>
      </c>
      <c r="AI252" s="78"/>
      <c r="BF252" s="51">
        <v>0.90473887025019595</v>
      </c>
      <c r="BG252" s="1">
        <v>189</v>
      </c>
      <c r="BH252">
        <f t="shared" si="41"/>
        <v>1.571334942107838</v>
      </c>
      <c r="BI252">
        <f t="shared" si="42"/>
        <v>0.11128306800638769</v>
      </c>
      <c r="BJ252">
        <f t="shared" si="40"/>
        <v>0.10068211722607492</v>
      </c>
    </row>
    <row r="253" spans="1:62" x14ac:dyDescent="0.3">
      <c r="A253" s="1" t="s">
        <v>321</v>
      </c>
      <c r="B253" s="1" t="s">
        <v>2</v>
      </c>
      <c r="C253" s="10">
        <f>C247/C252</f>
        <v>1</v>
      </c>
      <c r="D253" s="10">
        <f>D248/D252</f>
        <v>0.61702127659574468</v>
      </c>
      <c r="E253" s="10">
        <f>E249/E252</f>
        <v>0.98853868194842409</v>
      </c>
      <c r="F253" s="10">
        <f>F250/F252</f>
        <v>0.89902280130293155</v>
      </c>
      <c r="G253" s="10">
        <f>G251/G252</f>
        <v>0.67006802721088432</v>
      </c>
      <c r="H253" s="10"/>
      <c r="I253" s="14">
        <f>(C247+D248+E249+F250+G251)/H252</f>
        <v>0.91824561403508775</v>
      </c>
      <c r="AH253" s="78"/>
      <c r="BF253" s="51">
        <v>0.90477055675386298</v>
      </c>
      <c r="BG253" s="1">
        <v>190</v>
      </c>
      <c r="BH253">
        <f t="shared" si="41"/>
        <v>1.6158934440722883</v>
      </c>
      <c r="BI253">
        <f t="shared" si="42"/>
        <v>0.11443873308548347</v>
      </c>
      <c r="BJ253">
        <f t="shared" si="40"/>
        <v>0.1035407962479596</v>
      </c>
    </row>
    <row r="254" spans="1:62" x14ac:dyDescent="0.3">
      <c r="B254" s="1" t="s">
        <v>14</v>
      </c>
      <c r="C254" s="11">
        <f>1-C253</f>
        <v>0</v>
      </c>
      <c r="D254" s="11">
        <f>1-D253</f>
        <v>0.38297872340425532</v>
      </c>
      <c r="E254" s="11">
        <f>1-E253</f>
        <v>1.1461318051575908E-2</v>
      </c>
      <c r="F254" s="11">
        <f>1-F253</f>
        <v>0.10097719869706845</v>
      </c>
      <c r="G254" s="11">
        <f>1-G253</f>
        <v>0.32993197278911568</v>
      </c>
      <c r="AI254" s="78"/>
      <c r="BF254" s="51">
        <v>0.90535213800846503</v>
      </c>
      <c r="BG254" s="1">
        <v>191</v>
      </c>
      <c r="BH254">
        <f t="shared" si="41"/>
        <v>1.6639128949712361</v>
      </c>
      <c r="BI254">
        <f t="shared" si="42"/>
        <v>0.11783950505129283</v>
      </c>
      <c r="BJ254">
        <f t="shared" si="40"/>
        <v>0.10668624784004728</v>
      </c>
    </row>
    <row r="255" spans="1:62" x14ac:dyDescent="0.3">
      <c r="C255" s="2"/>
      <c r="AH255" s="78"/>
      <c r="BF255" s="51">
        <v>0.90546779527315202</v>
      </c>
      <c r="BG255" s="1">
        <v>192</v>
      </c>
      <c r="BH255">
        <f t="shared" si="41"/>
        <v>1.7161077551573309</v>
      </c>
      <c r="BI255">
        <f t="shared" si="42"/>
        <v>0.12153598249860366</v>
      </c>
      <c r="BJ255">
        <f t="shared" si="40"/>
        <v>0.11004691811936705</v>
      </c>
    </row>
    <row r="256" spans="1:62" ht="15.6" x14ac:dyDescent="0.35">
      <c r="A256" t="s">
        <v>322</v>
      </c>
      <c r="B256" s="15" t="s">
        <v>23</v>
      </c>
      <c r="N256" s="12" t="s">
        <v>17</v>
      </c>
      <c r="O256" s="1" t="s">
        <v>27</v>
      </c>
      <c r="P256" s="1" t="s">
        <v>33</v>
      </c>
      <c r="AI256" s="78"/>
      <c r="BF256" s="51">
        <v>0.90553977263961205</v>
      </c>
      <c r="BG256" s="1">
        <v>193</v>
      </c>
      <c r="BH256">
        <f t="shared" si="41"/>
        <v>1.7734461562988943</v>
      </c>
      <c r="BI256">
        <f t="shared" si="42"/>
        <v>0.12559672920678464</v>
      </c>
      <c r="BJ256">
        <f t="shared" si="40"/>
        <v>0.11373283361019068</v>
      </c>
    </row>
    <row r="257" spans="1:62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H257" s="78"/>
      <c r="BF257" s="51">
        <v>0.90556929745056203</v>
      </c>
      <c r="BG257" s="1">
        <v>194</v>
      </c>
      <c r="BH257">
        <f t="shared" si="41"/>
        <v>1.8372886748302386</v>
      </c>
      <c r="BI257">
        <f t="shared" si="42"/>
        <v>0.13011810217510436</v>
      </c>
      <c r="BJ257">
        <f t="shared" ref="BJ257:BJ263" si="50">BI257*BF257</f>
        <v>0.1178309583723097</v>
      </c>
    </row>
    <row r="258" spans="1:62" x14ac:dyDescent="0.3">
      <c r="A258" t="s">
        <v>3</v>
      </c>
      <c r="B258" s="13">
        <v>0</v>
      </c>
      <c r="C258" s="29">
        <f t="shared" ref="C258:G262" si="51">(C247/$L258)*$O258</f>
        <v>1.5327327116712035</v>
      </c>
      <c r="D258" s="31">
        <f t="shared" si="51"/>
        <v>0</v>
      </c>
      <c r="E258" s="31">
        <f t="shared" si="51"/>
        <v>0</v>
      </c>
      <c r="F258" s="31">
        <f t="shared" si="51"/>
        <v>0</v>
      </c>
      <c r="G258" s="32">
        <f t="shared" si="51"/>
        <v>0</v>
      </c>
      <c r="H258" s="17">
        <f>SUM(C258:G258)</f>
        <v>1.5327327116712035</v>
      </c>
      <c r="I258" s="17">
        <f>C258/H258*100</f>
        <v>100</v>
      </c>
      <c r="J258" s="17">
        <f>SQRT(I258*(100-I258)/(L258-1))</f>
        <v>0</v>
      </c>
      <c r="K258" s="18">
        <f>100-I258</f>
        <v>0</v>
      </c>
      <c r="L258" s="1">
        <f>H247</f>
        <v>56</v>
      </c>
      <c r="M258">
        <v>0</v>
      </c>
      <c r="N258">
        <v>2954.67</v>
      </c>
      <c r="O258" s="17">
        <f>N258/N263*100</f>
        <v>1.5327327116712035</v>
      </c>
      <c r="P258" s="52">
        <f>((O258*O258*(I258/100)*(K258/100))/(L258-1))</f>
        <v>0</v>
      </c>
      <c r="AI258" s="78"/>
      <c r="BF258" s="51">
        <v>0.90566355254120301</v>
      </c>
      <c r="BG258" s="1">
        <v>195</v>
      </c>
      <c r="BH258">
        <f t="shared" si="41"/>
        <v>1.9096384934921886</v>
      </c>
      <c r="BI258">
        <f t="shared" si="42"/>
        <v>0.13524196824251794</v>
      </c>
      <c r="BJ258">
        <f t="shared" si="50"/>
        <v>0.12248372141118335</v>
      </c>
    </row>
    <row r="259" spans="1:62" x14ac:dyDescent="0.3">
      <c r="A259" t="s">
        <v>4</v>
      </c>
      <c r="B259" s="13">
        <v>1</v>
      </c>
      <c r="C259" s="33">
        <f t="shared" si="51"/>
        <v>0</v>
      </c>
      <c r="D259" s="34">
        <f t="shared" si="51"/>
        <v>7.7103482802315852</v>
      </c>
      <c r="E259" s="19">
        <f t="shared" si="51"/>
        <v>0.4431234643811256</v>
      </c>
      <c r="F259" s="18">
        <f t="shared" si="51"/>
        <v>0</v>
      </c>
      <c r="G259" s="20">
        <f t="shared" si="51"/>
        <v>0</v>
      </c>
      <c r="H259" s="17">
        <f>SUM(C259:G259)</f>
        <v>8.1534717446127107</v>
      </c>
      <c r="I259" s="17">
        <f>D259/H259*100</f>
        <v>94.565217391304344</v>
      </c>
      <c r="J259" s="17">
        <f>SQRT(I259*(100-I259)/(L259-1))</f>
        <v>2.3764906227132032</v>
      </c>
      <c r="K259" s="18">
        <f>100-I259</f>
        <v>5.4347826086956559</v>
      </c>
      <c r="L259" s="1">
        <f>H248</f>
        <v>92</v>
      </c>
      <c r="M259">
        <v>1</v>
      </c>
      <c r="N259">
        <v>15717.56</v>
      </c>
      <c r="O259" s="17">
        <f>N259/N263*100</f>
        <v>8.1534717446127107</v>
      </c>
      <c r="P259" s="52">
        <f>((O259*O259*(I259/100)*(K259/100))/(L259-1))</f>
        <v>3.7545453203530504E-2</v>
      </c>
      <c r="AH259" s="78"/>
      <c r="BF259" s="51">
        <v>0.90600652771869095</v>
      </c>
      <c r="BG259" s="1">
        <v>196</v>
      </c>
      <c r="BH259">
        <f>_xlfn.NORM.S.INV((BG259-0.375)/($BI$61+0.25))</f>
        <v>1.9936322372681397</v>
      </c>
      <c r="BI259">
        <f>BH259/SQRT($BL$65)</f>
        <v>0.14119046544082486</v>
      </c>
      <c r="BJ259">
        <f t="shared" si="50"/>
        <v>0.12791948334102757</v>
      </c>
    </row>
    <row r="260" spans="1:62" x14ac:dyDescent="0.3">
      <c r="A260" t="s">
        <v>5</v>
      </c>
      <c r="B260" s="13">
        <v>2</v>
      </c>
      <c r="C260" s="33">
        <f t="shared" si="51"/>
        <v>0</v>
      </c>
      <c r="D260" s="19">
        <f t="shared" si="51"/>
        <v>1.0296124797367263</v>
      </c>
      <c r="E260" s="34">
        <f t="shared" si="51"/>
        <v>41.304221570833789</v>
      </c>
      <c r="F260" s="19">
        <f t="shared" si="51"/>
        <v>0.52677847800483679</v>
      </c>
      <c r="G260" s="20">
        <f t="shared" si="51"/>
        <v>0.43100057291304822</v>
      </c>
      <c r="H260" s="17">
        <f>SUM(C260:G260)</f>
        <v>43.291613101488402</v>
      </c>
      <c r="I260" s="17">
        <f>E260/H260*100</f>
        <v>95.409292035398224</v>
      </c>
      <c r="J260" s="17">
        <f>SQRT(I260*(100-I260)/(L260-1))</f>
        <v>0.49232976564771452</v>
      </c>
      <c r="K260" s="18">
        <f>100-I260</f>
        <v>4.5907079646017763</v>
      </c>
      <c r="L260" s="1">
        <f>H249</f>
        <v>1808</v>
      </c>
      <c r="M260">
        <v>2</v>
      </c>
      <c r="N260">
        <v>83453.84</v>
      </c>
      <c r="O260" s="17">
        <f>N260/N263*100</f>
        <v>43.291613101488402</v>
      </c>
      <c r="P260" s="52">
        <f>((O260*O260*(I260/100)*(K260/100))/(L260-1))</f>
        <v>4.5427592767103869E-2</v>
      </c>
      <c r="AI260" s="78"/>
      <c r="BF260" s="51">
        <v>0.90638858530868549</v>
      </c>
      <c r="BG260" s="1">
        <v>197</v>
      </c>
      <c r="BH260">
        <f>_xlfn.NORM.S.INV((BG260-0.375)/($BI$61+0.25))</f>
        <v>2.0946204699384201</v>
      </c>
      <c r="BI260">
        <f>BH260/SQRT($BL$65)</f>
        <v>0.14834252453588728</v>
      </c>
      <c r="BJ260">
        <f t="shared" si="50"/>
        <v>0.13445597095520184</v>
      </c>
    </row>
    <row r="261" spans="1:62" x14ac:dyDescent="0.3">
      <c r="A261" t="s">
        <v>6</v>
      </c>
      <c r="B261" s="13">
        <v>3</v>
      </c>
      <c r="C261" s="33">
        <f t="shared" si="51"/>
        <v>0</v>
      </c>
      <c r="D261" s="19">
        <f t="shared" si="51"/>
        <v>0.51711775798089898</v>
      </c>
      <c r="E261" s="19">
        <f t="shared" si="51"/>
        <v>0.51711775798089898</v>
      </c>
      <c r="F261" s="34">
        <f t="shared" si="51"/>
        <v>25.949909309586932</v>
      </c>
      <c r="G261" s="20">
        <f t="shared" si="51"/>
        <v>3.7138457164082745</v>
      </c>
      <c r="H261" s="17">
        <f>SUM(C261:G261)</f>
        <v>30.697990541957004</v>
      </c>
      <c r="I261" s="17">
        <f>F261/H261*100</f>
        <v>84.532924961715167</v>
      </c>
      <c r="J261" s="17">
        <f>SQRT(I261*(100-I261)/(L261-1))</f>
        <v>1.4160977952198814</v>
      </c>
      <c r="K261" s="18">
        <f>100-I261</f>
        <v>15.467075038284833</v>
      </c>
      <c r="L261" s="1">
        <f>H250</f>
        <v>653</v>
      </c>
      <c r="M261">
        <v>3</v>
      </c>
      <c r="N261">
        <v>59176.94</v>
      </c>
      <c r="O261" s="17">
        <f>N261/N263*100</f>
        <v>30.697990541957004</v>
      </c>
      <c r="P261" s="52">
        <f>((O261*O261*(I261/100)*(K261/100))/(L261-1))</f>
        <v>0.18897588554379618</v>
      </c>
      <c r="AH261" s="78"/>
      <c r="BF261" s="51">
        <v>0.90681353484368299</v>
      </c>
      <c r="BG261" s="1">
        <v>198</v>
      </c>
      <c r="BH261">
        <f>_xlfn.NORM.S.INV((BG261-0.375)/($BI$61+0.25))</f>
        <v>2.2229788158905439</v>
      </c>
      <c r="BI261">
        <f>BH261/SQRT($BL$65)</f>
        <v>0.15743295469116433</v>
      </c>
      <c r="BJ261">
        <f t="shared" si="50"/>
        <v>0.14276233414438011</v>
      </c>
    </row>
    <row r="262" spans="1:62" x14ac:dyDescent="0.3">
      <c r="A262" t="s">
        <v>7</v>
      </c>
      <c r="B262" s="13">
        <v>4</v>
      </c>
      <c r="C262" s="35">
        <f t="shared" si="51"/>
        <v>0</v>
      </c>
      <c r="D262" s="36">
        <f t="shared" si="51"/>
        <v>0</v>
      </c>
      <c r="E262" s="21">
        <f t="shared" si="51"/>
        <v>0.27094094440283267</v>
      </c>
      <c r="F262" s="21">
        <f t="shared" si="51"/>
        <v>2.709409444028327</v>
      </c>
      <c r="G262" s="37">
        <f t="shared" si="51"/>
        <v>13.343841511839509</v>
      </c>
      <c r="H262" s="17">
        <f>SUM(C262:G262)</f>
        <v>16.324191900270669</v>
      </c>
      <c r="I262" s="17">
        <f>G262/H262*100</f>
        <v>81.742738589211612</v>
      </c>
      <c r="J262" s="17">
        <f>SQRT(I262*(100-I262)/(L262-1))</f>
        <v>2.4936574100246278</v>
      </c>
      <c r="K262" s="18">
        <f>100-I262</f>
        <v>18.257261410788388</v>
      </c>
      <c r="L262" s="1">
        <f>H251</f>
        <v>241</v>
      </c>
      <c r="M262">
        <v>4</v>
      </c>
      <c r="N262">
        <v>31468.37</v>
      </c>
      <c r="O262" s="17">
        <f>N262/N263*100</f>
        <v>16.324191900270669</v>
      </c>
      <c r="P262" s="52">
        <f>((O262*O262*(I262/100)*(K262/100))/(L262-1))</f>
        <v>0.16570551347072804</v>
      </c>
      <c r="AI262" s="78"/>
      <c r="BF262" s="51">
        <v>0.90687527468012197</v>
      </c>
      <c r="BG262" s="27">
        <v>199</v>
      </c>
      <c r="BH262" s="84">
        <f>_xlfn.NORM.S.INV((BG262-0.375)/($BI$61+0.25))</f>
        <v>2.4037084127855812</v>
      </c>
      <c r="BI262" s="84">
        <f>-3.562633*($BL$63)^5+5.682633*($BL$63)^4-1.752461*($BL$63)^3-0.293762*($BL$63)^2+0.042981*$BL$63+BH262*($BL$64^-0.5)</f>
        <v>0.17254128536790717</v>
      </c>
      <c r="BJ262">
        <f t="shared" si="50"/>
        <v>0.15647342556168212</v>
      </c>
    </row>
    <row r="263" spans="1:62" x14ac:dyDescent="0.3">
      <c r="B263" t="s">
        <v>28</v>
      </c>
      <c r="C263" s="17">
        <f>SUM(C258:C262)</f>
        <v>1.5327327116712035</v>
      </c>
      <c r="D263" s="17">
        <f>SUM(D258:D262)</f>
        <v>9.2570785179492105</v>
      </c>
      <c r="E263" s="17">
        <f>SUM(E258:E262)</f>
        <v>42.535403737598642</v>
      </c>
      <c r="F263" s="17">
        <f>SUM(F258:F262)</f>
        <v>29.186097231620096</v>
      </c>
      <c r="G263" s="17">
        <f>SUM(G258:G262)</f>
        <v>17.488687801160832</v>
      </c>
      <c r="H263" s="1">
        <f>SUM(H257:H262)</f>
        <v>100</v>
      </c>
      <c r="I263" s="13" t="s">
        <v>24</v>
      </c>
      <c r="J263" s="12" t="s">
        <v>29</v>
      </c>
      <c r="N263" s="1">
        <f>SUM(N258:N262)</f>
        <v>192771.38</v>
      </c>
      <c r="O263" s="17">
        <f>SUM(O258:O262)</f>
        <v>100</v>
      </c>
      <c r="AH263" s="78"/>
      <c r="BF263" s="51">
        <v>0.90964629605236902</v>
      </c>
      <c r="BG263" s="27">
        <v>200</v>
      </c>
      <c r="BH263" s="84">
        <f>_xlfn.NORM.S.INV((BG263-0.375)/($BI$61+0.25))</f>
        <v>2.7347800424613049</v>
      </c>
      <c r="BI263" s="84">
        <f>-2.70605*($BL$63)^5+4.4334685*($BL$63)^4-2.07119*($BL$63)^3-0.147981*($BL$63)^2+0.221157*$BL$63+BH263*($BL$64^-0.5)</f>
        <v>0.20934182212459215</v>
      </c>
      <c r="BJ263">
        <f t="shared" si="50"/>
        <v>0.19042701310448912</v>
      </c>
    </row>
    <row r="264" spans="1:62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0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0.2917277873090528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0.35282860414720912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0.59515440528747288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0.57332696467104038</v>
      </c>
      <c r="H264" s="1"/>
      <c r="I264" s="56">
        <f>(C258+D259+E260+F261+G262)/H263</f>
        <v>0.89841053384163017</v>
      </c>
      <c r="J264" s="53">
        <f>SQRT(SUM(P258:P262))/100</f>
        <v>6.6155456689917765E-3</v>
      </c>
      <c r="M264" s="1"/>
      <c r="N264" s="9"/>
      <c r="AI264" s="78"/>
      <c r="BI264" t="s">
        <v>365</v>
      </c>
      <c r="BJ264">
        <f>SUM(BJ64:BJ263)</f>
        <v>4.4433815778434332E-2</v>
      </c>
    </row>
    <row r="265" spans="1:62" x14ac:dyDescent="0.3">
      <c r="B265" s="1" t="s">
        <v>30</v>
      </c>
      <c r="C265" s="17">
        <f>C258/C263*100</f>
        <v>100</v>
      </c>
      <c r="D265" s="17">
        <f>D259/D263*100</f>
        <v>83.291378217019982</v>
      </c>
      <c r="E265" s="17">
        <f>E260/E263*100</f>
        <v>97.105511976893339</v>
      </c>
      <c r="F265" s="17">
        <f>F261/F263*100</f>
        <v>88.911885352978643</v>
      </c>
      <c r="G265" s="17">
        <f>G262/G263*100</f>
        <v>76.299844010902845</v>
      </c>
      <c r="H265" s="1"/>
      <c r="AH265" s="78"/>
    </row>
    <row r="266" spans="1:62" x14ac:dyDescent="0.3">
      <c r="B266" s="16" t="s">
        <v>39</v>
      </c>
      <c r="C266" s="18">
        <f>SQRT((C269+C270)/(C263*C263))</f>
        <v>0</v>
      </c>
      <c r="D266" s="18">
        <f>SQRT((D269+D270)/(D263*D263))</f>
        <v>4.0148675027773644</v>
      </c>
      <c r="E266" s="18">
        <f>SQRT((E269+E270)/(E263*E263))</f>
        <v>0.66024459786777223</v>
      </c>
      <c r="F266" s="18">
        <f>SQRT((F269+F270)/(F263*F263))</f>
        <v>2.0663083367498327</v>
      </c>
      <c r="G266" s="18">
        <f>SQRT((G269+G270)/(G263*G263))</f>
        <v>5.792392760383521</v>
      </c>
      <c r="H266" s="1"/>
      <c r="I266" s="14"/>
      <c r="AI266" s="78"/>
    </row>
    <row r="267" spans="1:62" x14ac:dyDescent="0.3">
      <c r="B267" s="1" t="s">
        <v>37</v>
      </c>
      <c r="C267" s="18">
        <f>100-C265</f>
        <v>0</v>
      </c>
      <c r="D267" s="18">
        <f>100-D265</f>
        <v>16.708621782980018</v>
      </c>
      <c r="E267" s="18">
        <f>100-E265</f>
        <v>2.8944880231066605</v>
      </c>
      <c r="F267" s="18">
        <f>100-F265</f>
        <v>11.088114647021357</v>
      </c>
      <c r="G267" s="18">
        <f>100-G265</f>
        <v>23.700155989097155</v>
      </c>
      <c r="AH267" s="78"/>
    </row>
    <row r="268" spans="1:62" ht="15.6" x14ac:dyDescent="0.35">
      <c r="B268" s="1" t="s">
        <v>25</v>
      </c>
      <c r="C268" s="1">
        <f>C252</f>
        <v>56</v>
      </c>
      <c r="D268" s="1">
        <f>D252</f>
        <v>141</v>
      </c>
      <c r="E268" s="1">
        <f>E252</f>
        <v>1745</v>
      </c>
      <c r="F268" s="1">
        <f>F252</f>
        <v>614</v>
      </c>
      <c r="G268" s="1">
        <f>G252</f>
        <v>294</v>
      </c>
      <c r="AI268" s="78"/>
    </row>
    <row r="269" spans="1:62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1048.1866107109408</v>
      </c>
      <c r="E269" s="18">
        <f>(O260*O260*(100-E265)*(100-E265)*(I260)*(100-I260))/((L260-1)*100)</f>
        <v>38.059513946585355</v>
      </c>
      <c r="F269" s="18">
        <f>(O261*O261*(100-F265)*(100-F265)*(I261)*(100-I261))/((L261-1)*100)</f>
        <v>2323.3883351578093</v>
      </c>
      <c r="G269" s="18">
        <f>(O262*O262*(100-G265)*(100-G265)*(I262)*(100-I262))/((L262-1)*100)</f>
        <v>9307.6355072618317</v>
      </c>
      <c r="AH269" s="78"/>
    </row>
    <row r="270" spans="1:62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333.12076132031723</v>
      </c>
      <c r="E270" s="18">
        <f>E265*E265*(SUM((H258*E258*(1-E247/H247))/(H247-1),(H259*E259*(1-E248/H248))/(H248-1), (H261*E261*(1-E250/H250))/(H250-1),(H262*E262*(1-E251/H251))/(H251-1)))</f>
        <v>750.63865356504766</v>
      </c>
      <c r="F270" s="18">
        <f>F265*F265*(SUM((H258*F258*(1-F247/H247))/(H247-1),(H259*F259*(1-F248/H248))/(H248-1), (H260*F260*(1-F249/H249))/(H249-1),(H262*F262*(1-F251/H251))/(H251-1)))</f>
        <v>1313.6033295758382</v>
      </c>
      <c r="G270" s="18">
        <f>G265*G265*(SUM((H258*G258*(1-G247/H247))/(H247-1),(H259*G259*(1-G248/H248))/(H248-1), (H260*G260*(1-G249/H249))/(H249-1),(H261*G261*(1-G250/H250))/(H250-1)))</f>
        <v>954.32772254816894</v>
      </c>
      <c r="AI270" s="78"/>
    </row>
    <row r="271" spans="1:62" x14ac:dyDescent="0.3">
      <c r="A271" s="105" t="s">
        <v>390</v>
      </c>
      <c r="B271" s="69" t="s">
        <v>9</v>
      </c>
      <c r="C271" s="1">
        <v>278.02</v>
      </c>
      <c r="D271" s="1">
        <v>942.08</v>
      </c>
      <c r="E271" s="1">
        <v>13711.19</v>
      </c>
      <c r="F271" s="1">
        <v>3843.1</v>
      </c>
      <c r="G271">
        <v>3280.98</v>
      </c>
      <c r="I271" t="s">
        <v>36</v>
      </c>
      <c r="J271" s="57">
        <f>SUM(C271:G271)</f>
        <v>22055.37</v>
      </c>
      <c r="AH271" s="78"/>
    </row>
    <row r="272" spans="1:62" x14ac:dyDescent="0.3">
      <c r="B272" t="s">
        <v>391</v>
      </c>
      <c r="C272" s="57">
        <f>(C271/$J271)*100</f>
        <v>1.2605546857749383</v>
      </c>
      <c r="D272" s="57">
        <f>(D271/$J271)*100</f>
        <v>4.271431401966959</v>
      </c>
      <c r="E272" s="57">
        <f>(E271/$J271)*100</f>
        <v>62.167127552156245</v>
      </c>
      <c r="F272" s="57">
        <f>(F271/$J271)*100</f>
        <v>17.424781357102599</v>
      </c>
      <c r="G272" s="57">
        <f>(G271/$J271)*100</f>
        <v>14.876105002999271</v>
      </c>
      <c r="T272" s="2"/>
      <c r="AI272" s="78"/>
    </row>
    <row r="273" spans="1:35" x14ac:dyDescent="0.3">
      <c r="A273" s="361">
        <v>1977</v>
      </c>
      <c r="B273" s="361"/>
      <c r="C273" s="361"/>
      <c r="D273" s="361"/>
      <c r="E273" s="361"/>
      <c r="F273" s="361"/>
      <c r="G273" s="361"/>
      <c r="H273" s="361"/>
      <c r="I273" s="361"/>
      <c r="J273" s="361"/>
      <c r="K273" s="361"/>
      <c r="L273" s="361" t="s">
        <v>87</v>
      </c>
      <c r="M273" s="361"/>
      <c r="N273" s="361"/>
      <c r="O273" s="361"/>
      <c r="P273" s="361"/>
      <c r="AH273" s="78"/>
    </row>
    <row r="274" spans="1:35" ht="15" thickBot="1" x14ac:dyDescent="0.35">
      <c r="A274" t="s">
        <v>320</v>
      </c>
      <c r="B274" t="s">
        <v>21</v>
      </c>
      <c r="I274" s="1" t="s">
        <v>58</v>
      </c>
      <c r="O274" s="360" t="s">
        <v>411</v>
      </c>
      <c r="P274" s="360"/>
      <c r="R274" s="59" t="s">
        <v>78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77</v>
      </c>
      <c r="AA274" s="12" t="s">
        <v>29</v>
      </c>
      <c r="AI274" s="78"/>
    </row>
    <row r="275" spans="1:35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56</v>
      </c>
      <c r="O275" s="13" t="s">
        <v>412</v>
      </c>
      <c r="P275" s="13" t="s">
        <v>41</v>
      </c>
      <c r="S275" t="s">
        <v>28</v>
      </c>
      <c r="T275" s="57">
        <f t="shared" ref="T275:X276" si="52">AVERAGE(T16,T26,T36,T46,T56)</f>
        <v>1.5622120944067923</v>
      </c>
      <c r="U275" s="57">
        <f t="shared" si="52"/>
        <v>9.4225355083140574</v>
      </c>
      <c r="V275" s="57">
        <f t="shared" si="52"/>
        <v>41.779196374065918</v>
      </c>
      <c r="W275" s="57">
        <f t="shared" si="52"/>
        <v>29.338816297369426</v>
      </c>
      <c r="X275" s="57">
        <f t="shared" si="52"/>
        <v>17.897239725843811</v>
      </c>
      <c r="Z275" s="14">
        <f>AVERAGE(AE16,AE17,AE18,AE19,AE20)</f>
        <v>0.89948251304429017</v>
      </c>
      <c r="AA275" s="72">
        <f>AVERAGE(AF16,AF17,AF18,AF19,AF20)</f>
        <v>6.6440810792409433E-3</v>
      </c>
      <c r="AH275" s="78"/>
    </row>
    <row r="276" spans="1:35" x14ac:dyDescent="0.3">
      <c r="A276" t="s">
        <v>3</v>
      </c>
      <c r="B276" s="13">
        <v>0</v>
      </c>
      <c r="C276" s="26">
        <v>56</v>
      </c>
      <c r="D276" s="3">
        <v>0</v>
      </c>
      <c r="E276" s="3">
        <v>0</v>
      </c>
      <c r="F276" s="3">
        <v>0</v>
      </c>
      <c r="G276" s="4">
        <v>0</v>
      </c>
      <c r="H276" s="1">
        <f>SUM(C276:G276)</f>
        <v>56</v>
      </c>
      <c r="I276" s="10">
        <f>C276/H276</f>
        <v>1</v>
      </c>
      <c r="J276" s="11">
        <f>1-I276</f>
        <v>0</v>
      </c>
      <c r="K276">
        <f>H276-C281</f>
        <v>0</v>
      </c>
      <c r="N276" s="10">
        <f>2*(C282*I276)/(C282+I276)</f>
        <v>1</v>
      </c>
      <c r="O276" s="1">
        <v>0</v>
      </c>
      <c r="P276" s="1">
        <v>270</v>
      </c>
      <c r="S276" t="s">
        <v>39</v>
      </c>
      <c r="T276" s="57">
        <f t="shared" si="52"/>
        <v>0</v>
      </c>
      <c r="U276" s="57">
        <f t="shared" si="52"/>
        <v>0.29333829174094961</v>
      </c>
      <c r="V276" s="57">
        <f t="shared" si="52"/>
        <v>0.35412641812666751</v>
      </c>
      <c r="W276" s="57">
        <f t="shared" si="52"/>
        <v>0.59099401152512032</v>
      </c>
      <c r="X276" s="57">
        <f t="shared" si="52"/>
        <v>0.58137739830407731</v>
      </c>
      <c r="AI276" s="78"/>
    </row>
    <row r="277" spans="1:35" x14ac:dyDescent="0.3">
      <c r="A277" t="s">
        <v>4</v>
      </c>
      <c r="B277" s="13">
        <v>1</v>
      </c>
      <c r="C277" s="5">
        <v>0</v>
      </c>
      <c r="D277" s="27">
        <v>86</v>
      </c>
      <c r="E277" s="1">
        <v>6</v>
      </c>
      <c r="F277" s="1">
        <v>0</v>
      </c>
      <c r="G277" s="6">
        <v>0</v>
      </c>
      <c r="H277" s="1">
        <f>SUM(C277:G277)</f>
        <v>92</v>
      </c>
      <c r="I277" s="10">
        <f>D277/H277</f>
        <v>0.93478260869565222</v>
      </c>
      <c r="J277" s="11">
        <f>1-I277</f>
        <v>6.5217391304347783E-2</v>
      </c>
      <c r="K277">
        <f>H277-D281</f>
        <v>-51</v>
      </c>
      <c r="N277" s="10">
        <f>2*(D282*I277)/(D282+I277)</f>
        <v>0.73191489361702122</v>
      </c>
      <c r="O277" s="1">
        <v>5</v>
      </c>
      <c r="P277" s="1">
        <v>68</v>
      </c>
      <c r="S277" s="66" t="s">
        <v>65</v>
      </c>
      <c r="T277" s="67">
        <f>1.96*T276</f>
        <v>0</v>
      </c>
      <c r="U277" s="67">
        <f>1.96*U276</f>
        <v>0.57494305181226124</v>
      </c>
      <c r="V277" s="67">
        <f>1.96*V276</f>
        <v>0.69408777952826828</v>
      </c>
      <c r="W277" s="67">
        <f>1.96*W276</f>
        <v>1.1583482625892358</v>
      </c>
      <c r="X277" s="67">
        <f>1.96*X276</f>
        <v>1.1394997006759915</v>
      </c>
      <c r="AH277" s="78"/>
    </row>
    <row r="278" spans="1:35" x14ac:dyDescent="0.3">
      <c r="A278" t="s">
        <v>5</v>
      </c>
      <c r="B278" s="13">
        <v>2</v>
      </c>
      <c r="C278" s="5">
        <v>0</v>
      </c>
      <c r="D278" s="1">
        <v>47</v>
      </c>
      <c r="E278" s="27">
        <v>1725</v>
      </c>
      <c r="F278" s="1">
        <v>16</v>
      </c>
      <c r="G278" s="6">
        <v>20</v>
      </c>
      <c r="H278" s="1">
        <f>SUM(C278:G278)</f>
        <v>1808</v>
      </c>
      <c r="I278" s="10">
        <f>E278/H278</f>
        <v>0.9540929203539823</v>
      </c>
      <c r="J278" s="11">
        <f>1-I278</f>
        <v>4.5907079646017701E-2</v>
      </c>
      <c r="K278">
        <f>H278-E281</f>
        <v>66</v>
      </c>
      <c r="N278" s="10">
        <f>2*(E282*I278)/(E282+I278)</f>
        <v>0.971830985915493</v>
      </c>
      <c r="O278" s="1">
        <v>930</v>
      </c>
      <c r="P278" s="1">
        <v>10212</v>
      </c>
      <c r="S278" t="s">
        <v>30</v>
      </c>
      <c r="T278" s="57">
        <f t="shared" ref="T278:X279" si="53">AVERAGE(T18,T28,T38,T48,T58)</f>
        <v>100</v>
      </c>
      <c r="U278" s="57">
        <f t="shared" si="53"/>
        <v>84.774517288217396</v>
      </c>
      <c r="V278" s="57">
        <f t="shared" si="53"/>
        <v>97.195700133570256</v>
      </c>
      <c r="W278" s="57">
        <f t="shared" si="53"/>
        <v>89.193648239248134</v>
      </c>
      <c r="X278" s="57">
        <f t="shared" si="53"/>
        <v>76.156946776555046</v>
      </c>
    </row>
    <row r="279" spans="1:35" x14ac:dyDescent="0.3">
      <c r="A279" t="s">
        <v>6</v>
      </c>
      <c r="B279" s="13">
        <v>3</v>
      </c>
      <c r="C279" s="5">
        <v>0</v>
      </c>
      <c r="D279" s="1">
        <v>10</v>
      </c>
      <c r="E279" s="1">
        <v>7</v>
      </c>
      <c r="F279" s="27">
        <v>552</v>
      </c>
      <c r="G279" s="6">
        <v>84</v>
      </c>
      <c r="H279" s="1">
        <f>SUM(C279:G279)</f>
        <v>653</v>
      </c>
      <c r="I279" s="10">
        <f>F279/H279</f>
        <v>0.84532924961715161</v>
      </c>
      <c r="J279" s="11">
        <f>1-I279</f>
        <v>0.15467075038284839</v>
      </c>
      <c r="K279">
        <f>H279-F281</f>
        <v>45</v>
      </c>
      <c r="N279" s="10">
        <f>2*(F282*I279)/(F282+I279)</f>
        <v>0.87549563838223632</v>
      </c>
      <c r="O279" s="1">
        <v>647</v>
      </c>
      <c r="P279" s="1">
        <v>18090</v>
      </c>
      <c r="S279" t="s">
        <v>39</v>
      </c>
      <c r="T279" s="57">
        <f t="shared" si="53"/>
        <v>0</v>
      </c>
      <c r="U279" s="57">
        <f t="shared" si="53"/>
        <v>3.8386273037854286</v>
      </c>
      <c r="V279" s="57">
        <f t="shared" si="53"/>
        <v>0.68067251442683308</v>
      </c>
      <c r="W279" s="57">
        <f t="shared" si="53"/>
        <v>2.0099944544921629</v>
      </c>
      <c r="X279" s="57">
        <f t="shared" si="53"/>
        <v>5.774261500558195</v>
      </c>
      <c r="AH279" s="78"/>
    </row>
    <row r="280" spans="1:35" x14ac:dyDescent="0.3">
      <c r="A280" t="s">
        <v>7</v>
      </c>
      <c r="B280" s="13">
        <v>4</v>
      </c>
      <c r="C280" s="7">
        <v>0</v>
      </c>
      <c r="D280" s="8">
        <v>0</v>
      </c>
      <c r="E280" s="8">
        <v>4</v>
      </c>
      <c r="F280" s="8">
        <v>40</v>
      </c>
      <c r="G280" s="28">
        <v>197</v>
      </c>
      <c r="H280" s="1">
        <f>SUM(C280:G280)</f>
        <v>241</v>
      </c>
      <c r="I280" s="10">
        <f>G280/H280</f>
        <v>0.81742738589211617</v>
      </c>
      <c r="J280" s="11">
        <f>1-I280</f>
        <v>0.18257261410788383</v>
      </c>
      <c r="K280">
        <f>H280-G281</f>
        <v>-60</v>
      </c>
      <c r="N280" s="10">
        <f>2*(G282*I280)/(G282+I280)</f>
        <v>0.72693726937269365</v>
      </c>
      <c r="O280" s="1">
        <v>270</v>
      </c>
      <c r="P280" s="1">
        <v>14585</v>
      </c>
      <c r="S280" s="66" t="s">
        <v>65</v>
      </c>
      <c r="T280" s="67">
        <f>1.96*T279</f>
        <v>0</v>
      </c>
      <c r="U280" s="67">
        <f>1.96*U279</f>
        <v>7.5237095154194398</v>
      </c>
      <c r="V280" s="67">
        <f>1.96*V279</f>
        <v>1.3341181282765928</v>
      </c>
      <c r="W280" s="67">
        <f>1.96*W279</f>
        <v>3.9395891308046389</v>
      </c>
      <c r="X280" s="67">
        <f>1.96*X279</f>
        <v>11.317552541094061</v>
      </c>
    </row>
    <row r="281" spans="1:35" ht="15.6" x14ac:dyDescent="0.35">
      <c r="B281" s="1" t="s">
        <v>19</v>
      </c>
      <c r="C281" s="1">
        <f>SUM(C276:C280)</f>
        <v>56</v>
      </c>
      <c r="D281" s="1">
        <f>SUM(D276:D280)</f>
        <v>143</v>
      </c>
      <c r="E281" s="1">
        <f>SUM(E276:E280)</f>
        <v>1742</v>
      </c>
      <c r="F281" s="1">
        <f>SUM(F276:F280)</f>
        <v>608</v>
      </c>
      <c r="G281" s="1">
        <f>SUM(G276:G280)</f>
        <v>301</v>
      </c>
      <c r="H281" s="1">
        <f>SUM(H275:H280)</f>
        <v>2850</v>
      </c>
      <c r="I281" s="13" t="s">
        <v>12</v>
      </c>
      <c r="N281" s="16" t="s">
        <v>36</v>
      </c>
      <c r="O281" s="1">
        <f>SUM(O276:O280)</f>
        <v>1852</v>
      </c>
      <c r="P281" s="1">
        <f>SUM(P276:P280)</f>
        <v>43225</v>
      </c>
      <c r="S281" t="s">
        <v>31</v>
      </c>
      <c r="T281" s="57">
        <f t="shared" ref="T281:X282" si="54">AVERAGE(T20,T30,T40,T50,T60)</f>
        <v>100</v>
      </c>
      <c r="U281" s="57">
        <f t="shared" si="54"/>
        <v>94.130434782608702</v>
      </c>
      <c r="V281" s="57">
        <f t="shared" si="54"/>
        <v>95.431415929203538</v>
      </c>
      <c r="W281" s="57">
        <f t="shared" si="54"/>
        <v>85.022970903522221</v>
      </c>
      <c r="X281" s="57">
        <f t="shared" si="54"/>
        <v>81.908713692946051</v>
      </c>
      <c r="AH281" s="78"/>
    </row>
    <row r="282" spans="1:35" x14ac:dyDescent="0.3">
      <c r="A282" s="1" t="s">
        <v>321</v>
      </c>
      <c r="B282" s="1" t="s">
        <v>2</v>
      </c>
      <c r="C282" s="10">
        <f>C276/C281</f>
        <v>1</v>
      </c>
      <c r="D282" s="10">
        <f>D277/D281</f>
        <v>0.60139860139860135</v>
      </c>
      <c r="E282" s="10">
        <f>E278/E281</f>
        <v>0.99024110218140071</v>
      </c>
      <c r="F282" s="10">
        <f>F279/F281</f>
        <v>0.90789473684210531</v>
      </c>
      <c r="G282" s="10">
        <f>G280/G281</f>
        <v>0.654485049833887</v>
      </c>
      <c r="H282" s="10"/>
      <c r="I282" s="14">
        <f>(C276+D277+E278+F279+G280)/H281</f>
        <v>0.91789473684210521</v>
      </c>
      <c r="S282" t="s">
        <v>39</v>
      </c>
      <c r="T282" s="57">
        <f t="shared" si="54"/>
        <v>0</v>
      </c>
      <c r="U282" s="57">
        <f t="shared" si="54"/>
        <v>2.4231770171829212</v>
      </c>
      <c r="V282" s="57">
        <f t="shared" si="54"/>
        <v>0.49092087840406268</v>
      </c>
      <c r="W282" s="57">
        <f t="shared" si="54"/>
        <v>1.3965109923775518</v>
      </c>
      <c r="X282" s="57">
        <f t="shared" si="54"/>
        <v>2.4828827319449154</v>
      </c>
    </row>
    <row r="283" spans="1:35" x14ac:dyDescent="0.3">
      <c r="B283" s="1" t="s">
        <v>14</v>
      </c>
      <c r="C283" s="11">
        <f>1-C282</f>
        <v>0</v>
      </c>
      <c r="D283" s="11">
        <f>1-D282</f>
        <v>0.39860139860139865</v>
      </c>
      <c r="E283" s="11">
        <f>1-E282</f>
        <v>9.7588978185992881E-3</v>
      </c>
      <c r="F283" s="11">
        <f>1-F282</f>
        <v>9.210526315789469E-2</v>
      </c>
      <c r="G283" s="11">
        <f>1-G282</f>
        <v>0.345514950166113</v>
      </c>
      <c r="S283" s="66" t="s">
        <v>65</v>
      </c>
      <c r="T283" s="67">
        <f>1.96*T282</f>
        <v>0</v>
      </c>
      <c r="U283" s="67">
        <f>1.96*U282</f>
        <v>4.7494269536785252</v>
      </c>
      <c r="V283" s="67">
        <f>1.96*V282</f>
        <v>0.96220492167196281</v>
      </c>
      <c r="W283" s="67">
        <f>1.96*W282</f>
        <v>2.7371615450600015</v>
      </c>
      <c r="X283" s="67">
        <f>1.96*X282</f>
        <v>4.8664501546120338</v>
      </c>
      <c r="AH283" s="78"/>
    </row>
    <row r="284" spans="1:35" x14ac:dyDescent="0.3">
      <c r="C284" s="2"/>
      <c r="S284" t="s">
        <v>56</v>
      </c>
      <c r="T284" s="57">
        <f>AVERAGE(T22,T32,T42,T52,T62)</f>
        <v>100</v>
      </c>
      <c r="U284" s="57">
        <f>AVERAGE(U22,U32,U42,U52,U62)</f>
        <v>75.455526097954888</v>
      </c>
      <c r="V284" s="57">
        <f>AVERAGE(V22,V32,V42,V52,V62)</f>
        <v>97.189023996657454</v>
      </c>
      <c r="W284" s="57">
        <f>AVERAGE(W22,W32,W42,W52,W62)</f>
        <v>87.458071297344034</v>
      </c>
      <c r="X284" s="57">
        <f>AVERAGE(X22,X32,X42,X52,X62)</f>
        <v>73.362168513851145</v>
      </c>
    </row>
    <row r="285" spans="1:35" ht="15.6" x14ac:dyDescent="0.35">
      <c r="A285" t="s">
        <v>322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</v>
      </c>
      <c r="U285" s="57">
        <f>_xlfn.STDEV.S(U22,U32,U42,U52,U62)</f>
        <v>1.4176223441800284</v>
      </c>
      <c r="V285" s="57">
        <f>_xlfn.STDEV.S(V22,V32,V42,V52,V62)</f>
        <v>0.1389362954045841</v>
      </c>
      <c r="W285" s="57">
        <f>_xlfn.STDEV.S(W22,W32,W42,W52,W62)</f>
        <v>0.51025515615370809</v>
      </c>
      <c r="X285" s="57">
        <f>_xlfn.STDEV.S(X22,X32,X42,X52,X62)</f>
        <v>0.92327229095558627</v>
      </c>
      <c r="AH285" s="78"/>
    </row>
    <row r="286" spans="1:35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65</v>
      </c>
      <c r="T286" s="67">
        <f>1.96*T285</f>
        <v>0</v>
      </c>
      <c r="U286" s="67">
        <f>1.96*U285</f>
        <v>2.7785397945928558</v>
      </c>
      <c r="V286" s="67">
        <f>1.96*V285</f>
        <v>0.27231513899298482</v>
      </c>
      <c r="W286" s="67">
        <f>1.96*W285</f>
        <v>1.0001001060612678</v>
      </c>
      <c r="X286" s="67">
        <f>1.96*X285</f>
        <v>1.8096136902729492</v>
      </c>
    </row>
    <row r="287" spans="1:35" x14ac:dyDescent="0.3">
      <c r="A287" t="s">
        <v>3</v>
      </c>
      <c r="B287" s="13">
        <v>0</v>
      </c>
      <c r="C287" s="29">
        <f t="shared" ref="C287:G291" si="55">(C276/$L287)*$O287</f>
        <v>1.5613157928319026</v>
      </c>
      <c r="D287" s="31">
        <f t="shared" si="55"/>
        <v>0</v>
      </c>
      <c r="E287" s="31">
        <f t="shared" si="55"/>
        <v>0</v>
      </c>
      <c r="F287" s="31">
        <f t="shared" si="55"/>
        <v>0</v>
      </c>
      <c r="G287" s="32">
        <f t="shared" si="55"/>
        <v>0</v>
      </c>
      <c r="H287" s="17">
        <f>SUM(C287:G287)</f>
        <v>1.5613157928319026</v>
      </c>
      <c r="I287" s="17">
        <f>C287/H287*100</f>
        <v>100</v>
      </c>
      <c r="J287" s="17">
        <f>SQRT(I287*(100-I287)/(L287-1))</f>
        <v>0</v>
      </c>
      <c r="K287" s="18">
        <f>100-I287</f>
        <v>0</v>
      </c>
      <c r="L287" s="1">
        <f>H276</f>
        <v>56</v>
      </c>
      <c r="M287">
        <v>0</v>
      </c>
      <c r="N287">
        <v>3009.77</v>
      </c>
      <c r="O287" s="17">
        <f>N287/N292*100</f>
        <v>1.5613157928319026</v>
      </c>
      <c r="P287" s="52">
        <f>((O287*O287*(I287/100)*(K287/100))/(L287-1))</f>
        <v>0</v>
      </c>
      <c r="R287" s="16" t="s">
        <v>75</v>
      </c>
      <c r="S287" t="s">
        <v>9</v>
      </c>
      <c r="T287" s="57">
        <f>AVERAGE(T23,T33,T43,T53,T63)</f>
        <v>3011.498</v>
      </c>
      <c r="U287" s="57">
        <f>AVERAGE(U23,U33,U43,U53,U63)</f>
        <v>16349.326000000001</v>
      </c>
      <c r="V287" s="57">
        <f>AVERAGE(V23,V33,V43,V53,V63)</f>
        <v>82022.62000000001</v>
      </c>
      <c r="W287" s="57">
        <f>AVERAGE(W23,W33,W43,W53,W63)</f>
        <v>59323.955999999991</v>
      </c>
      <c r="X287" s="57">
        <f>AVERAGE(X23,X33,X43,X53,X63)</f>
        <v>32063.992000000006</v>
      </c>
      <c r="Z287" t="s">
        <v>36</v>
      </c>
      <c r="AA287" s="57">
        <f>AVERAGE(AA23,AA33,AA43,AA53,AA63)</f>
        <v>192771.39200000002</v>
      </c>
      <c r="AH287" s="78"/>
    </row>
    <row r="288" spans="1:35" x14ac:dyDescent="0.3">
      <c r="A288" t="s">
        <v>4</v>
      </c>
      <c r="B288" s="13">
        <v>1</v>
      </c>
      <c r="C288" s="33">
        <f t="shared" si="55"/>
        <v>0</v>
      </c>
      <c r="D288" s="34">
        <f t="shared" si="55"/>
        <v>8.1119463218892847</v>
      </c>
      <c r="E288" s="19">
        <f t="shared" si="55"/>
        <v>0.56594974338762449</v>
      </c>
      <c r="F288" s="18">
        <f t="shared" si="55"/>
        <v>0</v>
      </c>
      <c r="G288" s="20">
        <f t="shared" si="55"/>
        <v>0</v>
      </c>
      <c r="H288" s="17">
        <f>SUM(C288:G288)</f>
        <v>8.6778960652769097</v>
      </c>
      <c r="I288" s="17">
        <f>D288/H288*100</f>
        <v>93.478260869565204</v>
      </c>
      <c r="J288" s="17">
        <f>SQRT(I288*(100-I288)/(L288-1))</f>
        <v>2.5883102208852105</v>
      </c>
      <c r="K288" s="18">
        <f>100-I288</f>
        <v>6.5217391304347956</v>
      </c>
      <c r="L288" s="1">
        <f>H277</f>
        <v>92</v>
      </c>
      <c r="M288">
        <v>1</v>
      </c>
      <c r="N288">
        <v>16728.5</v>
      </c>
      <c r="O288" s="17">
        <f>N288/N292*100</f>
        <v>8.6778960652769097</v>
      </c>
      <c r="P288" s="52">
        <f>((O288*O288*(I288/100)*(K288/100))/(L288-1))</f>
        <v>5.0450043288433333E-2</v>
      </c>
      <c r="S288" t="s">
        <v>29</v>
      </c>
      <c r="T288" s="57">
        <f>_xlfn.STDEV.S(T23,T33,T43,T53,T63)</f>
        <v>32.300472442365312</v>
      </c>
      <c r="U288" s="57">
        <f>_xlfn.STDEV.S(U23,U33,U43,U53,U63)</f>
        <v>441.35556734904736</v>
      </c>
      <c r="V288" s="57">
        <f>_xlfn.STDEV.S(V23,V33,V43,V53,V63)</f>
        <v>827.02807053328002</v>
      </c>
      <c r="W288" s="57">
        <f>_xlfn.STDEV.S(W23,W33,W43,W53,W63)</f>
        <v>943.63949844736896</v>
      </c>
      <c r="X288" s="57">
        <f>_xlfn.STDEV.S(X23,X33,X43,X53,X63)</f>
        <v>482.33915714982186</v>
      </c>
      <c r="Z288" t="s">
        <v>29</v>
      </c>
      <c r="AA288" s="57">
        <f>_xlfn.STDEV.S(AA23,AA33,AA43,AA53,AA63)</f>
        <v>4.4721359526567663E-3</v>
      </c>
    </row>
    <row r="289" spans="1:34" x14ac:dyDescent="0.3">
      <c r="A289" t="s">
        <v>5</v>
      </c>
      <c r="B289" s="13">
        <v>2</v>
      </c>
      <c r="C289" s="33">
        <f t="shared" si="55"/>
        <v>0</v>
      </c>
      <c r="D289" s="19">
        <f t="shared" si="55"/>
        <v>1.1249593983490538</v>
      </c>
      <c r="E289" s="34">
        <f t="shared" si="55"/>
        <v>41.28840345004506</v>
      </c>
      <c r="F289" s="19">
        <f t="shared" si="55"/>
        <v>0.38296490156563534</v>
      </c>
      <c r="G289" s="20">
        <f t="shared" si="55"/>
        <v>0.47870612695704418</v>
      </c>
      <c r="H289" s="17">
        <f>SUM(C289:G289)</f>
        <v>43.275033876916794</v>
      </c>
      <c r="I289" s="17">
        <f>E289/H289*100</f>
        <v>95.409292035398224</v>
      </c>
      <c r="J289" s="17">
        <f>SQRT(I289*(100-I289)/(L289-1))</f>
        <v>0.49232976564771452</v>
      </c>
      <c r="K289" s="18">
        <f>100-I289</f>
        <v>4.5907079646017763</v>
      </c>
      <c r="L289" s="1">
        <f>H278</f>
        <v>1808</v>
      </c>
      <c r="M289">
        <v>2</v>
      </c>
      <c r="N289">
        <v>83421.88</v>
      </c>
      <c r="O289" s="17">
        <f>N289/N292*100</f>
        <v>43.275033876916794</v>
      </c>
      <c r="P289" s="52">
        <f>((O289*O289*(I289/100)*(K289/100))/(L289-1))</f>
        <v>4.5392804964480067E-2</v>
      </c>
      <c r="S289" t="s">
        <v>65</v>
      </c>
      <c r="T289" s="57">
        <f>1.96*T288</f>
        <v>63.308925987036012</v>
      </c>
      <c r="U289" s="57">
        <f>1.96*U288</f>
        <v>865.05691200413287</v>
      </c>
      <c r="V289" s="57">
        <f>1.96*V288</f>
        <v>1620.9750182452287</v>
      </c>
      <c r="W289" s="57">
        <f>1.96*W288</f>
        <v>1849.5334169568432</v>
      </c>
      <c r="X289" s="57">
        <f>1.96*X288</f>
        <v>945.38474801365078</v>
      </c>
      <c r="AH289" s="78"/>
    </row>
    <row r="290" spans="1:34" x14ac:dyDescent="0.3">
      <c r="A290" t="s">
        <v>6</v>
      </c>
      <c r="B290" s="13">
        <v>3</v>
      </c>
      <c r="C290" s="33">
        <f t="shared" si="55"/>
        <v>0</v>
      </c>
      <c r="D290" s="19">
        <f t="shared" si="55"/>
        <v>0.45385240784720793</v>
      </c>
      <c r="E290" s="19">
        <f t="shared" si="55"/>
        <v>0.31769668549304553</v>
      </c>
      <c r="F290" s="34">
        <f t="shared" si="55"/>
        <v>25.052652913165876</v>
      </c>
      <c r="G290" s="20">
        <f t="shared" si="55"/>
        <v>3.8123602259165463</v>
      </c>
      <c r="H290" s="17">
        <f>SUM(C290:G290)</f>
        <v>29.636562232422676</v>
      </c>
      <c r="I290" s="17">
        <f>F290/H290*100</f>
        <v>84.532924961715167</v>
      </c>
      <c r="J290" s="17">
        <f>SQRT(I290*(100-I290)/(L290-1))</f>
        <v>1.4160977952198814</v>
      </c>
      <c r="K290" s="18">
        <f>100-I290</f>
        <v>15.467075038284833</v>
      </c>
      <c r="L290" s="1">
        <f>H279</f>
        <v>653</v>
      </c>
      <c r="M290">
        <v>3</v>
      </c>
      <c r="N290">
        <v>57130.81</v>
      </c>
      <c r="O290" s="17">
        <f>N290/N292*100</f>
        <v>29.636562232422676</v>
      </c>
      <c r="P290" s="52">
        <f>((O290*O290*(I290/100)*(K290/100))/(L290-1))</f>
        <v>0.17613357233246479</v>
      </c>
      <c r="R290" s="16" t="s">
        <v>74</v>
      </c>
      <c r="S290" t="s">
        <v>9</v>
      </c>
      <c r="T290" s="57">
        <f>AVERAGE(T24,T34,T44,T54,T64)</f>
        <v>3011.498</v>
      </c>
      <c r="U290" s="57">
        <f>AVERAGE(U24,U34,U44,U54,U64)</f>
        <v>18163.95286794721</v>
      </c>
      <c r="V290" s="57">
        <f>AVERAGE(V24,V34,V44,V54,V64)</f>
        <v>80538.338403925052</v>
      </c>
      <c r="W290" s="57">
        <f>AVERAGE(W24,W34,W44,W54,W64)</f>
        <v>56556.84459855107</v>
      </c>
      <c r="X290" s="57">
        <f>AVERAGE(X24,X34,X44,X54,X64)</f>
        <v>34500.758129576687</v>
      </c>
      <c r="Z290" t="s">
        <v>36</v>
      </c>
      <c r="AA290" s="24">
        <f>SUM(T290:X290)</f>
        <v>192771.39200000002</v>
      </c>
    </row>
    <row r="291" spans="1:34" x14ac:dyDescent="0.3">
      <c r="A291" t="s">
        <v>7</v>
      </c>
      <c r="B291" s="13">
        <v>4</v>
      </c>
      <c r="C291" s="35">
        <f t="shared" si="55"/>
        <v>0</v>
      </c>
      <c r="D291" s="36">
        <f t="shared" si="55"/>
        <v>0</v>
      </c>
      <c r="E291" s="21">
        <f t="shared" si="55"/>
        <v>0.27965463954442688</v>
      </c>
      <c r="F291" s="21">
        <f t="shared" si="55"/>
        <v>2.7965463954442686</v>
      </c>
      <c r="G291" s="37">
        <f t="shared" si="55"/>
        <v>13.772990997563024</v>
      </c>
      <c r="H291" s="17">
        <f>SUM(C291:G291)</f>
        <v>16.84919203255172</v>
      </c>
      <c r="I291" s="17">
        <f>G291/H291*100</f>
        <v>81.742738589211612</v>
      </c>
      <c r="J291" s="17">
        <f>SQRT(I291*(100-I291)/(L291-1))</f>
        <v>2.4936574100246278</v>
      </c>
      <c r="K291" s="18">
        <f>100-I291</f>
        <v>18.257261410788388</v>
      </c>
      <c r="L291" s="1">
        <f>H280</f>
        <v>241</v>
      </c>
      <c r="M291">
        <v>4</v>
      </c>
      <c r="N291">
        <v>32480.42</v>
      </c>
      <c r="O291" s="17">
        <f>N291/N292*100</f>
        <v>16.84919203255172</v>
      </c>
      <c r="P291" s="52">
        <f>((O291*O291*(I291/100)*(K291/100))/(L291-1))</f>
        <v>0.17653537150663909</v>
      </c>
      <c r="S291" t="s">
        <v>29</v>
      </c>
      <c r="T291" s="57">
        <f>_xlfn.STDEV.S(T24,T34,T44,T54,T64)</f>
        <v>32.300472442365418</v>
      </c>
      <c r="U291" s="57">
        <f>_xlfn.STDEV.S(U24,U34,U44,U54,U64)</f>
        <v>940.81459164968066</v>
      </c>
      <c r="V291" s="57">
        <f>_xlfn.STDEV.S(V24,V34,V44,V54,V64)</f>
        <v>1234.5764773495919</v>
      </c>
      <c r="W291" s="57">
        <f>_xlfn.STDEV.S(W24,W34,W44,W54,W64)</f>
        <v>1498.6339844361701</v>
      </c>
      <c r="X291" s="57">
        <f>_xlfn.STDEV.S(X24,X34,X44,X54,X64)</f>
        <v>1267.2982072281625</v>
      </c>
      <c r="AH291" s="78"/>
    </row>
    <row r="292" spans="1:34" x14ac:dyDescent="0.3">
      <c r="B292" t="s">
        <v>28</v>
      </c>
      <c r="C292" s="17">
        <f>SUM(C287:C291)</f>
        <v>1.5613157928319026</v>
      </c>
      <c r="D292" s="17">
        <f>SUM(D287:D291)</f>
        <v>9.6907581280855464</v>
      </c>
      <c r="E292" s="17">
        <f>SUM(E287:E291)</f>
        <v>42.451704518470159</v>
      </c>
      <c r="F292" s="17">
        <f>SUM(F287:F291)</f>
        <v>28.232164210175782</v>
      </c>
      <c r="G292" s="17">
        <f>SUM(G287:G291)</f>
        <v>18.064057350436613</v>
      </c>
      <c r="H292" s="1">
        <f>SUM(H286:H291)</f>
        <v>100</v>
      </c>
      <c r="I292" s="13" t="s">
        <v>24</v>
      </c>
      <c r="J292" s="12" t="s">
        <v>29</v>
      </c>
      <c r="N292" s="1">
        <f>SUM(N287:N291)</f>
        <v>192771.38</v>
      </c>
      <c r="O292" s="17">
        <f>SUM(O287:O291)</f>
        <v>100</v>
      </c>
      <c r="S292" s="66" t="s">
        <v>65</v>
      </c>
      <c r="T292" s="67">
        <f>1.96*T291</f>
        <v>63.308925987036218</v>
      </c>
      <c r="U292" s="67">
        <f>1.96*U291</f>
        <v>1843.996599633374</v>
      </c>
      <c r="V292" s="67">
        <f>1.96*V291</f>
        <v>2419.7698956052</v>
      </c>
      <c r="W292" s="67">
        <f>1.96*W291</f>
        <v>2937.3226094948932</v>
      </c>
      <c r="X292" s="67">
        <f>1.96*X291</f>
        <v>2483.9044861671982</v>
      </c>
    </row>
    <row r="293" spans="1:34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0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0.3105007553432364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0.35883243573104723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0.58992794456718423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0.58129301041877823</v>
      </c>
      <c r="H293" s="1"/>
      <c r="I293" s="56">
        <f>(C287+D288+E289+F290+G291)/H292</f>
        <v>0.89787309475495147</v>
      </c>
      <c r="J293" s="53">
        <f>SQRT(SUM(P287:P291))/100</f>
        <v>6.697102299442776E-3</v>
      </c>
      <c r="M293" s="1"/>
      <c r="N293" s="9"/>
      <c r="AH293" s="78"/>
    </row>
    <row r="294" spans="1:34" x14ac:dyDescent="0.3">
      <c r="B294" s="1" t="s">
        <v>30</v>
      </c>
      <c r="C294" s="17">
        <f>C287/C292*100</f>
        <v>100</v>
      </c>
      <c r="D294" s="17">
        <f>D288/D292*100</f>
        <v>83.70806715709287</v>
      </c>
      <c r="E294" s="17">
        <f>E289/E292*100</f>
        <v>97.259707044462814</v>
      </c>
      <c r="F294" s="17">
        <f>F290/F292*100</f>
        <v>88.73798241842222</v>
      </c>
      <c r="G294" s="17">
        <f>G291/G292*100</f>
        <v>76.245279398596054</v>
      </c>
      <c r="H294" s="1"/>
    </row>
    <row r="295" spans="1:34" x14ac:dyDescent="0.3">
      <c r="B295" s="16" t="s">
        <v>39</v>
      </c>
      <c r="C295" s="18">
        <f>SQRT((C298+C299)/(C292*C292))</f>
        <v>0</v>
      </c>
      <c r="D295" s="18">
        <f>SQRT((D298+D299)/(D292*D292))</f>
        <v>4.211020331263807</v>
      </c>
      <c r="E295" s="18">
        <f>SQRT((E298+E299)/(E292*E292))</f>
        <v>0.67827507732360537</v>
      </c>
      <c r="F295" s="18">
        <f>SQRT((F298+F299)/(F292*F292))</f>
        <v>2.123740735446118</v>
      </c>
      <c r="G295" s="18">
        <f>SQRT((G298+G299)/(G292*G292))</f>
        <v>5.7810265222896611</v>
      </c>
      <c r="H295" s="1"/>
      <c r="AH295" s="78"/>
    </row>
    <row r="296" spans="1:34" x14ac:dyDescent="0.3">
      <c r="B296" s="1" t="s">
        <v>37</v>
      </c>
      <c r="C296" s="18">
        <f>100-C294</f>
        <v>0</v>
      </c>
      <c r="D296" s="18">
        <f>100-D294</f>
        <v>16.29193284290713</v>
      </c>
      <c r="E296" s="18">
        <f>100-E294</f>
        <v>2.7402929555371855</v>
      </c>
      <c r="F296" s="18">
        <f>100-F294</f>
        <v>11.26201758157778</v>
      </c>
      <c r="G296" s="18">
        <f>100-G294</f>
        <v>23.754720601403946</v>
      </c>
    </row>
    <row r="297" spans="1:34" ht="15.6" x14ac:dyDescent="0.35">
      <c r="B297" s="1" t="s">
        <v>25</v>
      </c>
      <c r="C297" s="1">
        <f>C281</f>
        <v>56</v>
      </c>
      <c r="D297" s="1">
        <f>D281</f>
        <v>143</v>
      </c>
      <c r="E297" s="1">
        <f>E281</f>
        <v>1742</v>
      </c>
      <c r="F297" s="1">
        <f>F281</f>
        <v>608</v>
      </c>
      <c r="G297" s="1">
        <f>G281</f>
        <v>301</v>
      </c>
      <c r="AH297" s="78"/>
    </row>
    <row r="298" spans="1:34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1339.080746190308</v>
      </c>
      <c r="E298" s="18">
        <f>(O289*O289*(100-E294)*(100-E294)*(I289)*(100-I289))/((L289-1)*100)</f>
        <v>34.086389989019857</v>
      </c>
      <c r="F298" s="18">
        <f>(O290*O290*(100-F294)*(100-F294)*(I290)*(100-I290))/((L290-1)*100)</f>
        <v>2233.9556426354434</v>
      </c>
      <c r="G298" s="18">
        <f>(O291*O291*(100-G294)*(100-G294)*(I291)*(100-I291))/((L291-1)*100)</f>
        <v>9961.6571197714093</v>
      </c>
    </row>
    <row r="299" spans="1:34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326.21044490477954</v>
      </c>
      <c r="E299" s="18">
        <f>E294*E294*(SUM((H287*E287*(1-E276/H276))/(H276-1),(H288*E288*(1-E277/H277))/(H277-1), (H290*E290*(1-E279/H279))/(H279-1),(H291*E291*(1-E280/H280))/(H280-1)))</f>
        <v>795.00419710903941</v>
      </c>
      <c r="F299" s="18">
        <f>F294*F294*(SUM((H287*F287*(1-F276/H276))/(H276-1),(H288*F288*(1-F277/H277))/(H277-1), (H289*F289*(1-F278/H278))/(H278-1),(H291*F291*(1-F280/H280))/(H280-1)))</f>
        <v>1360.9818003968383</v>
      </c>
      <c r="G299" s="18">
        <f>G294*G294*(SUM((H287*G287*(1-G276/H276))/(H276-1),(H288*G288*(1-G277/H277))/(H277-1), (H289*G289*(1-G278/H278))/(H278-1),(H290*G290*(1-G279/H279))/(H279-1)))</f>
        <v>943.71603082588217</v>
      </c>
      <c r="AH299" s="78"/>
    </row>
    <row r="300" spans="1:34" x14ac:dyDescent="0.3">
      <c r="A300" s="105" t="s">
        <v>390</v>
      </c>
      <c r="B300" s="69" t="s">
        <v>9</v>
      </c>
      <c r="C300" s="1">
        <v>279.45999999999998</v>
      </c>
      <c r="D300" s="1">
        <v>932.71</v>
      </c>
      <c r="E300" s="1">
        <v>13799.42</v>
      </c>
      <c r="F300" s="1">
        <v>3673.49</v>
      </c>
      <c r="G300">
        <v>3370.29</v>
      </c>
      <c r="I300" t="s">
        <v>36</v>
      </c>
      <c r="J300" s="57">
        <f>SUM(C300:G300)</f>
        <v>22055.370000000003</v>
      </c>
    </row>
    <row r="301" spans="1:34" x14ac:dyDescent="0.3">
      <c r="B301" t="s">
        <v>391</v>
      </c>
      <c r="C301" s="57">
        <f>(C300/$J300)*100</f>
        <v>1.2670837079586512</v>
      </c>
      <c r="D301" s="57">
        <f>(D300/$J300)*100</f>
        <v>4.2289474173409918</v>
      </c>
      <c r="E301" s="57">
        <f>(E300/$J300)*100</f>
        <v>62.567166182204147</v>
      </c>
      <c r="F301" s="57">
        <f>(F300/$J300)*100</f>
        <v>16.655762292811225</v>
      </c>
      <c r="G301" s="57">
        <f>(G300/$J300)*100</f>
        <v>15.281040399684972</v>
      </c>
      <c r="AH301" s="78"/>
    </row>
    <row r="302" spans="1:34" x14ac:dyDescent="0.3">
      <c r="A302" s="361">
        <v>1977</v>
      </c>
      <c r="B302" s="361"/>
      <c r="C302" s="361"/>
      <c r="D302" s="361"/>
      <c r="E302" s="361"/>
      <c r="F302" s="361"/>
      <c r="G302" s="361"/>
      <c r="H302" s="361"/>
      <c r="I302" s="361"/>
      <c r="J302" s="361"/>
      <c r="K302" s="361"/>
      <c r="L302" s="361" t="s">
        <v>88</v>
      </c>
      <c r="M302" s="361"/>
      <c r="N302" s="361"/>
      <c r="O302" s="361"/>
      <c r="P302" s="361"/>
    </row>
    <row r="303" spans="1:34" x14ac:dyDescent="0.3">
      <c r="A303" t="s">
        <v>320</v>
      </c>
      <c r="B303" t="s">
        <v>21</v>
      </c>
      <c r="I303" s="1" t="s">
        <v>58</v>
      </c>
      <c r="O303" s="360" t="s">
        <v>411</v>
      </c>
      <c r="P303" s="360"/>
      <c r="AH303" s="78"/>
    </row>
    <row r="304" spans="1:34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56</v>
      </c>
      <c r="O304" s="13" t="s">
        <v>412</v>
      </c>
      <c r="P304" s="13" t="s">
        <v>41</v>
      </c>
    </row>
    <row r="305" spans="1:34" x14ac:dyDescent="0.3">
      <c r="A305" t="s">
        <v>3</v>
      </c>
      <c r="B305" s="13">
        <v>0</v>
      </c>
      <c r="C305" s="26">
        <v>56</v>
      </c>
      <c r="D305" s="3">
        <v>0</v>
      </c>
      <c r="E305" s="3">
        <v>0</v>
      </c>
      <c r="F305" s="3">
        <v>0</v>
      </c>
      <c r="G305" s="4">
        <v>0</v>
      </c>
      <c r="H305" s="1">
        <f>SUM(C305:G305)</f>
        <v>56</v>
      </c>
      <c r="I305" s="10">
        <f>C305/H305</f>
        <v>1</v>
      </c>
      <c r="J305" s="11">
        <f>1-I305</f>
        <v>0</v>
      </c>
      <c r="K305">
        <f>H305-C310</f>
        <v>0</v>
      </c>
      <c r="N305" s="10">
        <f>2*(C311*I305)/(C311+I305)</f>
        <v>1</v>
      </c>
      <c r="O305" s="1">
        <v>0</v>
      </c>
      <c r="P305" s="1">
        <v>233</v>
      </c>
      <c r="AH305" s="78"/>
    </row>
    <row r="306" spans="1:34" x14ac:dyDescent="0.3">
      <c r="A306" t="s">
        <v>4</v>
      </c>
      <c r="B306" s="13">
        <v>1</v>
      </c>
      <c r="C306" s="5">
        <v>0</v>
      </c>
      <c r="D306" s="27">
        <v>88</v>
      </c>
      <c r="E306" s="1">
        <v>4</v>
      </c>
      <c r="F306" s="1">
        <v>0</v>
      </c>
      <c r="G306" s="6">
        <v>0</v>
      </c>
      <c r="H306" s="1">
        <f>SUM(C306:G306)</f>
        <v>92</v>
      </c>
      <c r="I306" s="10">
        <f>D306/H306</f>
        <v>0.95652173913043481</v>
      </c>
      <c r="J306" s="11">
        <f>1-I306</f>
        <v>4.3478260869565188E-2</v>
      </c>
      <c r="K306">
        <f>H306-D310</f>
        <v>-51</v>
      </c>
      <c r="N306" s="10">
        <f>2*(D311*I306)/(D311+I306)</f>
        <v>0.74893617021276604</v>
      </c>
      <c r="O306" s="1">
        <v>4</v>
      </c>
      <c r="P306" s="1">
        <v>86</v>
      </c>
    </row>
    <row r="307" spans="1:34" x14ac:dyDescent="0.3">
      <c r="A307" t="s">
        <v>5</v>
      </c>
      <c r="B307" s="13">
        <v>2</v>
      </c>
      <c r="C307" s="5">
        <v>0</v>
      </c>
      <c r="D307" s="1">
        <v>45</v>
      </c>
      <c r="E307" s="27">
        <v>1720</v>
      </c>
      <c r="F307" s="1">
        <v>25</v>
      </c>
      <c r="G307" s="6">
        <v>18</v>
      </c>
      <c r="H307" s="1">
        <f>SUM(C307:G307)</f>
        <v>1808</v>
      </c>
      <c r="I307" s="10">
        <f>E307/H307</f>
        <v>0.95132743362831862</v>
      </c>
      <c r="J307" s="11">
        <f>1-I307</f>
        <v>4.8672566371681381E-2</v>
      </c>
      <c r="K307">
        <f>H307-E310</f>
        <v>72</v>
      </c>
      <c r="N307" s="10">
        <f>2*(E311*I307)/(E311+I307)</f>
        <v>0.97065462753950338</v>
      </c>
      <c r="O307" s="1">
        <v>895</v>
      </c>
      <c r="P307" s="1">
        <v>9721</v>
      </c>
      <c r="AH307" s="78"/>
    </row>
    <row r="308" spans="1:34" x14ac:dyDescent="0.3">
      <c r="A308" t="s">
        <v>6</v>
      </c>
      <c r="B308" s="13">
        <v>3</v>
      </c>
      <c r="C308" s="5">
        <v>0</v>
      </c>
      <c r="D308" s="1">
        <v>10</v>
      </c>
      <c r="E308" s="1">
        <v>7</v>
      </c>
      <c r="F308" s="27">
        <v>562</v>
      </c>
      <c r="G308" s="6">
        <v>74</v>
      </c>
      <c r="H308" s="1">
        <f>SUM(C308:G308)</f>
        <v>653</v>
      </c>
      <c r="I308" s="10">
        <f>F308/H308</f>
        <v>0.86064318529862172</v>
      </c>
      <c r="J308" s="11">
        <f>1-I308</f>
        <v>0.13935681470137828</v>
      </c>
      <c r="K308">
        <f>H308-F310</f>
        <v>24</v>
      </c>
      <c r="N308" s="10">
        <f>2*(F311*I308)/(F311+I308)</f>
        <v>0.87675507020280807</v>
      </c>
      <c r="O308" s="1">
        <v>698</v>
      </c>
      <c r="P308" s="1">
        <v>18909</v>
      </c>
    </row>
    <row r="309" spans="1:34" x14ac:dyDescent="0.3">
      <c r="A309" t="s">
        <v>7</v>
      </c>
      <c r="B309" s="13">
        <v>4</v>
      </c>
      <c r="C309" s="7">
        <v>0</v>
      </c>
      <c r="D309" s="8">
        <v>0</v>
      </c>
      <c r="E309" s="8">
        <v>5</v>
      </c>
      <c r="F309" s="8">
        <v>42</v>
      </c>
      <c r="G309" s="28">
        <v>194</v>
      </c>
      <c r="H309" s="1">
        <f>SUM(C309:G309)</f>
        <v>241</v>
      </c>
      <c r="I309" s="10">
        <f>G309/H309</f>
        <v>0.80497925311203322</v>
      </c>
      <c r="J309" s="11">
        <f>1-I309</f>
        <v>0.19502074688796678</v>
      </c>
      <c r="K309">
        <f>H309-G310</f>
        <v>-45</v>
      </c>
      <c r="N309" s="10">
        <f>2*(G311*I309)/(G311+I309)</f>
        <v>0.73624288425047435</v>
      </c>
      <c r="O309" s="1">
        <v>254</v>
      </c>
      <c r="P309" s="1">
        <v>14276</v>
      </c>
      <c r="AH309" s="78"/>
    </row>
    <row r="310" spans="1:34" ht="15.6" x14ac:dyDescent="0.35">
      <c r="B310" s="1" t="s">
        <v>19</v>
      </c>
      <c r="C310" s="1">
        <f>SUM(C305:C309)</f>
        <v>56</v>
      </c>
      <c r="D310" s="1">
        <f>SUM(D305:D309)</f>
        <v>143</v>
      </c>
      <c r="E310" s="1">
        <f>SUM(E305:E309)</f>
        <v>1736</v>
      </c>
      <c r="F310" s="1">
        <f>SUM(F305:F309)</f>
        <v>629</v>
      </c>
      <c r="G310" s="1">
        <f>SUM(G305:G309)</f>
        <v>286</v>
      </c>
      <c r="H310" s="1">
        <f>SUM(H304:H309)</f>
        <v>2850</v>
      </c>
      <c r="I310" s="13" t="s">
        <v>12</v>
      </c>
      <c r="N310" s="16" t="s">
        <v>36</v>
      </c>
      <c r="O310" s="1">
        <f>SUM(O305:O309)</f>
        <v>1851</v>
      </c>
      <c r="P310" s="1">
        <f>SUM(P305:P309)</f>
        <v>43225</v>
      </c>
    </row>
    <row r="311" spans="1:34" x14ac:dyDescent="0.3">
      <c r="A311" s="1" t="s">
        <v>321</v>
      </c>
      <c r="B311" s="1" t="s">
        <v>2</v>
      </c>
      <c r="C311" s="10">
        <f>C305/C310</f>
        <v>1</v>
      </c>
      <c r="D311" s="10">
        <f>D306/D310</f>
        <v>0.61538461538461542</v>
      </c>
      <c r="E311" s="10">
        <f>E307/E310</f>
        <v>0.99078341013824889</v>
      </c>
      <c r="F311" s="10">
        <f>F308/F310</f>
        <v>0.89348171701112877</v>
      </c>
      <c r="G311" s="10">
        <f>G309/G310</f>
        <v>0.67832167832167833</v>
      </c>
      <c r="H311" s="10"/>
      <c r="I311" s="14">
        <f>(C305+D306+E307+F308+G309)/H310</f>
        <v>0.91929824561403506</v>
      </c>
      <c r="AH311" s="78"/>
    </row>
    <row r="312" spans="1:34" x14ac:dyDescent="0.3">
      <c r="B312" s="1" t="s">
        <v>14</v>
      </c>
      <c r="C312" s="11">
        <f>1-C311</f>
        <v>0</v>
      </c>
      <c r="D312" s="11">
        <f>1-D311</f>
        <v>0.38461538461538458</v>
      </c>
      <c r="E312" s="11">
        <f>1-E311</f>
        <v>9.2165898617511122E-3</v>
      </c>
      <c r="F312" s="11">
        <f>1-F311</f>
        <v>0.10651828298887123</v>
      </c>
      <c r="G312" s="11">
        <f>1-G311</f>
        <v>0.32167832167832167</v>
      </c>
      <c r="Q312" s="25"/>
    </row>
    <row r="313" spans="1:34" x14ac:dyDescent="0.3">
      <c r="C313" s="2"/>
      <c r="Q313" s="25"/>
      <c r="AH313" s="78"/>
    </row>
    <row r="314" spans="1:34" ht="15.6" x14ac:dyDescent="0.35">
      <c r="A314" t="s">
        <v>322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34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</row>
    <row r="316" spans="1:34" x14ac:dyDescent="0.3">
      <c r="A316" t="s">
        <v>3</v>
      </c>
      <c r="B316" s="13">
        <v>0</v>
      </c>
      <c r="C316" s="29">
        <f t="shared" ref="C316:G320" si="56">(C305/$L316)*$O316</f>
        <v>1.525070785922682</v>
      </c>
      <c r="D316" s="31">
        <f t="shared" si="56"/>
        <v>0</v>
      </c>
      <c r="E316" s="31">
        <f t="shared" si="56"/>
        <v>0</v>
      </c>
      <c r="F316" s="31">
        <f t="shared" si="56"/>
        <v>0</v>
      </c>
      <c r="G316" s="32">
        <f t="shared" si="56"/>
        <v>0</v>
      </c>
      <c r="H316" s="17">
        <f>SUM(C316:G316)</f>
        <v>1.525070785922682</v>
      </c>
      <c r="I316" s="17">
        <f>C316/H316*100</f>
        <v>100</v>
      </c>
      <c r="J316" s="17">
        <f>SQRT(I316*(100-I316)/(L316-1))</f>
        <v>0</v>
      </c>
      <c r="K316" s="18">
        <f>100-I316</f>
        <v>0</v>
      </c>
      <c r="L316" s="1">
        <f>H305</f>
        <v>56</v>
      </c>
      <c r="M316">
        <v>0</v>
      </c>
      <c r="N316">
        <v>2939.9</v>
      </c>
      <c r="O316" s="17">
        <f>N316/N321*100</f>
        <v>1.525070785922682</v>
      </c>
      <c r="P316" s="52">
        <f>((O316*O316*(I316/100)*(K316/100))/(L316-1))</f>
        <v>0</v>
      </c>
    </row>
    <row r="317" spans="1:34" x14ac:dyDescent="0.3">
      <c r="A317" t="s">
        <v>4</v>
      </c>
      <c r="B317" s="13">
        <v>1</v>
      </c>
      <c r="C317" s="33">
        <f t="shared" si="56"/>
        <v>0</v>
      </c>
      <c r="D317" s="34">
        <f t="shared" si="56"/>
        <v>8.3050520664742198</v>
      </c>
      <c r="E317" s="19">
        <f t="shared" si="56"/>
        <v>0.37750236665791903</v>
      </c>
      <c r="F317" s="18">
        <f t="shared" si="56"/>
        <v>0</v>
      </c>
      <c r="G317" s="20">
        <f t="shared" si="56"/>
        <v>0</v>
      </c>
      <c r="H317" s="17">
        <f>SUM(C317:G317)</f>
        <v>8.6825544331321396</v>
      </c>
      <c r="I317" s="17">
        <f>D317/H317*100</f>
        <v>95.65217391304347</v>
      </c>
      <c r="J317" s="17">
        <f>SQRT(I317*(100-I317)/(L317-1))</f>
        <v>2.1377790082367047</v>
      </c>
      <c r="K317" s="18">
        <f>100-I317</f>
        <v>4.3478260869565304</v>
      </c>
      <c r="L317" s="1">
        <f>H306</f>
        <v>92</v>
      </c>
      <c r="M317">
        <v>1</v>
      </c>
      <c r="N317">
        <v>16737.48</v>
      </c>
      <c r="O317" s="17">
        <f>N317/N321*100</f>
        <v>8.6825544331321378</v>
      </c>
      <c r="P317" s="52">
        <f>((O317*O317*(I317/100)*(K317/100))/(L317-1))</f>
        <v>3.4452492421002914E-2</v>
      </c>
    </row>
    <row r="318" spans="1:34" x14ac:dyDescent="0.3">
      <c r="A318" t="s">
        <v>5</v>
      </c>
      <c r="B318" s="13">
        <v>2</v>
      </c>
      <c r="C318" s="33">
        <f t="shared" si="56"/>
        <v>0</v>
      </c>
      <c r="D318" s="19">
        <f t="shared" si="56"/>
        <v>1.0573061498929206</v>
      </c>
      <c r="E318" s="34">
        <f t="shared" si="56"/>
        <v>40.412590618129407</v>
      </c>
      <c r="F318" s="19">
        <f t="shared" si="56"/>
        <v>0.58739230549606702</v>
      </c>
      <c r="G318" s="20">
        <f t="shared" si="56"/>
        <v>0.42292245995716821</v>
      </c>
      <c r="H318" s="17">
        <f>SUM(C318:G318)</f>
        <v>42.480211533475568</v>
      </c>
      <c r="I318" s="17">
        <f>E318/H318*100</f>
        <v>95.132743362831846</v>
      </c>
      <c r="J318" s="17">
        <f>SQRT(I318*(100-I318)/(L318-1))</f>
        <v>0.50620689588495527</v>
      </c>
      <c r="K318" s="18">
        <f>100-I318</f>
        <v>4.867256637168154</v>
      </c>
      <c r="L318" s="1">
        <f>H307</f>
        <v>1808</v>
      </c>
      <c r="M318">
        <v>2</v>
      </c>
      <c r="N318">
        <v>81889.69</v>
      </c>
      <c r="O318" s="17">
        <f>N318/N321*100</f>
        <v>42.480211533475561</v>
      </c>
      <c r="P318" s="52">
        <f>((O318*O318*(I318/100)*(K318/100))/(L318-1))</f>
        <v>4.6241238298487211E-2</v>
      </c>
    </row>
    <row r="319" spans="1:34" x14ac:dyDescent="0.3">
      <c r="A319" t="s">
        <v>6</v>
      </c>
      <c r="B319" s="13">
        <v>3</v>
      </c>
      <c r="C319" s="33">
        <f t="shared" si="56"/>
        <v>0</v>
      </c>
      <c r="D319" s="19">
        <f t="shared" si="56"/>
        <v>0.47701118358317829</v>
      </c>
      <c r="E319" s="19">
        <f t="shared" si="56"/>
        <v>0.33390782850822481</v>
      </c>
      <c r="F319" s="34">
        <f t="shared" si="56"/>
        <v>26.80802851737462</v>
      </c>
      <c r="G319" s="20">
        <f t="shared" si="56"/>
        <v>3.5298827585155195</v>
      </c>
      <c r="H319" s="17">
        <f>SUM(C319:G319)</f>
        <v>31.148830287981543</v>
      </c>
      <c r="I319" s="17">
        <f>F319/H319*100</f>
        <v>86.064318529862177</v>
      </c>
      <c r="J319" s="17">
        <f>SQRT(I319*(100-I319)/(L319-1))</f>
        <v>1.3562878611246618</v>
      </c>
      <c r="K319" s="18">
        <f>100-I319</f>
        <v>13.935681470137823</v>
      </c>
      <c r="L319" s="1">
        <f>H308</f>
        <v>653</v>
      </c>
      <c r="M319">
        <v>3</v>
      </c>
      <c r="N319">
        <v>60046.03</v>
      </c>
      <c r="O319" s="17">
        <f>N319/N321*100</f>
        <v>31.148830287981543</v>
      </c>
      <c r="P319" s="52">
        <f>((O319*O319*(I319/100)*(K319/100))/(L319-1))</f>
        <v>0.17847904548266966</v>
      </c>
    </row>
    <row r="320" spans="1:34" x14ac:dyDescent="0.3">
      <c r="A320" t="s">
        <v>7</v>
      </c>
      <c r="B320" s="13">
        <v>4</v>
      </c>
      <c r="C320" s="35">
        <f t="shared" si="56"/>
        <v>0</v>
      </c>
      <c r="D320" s="36">
        <f t="shared" si="56"/>
        <v>0</v>
      </c>
      <c r="E320" s="21">
        <f t="shared" si="56"/>
        <v>0.33533885808066544</v>
      </c>
      <c r="F320" s="21">
        <f t="shared" si="56"/>
        <v>2.8168464078775894</v>
      </c>
      <c r="G320" s="37">
        <f t="shared" si="56"/>
        <v>13.01114769352982</v>
      </c>
      <c r="H320" s="17">
        <f>SUM(C320:G320)</f>
        <v>16.163332959488073</v>
      </c>
      <c r="I320" s="17">
        <f>G320/H320*100</f>
        <v>80.497925311203318</v>
      </c>
      <c r="J320" s="17">
        <f>SQRT(I320*(100-I320)/(L320-1))</f>
        <v>2.5575676528297544</v>
      </c>
      <c r="K320" s="18">
        <f>100-I320</f>
        <v>19.502074688796682</v>
      </c>
      <c r="L320" s="1">
        <f>H309</f>
        <v>241</v>
      </c>
      <c r="M320">
        <v>4</v>
      </c>
      <c r="N320">
        <v>31158.28</v>
      </c>
      <c r="O320" s="17">
        <f>N320/N321*100</f>
        <v>16.163332959488073</v>
      </c>
      <c r="P320" s="52">
        <f>((O320*O320*(I320/100)*(K320/100))/(L320-1))</f>
        <v>0.17088978355313098</v>
      </c>
    </row>
    <row r="321" spans="1:16" x14ac:dyDescent="0.3">
      <c r="B321" t="s">
        <v>28</v>
      </c>
      <c r="C321" s="17">
        <f t="shared" ref="C321:H321" si="57">SUM(C316:C320)</f>
        <v>1.525070785922682</v>
      </c>
      <c r="D321" s="17">
        <f t="shared" si="57"/>
        <v>9.8393693999503178</v>
      </c>
      <c r="E321" s="17">
        <f t="shared" si="57"/>
        <v>41.45933967137622</v>
      </c>
      <c r="F321" s="17">
        <f t="shared" si="57"/>
        <v>30.212267230748274</v>
      </c>
      <c r="G321" s="17">
        <f t="shared" si="57"/>
        <v>16.963952912002508</v>
      </c>
      <c r="H321" s="18">
        <f t="shared" si="57"/>
        <v>100</v>
      </c>
      <c r="I321" s="13" t="s">
        <v>24</v>
      </c>
      <c r="J321" s="12" t="s">
        <v>29</v>
      </c>
      <c r="N321" s="1">
        <f>SUM(N316:N320)</f>
        <v>192771.38</v>
      </c>
      <c r="O321" s="17">
        <f>SUM(O316:O320)</f>
        <v>100</v>
      </c>
    </row>
    <row r="322" spans="1:16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0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0.28409040349054082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0.34361974579568699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0.5897558303643704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0.57386122458641908</v>
      </c>
      <c r="H322" s="1"/>
      <c r="I322" s="14">
        <f>(C316+D317+E318+F319+G320)/H321</f>
        <v>0.90061889681430751</v>
      </c>
      <c r="J322" s="53">
        <f>SQRT(SUM(P316:P320))/100</f>
        <v>6.5579155206154545E-3</v>
      </c>
      <c r="M322" s="1"/>
      <c r="N322" s="9"/>
    </row>
    <row r="323" spans="1:16" x14ac:dyDescent="0.3">
      <c r="B323" s="1" t="s">
        <v>30</v>
      </c>
      <c r="C323" s="17">
        <f>C316/C321*100</f>
        <v>100</v>
      </c>
      <c r="D323" s="17">
        <f>D317/D321*100</f>
        <v>84.406344846816651</v>
      </c>
      <c r="E323" s="17">
        <f>E318/E321*100</f>
        <v>97.475239447748621</v>
      </c>
      <c r="F323" s="17">
        <f>F319/F321*100</f>
        <v>88.732263330740636</v>
      </c>
      <c r="G323" s="17">
        <f>G320/G321*100</f>
        <v>76.698796330211692</v>
      </c>
      <c r="H323" s="1"/>
    </row>
    <row r="324" spans="1:16" x14ac:dyDescent="0.3">
      <c r="B324" s="16" t="s">
        <v>39</v>
      </c>
      <c r="C324" s="18">
        <f>SQRT((C327+C328)/(C321*C321))</f>
        <v>0</v>
      </c>
      <c r="D324" s="18">
        <f>SQRT((D327+D328)/(D321*D321))</f>
        <v>3.4768158355448784</v>
      </c>
      <c r="E324" s="18">
        <f>SQRT((E327+E328)/(E321*E321))</f>
        <v>0.64581192229977968</v>
      </c>
      <c r="F324" s="18">
        <f>SQRT((F327+F328)/(F321*F321))</f>
        <v>1.9877570424307891</v>
      </c>
      <c r="G324" s="18">
        <f>SQRT((G327+G328)/(G321*G321))</f>
        <v>5.9581544155127943</v>
      </c>
      <c r="H324" s="1"/>
      <c r="I324" s="14"/>
    </row>
    <row r="325" spans="1:16" x14ac:dyDescent="0.3">
      <c r="B325" s="1" t="s">
        <v>37</v>
      </c>
      <c r="C325" s="18">
        <f>100-C323</f>
        <v>0</v>
      </c>
      <c r="D325" s="18">
        <f>100-D323</f>
        <v>15.593655153183349</v>
      </c>
      <c r="E325" s="18">
        <f>100-E323</f>
        <v>2.5247605522513794</v>
      </c>
      <c r="F325" s="18">
        <f>100-F323</f>
        <v>11.267736669259364</v>
      </c>
      <c r="G325" s="18">
        <f>100-G323</f>
        <v>23.301203669788308</v>
      </c>
    </row>
    <row r="326" spans="1:16" ht="15.6" x14ac:dyDescent="0.35">
      <c r="B326" s="1" t="s">
        <v>25</v>
      </c>
      <c r="C326" s="1">
        <f>C310</f>
        <v>56</v>
      </c>
      <c r="D326" s="1">
        <f>D310</f>
        <v>143</v>
      </c>
      <c r="E326" s="1">
        <f>E310</f>
        <v>1736</v>
      </c>
      <c r="F326" s="1">
        <f>F310</f>
        <v>629</v>
      </c>
      <c r="G326" s="1">
        <f>G310</f>
        <v>286</v>
      </c>
    </row>
    <row r="327" spans="1:16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837.7539753981921</v>
      </c>
      <c r="E327" s="18">
        <f>(O318*O318*(100-E323)*(100-E323)*(I318)*(100-I318))/((L318-1)*100)</f>
        <v>29.476088215800413</v>
      </c>
      <c r="F327" s="18">
        <f>(O319*O319*(100-F323)*(100-F323)*(I319)*(100-I319))/((L319-1)*100)</f>
        <v>2266.0036877010398</v>
      </c>
      <c r="G327" s="18">
        <f>(O320*O320*(100-G323)*(100-G323)*(I320)*(100-I320))/((L320-1)*100)</f>
        <v>9278.3940221671</v>
      </c>
    </row>
    <row r="328" spans="1:16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332.54791157421283</v>
      </c>
      <c r="E328" s="18">
        <f>E323*E323*(SUM((H316*E316*(1-E305/H305))/(H305-1),(H317*E317*(1-E306/H306))/(H306-1), (H319*E319*(1-E308/H308))/(H308-1),(H320*E320*(1-E309/H309))/(H309-1)))</f>
        <v>687.42110157996558</v>
      </c>
      <c r="F328" s="18">
        <f>F323*F323*(SUM((H316*F316*(1-F305/H305))/(H305-1),(H317*F317*(1-F306/H306))/(H306-1), (H318*F318*(1-F307/H307))/(H307-1),(H320*F320*(1-F309/H309))/(H309-1)))</f>
        <v>1340.5569332752302</v>
      </c>
      <c r="G328" s="18">
        <f>G323*G323*(SUM((H316*G316*(1-G305/H305))/(H305-1),(H317*G317*(1-G306/H306))/(H306-1), (H318*G318*(1-G307/H307))/(H307-1),(H319*G319*(1-G308/H308))/(H308-1)))</f>
        <v>937.52932312947223</v>
      </c>
    </row>
    <row r="329" spans="1:16" x14ac:dyDescent="0.3">
      <c r="A329" s="105" t="s">
        <v>390</v>
      </c>
      <c r="B329" s="69" t="s">
        <v>9</v>
      </c>
      <c r="C329" s="1">
        <v>264.69</v>
      </c>
      <c r="D329" s="1">
        <v>1002.22</v>
      </c>
      <c r="E329" s="1">
        <v>13503.77</v>
      </c>
      <c r="F329" s="1">
        <v>4084.01</v>
      </c>
      <c r="G329">
        <v>3200.68</v>
      </c>
      <c r="I329" t="s">
        <v>36</v>
      </c>
      <c r="J329" s="57">
        <f>SUM(C329:G329)</f>
        <v>22055.370000000003</v>
      </c>
    </row>
    <row r="330" spans="1:16" x14ac:dyDescent="0.3">
      <c r="B330" t="s">
        <v>391</v>
      </c>
      <c r="C330" s="57">
        <f>(C329/$J329)*100</f>
        <v>1.2001158901437607</v>
      </c>
      <c r="D330" s="57">
        <f>(D329/$J329)*100</f>
        <v>4.5441087590006424</v>
      </c>
      <c r="E330" s="57">
        <f>(E329/$J329)*100</f>
        <v>61.226676315110552</v>
      </c>
      <c r="F330" s="57">
        <f>(F329/$J329)*100</f>
        <v>18.517077700351432</v>
      </c>
      <c r="G330" s="57">
        <f>(G329/$J329)*100</f>
        <v>14.512021335393598</v>
      </c>
    </row>
    <row r="331" spans="1:16" x14ac:dyDescent="0.3">
      <c r="A331" s="361">
        <v>1977</v>
      </c>
      <c r="B331" s="361"/>
      <c r="C331" s="361"/>
      <c r="D331" s="361"/>
      <c r="E331" s="361"/>
      <c r="F331" s="361"/>
      <c r="G331" s="361"/>
      <c r="H331" s="361"/>
      <c r="I331" s="361"/>
      <c r="J331" s="361"/>
      <c r="K331" s="361"/>
      <c r="L331" s="361" t="s">
        <v>89</v>
      </c>
      <c r="M331" s="361"/>
      <c r="N331" s="361"/>
      <c r="O331" s="361"/>
      <c r="P331" s="361"/>
    </row>
    <row r="332" spans="1:16" x14ac:dyDescent="0.3">
      <c r="A332" t="s">
        <v>320</v>
      </c>
      <c r="B332" t="s">
        <v>21</v>
      </c>
      <c r="I332" s="1" t="s">
        <v>58</v>
      </c>
      <c r="O332" s="360" t="s">
        <v>411</v>
      </c>
      <c r="P332" s="360"/>
    </row>
    <row r="333" spans="1:16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56</v>
      </c>
      <c r="O333" s="13" t="s">
        <v>412</v>
      </c>
      <c r="P333" s="13" t="s">
        <v>41</v>
      </c>
    </row>
    <row r="334" spans="1:16" x14ac:dyDescent="0.3">
      <c r="A334" t="s">
        <v>3</v>
      </c>
      <c r="B334" s="13">
        <v>0</v>
      </c>
      <c r="C334" s="26">
        <v>56</v>
      </c>
      <c r="D334" s="3">
        <v>0</v>
      </c>
      <c r="E334" s="3">
        <v>0</v>
      </c>
      <c r="F334" s="3">
        <v>0</v>
      </c>
      <c r="G334" s="4">
        <v>0</v>
      </c>
      <c r="H334" s="1">
        <f>SUM(C334:G334)</f>
        <v>56</v>
      </c>
      <c r="I334" s="10">
        <f>C334/H334</f>
        <v>1</v>
      </c>
      <c r="J334" s="11">
        <f>1-I334</f>
        <v>0</v>
      </c>
      <c r="K334">
        <f>H334-C339</f>
        <v>0</v>
      </c>
      <c r="N334" s="10">
        <f>2*(C340*I334)/(C340+I334)</f>
        <v>1</v>
      </c>
      <c r="O334" s="1">
        <v>0</v>
      </c>
      <c r="P334" s="1">
        <v>260</v>
      </c>
    </row>
    <row r="335" spans="1:16" x14ac:dyDescent="0.3">
      <c r="A335" t="s">
        <v>4</v>
      </c>
      <c r="B335" s="13">
        <v>1</v>
      </c>
      <c r="C335" s="5">
        <v>0</v>
      </c>
      <c r="D335" s="27">
        <v>87</v>
      </c>
      <c r="E335" s="1">
        <v>5</v>
      </c>
      <c r="F335" s="1">
        <v>0</v>
      </c>
      <c r="G335" s="6">
        <v>0</v>
      </c>
      <c r="H335" s="1">
        <f>SUM(C335:G335)</f>
        <v>92</v>
      </c>
      <c r="I335" s="10">
        <f>D335/H335</f>
        <v>0.94565217391304346</v>
      </c>
      <c r="J335" s="11">
        <f>1-I335</f>
        <v>5.4347826086956541E-2</v>
      </c>
      <c r="K335">
        <f>H335-D339</f>
        <v>-46</v>
      </c>
      <c r="N335" s="10">
        <f>2*(D340*I335)/(D340+I335)</f>
        <v>0.75652173913043474</v>
      </c>
      <c r="O335" s="1">
        <v>5</v>
      </c>
      <c r="P335" s="1">
        <v>84</v>
      </c>
    </row>
    <row r="336" spans="1:16" x14ac:dyDescent="0.3">
      <c r="A336" t="s">
        <v>5</v>
      </c>
      <c r="B336" s="13">
        <v>2</v>
      </c>
      <c r="C336" s="5">
        <v>0</v>
      </c>
      <c r="D336" s="1">
        <v>41</v>
      </c>
      <c r="E336" s="27">
        <v>1728</v>
      </c>
      <c r="F336" s="1">
        <v>24</v>
      </c>
      <c r="G336" s="6">
        <v>15</v>
      </c>
      <c r="H336" s="1">
        <f>SUM(C336:G336)</f>
        <v>1808</v>
      </c>
      <c r="I336" s="10">
        <f>E336/H336</f>
        <v>0.95575221238938057</v>
      </c>
      <c r="J336" s="11">
        <f>1-I336</f>
        <v>4.4247787610619427E-2</v>
      </c>
      <c r="K336">
        <f>H336-E339</f>
        <v>59</v>
      </c>
      <c r="N336" s="10">
        <f>2*(E340*I336)/(E340+I336)</f>
        <v>0.97160528535282542</v>
      </c>
      <c r="O336" s="1">
        <v>903</v>
      </c>
      <c r="P336" s="1">
        <v>9820</v>
      </c>
    </row>
    <row r="337" spans="1:16" x14ac:dyDescent="0.3">
      <c r="A337" t="s">
        <v>6</v>
      </c>
      <c r="B337" s="13">
        <v>3</v>
      </c>
      <c r="C337" s="5">
        <v>0</v>
      </c>
      <c r="D337" s="1">
        <v>10</v>
      </c>
      <c r="E337" s="1">
        <v>9</v>
      </c>
      <c r="F337" s="27">
        <v>560</v>
      </c>
      <c r="G337" s="6">
        <v>74</v>
      </c>
      <c r="H337" s="1">
        <f>SUM(C337:G337)</f>
        <v>653</v>
      </c>
      <c r="I337" s="10">
        <f>F337/H337</f>
        <v>0.85758039816232767</v>
      </c>
      <c r="J337" s="11">
        <f>1-I337</f>
        <v>0.14241960183767233</v>
      </c>
      <c r="K337">
        <f>H337-F339</f>
        <v>34</v>
      </c>
      <c r="N337" s="10">
        <f>2*(F340*I337)/(F340+I337)</f>
        <v>0.88050314465408797</v>
      </c>
      <c r="O337" s="1">
        <v>679</v>
      </c>
      <c r="P337" s="1">
        <v>18780</v>
      </c>
    </row>
    <row r="338" spans="1:16" x14ac:dyDescent="0.3">
      <c r="A338" t="s">
        <v>7</v>
      </c>
      <c r="B338" s="13">
        <v>4</v>
      </c>
      <c r="C338" s="7">
        <v>0</v>
      </c>
      <c r="D338" s="8">
        <v>0</v>
      </c>
      <c r="E338" s="8">
        <v>7</v>
      </c>
      <c r="F338" s="8">
        <v>35</v>
      </c>
      <c r="G338" s="28">
        <v>199</v>
      </c>
      <c r="H338" s="1">
        <f>SUM(C338:G338)</f>
        <v>241</v>
      </c>
      <c r="I338" s="10">
        <f>G338/H338</f>
        <v>0.82572614107883813</v>
      </c>
      <c r="J338" s="11">
        <f>1-I338</f>
        <v>0.17427385892116187</v>
      </c>
      <c r="K338">
        <f>H338-G339</f>
        <v>-47</v>
      </c>
      <c r="N338" s="10">
        <f>2*(G340*I338)/(G340+I338)</f>
        <v>0.75236294896030254</v>
      </c>
      <c r="O338" s="1">
        <v>264</v>
      </c>
      <c r="P338" s="1">
        <v>14281</v>
      </c>
    </row>
    <row r="339" spans="1:16" ht="15.6" x14ac:dyDescent="0.35">
      <c r="B339" s="1" t="s">
        <v>19</v>
      </c>
      <c r="C339" s="1">
        <f>SUM(C334:C338)</f>
        <v>56</v>
      </c>
      <c r="D339" s="1">
        <f>SUM(D334:D338)</f>
        <v>138</v>
      </c>
      <c r="E339" s="1">
        <f>SUM(E334:E338)</f>
        <v>1749</v>
      </c>
      <c r="F339" s="1">
        <f>SUM(F334:F338)</f>
        <v>619</v>
      </c>
      <c r="G339" s="1">
        <f>SUM(G334:G338)</f>
        <v>288</v>
      </c>
      <c r="H339" s="1">
        <f>SUM(H333:H338)</f>
        <v>2850</v>
      </c>
      <c r="I339" s="13" t="s">
        <v>12</v>
      </c>
      <c r="N339" s="16" t="s">
        <v>36</v>
      </c>
      <c r="O339" s="1">
        <f>SUM(O334:O338)</f>
        <v>1851</v>
      </c>
      <c r="P339" s="1">
        <f>SUM(P334:P338)</f>
        <v>43225</v>
      </c>
    </row>
    <row r="340" spans="1:16" x14ac:dyDescent="0.3">
      <c r="A340" s="1" t="s">
        <v>321</v>
      </c>
      <c r="B340" s="1" t="s">
        <v>2</v>
      </c>
      <c r="C340" s="10">
        <f>C334/C339</f>
        <v>1</v>
      </c>
      <c r="D340" s="10">
        <f>D335/D339</f>
        <v>0.63043478260869568</v>
      </c>
      <c r="E340" s="10">
        <f>E336/E339</f>
        <v>0.98799313893653518</v>
      </c>
      <c r="F340" s="10">
        <f>F337/F339</f>
        <v>0.90468497576736673</v>
      </c>
      <c r="G340" s="10">
        <f>G338/G339</f>
        <v>0.69097222222222221</v>
      </c>
      <c r="H340" s="10"/>
      <c r="I340" s="14">
        <f>(C334+D335+E336+F337+G338)/H339</f>
        <v>0.92280701754385963</v>
      </c>
    </row>
    <row r="341" spans="1:16" x14ac:dyDescent="0.3">
      <c r="B341" s="1" t="s">
        <v>14</v>
      </c>
      <c r="C341" s="11">
        <f>1-C340</f>
        <v>0</v>
      </c>
      <c r="D341" s="11">
        <f>1-D340</f>
        <v>0.36956521739130432</v>
      </c>
      <c r="E341" s="11">
        <f>1-E340</f>
        <v>1.2006861063464824E-2</v>
      </c>
      <c r="F341" s="11">
        <f>1-F340</f>
        <v>9.5315024232633272E-2</v>
      </c>
      <c r="G341" s="11">
        <f>1-G340</f>
        <v>0.30902777777777779</v>
      </c>
    </row>
    <row r="342" spans="1:16" x14ac:dyDescent="0.3">
      <c r="C342" s="2"/>
    </row>
    <row r="343" spans="1:16" ht="15.6" x14ac:dyDescent="0.35">
      <c r="A343" t="s">
        <v>322</v>
      </c>
      <c r="B343" s="15" t="s">
        <v>23</v>
      </c>
      <c r="N343" s="12" t="s">
        <v>17</v>
      </c>
      <c r="O343" s="1" t="s">
        <v>27</v>
      </c>
      <c r="P343" s="1" t="s">
        <v>33</v>
      </c>
    </row>
    <row r="344" spans="1:16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16" x14ac:dyDescent="0.3">
      <c r="A345" t="s">
        <v>3</v>
      </c>
      <c r="B345" s="13">
        <v>0</v>
      </c>
      <c r="C345" s="29">
        <f t="shared" ref="C345:G349" si="58">(C334/$L345)*$O345</f>
        <v>1.5691643868937191</v>
      </c>
      <c r="D345" s="31">
        <f t="shared" si="58"/>
        <v>0</v>
      </c>
      <c r="E345" s="31">
        <f t="shared" si="58"/>
        <v>0</v>
      </c>
      <c r="F345" s="31">
        <f t="shared" si="58"/>
        <v>0</v>
      </c>
      <c r="G345" s="32">
        <f t="shared" si="58"/>
        <v>0</v>
      </c>
      <c r="H345" s="17">
        <f>SUM(C345:G345)</f>
        <v>1.5691643868937191</v>
      </c>
      <c r="I345" s="17">
        <f>C345/H345*100</f>
        <v>100</v>
      </c>
      <c r="J345" s="17">
        <f>SQRT(I345*(100-I345)/(L345-1))</f>
        <v>0</v>
      </c>
      <c r="K345" s="18">
        <f>100-I345</f>
        <v>0</v>
      </c>
      <c r="L345" s="1">
        <f>H334</f>
        <v>56</v>
      </c>
      <c r="M345">
        <v>0</v>
      </c>
      <c r="N345">
        <v>3024.9</v>
      </c>
      <c r="O345" s="17">
        <f>N345/N350*100</f>
        <v>1.5691643868937191</v>
      </c>
      <c r="P345" s="52">
        <f>((O345*O345*(I345/100)*(K345/100))/(L345-1))</f>
        <v>0</v>
      </c>
    </row>
    <row r="346" spans="1:16" x14ac:dyDescent="0.3">
      <c r="A346" t="s">
        <v>4</v>
      </c>
      <c r="B346" s="13">
        <v>1</v>
      </c>
      <c r="C346" s="33">
        <f t="shared" si="58"/>
        <v>0</v>
      </c>
      <c r="D346" s="34">
        <f t="shared" si="58"/>
        <v>8.0476151389567665</v>
      </c>
      <c r="E346" s="19">
        <f t="shared" si="58"/>
        <v>0.46250661718142339</v>
      </c>
      <c r="F346" s="18">
        <f t="shared" si="58"/>
        <v>0</v>
      </c>
      <c r="G346" s="20">
        <f t="shared" si="58"/>
        <v>0</v>
      </c>
      <c r="H346" s="17">
        <f>SUM(C346:G346)</f>
        <v>8.5101217561381901</v>
      </c>
      <c r="I346" s="17">
        <f>D346/H346*100</f>
        <v>94.565217391304344</v>
      </c>
      <c r="J346" s="17">
        <f>SQRT(I346*(100-I346)/(L346-1))</f>
        <v>2.3764906227132032</v>
      </c>
      <c r="K346" s="18">
        <f>100-I346</f>
        <v>5.4347826086956559</v>
      </c>
      <c r="L346" s="1">
        <f>H335</f>
        <v>92</v>
      </c>
      <c r="M346">
        <v>1</v>
      </c>
      <c r="N346">
        <v>16405.080000000002</v>
      </c>
      <c r="O346" s="17">
        <f>N346/N350*100</f>
        <v>8.5101217561381901</v>
      </c>
      <c r="P346" s="52">
        <f>((O346*O346*(I346/100)*(K346/100))/(L346-1))</f>
        <v>4.0901925871394587E-2</v>
      </c>
    </row>
    <row r="347" spans="1:16" x14ac:dyDescent="0.3">
      <c r="A347" t="s">
        <v>5</v>
      </c>
      <c r="B347" s="13">
        <v>2</v>
      </c>
      <c r="C347" s="33">
        <f t="shared" si="58"/>
        <v>0</v>
      </c>
      <c r="D347" s="19">
        <f t="shared" si="58"/>
        <v>0.970683036220224</v>
      </c>
      <c r="E347" s="34">
        <f t="shared" si="58"/>
        <v>40.910738697281637</v>
      </c>
      <c r="F347" s="19">
        <f t="shared" si="58"/>
        <v>0.56820470412891155</v>
      </c>
      <c r="G347" s="20">
        <f t="shared" si="58"/>
        <v>0.3551279400805698</v>
      </c>
      <c r="H347" s="17">
        <f>SUM(C347:G347)</f>
        <v>42.80475437771134</v>
      </c>
      <c r="I347" s="17">
        <f>E347/H347*100</f>
        <v>95.575221238938056</v>
      </c>
      <c r="J347" s="17">
        <f>SQRT(I347*(100-I347)/(L347-1))</f>
        <v>0.48377047582785149</v>
      </c>
      <c r="K347" s="18">
        <f>100-I347</f>
        <v>4.424778761061944</v>
      </c>
      <c r="L347" s="1">
        <f>H336</f>
        <v>1808</v>
      </c>
      <c r="M347">
        <v>2</v>
      </c>
      <c r="N347">
        <v>82515.320000000007</v>
      </c>
      <c r="O347" s="17">
        <f>N347/N350*100</f>
        <v>42.80475437771134</v>
      </c>
      <c r="P347" s="52">
        <f>((O347*O347*(I347/100)*(K347/100))/(L347-1))</f>
        <v>4.2880786159719818E-2</v>
      </c>
    </row>
    <row r="348" spans="1:16" x14ac:dyDescent="0.3">
      <c r="A348" t="s">
        <v>6</v>
      </c>
      <c r="B348" s="13">
        <v>3</v>
      </c>
      <c r="C348" s="33">
        <f t="shared" si="58"/>
        <v>0</v>
      </c>
      <c r="D348" s="19">
        <f t="shared" si="58"/>
        <v>0.47389516837323548</v>
      </c>
      <c r="E348" s="19">
        <f t="shared" si="58"/>
        <v>0.42650565153591191</v>
      </c>
      <c r="F348" s="34">
        <f t="shared" si="58"/>
        <v>26.538129428901183</v>
      </c>
      <c r="G348" s="20">
        <f t="shared" si="58"/>
        <v>3.5068242459619423</v>
      </c>
      <c r="H348" s="17">
        <f>SUM(C348:G348)</f>
        <v>30.945354494772275</v>
      </c>
      <c r="I348" s="17">
        <f>F348/H348*100</f>
        <v>85.758039816232767</v>
      </c>
      <c r="J348" s="17">
        <f>SQRT(I348*(100-I348)/(L348-1))</f>
        <v>1.3686692455942189</v>
      </c>
      <c r="K348" s="18">
        <f>100-I348</f>
        <v>14.241960183767233</v>
      </c>
      <c r="L348" s="1">
        <f>H337</f>
        <v>653</v>
      </c>
      <c r="M348">
        <v>3</v>
      </c>
      <c r="N348">
        <v>59653.79</v>
      </c>
      <c r="O348" s="17">
        <f>N348/N350*100</f>
        <v>30.945354494772275</v>
      </c>
      <c r="P348" s="52">
        <f>((O348*O348*(I348/100)*(K348/100))/(L348-1))</f>
        <v>0.17938575033801313</v>
      </c>
    </row>
    <row r="349" spans="1:16" x14ac:dyDescent="0.3">
      <c r="A349" t="s">
        <v>7</v>
      </c>
      <c r="B349" s="13">
        <v>4</v>
      </c>
      <c r="C349" s="35">
        <f t="shared" si="58"/>
        <v>0</v>
      </c>
      <c r="D349" s="36">
        <f t="shared" si="58"/>
        <v>0</v>
      </c>
      <c r="E349" s="21">
        <f t="shared" si="58"/>
        <v>0.46968562195598046</v>
      </c>
      <c r="F349" s="21">
        <f t="shared" si="58"/>
        <v>2.3484281097799022</v>
      </c>
      <c r="G349" s="37">
        <f t="shared" si="58"/>
        <v>13.352491252748587</v>
      </c>
      <c r="H349" s="17">
        <f>SUM(C349:G349)</f>
        <v>16.17060498448447</v>
      </c>
      <c r="I349" s="17">
        <f>G349/H349*100</f>
        <v>82.572614107883808</v>
      </c>
      <c r="J349" s="17">
        <f>SQRT(I349*(100-I349)/(L349-1))</f>
        <v>2.4486601865262365</v>
      </c>
      <c r="K349" s="18">
        <f>100-I349</f>
        <v>17.427385892116192</v>
      </c>
      <c r="L349" s="1">
        <f>H338</f>
        <v>241</v>
      </c>
      <c r="M349">
        <v>4</v>
      </c>
      <c r="N349">
        <v>31172.3</v>
      </c>
      <c r="O349" s="17">
        <f>N349/N350*100</f>
        <v>16.17060498448447</v>
      </c>
      <c r="P349" s="52">
        <f>((O349*O349*(I349/100)*(K349/100))/(L349-1))</f>
        <v>0.15678682896772531</v>
      </c>
    </row>
    <row r="350" spans="1:16" x14ac:dyDescent="0.3">
      <c r="B350" t="s">
        <v>28</v>
      </c>
      <c r="C350" s="17">
        <f t="shared" ref="C350:H350" si="59">SUM(C345:C349)</f>
        <v>1.5691643868937191</v>
      </c>
      <c r="D350" s="17">
        <f t="shared" si="59"/>
        <v>9.4921933435502268</v>
      </c>
      <c r="E350" s="17">
        <f t="shared" si="59"/>
        <v>42.269436587954957</v>
      </c>
      <c r="F350" s="17">
        <f t="shared" si="59"/>
        <v>29.454762242809998</v>
      </c>
      <c r="G350" s="17">
        <f t="shared" si="59"/>
        <v>17.214443438791101</v>
      </c>
      <c r="H350" s="18">
        <f t="shared" si="59"/>
        <v>100</v>
      </c>
      <c r="I350" s="13" t="s">
        <v>24</v>
      </c>
      <c r="J350" s="12" t="s">
        <v>29</v>
      </c>
      <c r="N350" s="1">
        <f>SUM(N345:N349)</f>
        <v>192771.39</v>
      </c>
      <c r="O350" s="17">
        <f>SUM(O345:O349)</f>
        <v>100</v>
      </c>
    </row>
    <row r="351" spans="1:16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0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0.29160085092694277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0.36585147648764854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0.57190491898873719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0.55841574148187934</v>
      </c>
      <c r="H351" s="1"/>
      <c r="I351" s="14">
        <f>(C345+D346+E347+F348+G349)/H350</f>
        <v>0.90418138904781897</v>
      </c>
      <c r="J351" s="53">
        <f>SQRT(SUM(P345:P349))/100</f>
        <v>6.4803957544030651E-3</v>
      </c>
      <c r="M351" s="1"/>
      <c r="N351" s="9"/>
    </row>
    <row r="352" spans="1:16" x14ac:dyDescent="0.3">
      <c r="B352" s="1" t="s">
        <v>30</v>
      </c>
      <c r="C352" s="17">
        <f>C345/C350*100</f>
        <v>100</v>
      </c>
      <c r="D352" s="17">
        <f>D346/D350*100</f>
        <v>84.78140770726057</v>
      </c>
      <c r="E352" s="17">
        <f>E347/E350*100</f>
        <v>96.785625737295746</v>
      </c>
      <c r="F352" s="17">
        <f>F348/F350*100</f>
        <v>90.097924437937792</v>
      </c>
      <c r="G352" s="17">
        <f>G349/G350*100</f>
        <v>77.565628538765452</v>
      </c>
      <c r="H352" s="1"/>
    </row>
    <row r="353" spans="1:16" x14ac:dyDescent="0.3">
      <c r="B353" s="16" t="s">
        <v>39</v>
      </c>
      <c r="C353" s="18">
        <f>SQRT((C356+C357)/(C350*C350))</f>
        <v>0</v>
      </c>
      <c r="D353" s="18">
        <f>SQRT((D356+D357)/(D350*D350))</f>
        <v>3.7514494019775606</v>
      </c>
      <c r="E353" s="18">
        <f>SQRT((E356+E357)/(E350*E350))</f>
        <v>0.71063810069567757</v>
      </c>
      <c r="F353" s="18">
        <f>SQRT((F356+F357)/(F350*F350))</f>
        <v>1.8485442985727059</v>
      </c>
      <c r="G353" s="18">
        <f>SQRT((G356+G357)/(G350*G350))</f>
        <v>5.4584272859628813</v>
      </c>
      <c r="H353" s="1"/>
      <c r="I353" s="14"/>
    </row>
    <row r="354" spans="1:16" x14ac:dyDescent="0.3">
      <c r="B354" s="1" t="s">
        <v>37</v>
      </c>
      <c r="C354" s="18">
        <f>100-C352</f>
        <v>0</v>
      </c>
      <c r="D354" s="18">
        <f>100-D352</f>
        <v>15.21859229273943</v>
      </c>
      <c r="E354" s="18">
        <f>100-E352</f>
        <v>3.2143742627042542</v>
      </c>
      <c r="F354" s="18">
        <f>100-F352</f>
        <v>9.9020755620622083</v>
      </c>
      <c r="G354" s="18">
        <f>100-G352</f>
        <v>22.434371461234548</v>
      </c>
    </row>
    <row r="355" spans="1:16" ht="15.6" x14ac:dyDescent="0.35">
      <c r="B355" s="1" t="s">
        <v>25</v>
      </c>
      <c r="C355" s="1">
        <f>C339</f>
        <v>56</v>
      </c>
      <c r="D355" s="1">
        <f>D339</f>
        <v>138</v>
      </c>
      <c r="E355" s="1">
        <f>E339</f>
        <v>1749</v>
      </c>
      <c r="F355" s="1">
        <f>F339</f>
        <v>619</v>
      </c>
      <c r="G355" s="1">
        <f>G339</f>
        <v>288</v>
      </c>
    </row>
    <row r="356" spans="1:16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947.31130936466991</v>
      </c>
      <c r="E356" s="18">
        <f>(O347*O347*(100-E352)*(100-E352)*(I347)*(100-I347))/((L347-1)*100)</f>
        <v>44.305294026449033</v>
      </c>
      <c r="F356" s="18">
        <f>(O348*O348*(100-F352)*(100-F352)*(I348)*(100-I348))/((L348-1)*100)</f>
        <v>1758.8970223321389</v>
      </c>
      <c r="G356" s="18">
        <f>(O349*O349*(100-G352)*(100-G352)*(I349)*(100-I349))/((L349-1)*100)</f>
        <v>7891.0971390534723</v>
      </c>
    </row>
    <row r="357" spans="1:16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320.7239731621396</v>
      </c>
      <c r="E357" s="18">
        <f>E352*E352*(SUM((H345*E345*(1-E334/H334))/(H334-1),(H346*E346*(1-E335/H335))/(H335-1), (H348*E348*(1-E337/H337))/(H337-1),(H349*E349*(1-E338/H338))/(H338-1)))</f>
        <v>857.99249879025967</v>
      </c>
      <c r="F357" s="18">
        <f>F352*F352*(SUM((H345*F345*(1-F334/H334))/(H334-1),(H346*F346*(1-F335/H335))/(H335-1), (H347*F347*(1-F336/H336))/(H336-1),(H349*F349*(1-F338/H338))/(H338-1)))</f>
        <v>1205.7348131069227</v>
      </c>
      <c r="G357" s="18">
        <f>G352*G352*(SUM((H345*G345*(1-G334/H334))/(H334-1),(H346*G346*(1-G335/H335))/(H335-1), (H347*G347*(1-G336/H336))/(H336-1),(H348*G348*(1-G337/H337))/(H337-1)))</f>
        <v>938.09627471634087</v>
      </c>
    </row>
    <row r="358" spans="1:16" x14ac:dyDescent="0.3">
      <c r="A358" s="105" t="s">
        <v>390</v>
      </c>
      <c r="B358" s="69" t="s">
        <v>9</v>
      </c>
      <c r="C358" s="1">
        <v>269.01</v>
      </c>
      <c r="D358" s="1">
        <v>950.72</v>
      </c>
      <c r="E358" s="1">
        <v>13569.67</v>
      </c>
      <c r="F358" s="1">
        <v>4017.39</v>
      </c>
      <c r="G358">
        <v>3248.57</v>
      </c>
      <c r="I358" t="s">
        <v>36</v>
      </c>
      <c r="J358" s="57">
        <f>SUM(C358:G358)</f>
        <v>22055.360000000001</v>
      </c>
    </row>
    <row r="359" spans="1:16" x14ac:dyDescent="0.3">
      <c r="B359" t="s">
        <v>391</v>
      </c>
      <c r="C359" s="57">
        <f>(C358/$J358)*100</f>
        <v>1.2197035097137385</v>
      </c>
      <c r="D359" s="57">
        <f>(D358/$J358)*100</f>
        <v>4.3106074895172872</v>
      </c>
      <c r="E359" s="57">
        <f>(E358/$J358)*100</f>
        <v>61.525497656805413</v>
      </c>
      <c r="F359" s="57">
        <f>(F358/$J358)*100</f>
        <v>18.215028002263395</v>
      </c>
      <c r="G359" s="57">
        <f>(G358/$J358)*100</f>
        <v>14.729163341700158</v>
      </c>
    </row>
    <row r="360" spans="1:16" x14ac:dyDescent="0.3">
      <c r="A360" s="361">
        <v>1977</v>
      </c>
      <c r="B360" s="361"/>
      <c r="C360" s="361"/>
      <c r="D360" s="361"/>
      <c r="E360" s="361"/>
      <c r="F360" s="361"/>
      <c r="G360" s="361"/>
      <c r="H360" s="361"/>
      <c r="I360" s="361"/>
      <c r="J360" s="361"/>
      <c r="K360" s="361"/>
      <c r="L360" s="361" t="s">
        <v>90</v>
      </c>
      <c r="M360" s="361"/>
      <c r="N360" s="361"/>
      <c r="O360" s="361"/>
      <c r="P360" s="361"/>
    </row>
    <row r="361" spans="1:16" x14ac:dyDescent="0.3">
      <c r="A361" t="s">
        <v>15</v>
      </c>
      <c r="B361" t="s">
        <v>21</v>
      </c>
      <c r="I361" s="1" t="s">
        <v>58</v>
      </c>
      <c r="O361" s="360" t="s">
        <v>411</v>
      </c>
      <c r="P361" s="360"/>
    </row>
    <row r="362" spans="1:16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56</v>
      </c>
      <c r="O362" s="13" t="s">
        <v>412</v>
      </c>
      <c r="P362" s="13" t="s">
        <v>41</v>
      </c>
    </row>
    <row r="363" spans="1:16" x14ac:dyDescent="0.3">
      <c r="A363" t="s">
        <v>3</v>
      </c>
      <c r="B363" s="13">
        <v>0</v>
      </c>
      <c r="C363" s="26">
        <v>56</v>
      </c>
      <c r="D363" s="3">
        <v>0</v>
      </c>
      <c r="E363" s="3">
        <v>0</v>
      </c>
      <c r="F363" s="3">
        <v>0</v>
      </c>
      <c r="G363" s="4">
        <v>0</v>
      </c>
      <c r="H363" s="1">
        <f>SUM(C363:G363)</f>
        <v>56</v>
      </c>
      <c r="I363" s="10">
        <f>C363/H363</f>
        <v>1</v>
      </c>
      <c r="J363" s="11">
        <f>1-I363</f>
        <v>0</v>
      </c>
      <c r="K363">
        <f>H363-C368</f>
        <v>0</v>
      </c>
      <c r="N363" s="10">
        <f>2*(C369*I363)/(C369+I363)</f>
        <v>1</v>
      </c>
      <c r="O363" s="1">
        <v>0</v>
      </c>
      <c r="P363" s="1">
        <v>279</v>
      </c>
    </row>
    <row r="364" spans="1:16" x14ac:dyDescent="0.3">
      <c r="A364" t="s">
        <v>4</v>
      </c>
      <c r="B364" s="13">
        <v>1</v>
      </c>
      <c r="C364" s="5">
        <v>0</v>
      </c>
      <c r="D364" s="27">
        <v>87</v>
      </c>
      <c r="E364" s="1">
        <v>5</v>
      </c>
      <c r="F364" s="1">
        <v>0</v>
      </c>
      <c r="G364" s="6">
        <v>0</v>
      </c>
      <c r="H364" s="1">
        <f>SUM(C364:G364)</f>
        <v>92</v>
      </c>
      <c r="I364" s="10">
        <f>D364/H364</f>
        <v>0.94565217391304346</v>
      </c>
      <c r="J364" s="11">
        <f>1-I364</f>
        <v>5.4347826086956541E-2</v>
      </c>
      <c r="K364">
        <f>H364-D368</f>
        <v>-38</v>
      </c>
      <c r="N364" s="10">
        <f>2*(D369*I364)/(D369+I364)</f>
        <v>0.78378378378378377</v>
      </c>
      <c r="O364" s="1">
        <v>5</v>
      </c>
      <c r="P364" s="1">
        <v>91</v>
      </c>
    </row>
    <row r="365" spans="1:16" x14ac:dyDescent="0.3">
      <c r="A365" t="s">
        <v>5</v>
      </c>
      <c r="B365" s="13">
        <v>2</v>
      </c>
      <c r="C365" s="5">
        <v>0</v>
      </c>
      <c r="D365" s="1">
        <v>31</v>
      </c>
      <c r="E365" s="27">
        <v>1734</v>
      </c>
      <c r="F365" s="1">
        <v>26</v>
      </c>
      <c r="G365" s="6">
        <v>17</v>
      </c>
      <c r="H365" s="1">
        <f>SUM(C365:G365)</f>
        <v>1808</v>
      </c>
      <c r="I365" s="10">
        <f>E365/H365</f>
        <v>0.95907079646017701</v>
      </c>
      <c r="J365" s="11">
        <f>1-I365</f>
        <v>4.0929203539822989E-2</v>
      </c>
      <c r="K365">
        <f>H365-E368</f>
        <v>57</v>
      </c>
      <c r="N365" s="10">
        <f>2*(E369*I365)/(E369+I365)</f>
        <v>0.97443101994942405</v>
      </c>
      <c r="O365" s="1">
        <v>910</v>
      </c>
      <c r="P365" s="1">
        <v>9826</v>
      </c>
    </row>
    <row r="366" spans="1:16" x14ac:dyDescent="0.3">
      <c r="A366" t="s">
        <v>6</v>
      </c>
      <c r="B366" s="13">
        <v>3</v>
      </c>
      <c r="C366" s="5">
        <v>0</v>
      </c>
      <c r="D366" s="1">
        <v>11</v>
      </c>
      <c r="E366" s="1">
        <v>6</v>
      </c>
      <c r="F366" s="27">
        <v>544</v>
      </c>
      <c r="G366" s="6">
        <v>92</v>
      </c>
      <c r="H366" s="1">
        <f>SUM(C366:G366)</f>
        <v>653</v>
      </c>
      <c r="I366" s="10">
        <f>F366/H366</f>
        <v>0.83307810107197555</v>
      </c>
      <c r="J366" s="11">
        <f>1-I366</f>
        <v>0.16692189892802445</v>
      </c>
      <c r="K366">
        <f>H366-F368</f>
        <v>48</v>
      </c>
      <c r="N366" s="10">
        <f>2*(F369*I366)/(F369+I366)</f>
        <v>0.86486486486486491</v>
      </c>
      <c r="O366" s="1">
        <v>673</v>
      </c>
      <c r="P366" s="1">
        <v>18495</v>
      </c>
    </row>
    <row r="367" spans="1:16" x14ac:dyDescent="0.3">
      <c r="A367" t="s">
        <v>7</v>
      </c>
      <c r="B367" s="13">
        <v>4</v>
      </c>
      <c r="C367" s="7">
        <v>0</v>
      </c>
      <c r="D367" s="8">
        <v>1</v>
      </c>
      <c r="E367" s="8">
        <v>6</v>
      </c>
      <c r="F367" s="8">
        <v>35</v>
      </c>
      <c r="G367" s="28">
        <v>199</v>
      </c>
      <c r="H367" s="1">
        <f>SUM(C367:G367)</f>
        <v>241</v>
      </c>
      <c r="I367" s="10">
        <f>G367/H367</f>
        <v>0.82572614107883813</v>
      </c>
      <c r="J367" s="11">
        <f>1-I367</f>
        <v>0.17427385892116187</v>
      </c>
      <c r="K367">
        <f>H367-G368</f>
        <v>-67</v>
      </c>
      <c r="N367" s="10">
        <f>2*(G369*I367)/(G369+I367)</f>
        <v>0.72495446265938068</v>
      </c>
      <c r="O367" s="1">
        <v>263</v>
      </c>
      <c r="P367" s="1">
        <v>14534</v>
      </c>
    </row>
    <row r="368" spans="1:16" ht="15.6" x14ac:dyDescent="0.35">
      <c r="B368" s="1" t="s">
        <v>19</v>
      </c>
      <c r="C368" s="1">
        <f>SUM(C363:C367)</f>
        <v>56</v>
      </c>
      <c r="D368" s="1">
        <f>SUM(D363:D367)</f>
        <v>130</v>
      </c>
      <c r="E368" s="1">
        <f>SUM(E363:E367)</f>
        <v>1751</v>
      </c>
      <c r="F368" s="1">
        <f>SUM(F363:F367)</f>
        <v>605</v>
      </c>
      <c r="G368" s="1">
        <f>SUM(G363:G367)</f>
        <v>308</v>
      </c>
      <c r="H368" s="1">
        <f>SUM(H362:H367)</f>
        <v>2850</v>
      </c>
      <c r="I368" s="13" t="s">
        <v>12</v>
      </c>
      <c r="N368" s="16" t="s">
        <v>36</v>
      </c>
      <c r="O368" s="1">
        <f>SUM(O363:O367)</f>
        <v>1851</v>
      </c>
      <c r="P368" s="1">
        <f>SUM(P363:P367)</f>
        <v>43225</v>
      </c>
    </row>
    <row r="369" spans="1:16" x14ac:dyDescent="0.3">
      <c r="A369" s="1" t="s">
        <v>57</v>
      </c>
      <c r="B369" s="1" t="s">
        <v>2</v>
      </c>
      <c r="C369" s="10">
        <f>C363/C368</f>
        <v>1</v>
      </c>
      <c r="D369" s="10">
        <f>D364/D368</f>
        <v>0.66923076923076918</v>
      </c>
      <c r="E369" s="10">
        <f>E365/E368</f>
        <v>0.99029126213592233</v>
      </c>
      <c r="F369" s="10">
        <f>F366/F368</f>
        <v>0.89917355371900831</v>
      </c>
      <c r="G369" s="10">
        <f>G367/G368</f>
        <v>0.64610389610389607</v>
      </c>
      <c r="H369" s="10"/>
      <c r="I369" s="14">
        <f>(C363+D364+E365+F366+G367)/H368</f>
        <v>0.91929824561403506</v>
      </c>
    </row>
    <row r="370" spans="1:16" x14ac:dyDescent="0.3">
      <c r="B370" s="1" t="s">
        <v>14</v>
      </c>
      <c r="C370" s="11">
        <f>1-C369</f>
        <v>0</v>
      </c>
      <c r="D370" s="11">
        <f>1-D369</f>
        <v>0.33076923076923082</v>
      </c>
      <c r="E370" s="11">
        <f>1-E369</f>
        <v>9.7087378640776656E-3</v>
      </c>
      <c r="F370" s="11">
        <f>1-F369</f>
        <v>0.10082644628099169</v>
      </c>
      <c r="G370" s="11">
        <f>1-G369</f>
        <v>0.35389610389610393</v>
      </c>
    </row>
    <row r="371" spans="1:16" x14ac:dyDescent="0.3">
      <c r="C371" s="2"/>
    </row>
    <row r="372" spans="1:16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16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</row>
    <row r="374" spans="1:16" x14ac:dyDescent="0.3">
      <c r="A374" t="s">
        <v>3</v>
      </c>
      <c r="B374" s="13">
        <v>0</v>
      </c>
      <c r="C374" s="29">
        <f t="shared" ref="C374:G378" si="60">(C363/$L374)*$O374</f>
        <v>1.5521649763484096</v>
      </c>
      <c r="D374" s="31">
        <f t="shared" si="60"/>
        <v>0</v>
      </c>
      <c r="E374" s="31">
        <f t="shared" si="60"/>
        <v>0</v>
      </c>
      <c r="F374" s="31">
        <f t="shared" si="60"/>
        <v>0</v>
      </c>
      <c r="G374" s="32">
        <f t="shared" si="60"/>
        <v>0</v>
      </c>
      <c r="H374" s="17">
        <f>SUM(C374:G374)</f>
        <v>1.5521649763484096</v>
      </c>
      <c r="I374" s="17">
        <f>C374/H374*100</f>
        <v>100</v>
      </c>
      <c r="J374" s="17">
        <f>SQRT(I374*(100-I374)/(L374-1))</f>
        <v>0</v>
      </c>
      <c r="K374" s="18">
        <f>100-I374</f>
        <v>0</v>
      </c>
      <c r="L374" s="1">
        <f>H363</f>
        <v>56</v>
      </c>
      <c r="M374">
        <v>0</v>
      </c>
      <c r="N374">
        <v>2992.13</v>
      </c>
      <c r="O374" s="17">
        <f>N374/N379*100</f>
        <v>1.5521649763484096</v>
      </c>
      <c r="P374" s="52">
        <f>((O374*O374*(I374/100)*(K374/100))/(L374-1))</f>
        <v>0</v>
      </c>
    </row>
    <row r="375" spans="1:16" x14ac:dyDescent="0.3">
      <c r="A375" t="s">
        <v>4</v>
      </c>
      <c r="B375" s="13">
        <v>1</v>
      </c>
      <c r="C375" s="33">
        <f t="shared" si="60"/>
        <v>0</v>
      </c>
      <c r="D375" s="34">
        <f t="shared" si="60"/>
        <v>8.0225280904202005</v>
      </c>
      <c r="E375" s="19">
        <f t="shared" si="60"/>
        <v>0.46106483278277016</v>
      </c>
      <c r="F375" s="18">
        <f t="shared" si="60"/>
        <v>0</v>
      </c>
      <c r="G375" s="20">
        <f t="shared" si="60"/>
        <v>0</v>
      </c>
      <c r="H375" s="17">
        <f>SUM(C375:G375)</f>
        <v>8.4835929232029699</v>
      </c>
      <c r="I375" s="17">
        <f>D375/H375*100</f>
        <v>94.565217391304358</v>
      </c>
      <c r="J375" s="17">
        <f>SQRT(I375*(100-I375)/(L375-1))</f>
        <v>2.3764906227132001</v>
      </c>
      <c r="K375" s="18">
        <f>100-I375</f>
        <v>5.4347826086956417</v>
      </c>
      <c r="L375" s="1">
        <f>H364</f>
        <v>92</v>
      </c>
      <c r="M375">
        <v>1</v>
      </c>
      <c r="N375">
        <v>16353.94</v>
      </c>
      <c r="O375" s="17">
        <f>N375/N379*100</f>
        <v>8.4835929232029716</v>
      </c>
      <c r="P375" s="52">
        <f>((O375*O375*(I375/100)*(K375/100))/(L375-1))</f>
        <v>4.064731398356769E-2</v>
      </c>
    </row>
    <row r="376" spans="1:16" x14ac:dyDescent="0.3">
      <c r="A376" t="s">
        <v>5</v>
      </c>
      <c r="B376" s="13">
        <v>2</v>
      </c>
      <c r="C376" s="33">
        <f t="shared" si="60"/>
        <v>0</v>
      </c>
      <c r="D376" s="19">
        <f t="shared" si="60"/>
        <v>0.73325491760092365</v>
      </c>
      <c r="E376" s="34">
        <f t="shared" si="60"/>
        <v>41.014968616774247</v>
      </c>
      <c r="F376" s="19">
        <f t="shared" si="60"/>
        <v>0.61498799540722626</v>
      </c>
      <c r="G376" s="20">
        <f t="shared" si="60"/>
        <v>0.40210753545857109</v>
      </c>
      <c r="H376" s="17">
        <f>SUM(C376:G376)</f>
        <v>42.765319065240966</v>
      </c>
      <c r="I376" s="17">
        <f>E376/H376*100</f>
        <v>95.907079646017706</v>
      </c>
      <c r="J376" s="17">
        <f>SQRT(I376*(100-I376)/(L376-1))</f>
        <v>0.46608261508116805</v>
      </c>
      <c r="K376" s="18">
        <f>100-I376</f>
        <v>4.0929203539822936</v>
      </c>
      <c r="L376" s="1">
        <f>H365</f>
        <v>1808</v>
      </c>
      <c r="M376">
        <v>2</v>
      </c>
      <c r="N376">
        <v>82439.3</v>
      </c>
      <c r="O376" s="17">
        <f>N376/N379*100</f>
        <v>42.765319065240966</v>
      </c>
      <c r="P376" s="52">
        <f>((O376*O376*(I376/100)*(K376/100))/(L376-1))</f>
        <v>3.9729147046053771E-2</v>
      </c>
    </row>
    <row r="377" spans="1:16" x14ac:dyDescent="0.3">
      <c r="A377" t="s">
        <v>6</v>
      </c>
      <c r="B377" s="13">
        <v>3</v>
      </c>
      <c r="C377" s="33">
        <f t="shared" si="60"/>
        <v>0</v>
      </c>
      <c r="D377" s="19">
        <f t="shared" si="60"/>
        <v>0.51490846341044239</v>
      </c>
      <c r="E377" s="19">
        <f t="shared" si="60"/>
        <v>0.28085916186024129</v>
      </c>
      <c r="F377" s="34">
        <f t="shared" si="60"/>
        <v>25.464564008661878</v>
      </c>
      <c r="G377" s="20">
        <f t="shared" si="60"/>
        <v>4.3065071485236999</v>
      </c>
      <c r="H377" s="17">
        <f>SUM(C377:G377)</f>
        <v>30.566838782456262</v>
      </c>
      <c r="I377" s="17">
        <f>F377/H377*100</f>
        <v>83.30781010719754</v>
      </c>
      <c r="J377" s="17">
        <f>SQRT(I377*(100-I377)/(L377-1))</f>
        <v>1.4604130991041799</v>
      </c>
      <c r="K377" s="18">
        <f>100-I377</f>
        <v>16.69218989280246</v>
      </c>
      <c r="L377" s="1">
        <f>H366</f>
        <v>653</v>
      </c>
      <c r="M377">
        <v>3</v>
      </c>
      <c r="N377">
        <v>58924.12</v>
      </c>
      <c r="O377" s="17">
        <f>N377/N379*100</f>
        <v>30.566838782456259</v>
      </c>
      <c r="P377" s="52">
        <f>((O377*O377*(I377/100)*(K377/100))/(L377-1))</f>
        <v>0.19927485056298766</v>
      </c>
    </row>
    <row r="378" spans="1:16" x14ac:dyDescent="0.3">
      <c r="A378" t="s">
        <v>7</v>
      </c>
      <c r="B378" s="13">
        <v>4</v>
      </c>
      <c r="C378" s="35">
        <f t="shared" si="60"/>
        <v>0</v>
      </c>
      <c r="D378" s="36">
        <f t="shared" si="60"/>
        <v>6.901279772925896E-2</v>
      </c>
      <c r="E378" s="21">
        <f t="shared" si="60"/>
        <v>0.41407678637555367</v>
      </c>
      <c r="F378" s="21">
        <f t="shared" si="60"/>
        <v>2.4154479205240635</v>
      </c>
      <c r="G378" s="37">
        <f t="shared" si="60"/>
        <v>13.733546748122532</v>
      </c>
      <c r="H378" s="17">
        <f>SUM(C378:G378)</f>
        <v>16.632084252751408</v>
      </c>
      <c r="I378" s="17">
        <f>G378/H378*100</f>
        <v>82.572614107883808</v>
      </c>
      <c r="J378" s="17">
        <f>SQRT(I378*(100-I378)/(L378-1))</f>
        <v>2.4486601865262365</v>
      </c>
      <c r="K378" s="18">
        <f>100-I378</f>
        <v>17.427385892116192</v>
      </c>
      <c r="L378" s="1">
        <f>H367</f>
        <v>241</v>
      </c>
      <c r="M378">
        <v>4</v>
      </c>
      <c r="N378">
        <v>32061.9</v>
      </c>
      <c r="O378" s="17">
        <f>N378/N379*100</f>
        <v>16.632084252751408</v>
      </c>
      <c r="P378" s="52">
        <f>((O378*O378*(I378/100)*(K378/100))/(L378-1))</f>
        <v>0.16586333467086298</v>
      </c>
    </row>
    <row r="379" spans="1:16" x14ac:dyDescent="0.3">
      <c r="B379" t="s">
        <v>28</v>
      </c>
      <c r="C379" s="17">
        <f t="shared" ref="C379:H379" si="61">SUM(C374:C378)</f>
        <v>1.5521649763484096</v>
      </c>
      <c r="D379" s="17">
        <f t="shared" si="61"/>
        <v>9.3397042691608263</v>
      </c>
      <c r="E379" s="17">
        <f t="shared" si="61"/>
        <v>42.17096939779281</v>
      </c>
      <c r="F379" s="17">
        <f t="shared" si="61"/>
        <v>28.494999924593166</v>
      </c>
      <c r="G379" s="17">
        <f t="shared" si="61"/>
        <v>18.442161432104804</v>
      </c>
      <c r="H379" s="18">
        <f t="shared" si="61"/>
        <v>100.00000000000001</v>
      </c>
      <c r="I379" s="13" t="s">
        <v>24</v>
      </c>
      <c r="J379" s="12" t="s">
        <v>29</v>
      </c>
      <c r="N379" s="1">
        <f>SUM(N374:N378)</f>
        <v>192771.38999999998</v>
      </c>
      <c r="O379" s="17">
        <f>SUM(O374:O378)</f>
        <v>100.00000000000001</v>
      </c>
    </row>
    <row r="380" spans="1:16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0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0.29273170899214035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0.34756868990581807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0.59648535601795594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0.5897309943524871</v>
      </c>
      <c r="H380" s="1"/>
      <c r="I380" s="14">
        <f>(C374+D375+E376+F377+G378)/H379</f>
        <v>0.89787772440327263</v>
      </c>
      <c r="J380" s="53">
        <f>SQRT(SUM(P374:P378))/100</f>
        <v>6.6746883542489989E-3</v>
      </c>
      <c r="M380" s="1"/>
      <c r="N380" s="9"/>
    </row>
    <row r="381" spans="1:16" x14ac:dyDescent="0.3">
      <c r="B381" s="1" t="s">
        <v>30</v>
      </c>
      <c r="C381" s="17">
        <f>C374/C379*100</f>
        <v>100</v>
      </c>
      <c r="D381" s="17">
        <f>D375/D379*100</f>
        <v>85.897024779576086</v>
      </c>
      <c r="E381" s="17">
        <f>E376/E379*100</f>
        <v>97.258775888896054</v>
      </c>
      <c r="F381" s="17">
        <f>F377/F379*100</f>
        <v>89.365025709946352</v>
      </c>
      <c r="G381" s="17">
        <f>G378/G379*100</f>
        <v>74.468205902452738</v>
      </c>
      <c r="H381" s="1"/>
    </row>
    <row r="382" spans="1:16" x14ac:dyDescent="0.3">
      <c r="B382" s="16" t="s">
        <v>39</v>
      </c>
      <c r="C382" s="18">
        <f>SQRT((C385+C386)/(C379*C379))</f>
        <v>0</v>
      </c>
      <c r="D382" s="18">
        <f>SQRT((D385+D386)/(D379*D379))</f>
        <v>3.6222921250126792</v>
      </c>
      <c r="E382" s="18">
        <f>SQRT((E385+E386)/(E379*E379))</f>
        <v>0.67172555315489513</v>
      </c>
      <c r="F382" s="18">
        <f>SQRT((F385+F386)/(F379*F379))</f>
        <v>2.0794650552042686</v>
      </c>
      <c r="G382" s="18">
        <f>SQRT((G385+G386)/(G379*G379))</f>
        <v>5.8967561113354643</v>
      </c>
      <c r="H382" s="1"/>
      <c r="I382" s="14"/>
    </row>
    <row r="383" spans="1:16" x14ac:dyDescent="0.3">
      <c r="B383" s="1" t="s">
        <v>37</v>
      </c>
      <c r="C383" s="18">
        <f>100-C381</f>
        <v>0</v>
      </c>
      <c r="D383" s="18">
        <f>100-D381</f>
        <v>14.102975220423914</v>
      </c>
      <c r="E383" s="18">
        <f>100-E381</f>
        <v>2.7412241111039464</v>
      </c>
      <c r="F383" s="18">
        <f>100-F381</f>
        <v>10.634974290053648</v>
      </c>
      <c r="G383" s="18">
        <f>100-G381</f>
        <v>25.531794097547262</v>
      </c>
    </row>
    <row r="384" spans="1:16" ht="15.6" x14ac:dyDescent="0.35">
      <c r="B384" s="1" t="s">
        <v>25</v>
      </c>
      <c r="C384" s="1">
        <f>C368</f>
        <v>56</v>
      </c>
      <c r="D384" s="1">
        <f>D368</f>
        <v>130</v>
      </c>
      <c r="E384" s="1">
        <f>E368</f>
        <v>1751</v>
      </c>
      <c r="F384" s="1">
        <f>F368</f>
        <v>605</v>
      </c>
      <c r="G384" s="1">
        <f>G368</f>
        <v>308</v>
      </c>
    </row>
    <row r="385" spans="1:24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808.45032119490395</v>
      </c>
      <c r="E385" s="18">
        <f>(O376*O376*(100-E381)*(100-E381)*(I376)*(100-I376))/((L376-1)*100)</f>
        <v>29.853711213248474</v>
      </c>
      <c r="F385" s="18">
        <f>(O377*O377*(100-F381)*(100-F381)*(I377)*(100-I377))/((L377-1)*100)</f>
        <v>2253.8519286635283</v>
      </c>
      <c r="G385" s="18">
        <f>(O378*O378*(100-G381)*(100-G381)*(I378)*(100-I378))/((L378-1)*100)</f>
        <v>10812.174826225257</v>
      </c>
    </row>
    <row r="386" spans="1:24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336.09552468291309</v>
      </c>
      <c r="E386" s="18">
        <f>E381*E381*(SUM((H374*E374*(1-E363/H363))/(H363-1),(H375*E375*(1-E364/H364))/(H364-1), (H377*E377*(1-E366/H366))/(H366-1),(H378*E378*(1-E367/H367))/(H367-1)))</f>
        <v>772.5832194588636</v>
      </c>
      <c r="F386" s="18">
        <f>F381*F381*(SUM((H374*F374*(1-F363/H363))/(H363-1),(H375*F375*(1-F364/H364))/(H364-1), (H376*F376*(1-F365/H365))/(H365-1),(H378*F378*(1-F367/H367))/(H367-1)))</f>
        <v>1257.2268463782702</v>
      </c>
      <c r="G386" s="18">
        <f>G381*G381*(SUM((H374*G374*(1-G363/H363))/(H363-1),(H375*G375*(1-G364/H364))/(H364-1), (H376*G376*(1-G365/H365))/(H365-1),(H377*G377*(1-G366/H366))/(H366-1)))</f>
        <v>1014.1545434159723</v>
      </c>
      <c r="U386">
        <v>1</v>
      </c>
      <c r="V386" s="49">
        <v>0.92</v>
      </c>
      <c r="W386" s="49">
        <v>0.90235427086730691</v>
      </c>
    </row>
    <row r="387" spans="1:24" x14ac:dyDescent="0.3">
      <c r="A387" s="105" t="s">
        <v>390</v>
      </c>
      <c r="B387" s="69" t="s">
        <v>9</v>
      </c>
      <c r="C387" s="1">
        <v>276.94</v>
      </c>
      <c r="D387" s="1">
        <v>892.02</v>
      </c>
      <c r="E387" s="1">
        <v>13669.42</v>
      </c>
      <c r="F387" s="1">
        <v>3879.83</v>
      </c>
      <c r="G387">
        <v>3337.16</v>
      </c>
      <c r="I387" t="s">
        <v>36</v>
      </c>
      <c r="J387" s="57">
        <f>SUM(C387:G387)</f>
        <v>22055.37</v>
      </c>
      <c r="U387">
        <v>2</v>
      </c>
      <c r="V387" s="49">
        <v>0.91649122807017547</v>
      </c>
      <c r="W387" s="49">
        <v>0.89795836516810512</v>
      </c>
    </row>
    <row r="388" spans="1:24" x14ac:dyDescent="0.3">
      <c r="B388" t="s">
        <v>391</v>
      </c>
      <c r="C388" s="57">
        <f>(C387/$J387)*100</f>
        <v>1.2556579191371535</v>
      </c>
      <c r="D388" s="57">
        <f>(D387/$J387)*100</f>
        <v>4.0444572002192665</v>
      </c>
      <c r="E388" s="57">
        <f>(E387/$J387)*100</f>
        <v>61.977740568396719</v>
      </c>
      <c r="F388" s="57">
        <f>(F387/$J387)*100</f>
        <v>17.591316763219115</v>
      </c>
      <c r="G388" s="57">
        <f>(G387/$J387)*100</f>
        <v>15.130827549027742</v>
      </c>
      <c r="U388">
        <v>3</v>
      </c>
      <c r="V388" s="49">
        <v>0.92350877192982461</v>
      </c>
      <c r="W388" s="49">
        <v>0.90473596497959374</v>
      </c>
    </row>
    <row r="389" spans="1:24" x14ac:dyDescent="0.3">
      <c r="A389" s="361">
        <v>1977</v>
      </c>
      <c r="B389" s="361"/>
      <c r="C389" s="361"/>
      <c r="D389" s="361"/>
      <c r="E389" s="361"/>
      <c r="F389" s="361"/>
      <c r="G389" s="361"/>
      <c r="H389" s="361"/>
      <c r="I389" s="361"/>
      <c r="J389" s="361"/>
      <c r="K389" s="361"/>
      <c r="L389" s="361" t="s">
        <v>91</v>
      </c>
      <c r="M389" s="361"/>
      <c r="N389" s="361"/>
      <c r="O389" s="361"/>
      <c r="P389" s="361"/>
      <c r="U389">
        <v>4</v>
      </c>
      <c r="V389" s="49">
        <v>0.91964912280701749</v>
      </c>
      <c r="W389" s="49">
        <v>0.89656686523174989</v>
      </c>
    </row>
    <row r="390" spans="1:24" x14ac:dyDescent="0.3">
      <c r="A390" t="s">
        <v>15</v>
      </c>
      <c r="B390" t="s">
        <v>21</v>
      </c>
      <c r="I390" s="1" t="s">
        <v>58</v>
      </c>
      <c r="O390" s="360" t="s">
        <v>411</v>
      </c>
      <c r="P390" s="360"/>
      <c r="U390" t="s">
        <v>81</v>
      </c>
      <c r="V390" s="49">
        <f>MIN(V386:V389)</f>
        <v>0.91649122807017547</v>
      </c>
      <c r="W390" s="49">
        <f>MIN(W386:W389)</f>
        <v>0.89656686523174989</v>
      </c>
    </row>
    <row r="391" spans="1:24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56</v>
      </c>
      <c r="O391" s="13" t="s">
        <v>412</v>
      </c>
      <c r="P391" s="13" t="s">
        <v>41</v>
      </c>
      <c r="U391" t="s">
        <v>79</v>
      </c>
      <c r="V391" s="49">
        <f>_xlfn.QUARTILE.EXC(V386:V389,1)</f>
        <v>0.91728070175438603</v>
      </c>
      <c r="W391" s="49">
        <f>_xlfn.QUARTILE.EXC(W386:W389,1)</f>
        <v>0.89691474021583872</v>
      </c>
    </row>
    <row r="392" spans="1:24" x14ac:dyDescent="0.3">
      <c r="A392" t="s">
        <v>3</v>
      </c>
      <c r="B392" s="13">
        <v>0</v>
      </c>
      <c r="C392" s="26">
        <v>56</v>
      </c>
      <c r="D392" s="3">
        <v>0</v>
      </c>
      <c r="E392" s="3">
        <v>0</v>
      </c>
      <c r="F392" s="3">
        <v>0</v>
      </c>
      <c r="G392" s="4">
        <v>0</v>
      </c>
      <c r="H392" s="1">
        <f>SUM(C392:G392)</f>
        <v>56</v>
      </c>
      <c r="I392" s="10">
        <f>C392/H392</f>
        <v>1</v>
      </c>
      <c r="J392" s="11">
        <f>1-I392</f>
        <v>0</v>
      </c>
      <c r="K392">
        <f>H392-C397</f>
        <v>0</v>
      </c>
      <c r="N392" s="10">
        <f>2*(C398*I392)/(C398+I392)</f>
        <v>1</v>
      </c>
      <c r="O392" s="1">
        <v>0</v>
      </c>
      <c r="P392" s="1">
        <v>251</v>
      </c>
      <c r="U392" t="s">
        <v>82</v>
      </c>
      <c r="V392" s="49">
        <f>MEDIAN(V386:V389)</f>
        <v>0.91982456140350877</v>
      </c>
      <c r="W392" s="49">
        <f>MEDIAN(W386:W389)</f>
        <v>0.90015631801770601</v>
      </c>
    </row>
    <row r="393" spans="1:24" x14ac:dyDescent="0.3">
      <c r="A393" t="s">
        <v>4</v>
      </c>
      <c r="B393" s="13">
        <v>1</v>
      </c>
      <c r="C393" s="5">
        <v>0</v>
      </c>
      <c r="D393" s="27">
        <v>84</v>
      </c>
      <c r="E393" s="1">
        <v>8</v>
      </c>
      <c r="F393" s="1">
        <v>0</v>
      </c>
      <c r="G393" s="6">
        <v>0</v>
      </c>
      <c r="H393" s="1">
        <f>SUM(C393:G393)</f>
        <v>92</v>
      </c>
      <c r="I393" s="10">
        <f>D393/H393</f>
        <v>0.91304347826086951</v>
      </c>
      <c r="J393" s="11">
        <f>1-I393</f>
        <v>8.6956521739130488E-2</v>
      </c>
      <c r="K393">
        <f>H393-D397</f>
        <v>-44</v>
      </c>
      <c r="N393" s="10">
        <f>2*(D398*I393)/(D398+I393)</f>
        <v>0.73684210526315785</v>
      </c>
      <c r="O393" s="1">
        <v>4</v>
      </c>
      <c r="P393" s="1">
        <v>69</v>
      </c>
      <c r="U393" t="s">
        <v>80</v>
      </c>
      <c r="V393" s="49">
        <f>_xlfn.QUARTILE.INC(V386:V389,3)</f>
        <v>0.92087719298245618</v>
      </c>
      <c r="W393" s="49">
        <f>_xlfn.QUARTILE.INC(W386:W389,3)</f>
        <v>0.90294969439537864</v>
      </c>
    </row>
    <row r="394" spans="1:24" x14ac:dyDescent="0.3">
      <c r="A394" t="s">
        <v>5</v>
      </c>
      <c r="B394" s="13">
        <v>2</v>
      </c>
      <c r="C394" s="5">
        <v>0</v>
      </c>
      <c r="D394" s="1">
        <v>42</v>
      </c>
      <c r="E394" s="27">
        <v>1725</v>
      </c>
      <c r="F394" s="1">
        <v>23</v>
      </c>
      <c r="G394" s="6">
        <v>18</v>
      </c>
      <c r="H394" s="1">
        <f>SUM(C394:G394)</f>
        <v>1808</v>
      </c>
      <c r="I394" s="10">
        <f>E394/H394</f>
        <v>0.9540929203539823</v>
      </c>
      <c r="J394" s="11">
        <f>1-I394</f>
        <v>4.5907079646017701E-2</v>
      </c>
      <c r="K394">
        <f>H394-E397</f>
        <v>65</v>
      </c>
      <c r="N394" s="10">
        <f>2*(E398*I394)/(E398+I394)</f>
        <v>0.97155730780061944</v>
      </c>
      <c r="O394" s="1">
        <v>920</v>
      </c>
      <c r="P394" s="1">
        <v>9958</v>
      </c>
      <c r="V394" s="1"/>
      <c r="W394" s="1"/>
    </row>
    <row r="395" spans="1:24" x14ac:dyDescent="0.3">
      <c r="A395" t="s">
        <v>6</v>
      </c>
      <c r="B395" s="13">
        <v>3</v>
      </c>
      <c r="C395" s="5">
        <v>0</v>
      </c>
      <c r="D395" s="1">
        <v>10</v>
      </c>
      <c r="E395" s="1">
        <v>6</v>
      </c>
      <c r="F395" s="27">
        <v>551</v>
      </c>
      <c r="G395" s="6">
        <v>86</v>
      </c>
      <c r="H395" s="1">
        <f>SUM(C395:G395)</f>
        <v>653</v>
      </c>
      <c r="I395" s="10">
        <f>F395/H395</f>
        <v>0.84379785604900459</v>
      </c>
      <c r="J395" s="11">
        <f>1-I395</f>
        <v>0.15620214395099541</v>
      </c>
      <c r="K395">
        <f>H395-F397</f>
        <v>46</v>
      </c>
      <c r="N395" s="10">
        <f>2*(F398*I395)/(F398+I395)</f>
        <v>0.87460317460317449</v>
      </c>
      <c r="O395" s="1">
        <v>666</v>
      </c>
      <c r="P395" s="1">
        <v>18481</v>
      </c>
      <c r="V395" s="49"/>
      <c r="W395" s="49"/>
      <c r="X395" s="49"/>
    </row>
    <row r="396" spans="1:24" x14ac:dyDescent="0.3">
      <c r="A396" t="s">
        <v>7</v>
      </c>
      <c r="B396" s="13">
        <v>4</v>
      </c>
      <c r="C396" s="7">
        <v>0</v>
      </c>
      <c r="D396" s="8">
        <v>0</v>
      </c>
      <c r="E396" s="8">
        <v>4</v>
      </c>
      <c r="F396" s="8">
        <v>33</v>
      </c>
      <c r="G396" s="28">
        <v>204</v>
      </c>
      <c r="H396" s="1">
        <f>SUM(C396:G396)</f>
        <v>241</v>
      </c>
      <c r="I396" s="10">
        <f>G396/H396</f>
        <v>0.84647302904564314</v>
      </c>
      <c r="J396" s="11">
        <f>1-I396</f>
        <v>0.15352697095435686</v>
      </c>
      <c r="K396">
        <f>H396-G397</f>
        <v>-67</v>
      </c>
      <c r="N396" s="10">
        <f>2*(G398*I396)/(G398+I396)</f>
        <v>0.74316939890710387</v>
      </c>
      <c r="O396" s="1">
        <v>262</v>
      </c>
      <c r="P396" s="1">
        <v>14465</v>
      </c>
    </row>
    <row r="397" spans="1:24" ht="15.6" x14ac:dyDescent="0.35">
      <c r="B397" s="1" t="s">
        <v>19</v>
      </c>
      <c r="C397" s="1">
        <f>SUM(C392:C396)</f>
        <v>56</v>
      </c>
      <c r="D397" s="1">
        <f>SUM(D392:D396)</f>
        <v>136</v>
      </c>
      <c r="E397" s="1">
        <f>SUM(E392:E396)</f>
        <v>1743</v>
      </c>
      <c r="F397" s="1">
        <f>SUM(F392:F396)</f>
        <v>607</v>
      </c>
      <c r="G397" s="1">
        <f>SUM(G392:G396)</f>
        <v>308</v>
      </c>
      <c r="H397" s="1">
        <f>SUM(H391:H396)</f>
        <v>2850</v>
      </c>
      <c r="I397" s="13" t="s">
        <v>12</v>
      </c>
      <c r="N397" s="16" t="s">
        <v>36</v>
      </c>
      <c r="O397" s="1">
        <f>SUM(O392:O396)</f>
        <v>1852</v>
      </c>
      <c r="P397" s="1">
        <f>SUM(P392:P396)</f>
        <v>43224</v>
      </c>
    </row>
    <row r="398" spans="1:24" x14ac:dyDescent="0.3">
      <c r="A398" s="1" t="s">
        <v>57</v>
      </c>
      <c r="B398" s="1" t="s">
        <v>2</v>
      </c>
      <c r="C398" s="10">
        <f>C392/C397</f>
        <v>1</v>
      </c>
      <c r="D398" s="10">
        <f>D393/D397</f>
        <v>0.61764705882352944</v>
      </c>
      <c r="E398" s="10">
        <f>E394/E397</f>
        <v>0.9896729776247849</v>
      </c>
      <c r="F398" s="10">
        <f>F395/F397</f>
        <v>0.90774299835255357</v>
      </c>
      <c r="G398" s="10">
        <f>G396/G397</f>
        <v>0.66233766233766234</v>
      </c>
      <c r="H398" s="10"/>
      <c r="I398" s="14">
        <f>(C392+D393+E394+F395+G396)/H397</f>
        <v>0.91929824561403506</v>
      </c>
    </row>
    <row r="399" spans="1:24" x14ac:dyDescent="0.3">
      <c r="B399" s="1" t="s">
        <v>14</v>
      </c>
      <c r="C399" s="11">
        <f>1-C398</f>
        <v>0</v>
      </c>
      <c r="D399" s="11">
        <f>1-D398</f>
        <v>0.38235294117647056</v>
      </c>
      <c r="E399" s="11">
        <f>1-E398</f>
        <v>1.03270223752151E-2</v>
      </c>
      <c r="F399" s="11">
        <f>1-F398</f>
        <v>9.2257001647446435E-2</v>
      </c>
      <c r="G399" s="11">
        <f>1-G398</f>
        <v>0.33766233766233766</v>
      </c>
    </row>
    <row r="400" spans="1:24" x14ac:dyDescent="0.3">
      <c r="C400" s="2"/>
    </row>
    <row r="401" spans="1:16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</row>
    <row r="402" spans="1:16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16" x14ac:dyDescent="0.3">
      <c r="A403" t="s">
        <v>3</v>
      </c>
      <c r="B403" s="13">
        <v>0</v>
      </c>
      <c r="C403" s="29">
        <f t="shared" ref="C403:G407" si="62">(C392/$L403)*$O403</f>
        <v>1.5902722909244986</v>
      </c>
      <c r="D403" s="31">
        <f t="shared" si="62"/>
        <v>0</v>
      </c>
      <c r="E403" s="31">
        <f t="shared" si="62"/>
        <v>0</v>
      </c>
      <c r="F403" s="31">
        <f t="shared" si="62"/>
        <v>0</v>
      </c>
      <c r="G403" s="32">
        <f t="shared" si="62"/>
        <v>0</v>
      </c>
      <c r="H403" s="17">
        <f>SUM(C403:G403)</f>
        <v>1.5902722909244986</v>
      </c>
      <c r="I403" s="17">
        <f>C403/H403*100</f>
        <v>100</v>
      </c>
      <c r="J403" s="17">
        <f>SQRT(I403*(100-I403)/(L403-1))</f>
        <v>0</v>
      </c>
      <c r="K403" s="18">
        <f>100-I403</f>
        <v>0</v>
      </c>
      <c r="L403" s="1">
        <f>H392</f>
        <v>56</v>
      </c>
      <c r="M403">
        <v>0</v>
      </c>
      <c r="N403">
        <v>3065.59</v>
      </c>
      <c r="O403" s="17">
        <f>N403/N408*100</f>
        <v>1.5902722909244986</v>
      </c>
      <c r="P403" s="52">
        <f>((O403*O403*(I403/100)*(K403/100))/(L403-1))</f>
        <v>0</v>
      </c>
    </row>
    <row r="404" spans="1:16" x14ac:dyDescent="0.3">
      <c r="A404" t="s">
        <v>4</v>
      </c>
      <c r="B404" s="13">
        <v>1</v>
      </c>
      <c r="C404" s="33">
        <f t="shared" si="62"/>
        <v>0</v>
      </c>
      <c r="D404" s="34">
        <f t="shared" si="62"/>
        <v>7.7658484036679294</v>
      </c>
      <c r="E404" s="19">
        <f t="shared" si="62"/>
        <v>0.73960460987313614</v>
      </c>
      <c r="F404" s="18">
        <f t="shared" si="62"/>
        <v>0</v>
      </c>
      <c r="G404" s="20">
        <f t="shared" si="62"/>
        <v>0</v>
      </c>
      <c r="H404" s="17">
        <f>SUM(C404:G404)</f>
        <v>8.5054530135410662</v>
      </c>
      <c r="I404" s="17">
        <f>D404/H404*100</f>
        <v>91.304347826086953</v>
      </c>
      <c r="J404" s="17">
        <f>SQRT(I404*(100-I404)/(L404-1))</f>
        <v>2.9537661760293807</v>
      </c>
      <c r="K404" s="18">
        <f>100-I404</f>
        <v>8.6956521739130466</v>
      </c>
      <c r="L404" s="1">
        <f>H393</f>
        <v>92</v>
      </c>
      <c r="M404">
        <v>1</v>
      </c>
      <c r="N404">
        <v>16396.080000000002</v>
      </c>
      <c r="O404" s="17">
        <f>N404/N408*100</f>
        <v>8.5054530135410662</v>
      </c>
      <c r="P404" s="52">
        <f>((O404*O404*(I404/100)*(K404/100))/(L404-1))</f>
        <v>6.311711295526086E-2</v>
      </c>
    </row>
    <row r="405" spans="1:16" x14ac:dyDescent="0.3">
      <c r="A405" t="s">
        <v>5</v>
      </c>
      <c r="B405" s="13">
        <v>2</v>
      </c>
      <c r="C405" s="33">
        <f t="shared" si="62"/>
        <v>0</v>
      </c>
      <c r="D405" s="19">
        <f t="shared" si="62"/>
        <v>0.99227480584162808</v>
      </c>
      <c r="E405" s="34">
        <f t="shared" si="62"/>
        <v>40.754143811352577</v>
      </c>
      <c r="F405" s="19">
        <f t="shared" si="62"/>
        <v>0.5433885841513677</v>
      </c>
      <c r="G405" s="20">
        <f t="shared" si="62"/>
        <v>0.42526063107498341</v>
      </c>
      <c r="H405" s="17">
        <f>SUM(C405:G405)</f>
        <v>42.715067832420551</v>
      </c>
      <c r="I405" s="17">
        <f>E405/H405*100</f>
        <v>95.409292035398238</v>
      </c>
      <c r="J405" s="17">
        <f>SQRT(I405*(100-I405)/(L405-1))</f>
        <v>0.4923297656477138</v>
      </c>
      <c r="K405" s="18">
        <f>100-I405</f>
        <v>4.5907079646017621</v>
      </c>
      <c r="L405" s="1">
        <f>H394</f>
        <v>1808</v>
      </c>
      <c r="M405">
        <v>2</v>
      </c>
      <c r="N405">
        <v>82342.429999999993</v>
      </c>
      <c r="O405" s="17">
        <f>N405/N408*100</f>
        <v>42.715067832420559</v>
      </c>
      <c r="P405" s="52">
        <f>((O405*O405*(I405/100)*(K405/100))/(L405-1))</f>
        <v>4.4225666606386313E-2</v>
      </c>
    </row>
    <row r="406" spans="1:16" x14ac:dyDescent="0.3">
      <c r="A406" t="s">
        <v>6</v>
      </c>
      <c r="B406" s="13">
        <v>3</v>
      </c>
      <c r="C406" s="33">
        <f t="shared" si="62"/>
        <v>0</v>
      </c>
      <c r="D406" s="19">
        <f t="shared" si="62"/>
        <v>0.46823293768831659</v>
      </c>
      <c r="E406" s="19">
        <f t="shared" si="62"/>
        <v>0.28093976261298997</v>
      </c>
      <c r="F406" s="34">
        <f t="shared" si="62"/>
        <v>25.799634866626242</v>
      </c>
      <c r="G406" s="20">
        <f t="shared" si="62"/>
        <v>4.0268032641195219</v>
      </c>
      <c r="H406" s="17">
        <f>SUM(C406:G406)</f>
        <v>30.575610831047072</v>
      </c>
      <c r="I406" s="17">
        <f>F406/H406*100</f>
        <v>84.379785604900462</v>
      </c>
      <c r="J406" s="17">
        <f>SQRT(I406*(100-I406)/(L406-1))</f>
        <v>1.4218012973272354</v>
      </c>
      <c r="K406" s="18">
        <f>100-I406</f>
        <v>15.620214395099538</v>
      </c>
      <c r="L406" s="1">
        <f>H395</f>
        <v>653</v>
      </c>
      <c r="M406">
        <v>3</v>
      </c>
      <c r="N406">
        <v>58941.03</v>
      </c>
      <c r="O406" s="17">
        <f>N406/N408*100</f>
        <v>30.575610831047072</v>
      </c>
      <c r="P406" s="52">
        <f>((O406*O406*(I406/100)*(K406/100))/(L406-1))</f>
        <v>0.18898533130957132</v>
      </c>
    </row>
    <row r="407" spans="1:16" x14ac:dyDescent="0.3">
      <c r="A407" t="s">
        <v>7</v>
      </c>
      <c r="B407" s="13">
        <v>4</v>
      </c>
      <c r="C407" s="35">
        <f t="shared" si="62"/>
        <v>0</v>
      </c>
      <c r="D407" s="36">
        <f t="shared" si="62"/>
        <v>0</v>
      </c>
      <c r="E407" s="21">
        <f t="shared" si="62"/>
        <v>0.27574433248243635</v>
      </c>
      <c r="F407" s="21">
        <f t="shared" si="62"/>
        <v>2.2748907429801002</v>
      </c>
      <c r="G407" s="37">
        <f t="shared" si="62"/>
        <v>14.062960956604254</v>
      </c>
      <c r="H407" s="17">
        <f>SUM(C407:G407)</f>
        <v>16.613596032066791</v>
      </c>
      <c r="I407" s="17">
        <f>G407/H407*100</f>
        <v>84.647302904564313</v>
      </c>
      <c r="J407" s="17">
        <f>SQRT(I407*(100-I407)/(L407-1))</f>
        <v>2.3269833846987473</v>
      </c>
      <c r="K407" s="18">
        <f>100-I407</f>
        <v>15.352697095435687</v>
      </c>
      <c r="L407" s="1">
        <f>H396</f>
        <v>241</v>
      </c>
      <c r="M407">
        <v>4</v>
      </c>
      <c r="N407">
        <v>32026.26</v>
      </c>
      <c r="O407" s="17">
        <f>N407/N408*100</f>
        <v>16.613596032066791</v>
      </c>
      <c r="P407" s="52">
        <f>((O407*O407*(I407/100)*(K407/100))/(L407-1))</f>
        <v>0.14945617283656251</v>
      </c>
    </row>
    <row r="408" spans="1:16" x14ac:dyDescent="0.3">
      <c r="B408" t="s">
        <v>28</v>
      </c>
      <c r="C408" s="17">
        <f t="shared" ref="C408:H408" si="63">SUM(C403:C407)</f>
        <v>1.5902722909244986</v>
      </c>
      <c r="D408" s="17">
        <f t="shared" si="63"/>
        <v>9.2263561471978743</v>
      </c>
      <c r="E408" s="17">
        <f t="shared" si="63"/>
        <v>42.050432516321138</v>
      </c>
      <c r="F408" s="17">
        <f t="shared" si="63"/>
        <v>28.617914193757713</v>
      </c>
      <c r="G408" s="17">
        <f t="shared" si="63"/>
        <v>18.51502485179876</v>
      </c>
      <c r="H408" s="18">
        <f t="shared" si="63"/>
        <v>99.999999999999986</v>
      </c>
      <c r="I408" s="13" t="s">
        <v>24</v>
      </c>
      <c r="J408" s="12" t="s">
        <v>29</v>
      </c>
      <c r="N408" s="1">
        <f>SUM(N403:N407)</f>
        <v>192771.39</v>
      </c>
      <c r="O408" s="17">
        <f>SUM(O403:O407)</f>
        <v>100</v>
      </c>
    </row>
    <row r="409" spans="1:16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0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0.32698320050467644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0.37196660596593295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0.58027491808654841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0.56789035445952152</v>
      </c>
      <c r="H409" s="1"/>
      <c r="I409" s="56">
        <f>(C403+D404+E405+F406+G407)/H408</f>
        <v>0.89972860329175519</v>
      </c>
      <c r="J409" s="53">
        <f>SQRT(SUM(P403:P407))/100</f>
        <v>6.6767078991654336E-3</v>
      </c>
      <c r="M409" s="1"/>
      <c r="N409" s="9"/>
    </row>
    <row r="410" spans="1:16" x14ac:dyDescent="0.3">
      <c r="B410" s="1" t="s">
        <v>30</v>
      </c>
      <c r="C410" s="17">
        <f>C403/C408*100</f>
        <v>100</v>
      </c>
      <c r="D410" s="17">
        <f>D404/D408*100</f>
        <v>84.170264834470814</v>
      </c>
      <c r="E410" s="17">
        <f>E405/E408*100</f>
        <v>96.917299948186198</v>
      </c>
      <c r="F410" s="17">
        <f>F406/F408*100</f>
        <v>90.152044946216918</v>
      </c>
      <c r="G410" s="17">
        <f>G407/G408*100</f>
        <v>75.954318555710813</v>
      </c>
      <c r="H410" s="1"/>
    </row>
    <row r="411" spans="1:16" x14ac:dyDescent="0.3">
      <c r="B411" s="16" t="s">
        <v>39</v>
      </c>
      <c r="C411" s="18">
        <f>SQRT((C414+C415)/(C408*C408))</f>
        <v>0</v>
      </c>
      <c r="D411" s="18">
        <f>SQRT((D414+D415)/(D408*D408))</f>
        <v>4.7207799071678433</v>
      </c>
      <c r="E411" s="18">
        <f>SQRT((E414+E415)/(E408*E408))</f>
        <v>0.72670741727741606</v>
      </c>
      <c r="F411" s="18">
        <f>SQRT((F414+F415)/(F408*F408))</f>
        <v>1.9267917301071336</v>
      </c>
      <c r="G411" s="18">
        <f>SQRT((G414+G415)/(G408*G408))</f>
        <v>5.3042386624347078</v>
      </c>
      <c r="H411" s="1"/>
      <c r="I411" s="14"/>
    </row>
    <row r="412" spans="1:16" x14ac:dyDescent="0.3">
      <c r="B412" s="1" t="s">
        <v>37</v>
      </c>
      <c r="C412" s="18">
        <f>100-C410</f>
        <v>0</v>
      </c>
      <c r="D412" s="18">
        <f>100-D410</f>
        <v>15.829735165529186</v>
      </c>
      <c r="E412" s="18">
        <f>100-E410</f>
        <v>3.0827000518138021</v>
      </c>
      <c r="F412" s="18">
        <f>100-F410</f>
        <v>9.8479550537830818</v>
      </c>
      <c r="G412" s="18">
        <f>100-G410</f>
        <v>24.045681444289187</v>
      </c>
    </row>
    <row r="413" spans="1:16" ht="15.6" x14ac:dyDescent="0.35">
      <c r="B413" s="1" t="s">
        <v>25</v>
      </c>
      <c r="C413" s="1">
        <f>C397</f>
        <v>56</v>
      </c>
      <c r="D413" s="1">
        <f>D397</f>
        <v>136</v>
      </c>
      <c r="E413" s="1">
        <f>E397</f>
        <v>1743</v>
      </c>
      <c r="F413" s="1">
        <f>F397</f>
        <v>607</v>
      </c>
      <c r="G413" s="1">
        <f>G397</f>
        <v>308</v>
      </c>
    </row>
    <row r="414" spans="1:16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1581.5918695570404</v>
      </c>
      <c r="E414" s="18">
        <f>(O405*O405*(100-E410)*(100-E410)*(I405)*(100-I405))/((L405-1)*100)</f>
        <v>42.027826151494388</v>
      </c>
      <c r="F414" s="18">
        <f>(O406*O406*(100-F410)*(100-F410)*(I406)*(100-I406))/((L406-1)*100)</f>
        <v>1832.8216739967897</v>
      </c>
      <c r="G414" s="18">
        <f>(O407*O407*(100-G410)*(100-G410)*(I407)*(100-I407))/((L407-1)*100)</f>
        <v>8641.4781382146612</v>
      </c>
    </row>
    <row r="415" spans="1:16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315.49813573555946</v>
      </c>
      <c r="E415" s="18">
        <f>E410*E410*(SUM((H403*E403*(1-E392/H392))/(H392-1),(H404*E404*(1-E393/H393))/(H393-1), (H406*E406*(1-E395/H395))/(H395-1),(H407*E407*(1-E396/H396))/(H396-1)))</f>
        <v>891.78561364863515</v>
      </c>
      <c r="F415" s="18">
        <f>F410*F410*(SUM((H403*F403*(1-F392/H392))/(H392-1),(H404*F404*(1-F393/H393))/(H393-1), (H405*F405*(1-F394/H394))/(H394-1),(H407*F407*(1-F396/H396))/(H396-1)))</f>
        <v>1207.6817836530965</v>
      </c>
      <c r="G415" s="18">
        <f>G410*G410*(SUM((H403*G403*(1-G392/H392))/(H392-1),(H404*G404*(1-G393/H393))/(H393-1), (H405*G405*(1-G394/H394))/(H394-1),(H406*G406*(1-G395/H395))/(H395-1)))</f>
        <v>1003.3548601806833</v>
      </c>
    </row>
    <row r="416" spans="1:16" x14ac:dyDescent="0.3">
      <c r="A416" s="105" t="s">
        <v>390</v>
      </c>
      <c r="B416" s="69" t="s">
        <v>9</v>
      </c>
      <c r="C416" s="1">
        <v>268.64999999999998</v>
      </c>
      <c r="D416" s="1">
        <v>940.63</v>
      </c>
      <c r="E416" s="1">
        <v>13709.03</v>
      </c>
      <c r="F416" s="1">
        <v>3865.07</v>
      </c>
      <c r="G416">
        <v>3271.98</v>
      </c>
      <c r="I416" t="s">
        <v>36</v>
      </c>
      <c r="J416" s="57">
        <f>SUM(C416:G416)</f>
        <v>22055.360000000001</v>
      </c>
    </row>
    <row r="417" spans="1:16" x14ac:dyDescent="0.3">
      <c r="B417" t="s">
        <v>391</v>
      </c>
      <c r="C417" s="57">
        <f>(C416/$J416)*100</f>
        <v>1.218071253427738</v>
      </c>
      <c r="D417" s="57">
        <f>(D416/$J416)*100</f>
        <v>4.2648589730568895</v>
      </c>
      <c r="E417" s="57">
        <f>(E416/$J416)*100</f>
        <v>62.157362201297104</v>
      </c>
      <c r="F417" s="57">
        <f>(F416/$J416)*100</f>
        <v>17.524402231475705</v>
      </c>
      <c r="G417" s="57">
        <f>(G416/$J416)*100</f>
        <v>14.835305340742567</v>
      </c>
    </row>
    <row r="418" spans="1:16" x14ac:dyDescent="0.3">
      <c r="A418" s="361">
        <v>1977</v>
      </c>
      <c r="B418" s="361"/>
      <c r="C418" s="361"/>
      <c r="D418" s="361"/>
      <c r="E418" s="361"/>
      <c r="F418" s="361"/>
      <c r="G418" s="361"/>
      <c r="H418" s="361"/>
      <c r="I418" s="361"/>
      <c r="J418" s="361"/>
      <c r="K418" s="361"/>
      <c r="L418" s="361" t="s">
        <v>92</v>
      </c>
      <c r="M418" s="361"/>
      <c r="N418" s="361"/>
      <c r="O418" s="361"/>
      <c r="P418" s="361"/>
    </row>
    <row r="419" spans="1:16" x14ac:dyDescent="0.3">
      <c r="A419" t="s">
        <v>15</v>
      </c>
      <c r="B419" t="s">
        <v>21</v>
      </c>
      <c r="I419" s="1" t="s">
        <v>58</v>
      </c>
      <c r="O419" s="360" t="s">
        <v>411</v>
      </c>
      <c r="P419" s="360"/>
    </row>
    <row r="420" spans="1:16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56</v>
      </c>
      <c r="O420" s="13" t="s">
        <v>412</v>
      </c>
      <c r="P420" s="13" t="s">
        <v>41</v>
      </c>
    </row>
    <row r="421" spans="1:16" x14ac:dyDescent="0.3">
      <c r="A421" t="s">
        <v>3</v>
      </c>
      <c r="B421" s="13">
        <v>0</v>
      </c>
      <c r="C421" s="26">
        <v>56</v>
      </c>
      <c r="D421" s="3">
        <v>0</v>
      </c>
      <c r="E421" s="3">
        <v>0</v>
      </c>
      <c r="F421" s="3">
        <v>0</v>
      </c>
      <c r="G421" s="4">
        <v>0</v>
      </c>
      <c r="H421" s="1">
        <f>SUM(C421:G421)</f>
        <v>56</v>
      </c>
      <c r="I421" s="10">
        <f>C421/H421</f>
        <v>1</v>
      </c>
      <c r="J421" s="11">
        <f>1-I421</f>
        <v>0</v>
      </c>
      <c r="K421">
        <f>H421-C426</f>
        <v>0</v>
      </c>
      <c r="N421" s="10">
        <f>2*(C427*I421)/(C427+I421)</f>
        <v>1</v>
      </c>
      <c r="O421" s="1">
        <v>1</v>
      </c>
      <c r="P421" s="1">
        <v>271</v>
      </c>
    </row>
    <row r="422" spans="1:16" x14ac:dyDescent="0.3">
      <c r="A422" t="s">
        <v>4</v>
      </c>
      <c r="B422" s="13">
        <v>1</v>
      </c>
      <c r="C422" s="5">
        <v>0</v>
      </c>
      <c r="D422" s="27">
        <v>88</v>
      </c>
      <c r="E422" s="1">
        <v>4</v>
      </c>
      <c r="F422" s="1">
        <v>0</v>
      </c>
      <c r="G422" s="6">
        <v>0</v>
      </c>
      <c r="H422" s="1">
        <f>SUM(C422:G422)</f>
        <v>92</v>
      </c>
      <c r="I422" s="10">
        <f>D422/H422</f>
        <v>0.95652173913043481</v>
      </c>
      <c r="J422" s="11">
        <f>1-I422</f>
        <v>4.3478260869565188E-2</v>
      </c>
      <c r="K422">
        <f>H422-D426</f>
        <v>-55</v>
      </c>
      <c r="N422" s="10">
        <f>2*(D427*I422)/(D427+I422)</f>
        <v>0.7364016736401674</v>
      </c>
      <c r="O422" s="1">
        <v>5</v>
      </c>
      <c r="P422" s="1">
        <v>102</v>
      </c>
    </row>
    <row r="423" spans="1:16" x14ac:dyDescent="0.3">
      <c r="A423" t="s">
        <v>5</v>
      </c>
      <c r="B423" s="13">
        <v>2</v>
      </c>
      <c r="C423" s="5">
        <v>0</v>
      </c>
      <c r="D423" s="1">
        <v>48</v>
      </c>
      <c r="E423" s="27">
        <v>1722</v>
      </c>
      <c r="F423" s="1">
        <v>23</v>
      </c>
      <c r="G423" s="6">
        <v>15</v>
      </c>
      <c r="H423" s="1">
        <f>SUM(C423:G423)</f>
        <v>1808</v>
      </c>
      <c r="I423" s="10">
        <f>E423/H423</f>
        <v>0.95243362831858402</v>
      </c>
      <c r="J423" s="11">
        <f>1-I423</f>
        <v>4.7566371681415975E-2</v>
      </c>
      <c r="K423">
        <f>H423-E426</f>
        <v>72</v>
      </c>
      <c r="N423" s="10">
        <f>2*(E427*I423)/(E427+I423)</f>
        <v>0.97178329571106081</v>
      </c>
      <c r="O423" s="1">
        <v>909</v>
      </c>
      <c r="P423" s="1">
        <v>9780</v>
      </c>
    </row>
    <row r="424" spans="1:16" x14ac:dyDescent="0.3">
      <c r="A424" t="s">
        <v>6</v>
      </c>
      <c r="B424" s="13">
        <v>3</v>
      </c>
      <c r="C424" s="5">
        <v>0</v>
      </c>
      <c r="D424" s="1">
        <v>11</v>
      </c>
      <c r="E424" s="1">
        <v>4</v>
      </c>
      <c r="F424" s="27">
        <v>557</v>
      </c>
      <c r="G424" s="6">
        <v>81</v>
      </c>
      <c r="H424" s="1">
        <f>SUM(C424:G424)</f>
        <v>653</v>
      </c>
      <c r="I424" s="10">
        <f>F424/H424</f>
        <v>0.85298621745788672</v>
      </c>
      <c r="J424" s="11">
        <f>1-I424</f>
        <v>0.14701378254211328</v>
      </c>
      <c r="K424">
        <f>H424-F426</f>
        <v>37</v>
      </c>
      <c r="N424" s="10">
        <f>2*(F427*I424)/(F427+I424)</f>
        <v>0.87785657998423972</v>
      </c>
      <c r="O424" s="1">
        <v>686</v>
      </c>
      <c r="P424" s="1">
        <v>18696</v>
      </c>
    </row>
    <row r="425" spans="1:16" x14ac:dyDescent="0.3">
      <c r="A425" t="s">
        <v>7</v>
      </c>
      <c r="B425" s="13">
        <v>4</v>
      </c>
      <c r="C425" s="7">
        <v>0</v>
      </c>
      <c r="D425" s="8">
        <v>0</v>
      </c>
      <c r="E425" s="8">
        <v>6</v>
      </c>
      <c r="F425" s="8">
        <v>36</v>
      </c>
      <c r="G425" s="28">
        <v>199</v>
      </c>
      <c r="H425" s="1">
        <f>SUM(C425:G425)</f>
        <v>241</v>
      </c>
      <c r="I425" s="10">
        <f>G425/H425</f>
        <v>0.82572614107883813</v>
      </c>
      <c r="J425" s="11">
        <f>1-I425</f>
        <v>0.17427385892116187</v>
      </c>
      <c r="K425">
        <f>H425-G426</f>
        <v>-54</v>
      </c>
      <c r="N425" s="10">
        <f>2*(G427*I425)/(G427+I425)</f>
        <v>0.7425373134328358</v>
      </c>
      <c r="O425" s="1">
        <v>251</v>
      </c>
      <c r="P425" s="1">
        <v>14376</v>
      </c>
    </row>
    <row r="426" spans="1:16" ht="15.6" x14ac:dyDescent="0.35">
      <c r="B426" s="1" t="s">
        <v>19</v>
      </c>
      <c r="C426" s="1">
        <f>SUM(C421:C425)</f>
        <v>56</v>
      </c>
      <c r="D426" s="1">
        <f>SUM(D421:D425)</f>
        <v>147</v>
      </c>
      <c r="E426" s="1">
        <f>SUM(E421:E425)</f>
        <v>1736</v>
      </c>
      <c r="F426" s="1">
        <f>SUM(F421:F425)</f>
        <v>616</v>
      </c>
      <c r="G426" s="1">
        <f>SUM(G421:G425)</f>
        <v>295</v>
      </c>
      <c r="H426" s="1">
        <f>SUM(H420:H425)</f>
        <v>2850</v>
      </c>
      <c r="I426" s="13" t="s">
        <v>12</v>
      </c>
      <c r="N426" s="16" t="s">
        <v>36</v>
      </c>
      <c r="O426" s="1">
        <f>SUM(O421:O425)</f>
        <v>1852</v>
      </c>
      <c r="P426" s="1">
        <f>SUM(P421:P425)</f>
        <v>43225</v>
      </c>
    </row>
    <row r="427" spans="1:16" x14ac:dyDescent="0.3">
      <c r="A427" s="1" t="s">
        <v>57</v>
      </c>
      <c r="B427" s="1" t="s">
        <v>2</v>
      </c>
      <c r="C427" s="10">
        <f>C421/C426</f>
        <v>1</v>
      </c>
      <c r="D427" s="10">
        <f>D422/D426</f>
        <v>0.59863945578231292</v>
      </c>
      <c r="E427" s="10">
        <f>E423/E426</f>
        <v>0.99193548387096775</v>
      </c>
      <c r="F427" s="10">
        <f>F424/F426</f>
        <v>0.90422077922077926</v>
      </c>
      <c r="G427" s="10">
        <f>G425/G426</f>
        <v>0.6745762711864407</v>
      </c>
      <c r="H427" s="10"/>
      <c r="I427" s="14">
        <f>(C421+D422+E423+F424+G425)/H426</f>
        <v>0.92</v>
      </c>
    </row>
    <row r="428" spans="1:16" x14ac:dyDescent="0.3">
      <c r="B428" s="1" t="s">
        <v>14</v>
      </c>
      <c r="C428" s="11">
        <f>1-C427</f>
        <v>0</v>
      </c>
      <c r="D428" s="11">
        <f>1-D427</f>
        <v>0.40136054421768708</v>
      </c>
      <c r="E428" s="11">
        <f>1-E427</f>
        <v>8.0645161290322509E-3</v>
      </c>
      <c r="F428" s="11">
        <f>1-F427</f>
        <v>9.5779220779220742E-2</v>
      </c>
      <c r="G428" s="11">
        <f>1-G427</f>
        <v>0.3254237288135593</v>
      </c>
    </row>
    <row r="429" spans="1:16" x14ac:dyDescent="0.3">
      <c r="C429" s="2"/>
    </row>
    <row r="430" spans="1:16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16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</row>
    <row r="432" spans="1:16" x14ac:dyDescent="0.3">
      <c r="A432" t="s">
        <v>3</v>
      </c>
      <c r="B432" s="13">
        <v>0</v>
      </c>
      <c r="C432" s="29">
        <f t="shared" ref="C432:G436" si="64">(C421/$L432)*$O432</f>
        <v>1.5665498910393292</v>
      </c>
      <c r="D432" s="31">
        <f t="shared" si="64"/>
        <v>0</v>
      </c>
      <c r="E432" s="31">
        <f t="shared" si="64"/>
        <v>0</v>
      </c>
      <c r="F432" s="31">
        <f t="shared" si="64"/>
        <v>0</v>
      </c>
      <c r="G432" s="32">
        <f t="shared" si="64"/>
        <v>0</v>
      </c>
      <c r="H432" s="17">
        <f>SUM(C432:G432)</f>
        <v>1.5665498910393292</v>
      </c>
      <c r="I432" s="17">
        <f>C432/H432*100</f>
        <v>100</v>
      </c>
      <c r="J432" s="17">
        <f>SQRT(I432*(100-I432)/(L432-1))</f>
        <v>0</v>
      </c>
      <c r="K432" s="18">
        <f>100-I432</f>
        <v>0</v>
      </c>
      <c r="L432" s="1">
        <f>H421</f>
        <v>56</v>
      </c>
      <c r="M432">
        <v>0</v>
      </c>
      <c r="N432">
        <v>3019.86</v>
      </c>
      <c r="O432" s="17">
        <f>N432/N437*100</f>
        <v>1.5665498910393292</v>
      </c>
      <c r="P432" s="52">
        <f>((O432*O432*(I432/100)*(K432/100))/(L432-1))</f>
        <v>0</v>
      </c>
    </row>
    <row r="433" spans="1:16" x14ac:dyDescent="0.3">
      <c r="A433" t="s">
        <v>4</v>
      </c>
      <c r="B433" s="13">
        <v>1</v>
      </c>
      <c r="C433" s="33">
        <f t="shared" si="64"/>
        <v>0</v>
      </c>
      <c r="D433" s="34">
        <f t="shared" si="64"/>
        <v>8.473231923327285</v>
      </c>
      <c r="E433" s="19">
        <f t="shared" si="64"/>
        <v>0.38514690560578563</v>
      </c>
      <c r="F433" s="18">
        <f t="shared" si="64"/>
        <v>0</v>
      </c>
      <c r="G433" s="20">
        <f t="shared" si="64"/>
        <v>0</v>
      </c>
      <c r="H433" s="17">
        <f>SUM(C433:G433)</f>
        <v>8.8583788289330698</v>
      </c>
      <c r="I433" s="17">
        <f>D433/H433*100</f>
        <v>95.652173913043498</v>
      </c>
      <c r="J433" s="17">
        <f>SQRT(I433*(100-I433)/(L433-1))</f>
        <v>2.1377790082366981</v>
      </c>
      <c r="K433" s="18">
        <f>100-I433</f>
        <v>4.347826086956502</v>
      </c>
      <c r="L433" s="1">
        <f>H422</f>
        <v>92</v>
      </c>
      <c r="M433">
        <v>1</v>
      </c>
      <c r="N433">
        <v>17076.419999999998</v>
      </c>
      <c r="O433" s="17">
        <f>N433/N437*100</f>
        <v>8.8583788289330698</v>
      </c>
      <c r="P433" s="52">
        <f>((O433*O433*(I433/100)*(K433/100))/(L433-1))</f>
        <v>3.586196764560054E-2</v>
      </c>
    </row>
    <row r="434" spans="1:16" x14ac:dyDescent="0.3">
      <c r="A434" t="s">
        <v>5</v>
      </c>
      <c r="B434" s="13">
        <v>2</v>
      </c>
      <c r="C434" s="33">
        <f t="shared" si="64"/>
        <v>0</v>
      </c>
      <c r="D434" s="19">
        <f t="shared" si="64"/>
        <v>1.1245346887017196</v>
      </c>
      <c r="E434" s="34">
        <f t="shared" si="64"/>
        <v>40.342681957174193</v>
      </c>
      <c r="F434" s="19">
        <f t="shared" si="64"/>
        <v>0.53883953833624076</v>
      </c>
      <c r="G434" s="20">
        <f t="shared" si="64"/>
        <v>0.35141709021928741</v>
      </c>
      <c r="H434" s="17">
        <f>SUM(C434:G434)</f>
        <v>42.357473274431442</v>
      </c>
      <c r="I434" s="17">
        <f>E434/H434*100</f>
        <v>95.243362831858406</v>
      </c>
      <c r="J434" s="17">
        <f>SQRT(I434*(100-I434)/(L434-1))</f>
        <v>0.50071234241046703</v>
      </c>
      <c r="K434" s="18">
        <f>100-I434</f>
        <v>4.7566371681415944</v>
      </c>
      <c r="L434" s="1">
        <f>H423</f>
        <v>1808</v>
      </c>
      <c r="M434">
        <v>2</v>
      </c>
      <c r="N434">
        <v>81653.09</v>
      </c>
      <c r="O434" s="17">
        <f>N434/N437*100</f>
        <v>42.357473274431442</v>
      </c>
      <c r="P434" s="52">
        <f>((O434*O434*(I434/100)*(K434/100))/(L434-1))</f>
        <v>4.4981784904363713E-2</v>
      </c>
    </row>
    <row r="435" spans="1:16" x14ac:dyDescent="0.3">
      <c r="A435" t="s">
        <v>6</v>
      </c>
      <c r="B435" s="13">
        <v>3</v>
      </c>
      <c r="C435" s="33">
        <f t="shared" si="64"/>
        <v>0</v>
      </c>
      <c r="D435" s="19">
        <f t="shared" si="64"/>
        <v>0.52073398489693323</v>
      </c>
      <c r="E435" s="19">
        <f t="shared" si="64"/>
        <v>0.18935781268979393</v>
      </c>
      <c r="F435" s="34">
        <f t="shared" si="64"/>
        <v>26.368075417053802</v>
      </c>
      <c r="G435" s="20">
        <f t="shared" si="64"/>
        <v>3.8344957069683265</v>
      </c>
      <c r="H435" s="17">
        <f>SUM(C435:G435)</f>
        <v>30.912662921608856</v>
      </c>
      <c r="I435" s="17">
        <f>F435/H435*100</f>
        <v>85.298621745788665</v>
      </c>
      <c r="J435" s="17">
        <f>SQRT(I435*(100-I435)/(L435-1))</f>
        <v>1.3868396028821406</v>
      </c>
      <c r="K435" s="18">
        <f>100-I435</f>
        <v>14.701378254211335</v>
      </c>
      <c r="L435" s="1">
        <f>H424</f>
        <v>653</v>
      </c>
      <c r="M435">
        <v>3</v>
      </c>
      <c r="N435">
        <v>59590.77</v>
      </c>
      <c r="O435" s="17">
        <f>N435/N437*100</f>
        <v>30.912662921608856</v>
      </c>
      <c r="P435" s="52">
        <f>((O435*O435*(I435/100)*(K435/100))/(L435-1))</f>
        <v>0.18379145101151537</v>
      </c>
    </row>
    <row r="436" spans="1:16" x14ac:dyDescent="0.3">
      <c r="A436" t="s">
        <v>7</v>
      </c>
      <c r="B436" s="13">
        <v>4</v>
      </c>
      <c r="C436" s="35">
        <f t="shared" si="64"/>
        <v>0</v>
      </c>
      <c r="D436" s="36">
        <f t="shared" si="64"/>
        <v>0</v>
      </c>
      <c r="E436" s="21">
        <f t="shared" si="64"/>
        <v>0.40593199379221517</v>
      </c>
      <c r="F436" s="21">
        <f t="shared" si="64"/>
        <v>2.4355919627532909</v>
      </c>
      <c r="G436" s="37">
        <f t="shared" si="64"/>
        <v>13.463411127441804</v>
      </c>
      <c r="H436" s="17">
        <f>SUM(C436:G436)</f>
        <v>16.30493508398731</v>
      </c>
      <c r="I436" s="17">
        <f>G436/H436*100</f>
        <v>82.572614107883808</v>
      </c>
      <c r="J436" s="17">
        <f>SQRT(I436*(100-I436)/(L436-1))</f>
        <v>2.4486601865262365</v>
      </c>
      <c r="K436" s="18">
        <f>100-I436</f>
        <v>17.427385892116192</v>
      </c>
      <c r="L436" s="1">
        <f>H425</f>
        <v>241</v>
      </c>
      <c r="M436">
        <v>4</v>
      </c>
      <c r="N436">
        <v>31431.25</v>
      </c>
      <c r="O436" s="17">
        <f>N436/N437*100</f>
        <v>16.30493508398731</v>
      </c>
      <c r="P436" s="52">
        <f>((O436*O436*(I436/100)*(K436/100))/(L436-1))</f>
        <v>0.15940252189769691</v>
      </c>
    </row>
    <row r="437" spans="1:16" x14ac:dyDescent="0.3">
      <c r="B437" t="s">
        <v>28</v>
      </c>
      <c r="C437" s="17">
        <f t="shared" ref="C437:H437" si="65">SUM(C432:C436)</f>
        <v>1.5665498910393292</v>
      </c>
      <c r="D437" s="17">
        <f t="shared" si="65"/>
        <v>10.118500596925939</v>
      </c>
      <c r="E437" s="17">
        <f t="shared" si="65"/>
        <v>41.323118669261987</v>
      </c>
      <c r="F437" s="17">
        <f t="shared" si="65"/>
        <v>29.342506918143336</v>
      </c>
      <c r="G437" s="17">
        <f t="shared" si="65"/>
        <v>17.649323924629417</v>
      </c>
      <c r="H437" s="18">
        <f t="shared" si="65"/>
        <v>100</v>
      </c>
      <c r="I437" s="13" t="s">
        <v>24</v>
      </c>
      <c r="J437" s="12" t="s">
        <v>29</v>
      </c>
      <c r="N437" s="1">
        <f>SUM(N432:N436)</f>
        <v>192771.38999999998</v>
      </c>
      <c r="O437" s="17">
        <f>SUM(O432:O436)</f>
        <v>100</v>
      </c>
    </row>
    <row r="438" spans="1:16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0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0.29215426195475569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0.34076088473084998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0.57977535141495751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0.570887056252671</v>
      </c>
      <c r="H438" s="1"/>
      <c r="I438" s="56">
        <f>(C432+D433+E434+F435+G436)/H437</f>
        <v>0.90213950316036418</v>
      </c>
      <c r="J438" s="53">
        <f>SQRT(SUM(P432:P436))/100</f>
        <v>6.5118179140634495E-3</v>
      </c>
      <c r="M438" s="1"/>
      <c r="N438" s="9"/>
    </row>
    <row r="439" spans="1:16" x14ac:dyDescent="0.3">
      <c r="B439" s="1" t="s">
        <v>30</v>
      </c>
      <c r="C439" s="17">
        <f>C432/C437*100</f>
        <v>100</v>
      </c>
      <c r="D439" s="17">
        <f>D433/D437*100</f>
        <v>83.739995290423792</v>
      </c>
      <c r="E439" s="17">
        <f>E434/E437*100</f>
        <v>97.62738935573833</v>
      </c>
      <c r="F439" s="17">
        <f>F435/F437*100</f>
        <v>89.863062793553084</v>
      </c>
      <c r="G439" s="17">
        <f>G436/G437*100</f>
        <v>76.282871711894742</v>
      </c>
      <c r="H439" s="1"/>
    </row>
    <row r="440" spans="1:16" x14ac:dyDescent="0.3">
      <c r="B440" s="16" t="s">
        <v>39</v>
      </c>
      <c r="C440" s="18">
        <f>SQRT((C443+C444)/(C437*C437))</f>
        <v>0</v>
      </c>
      <c r="D440" s="18">
        <f>SQRT((D443+D444)/(D437*D437))</f>
        <v>3.5609925751373943</v>
      </c>
      <c r="E440" s="18">
        <f>SQRT((E443+E444)/(E437*E437))</f>
        <v>0.64412324723475345</v>
      </c>
      <c r="F440" s="18">
        <f>SQRT((F443+F444)/(F437*F437))</f>
        <v>1.9054201741579069</v>
      </c>
      <c r="G440" s="18">
        <f>SQRT((G443+G444)/(G437*G437))</f>
        <v>5.6491013868493836</v>
      </c>
      <c r="H440" s="1"/>
      <c r="I440" s="14"/>
    </row>
    <row r="441" spans="1:16" x14ac:dyDescent="0.3">
      <c r="B441" s="1" t="s">
        <v>37</v>
      </c>
      <c r="C441" s="18">
        <f>100-C439</f>
        <v>0</v>
      </c>
      <c r="D441" s="18">
        <f>100-D439</f>
        <v>16.260004709576208</v>
      </c>
      <c r="E441" s="18">
        <f>100-E439</f>
        <v>2.3726106442616697</v>
      </c>
      <c r="F441" s="18">
        <f>100-F439</f>
        <v>10.136937206446916</v>
      </c>
      <c r="G441" s="18">
        <f>100-G439</f>
        <v>23.717128288105258</v>
      </c>
    </row>
    <row r="442" spans="1:16" ht="15.6" x14ac:dyDescent="0.35">
      <c r="B442" s="1" t="s">
        <v>25</v>
      </c>
      <c r="C442" s="1">
        <f>C426</f>
        <v>56</v>
      </c>
      <c r="D442" s="1">
        <f>D426</f>
        <v>147</v>
      </c>
      <c r="E442" s="1">
        <f>E426</f>
        <v>1736</v>
      </c>
      <c r="F442" s="1">
        <f>F426</f>
        <v>616</v>
      </c>
      <c r="G442" s="1">
        <f>G426</f>
        <v>295</v>
      </c>
    </row>
    <row r="443" spans="1:16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948.14650495534249</v>
      </c>
      <c r="E443" s="18">
        <f>(O434*O434*(100-E439)*(100-E439)*(I434)*(100-I434))/((L434-1)*100)</f>
        <v>25.321511922018665</v>
      </c>
      <c r="F443" s="18">
        <f>(O435*O435*(100-F439)*(100-F439)*(I435)*(100-I435))/((L435-1)*100)</f>
        <v>1888.5949278815513</v>
      </c>
      <c r="G443" s="18">
        <f>(O436*O436*(100-G439)*(100-G439)*(I436)*(100-I436))/((L436-1)*100)</f>
        <v>8966.4265145907848</v>
      </c>
    </row>
    <row r="444" spans="1:16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350.15170880211997</v>
      </c>
      <c r="E444" s="18">
        <f>E439*E439*(SUM((H432*E432*(1-E421/H421))/(H421-1),(H433*E433*(1-E422/H422))/(H422-1), (H435*E435*(1-E424/H424))/(H424-1),(H436*E436*(1-E425/H425))/(H425-1)))</f>
        <v>683.15283285947044</v>
      </c>
      <c r="F444" s="18">
        <f>F439*F439*(SUM((H432*F432*(1-F421/H421))/(H421-1),(H433*F433*(1-F422/H422))/(H422-1), (H434*F434*(1-F423/H423))/(H423-1),(H436*F436*(1-F425/H425))/(H425-1)))</f>
        <v>1237.3113272472233</v>
      </c>
      <c r="G444" s="18">
        <f>G439*G439*(SUM((H432*G432*(1-G421/H421))/(H421-1),(H433*G433*(1-G422/H422))/(H422-1), (H434*G434*(1-G423/H423))/(H423-1),(H435*G435*(1-G424/H424))/(H424-1)))</f>
        <v>974.22585312293961</v>
      </c>
    </row>
    <row r="445" spans="1:16" x14ac:dyDescent="0.3">
      <c r="A445" s="105" t="s">
        <v>390</v>
      </c>
      <c r="B445" s="69" t="s">
        <v>9</v>
      </c>
      <c r="C445" s="1">
        <v>277.3</v>
      </c>
      <c r="D445" s="1">
        <v>954.68</v>
      </c>
      <c r="E445" s="1">
        <v>13541.94</v>
      </c>
      <c r="F445" s="1">
        <v>3996.51</v>
      </c>
      <c r="G445">
        <v>3284.95</v>
      </c>
      <c r="I445" t="s">
        <v>36</v>
      </c>
      <c r="J445" s="57">
        <f>SUM(C445:G445)</f>
        <v>22055.38</v>
      </c>
    </row>
    <row r="446" spans="1:16" x14ac:dyDescent="0.3">
      <c r="B446" t="s">
        <v>391</v>
      </c>
      <c r="C446" s="57">
        <f>(C445/$J445)*100</f>
        <v>1.2572896046225457</v>
      </c>
      <c r="D446" s="57">
        <f>(D445/$J445)*100</f>
        <v>4.3285583834873842</v>
      </c>
      <c r="E446" s="57">
        <f>(E445/$J445)*100</f>
        <v>61.399712904515816</v>
      </c>
      <c r="F446" s="57">
        <f>(F445/$J445)*100</f>
        <v>18.120340705986475</v>
      </c>
      <c r="G446" s="57">
        <f>(G445/$J445)*100</f>
        <v>14.89409840138778</v>
      </c>
    </row>
    <row r="447" spans="1:16" x14ac:dyDescent="0.3">
      <c r="A447" s="361">
        <v>1977</v>
      </c>
      <c r="B447" s="361"/>
      <c r="C447" s="361"/>
      <c r="D447" s="361"/>
      <c r="E447" s="361"/>
      <c r="F447" s="361"/>
      <c r="G447" s="361"/>
      <c r="H447" s="361"/>
      <c r="I447" s="361"/>
      <c r="J447" s="361"/>
      <c r="K447" s="361"/>
      <c r="L447" s="361" t="s">
        <v>93</v>
      </c>
      <c r="M447" s="361"/>
      <c r="N447" s="361"/>
      <c r="O447" s="361"/>
      <c r="P447" s="361"/>
    </row>
    <row r="448" spans="1:16" x14ac:dyDescent="0.3">
      <c r="A448" t="s">
        <v>15</v>
      </c>
      <c r="B448" t="s">
        <v>21</v>
      </c>
      <c r="I448" s="1" t="s">
        <v>58</v>
      </c>
      <c r="O448" s="360" t="s">
        <v>411</v>
      </c>
      <c r="P448" s="360"/>
    </row>
    <row r="449" spans="1:16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56</v>
      </c>
      <c r="O449" s="13" t="s">
        <v>412</v>
      </c>
      <c r="P449" s="13" t="s">
        <v>41</v>
      </c>
    </row>
    <row r="450" spans="1:16" x14ac:dyDescent="0.3">
      <c r="A450" t="s">
        <v>3</v>
      </c>
      <c r="B450" s="13">
        <v>0</v>
      </c>
      <c r="C450" s="26">
        <v>56</v>
      </c>
      <c r="D450" s="3">
        <v>0</v>
      </c>
      <c r="E450" s="3">
        <v>0</v>
      </c>
      <c r="F450" s="3">
        <v>0</v>
      </c>
      <c r="G450" s="4">
        <v>0</v>
      </c>
      <c r="H450" s="1">
        <f>SUM(C450:G450)</f>
        <v>56</v>
      </c>
      <c r="I450" s="10">
        <f>C450/H450</f>
        <v>1</v>
      </c>
      <c r="J450" s="11">
        <f>1-I450</f>
        <v>0</v>
      </c>
      <c r="K450">
        <f>H450-C455</f>
        <v>0</v>
      </c>
      <c r="N450" s="10">
        <f>2*(C456*I450)/(C456+I450)</f>
        <v>1</v>
      </c>
      <c r="O450" s="1">
        <v>0</v>
      </c>
      <c r="P450" s="1">
        <v>253</v>
      </c>
    </row>
    <row r="451" spans="1:16" x14ac:dyDescent="0.3">
      <c r="A451" t="s">
        <v>4</v>
      </c>
      <c r="B451" s="13">
        <v>1</v>
      </c>
      <c r="C451" s="5">
        <v>0</v>
      </c>
      <c r="D451" s="27">
        <v>88</v>
      </c>
      <c r="E451" s="1">
        <v>4</v>
      </c>
      <c r="F451" s="1">
        <v>0</v>
      </c>
      <c r="G451" s="6">
        <v>0</v>
      </c>
      <c r="H451" s="1">
        <f>SUM(C451:G451)</f>
        <v>92</v>
      </c>
      <c r="I451" s="10">
        <f>D451/H451</f>
        <v>0.95652173913043481</v>
      </c>
      <c r="J451" s="11">
        <f>1-I451</f>
        <v>4.3478260869565188E-2</v>
      </c>
      <c r="K451">
        <f>H451-D455</f>
        <v>-51</v>
      </c>
      <c r="N451" s="10">
        <f>2*(D456*I451)/(D456+I451)</f>
        <v>0.74893617021276604</v>
      </c>
      <c r="O451" s="1">
        <v>5</v>
      </c>
      <c r="P451" s="1">
        <v>90</v>
      </c>
    </row>
    <row r="452" spans="1:16" x14ac:dyDescent="0.3">
      <c r="A452" t="s">
        <v>5</v>
      </c>
      <c r="B452" s="13">
        <v>2</v>
      </c>
      <c r="C452" s="5">
        <v>0</v>
      </c>
      <c r="D452" s="1">
        <v>42</v>
      </c>
      <c r="E452" s="27">
        <v>1730</v>
      </c>
      <c r="F452" s="1">
        <v>17</v>
      </c>
      <c r="G452" s="6">
        <v>19</v>
      </c>
      <c r="H452" s="1">
        <f>SUM(C452:G452)</f>
        <v>1808</v>
      </c>
      <c r="I452" s="10">
        <f>E452/H452</f>
        <v>0.95685840707964598</v>
      </c>
      <c r="J452" s="11">
        <f>1-I452</f>
        <v>4.3141592920354022E-2</v>
      </c>
      <c r="K452">
        <f>H452-E455</f>
        <v>59</v>
      </c>
      <c r="N452" s="10">
        <f>2*(E456*I452)/(E456+I452)</f>
        <v>0.97272982850716883</v>
      </c>
      <c r="O452" s="1">
        <v>937</v>
      </c>
      <c r="P452" s="1">
        <v>10238</v>
      </c>
    </row>
    <row r="453" spans="1:16" x14ac:dyDescent="0.3">
      <c r="A453" t="s">
        <v>6</v>
      </c>
      <c r="B453" s="13">
        <v>3</v>
      </c>
      <c r="C453" s="5">
        <v>0</v>
      </c>
      <c r="D453" s="1">
        <v>12</v>
      </c>
      <c r="E453" s="1">
        <v>9</v>
      </c>
      <c r="F453" s="27">
        <v>549</v>
      </c>
      <c r="G453" s="6">
        <v>83</v>
      </c>
      <c r="H453" s="1">
        <f>SUM(C453:G453)</f>
        <v>653</v>
      </c>
      <c r="I453" s="10">
        <f>F453/H453</f>
        <v>0.84073506891271055</v>
      </c>
      <c r="J453" s="11">
        <f>1-I453</f>
        <v>0.15926493108728945</v>
      </c>
      <c r="K453">
        <f>H453-F455</f>
        <v>51</v>
      </c>
      <c r="N453" s="10">
        <f>2*(F456*I453)/(F456+I453)</f>
        <v>0.87490039840637446</v>
      </c>
      <c r="O453" s="1">
        <v>645</v>
      </c>
      <c r="P453" s="1">
        <v>18222</v>
      </c>
    </row>
    <row r="454" spans="1:16" x14ac:dyDescent="0.3">
      <c r="A454" t="s">
        <v>7</v>
      </c>
      <c r="B454" s="13">
        <v>4</v>
      </c>
      <c r="C454" s="7">
        <v>0</v>
      </c>
      <c r="D454" s="8">
        <v>1</v>
      </c>
      <c r="E454" s="8">
        <v>6</v>
      </c>
      <c r="F454" s="8">
        <v>36</v>
      </c>
      <c r="G454" s="28">
        <v>198</v>
      </c>
      <c r="H454" s="1">
        <f>SUM(C454:G454)</f>
        <v>241</v>
      </c>
      <c r="I454" s="10">
        <f>G454/H454</f>
        <v>0.82157676348547715</v>
      </c>
      <c r="J454" s="11">
        <f>1-I454</f>
        <v>0.17842323651452285</v>
      </c>
      <c r="K454">
        <f>H454-G455</f>
        <v>-59</v>
      </c>
      <c r="N454" s="10">
        <f>2*(G456*I454)/(G456+I454)</f>
        <v>0.73197781885397417</v>
      </c>
      <c r="O454" s="1">
        <v>265</v>
      </c>
      <c r="P454" s="1">
        <v>14422</v>
      </c>
    </row>
    <row r="455" spans="1:16" ht="15.6" x14ac:dyDescent="0.35">
      <c r="B455" s="1" t="s">
        <v>19</v>
      </c>
      <c r="C455" s="1">
        <f>SUM(C450:C454)</f>
        <v>56</v>
      </c>
      <c r="D455" s="1">
        <f>SUM(D450:D454)</f>
        <v>143</v>
      </c>
      <c r="E455" s="1">
        <f>SUM(E450:E454)</f>
        <v>1749</v>
      </c>
      <c r="F455" s="1">
        <f>SUM(F450:F454)</f>
        <v>602</v>
      </c>
      <c r="G455" s="1">
        <f>SUM(G450:G454)</f>
        <v>300</v>
      </c>
      <c r="H455" s="1">
        <f>SUM(H449:H454)</f>
        <v>2850</v>
      </c>
      <c r="I455" s="13" t="s">
        <v>12</v>
      </c>
      <c r="N455" s="16" t="s">
        <v>36</v>
      </c>
      <c r="O455" s="1">
        <f>SUM(O450:O454)</f>
        <v>1852</v>
      </c>
      <c r="P455" s="1">
        <f>SUM(P450:P454)</f>
        <v>43225</v>
      </c>
    </row>
    <row r="456" spans="1:16" x14ac:dyDescent="0.3">
      <c r="A456" s="1" t="s">
        <v>57</v>
      </c>
      <c r="B456" s="1" t="s">
        <v>2</v>
      </c>
      <c r="C456" s="10">
        <f>C450/C455</f>
        <v>1</v>
      </c>
      <c r="D456" s="10">
        <f>D451/D455</f>
        <v>0.61538461538461542</v>
      </c>
      <c r="E456" s="10">
        <f>E452/E455</f>
        <v>0.98913664951400804</v>
      </c>
      <c r="F456" s="10">
        <f>F453/F455</f>
        <v>0.91196013289036548</v>
      </c>
      <c r="G456" s="10">
        <f>G454/G455</f>
        <v>0.66</v>
      </c>
      <c r="H456" s="10"/>
      <c r="I456" s="14">
        <f>(C450+D451+E452+F453+G454)/H455</f>
        <v>0.91964912280701749</v>
      </c>
    </row>
    <row r="457" spans="1:16" x14ac:dyDescent="0.3">
      <c r="B457" s="1" t="s">
        <v>14</v>
      </c>
      <c r="C457" s="11">
        <f>1-C456</f>
        <v>0</v>
      </c>
      <c r="D457" s="11">
        <f>1-D456</f>
        <v>0.38461538461538458</v>
      </c>
      <c r="E457" s="11">
        <f>1-E456</f>
        <v>1.0863350485991963E-2</v>
      </c>
      <c r="F457" s="11">
        <f>1-F456</f>
        <v>8.8039867109634518E-2</v>
      </c>
      <c r="G457" s="11">
        <f>1-G456</f>
        <v>0.33999999999999997</v>
      </c>
    </row>
    <row r="458" spans="1:16" x14ac:dyDescent="0.3">
      <c r="C458" s="2"/>
    </row>
    <row r="459" spans="1:16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</row>
    <row r="460" spans="1:16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16" x14ac:dyDescent="0.3">
      <c r="A461" t="s">
        <v>3</v>
      </c>
      <c r="B461" s="13">
        <v>0</v>
      </c>
      <c r="C461" s="29">
        <f t="shared" ref="C461:G465" si="66">(C450/$L461)*$O461</f>
        <v>1.5495452930022449</v>
      </c>
      <c r="D461" s="31">
        <f t="shared" si="66"/>
        <v>0</v>
      </c>
      <c r="E461" s="31">
        <f t="shared" si="66"/>
        <v>0</v>
      </c>
      <c r="F461" s="31">
        <f t="shared" si="66"/>
        <v>0</v>
      </c>
      <c r="G461" s="32">
        <f t="shared" si="66"/>
        <v>0</v>
      </c>
      <c r="H461" s="17">
        <f>SUM(C461:G461)</f>
        <v>1.5495452930022449</v>
      </c>
      <c r="I461" s="17">
        <f>C461/H461*100</f>
        <v>100</v>
      </c>
      <c r="J461" s="17">
        <f>SQRT(I461*(100-I461)/(L461-1))</f>
        <v>0</v>
      </c>
      <c r="K461" s="18">
        <f>100-I461</f>
        <v>0</v>
      </c>
      <c r="L461" s="1">
        <f>H450</f>
        <v>56</v>
      </c>
      <c r="M461">
        <v>0</v>
      </c>
      <c r="N461">
        <v>2987.08</v>
      </c>
      <c r="O461" s="17">
        <f>N461/N466*100</f>
        <v>1.5495452930022449</v>
      </c>
      <c r="P461" s="52">
        <f>((O461*O461*(I461/100)*(K461/100))/(L461-1))</f>
        <v>0</v>
      </c>
    </row>
    <row r="462" spans="1:16" x14ac:dyDescent="0.3">
      <c r="A462" t="s">
        <v>4</v>
      </c>
      <c r="B462" s="13">
        <v>1</v>
      </c>
      <c r="C462" s="33">
        <f t="shared" si="66"/>
        <v>0</v>
      </c>
      <c r="D462" s="34">
        <f t="shared" si="66"/>
        <v>8.078995178873706</v>
      </c>
      <c r="E462" s="19">
        <f t="shared" si="66"/>
        <v>0.36722705358516844</v>
      </c>
      <c r="F462" s="18">
        <f t="shared" si="66"/>
        <v>0</v>
      </c>
      <c r="G462" s="20">
        <f t="shared" si="66"/>
        <v>0</v>
      </c>
      <c r="H462" s="17">
        <f>SUM(C462:G462)</f>
        <v>8.446222232458874</v>
      </c>
      <c r="I462" s="17">
        <f>D462/H462*100</f>
        <v>95.652173913043484</v>
      </c>
      <c r="J462" s="17">
        <f>SQRT(I462*(100-I462)/(L462-1))</f>
        <v>2.1377790082367012</v>
      </c>
      <c r="K462" s="18">
        <f>100-I462</f>
        <v>4.3478260869565162</v>
      </c>
      <c r="L462" s="1">
        <f>H451</f>
        <v>92</v>
      </c>
      <c r="M462">
        <v>1</v>
      </c>
      <c r="N462">
        <v>16281.9</v>
      </c>
      <c r="O462" s="17">
        <f>N462/N466*100</f>
        <v>8.446222232458874</v>
      </c>
      <c r="P462" s="52">
        <f>((O462*O462*(I462/100)*(K462/100))/(L462-1))</f>
        <v>3.2602479071061188E-2</v>
      </c>
    </row>
    <row r="463" spans="1:16" x14ac:dyDescent="0.3">
      <c r="A463" t="s">
        <v>5</v>
      </c>
      <c r="B463" s="13">
        <v>2</v>
      </c>
      <c r="C463" s="33">
        <f t="shared" si="66"/>
        <v>0</v>
      </c>
      <c r="D463" s="19">
        <f t="shared" si="66"/>
        <v>1.0116409463869573</v>
      </c>
      <c r="E463" s="34">
        <f t="shared" si="66"/>
        <v>41.669972315462758</v>
      </c>
      <c r="F463" s="19">
        <f t="shared" si="66"/>
        <v>0.4094737163947208</v>
      </c>
      <c r="G463" s="20">
        <f t="shared" si="66"/>
        <v>0.45764709479409971</v>
      </c>
      <c r="H463" s="17">
        <f>SUM(C463:G463)</f>
        <v>43.548734073038531</v>
      </c>
      <c r="I463" s="17">
        <f>E463/H463*100</f>
        <v>95.685840707964616</v>
      </c>
      <c r="J463" s="17">
        <f>SQRT(I463*(100-I463)/(L463-1))</f>
        <v>0.4779614285438693</v>
      </c>
      <c r="K463" s="18">
        <f>100-I463</f>
        <v>4.3141592920353844</v>
      </c>
      <c r="L463" s="1">
        <f>H452</f>
        <v>1808</v>
      </c>
      <c r="M463">
        <v>2</v>
      </c>
      <c r="N463">
        <v>83949.5</v>
      </c>
      <c r="O463" s="17">
        <f>N463/N466*100</f>
        <v>43.548734073038538</v>
      </c>
      <c r="P463" s="52">
        <f>((O463*O463*(I463/100)*(K463/100))/(L463-1))</f>
        <v>4.3324820379376079E-2</v>
      </c>
    </row>
    <row r="464" spans="1:16" x14ac:dyDescent="0.3">
      <c r="A464" t="s">
        <v>6</v>
      </c>
      <c r="B464" s="13">
        <v>3</v>
      </c>
      <c r="C464" s="33">
        <f t="shared" si="66"/>
        <v>0</v>
      </c>
      <c r="D464" s="19">
        <f t="shared" si="66"/>
        <v>0.5473182914233653</v>
      </c>
      <c r="E464" s="19">
        <f t="shared" si="66"/>
        <v>0.41048871856752395</v>
      </c>
      <c r="F464" s="34">
        <f t="shared" si="66"/>
        <v>25.039811832618959</v>
      </c>
      <c r="G464" s="20">
        <f t="shared" si="66"/>
        <v>3.7856181823449431</v>
      </c>
      <c r="H464" s="17">
        <f>SUM(C464:G464)</f>
        <v>29.783237024954794</v>
      </c>
      <c r="I464" s="17">
        <f>F464/H464*100</f>
        <v>84.073506891271037</v>
      </c>
      <c r="J464" s="17">
        <f>SQRT(I464*(100-I464)/(L464-1))</f>
        <v>1.4330649123975323</v>
      </c>
      <c r="K464" s="18">
        <f>100-I464</f>
        <v>15.926493108728963</v>
      </c>
      <c r="L464" s="1">
        <f>H453</f>
        <v>653</v>
      </c>
      <c r="M464">
        <v>3</v>
      </c>
      <c r="N464">
        <v>57413.56</v>
      </c>
      <c r="O464" s="17">
        <f>N464/N466*100</f>
        <v>29.783237024954794</v>
      </c>
      <c r="P464" s="52">
        <f>((O464*O464*(I464/100)*(K464/100))/(L464-1))</f>
        <v>0.18216943904630942</v>
      </c>
    </row>
    <row r="465" spans="1:16" x14ac:dyDescent="0.3">
      <c r="A465" t="s">
        <v>7</v>
      </c>
      <c r="B465" s="13">
        <v>4</v>
      </c>
      <c r="C465" s="35">
        <f t="shared" si="66"/>
        <v>0</v>
      </c>
      <c r="D465" s="36">
        <f t="shared" si="66"/>
        <v>6.9179507786496078E-2</v>
      </c>
      <c r="E465" s="21">
        <f t="shared" si="66"/>
        <v>0.41507704671897649</v>
      </c>
      <c r="F465" s="21">
        <f t="shared" si="66"/>
        <v>2.4904622803138592</v>
      </c>
      <c r="G465" s="37">
        <f t="shared" si="66"/>
        <v>13.697542541726223</v>
      </c>
      <c r="H465" s="17">
        <f>SUM(C465:G465)</f>
        <v>16.672261376545556</v>
      </c>
      <c r="I465" s="17">
        <f>G465/H465*100</f>
        <v>82.15767634854771</v>
      </c>
      <c r="J465" s="17">
        <f>SQRT(I465*(100-I465)/(L465-1))</f>
        <v>2.4714063572708076</v>
      </c>
      <c r="K465" s="18">
        <f>100-I465</f>
        <v>17.84232365145229</v>
      </c>
      <c r="L465" s="1">
        <f>H454</f>
        <v>241</v>
      </c>
      <c r="M465">
        <v>4</v>
      </c>
      <c r="N465">
        <v>32139.35</v>
      </c>
      <c r="O465" s="17">
        <f>N465/N466*100</f>
        <v>16.672261376545556</v>
      </c>
      <c r="P465" s="52">
        <f>((O465*O465*(I465/100)*(K465/100))/(L465-1))</f>
        <v>0.16977640745671699</v>
      </c>
    </row>
    <row r="466" spans="1:16" x14ac:dyDescent="0.3">
      <c r="B466" t="s">
        <v>28</v>
      </c>
      <c r="C466" s="17">
        <f t="shared" ref="C466:H466" si="67">SUM(C461:C465)</f>
        <v>1.5495452930022449</v>
      </c>
      <c r="D466" s="17">
        <f t="shared" si="67"/>
        <v>9.7071339244705257</v>
      </c>
      <c r="E466" s="17">
        <f t="shared" si="67"/>
        <v>42.862765134334424</v>
      </c>
      <c r="F466" s="17">
        <f t="shared" si="67"/>
        <v>27.939747829327541</v>
      </c>
      <c r="G466" s="17">
        <f t="shared" si="67"/>
        <v>17.940807818865267</v>
      </c>
      <c r="H466" s="18">
        <f t="shared" si="67"/>
        <v>100</v>
      </c>
      <c r="I466" s="13" t="s">
        <v>24</v>
      </c>
      <c r="J466" s="12" t="s">
        <v>29</v>
      </c>
      <c r="N466" s="1">
        <f>SUM(N461:N465)</f>
        <v>192771.38999999998</v>
      </c>
      <c r="O466" s="17">
        <f>SUM(O461:O465)</f>
        <v>100</v>
      </c>
    </row>
    <row r="467" spans="1:16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0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0.29209493541959247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0.34930385965598892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0.581561209375411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0.57506047830092788</v>
      </c>
      <c r="H467" s="1"/>
      <c r="I467" s="14">
        <f>(C461+D462+E463+F464+G465)/H466</f>
        <v>0.9003586716168388</v>
      </c>
      <c r="J467" s="53">
        <f>SQRT(SUM(P461:P465))/100</f>
        <v>6.5412013113300806E-3</v>
      </c>
      <c r="M467" s="1"/>
      <c r="N467" s="9"/>
    </row>
    <row r="468" spans="1:16" x14ac:dyDescent="0.3">
      <c r="B468" s="1" t="s">
        <v>30</v>
      </c>
      <c r="C468" s="17">
        <f>C461/C466*100</f>
        <v>100</v>
      </c>
      <c r="D468" s="17">
        <f>D462/D466*100</f>
        <v>83.227399989893243</v>
      </c>
      <c r="E468" s="17">
        <f>E463/E466*100</f>
        <v>97.217181824053156</v>
      </c>
      <c r="F468" s="17">
        <f>F464/F466*100</f>
        <v>89.620751001680105</v>
      </c>
      <c r="G468" s="17">
        <f>G465/G466*100</f>
        <v>76.348527223634093</v>
      </c>
      <c r="H468" s="1"/>
    </row>
    <row r="469" spans="1:16" x14ac:dyDescent="0.3">
      <c r="B469" s="16" t="s">
        <v>39</v>
      </c>
      <c r="C469" s="18">
        <f>SQRT((C472+C473)/(C466*C466))</f>
        <v>0</v>
      </c>
      <c r="D469" s="18">
        <f>SQRT((D472+D473)/(D466*D466))</f>
        <v>3.693238489940788</v>
      </c>
      <c r="E469" s="18">
        <f>SQRT((E472+E473)/(E466*E466))</f>
        <v>0.65249523672746412</v>
      </c>
      <c r="F469" s="18">
        <f>SQRT((F472+F473)/(F466*F466))</f>
        <v>2.0319265268152771</v>
      </c>
      <c r="G469" s="18">
        <f>SQRT((G472+G473)/(G466*G466))</f>
        <v>5.6953693742455158</v>
      </c>
      <c r="H469" s="1"/>
      <c r="I469" s="14"/>
    </row>
    <row r="470" spans="1:16" x14ac:dyDescent="0.3">
      <c r="B470" s="1" t="s">
        <v>37</v>
      </c>
      <c r="C470" s="18">
        <f>100-C468</f>
        <v>0</v>
      </c>
      <c r="D470" s="18">
        <f>100-D468</f>
        <v>16.772600010106757</v>
      </c>
      <c r="E470" s="18">
        <f>100-E468</f>
        <v>2.7828181759468436</v>
      </c>
      <c r="F470" s="18">
        <f>100-F468</f>
        <v>10.379248998319895</v>
      </c>
      <c r="G470" s="18">
        <f>100-G468</f>
        <v>23.651472776365907</v>
      </c>
    </row>
    <row r="471" spans="1:16" ht="15.6" x14ac:dyDescent="0.35">
      <c r="B471" s="1" t="s">
        <v>25</v>
      </c>
      <c r="C471" s="1">
        <f>C455</f>
        <v>56</v>
      </c>
      <c r="D471" s="1">
        <f>D455</f>
        <v>143</v>
      </c>
      <c r="E471" s="1">
        <f>E455</f>
        <v>1749</v>
      </c>
      <c r="F471" s="1">
        <f>F455</f>
        <v>602</v>
      </c>
      <c r="G471" s="1">
        <f>G455</f>
        <v>300</v>
      </c>
    </row>
    <row r="472" spans="1:16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917.17330343748381</v>
      </c>
      <c r="E472" s="18">
        <f>(O463*O463*(100-E468)*(100-E468)*(I463)*(100-I463))/((L463-1)*100)</f>
        <v>33.551074504552609</v>
      </c>
      <c r="F472" s="18">
        <f>(O464*O464*(100-F468)*(100-F468)*(I464)*(100-I464))/((L464-1)*100)</f>
        <v>1962.4896844767995</v>
      </c>
      <c r="G472" s="18">
        <f>(O465*O465*(100-G468)*(100-G468)*(I465)*(100-I465))/((L465-1)*100)</f>
        <v>9497.1592046748992</v>
      </c>
    </row>
    <row r="473" spans="1:16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368.10373480427063</v>
      </c>
      <c r="E473" s="18">
        <f>E468*E468*(SUM((H461*E461*(1-E450/H450))/(H450-1),(H462*E462*(1-E451/H451))/(H451-1), (H464*E464*(1-E453/H453))/(H453-1),(H465*E465*(1-E454/H454))/(H454-1)))</f>
        <v>748.64397020737522</v>
      </c>
      <c r="F473" s="18">
        <f>F468*F468*(SUM((H461*F461*(1-F450/H450))/(H450-1),(H462*F462*(1-F451/H451))/(H451-1), (H463*F463*(1-F452/H452))/(H452-1),(H465*F465*(1-F454/H454))/(H454-1)))</f>
        <v>1260.5152044561078</v>
      </c>
      <c r="G473" s="18">
        <f>G468*G468*(SUM((H461*G461*(1-G450/H450))/(H450-1),(H462*G462*(1-G451/H451))/(H451-1), (H463*G463*(1-G452/H452))/(H452-1),(H464*G464*(1-G453/H453))/(H453-1)))</f>
        <v>943.49661517384072</v>
      </c>
    </row>
    <row r="474" spans="1:16" x14ac:dyDescent="0.3">
      <c r="A474" s="105" t="s">
        <v>390</v>
      </c>
      <c r="B474" s="69" t="s">
        <v>9</v>
      </c>
      <c r="C474" s="1">
        <v>270.08999999999997</v>
      </c>
      <c r="D474" s="1">
        <v>946.4</v>
      </c>
      <c r="E474" s="1">
        <v>13859.55</v>
      </c>
      <c r="F474" s="1">
        <v>3682.85</v>
      </c>
      <c r="G474">
        <v>3296.47</v>
      </c>
      <c r="I474" t="s">
        <v>36</v>
      </c>
      <c r="J474" s="57">
        <f>SUM(C474:G474)</f>
        <v>22055.360000000001</v>
      </c>
    </row>
    <row r="475" spans="1:16" x14ac:dyDescent="0.3">
      <c r="B475" t="s">
        <v>391</v>
      </c>
      <c r="C475" s="57">
        <f>(C474/$J474)*100</f>
        <v>1.2246002785717394</v>
      </c>
      <c r="D475" s="57">
        <f>(D474/$J474)*100</f>
        <v>4.2910204140852839</v>
      </c>
      <c r="E475" s="57">
        <f>(E474/$J474)*100</f>
        <v>62.839826690654789</v>
      </c>
      <c r="F475" s="57">
        <f>(F474/$J474)*100</f>
        <v>16.698208508045209</v>
      </c>
      <c r="G475" s="57">
        <f>(G474/$J474)*100</f>
        <v>14.946344108642979</v>
      </c>
    </row>
    <row r="476" spans="1:16" x14ac:dyDescent="0.3">
      <c r="A476" s="361">
        <v>1977</v>
      </c>
      <c r="B476" s="361"/>
      <c r="C476" s="361"/>
      <c r="D476" s="361"/>
      <c r="E476" s="361"/>
      <c r="F476" s="361"/>
      <c r="G476" s="361"/>
      <c r="H476" s="361"/>
      <c r="I476" s="361"/>
      <c r="J476" s="361"/>
      <c r="K476" s="361"/>
      <c r="L476" s="361" t="s">
        <v>94</v>
      </c>
      <c r="M476" s="361"/>
      <c r="N476" s="361"/>
      <c r="O476" s="361"/>
      <c r="P476" s="361"/>
    </row>
    <row r="477" spans="1:16" x14ac:dyDescent="0.3">
      <c r="A477" t="s">
        <v>15</v>
      </c>
      <c r="B477" t="s">
        <v>21</v>
      </c>
      <c r="I477" s="1" t="s">
        <v>58</v>
      </c>
      <c r="O477" s="360" t="s">
        <v>411</v>
      </c>
      <c r="P477" s="360"/>
    </row>
    <row r="478" spans="1:16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56</v>
      </c>
      <c r="O478" s="13" t="s">
        <v>412</v>
      </c>
      <c r="P478" s="13" t="s">
        <v>41</v>
      </c>
    </row>
    <row r="479" spans="1:16" x14ac:dyDescent="0.3">
      <c r="A479" t="s">
        <v>3</v>
      </c>
      <c r="B479" s="13">
        <v>0</v>
      </c>
      <c r="C479" s="26">
        <v>56</v>
      </c>
      <c r="D479" s="3">
        <v>0</v>
      </c>
      <c r="E479" s="3">
        <v>0</v>
      </c>
      <c r="F479" s="3">
        <v>0</v>
      </c>
      <c r="G479" s="4">
        <v>0</v>
      </c>
      <c r="H479" s="1">
        <f>SUM(C479:G479)</f>
        <v>56</v>
      </c>
      <c r="I479" s="10">
        <f>C479/H479</f>
        <v>1</v>
      </c>
      <c r="J479" s="11">
        <f>1-I479</f>
        <v>0</v>
      </c>
      <c r="K479">
        <f>H479-C484</f>
        <v>0</v>
      </c>
      <c r="N479" s="10">
        <f>2*(C485*I479)/(C485+I479)</f>
        <v>1</v>
      </c>
      <c r="O479" s="1">
        <v>0</v>
      </c>
      <c r="P479" s="1">
        <v>248</v>
      </c>
    </row>
    <row r="480" spans="1:16" x14ac:dyDescent="0.3">
      <c r="A480" t="s">
        <v>4</v>
      </c>
      <c r="B480" s="13">
        <v>1</v>
      </c>
      <c r="C480" s="5">
        <v>0</v>
      </c>
      <c r="D480" s="27">
        <v>87</v>
      </c>
      <c r="E480" s="1">
        <v>5</v>
      </c>
      <c r="F480" s="1">
        <v>0</v>
      </c>
      <c r="G480" s="6">
        <v>0</v>
      </c>
      <c r="H480" s="1">
        <f>SUM(C480:G480)</f>
        <v>92</v>
      </c>
      <c r="I480" s="10">
        <f>D480/H480</f>
        <v>0.94565217391304346</v>
      </c>
      <c r="J480" s="11">
        <f>1-I480</f>
        <v>5.4347826086956541E-2</v>
      </c>
      <c r="K480">
        <f>H480-D484</f>
        <v>-50</v>
      </c>
      <c r="N480" s="10">
        <f>2*(D485*I480)/(D485+I480)</f>
        <v>0.74358974358974361</v>
      </c>
      <c r="O480" s="1">
        <v>4</v>
      </c>
      <c r="P480" s="1">
        <v>82</v>
      </c>
    </row>
    <row r="481" spans="1:16" x14ac:dyDescent="0.3">
      <c r="A481" t="s">
        <v>5</v>
      </c>
      <c r="B481" s="13">
        <v>2</v>
      </c>
      <c r="C481" s="5">
        <v>0</v>
      </c>
      <c r="D481" s="1">
        <v>44</v>
      </c>
      <c r="E481" s="27">
        <v>1722</v>
      </c>
      <c r="F481" s="1">
        <v>25</v>
      </c>
      <c r="G481" s="6">
        <v>17</v>
      </c>
      <c r="H481" s="1">
        <f>SUM(C481:G481)</f>
        <v>1808</v>
      </c>
      <c r="I481" s="10">
        <f>E481/H481</f>
        <v>0.95243362831858402</v>
      </c>
      <c r="J481" s="11">
        <f>1-I481</f>
        <v>4.7566371681415975E-2</v>
      </c>
      <c r="K481">
        <f>H481-E484</f>
        <v>68</v>
      </c>
      <c r="N481" s="10">
        <f>2*(E485*I481)/(E485+I481)</f>
        <v>0.97068771138669674</v>
      </c>
      <c r="O481" s="1">
        <v>902</v>
      </c>
      <c r="P481" s="1">
        <v>9750</v>
      </c>
    </row>
    <row r="482" spans="1:16" x14ac:dyDescent="0.3">
      <c r="A482" t="s">
        <v>6</v>
      </c>
      <c r="B482" s="13">
        <v>3</v>
      </c>
      <c r="C482" s="5">
        <v>0</v>
      </c>
      <c r="D482" s="1">
        <v>11</v>
      </c>
      <c r="E482" s="1">
        <v>7</v>
      </c>
      <c r="F482" s="27">
        <v>547</v>
      </c>
      <c r="G482" s="6">
        <v>88</v>
      </c>
      <c r="H482" s="1">
        <f>SUM(C482:G482)</f>
        <v>653</v>
      </c>
      <c r="I482" s="10">
        <f>F482/H482</f>
        <v>0.83767228177641651</v>
      </c>
      <c r="J482" s="11">
        <f>1-I482</f>
        <v>0.16232771822358349</v>
      </c>
      <c r="K482">
        <f>H482-F484</f>
        <v>44</v>
      </c>
      <c r="N482" s="10">
        <f>2*(F485*I482)/(F485+I482)</f>
        <v>0.86687797147385104</v>
      </c>
      <c r="O482" s="1">
        <v>675</v>
      </c>
      <c r="P482" s="1">
        <v>18575</v>
      </c>
    </row>
    <row r="483" spans="1:16" x14ac:dyDescent="0.3">
      <c r="A483" t="s">
        <v>7</v>
      </c>
      <c r="B483" s="13">
        <v>4</v>
      </c>
      <c r="C483" s="7">
        <v>0</v>
      </c>
      <c r="D483" s="8">
        <v>0</v>
      </c>
      <c r="E483" s="8">
        <v>6</v>
      </c>
      <c r="F483" s="8">
        <v>37</v>
      </c>
      <c r="G483" s="28">
        <v>198</v>
      </c>
      <c r="H483" s="1">
        <f>SUM(C483:G483)</f>
        <v>241</v>
      </c>
      <c r="I483" s="10">
        <f>G483/H483</f>
        <v>0.82157676348547715</v>
      </c>
      <c r="J483" s="11">
        <f>1-I483</f>
        <v>0.17842323651452285</v>
      </c>
      <c r="K483">
        <f>H483-G484</f>
        <v>-62</v>
      </c>
      <c r="N483" s="10">
        <f>2*(G485*I483)/(G485+I483)</f>
        <v>0.72794117647058831</v>
      </c>
      <c r="O483" s="1">
        <v>271</v>
      </c>
      <c r="P483" s="1">
        <v>14569</v>
      </c>
    </row>
    <row r="484" spans="1:16" ht="15.6" x14ac:dyDescent="0.35">
      <c r="B484" s="1" t="s">
        <v>19</v>
      </c>
      <c r="C484" s="1">
        <f>SUM(C479:C483)</f>
        <v>56</v>
      </c>
      <c r="D484" s="1">
        <f>SUM(D479:D483)</f>
        <v>142</v>
      </c>
      <c r="E484" s="1">
        <f>SUM(E479:E483)</f>
        <v>1740</v>
      </c>
      <c r="F484" s="1">
        <f>SUM(F479:F483)</f>
        <v>609</v>
      </c>
      <c r="G484" s="1">
        <f>SUM(G479:G483)</f>
        <v>303</v>
      </c>
      <c r="H484" s="1">
        <f>SUM(H478:H483)</f>
        <v>2850</v>
      </c>
      <c r="I484" s="13" t="s">
        <v>12</v>
      </c>
      <c r="N484" s="16" t="s">
        <v>36</v>
      </c>
      <c r="O484" s="1">
        <f>SUM(O479:O483)</f>
        <v>1852</v>
      </c>
      <c r="P484" s="1">
        <f>SUM(P479:P483)</f>
        <v>43224</v>
      </c>
    </row>
    <row r="485" spans="1:16" x14ac:dyDescent="0.3">
      <c r="A485" s="1" t="s">
        <v>57</v>
      </c>
      <c r="B485" s="1" t="s">
        <v>2</v>
      </c>
      <c r="C485" s="10">
        <f>C479/C484</f>
        <v>1</v>
      </c>
      <c r="D485" s="10">
        <f>D480/D484</f>
        <v>0.61267605633802813</v>
      </c>
      <c r="E485" s="10">
        <f>E481/E484</f>
        <v>0.98965517241379308</v>
      </c>
      <c r="F485" s="10">
        <f>F482/F484</f>
        <v>0.89819376026272579</v>
      </c>
      <c r="G485" s="10">
        <f>G483/G484</f>
        <v>0.65346534653465349</v>
      </c>
      <c r="H485" s="10"/>
      <c r="I485" s="14">
        <f>(C479+D480+E481+F482+G483)/H484</f>
        <v>0.91578947368421049</v>
      </c>
    </row>
    <row r="486" spans="1:16" x14ac:dyDescent="0.3">
      <c r="B486" s="1" t="s">
        <v>14</v>
      </c>
      <c r="C486" s="11">
        <f>1-C485</f>
        <v>0</v>
      </c>
      <c r="D486" s="11">
        <f>1-D485</f>
        <v>0.38732394366197187</v>
      </c>
      <c r="E486" s="11">
        <f>1-E485</f>
        <v>1.0344827586206917E-2</v>
      </c>
      <c r="F486" s="11">
        <f>1-F485</f>
        <v>0.10180623973727421</v>
      </c>
      <c r="G486" s="11">
        <f>1-G485</f>
        <v>0.34653465346534651</v>
      </c>
    </row>
    <row r="487" spans="1:16" x14ac:dyDescent="0.3">
      <c r="C487" s="2"/>
    </row>
    <row r="488" spans="1:16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16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</row>
    <row r="490" spans="1:16" x14ac:dyDescent="0.3">
      <c r="A490" t="s">
        <v>3</v>
      </c>
      <c r="B490" s="13">
        <v>0</v>
      </c>
      <c r="C490" s="29">
        <f t="shared" ref="C490:G494" si="68">(C479/$L490)*$O490</f>
        <v>1.5620627916861931</v>
      </c>
      <c r="D490" s="31">
        <f t="shared" si="68"/>
        <v>0</v>
      </c>
      <c r="E490" s="31">
        <f t="shared" si="68"/>
        <v>0</v>
      </c>
      <c r="F490" s="31">
        <f t="shared" si="68"/>
        <v>0</v>
      </c>
      <c r="G490" s="32">
        <f t="shared" si="68"/>
        <v>0</v>
      </c>
      <c r="H490" s="17">
        <f>SUM(C490:G490)</f>
        <v>1.5620627916861931</v>
      </c>
      <c r="I490" s="17">
        <f>C490/H490*100</f>
        <v>100</v>
      </c>
      <c r="J490" s="17">
        <f>SQRT(I490*(100-I490)/(L490-1))</f>
        <v>0</v>
      </c>
      <c r="K490" s="18">
        <f>100-I490</f>
        <v>0</v>
      </c>
      <c r="L490" s="1">
        <f>H479</f>
        <v>56</v>
      </c>
      <c r="M490">
        <v>0</v>
      </c>
      <c r="N490">
        <v>3011.21</v>
      </c>
      <c r="O490" s="17">
        <f>N490/N495*100</f>
        <v>1.5620627916861931</v>
      </c>
      <c r="P490" s="52">
        <f>((O490*O490*(I490/100)*(K490/100))/(L490-1))</f>
        <v>0</v>
      </c>
    </row>
    <row r="491" spans="1:16" x14ac:dyDescent="0.3">
      <c r="A491" t="s">
        <v>4</v>
      </c>
      <c r="B491" s="13">
        <v>1</v>
      </c>
      <c r="C491" s="33">
        <f t="shared" si="68"/>
        <v>0</v>
      </c>
      <c r="D491" s="34">
        <f t="shared" si="68"/>
        <v>8.1956654516372431</v>
      </c>
      <c r="E491" s="19">
        <f t="shared" si="68"/>
        <v>0.47101525584122089</v>
      </c>
      <c r="F491" s="18">
        <f t="shared" si="68"/>
        <v>0</v>
      </c>
      <c r="G491" s="20">
        <f t="shared" si="68"/>
        <v>0</v>
      </c>
      <c r="H491" s="17">
        <f>SUM(C491:G491)</f>
        <v>8.6666807074784646</v>
      </c>
      <c r="I491" s="17">
        <f>D491/H491*100</f>
        <v>94.565217391304344</v>
      </c>
      <c r="J491" s="17">
        <f>SQRT(I491*(100-I491)/(L491-1))</f>
        <v>2.3764906227132032</v>
      </c>
      <c r="K491" s="18">
        <f>100-I491</f>
        <v>5.4347826086956559</v>
      </c>
      <c r="L491" s="1">
        <f>H480</f>
        <v>92</v>
      </c>
      <c r="M491">
        <v>1</v>
      </c>
      <c r="N491">
        <v>16706.88</v>
      </c>
      <c r="O491" s="17">
        <f>N491/N495*100</f>
        <v>8.6666807074784646</v>
      </c>
      <c r="P491" s="52">
        <f>((O491*O491*(I491/100)*(K491/100))/(L491-1))</f>
        <v>4.2420697357054664E-2</v>
      </c>
    </row>
    <row r="492" spans="1:16" x14ac:dyDescent="0.3">
      <c r="A492" t="s">
        <v>5</v>
      </c>
      <c r="B492" s="13">
        <v>2</v>
      </c>
      <c r="C492" s="33">
        <f t="shared" si="68"/>
        <v>0</v>
      </c>
      <c r="D492" s="19">
        <f t="shared" si="68"/>
        <v>1.0320373568250933</v>
      </c>
      <c r="E492" s="34">
        <f t="shared" si="68"/>
        <v>40.390189283018422</v>
      </c>
      <c r="F492" s="19">
        <f t="shared" si="68"/>
        <v>0.58638486183243943</v>
      </c>
      <c r="G492" s="20">
        <f t="shared" si="68"/>
        <v>0.39874170604605885</v>
      </c>
      <c r="H492" s="17">
        <f>SUM(C492:G492)</f>
        <v>42.407353207722018</v>
      </c>
      <c r="I492" s="17">
        <f>E492/H492*100</f>
        <v>95.243362831858406</v>
      </c>
      <c r="J492" s="17">
        <f>SQRT(I492*(100-I492)/(L492-1))</f>
        <v>0.50071234241046703</v>
      </c>
      <c r="K492" s="18">
        <f>100-I492</f>
        <v>4.7566371681415944</v>
      </c>
      <c r="L492" s="1">
        <f>H481</f>
        <v>1808</v>
      </c>
      <c r="M492">
        <v>2</v>
      </c>
      <c r="N492">
        <v>81749.240000000005</v>
      </c>
      <c r="O492" s="17">
        <f>N492/N495*100</f>
        <v>42.407353207722018</v>
      </c>
      <c r="P492" s="52">
        <f>((O492*O492*(I492/100)*(K492/100))/(L492-1))</f>
        <v>4.5087787899089335E-2</v>
      </c>
    </row>
    <row r="493" spans="1:16" x14ac:dyDescent="0.3">
      <c r="A493" t="s">
        <v>6</v>
      </c>
      <c r="B493" s="13">
        <v>3</v>
      </c>
      <c r="C493" s="33">
        <f t="shared" si="68"/>
        <v>0</v>
      </c>
      <c r="D493" s="19">
        <f t="shared" si="68"/>
        <v>0.51899041877639318</v>
      </c>
      <c r="E493" s="19">
        <f t="shared" si="68"/>
        <v>0.33026663013043195</v>
      </c>
      <c r="F493" s="34">
        <f t="shared" si="68"/>
        <v>25.807978097335184</v>
      </c>
      <c r="G493" s="20">
        <f t="shared" si="68"/>
        <v>4.1519233502111454</v>
      </c>
      <c r="H493" s="17">
        <f>SUM(C493:G493)</f>
        <v>30.809158496453154</v>
      </c>
      <c r="I493" s="17">
        <f>F493/H493*100</f>
        <v>83.767228177641655</v>
      </c>
      <c r="J493" s="17">
        <f>SQRT(I493*(100-I493)/(L493-1))</f>
        <v>1.4441410619281831</v>
      </c>
      <c r="K493" s="18">
        <f>100-I493</f>
        <v>16.232771822358345</v>
      </c>
      <c r="L493" s="1">
        <f>H482</f>
        <v>653</v>
      </c>
      <c r="M493">
        <v>3</v>
      </c>
      <c r="N493">
        <v>59391.24</v>
      </c>
      <c r="O493" s="17">
        <f>N493/N495*100</f>
        <v>30.809158496453154</v>
      </c>
      <c r="P493" s="52">
        <f>((O493*O493*(I493/100)*(K493/100))/(L493-1))</f>
        <v>0.19796066595285056</v>
      </c>
    </row>
    <row r="494" spans="1:16" x14ac:dyDescent="0.3">
      <c r="A494" t="s">
        <v>7</v>
      </c>
      <c r="B494" s="13">
        <v>4</v>
      </c>
      <c r="C494" s="35">
        <f t="shared" si="68"/>
        <v>0</v>
      </c>
      <c r="D494" s="36">
        <f t="shared" si="68"/>
        <v>0</v>
      </c>
      <c r="E494" s="21">
        <f t="shared" si="68"/>
        <v>0.41215132273842736</v>
      </c>
      <c r="F494" s="21">
        <f t="shared" si="68"/>
        <v>2.5415998235536357</v>
      </c>
      <c r="G494" s="37">
        <f t="shared" si="68"/>
        <v>13.600993650368103</v>
      </c>
      <c r="H494" s="17">
        <f>SUM(C494:G494)</f>
        <v>16.554744796660167</v>
      </c>
      <c r="I494" s="17">
        <f>G494/H494*100</f>
        <v>82.15767634854771</v>
      </c>
      <c r="J494" s="17">
        <f>SQRT(I494*(100-I494)/(L494-1))</f>
        <v>2.4714063572708076</v>
      </c>
      <c r="K494" s="18">
        <f>100-I494</f>
        <v>17.84232365145229</v>
      </c>
      <c r="L494" s="1">
        <f>H483</f>
        <v>241</v>
      </c>
      <c r="M494">
        <v>4</v>
      </c>
      <c r="N494">
        <v>31912.81</v>
      </c>
      <c r="O494" s="17">
        <f>N494/N495*100</f>
        <v>16.554744796660167</v>
      </c>
      <c r="P494" s="52">
        <f>((O494*O494*(I494/100)*(K494/100))/(L494-1))</f>
        <v>0.16739146077285783</v>
      </c>
    </row>
    <row r="495" spans="1:16" x14ac:dyDescent="0.3">
      <c r="B495" t="s">
        <v>28</v>
      </c>
      <c r="C495" s="17">
        <f t="shared" ref="C495:H495" si="69">SUM(C490:C494)</f>
        <v>1.5620627916861931</v>
      </c>
      <c r="D495" s="17">
        <f t="shared" si="69"/>
        <v>9.7466932272387297</v>
      </c>
      <c r="E495" s="17">
        <f t="shared" si="69"/>
        <v>41.603622491728501</v>
      </c>
      <c r="F495" s="17">
        <f t="shared" si="69"/>
        <v>28.935962782721258</v>
      </c>
      <c r="G495" s="17">
        <f t="shared" si="69"/>
        <v>18.151658706625309</v>
      </c>
      <c r="H495" s="18">
        <f t="shared" si="69"/>
        <v>100</v>
      </c>
      <c r="I495" s="13" t="s">
        <v>24</v>
      </c>
      <c r="J495" s="12" t="s">
        <v>29</v>
      </c>
      <c r="N495" s="1">
        <f>SUM(N490:N494)</f>
        <v>192771.38</v>
      </c>
      <c r="O495" s="17">
        <f>SUM(O490:O494)</f>
        <v>100</v>
      </c>
    </row>
    <row r="496" spans="1:16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0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0.29941830036732509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0.36061656861658198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0.59916996603736683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0.58775368366535419</v>
      </c>
      <c r="H496" s="1"/>
      <c r="I496" s="14">
        <f>(C490+D491+E492+F493+G494)/H495</f>
        <v>0.89556889274045148</v>
      </c>
      <c r="J496" s="53">
        <f>SQRT(SUM(P490:P494))/100</f>
        <v>6.7294918974752649E-3</v>
      </c>
      <c r="M496" s="1"/>
      <c r="N496" s="9"/>
    </row>
    <row r="497" spans="1:16" x14ac:dyDescent="0.3">
      <c r="B497" s="1" t="s">
        <v>30</v>
      </c>
      <c r="C497" s="17">
        <f>C490/C495*100</f>
        <v>100</v>
      </c>
      <c r="D497" s="17">
        <f>D491/D495*100</f>
        <v>84.086625695093332</v>
      </c>
      <c r="E497" s="17">
        <f>E492/E495*100</f>
        <v>97.083347227873418</v>
      </c>
      <c r="F497" s="17">
        <f>F493/F495*100</f>
        <v>89.189975433428771</v>
      </c>
      <c r="G497" s="17">
        <f>G494/G495*100</f>
        <v>74.929756394129285</v>
      </c>
      <c r="H497" s="1"/>
    </row>
    <row r="498" spans="1:16" x14ac:dyDescent="0.3">
      <c r="B498" s="16" t="s">
        <v>39</v>
      </c>
      <c r="C498" s="18">
        <f>SQRT((C501+C502)/(C495*C495))</f>
        <v>0</v>
      </c>
      <c r="D498" s="18">
        <f>SQRT((D501+D502)/(D495*D495))</f>
        <v>3.8550479770139776</v>
      </c>
      <c r="E498" s="18">
        <f>SQRT((E501+E502)/(E495*E495))</f>
        <v>0.69869952492900067</v>
      </c>
      <c r="F498" s="18">
        <f>SQRT((F501+F502)/(F495*F495))</f>
        <v>2.0740488444083298</v>
      </c>
      <c r="G498" s="18">
        <f>SQRT((G501+G502)/(G495*G495))</f>
        <v>5.9145562974486836</v>
      </c>
      <c r="H498" s="1"/>
      <c r="I498" s="14"/>
    </row>
    <row r="499" spans="1:16" x14ac:dyDescent="0.3">
      <c r="B499" s="1" t="s">
        <v>37</v>
      </c>
      <c r="C499" s="18">
        <f>100-C497</f>
        <v>0</v>
      </c>
      <c r="D499" s="18">
        <f>100-D497</f>
        <v>15.913374304906668</v>
      </c>
      <c r="E499" s="18">
        <f>100-E497</f>
        <v>2.9166527721265822</v>
      </c>
      <c r="F499" s="18">
        <f>100-F497</f>
        <v>10.810024566571229</v>
      </c>
      <c r="G499" s="18">
        <f>100-G497</f>
        <v>25.070243605870715</v>
      </c>
    </row>
    <row r="500" spans="1:16" ht="15.6" x14ac:dyDescent="0.35">
      <c r="B500" s="1" t="s">
        <v>25</v>
      </c>
      <c r="C500" s="1">
        <f>C484</f>
        <v>56</v>
      </c>
      <c r="D500" s="1">
        <f>D484</f>
        <v>142</v>
      </c>
      <c r="E500" s="1">
        <f>E484</f>
        <v>1740</v>
      </c>
      <c r="F500" s="1">
        <f>F484</f>
        <v>609</v>
      </c>
      <c r="G500" s="1">
        <f>G484</f>
        <v>303</v>
      </c>
    </row>
    <row r="501" spans="1:16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1074.2425732150966</v>
      </c>
      <c r="E501" s="18">
        <f>(O492*O492*(100-E497)*(100-E497)*(I492)*(100-I492))/((L492-1)*100)</f>
        <v>38.355565235704042</v>
      </c>
      <c r="F501" s="18">
        <f>(O493*O493*(100-F497)*(100-F497)*(I493)*(100-I493))/((L493-1)*100)</f>
        <v>2313.3016519476373</v>
      </c>
      <c r="G501" s="18">
        <f>(O494*O494*(100-G497)*(100-G497)*(I494)*(100-I494))/((L494-1)*100)</f>
        <v>10520.839790981612</v>
      </c>
    </row>
    <row r="502" spans="1:16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337.56064896521019</v>
      </c>
      <c r="E502" s="18">
        <f>E497*E497*(SUM((H490*E490*(1-E479/H479))/(H479-1),(H491*E491*(1-E480/H480))/(H480-1), (H493*E493*(1-E482/H482))/(H482-1),(H494*E494*(1-E483/H483))/(H483-1)))</f>
        <v>806.61813128022925</v>
      </c>
      <c r="F502" s="18">
        <f>F497*F497*(SUM((H490*F490*(1-F479/H479))/(H479-1),(H491*F491*(1-F480/H480))/(H480-1), (H492*F492*(1-F481/H481))/(H481-1),(H494*F494*(1-F483/H483))/(H483-1)))</f>
        <v>1288.450581778822</v>
      </c>
      <c r="G502" s="18">
        <f>G497*G497*(SUM((H490*G490*(1-G479/H479))/(H479-1),(H491*G491*(1-G480/H480))/(H480-1), (H492*G492*(1-G481/H481))/(H481-1),(H493*G493*(1-G482/H482))/(H482-1)))</f>
        <v>1005.1166601244799</v>
      </c>
    </row>
    <row r="503" spans="1:16" x14ac:dyDescent="0.3">
      <c r="A503" s="105" t="s">
        <v>390</v>
      </c>
      <c r="B503" s="69" t="s">
        <v>9</v>
      </c>
      <c r="C503" s="1">
        <v>268.64999999999998</v>
      </c>
      <c r="D503" s="1">
        <v>964.76</v>
      </c>
      <c r="E503" s="1">
        <v>13530.05</v>
      </c>
      <c r="F503" s="1">
        <v>3983.54</v>
      </c>
      <c r="G503">
        <v>3308.35</v>
      </c>
      <c r="I503" t="s">
        <v>36</v>
      </c>
      <c r="J503" s="57">
        <f>SUM(C503:G503)</f>
        <v>22055.35</v>
      </c>
    </row>
    <row r="504" spans="1:16" x14ac:dyDescent="0.3">
      <c r="B504" t="s">
        <v>391</v>
      </c>
      <c r="C504" s="57">
        <f>(C503/$J503)*100</f>
        <v>1.2180718057070055</v>
      </c>
      <c r="D504" s="57">
        <f>(D503/$J503)*100</f>
        <v>4.3742674679839588</v>
      </c>
      <c r="E504" s="57">
        <f>(E503/$J503)*100</f>
        <v>61.34588659894311</v>
      </c>
      <c r="F504" s="57">
        <f>(F503/$J503)*100</f>
        <v>18.061558760119429</v>
      </c>
      <c r="G504" s="57">
        <f>(G503/$J503)*100</f>
        <v>15.000215367246497</v>
      </c>
    </row>
    <row r="505" spans="1:16" x14ac:dyDescent="0.3">
      <c r="A505" s="361">
        <v>1977</v>
      </c>
      <c r="B505" s="361"/>
      <c r="C505" s="361"/>
      <c r="D505" s="361"/>
      <c r="E505" s="361"/>
      <c r="F505" s="361"/>
      <c r="G505" s="361"/>
      <c r="H505" s="361"/>
      <c r="I505" s="361"/>
      <c r="J505" s="361"/>
      <c r="K505" s="361"/>
      <c r="L505" s="361" t="s">
        <v>95</v>
      </c>
      <c r="M505" s="361"/>
      <c r="N505" s="361"/>
      <c r="O505" s="361"/>
      <c r="P505" s="361"/>
    </row>
    <row r="506" spans="1:16" x14ac:dyDescent="0.3">
      <c r="A506" t="s">
        <v>15</v>
      </c>
      <c r="B506" t="s">
        <v>21</v>
      </c>
      <c r="I506" s="1" t="s">
        <v>58</v>
      </c>
      <c r="O506" s="360" t="s">
        <v>411</v>
      </c>
      <c r="P506" s="360"/>
    </row>
    <row r="507" spans="1:16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56</v>
      </c>
      <c r="O507" s="13" t="s">
        <v>412</v>
      </c>
      <c r="P507" s="13" t="s">
        <v>41</v>
      </c>
    </row>
    <row r="508" spans="1:16" x14ac:dyDescent="0.3">
      <c r="A508" t="s">
        <v>3</v>
      </c>
      <c r="B508" s="13">
        <v>0</v>
      </c>
      <c r="C508" s="26">
        <v>56</v>
      </c>
      <c r="D508" s="3">
        <v>0</v>
      </c>
      <c r="E508" s="3">
        <v>0</v>
      </c>
      <c r="F508" s="3">
        <v>0</v>
      </c>
      <c r="G508" s="4">
        <v>0</v>
      </c>
      <c r="H508" s="1">
        <f>SUM(C508:G508)</f>
        <v>56</v>
      </c>
      <c r="I508" s="10">
        <f>C508/H508</f>
        <v>1</v>
      </c>
      <c r="J508" s="11">
        <f>1-I508</f>
        <v>0</v>
      </c>
      <c r="K508">
        <f>H508-C513</f>
        <v>0</v>
      </c>
      <c r="N508" s="10">
        <f>2*(C514*I508)/(C514+I508)</f>
        <v>1</v>
      </c>
      <c r="O508" s="1">
        <v>0</v>
      </c>
      <c r="P508" s="1">
        <v>245</v>
      </c>
    </row>
    <row r="509" spans="1:16" x14ac:dyDescent="0.3">
      <c r="A509" t="s">
        <v>4</v>
      </c>
      <c r="B509" s="13">
        <v>1</v>
      </c>
      <c r="C509" s="5">
        <v>0</v>
      </c>
      <c r="D509" s="27">
        <v>86</v>
      </c>
      <c r="E509" s="1">
        <v>6</v>
      </c>
      <c r="F509" s="1">
        <v>0</v>
      </c>
      <c r="G509" s="6">
        <v>0</v>
      </c>
      <c r="H509" s="1">
        <f>SUM(C509:G509)</f>
        <v>92</v>
      </c>
      <c r="I509" s="10">
        <f>D509/H509</f>
        <v>0.93478260869565222</v>
      </c>
      <c r="J509" s="11">
        <f>1-I509</f>
        <v>6.5217391304347783E-2</v>
      </c>
      <c r="K509">
        <f>H509-D513</f>
        <v>-41</v>
      </c>
      <c r="N509" s="10">
        <f>2*(D514*I509)/(D514+I509)</f>
        <v>0.76444444444444448</v>
      </c>
      <c r="O509" s="1">
        <v>5</v>
      </c>
      <c r="P509" s="1">
        <v>63</v>
      </c>
    </row>
    <row r="510" spans="1:16" x14ac:dyDescent="0.3">
      <c r="A510" t="s">
        <v>5</v>
      </c>
      <c r="B510" s="13">
        <v>2</v>
      </c>
      <c r="C510" s="5">
        <v>0</v>
      </c>
      <c r="D510" s="1">
        <v>35</v>
      </c>
      <c r="E510" s="27">
        <v>1729</v>
      </c>
      <c r="F510" s="1">
        <v>25</v>
      </c>
      <c r="G510" s="6">
        <v>19</v>
      </c>
      <c r="H510" s="1">
        <f>SUM(C510:G510)</f>
        <v>1808</v>
      </c>
      <c r="I510" s="10">
        <f>E510/H510</f>
        <v>0.95630530973451322</v>
      </c>
      <c r="J510" s="11">
        <f>1-I510</f>
        <v>4.369469026548678E-2</v>
      </c>
      <c r="K510">
        <f>H510-E513</f>
        <v>62</v>
      </c>
      <c r="N510" s="10">
        <f>2*(E514*I510)/(E514+I510)</f>
        <v>0.97298818232976925</v>
      </c>
      <c r="O510" s="1">
        <v>886</v>
      </c>
      <c r="P510" s="1">
        <v>9456</v>
      </c>
    </row>
    <row r="511" spans="1:16" x14ac:dyDescent="0.3">
      <c r="A511" t="s">
        <v>6</v>
      </c>
      <c r="B511" s="13">
        <v>3</v>
      </c>
      <c r="C511" s="5">
        <v>0</v>
      </c>
      <c r="D511" s="1">
        <v>12</v>
      </c>
      <c r="E511" s="1">
        <v>7</v>
      </c>
      <c r="F511" s="27">
        <v>551</v>
      </c>
      <c r="G511" s="6">
        <v>83</v>
      </c>
      <c r="H511" s="1">
        <f>SUM(C511:G511)</f>
        <v>653</v>
      </c>
      <c r="I511" s="10">
        <f>F511/H511</f>
        <v>0.84379785604900459</v>
      </c>
      <c r="J511" s="11">
        <f>1-I511</f>
        <v>0.15620214395099541</v>
      </c>
      <c r="K511">
        <f>H511-F513</f>
        <v>40</v>
      </c>
      <c r="N511" s="10">
        <f>2*(F514*I511)/(F514+I511)</f>
        <v>0.87045813586097953</v>
      </c>
      <c r="O511" s="1">
        <v>693</v>
      </c>
      <c r="P511" s="1">
        <v>18829</v>
      </c>
    </row>
    <row r="512" spans="1:16" x14ac:dyDescent="0.3">
      <c r="A512" t="s">
        <v>7</v>
      </c>
      <c r="B512" s="13">
        <v>4</v>
      </c>
      <c r="C512" s="7">
        <v>0</v>
      </c>
      <c r="D512" s="8">
        <v>0</v>
      </c>
      <c r="E512" s="8">
        <v>4</v>
      </c>
      <c r="F512" s="8">
        <v>37</v>
      </c>
      <c r="G512" s="28">
        <v>200</v>
      </c>
      <c r="H512" s="1">
        <f>SUM(C512:G512)</f>
        <v>241</v>
      </c>
      <c r="I512" s="10">
        <f>G512/H512</f>
        <v>0.82987551867219922</v>
      </c>
      <c r="J512" s="11">
        <f>1-I512</f>
        <v>0.17012448132780078</v>
      </c>
      <c r="K512">
        <f>H512-G513</f>
        <v>-61</v>
      </c>
      <c r="N512" s="10">
        <f>2*(G514*I512)/(G514+I512)</f>
        <v>0.73664825046040527</v>
      </c>
      <c r="O512" s="1">
        <v>267</v>
      </c>
      <c r="P512" s="1">
        <v>14631</v>
      </c>
    </row>
    <row r="513" spans="1:16" ht="15.6" x14ac:dyDescent="0.35">
      <c r="B513" s="1" t="s">
        <v>19</v>
      </c>
      <c r="C513" s="1">
        <f>SUM(C508:C512)</f>
        <v>56</v>
      </c>
      <c r="D513" s="1">
        <f>SUM(D508:D512)</f>
        <v>133</v>
      </c>
      <c r="E513" s="1">
        <f>SUM(E508:E512)</f>
        <v>1746</v>
      </c>
      <c r="F513" s="1">
        <f>SUM(F508:F512)</f>
        <v>613</v>
      </c>
      <c r="G513" s="1">
        <f>SUM(G508:G512)</f>
        <v>302</v>
      </c>
      <c r="H513" s="1">
        <f>SUM(H507:H512)</f>
        <v>2850</v>
      </c>
      <c r="I513" s="13" t="s">
        <v>12</v>
      </c>
      <c r="N513" s="16" t="s">
        <v>36</v>
      </c>
      <c r="O513" s="1">
        <f>SUM(O508:O512)</f>
        <v>1851</v>
      </c>
      <c r="P513" s="1">
        <f>SUM(P508:P512)</f>
        <v>43224</v>
      </c>
    </row>
    <row r="514" spans="1:16" x14ac:dyDescent="0.3">
      <c r="A514" s="1" t="s">
        <v>57</v>
      </c>
      <c r="B514" s="1" t="s">
        <v>2</v>
      </c>
      <c r="C514" s="10">
        <f>C508/C513</f>
        <v>1</v>
      </c>
      <c r="D514" s="10">
        <f>D509/D513</f>
        <v>0.64661654135338342</v>
      </c>
      <c r="E514" s="10">
        <f>E510/E513</f>
        <v>0.99026345933562432</v>
      </c>
      <c r="F514" s="10">
        <f>F511/F513</f>
        <v>0.89885807504078308</v>
      </c>
      <c r="G514" s="10">
        <f>G512/G513</f>
        <v>0.66225165562913912</v>
      </c>
      <c r="H514" s="10"/>
      <c r="I514" s="14">
        <f>(C508+D509+E510+F511+G512)/H513</f>
        <v>0.92</v>
      </c>
    </row>
    <row r="515" spans="1:16" x14ac:dyDescent="0.3">
      <c r="B515" s="1" t="s">
        <v>14</v>
      </c>
      <c r="C515" s="11">
        <f>1-C514</f>
        <v>0</v>
      </c>
      <c r="D515" s="11">
        <f>1-D514</f>
        <v>0.35338345864661658</v>
      </c>
      <c r="E515" s="11">
        <f>1-E514</f>
        <v>9.7365406643756813E-3</v>
      </c>
      <c r="F515" s="11">
        <f>1-F514</f>
        <v>0.10114192495921692</v>
      </c>
      <c r="G515" s="11">
        <f>1-G514</f>
        <v>0.33774834437086088</v>
      </c>
    </row>
    <row r="516" spans="1:16" x14ac:dyDescent="0.3">
      <c r="C516" s="2"/>
    </row>
    <row r="517" spans="1:16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</row>
    <row r="518" spans="1:16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16" x14ac:dyDescent="0.3">
      <c r="A519" t="s">
        <v>3</v>
      </c>
      <c r="B519" s="13">
        <v>0</v>
      </c>
      <c r="C519" s="29">
        <f t="shared" ref="C519:G523" si="70">(C508/$L519)*$O519</f>
        <v>1.5547742847110249</v>
      </c>
      <c r="D519" s="31">
        <f t="shared" si="70"/>
        <v>0</v>
      </c>
      <c r="E519" s="31">
        <f t="shared" si="70"/>
        <v>0</v>
      </c>
      <c r="F519" s="31">
        <f t="shared" si="70"/>
        <v>0</v>
      </c>
      <c r="G519" s="32">
        <f t="shared" si="70"/>
        <v>0</v>
      </c>
      <c r="H519" s="17">
        <f>SUM(C519:G519)</f>
        <v>1.5547742847110249</v>
      </c>
      <c r="I519" s="17">
        <f>C519/H519*100</f>
        <v>100</v>
      </c>
      <c r="J519" s="17">
        <f>SQRT(I519*(100-I519)/(L519-1))</f>
        <v>0</v>
      </c>
      <c r="K519" s="18">
        <f>100-I519</f>
        <v>0</v>
      </c>
      <c r="L519" s="1">
        <f>H508</f>
        <v>56</v>
      </c>
      <c r="M519">
        <v>0</v>
      </c>
      <c r="N519">
        <v>2997.16</v>
      </c>
      <c r="O519" s="17">
        <f>N519/N524*100</f>
        <v>1.5547742847110249</v>
      </c>
      <c r="P519" s="52">
        <f>((O519*O519*(I519/100)*(K519/100))/(L519-1))</f>
        <v>0</v>
      </c>
    </row>
    <row r="520" spans="1:16" x14ac:dyDescent="0.3">
      <c r="A520" t="s">
        <v>4</v>
      </c>
      <c r="B520" s="13">
        <v>1</v>
      </c>
      <c r="C520" s="33">
        <f t="shared" si="70"/>
        <v>0</v>
      </c>
      <c r="D520" s="34">
        <f t="shared" si="70"/>
        <v>7.8408962982570696</v>
      </c>
      <c r="E520" s="19">
        <f t="shared" si="70"/>
        <v>0.54703927662258622</v>
      </c>
      <c r="F520" s="18">
        <f t="shared" si="70"/>
        <v>0</v>
      </c>
      <c r="G520" s="20">
        <f t="shared" si="70"/>
        <v>0</v>
      </c>
      <c r="H520" s="17">
        <f>SUM(C520:G520)</f>
        <v>8.3879355748796556</v>
      </c>
      <c r="I520" s="17">
        <f>D520/H520*100</f>
        <v>93.478260869565219</v>
      </c>
      <c r="J520" s="17">
        <f>SQRT(I520*(100-I520)/(L520-1))</f>
        <v>2.5883102208852078</v>
      </c>
      <c r="K520" s="18">
        <f>100-I520</f>
        <v>6.5217391304347814</v>
      </c>
      <c r="L520" s="1">
        <f>H509</f>
        <v>92</v>
      </c>
      <c r="M520">
        <v>1</v>
      </c>
      <c r="N520">
        <v>16169.54</v>
      </c>
      <c r="O520" s="17">
        <f>N520/N524*100</f>
        <v>8.3879355748796556</v>
      </c>
      <c r="P520" s="52">
        <f>((O520*O520*(I520/100)*(K520/100))/(L520-1))</f>
        <v>4.7134925704079782E-2</v>
      </c>
    </row>
    <row r="521" spans="1:16" x14ac:dyDescent="0.3">
      <c r="A521" t="s">
        <v>5</v>
      </c>
      <c r="B521" s="13">
        <v>2</v>
      </c>
      <c r="C521" s="33">
        <f t="shared" si="70"/>
        <v>0</v>
      </c>
      <c r="D521" s="19">
        <f t="shared" si="70"/>
        <v>0.816753996001923</v>
      </c>
      <c r="E521" s="34">
        <f t="shared" si="70"/>
        <v>40.347647402494999</v>
      </c>
      <c r="F521" s="19">
        <f t="shared" si="70"/>
        <v>0.58339571142994506</v>
      </c>
      <c r="G521" s="20">
        <f t="shared" si="70"/>
        <v>0.44338074068675826</v>
      </c>
      <c r="H521" s="17">
        <f>SUM(C521:G521)</f>
        <v>42.19117785061362</v>
      </c>
      <c r="I521" s="17">
        <f>E521/H521*100</f>
        <v>95.630530973451343</v>
      </c>
      <c r="J521" s="17">
        <f>SQRT(I521*(100-I521)/(L521-1))</f>
        <v>0.48087648433102492</v>
      </c>
      <c r="K521" s="18">
        <f>100-I521</f>
        <v>4.3694690265486571</v>
      </c>
      <c r="L521" s="1">
        <f>H510</f>
        <v>1808</v>
      </c>
      <c r="M521">
        <v>2</v>
      </c>
      <c r="N521">
        <v>81332.52</v>
      </c>
      <c r="O521" s="17">
        <f>N521/N524*100</f>
        <v>42.191177850613627</v>
      </c>
      <c r="P521" s="52">
        <f>((O521*O521*(I521/100)*(K521/100))/(L521-1))</f>
        <v>4.1163318481712056E-2</v>
      </c>
    </row>
    <row r="522" spans="1:16" x14ac:dyDescent="0.3">
      <c r="A522" t="s">
        <v>6</v>
      </c>
      <c r="B522" s="13">
        <v>3</v>
      </c>
      <c r="C522" s="33">
        <f t="shared" si="70"/>
        <v>0</v>
      </c>
      <c r="D522" s="19">
        <f t="shared" si="70"/>
        <v>0.57170280750598712</v>
      </c>
      <c r="E522" s="19">
        <f t="shared" si="70"/>
        <v>0.33349330437849245</v>
      </c>
      <c r="F522" s="34">
        <f t="shared" si="70"/>
        <v>26.250687244649907</v>
      </c>
      <c r="G522" s="20">
        <f t="shared" si="70"/>
        <v>3.9542777519164103</v>
      </c>
      <c r="H522" s="17">
        <f>SUM(C522:G522)</f>
        <v>31.110161108450797</v>
      </c>
      <c r="I522" s="17">
        <f>F522/H522*100</f>
        <v>84.379785604900462</v>
      </c>
      <c r="J522" s="17">
        <f>SQRT(I522*(100-I522)/(L522-1))</f>
        <v>1.4218012973272354</v>
      </c>
      <c r="K522" s="18">
        <f>100-I522</f>
        <v>15.620214395099538</v>
      </c>
      <c r="L522" s="1">
        <f>H511</f>
        <v>653</v>
      </c>
      <c r="M522">
        <v>3</v>
      </c>
      <c r="N522">
        <v>59971.49</v>
      </c>
      <c r="O522" s="17">
        <f>N522/N524*100</f>
        <v>31.110161108450797</v>
      </c>
      <c r="P522" s="52">
        <f>((O522*O522*(I522/100)*(K522/100))/(L522-1))</f>
        <v>0.1956511174420055</v>
      </c>
    </row>
    <row r="523" spans="1:16" x14ac:dyDescent="0.3">
      <c r="A523" t="s">
        <v>7</v>
      </c>
      <c r="B523" s="13">
        <v>4</v>
      </c>
      <c r="C523" s="35">
        <f t="shared" si="70"/>
        <v>0</v>
      </c>
      <c r="D523" s="36">
        <f t="shared" si="70"/>
        <v>0</v>
      </c>
      <c r="E523" s="21">
        <f t="shared" si="70"/>
        <v>0.27810707354929315</v>
      </c>
      <c r="F523" s="21">
        <f t="shared" si="70"/>
        <v>2.5724904303309617</v>
      </c>
      <c r="G523" s="37">
        <f t="shared" si="70"/>
        <v>13.905353677464658</v>
      </c>
      <c r="H523" s="17">
        <f>SUM(C523:G523)</f>
        <v>16.755951181344912</v>
      </c>
      <c r="I523" s="17">
        <f>G523/H523*100</f>
        <v>82.987551867219921</v>
      </c>
      <c r="J523" s="17">
        <f>SQRT(I523*(100-I523)/(L523-1))</f>
        <v>2.425404967738614</v>
      </c>
      <c r="K523" s="18">
        <f>100-I523</f>
        <v>17.012448132780079</v>
      </c>
      <c r="L523" s="1">
        <f>H512</f>
        <v>241</v>
      </c>
      <c r="M523">
        <v>4</v>
      </c>
      <c r="N523">
        <v>32300.68</v>
      </c>
      <c r="O523" s="17">
        <f>N523/N524*100</f>
        <v>16.755951181344912</v>
      </c>
      <c r="P523" s="52">
        <f>((O523*O523*(I523/100)*(K523/100))/(L523-1))</f>
        <v>0.16516069368147027</v>
      </c>
    </row>
    <row r="524" spans="1:16" x14ac:dyDescent="0.3">
      <c r="B524" t="s">
        <v>28</v>
      </c>
      <c r="C524" s="17">
        <f>SUM(C519:C523)</f>
        <v>1.5547742847110249</v>
      </c>
      <c r="D524" s="17">
        <f>SUM(D519:D523)</f>
        <v>9.2293531017649801</v>
      </c>
      <c r="E524" s="17">
        <f>SUM(E519:E523)</f>
        <v>41.50628705704537</v>
      </c>
      <c r="F524" s="17">
        <f>SUM(F519:F523)</f>
        <v>29.406573386410813</v>
      </c>
      <c r="G524" s="17">
        <f>SUM(G519:G523)</f>
        <v>18.303012170067827</v>
      </c>
      <c r="H524" s="1">
        <f>SUM(H518:H523)</f>
        <v>100.00000000000001</v>
      </c>
      <c r="I524" s="13" t="s">
        <v>24</v>
      </c>
      <c r="J524" s="12" t="s">
        <v>29</v>
      </c>
      <c r="N524" s="1">
        <f>SUM(N519:N523)</f>
        <v>192771.38999999998</v>
      </c>
      <c r="O524" s="17">
        <f>SUM(O519:O523)</f>
        <v>100.00000000000001</v>
      </c>
    </row>
    <row r="525" spans="1:16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0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0.30339699733012249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0.34999433695638699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0.60014569477673863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0.58237210123343763</v>
      </c>
      <c r="H525" s="1"/>
      <c r="I525" s="14">
        <f>(C519+D520+E521+F522+G523)/H524</f>
        <v>0.89899358907577653</v>
      </c>
      <c r="J525" s="53">
        <f>SQRT(SUM(P519:P523))/100</f>
        <v>6.7015673935973182E-3</v>
      </c>
      <c r="M525" s="1"/>
      <c r="N525" s="9"/>
    </row>
    <row r="526" spans="1:16" x14ac:dyDescent="0.3">
      <c r="B526" s="1" t="s">
        <v>30</v>
      </c>
      <c r="C526" s="17">
        <f>C519/C524*100</f>
        <v>100</v>
      </c>
      <c r="D526" s="17">
        <f>D520/D524*100</f>
        <v>84.956076680581347</v>
      </c>
      <c r="E526" s="17">
        <f>E521/E524*100</f>
        <v>97.208520114174604</v>
      </c>
      <c r="F526" s="17">
        <f>F522/F524*100</f>
        <v>89.268092884228111</v>
      </c>
      <c r="G526" s="17">
        <f>G523/G524*100</f>
        <v>75.973034100939074</v>
      </c>
      <c r="H526" s="1"/>
    </row>
    <row r="527" spans="1:16" x14ac:dyDescent="0.3">
      <c r="B527" s="16" t="s">
        <v>39</v>
      </c>
      <c r="C527" s="18">
        <f>SQRT((C530+C531)/(C524*C524))</f>
        <v>0</v>
      </c>
      <c r="D527" s="18">
        <f>SQRT((D530+D531)/(D524*D524))</f>
        <v>4.0468360993072139</v>
      </c>
      <c r="E527" s="18">
        <f>SQRT((E530+E531)/(E524*E524))</f>
        <v>0.68427699413200171</v>
      </c>
      <c r="F527" s="18">
        <f>SQRT((F530+F531)/(F524*F524))</f>
        <v>2.0323866044525762</v>
      </c>
      <c r="G527" s="18">
        <f>SQRT((G530+G531)/(G524*G524))</f>
        <v>5.6103244142760946</v>
      </c>
      <c r="H527" s="1"/>
      <c r="I527" s="14"/>
    </row>
    <row r="528" spans="1:16" x14ac:dyDescent="0.3">
      <c r="B528" s="1" t="s">
        <v>37</v>
      </c>
      <c r="C528" s="18">
        <f>100-C526</f>
        <v>0</v>
      </c>
      <c r="D528" s="18">
        <f>100-D526</f>
        <v>15.043923319418653</v>
      </c>
      <c r="E528" s="18">
        <f>100-E526</f>
        <v>2.791479885825396</v>
      </c>
      <c r="F528" s="18">
        <f>100-F526</f>
        <v>10.731907115771889</v>
      </c>
      <c r="G528" s="18">
        <f>100-G526</f>
        <v>24.026965899060926</v>
      </c>
    </row>
    <row r="529" spans="1:19" ht="15.6" x14ac:dyDescent="0.35">
      <c r="B529" s="1" t="s">
        <v>25</v>
      </c>
      <c r="C529" s="1">
        <f>C513</f>
        <v>56</v>
      </c>
      <c r="D529" s="1">
        <f>D513</f>
        <v>133</v>
      </c>
      <c r="E529" s="1">
        <f>E513</f>
        <v>1746</v>
      </c>
      <c r="F529" s="1">
        <f>F513</f>
        <v>613</v>
      </c>
      <c r="G529" s="1">
        <f>G513</f>
        <v>302</v>
      </c>
    </row>
    <row r="530" spans="1:19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1066.755889077416</v>
      </c>
      <c r="E530" s="18">
        <f>(O521*O521*(100-E526)*(100-E526)*(I521)*(100-I521))/((L521-1)*100)</f>
        <v>32.075939446815092</v>
      </c>
      <c r="F530" s="18">
        <f>(O522*O522*(100-F526)*(100-F526)*(I522)*(100-I522))/((L522-1)*100)</f>
        <v>2253.388860640126</v>
      </c>
      <c r="G530" s="18">
        <f>(O523*O523*(100-G526)*(100-G526)*(I523)*(100-I523))/((L523-1)*100)</f>
        <v>9534.6457575272416</v>
      </c>
    </row>
    <row r="531" spans="1:19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328.24265514445085</v>
      </c>
      <c r="E531" s="18">
        <f>E526*E526*(SUM((H519*E519*(1-E508/H508))/(H508-1),(H520*E520*(1-E509/H509))/(H509-1), (H522*E522*(1-E511/H511))/(H511-1),(H523*E523*(1-E512/H512))/(H512-1)))</f>
        <v>774.58615297821461</v>
      </c>
      <c r="F531" s="18">
        <f>F526*F526*(SUM((H519*F519*(1-F508/H508))/(H508-1),(H520*F520*(1-F509/H509))/(H509-1), (H521*F521*(1-F510/H510))/(H510-1),(H523*F523*(1-F512/H512))/(H512-1)))</f>
        <v>1318.5292175018362</v>
      </c>
      <c r="G531" s="18">
        <f>G526*G526*(SUM((H519*G519*(1-G508/H508))/(H508-1),(H520*G520*(1-G509/H509))/(H509-1), (H521*G521*(1-G510/H510))/(H510-1),(H522*G522*(1-G511/H511))/(H511-1)))</f>
        <v>1009.7351641711646</v>
      </c>
    </row>
    <row r="532" spans="1:19" x14ac:dyDescent="0.3">
      <c r="A532" s="105" t="s">
        <v>390</v>
      </c>
      <c r="B532" s="69" t="s">
        <v>9</v>
      </c>
      <c r="C532" s="1">
        <v>267.20999999999998</v>
      </c>
      <c r="D532" s="1">
        <v>927.67</v>
      </c>
      <c r="E532" s="1">
        <v>13348.2</v>
      </c>
      <c r="F532" s="1">
        <v>4079.69</v>
      </c>
      <c r="G532">
        <v>3432.59</v>
      </c>
      <c r="I532" t="s">
        <v>36</v>
      </c>
      <c r="J532" s="57">
        <f>SUM(C532:G532)</f>
        <v>22055.360000000001</v>
      </c>
    </row>
    <row r="533" spans="1:19" x14ac:dyDescent="0.3">
      <c r="B533" t="s">
        <v>391</v>
      </c>
      <c r="C533" s="57">
        <f>(C532/$J532)*100</f>
        <v>1.2115422282837369</v>
      </c>
      <c r="D533" s="57">
        <f>(D532/$J532)*100</f>
        <v>4.2060977467608778</v>
      </c>
      <c r="E533" s="57">
        <f>(E532/$J532)*100</f>
        <v>60.521342657748498</v>
      </c>
      <c r="F533" s="57">
        <f>(F532/$J532)*100</f>
        <v>18.497499020646227</v>
      </c>
      <c r="G533" s="57">
        <f>(G532/$J532)*100</f>
        <v>15.563518346560654</v>
      </c>
    </row>
    <row r="534" spans="1:19" x14ac:dyDescent="0.3">
      <c r="A534" s="361">
        <v>1977</v>
      </c>
      <c r="B534" s="361"/>
      <c r="C534" s="361"/>
      <c r="D534" s="361"/>
      <c r="E534" s="361"/>
      <c r="F534" s="361"/>
      <c r="G534" s="361"/>
      <c r="H534" s="361"/>
      <c r="I534" s="361"/>
      <c r="J534" s="361"/>
      <c r="K534" s="361"/>
      <c r="L534" s="361" t="s">
        <v>96</v>
      </c>
      <c r="M534" s="361"/>
      <c r="N534" s="361"/>
      <c r="O534" s="361"/>
      <c r="P534" s="361"/>
    </row>
    <row r="535" spans="1:19" x14ac:dyDescent="0.3">
      <c r="A535" t="s">
        <v>15</v>
      </c>
      <c r="B535" t="s">
        <v>21</v>
      </c>
      <c r="I535" s="1" t="s">
        <v>58</v>
      </c>
      <c r="O535" s="360" t="s">
        <v>411</v>
      </c>
      <c r="P535" s="360"/>
    </row>
    <row r="536" spans="1:19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56</v>
      </c>
      <c r="O536" s="13" t="s">
        <v>412</v>
      </c>
      <c r="P536" s="13" t="s">
        <v>41</v>
      </c>
    </row>
    <row r="537" spans="1:19" x14ac:dyDescent="0.3">
      <c r="A537" t="s">
        <v>3</v>
      </c>
      <c r="B537" s="13">
        <v>0</v>
      </c>
      <c r="C537" s="26">
        <v>56</v>
      </c>
      <c r="D537" s="3">
        <v>0</v>
      </c>
      <c r="E537" s="3">
        <v>0</v>
      </c>
      <c r="F537" s="3">
        <v>0</v>
      </c>
      <c r="G537" s="4">
        <v>0</v>
      </c>
      <c r="H537" s="1">
        <f>SUM(C537:G537)</f>
        <v>56</v>
      </c>
      <c r="I537" s="10">
        <f>C537/H537</f>
        <v>1</v>
      </c>
      <c r="J537" s="11">
        <f>1-I537</f>
        <v>0</v>
      </c>
      <c r="K537">
        <f>H537-C542</f>
        <v>0</v>
      </c>
      <c r="N537" s="10">
        <f>2*(C543*I537)/(C543+I537)</f>
        <v>1</v>
      </c>
      <c r="O537" s="1">
        <v>0</v>
      </c>
      <c r="P537" s="1">
        <v>249</v>
      </c>
      <c r="R537" s="1"/>
      <c r="S537" s="1"/>
    </row>
    <row r="538" spans="1:19" x14ac:dyDescent="0.3">
      <c r="A538" t="s">
        <v>4</v>
      </c>
      <c r="B538" s="13">
        <v>1</v>
      </c>
      <c r="C538" s="5">
        <v>0</v>
      </c>
      <c r="D538" s="27">
        <v>88</v>
      </c>
      <c r="E538" s="1">
        <v>4</v>
      </c>
      <c r="F538" s="1">
        <v>0</v>
      </c>
      <c r="G538" s="6">
        <v>0</v>
      </c>
      <c r="H538" s="1">
        <f>SUM(C538:G538)</f>
        <v>92</v>
      </c>
      <c r="I538" s="10">
        <f>D538/H538</f>
        <v>0.95652173913043481</v>
      </c>
      <c r="J538" s="11">
        <f>1-I538</f>
        <v>4.3478260869565188E-2</v>
      </c>
      <c r="K538">
        <f>H538-D542</f>
        <v>-52</v>
      </c>
      <c r="N538" s="10">
        <f>2*(D543*I538)/(D543+I538)</f>
        <v>0.74576271186440679</v>
      </c>
      <c r="O538" s="1">
        <v>5</v>
      </c>
      <c r="P538" s="1">
        <v>103</v>
      </c>
      <c r="R538" s="1"/>
      <c r="S538" s="1"/>
    </row>
    <row r="539" spans="1:19" x14ac:dyDescent="0.3">
      <c r="A539" t="s">
        <v>5</v>
      </c>
      <c r="B539" s="13">
        <v>2</v>
      </c>
      <c r="C539" s="5">
        <v>0</v>
      </c>
      <c r="D539" s="1">
        <v>44</v>
      </c>
      <c r="E539" s="27">
        <v>1723</v>
      </c>
      <c r="F539" s="1">
        <v>19</v>
      </c>
      <c r="G539" s="6">
        <v>22</v>
      </c>
      <c r="H539" s="1">
        <f>SUM(C539:G539)</f>
        <v>1808</v>
      </c>
      <c r="I539" s="10">
        <f>E539/H539</f>
        <v>0.95298672566371678</v>
      </c>
      <c r="J539" s="11">
        <f>1-I539</f>
        <v>4.7013274336283217E-2</v>
      </c>
      <c r="K539">
        <f>H539-E542</f>
        <v>67</v>
      </c>
      <c r="N539" s="10">
        <f>2*(E543*I539)/(E543+I539)</f>
        <v>0.97097774020850935</v>
      </c>
      <c r="O539" s="1">
        <v>933</v>
      </c>
      <c r="P539" s="1">
        <v>9956</v>
      </c>
      <c r="R539" s="1"/>
      <c r="S539" s="1"/>
    </row>
    <row r="540" spans="1:19" x14ac:dyDescent="0.3">
      <c r="A540" t="s">
        <v>6</v>
      </c>
      <c r="B540" s="13">
        <v>3</v>
      </c>
      <c r="C540" s="5">
        <v>0</v>
      </c>
      <c r="D540" s="1">
        <v>11</v>
      </c>
      <c r="E540" s="1">
        <v>9</v>
      </c>
      <c r="F540" s="27">
        <v>551</v>
      </c>
      <c r="G540" s="6">
        <v>82</v>
      </c>
      <c r="H540" s="1">
        <f>SUM(C540:G540)</f>
        <v>653</v>
      </c>
      <c r="I540" s="10">
        <f>F540/H540</f>
        <v>0.84379785604900459</v>
      </c>
      <c r="J540" s="11">
        <f>1-I540</f>
        <v>0.15620214395099541</v>
      </c>
      <c r="K540">
        <f>H540-F542</f>
        <v>45</v>
      </c>
      <c r="N540" s="10">
        <f>2*(F543*I540)/(F543+I540)</f>
        <v>0.87390959555908021</v>
      </c>
      <c r="O540" s="1">
        <v>661</v>
      </c>
      <c r="P540" s="1">
        <v>18611</v>
      </c>
      <c r="R540" s="1"/>
      <c r="S540" s="1"/>
    </row>
    <row r="541" spans="1:19" x14ac:dyDescent="0.3">
      <c r="A541" t="s">
        <v>7</v>
      </c>
      <c r="B541" s="13">
        <v>4</v>
      </c>
      <c r="C541" s="7">
        <v>0</v>
      </c>
      <c r="D541" s="8">
        <v>1</v>
      </c>
      <c r="E541" s="8">
        <v>5</v>
      </c>
      <c r="F541" s="8">
        <v>38</v>
      </c>
      <c r="G541" s="28">
        <v>197</v>
      </c>
      <c r="H541" s="1">
        <f>SUM(C541:G541)</f>
        <v>241</v>
      </c>
      <c r="I541" s="10">
        <f>G541/H541</f>
        <v>0.81742738589211617</v>
      </c>
      <c r="J541" s="11">
        <f>1-I541</f>
        <v>0.18257261410788383</v>
      </c>
      <c r="K541">
        <f>H541-G542</f>
        <v>-60</v>
      </c>
      <c r="N541" s="10">
        <f>2*(G543*I541)/(G543+I541)</f>
        <v>0.72693726937269365</v>
      </c>
      <c r="O541" s="1">
        <v>252</v>
      </c>
      <c r="P541" s="1">
        <v>14306</v>
      </c>
      <c r="R541" s="1"/>
      <c r="S541" s="1"/>
    </row>
    <row r="542" spans="1:19" ht="15.6" x14ac:dyDescent="0.35">
      <c r="B542" s="1" t="s">
        <v>19</v>
      </c>
      <c r="C542" s="1">
        <f>SUM(C537:C541)</f>
        <v>56</v>
      </c>
      <c r="D542" s="1">
        <f>SUM(D537:D541)</f>
        <v>144</v>
      </c>
      <c r="E542" s="1">
        <f>SUM(E537:E541)</f>
        <v>1741</v>
      </c>
      <c r="F542" s="1">
        <f>SUM(F537:F541)</f>
        <v>608</v>
      </c>
      <c r="G542" s="1">
        <f>SUM(G537:G541)</f>
        <v>301</v>
      </c>
      <c r="H542" s="1">
        <f>SUM(H536:H541)</f>
        <v>2850</v>
      </c>
      <c r="I542" s="13" t="s">
        <v>12</v>
      </c>
      <c r="N542" s="16" t="s">
        <v>36</v>
      </c>
      <c r="O542" s="1">
        <f>SUM(O537:O541)</f>
        <v>1851</v>
      </c>
      <c r="P542" s="1">
        <f>SUM(P537:P541)</f>
        <v>43225</v>
      </c>
    </row>
    <row r="543" spans="1:19" x14ac:dyDescent="0.3">
      <c r="A543" s="1" t="s">
        <v>57</v>
      </c>
      <c r="B543" s="1" t="s">
        <v>2</v>
      </c>
      <c r="C543" s="10">
        <f>C537/C542</f>
        <v>1</v>
      </c>
      <c r="D543" s="10">
        <f>D538/D542</f>
        <v>0.61111111111111116</v>
      </c>
      <c r="E543" s="10">
        <f>E539/E542</f>
        <v>0.98966111430212522</v>
      </c>
      <c r="F543" s="10">
        <f>F540/F542</f>
        <v>0.90625</v>
      </c>
      <c r="G543" s="10">
        <f>G541/G542</f>
        <v>0.654485049833887</v>
      </c>
      <c r="H543" s="10"/>
      <c r="I543" s="14">
        <f>(C537+D538+E539+F540+G541)/H542</f>
        <v>0.91754385964912277</v>
      </c>
      <c r="R543" s="1"/>
      <c r="S543" s="1"/>
    </row>
    <row r="544" spans="1:19" x14ac:dyDescent="0.3">
      <c r="B544" s="1" t="s">
        <v>14</v>
      </c>
      <c r="C544" s="11">
        <f>1-C543</f>
        <v>0</v>
      </c>
      <c r="D544" s="11">
        <f>1-D543</f>
        <v>0.38888888888888884</v>
      </c>
      <c r="E544" s="11">
        <f>1-E543</f>
        <v>1.0338885697874778E-2</v>
      </c>
      <c r="F544" s="11">
        <f>1-F543</f>
        <v>9.375E-2</v>
      </c>
      <c r="G544" s="11">
        <f>1-G543</f>
        <v>0.345514950166113</v>
      </c>
      <c r="R544" s="1"/>
      <c r="S544" s="1"/>
    </row>
    <row r="545" spans="1:19" x14ac:dyDescent="0.3">
      <c r="C545" s="2"/>
      <c r="R545" s="1"/>
      <c r="S545" s="1"/>
    </row>
    <row r="546" spans="1:19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  <c r="R546" s="1"/>
      <c r="S546" s="1"/>
    </row>
    <row r="547" spans="1:19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  <c r="R547" s="1"/>
      <c r="S547" s="1"/>
    </row>
    <row r="548" spans="1:19" x14ac:dyDescent="0.3">
      <c r="A548" t="s">
        <v>3</v>
      </c>
      <c r="B548" s="13">
        <v>0</v>
      </c>
      <c r="C548" s="29">
        <f t="shared" ref="C548:G552" si="71">(C537/$L548)*$O548</f>
        <v>1.5353472076612205</v>
      </c>
      <c r="D548" s="31">
        <f t="shared" si="71"/>
        <v>0</v>
      </c>
      <c r="E548" s="31">
        <f t="shared" si="71"/>
        <v>0</v>
      </c>
      <c r="F548" s="31">
        <f t="shared" si="71"/>
        <v>0</v>
      </c>
      <c r="G548" s="32">
        <f t="shared" si="71"/>
        <v>0</v>
      </c>
      <c r="H548" s="17">
        <f>SUM(C548:G548)</f>
        <v>1.5353472076612205</v>
      </c>
      <c r="I548" s="17">
        <f>C548/H548*100</f>
        <v>100</v>
      </c>
      <c r="J548" s="17">
        <f>SQRT(I548*(100-I548)/(L548-1))</f>
        <v>0</v>
      </c>
      <c r="K548" s="18">
        <f>100-I548</f>
        <v>0</v>
      </c>
      <c r="L548" s="1">
        <f>H537</f>
        <v>56</v>
      </c>
      <c r="M548">
        <v>0</v>
      </c>
      <c r="N548">
        <v>2959.71</v>
      </c>
      <c r="O548" s="17">
        <f>N548/N553*100</f>
        <v>1.5353472076612205</v>
      </c>
      <c r="P548" s="52">
        <f>((O548*O548*(I548/100)*(K548/100))/(L548-1))</f>
        <v>0</v>
      </c>
    </row>
    <row r="549" spans="1:19" x14ac:dyDescent="0.3">
      <c r="A549" t="s">
        <v>4</v>
      </c>
      <c r="B549" s="13">
        <v>1</v>
      </c>
      <c r="C549" s="33">
        <f t="shared" si="71"/>
        <v>0</v>
      </c>
      <c r="D549" s="34">
        <f t="shared" si="71"/>
        <v>8.3558128038373312</v>
      </c>
      <c r="E549" s="19">
        <f t="shared" si="71"/>
        <v>0.37980967290169687</v>
      </c>
      <c r="F549" s="18">
        <f t="shared" si="71"/>
        <v>0</v>
      </c>
      <c r="G549" s="20">
        <f t="shared" si="71"/>
        <v>0</v>
      </c>
      <c r="H549" s="17">
        <f>SUM(C549:G549)</f>
        <v>8.735622476739028</v>
      </c>
      <c r="I549" s="17">
        <f>D549/H549*100</f>
        <v>95.652173913043484</v>
      </c>
      <c r="J549" s="17">
        <f>SQRT(I549*(100-I549)/(L549-1))</f>
        <v>2.1377790082367012</v>
      </c>
      <c r="K549" s="18">
        <f>100-I549</f>
        <v>4.3478260869565162</v>
      </c>
      <c r="L549" s="1">
        <f>H538</f>
        <v>92</v>
      </c>
      <c r="M549">
        <v>1</v>
      </c>
      <c r="N549">
        <v>16839.78</v>
      </c>
      <c r="O549" s="17">
        <f>N549/N553*100</f>
        <v>8.735622476739028</v>
      </c>
      <c r="P549" s="52">
        <f>((O549*O549*(I549/100)*(K549/100))/(L549-1))</f>
        <v>3.4874928877508392E-2</v>
      </c>
    </row>
    <row r="550" spans="1:19" x14ac:dyDescent="0.3">
      <c r="A550" t="s">
        <v>5</v>
      </c>
      <c r="B550" s="13">
        <v>2</v>
      </c>
      <c r="C550" s="33">
        <f t="shared" si="71"/>
        <v>0</v>
      </c>
      <c r="D550" s="19">
        <f t="shared" si="71"/>
        <v>1.0381575530521805</v>
      </c>
      <c r="E550" s="34">
        <f t="shared" si="71"/>
        <v>40.653305997929706</v>
      </c>
      <c r="F550" s="19">
        <f t="shared" si="71"/>
        <v>0.4482953069998053</v>
      </c>
      <c r="G550" s="20">
        <f t="shared" si="71"/>
        <v>0.51907877652609025</v>
      </c>
      <c r="H550" s="17">
        <f>SUM(C550:G550)</f>
        <v>42.658837634507783</v>
      </c>
      <c r="I550" s="17">
        <f>E550/H550*100</f>
        <v>95.298672566371678</v>
      </c>
      <c r="J550" s="17">
        <f>SQRT(I550*(100-I550)/(L550-1))</f>
        <v>0.49793723016302682</v>
      </c>
      <c r="K550" s="18">
        <f>100-I550</f>
        <v>4.7013274336283217</v>
      </c>
      <c r="L550" s="1">
        <f>H539</f>
        <v>1808</v>
      </c>
      <c r="M550">
        <v>2</v>
      </c>
      <c r="N550">
        <v>82234.03</v>
      </c>
      <c r="O550" s="17">
        <f>N550/N553*100</f>
        <v>42.658837634507783</v>
      </c>
      <c r="P550" s="52">
        <f>((O550*O550*(I550/100)*(K550/100))/(L550-1))</f>
        <v>4.5119807033944297E-2</v>
      </c>
    </row>
    <row r="551" spans="1:19" x14ac:dyDescent="0.3">
      <c r="A551" t="s">
        <v>6</v>
      </c>
      <c r="B551" s="13">
        <v>3</v>
      </c>
      <c r="C551" s="33">
        <f t="shared" si="71"/>
        <v>0</v>
      </c>
      <c r="D551" s="19">
        <f t="shared" si="71"/>
        <v>0.51660786643905554</v>
      </c>
      <c r="E551" s="19">
        <f t="shared" si="71"/>
        <v>0.42267916345013634</v>
      </c>
      <c r="F551" s="34">
        <f t="shared" si="71"/>
        <v>25.877357673447236</v>
      </c>
      <c r="G551" s="20">
        <f t="shared" si="71"/>
        <v>3.8510768225456862</v>
      </c>
      <c r="H551" s="17">
        <f>SUM(C551:G551)</f>
        <v>30.667721525882115</v>
      </c>
      <c r="I551" s="17">
        <f>F551/H551*100</f>
        <v>84.379785604900462</v>
      </c>
      <c r="J551" s="17">
        <f>SQRT(I551*(100-I551)/(L551-1))</f>
        <v>1.4218012973272354</v>
      </c>
      <c r="K551" s="18">
        <f>100-I551</f>
        <v>15.620214395099538</v>
      </c>
      <c r="L551" s="1">
        <f>H540</f>
        <v>653</v>
      </c>
      <c r="M551">
        <v>3</v>
      </c>
      <c r="N551">
        <v>59118.59</v>
      </c>
      <c r="O551" s="17">
        <f>N551/N553*100</f>
        <v>30.667721525882115</v>
      </c>
      <c r="P551" s="52">
        <f>((O551*O551*(I551/100)*(K551/100))/(L551-1))</f>
        <v>0.19012570367394166</v>
      </c>
    </row>
    <row r="552" spans="1:19" x14ac:dyDescent="0.3">
      <c r="A552" t="s">
        <v>7</v>
      </c>
      <c r="B552" s="13">
        <v>4</v>
      </c>
      <c r="C552" s="35">
        <f t="shared" si="71"/>
        <v>0</v>
      </c>
      <c r="D552" s="36">
        <f t="shared" si="71"/>
        <v>6.8060046287177878E-2</v>
      </c>
      <c r="E552" s="21">
        <f t="shared" si="71"/>
        <v>0.34030023143588939</v>
      </c>
      <c r="F552" s="21">
        <f t="shared" si="71"/>
        <v>2.5862817589127594</v>
      </c>
      <c r="G552" s="37">
        <f t="shared" si="71"/>
        <v>13.407829118574043</v>
      </c>
      <c r="H552" s="17">
        <f>SUM(C552:G552)</f>
        <v>16.40247115520987</v>
      </c>
      <c r="I552" s="17">
        <f>G552/H552*100</f>
        <v>81.742738589211612</v>
      </c>
      <c r="J552" s="17">
        <f>SQRT(I552*(100-I552)/(L552-1))</f>
        <v>2.4936574100246278</v>
      </c>
      <c r="K552" s="18">
        <f>100-I552</f>
        <v>18.257261410788388</v>
      </c>
      <c r="L552" s="1">
        <f>H541</f>
        <v>241</v>
      </c>
      <c r="M552">
        <v>4</v>
      </c>
      <c r="N552">
        <v>31619.27</v>
      </c>
      <c r="O552" s="17">
        <f>N552/N553*100</f>
        <v>16.40247115520987</v>
      </c>
      <c r="P552" s="52">
        <f>((O552*O552*(I552/100)*(K552/100))/(L552-1))</f>
        <v>0.16729853624379887</v>
      </c>
    </row>
    <row r="553" spans="1:19" x14ac:dyDescent="0.3">
      <c r="B553" t="s">
        <v>28</v>
      </c>
      <c r="C553" s="17">
        <f>SUM(C548:C552)</f>
        <v>1.5353472076612205</v>
      </c>
      <c r="D553" s="17">
        <f>SUM(D548:D552)</f>
        <v>9.978638269615745</v>
      </c>
      <c r="E553" s="17">
        <f>SUM(E548:E552)</f>
        <v>41.796095065717431</v>
      </c>
      <c r="F553" s="17">
        <f>SUM(F548:F552)</f>
        <v>28.911934739359801</v>
      </c>
      <c r="G553" s="17">
        <f>SUM(G548:G552)</f>
        <v>17.777984717645818</v>
      </c>
      <c r="H553" s="1">
        <f>SUM(H547:H552)</f>
        <v>100.00000000000001</v>
      </c>
      <c r="I553" s="13" t="s">
        <v>24</v>
      </c>
      <c r="J553" s="12" t="s">
        <v>29</v>
      </c>
      <c r="N553" s="1">
        <f>SUM(N548:N552)</f>
        <v>192771.37999999998</v>
      </c>
      <c r="O553" s="17">
        <f>SUM(O548:O552)</f>
        <v>100.00000000000001</v>
      </c>
    </row>
    <row r="554" spans="1:19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0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0.29472179730539377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0.3490677534408233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0.59039695822424165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0.58039147759705079</v>
      </c>
      <c r="H554" s="1"/>
      <c r="I554" s="56">
        <f>(C548+D549+E550+F551+G552)/H553</f>
        <v>0.89829652801449533</v>
      </c>
      <c r="J554" s="53">
        <f>SQRT(SUM(P548:P552))/100</f>
        <v>6.6137657641406776E-3</v>
      </c>
      <c r="M554" s="1"/>
      <c r="N554" s="9"/>
    </row>
    <row r="555" spans="1:19" x14ac:dyDescent="0.3">
      <c r="B555" s="1" t="s">
        <v>30</v>
      </c>
      <c r="C555" s="17">
        <f>C548/C553*100</f>
        <v>100</v>
      </c>
      <c r="D555" s="17">
        <f>D549/D553*100</f>
        <v>83.737004770282098</v>
      </c>
      <c r="E555" s="17">
        <f>E550/E553*100</f>
        <v>97.265799434155568</v>
      </c>
      <c r="F555" s="17">
        <f>F551/F553*100</f>
        <v>89.504067807052053</v>
      </c>
      <c r="G555" s="17">
        <f>G552/G553*100</f>
        <v>75.418160896864151</v>
      </c>
      <c r="H555" s="1"/>
    </row>
    <row r="556" spans="1:19" x14ac:dyDescent="0.3">
      <c r="B556" s="16" t="s">
        <v>39</v>
      </c>
      <c r="C556" s="18">
        <f>SQRT((C559+C560)/(C553*C553))</f>
        <v>0</v>
      </c>
      <c r="D556" s="18">
        <f>SQRT((D559+D560)/(D553*D553))</f>
        <v>3.5994178717129053</v>
      </c>
      <c r="E556" s="18">
        <f>SQRT((E559+E560)/(E553*E553))</f>
        <v>0.66159229673144815</v>
      </c>
      <c r="F556" s="18">
        <f>SQRT((F559+F560)/(F553*F553))</f>
        <v>2.0082145021232023</v>
      </c>
      <c r="G556" s="18">
        <f>SQRT((G559+G560)/(G553*G553))</f>
        <v>5.9206483880444152</v>
      </c>
      <c r="H556" s="1"/>
      <c r="I556" s="14"/>
    </row>
    <row r="557" spans="1:19" x14ac:dyDescent="0.3">
      <c r="B557" s="1" t="s">
        <v>37</v>
      </c>
      <c r="C557" s="18">
        <f>100-C555</f>
        <v>0</v>
      </c>
      <c r="D557" s="18">
        <f>100-D555</f>
        <v>16.262995229717902</v>
      </c>
      <c r="E557" s="18">
        <f>100-E555</f>
        <v>2.7342005658444322</v>
      </c>
      <c r="F557" s="18">
        <f>100-F555</f>
        <v>10.495932192947947</v>
      </c>
      <c r="G557" s="18">
        <f>100-G555</f>
        <v>24.581839103135849</v>
      </c>
    </row>
    <row r="558" spans="1:19" ht="15.6" x14ac:dyDescent="0.35">
      <c r="B558" s="1" t="s">
        <v>25</v>
      </c>
      <c r="C558" s="1">
        <f>C542</f>
        <v>56</v>
      </c>
      <c r="D558" s="1">
        <f>D542</f>
        <v>144</v>
      </c>
      <c r="E558" s="1">
        <f>E542</f>
        <v>1741</v>
      </c>
      <c r="F558" s="1">
        <f>F542</f>
        <v>608</v>
      </c>
      <c r="G558" s="1">
        <f>G542</f>
        <v>301</v>
      </c>
    </row>
    <row r="559" spans="1:19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922.38960469005485</v>
      </c>
      <c r="E559" s="18">
        <f>(O550*O550*(100-E555)*(100-E555)*(I550)*(100-I550))/((L550-1)*100)</f>
        <v>33.730903278417706</v>
      </c>
      <c r="F559" s="18">
        <f>(O551*O551*(100-F555)*(100-F555)*(I551)*(100-I551))/((L551-1)*100)</f>
        <v>2094.5120687830586</v>
      </c>
      <c r="G559" s="18">
        <f>(O552*O552*(100-G555)*(100-G555)*(I552)*(100-I552))/((L552-1)*100)</f>
        <v>10109.295343145264</v>
      </c>
    </row>
    <row r="560" spans="1:19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367.66203888915578</v>
      </c>
      <c r="E560" s="18">
        <f>E555*E555*(SUM((H548*E548*(1-E537/H537))/(H537-1),(H549*E549*(1-E538/H538))/(H538-1), (H551*E551*(1-E540/H540))/(H540-1),(H552*E552*(1-E541/H541))/(H541-1)))</f>
        <v>730.90079207039378</v>
      </c>
      <c r="F560" s="18">
        <f>F555*F555*(SUM((H548*F548*(1-F537/H537))/(H537-1),(H549*F549*(1-F538/H538))/(H538-1), (H550*F550*(1-F539/H539))/(H539-1),(H552*F552*(1-F541/H541))/(H541-1)))</f>
        <v>1276.6102259305233</v>
      </c>
      <c r="G560" s="18">
        <f>G555*G555*(SUM((H548*G548*(1-G537/H537))/(H537-1),(H549*G549*(1-G538/H538))/(H538-1), (H550*G550*(1-G539/H539))/(H539-1),(H551*G551*(1-G540/H540))/(H540-1)))</f>
        <v>969.7820847795025</v>
      </c>
    </row>
    <row r="561" spans="1:16" x14ac:dyDescent="0.3">
      <c r="A561" s="105" t="s">
        <v>390</v>
      </c>
      <c r="B561" s="69" t="s">
        <v>9</v>
      </c>
      <c r="C561" s="1">
        <v>271.89</v>
      </c>
      <c r="D561" s="1">
        <v>969.8</v>
      </c>
      <c r="E561" s="1">
        <v>13666.17</v>
      </c>
      <c r="F561" s="1">
        <v>3865.79</v>
      </c>
      <c r="G561">
        <v>3281.7</v>
      </c>
      <c r="I561" t="s">
        <v>36</v>
      </c>
      <c r="J561" s="57">
        <f>SUM(C561:G561)</f>
        <v>22055.350000000002</v>
      </c>
    </row>
    <row r="562" spans="1:16" x14ac:dyDescent="0.3">
      <c r="B562" t="s">
        <v>391</v>
      </c>
      <c r="C562" s="57">
        <f>(C561/$J561)*100</f>
        <v>1.2327621189416624</v>
      </c>
      <c r="D562" s="57">
        <f>(D561/$J561)*100</f>
        <v>4.3971190663489805</v>
      </c>
      <c r="E562" s="57">
        <f>(E561/$J561)*100</f>
        <v>61.963061116690497</v>
      </c>
      <c r="F562" s="57">
        <f>(F561/$J561)*100</f>
        <v>17.527674691174703</v>
      </c>
      <c r="G562" s="57">
        <f>(G561/$J561)*100</f>
        <v>14.87938300684414</v>
      </c>
    </row>
    <row r="563" spans="1:16" x14ac:dyDescent="0.3">
      <c r="A563" s="361">
        <v>1977</v>
      </c>
      <c r="B563" s="361"/>
      <c r="C563" s="361"/>
      <c r="D563" s="361"/>
      <c r="E563" s="361"/>
      <c r="F563" s="361"/>
      <c r="G563" s="361"/>
      <c r="H563" s="361"/>
      <c r="I563" s="361"/>
      <c r="J563" s="361"/>
      <c r="K563" s="361"/>
      <c r="L563" s="361" t="s">
        <v>97</v>
      </c>
      <c r="M563" s="361"/>
      <c r="N563" s="361"/>
      <c r="O563" s="361"/>
      <c r="P563" s="361"/>
    </row>
    <row r="564" spans="1:16" x14ac:dyDescent="0.3">
      <c r="A564" t="s">
        <v>15</v>
      </c>
      <c r="B564" t="s">
        <v>21</v>
      </c>
      <c r="I564" s="1" t="s">
        <v>58</v>
      </c>
      <c r="O564" s="360" t="s">
        <v>411</v>
      </c>
      <c r="P564" s="360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56</v>
      </c>
      <c r="O565" s="13" t="s">
        <v>412</v>
      </c>
      <c r="P565" s="13" t="s">
        <v>41</v>
      </c>
    </row>
    <row r="566" spans="1:16" x14ac:dyDescent="0.3">
      <c r="A566" t="s">
        <v>3</v>
      </c>
      <c r="B566" s="13">
        <v>0</v>
      </c>
      <c r="C566" s="26">
        <v>56</v>
      </c>
      <c r="D566" s="3">
        <v>0</v>
      </c>
      <c r="E566" s="3">
        <v>0</v>
      </c>
      <c r="F566" s="3">
        <v>0</v>
      </c>
      <c r="G566" s="4">
        <v>0</v>
      </c>
      <c r="H566" s="1">
        <f>SUM(C566:G566)</f>
        <v>56</v>
      </c>
      <c r="I566" s="10">
        <f>C566/H566</f>
        <v>1</v>
      </c>
      <c r="J566" s="11">
        <f>1-I566</f>
        <v>0</v>
      </c>
      <c r="K566">
        <f>H566-C571</f>
        <v>0</v>
      </c>
      <c r="N566" s="10">
        <f>2*(C572*I566)/(C572+I566)</f>
        <v>1</v>
      </c>
      <c r="O566" s="1">
        <v>0</v>
      </c>
      <c r="P566" s="1">
        <v>266</v>
      </c>
    </row>
    <row r="567" spans="1:16" x14ac:dyDescent="0.3">
      <c r="A567" t="s">
        <v>4</v>
      </c>
      <c r="B567" s="13">
        <v>1</v>
      </c>
      <c r="C567" s="5">
        <v>0</v>
      </c>
      <c r="D567" s="27">
        <v>88</v>
      </c>
      <c r="E567" s="1">
        <v>4</v>
      </c>
      <c r="F567" s="1">
        <v>0</v>
      </c>
      <c r="G567" s="6">
        <v>0</v>
      </c>
      <c r="H567" s="1">
        <f>SUM(C567:G567)</f>
        <v>92</v>
      </c>
      <c r="I567" s="10">
        <f>D567/H567</f>
        <v>0.95652173913043481</v>
      </c>
      <c r="J567" s="11">
        <f>1-I567</f>
        <v>4.3478260869565188E-2</v>
      </c>
      <c r="K567">
        <f>H567-D571</f>
        <v>-55</v>
      </c>
      <c r="N567" s="10">
        <f>2*(D572*I567)/(D572+I567)</f>
        <v>0.7364016736401674</v>
      </c>
      <c r="O567" s="1">
        <v>5</v>
      </c>
      <c r="P567" s="1">
        <v>72</v>
      </c>
    </row>
    <row r="568" spans="1:16" x14ac:dyDescent="0.3">
      <c r="A568" t="s">
        <v>5</v>
      </c>
      <c r="B568" s="13">
        <v>2</v>
      </c>
      <c r="C568" s="5">
        <v>0</v>
      </c>
      <c r="D568" s="1">
        <v>49</v>
      </c>
      <c r="E568" s="27">
        <v>1724</v>
      </c>
      <c r="F568" s="1">
        <v>17</v>
      </c>
      <c r="G568" s="6">
        <v>18</v>
      </c>
      <c r="H568" s="1">
        <f>SUM(C568:G568)</f>
        <v>1808</v>
      </c>
      <c r="I568" s="10">
        <f>E568/H568</f>
        <v>0.95353982300884954</v>
      </c>
      <c r="J568" s="11">
        <f>1-I568</f>
        <v>4.6460176991150459E-2</v>
      </c>
      <c r="K568">
        <f>H568-E571</f>
        <v>68</v>
      </c>
      <c r="N568" s="10">
        <f>2*(E572*I568)/(E572+I568)</f>
        <v>0.971815107102593</v>
      </c>
      <c r="O568" s="1">
        <v>922</v>
      </c>
      <c r="P568" s="1">
        <v>10004</v>
      </c>
    </row>
    <row r="569" spans="1:16" x14ac:dyDescent="0.3">
      <c r="A569" t="s">
        <v>6</v>
      </c>
      <c r="B569" s="13">
        <v>3</v>
      </c>
      <c r="C569" s="5">
        <v>0</v>
      </c>
      <c r="D569" s="1">
        <v>10</v>
      </c>
      <c r="E569" s="1">
        <v>7</v>
      </c>
      <c r="F569" s="27">
        <v>559</v>
      </c>
      <c r="G569" s="6">
        <v>77</v>
      </c>
      <c r="H569" s="1">
        <f>SUM(C569:G569)</f>
        <v>653</v>
      </c>
      <c r="I569" s="10">
        <f>F569/H569</f>
        <v>0.85604900459418065</v>
      </c>
      <c r="J569" s="11">
        <f>1-I569</f>
        <v>0.14395099540581935</v>
      </c>
      <c r="K569">
        <f>H569-F571</f>
        <v>41</v>
      </c>
      <c r="N569" s="10">
        <f>2*(F572*I569)/(F572+I569)</f>
        <v>0.88379446640316206</v>
      </c>
      <c r="O569" s="1">
        <v>661</v>
      </c>
      <c r="P569" s="1">
        <v>18365</v>
      </c>
    </row>
    <row r="570" spans="1:16" x14ac:dyDescent="0.3">
      <c r="A570" t="s">
        <v>7</v>
      </c>
      <c r="B570" s="13">
        <v>4</v>
      </c>
      <c r="C570" s="7">
        <v>0</v>
      </c>
      <c r="D570" s="8">
        <v>0</v>
      </c>
      <c r="E570" s="8">
        <v>5</v>
      </c>
      <c r="F570" s="8">
        <v>36</v>
      </c>
      <c r="G570" s="28">
        <v>200</v>
      </c>
      <c r="H570" s="1">
        <f>SUM(C570:G570)</f>
        <v>241</v>
      </c>
      <c r="I570" s="10">
        <f>G570/H570</f>
        <v>0.82987551867219922</v>
      </c>
      <c r="J570" s="11">
        <f>1-I570</f>
        <v>0.17012448132780078</v>
      </c>
      <c r="K570">
        <f>H570-G571</f>
        <v>-54</v>
      </c>
      <c r="N570" s="10">
        <f>2*(G572*I570)/(G572+I570)</f>
        <v>0.74626865671641784</v>
      </c>
      <c r="O570" s="1">
        <v>264</v>
      </c>
      <c r="P570" s="1">
        <v>14518</v>
      </c>
    </row>
    <row r="571" spans="1:16" ht="15.6" x14ac:dyDescent="0.35">
      <c r="B571" s="1" t="s">
        <v>19</v>
      </c>
      <c r="C571" s="1">
        <f>SUM(C566:C570)</f>
        <v>56</v>
      </c>
      <c r="D571" s="1">
        <f>SUM(D566:D570)</f>
        <v>147</v>
      </c>
      <c r="E571" s="1">
        <f>SUM(E566:E570)</f>
        <v>1740</v>
      </c>
      <c r="F571" s="1">
        <f>SUM(F566:F570)</f>
        <v>612</v>
      </c>
      <c r="G571" s="1">
        <f>SUM(G566:G570)</f>
        <v>295</v>
      </c>
      <c r="H571" s="1">
        <f>SUM(H565:H570)</f>
        <v>2850</v>
      </c>
      <c r="I571" s="13" t="s">
        <v>12</v>
      </c>
      <c r="N571" s="16" t="s">
        <v>36</v>
      </c>
      <c r="O571" s="1">
        <f>SUM(O566:O570)</f>
        <v>1852</v>
      </c>
      <c r="P571" s="1">
        <f>SUM(P566:P570)</f>
        <v>43225</v>
      </c>
    </row>
    <row r="572" spans="1:16" x14ac:dyDescent="0.3">
      <c r="A572" s="1" t="s">
        <v>57</v>
      </c>
      <c r="B572" s="1" t="s">
        <v>2</v>
      </c>
      <c r="C572" s="10">
        <f>C566/C571</f>
        <v>1</v>
      </c>
      <c r="D572" s="10">
        <f>D567/D571</f>
        <v>0.59863945578231292</v>
      </c>
      <c r="E572" s="10">
        <f>E568/E571</f>
        <v>0.99080459770114937</v>
      </c>
      <c r="F572" s="10">
        <f>F569/F571</f>
        <v>0.91339869281045749</v>
      </c>
      <c r="G572" s="10">
        <f>G570/G571</f>
        <v>0.67796610169491522</v>
      </c>
      <c r="H572" s="10"/>
      <c r="I572" s="14">
        <f>(C566+D567+E568+F569+G570)/H571</f>
        <v>0.92175438596491233</v>
      </c>
    </row>
    <row r="573" spans="1:16" x14ac:dyDescent="0.3">
      <c r="B573" s="1" t="s">
        <v>14</v>
      </c>
      <c r="C573" s="11">
        <f>1-C572</f>
        <v>0</v>
      </c>
      <c r="D573" s="11">
        <f>1-D572</f>
        <v>0.40136054421768708</v>
      </c>
      <c r="E573" s="11">
        <f>1-E572</f>
        <v>9.1954022988506301E-3</v>
      </c>
      <c r="F573" s="11">
        <f>1-F572</f>
        <v>8.6601307189542509E-2</v>
      </c>
      <c r="G573" s="11">
        <f>1-G572</f>
        <v>0.32203389830508478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 t="shared" ref="C577:G581" si="72">(C566/$L577)*$O577</f>
        <v>1.5725259631383042</v>
      </c>
      <c r="D577" s="31">
        <f t="shared" si="72"/>
        <v>0</v>
      </c>
      <c r="E577" s="31">
        <f t="shared" si="72"/>
        <v>0</v>
      </c>
      <c r="F577" s="31">
        <f t="shared" si="72"/>
        <v>0</v>
      </c>
      <c r="G577" s="32">
        <f t="shared" si="72"/>
        <v>0</v>
      </c>
      <c r="H577" s="17">
        <f>SUM(C577:G577)</f>
        <v>1.5725259631383042</v>
      </c>
      <c r="I577" s="17">
        <f>C577/H577*100</f>
        <v>100</v>
      </c>
      <c r="J577" s="17">
        <f>SQRT(I577*(100-I577)/(L577-1))</f>
        <v>0</v>
      </c>
      <c r="K577" s="18">
        <f>100-I577</f>
        <v>0</v>
      </c>
      <c r="L577" s="1">
        <f>H566</f>
        <v>56</v>
      </c>
      <c r="M577">
        <v>0</v>
      </c>
      <c r="N577">
        <v>3031.38</v>
      </c>
      <c r="O577" s="17">
        <f>N577/N582*100</f>
        <v>1.5725259631383042</v>
      </c>
      <c r="P577" s="52">
        <f>((O577*O577*(I577/100)*(K577/100))/(L577-1))</f>
        <v>0</v>
      </c>
    </row>
    <row r="578" spans="1:16" x14ac:dyDescent="0.3">
      <c r="A578" t="s">
        <v>4</v>
      </c>
      <c r="B578" s="13">
        <v>1</v>
      </c>
      <c r="C578" s="33">
        <f t="shared" si="72"/>
        <v>0</v>
      </c>
      <c r="D578" s="34">
        <f t="shared" si="72"/>
        <v>7.8155855780630112</v>
      </c>
      <c r="E578" s="19">
        <f t="shared" si="72"/>
        <v>0.35525388991195506</v>
      </c>
      <c r="F578" s="18">
        <f t="shared" si="72"/>
        <v>0</v>
      </c>
      <c r="G578" s="20">
        <f t="shared" si="72"/>
        <v>0</v>
      </c>
      <c r="H578" s="17">
        <f>SUM(C578:G578)</f>
        <v>8.1708394679749663</v>
      </c>
      <c r="I578" s="17">
        <f>D578/H578*100</f>
        <v>95.652173913043484</v>
      </c>
      <c r="J578" s="17">
        <f>SQRT(I578*(100-I578)/(L578-1))</f>
        <v>2.1377790082367012</v>
      </c>
      <c r="K578" s="18">
        <f>100-I578</f>
        <v>4.3478260869565162</v>
      </c>
      <c r="L578" s="1">
        <f>H567</f>
        <v>92</v>
      </c>
      <c r="M578">
        <v>1</v>
      </c>
      <c r="N578">
        <v>15751.04</v>
      </c>
      <c r="O578" s="17">
        <f>N578/N582*100</f>
        <v>8.1708394679749663</v>
      </c>
      <c r="P578" s="52">
        <f>((O578*O578*(I578/100)*(K578/100))/(L578-1))</f>
        <v>3.0511177786226997E-2</v>
      </c>
    </row>
    <row r="579" spans="1:16" x14ac:dyDescent="0.3">
      <c r="A579" t="s">
        <v>5</v>
      </c>
      <c r="B579" s="13">
        <v>2</v>
      </c>
      <c r="C579" s="33">
        <f t="shared" si="72"/>
        <v>0</v>
      </c>
      <c r="D579" s="19">
        <f t="shared" si="72"/>
        <v>1.1687379922241001</v>
      </c>
      <c r="E579" s="34">
        <f t="shared" si="72"/>
        <v>41.120495889680583</v>
      </c>
      <c r="F579" s="19">
        <f t="shared" si="72"/>
        <v>0.4054805279144838</v>
      </c>
      <c r="G579" s="20">
        <f t="shared" si="72"/>
        <v>0.42933232367415924</v>
      </c>
      <c r="H579" s="17">
        <f>SUM(C579:G579)</f>
        <v>43.12404673349333</v>
      </c>
      <c r="I579" s="17">
        <f>E579/H579*100</f>
        <v>95.353982300884937</v>
      </c>
      <c r="J579" s="17">
        <f>SQRT(I579*(100-I579)/(L579-1))</f>
        <v>0.49514314558110045</v>
      </c>
      <c r="K579" s="18">
        <f>100-I579</f>
        <v>4.6460176991150632</v>
      </c>
      <c r="L579" s="1">
        <f>H568</f>
        <v>1808</v>
      </c>
      <c r="M579">
        <v>2</v>
      </c>
      <c r="N579">
        <v>83130.820000000007</v>
      </c>
      <c r="O579" s="17">
        <f>N579/N582*100</f>
        <v>43.12404673349333</v>
      </c>
      <c r="P579" s="52">
        <f>((O579*O579*(I579/100)*(K579/100))/(L579-1))</f>
        <v>4.5593250823336068E-2</v>
      </c>
    </row>
    <row r="580" spans="1:16" x14ac:dyDescent="0.3">
      <c r="A580" t="s">
        <v>6</v>
      </c>
      <c r="B580" s="13">
        <v>3</v>
      </c>
      <c r="C580" s="33">
        <f t="shared" si="72"/>
        <v>0</v>
      </c>
      <c r="D580" s="19">
        <f t="shared" si="72"/>
        <v>0.46532590096949272</v>
      </c>
      <c r="E580" s="19">
        <f t="shared" si="72"/>
        <v>0.32572813067864492</v>
      </c>
      <c r="F580" s="34">
        <f t="shared" si="72"/>
        <v>26.01171786419464</v>
      </c>
      <c r="G580" s="20">
        <f t="shared" si="72"/>
        <v>3.583009437465094</v>
      </c>
      <c r="H580" s="17">
        <f>SUM(C580:G580)</f>
        <v>30.385781333307872</v>
      </c>
      <c r="I580" s="17">
        <f>F580/H580*100</f>
        <v>85.604900459418062</v>
      </c>
      <c r="J580" s="17">
        <f>SQRT(I580*(100-I580)/(L580-1))</f>
        <v>1.374778879752335</v>
      </c>
      <c r="K580" s="18">
        <f>100-I580</f>
        <v>14.395099540581938</v>
      </c>
      <c r="L580" s="1">
        <f>H569</f>
        <v>653</v>
      </c>
      <c r="M580">
        <v>3</v>
      </c>
      <c r="N580">
        <v>58575.09</v>
      </c>
      <c r="O580" s="17">
        <f>N580/N582*100</f>
        <v>30.385781333307875</v>
      </c>
      <c r="P580" s="52">
        <f>((O580*O580*(I580/100)*(K580/100))/(L580-1))</f>
        <v>0.17450445533535874</v>
      </c>
    </row>
    <row r="581" spans="1:16" x14ac:dyDescent="0.3">
      <c r="A581" t="s">
        <v>7</v>
      </c>
      <c r="B581" s="13">
        <v>4</v>
      </c>
      <c r="C581" s="35">
        <f t="shared" si="72"/>
        <v>0</v>
      </c>
      <c r="D581" s="36">
        <f t="shared" si="72"/>
        <v>0</v>
      </c>
      <c r="E581" s="21">
        <f t="shared" si="72"/>
        <v>0.34744411830052957</v>
      </c>
      <c r="F581" s="21">
        <f t="shared" si="72"/>
        <v>2.501597651763813</v>
      </c>
      <c r="G581" s="37">
        <f t="shared" si="72"/>
        <v>13.897764732021184</v>
      </c>
      <c r="H581" s="17">
        <f>SUM(C581:G581)</f>
        <v>16.746806502085526</v>
      </c>
      <c r="I581" s="17">
        <f>G581/H581*100</f>
        <v>82.987551867219921</v>
      </c>
      <c r="J581" s="17">
        <f>SQRT(I581*(100-I581)/(L581-1))</f>
        <v>2.425404967738614</v>
      </c>
      <c r="K581" s="18">
        <f>100-I581</f>
        <v>17.012448132780079</v>
      </c>
      <c r="L581" s="1">
        <f>H570</f>
        <v>241</v>
      </c>
      <c r="M581">
        <v>4</v>
      </c>
      <c r="N581">
        <v>32283.05</v>
      </c>
      <c r="O581" s="17">
        <f>N581/N582*100</f>
        <v>16.746806502085526</v>
      </c>
      <c r="P581" s="52">
        <f>((O581*O581*(I581/100)*(K581/100))/(L581-1))</f>
        <v>0.16498046763356425</v>
      </c>
    </row>
    <row r="582" spans="1:16" x14ac:dyDescent="0.3">
      <c r="B582" t="s">
        <v>28</v>
      </c>
      <c r="C582" s="17">
        <f t="shared" ref="C582:H582" si="73">SUM(C577:C581)</f>
        <v>1.5725259631383042</v>
      </c>
      <c r="D582" s="17">
        <f t="shared" si="73"/>
        <v>9.4496494712566044</v>
      </c>
      <c r="E582" s="17">
        <f t="shared" si="73"/>
        <v>42.148922028571718</v>
      </c>
      <c r="F582" s="17">
        <f t="shared" si="73"/>
        <v>28.918796043872938</v>
      </c>
      <c r="G582" s="17">
        <f t="shared" si="73"/>
        <v>17.910106493160438</v>
      </c>
      <c r="H582" s="18">
        <f t="shared" si="73"/>
        <v>100</v>
      </c>
      <c r="I582" s="13" t="s">
        <v>24</v>
      </c>
      <c r="J582" s="12" t="s">
        <v>29</v>
      </c>
      <c r="N582" s="1">
        <f>SUM(N577:N581)</f>
        <v>192771.38</v>
      </c>
      <c r="O582" s="17">
        <f>SUM(O577:O581)</f>
        <v>100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0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0.28039572300262372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0.33820798828769327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0.57592016209776886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0.56701061998534574</v>
      </c>
      <c r="H583" s="1"/>
      <c r="I583" s="56">
        <f>(C577+D578+E579+F580+G581)/H582</f>
        <v>0.90418090027097719</v>
      </c>
      <c r="J583" s="53">
        <f>SQRT(SUM(P577:P581))/100</f>
        <v>6.4466219958865759E-3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82.707677166608207</v>
      </c>
      <c r="E584" s="17">
        <f>E579/E582*100</f>
        <v>97.560017933094485</v>
      </c>
      <c r="F584" s="17">
        <f>F580/F582*100</f>
        <v>89.947443955592249</v>
      </c>
      <c r="G584" s="17">
        <f>G581/G582*100</f>
        <v>77.597331636908478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3.7325398461905341</v>
      </c>
      <c r="E585" s="18">
        <f>SQRT((E588+E589)/(E582*E582))</f>
        <v>0.6216102664255605</v>
      </c>
      <c r="F585" s="18">
        <f>SQRT((F588+F589)/(F582*F582))</f>
        <v>1.9073057166474712</v>
      </c>
      <c r="G585" s="18">
        <f>SQRT((G588+G589)/(G582*G582))</f>
        <v>5.3635937817644228</v>
      </c>
      <c r="H585" s="1"/>
      <c r="I585" s="14"/>
    </row>
    <row r="586" spans="1:16" x14ac:dyDescent="0.3">
      <c r="B586" s="1" t="s">
        <v>37</v>
      </c>
      <c r="C586" s="18">
        <f>100-C584</f>
        <v>0</v>
      </c>
      <c r="D586" s="18">
        <f>100-D584</f>
        <v>17.292322833391793</v>
      </c>
      <c r="E586" s="18">
        <f>100-E584</f>
        <v>2.4399820669055146</v>
      </c>
      <c r="F586" s="18">
        <f>100-F584</f>
        <v>10.052556044407751</v>
      </c>
      <c r="G586" s="18">
        <f>100-G584</f>
        <v>22.402668363091522</v>
      </c>
    </row>
    <row r="587" spans="1:16" ht="15.6" x14ac:dyDescent="0.35">
      <c r="B587" s="1" t="s">
        <v>25</v>
      </c>
      <c r="C587" s="1">
        <f>C571</f>
        <v>56</v>
      </c>
      <c r="D587" s="1">
        <f>D571</f>
        <v>147</v>
      </c>
      <c r="E587" s="1">
        <f>E571</f>
        <v>1740</v>
      </c>
      <c r="F587" s="1">
        <f>F571</f>
        <v>612</v>
      </c>
      <c r="G587" s="1">
        <f>G571</f>
        <v>295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912.3587514858142</v>
      </c>
      <c r="E588" s="18">
        <f>(O579*O579*(100-E584)*(100-E584)*(I579)*(100-I579))/((L579-1)*100)</f>
        <v>27.143998809147067</v>
      </c>
      <c r="F588" s="18">
        <f>(O580*O580*(100-F584)*(100-F584)*(I580)*(100-I580))/((L580-1)*100)</f>
        <v>1763.4352816967998</v>
      </c>
      <c r="G588" s="18">
        <f>(O581*O581*(100-G584)*(100-G584)*(I581)*(100-I581))/((L581-1)*100)</f>
        <v>8280.0322819526154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331.69831713713438</v>
      </c>
      <c r="E589" s="18">
        <f>E584*E584*(SUM((H577*E577*(1-E566/H566))/(H566-1),(H578*E578*(1-E567/H567))/(H567-1), (H580*E580*(1-E569/H569))/(H569-1),(H581*E581*(1-E570/H570))/(H570-1)))</f>
        <v>659.30662018260614</v>
      </c>
      <c r="F589" s="18">
        <f>F584*F584*(SUM((H577*F577*(1-F566/H566))/(H566-1),(H578*F578*(1-F567/H567))/(H567-1), (H579*F579*(1-F568/H568))/(H568-1),(H581*F581*(1-F570/H570))/(H570-1)))</f>
        <v>1278.8577140320435</v>
      </c>
      <c r="G589" s="18">
        <f>G584*G584*(SUM((H577*G577*(1-G566/H566))/(H566-1),(H578*G578*(1-G567/H567))/(H567-1), (H579*G579*(1-G568/H568))/(H568-1),(H580*G580*(1-G569/H569))/(H569-1)))</f>
        <v>947.97850572700622</v>
      </c>
    </row>
    <row r="590" spans="1:16" x14ac:dyDescent="0.3">
      <c r="A590" s="105" t="s">
        <v>390</v>
      </c>
      <c r="B590" s="69" t="s">
        <v>9</v>
      </c>
      <c r="C590" s="1">
        <v>269.37</v>
      </c>
      <c r="D590" s="1">
        <v>973.41</v>
      </c>
      <c r="E590" s="1">
        <v>13647.81</v>
      </c>
      <c r="F590" s="1">
        <v>3811.77</v>
      </c>
      <c r="G590">
        <v>3353.01</v>
      </c>
      <c r="I590" t="s">
        <v>36</v>
      </c>
      <c r="J590" s="57">
        <f>SUM(C590:G590)</f>
        <v>22055.370000000003</v>
      </c>
    </row>
    <row r="591" spans="1:16" x14ac:dyDescent="0.3">
      <c r="B591" t="s">
        <v>391</v>
      </c>
      <c r="C591" s="57">
        <f>(C590/$J590)*100</f>
        <v>1.2213352122408283</v>
      </c>
      <c r="D591" s="57">
        <f>(D590/$J590)*100</f>
        <v>4.4134829748945492</v>
      </c>
      <c r="E591" s="57">
        <f>(E590/$J590)*100</f>
        <v>61.879759895209183</v>
      </c>
      <c r="F591" s="57">
        <f>(F590/$J590)*100</f>
        <v>17.282729784175007</v>
      </c>
      <c r="G591" s="57">
        <f>(G590/$J590)*100</f>
        <v>15.202692133480417</v>
      </c>
    </row>
    <row r="592" spans="1:16" x14ac:dyDescent="0.3">
      <c r="A592" s="361"/>
      <c r="B592" s="361"/>
      <c r="C592" s="361"/>
      <c r="D592" s="361"/>
      <c r="E592" s="361"/>
      <c r="F592" s="361"/>
      <c r="G592" s="361"/>
      <c r="H592" s="361"/>
      <c r="I592" s="361"/>
      <c r="J592" s="361"/>
      <c r="K592" s="361"/>
      <c r="L592" s="361"/>
      <c r="M592" s="361"/>
      <c r="N592" s="361"/>
      <c r="O592" s="361"/>
      <c r="P592" s="361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61"/>
      <c r="B621" s="361"/>
      <c r="C621" s="361"/>
      <c r="D621" s="361"/>
      <c r="E621" s="361"/>
      <c r="F621" s="361"/>
      <c r="G621" s="361"/>
      <c r="H621" s="361"/>
      <c r="I621" s="361"/>
      <c r="J621" s="361"/>
      <c r="K621" s="361"/>
      <c r="L621" s="361"/>
      <c r="M621" s="361"/>
      <c r="N621" s="361"/>
      <c r="O621" s="361"/>
      <c r="P621" s="361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61"/>
      <c r="B650" s="361"/>
      <c r="C650" s="361"/>
      <c r="D650" s="361"/>
      <c r="E650" s="361"/>
      <c r="F650" s="361"/>
      <c r="G650" s="361"/>
      <c r="H650" s="361"/>
      <c r="I650" s="361"/>
      <c r="J650" s="361"/>
      <c r="K650" s="361"/>
      <c r="L650" s="361"/>
      <c r="M650" s="361"/>
      <c r="N650" s="361"/>
      <c r="O650" s="361"/>
      <c r="P650" s="361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61"/>
      <c r="B679" s="361"/>
      <c r="C679" s="361"/>
      <c r="D679" s="361"/>
      <c r="E679" s="361"/>
      <c r="F679" s="361"/>
      <c r="G679" s="361"/>
      <c r="H679" s="361"/>
      <c r="I679" s="361"/>
      <c r="J679" s="361"/>
      <c r="K679" s="361"/>
      <c r="L679" s="361"/>
      <c r="M679" s="361"/>
      <c r="N679" s="361"/>
      <c r="O679" s="361"/>
      <c r="P679" s="361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61"/>
      <c r="B708" s="361"/>
      <c r="C708" s="361"/>
      <c r="D708" s="361"/>
      <c r="E708" s="361"/>
      <c r="F708" s="361"/>
      <c r="G708" s="361"/>
      <c r="H708" s="361"/>
      <c r="I708" s="361"/>
      <c r="J708" s="361"/>
      <c r="K708" s="361"/>
      <c r="L708" s="361"/>
      <c r="M708" s="361"/>
      <c r="N708" s="361"/>
      <c r="O708" s="361"/>
      <c r="P708" s="361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61"/>
      <c r="B737" s="361"/>
      <c r="C737" s="361"/>
      <c r="D737" s="361"/>
      <c r="E737" s="361"/>
      <c r="F737" s="361"/>
      <c r="G737" s="361"/>
      <c r="H737" s="361"/>
      <c r="I737" s="361"/>
      <c r="J737" s="361"/>
      <c r="K737" s="361"/>
      <c r="L737" s="361"/>
      <c r="M737" s="361"/>
      <c r="N737" s="361"/>
      <c r="O737" s="361"/>
      <c r="P737" s="361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61"/>
      <c r="B766" s="361"/>
      <c r="C766" s="361"/>
      <c r="D766" s="361"/>
      <c r="E766" s="361"/>
      <c r="F766" s="361"/>
      <c r="G766" s="361"/>
      <c r="H766" s="361"/>
      <c r="I766" s="361"/>
      <c r="J766" s="361"/>
      <c r="K766" s="361"/>
      <c r="L766" s="361"/>
      <c r="M766" s="361"/>
      <c r="N766" s="361"/>
      <c r="O766" s="361"/>
      <c r="P766" s="361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61"/>
      <c r="B795" s="361"/>
      <c r="C795" s="361"/>
      <c r="D795" s="361"/>
      <c r="E795" s="361"/>
      <c r="F795" s="361"/>
      <c r="G795" s="361"/>
      <c r="H795" s="361"/>
      <c r="I795" s="361"/>
      <c r="J795" s="361"/>
      <c r="K795" s="361"/>
      <c r="L795" s="361"/>
      <c r="M795" s="361"/>
      <c r="N795" s="361"/>
      <c r="O795" s="361"/>
      <c r="P795" s="361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61"/>
      <c r="B824" s="361"/>
      <c r="C824" s="361"/>
      <c r="D824" s="361"/>
      <c r="E824" s="361"/>
      <c r="F824" s="361"/>
      <c r="G824" s="361"/>
      <c r="H824" s="361"/>
      <c r="I824" s="361"/>
      <c r="J824" s="361"/>
      <c r="K824" s="361"/>
      <c r="L824" s="361"/>
      <c r="M824" s="361"/>
      <c r="N824" s="361"/>
      <c r="O824" s="361"/>
      <c r="P824" s="361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61"/>
      <c r="B853" s="361"/>
      <c r="C853" s="361"/>
      <c r="D853" s="361"/>
      <c r="E853" s="361"/>
      <c r="F853" s="361"/>
      <c r="G853" s="361"/>
      <c r="H853" s="361"/>
      <c r="I853" s="361"/>
      <c r="J853" s="361"/>
      <c r="K853" s="361"/>
      <c r="L853" s="361"/>
      <c r="M853" s="361"/>
      <c r="N853" s="361"/>
      <c r="O853" s="361"/>
      <c r="P853" s="361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61"/>
      <c r="B882" s="361"/>
      <c r="C882" s="361"/>
      <c r="D882" s="361"/>
      <c r="E882" s="361"/>
      <c r="F882" s="361"/>
      <c r="G882" s="361"/>
      <c r="H882" s="361"/>
      <c r="I882" s="361"/>
      <c r="J882" s="361"/>
      <c r="K882" s="361"/>
      <c r="L882" s="361"/>
      <c r="M882" s="361"/>
      <c r="N882" s="361"/>
      <c r="O882" s="361"/>
      <c r="P882" s="361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61"/>
      <c r="B911" s="361"/>
      <c r="C911" s="361"/>
      <c r="D911" s="361"/>
      <c r="E911" s="361"/>
      <c r="F911" s="361"/>
      <c r="G911" s="361"/>
      <c r="H911" s="361"/>
      <c r="I911" s="361"/>
      <c r="J911" s="361"/>
      <c r="K911" s="361"/>
      <c r="L911" s="361"/>
      <c r="M911" s="361"/>
      <c r="N911" s="361"/>
      <c r="O911" s="361"/>
      <c r="P911" s="361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61"/>
      <c r="B940" s="361"/>
      <c r="C940" s="361"/>
      <c r="D940" s="361"/>
      <c r="E940" s="361"/>
      <c r="F940" s="361"/>
      <c r="G940" s="361"/>
      <c r="H940" s="361"/>
      <c r="I940" s="361"/>
      <c r="J940" s="361"/>
      <c r="K940" s="361"/>
      <c r="L940" s="361"/>
      <c r="M940" s="361"/>
      <c r="N940" s="361"/>
      <c r="O940" s="361"/>
      <c r="P940" s="361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61"/>
      <c r="B969" s="361"/>
      <c r="C969" s="361"/>
      <c r="D969" s="361"/>
      <c r="E969" s="361"/>
      <c r="F969" s="361"/>
      <c r="G969" s="361"/>
      <c r="H969" s="361"/>
      <c r="I969" s="361"/>
      <c r="J969" s="361"/>
      <c r="K969" s="361"/>
      <c r="L969" s="361"/>
      <c r="M969" s="361"/>
      <c r="N969" s="361"/>
      <c r="O969" s="361"/>
      <c r="P969" s="361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61"/>
      <c r="B998" s="361"/>
      <c r="C998" s="361"/>
      <c r="D998" s="361"/>
      <c r="E998" s="361"/>
      <c r="F998" s="361"/>
      <c r="G998" s="361"/>
      <c r="H998" s="361"/>
      <c r="I998" s="361"/>
      <c r="J998" s="361"/>
      <c r="K998" s="361"/>
      <c r="L998" s="361"/>
      <c r="M998" s="361"/>
      <c r="N998" s="361"/>
      <c r="O998" s="361"/>
      <c r="P998" s="361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61"/>
      <c r="B1027" s="361"/>
      <c r="C1027" s="361"/>
      <c r="D1027" s="361"/>
      <c r="E1027" s="361"/>
      <c r="F1027" s="361"/>
      <c r="G1027" s="361"/>
      <c r="H1027" s="361"/>
      <c r="I1027" s="361"/>
      <c r="J1027" s="361"/>
      <c r="K1027" s="361"/>
      <c r="L1027" s="361"/>
      <c r="M1027" s="361"/>
      <c r="N1027" s="361"/>
      <c r="O1027" s="361"/>
      <c r="P1027" s="361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61"/>
      <c r="B1056" s="361"/>
      <c r="C1056" s="361"/>
      <c r="D1056" s="361"/>
      <c r="E1056" s="361"/>
      <c r="F1056" s="361"/>
      <c r="G1056" s="361"/>
      <c r="H1056" s="361"/>
      <c r="I1056" s="361"/>
      <c r="J1056" s="361"/>
      <c r="K1056" s="361"/>
      <c r="L1056" s="361"/>
      <c r="M1056" s="361"/>
      <c r="N1056" s="361"/>
      <c r="O1056" s="361"/>
      <c r="P1056" s="361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61"/>
      <c r="B1085" s="361"/>
      <c r="C1085" s="361"/>
      <c r="D1085" s="361"/>
      <c r="E1085" s="361"/>
      <c r="F1085" s="361"/>
      <c r="G1085" s="361"/>
      <c r="H1085" s="361"/>
      <c r="I1085" s="361"/>
      <c r="J1085" s="361"/>
      <c r="K1085" s="361"/>
      <c r="L1085" s="361"/>
      <c r="M1085" s="361"/>
      <c r="N1085" s="361"/>
      <c r="O1085" s="361"/>
      <c r="P1085" s="361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61"/>
      <c r="B1114" s="361"/>
      <c r="C1114" s="361"/>
      <c r="D1114" s="361"/>
      <c r="E1114" s="361"/>
      <c r="F1114" s="361"/>
      <c r="G1114" s="361"/>
      <c r="H1114" s="361"/>
      <c r="I1114" s="361"/>
      <c r="J1114" s="361"/>
      <c r="K1114" s="361"/>
      <c r="L1114" s="361"/>
      <c r="M1114" s="361"/>
      <c r="N1114" s="361"/>
      <c r="O1114" s="361"/>
      <c r="P1114" s="361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61"/>
      <c r="B1143" s="361"/>
      <c r="C1143" s="361"/>
      <c r="D1143" s="361"/>
      <c r="E1143" s="361"/>
      <c r="F1143" s="361"/>
      <c r="G1143" s="361"/>
      <c r="H1143" s="361"/>
      <c r="I1143" s="361"/>
      <c r="J1143" s="361"/>
      <c r="K1143" s="361"/>
      <c r="L1143" s="361"/>
      <c r="M1143" s="361"/>
      <c r="N1143" s="361"/>
      <c r="O1143" s="361"/>
      <c r="P1143" s="361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61"/>
      <c r="B1172" s="361"/>
      <c r="C1172" s="361"/>
      <c r="D1172" s="361"/>
      <c r="E1172" s="361"/>
      <c r="F1172" s="361"/>
      <c r="G1172" s="361"/>
      <c r="H1172" s="361"/>
      <c r="I1172" s="361"/>
      <c r="J1172" s="361"/>
      <c r="K1172" s="361"/>
      <c r="L1172" s="361"/>
      <c r="M1172" s="361"/>
      <c r="N1172" s="361"/>
      <c r="O1172" s="361"/>
      <c r="P1172" s="361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61"/>
      <c r="B1201" s="361"/>
      <c r="C1201" s="361"/>
      <c r="D1201" s="361"/>
      <c r="E1201" s="361"/>
      <c r="F1201" s="361"/>
      <c r="G1201" s="361"/>
      <c r="H1201" s="361"/>
      <c r="I1201" s="361"/>
      <c r="J1201" s="361"/>
      <c r="K1201" s="361"/>
      <c r="L1201" s="361"/>
      <c r="M1201" s="361"/>
      <c r="N1201" s="361"/>
      <c r="O1201" s="361"/>
      <c r="P1201" s="361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61"/>
      <c r="B1230" s="361"/>
      <c r="C1230" s="361"/>
      <c r="D1230" s="361"/>
      <c r="E1230" s="361"/>
      <c r="F1230" s="361"/>
      <c r="G1230" s="361"/>
      <c r="H1230" s="361"/>
      <c r="I1230" s="361"/>
      <c r="J1230" s="361"/>
      <c r="K1230" s="361"/>
      <c r="L1230" s="361"/>
      <c r="M1230" s="361"/>
      <c r="N1230" s="361"/>
      <c r="O1230" s="361"/>
      <c r="P1230" s="361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61"/>
      <c r="B1259" s="361"/>
      <c r="C1259" s="361"/>
      <c r="D1259" s="361"/>
      <c r="E1259" s="361"/>
      <c r="F1259" s="361"/>
      <c r="G1259" s="361"/>
      <c r="H1259" s="361"/>
      <c r="I1259" s="361"/>
      <c r="J1259" s="361"/>
      <c r="K1259" s="361"/>
      <c r="L1259" s="361"/>
      <c r="M1259" s="361"/>
      <c r="N1259" s="361"/>
      <c r="O1259" s="361"/>
      <c r="P1259" s="361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61"/>
      <c r="B1288" s="361"/>
      <c r="C1288" s="361"/>
      <c r="D1288" s="361"/>
      <c r="E1288" s="361"/>
      <c r="F1288" s="361"/>
      <c r="G1288" s="361"/>
      <c r="H1288" s="361"/>
      <c r="I1288" s="361"/>
      <c r="J1288" s="361"/>
      <c r="K1288" s="361"/>
      <c r="L1288" s="361"/>
      <c r="M1288" s="361"/>
      <c r="N1288" s="361"/>
      <c r="O1288" s="361"/>
      <c r="P1288" s="361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61"/>
      <c r="B1317" s="361"/>
      <c r="C1317" s="361"/>
      <c r="D1317" s="361"/>
      <c r="E1317" s="361"/>
      <c r="F1317" s="361"/>
      <c r="G1317" s="361"/>
      <c r="H1317" s="361"/>
      <c r="I1317" s="361"/>
      <c r="J1317" s="361"/>
      <c r="K1317" s="361"/>
      <c r="L1317" s="361"/>
      <c r="M1317" s="361"/>
      <c r="N1317" s="361"/>
      <c r="O1317" s="361"/>
      <c r="P1317" s="361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61"/>
      <c r="B1346" s="361"/>
      <c r="C1346" s="361"/>
      <c r="D1346" s="361"/>
      <c r="E1346" s="361"/>
      <c r="F1346" s="361"/>
      <c r="G1346" s="361"/>
      <c r="H1346" s="361"/>
      <c r="I1346" s="361"/>
      <c r="J1346" s="361"/>
      <c r="K1346" s="361"/>
      <c r="L1346" s="361"/>
      <c r="M1346" s="361"/>
      <c r="N1346" s="361"/>
      <c r="O1346" s="361"/>
      <c r="P1346" s="361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61"/>
      <c r="B1375" s="361"/>
      <c r="C1375" s="361"/>
      <c r="D1375" s="361"/>
      <c r="E1375" s="361"/>
      <c r="F1375" s="361"/>
      <c r="G1375" s="361"/>
      <c r="H1375" s="361"/>
      <c r="I1375" s="361"/>
      <c r="J1375" s="361"/>
      <c r="K1375" s="361"/>
      <c r="L1375" s="361"/>
      <c r="M1375" s="361"/>
      <c r="N1375" s="361"/>
      <c r="O1375" s="361"/>
      <c r="P1375" s="361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61"/>
      <c r="B1404" s="361"/>
      <c r="C1404" s="361"/>
      <c r="D1404" s="361"/>
      <c r="E1404" s="361"/>
      <c r="F1404" s="361"/>
      <c r="G1404" s="361"/>
      <c r="H1404" s="361"/>
      <c r="I1404" s="361"/>
      <c r="J1404" s="361"/>
      <c r="K1404" s="361"/>
      <c r="L1404" s="361"/>
      <c r="M1404" s="361"/>
      <c r="N1404" s="361"/>
      <c r="O1404" s="361"/>
      <c r="P1404" s="361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61"/>
      <c r="B1433" s="361"/>
      <c r="C1433" s="361"/>
      <c r="D1433" s="361"/>
      <c r="E1433" s="361"/>
      <c r="F1433" s="361"/>
      <c r="G1433" s="361"/>
      <c r="H1433" s="361"/>
      <c r="I1433" s="361"/>
      <c r="J1433" s="361"/>
      <c r="K1433" s="361"/>
      <c r="L1433" s="361"/>
      <c r="M1433" s="361"/>
      <c r="N1433" s="361"/>
      <c r="O1433" s="361"/>
      <c r="P1433" s="361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sortState xmlns:xlrd2="http://schemas.microsoft.com/office/spreadsheetml/2017/richdata2" ref="BQ114:BQ133">
    <sortCondition ref="BQ114:BQ133"/>
  </sortState>
  <mergeCells count="124">
    <mergeCell ref="A1433:K1433"/>
    <mergeCell ref="L1433:P1433"/>
    <mergeCell ref="BF5:BN5"/>
    <mergeCell ref="AJ80:AT80"/>
    <mergeCell ref="AU80:AY80"/>
    <mergeCell ref="A1346:K1346"/>
    <mergeCell ref="L1346:P1346"/>
    <mergeCell ref="A1375:K1375"/>
    <mergeCell ref="L1375:P1375"/>
    <mergeCell ref="A1404:K1404"/>
    <mergeCell ref="L1404:P1404"/>
    <mergeCell ref="A1259:K1259"/>
    <mergeCell ref="L1259:P1259"/>
    <mergeCell ref="A1288:K1288"/>
    <mergeCell ref="L1288:P1288"/>
    <mergeCell ref="A1317:K1317"/>
    <mergeCell ref="L1317:P1317"/>
    <mergeCell ref="A1172:K1172"/>
    <mergeCell ref="L1172:P1172"/>
    <mergeCell ref="A1201:K1201"/>
    <mergeCell ref="L1201:P1201"/>
    <mergeCell ref="A1230:K1230"/>
    <mergeCell ref="L1230:P1230"/>
    <mergeCell ref="A1085:K1085"/>
    <mergeCell ref="L1085:P1085"/>
    <mergeCell ref="A1114:K1114"/>
    <mergeCell ref="L1114:P1114"/>
    <mergeCell ref="A1143:K1143"/>
    <mergeCell ref="L1143:P1143"/>
    <mergeCell ref="A998:K998"/>
    <mergeCell ref="L998:P998"/>
    <mergeCell ref="A1027:K1027"/>
    <mergeCell ref="L1027:P1027"/>
    <mergeCell ref="A1056:K1056"/>
    <mergeCell ref="L1056:P1056"/>
    <mergeCell ref="A911:K911"/>
    <mergeCell ref="L911:P911"/>
    <mergeCell ref="A940:K940"/>
    <mergeCell ref="L940:P940"/>
    <mergeCell ref="A969:K969"/>
    <mergeCell ref="L969:P969"/>
    <mergeCell ref="A824:K824"/>
    <mergeCell ref="L824:P824"/>
    <mergeCell ref="A853:K853"/>
    <mergeCell ref="L853:P853"/>
    <mergeCell ref="A882:K882"/>
    <mergeCell ref="L882:P882"/>
    <mergeCell ref="A737:K737"/>
    <mergeCell ref="L737:P737"/>
    <mergeCell ref="A766:K766"/>
    <mergeCell ref="L766:P766"/>
    <mergeCell ref="A795:K795"/>
    <mergeCell ref="L795:P795"/>
    <mergeCell ref="A650:K650"/>
    <mergeCell ref="L650:P650"/>
    <mergeCell ref="A679:K679"/>
    <mergeCell ref="L679:P679"/>
    <mergeCell ref="A708:K708"/>
    <mergeCell ref="L708:P708"/>
    <mergeCell ref="A563:K563"/>
    <mergeCell ref="L563:P563"/>
    <mergeCell ref="A592:K592"/>
    <mergeCell ref="L592:P592"/>
    <mergeCell ref="A621:K621"/>
    <mergeCell ref="L621:P621"/>
    <mergeCell ref="A476:K476"/>
    <mergeCell ref="L476:P476"/>
    <mergeCell ref="A505:K505"/>
    <mergeCell ref="L505:P505"/>
    <mergeCell ref="A534:K534"/>
    <mergeCell ref="L534:P534"/>
    <mergeCell ref="A447:K447"/>
    <mergeCell ref="L447:P447"/>
    <mergeCell ref="A302:K302"/>
    <mergeCell ref="L302:P302"/>
    <mergeCell ref="A331:K331"/>
    <mergeCell ref="L331:P331"/>
    <mergeCell ref="A360:K360"/>
    <mergeCell ref="L360:P360"/>
    <mergeCell ref="O390:P390"/>
    <mergeCell ref="O419:P419"/>
    <mergeCell ref="A273:K273"/>
    <mergeCell ref="O13:P13"/>
    <mergeCell ref="O42:P42"/>
    <mergeCell ref="O71:P71"/>
    <mergeCell ref="O100:P100"/>
    <mergeCell ref="A389:K389"/>
    <mergeCell ref="L389:P389"/>
    <mergeCell ref="A418:K418"/>
    <mergeCell ref="L418:P418"/>
    <mergeCell ref="A70:K70"/>
    <mergeCell ref="L70:P70"/>
    <mergeCell ref="A157:K157"/>
    <mergeCell ref="L157:P157"/>
    <mergeCell ref="A186:K186"/>
    <mergeCell ref="L186:P186"/>
    <mergeCell ref="A215:K215"/>
    <mergeCell ref="L215:P215"/>
    <mergeCell ref="A244:K244"/>
    <mergeCell ref="L244:P244"/>
    <mergeCell ref="B1:C1"/>
    <mergeCell ref="O448:P448"/>
    <mergeCell ref="O477:P477"/>
    <mergeCell ref="O506:P506"/>
    <mergeCell ref="O535:P535"/>
    <mergeCell ref="O564:P564"/>
    <mergeCell ref="O129:P129"/>
    <mergeCell ref="O158:P158"/>
    <mergeCell ref="O187:P187"/>
    <mergeCell ref="O216:P216"/>
    <mergeCell ref="O245:P245"/>
    <mergeCell ref="O274:P274"/>
    <mergeCell ref="O303:P303"/>
    <mergeCell ref="O332:P332"/>
    <mergeCell ref="O361:P361"/>
    <mergeCell ref="A99:K99"/>
    <mergeCell ref="L99:P99"/>
    <mergeCell ref="A128:K128"/>
    <mergeCell ref="L128:P128"/>
    <mergeCell ref="L273:P273"/>
    <mergeCell ref="A12:K12"/>
    <mergeCell ref="L12:P12"/>
    <mergeCell ref="A41:K41"/>
    <mergeCell ref="L41:P41"/>
  </mergeCells>
  <phoneticPr fontId="4" type="noConversion"/>
  <pageMargins left="0.7" right="0.7" top="0.75" bottom="0.75" header="0.3" footer="0.3"/>
  <ignoredErrors>
    <ignoredError sqref="F107:G107" formulaRange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3FCC7-AE0C-49AD-88F2-48C32EB794EB}">
  <dimension ref="A1:BN1459"/>
  <sheetViews>
    <sheetView topLeftCell="AF108" zoomScale="80" zoomScaleNormal="80" workbookViewId="0">
      <selection activeCell="AL109" sqref="AL109:AS135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  <col min="63" max="64" width="12" bestFit="1" customWidth="1"/>
    <col min="65" max="65" width="8.5546875" bestFit="1" customWidth="1"/>
  </cols>
  <sheetData>
    <row r="1" spans="1:66" x14ac:dyDescent="0.3">
      <c r="A1" s="12"/>
      <c r="B1" s="12" t="s">
        <v>10</v>
      </c>
      <c r="C1" s="12"/>
      <c r="D1" s="12"/>
      <c r="E1" s="12"/>
      <c r="F1" s="12"/>
      <c r="G1" t="s">
        <v>47</v>
      </c>
    </row>
    <row r="2" spans="1:66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G2" t="s">
        <v>46</v>
      </c>
      <c r="AG2" s="51" t="s">
        <v>127</v>
      </c>
      <c r="AH2" s="51" t="s">
        <v>131</v>
      </c>
    </row>
    <row r="3" spans="1:66" x14ac:dyDescent="0.3">
      <c r="A3" s="12" t="s">
        <v>3</v>
      </c>
      <c r="B3" s="103">
        <v>175.36</v>
      </c>
      <c r="C3" s="22">
        <f>B3/$B$8</f>
        <v>5.8291477331276827E-2</v>
      </c>
      <c r="D3" s="85">
        <v>0.02</v>
      </c>
      <c r="E3" s="86">
        <f>D3-C3</f>
        <v>-3.829147733127683E-2</v>
      </c>
      <c r="F3" s="12" t="s">
        <v>49</v>
      </c>
      <c r="G3" t="s">
        <v>50</v>
      </c>
      <c r="AG3" s="51" t="s">
        <v>128</v>
      </c>
      <c r="AH3" s="51" t="s">
        <v>134</v>
      </c>
    </row>
    <row r="4" spans="1:66" x14ac:dyDescent="0.3">
      <c r="A4" s="12" t="s">
        <v>4</v>
      </c>
      <c r="B4" s="103">
        <v>249.32</v>
      </c>
      <c r="C4" s="22">
        <f>B4/$B$8</f>
        <v>8.2876546123596809E-2</v>
      </c>
      <c r="D4" s="85">
        <v>7.0000000000000007E-2</v>
      </c>
      <c r="E4" s="86">
        <f>D4-C4</f>
        <v>-1.2876546123596802E-2</v>
      </c>
      <c r="F4" s="12" t="s">
        <v>49</v>
      </c>
      <c r="G4" t="s">
        <v>55</v>
      </c>
      <c r="AG4" s="51" t="s">
        <v>129</v>
      </c>
      <c r="AH4" s="51" t="s">
        <v>132</v>
      </c>
    </row>
    <row r="5" spans="1:66" ht="18" x14ac:dyDescent="0.35">
      <c r="A5" s="12" t="s">
        <v>5</v>
      </c>
      <c r="B5" s="103">
        <v>1402.65</v>
      </c>
      <c r="C5" s="22">
        <f>B5/$B$8</f>
        <v>0.46625536427187181</v>
      </c>
      <c r="D5" s="85">
        <v>0.48</v>
      </c>
      <c r="E5" s="86">
        <f>D5-C5</f>
        <v>1.3744635728128174E-2</v>
      </c>
      <c r="F5" s="12"/>
      <c r="AG5" s="51" t="s">
        <v>130</v>
      </c>
      <c r="AH5" s="51" t="s">
        <v>133</v>
      </c>
      <c r="BF5" s="362" t="s">
        <v>359</v>
      </c>
      <c r="BG5" s="362"/>
      <c r="BH5" s="362"/>
      <c r="BI5" s="362"/>
      <c r="BJ5" s="362"/>
      <c r="BK5" s="362"/>
      <c r="BL5" s="362"/>
      <c r="BM5" s="362"/>
      <c r="BN5" s="362"/>
    </row>
    <row r="6" spans="1:66" x14ac:dyDescent="0.3">
      <c r="A6" s="12" t="s">
        <v>6</v>
      </c>
      <c r="B6" s="103">
        <v>728.96</v>
      </c>
      <c r="C6" s="22">
        <f>B6/$B$8</f>
        <v>0.2423138418989938</v>
      </c>
      <c r="D6" s="85">
        <v>0.28000000000000003</v>
      </c>
      <c r="E6" s="86">
        <f>D6-C6</f>
        <v>3.7686158101006229E-2</v>
      </c>
      <c r="F6" s="12"/>
      <c r="I6" s="12"/>
      <c r="J6" s="12" t="s">
        <v>54</v>
      </c>
      <c r="K6" s="12"/>
      <c r="AG6" s="51" t="s">
        <v>155</v>
      </c>
      <c r="AH6" s="51" t="s">
        <v>157</v>
      </c>
      <c r="BF6" s="12" t="s">
        <v>376</v>
      </c>
    </row>
    <row r="7" spans="1:66" x14ac:dyDescent="0.3">
      <c r="A7" s="12" t="s">
        <v>7</v>
      </c>
      <c r="B7" s="103">
        <v>452.04</v>
      </c>
      <c r="C7" s="22">
        <f>B7/$B$8</f>
        <v>0.15026277037426081</v>
      </c>
      <c r="D7" s="85">
        <v>0.15</v>
      </c>
      <c r="E7" s="86">
        <f>D7-C7</f>
        <v>-2.6277037426081229E-4</v>
      </c>
      <c r="F7" s="12"/>
      <c r="I7" s="12"/>
      <c r="J7" s="12">
        <v>5469</v>
      </c>
      <c r="K7" s="12"/>
      <c r="AG7" s="51" t="s">
        <v>156</v>
      </c>
      <c r="AH7" s="51" t="s">
        <v>158</v>
      </c>
    </row>
    <row r="8" spans="1:66" ht="18" x14ac:dyDescent="0.35">
      <c r="A8" s="12"/>
      <c r="B8" s="103">
        <f>SUM(B3:B7)</f>
        <v>3008.33</v>
      </c>
      <c r="C8" s="61">
        <f>SUM(C3:C7)</f>
        <v>1</v>
      </c>
      <c r="D8" s="12"/>
      <c r="E8" s="12" t="s">
        <v>16</v>
      </c>
      <c r="F8" s="12">
        <v>197365</v>
      </c>
      <c r="I8" s="12" t="s">
        <v>60</v>
      </c>
      <c r="J8" s="12" t="s">
        <v>54</v>
      </c>
      <c r="K8" s="12" t="s">
        <v>59</v>
      </c>
      <c r="AG8" s="51" t="s">
        <v>210</v>
      </c>
      <c r="AH8" s="51" t="s">
        <v>215</v>
      </c>
      <c r="BF8" s="83"/>
    </row>
    <row r="9" spans="1:66" x14ac:dyDescent="0.3">
      <c r="A9" s="12"/>
      <c r="B9" s="87">
        <f>B8/0.36</f>
        <v>8356.4722222222226</v>
      </c>
      <c r="C9" s="12" t="s">
        <v>48</v>
      </c>
      <c r="D9" s="12"/>
      <c r="E9" s="12" t="s">
        <v>51</v>
      </c>
      <c r="F9" s="88">
        <f>B8/F8</f>
        <v>1.5242469536138626E-2</v>
      </c>
      <c r="I9" s="12">
        <v>2850</v>
      </c>
      <c r="J9" s="12">
        <v>5020</v>
      </c>
      <c r="K9" s="89">
        <f>(J7-J9)/J7</f>
        <v>8.2099104040958132E-2</v>
      </c>
      <c r="AG9" s="51" t="s">
        <v>211</v>
      </c>
      <c r="AH9" s="51" t="s">
        <v>216</v>
      </c>
    </row>
    <row r="10" spans="1:66" x14ac:dyDescent="0.3">
      <c r="A10" s="130" t="s">
        <v>417</v>
      </c>
      <c r="B10" s="138">
        <v>43418</v>
      </c>
      <c r="F10" s="46"/>
      <c r="I10" s="89">
        <f>I9/(I9+J9)</f>
        <v>0.36213468869123255</v>
      </c>
      <c r="J10" s="89">
        <f>J9/(J9+I9)</f>
        <v>0.63786531130876745</v>
      </c>
      <c r="K10" s="12"/>
      <c r="AG10" s="51" t="s">
        <v>212</v>
      </c>
      <c r="AH10" s="51" t="s">
        <v>217</v>
      </c>
      <c r="BF10" s="82"/>
      <c r="BG10" s="1"/>
      <c r="BH10" s="59"/>
      <c r="BI10" s="1"/>
      <c r="BJ10" s="59"/>
      <c r="BK10" s="1"/>
    </row>
    <row r="11" spans="1:66" x14ac:dyDescent="0.3">
      <c r="B11" s="18"/>
      <c r="F11" s="46"/>
      <c r="I11" s="45"/>
      <c r="J11" s="45"/>
      <c r="AG11" s="51" t="s">
        <v>213</v>
      </c>
      <c r="AH11" s="51" t="s">
        <v>218</v>
      </c>
      <c r="BJ11" s="13"/>
      <c r="BK11" s="13"/>
    </row>
    <row r="12" spans="1:66" x14ac:dyDescent="0.3">
      <c r="A12" s="361">
        <v>1988</v>
      </c>
      <c r="B12" s="361"/>
      <c r="C12" s="361"/>
      <c r="D12" s="361"/>
      <c r="E12" s="361"/>
      <c r="F12" s="361"/>
      <c r="G12" s="361"/>
      <c r="H12" s="361"/>
      <c r="I12" s="361"/>
      <c r="J12" s="361"/>
      <c r="K12" s="361"/>
      <c r="L12" s="361" t="s">
        <v>52</v>
      </c>
      <c r="M12" s="361"/>
      <c r="N12" s="361"/>
      <c r="O12" s="361"/>
      <c r="P12" s="361"/>
      <c r="R12" s="47">
        <v>1988</v>
      </c>
      <c r="S12" s="47" t="s">
        <v>41</v>
      </c>
      <c r="T12" s="47"/>
      <c r="U12" s="47"/>
      <c r="V12" s="47"/>
      <c r="W12" s="47"/>
      <c r="X12" s="47"/>
      <c r="Y12" s="47"/>
      <c r="Z12" s="47"/>
      <c r="AA12" s="47"/>
      <c r="AB12" s="47" t="s">
        <v>63</v>
      </c>
      <c r="AC12" s="47"/>
      <c r="AD12" s="47"/>
      <c r="AE12" s="47"/>
      <c r="AF12" s="47"/>
      <c r="AG12" s="51" t="s">
        <v>214</v>
      </c>
      <c r="AH12" s="51" t="s">
        <v>219</v>
      </c>
      <c r="AW12" s="66"/>
      <c r="AX12" s="77" t="s">
        <v>328</v>
      </c>
      <c r="AY12" s="77" t="s">
        <v>331</v>
      </c>
      <c r="AZ12" s="77" t="s">
        <v>329</v>
      </c>
      <c r="BA12" s="77" t="s">
        <v>330</v>
      </c>
      <c r="BB12" s="77" t="s">
        <v>332</v>
      </c>
      <c r="BC12" s="77" t="s">
        <v>333</v>
      </c>
      <c r="BD12" s="77" t="s">
        <v>372</v>
      </c>
      <c r="BE12" s="13"/>
      <c r="BF12" s="12"/>
      <c r="BH12" s="59"/>
      <c r="BI12" s="49"/>
      <c r="BJ12" s="1"/>
      <c r="BK12" s="1"/>
    </row>
    <row r="13" spans="1:66" x14ac:dyDescent="0.3">
      <c r="A13" t="s">
        <v>320</v>
      </c>
      <c r="B13" t="s">
        <v>21</v>
      </c>
      <c r="I13" s="1" t="s">
        <v>58</v>
      </c>
      <c r="O13" s="360" t="s">
        <v>411</v>
      </c>
      <c r="P13" s="360"/>
      <c r="AG13" s="51" t="s">
        <v>324</v>
      </c>
      <c r="AH13" s="51" t="s">
        <v>326</v>
      </c>
      <c r="AW13" s="51" t="s">
        <v>131</v>
      </c>
      <c r="AX13" s="80">
        <f>MIN($AE$16:$AE$20)</f>
        <v>0.87473143136205</v>
      </c>
      <c r="AY13" s="80">
        <f>_xlfn.QUARTILE.EXC($AE$16:$AE$20,1)</f>
        <v>0.87631883912401076</v>
      </c>
      <c r="AZ13" s="80">
        <f>MEDIAN($AE$16:$AE$20)</f>
        <v>0.87870810881227568</v>
      </c>
      <c r="BA13" s="80">
        <f>AVERAGE($AE$16:$AE$20)</f>
        <v>0.87850347647186633</v>
      </c>
      <c r="BB13" s="80">
        <f>_xlfn.QUARTILE.EXC(AE16:AE20,3)</f>
        <v>0.88058579764951694</v>
      </c>
      <c r="BC13" s="80">
        <f>MAX(AE16:AE20)</f>
        <v>0.88140247050013665</v>
      </c>
      <c r="BD13" s="80">
        <f>(BB13-AY13)/AZ13</f>
        <v>4.8559453164415496E-3</v>
      </c>
      <c r="BE13" s="80"/>
      <c r="BF13" s="48"/>
      <c r="BH13" s="59"/>
      <c r="BI13" s="49"/>
      <c r="BJ13" s="1"/>
      <c r="BK13" s="1"/>
    </row>
    <row r="14" spans="1:66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56</v>
      </c>
      <c r="O14" s="13" t="s">
        <v>412</v>
      </c>
      <c r="P14" s="13" t="s">
        <v>41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325</v>
      </c>
      <c r="AH14" s="51" t="s">
        <v>327</v>
      </c>
      <c r="AW14" s="51" t="s">
        <v>134</v>
      </c>
      <c r="AX14" s="80">
        <f>MIN($AE$16:$AE$25)</f>
        <v>0.86942140408256363</v>
      </c>
      <c r="AY14" s="80">
        <f>_xlfn.QUARTILE.EXC($AE$16:$AE$25,1)</f>
        <v>0.87699873591053246</v>
      </c>
      <c r="AZ14" s="80">
        <f>MEDIAN($AE$16:$AE$25)</f>
        <v>0.87923861680558646</v>
      </c>
      <c r="BA14" s="80">
        <f>AVERAGE($AE$16:$AE$25)</f>
        <v>0.87897222969779443</v>
      </c>
      <c r="BB14" s="80">
        <f>_xlfn.QUARTILE.EXC($AE$16:$AE$25,3)</f>
        <v>0.88206192385778881</v>
      </c>
      <c r="BC14" s="80">
        <f>MAX($AE$16:$AE$25)</f>
        <v>0.88583821437193822</v>
      </c>
      <c r="BD14" s="80">
        <f t="shared" ref="BD14:BD25" si="0">(BB14-AY14)/AZ14</f>
        <v>5.758605059513559E-3</v>
      </c>
      <c r="BE14" s="80"/>
      <c r="BF14" s="48"/>
      <c r="BH14" s="59"/>
      <c r="BI14" s="49"/>
      <c r="BJ14" s="1"/>
      <c r="BK14" s="1"/>
    </row>
    <row r="15" spans="1:66" x14ac:dyDescent="0.3">
      <c r="A15" t="s">
        <v>3</v>
      </c>
      <c r="B15" s="13">
        <v>0</v>
      </c>
      <c r="C15" s="26">
        <v>56</v>
      </c>
      <c r="D15" s="3">
        <v>0</v>
      </c>
      <c r="E15" s="3">
        <v>0</v>
      </c>
      <c r="F15" s="3">
        <v>0</v>
      </c>
      <c r="G15" s="4">
        <v>0</v>
      </c>
      <c r="H15" s="1">
        <f>SUM(C15:G15)</f>
        <v>56</v>
      </c>
      <c r="I15" s="10">
        <f>C15/H15</f>
        <v>1</v>
      </c>
      <c r="J15" s="11">
        <f>1-I15</f>
        <v>0</v>
      </c>
      <c r="K15">
        <f>H15-C20</f>
        <v>0</v>
      </c>
      <c r="N15" s="10">
        <f>2*(C21*I15)/(C21+I15)</f>
        <v>1</v>
      </c>
      <c r="O15" s="1"/>
      <c r="P15" s="1"/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77</v>
      </c>
      <c r="AF15" s="12" t="s">
        <v>29</v>
      </c>
      <c r="AH15" t="s">
        <v>125</v>
      </c>
      <c r="AI15" t="s">
        <v>126</v>
      </c>
      <c r="AW15" s="51" t="s">
        <v>132</v>
      </c>
      <c r="AX15" s="80">
        <f>MIN($AE$16:$AE$35)</f>
        <v>0.86942140408256363</v>
      </c>
      <c r="AY15" s="80">
        <f>_xlfn.QUARTILE.EXC($AE$16:$AE$35,1)</f>
        <v>0.87779243979151278</v>
      </c>
      <c r="AZ15" s="126">
        <f>MEDIAN($AE$16:$AE$35)</f>
        <v>0.87919530386364086</v>
      </c>
      <c r="BA15" s="126">
        <f>AVERAGE($AE$16:$AE$35)</f>
        <v>0.87957598899806688</v>
      </c>
      <c r="BB15" s="80">
        <f>_xlfn.QUARTILE.EXC($AE$16:$AE$35,3)</f>
        <v>0.88200228358098987</v>
      </c>
      <c r="BC15" s="80">
        <f>MAX($AE$16:$AE$35)</f>
        <v>0.88583821437193822</v>
      </c>
      <c r="BD15" s="80">
        <f t="shared" si="0"/>
        <v>4.7882919426171242E-3</v>
      </c>
      <c r="BE15" s="80"/>
      <c r="BF15" s="48"/>
      <c r="BH15" s="59"/>
      <c r="BI15" s="49"/>
      <c r="BJ15" s="1"/>
      <c r="BK15" s="1"/>
    </row>
    <row r="16" spans="1:66" x14ac:dyDescent="0.3">
      <c r="A16" t="s">
        <v>4</v>
      </c>
      <c r="B16" s="13">
        <v>1</v>
      </c>
      <c r="C16" s="5">
        <v>0</v>
      </c>
      <c r="D16" s="27">
        <v>90</v>
      </c>
      <c r="E16" s="1">
        <v>2</v>
      </c>
      <c r="F16" s="1">
        <v>0</v>
      </c>
      <c r="G16" s="6">
        <v>0</v>
      </c>
      <c r="H16" s="1">
        <f>SUM(C16:G16)</f>
        <v>92</v>
      </c>
      <c r="I16" s="10">
        <f>D16/H16</f>
        <v>0.97826086956521741</v>
      </c>
      <c r="J16" s="11">
        <f>1-I16</f>
        <v>2.1739130434782594E-2</v>
      </c>
      <c r="K16">
        <f>H16-D20</f>
        <v>-11</v>
      </c>
      <c r="N16" s="10">
        <f>2*(D21*I16)/(D21+I16)</f>
        <v>0.92307692307692302</v>
      </c>
      <c r="O16" s="1"/>
      <c r="P16" s="1"/>
      <c r="R16" t="s">
        <v>70</v>
      </c>
      <c r="S16" t="s">
        <v>28</v>
      </c>
      <c r="T16" s="57">
        <f t="shared" ref="T16:X19" si="1">C31</f>
        <v>1.1242475232424811</v>
      </c>
      <c r="U16" s="57">
        <f t="shared" si="1"/>
        <v>5.132304342052441</v>
      </c>
      <c r="V16" s="57">
        <f t="shared" si="1"/>
        <v>53.356809643994687</v>
      </c>
      <c r="W16" s="57">
        <f t="shared" si="1"/>
        <v>19.551227571041153</v>
      </c>
      <c r="X16" s="57">
        <f t="shared" si="1"/>
        <v>20.83541091966924</v>
      </c>
      <c r="AC16" t="s">
        <v>70</v>
      </c>
      <c r="AD16" s="51">
        <f>I21</f>
        <v>0.88736842105263158</v>
      </c>
      <c r="AE16" s="55">
        <f>I32</f>
        <v>0.87870810881227568</v>
      </c>
      <c r="AF16" s="55">
        <f>J32</f>
        <v>6.730379954639606E-3</v>
      </c>
      <c r="AH16">
        <v>21</v>
      </c>
      <c r="AI16">
        <v>32</v>
      </c>
      <c r="AW16" s="51" t="s">
        <v>133</v>
      </c>
      <c r="AX16" s="80">
        <f>MIN($AE$16:$AE$45)</f>
        <v>0.86942140408256363</v>
      </c>
      <c r="AY16" s="80">
        <f>_xlfn.QUARTILE.EXC($AE$16:$AE$45,1)</f>
        <v>0.87829280323781833</v>
      </c>
      <c r="AZ16" s="80">
        <f>MEDIAN($AE$16:$AE$45)</f>
        <v>0.88013622220210297</v>
      </c>
      <c r="BA16" s="80">
        <f>AVERAGE($AE$16:$AE$45)</f>
        <v>0.87977677865848769</v>
      </c>
      <c r="BB16" s="80">
        <f>_xlfn.QUARTILE.EXC($AE$16:$AE$45,3)</f>
        <v>0.88194994738256438</v>
      </c>
      <c r="BC16" s="80">
        <f>MAX($AE$16:$AE$45)</f>
        <v>0.88583821437193822</v>
      </c>
      <c r="BD16" s="80">
        <f t="shared" si="0"/>
        <v>4.1552024021870911E-3</v>
      </c>
      <c r="BE16" s="80"/>
      <c r="BF16" s="48"/>
      <c r="BH16" s="59"/>
      <c r="BI16" s="49"/>
      <c r="BJ16" s="1"/>
      <c r="BK16" s="1"/>
    </row>
    <row r="17" spans="1:66" x14ac:dyDescent="0.3">
      <c r="A17" t="s">
        <v>5</v>
      </c>
      <c r="B17" s="13">
        <v>2</v>
      </c>
      <c r="C17" s="5">
        <v>0</v>
      </c>
      <c r="D17" s="1">
        <v>13</v>
      </c>
      <c r="E17" s="27">
        <v>1656</v>
      </c>
      <c r="F17" s="1">
        <v>29</v>
      </c>
      <c r="G17" s="6">
        <v>110</v>
      </c>
      <c r="H17" s="1">
        <f>SUM(C17:G17)</f>
        <v>1808</v>
      </c>
      <c r="I17" s="10">
        <f>E17/H17</f>
        <v>0.91592920353982299</v>
      </c>
      <c r="J17" s="11">
        <f>1-I17</f>
        <v>8.4070796460177011E-2</v>
      </c>
      <c r="K17">
        <f>H17-E20</f>
        <v>116</v>
      </c>
      <c r="N17" s="10">
        <f>2*(E21*I17)/(E21+I17)</f>
        <v>0.9462857142857144</v>
      </c>
      <c r="O17" s="1"/>
      <c r="P17" s="1"/>
      <c r="S17" s="66" t="s">
        <v>39</v>
      </c>
      <c r="T17" s="67">
        <f t="shared" si="1"/>
        <v>0</v>
      </c>
      <c r="U17" s="67">
        <f t="shared" si="1"/>
        <v>0.1335731624589595</v>
      </c>
      <c r="V17" s="67">
        <f t="shared" si="1"/>
        <v>0.4980656745662484</v>
      </c>
      <c r="W17" s="67">
        <f t="shared" si="1"/>
        <v>0.52207951757515714</v>
      </c>
      <c r="X17" s="67">
        <f t="shared" si="1"/>
        <v>0.6340100657644363</v>
      </c>
      <c r="AC17" t="s">
        <v>71</v>
      </c>
      <c r="AD17" s="51">
        <f>I50</f>
        <v>0.88421052631578945</v>
      </c>
      <c r="AE17" s="55">
        <f>I61</f>
        <v>0.87790624688597152</v>
      </c>
      <c r="AF17" s="55">
        <f>J61</f>
        <v>6.6912037331607437E-3</v>
      </c>
      <c r="AH17">
        <v>50</v>
      </c>
      <c r="AI17">
        <v>61</v>
      </c>
      <c r="AW17" s="51" t="s">
        <v>157</v>
      </c>
      <c r="AX17" s="80">
        <f>MIN($AE$16:$AE$55)</f>
        <v>0.86942140408256363</v>
      </c>
      <c r="AY17" s="80">
        <f>_xlfn.QUARTILE.EXC($AE$16:$AE$55,1)</f>
        <v>0.87789411562666819</v>
      </c>
      <c r="AZ17" s="80">
        <f>MEDIAN($AE$16:$AE$55)</f>
        <v>0.87992355403760403</v>
      </c>
      <c r="BA17" s="80">
        <f>AVERAGE($AE$16:$AE$55)</f>
        <v>0.87964728832834216</v>
      </c>
      <c r="BB17" s="80">
        <f>_xlfn.QUARTILE.EXC($AE$16:$AE$55,3)</f>
        <v>0.88185602340469593</v>
      </c>
      <c r="BC17" s="80">
        <f>MAX($AE$16:$AE$55)</f>
        <v>0.88583821437193822</v>
      </c>
      <c r="BD17" s="80">
        <f t="shared" si="0"/>
        <v>4.5025590687374937E-3</v>
      </c>
      <c r="BE17" s="80"/>
      <c r="BF17" s="48"/>
      <c r="BH17" s="59"/>
      <c r="BI17" s="49"/>
      <c r="BJ17" s="1"/>
      <c r="BK17" s="1"/>
    </row>
    <row r="18" spans="1:66" x14ac:dyDescent="0.3">
      <c r="A18" t="s">
        <v>6</v>
      </c>
      <c r="B18" s="13">
        <v>3</v>
      </c>
      <c r="C18" s="5">
        <v>0</v>
      </c>
      <c r="D18" s="1">
        <v>0</v>
      </c>
      <c r="E18" s="1">
        <v>16</v>
      </c>
      <c r="F18" s="27">
        <v>536</v>
      </c>
      <c r="G18" s="6">
        <v>101</v>
      </c>
      <c r="H18" s="1">
        <f>SUM(C18:G18)</f>
        <v>653</v>
      </c>
      <c r="I18" s="10">
        <f>F18/H18</f>
        <v>0.82082695252679938</v>
      </c>
      <c r="J18" s="11">
        <f>1-I18</f>
        <v>0.17917304747320062</v>
      </c>
      <c r="K18">
        <f>H18-F20</f>
        <v>56</v>
      </c>
      <c r="N18" s="10">
        <f>2*(F21*I18)/(F21+I18)</f>
        <v>0.85760000000000014</v>
      </c>
      <c r="O18" s="1"/>
      <c r="P18" s="1"/>
      <c r="S18" s="70" t="s">
        <v>30</v>
      </c>
      <c r="T18" s="64">
        <f t="shared" si="1"/>
        <v>100</v>
      </c>
      <c r="U18" s="64">
        <f t="shared" si="1"/>
        <v>92.135910134961904</v>
      </c>
      <c r="V18" s="64">
        <f t="shared" si="1"/>
        <v>96.358048458391792</v>
      </c>
      <c r="W18" s="64">
        <f t="shared" si="1"/>
        <v>83.090176589182022</v>
      </c>
      <c r="X18" s="64">
        <f t="shared" si="1"/>
        <v>68.916989879188122</v>
      </c>
      <c r="AC18" t="s">
        <v>72</v>
      </c>
      <c r="AD18" s="51">
        <f>I79</f>
        <v>0.88526315789473686</v>
      </c>
      <c r="AE18" s="55">
        <f>I90</f>
        <v>0.87473143136205</v>
      </c>
      <c r="AF18" s="55">
        <f>J90</f>
        <v>6.8861390195689275E-3</v>
      </c>
      <c r="AH18">
        <v>79</v>
      </c>
      <c r="AI18">
        <v>90</v>
      </c>
      <c r="AW18" s="51" t="s">
        <v>158</v>
      </c>
      <c r="AX18" s="80">
        <f>MIN($AE$16:$AE$65)</f>
        <v>0.86942140408256363</v>
      </c>
      <c r="AY18" s="80">
        <f>_xlfn.QUARTILE.EXC($AE$16:$AE$65,1)</f>
        <v>0.87748764206119367</v>
      </c>
      <c r="AZ18" s="80">
        <f>MEDIAN($AE$16:$AE$65)</f>
        <v>0.87979929265385615</v>
      </c>
      <c r="BA18" s="80">
        <f>AVERAGE($AE$16:$AE$65)</f>
        <v>0.87949618919754802</v>
      </c>
      <c r="BB18" s="80">
        <f>_xlfn.QUARTILE.EXC($AE$16:$AE$65,3)</f>
        <v>0.88172051164738474</v>
      </c>
      <c r="BC18" s="80">
        <f>MAX($AE$16:$AE$65)</f>
        <v>0.88583821437193822</v>
      </c>
      <c r="BD18" s="80">
        <f t="shared" si="0"/>
        <v>4.8111763916323441E-3</v>
      </c>
      <c r="BE18" s="80"/>
      <c r="BF18" s="48"/>
      <c r="BH18" s="59"/>
      <c r="BI18" s="49"/>
      <c r="BJ18" s="1"/>
      <c r="BK18" s="1"/>
    </row>
    <row r="19" spans="1:66" x14ac:dyDescent="0.3">
      <c r="A19" t="s">
        <v>7</v>
      </c>
      <c r="B19" s="13">
        <v>4</v>
      </c>
      <c r="C19" s="7">
        <v>0</v>
      </c>
      <c r="D19" s="8">
        <v>0</v>
      </c>
      <c r="E19" s="8">
        <v>18</v>
      </c>
      <c r="F19" s="8">
        <v>32</v>
      </c>
      <c r="G19" s="28">
        <v>191</v>
      </c>
      <c r="H19" s="1">
        <f>SUM(C19:G19)</f>
        <v>241</v>
      </c>
      <c r="I19" s="10">
        <f>G19/H19</f>
        <v>0.79253112033195017</v>
      </c>
      <c r="J19" s="11">
        <f>1-I19</f>
        <v>0.20746887966804983</v>
      </c>
      <c r="K19">
        <f>H19-G20</f>
        <v>-161</v>
      </c>
      <c r="N19" s="10">
        <f>2*(G21*I19)/(G21+I19)</f>
        <v>0.59409020217729391</v>
      </c>
      <c r="O19" s="1"/>
      <c r="P19" s="1"/>
      <c r="S19" s="66" t="s">
        <v>39</v>
      </c>
      <c r="T19" s="67">
        <f t="shared" si="1"/>
        <v>0</v>
      </c>
      <c r="U19" s="67">
        <f t="shared" si="1"/>
        <v>2.3007909715685715</v>
      </c>
      <c r="V19" s="67">
        <f t="shared" si="1"/>
        <v>0.65990884154450202</v>
      </c>
      <c r="W19" s="67">
        <f t="shared" si="1"/>
        <v>3.1545075268657237</v>
      </c>
      <c r="X19" s="67">
        <f t="shared" si="1"/>
        <v>7.211224059783099</v>
      </c>
      <c r="AC19" t="s">
        <v>73</v>
      </c>
      <c r="AD19" s="51">
        <f>I108</f>
        <v>0.88666666666666671</v>
      </c>
      <c r="AE19" s="73">
        <f>I119</f>
        <v>0.87976912479889724</v>
      </c>
      <c r="AF19" s="73">
        <f>J119</f>
        <v>6.5857578916836699E-3</v>
      </c>
      <c r="AH19">
        <v>108</v>
      </c>
      <c r="AI19">
        <v>119</v>
      </c>
      <c r="AW19" s="51" t="s">
        <v>215</v>
      </c>
      <c r="AX19" s="80">
        <f>MIN($AE$16:$AE$75)</f>
        <v>0.86942140408256363</v>
      </c>
      <c r="AY19" s="80">
        <f>_xlfn.QUARTILE.EXC($AE$16:$AE$75,1)</f>
        <v>0.87742487159498728</v>
      </c>
      <c r="AZ19" s="80">
        <f>MEDIAN($AE$16:$AE$75)</f>
        <v>0.87949168098778707</v>
      </c>
      <c r="BA19" s="80">
        <f>AVERAGE($AE$16:$AE$75)</f>
        <v>0.87943059253818834</v>
      </c>
      <c r="BB19" s="80">
        <f>_xlfn.QUARTILE.EXC($AE$16:$AE$75,3)</f>
        <v>0.88178529669691397</v>
      </c>
      <c r="BC19" s="80">
        <f>MAX($AE$16:$AE$75)</f>
        <v>0.88583821437193822</v>
      </c>
      <c r="BD19" s="80">
        <f t="shared" si="0"/>
        <v>4.9578923782762204E-3</v>
      </c>
      <c r="BE19" s="80"/>
      <c r="BF19" s="48"/>
      <c r="BH19" s="59"/>
      <c r="BI19" s="49"/>
      <c r="BJ19" s="1"/>
      <c r="BK19" s="1"/>
    </row>
    <row r="20" spans="1:66" ht="15.6" x14ac:dyDescent="0.35">
      <c r="B20" s="1" t="s">
        <v>19</v>
      </c>
      <c r="C20" s="1">
        <f>SUM(C15:C19)</f>
        <v>56</v>
      </c>
      <c r="D20" s="1">
        <f>SUM(D15:D19)</f>
        <v>103</v>
      </c>
      <c r="E20" s="1">
        <f>SUM(E15:E19)</f>
        <v>1692</v>
      </c>
      <c r="F20" s="1">
        <f>SUM(F15:F19)</f>
        <v>597</v>
      </c>
      <c r="G20" s="1">
        <f>SUM(G15:G19)</f>
        <v>402</v>
      </c>
      <c r="H20" s="1">
        <f>SUM(H14:H19)</f>
        <v>2850</v>
      </c>
      <c r="I20" s="13" t="s">
        <v>12</v>
      </c>
      <c r="N20" s="16" t="s">
        <v>36</v>
      </c>
      <c r="O20" s="1">
        <f>SUM(O15:O19)</f>
        <v>0</v>
      </c>
      <c r="P20" s="1">
        <f>SUM(P15:P19)</f>
        <v>0</v>
      </c>
      <c r="S20" s="70" t="s">
        <v>31</v>
      </c>
      <c r="T20" s="64">
        <f>I26</f>
        <v>100</v>
      </c>
      <c r="U20" s="64">
        <f>I27</f>
        <v>97.826086956521735</v>
      </c>
      <c r="V20" s="64">
        <f>I28</f>
        <v>91.592920353982294</v>
      </c>
      <c r="W20" s="64">
        <f>I29</f>
        <v>82.08269525267994</v>
      </c>
      <c r="X20" s="64">
        <f>I30</f>
        <v>79.253112033195023</v>
      </c>
      <c r="AC20" t="s">
        <v>76</v>
      </c>
      <c r="AD20" s="51">
        <f>I137</f>
        <v>0.88771929824561402</v>
      </c>
      <c r="AE20" s="73">
        <f>I148</f>
        <v>0.88140247050013665</v>
      </c>
      <c r="AF20" s="73">
        <f>J148</f>
        <v>6.5721240447049667E-3</v>
      </c>
      <c r="AH20">
        <v>137</v>
      </c>
      <c r="AI20">
        <v>148</v>
      </c>
      <c r="AW20" s="51" t="s">
        <v>216</v>
      </c>
      <c r="AX20" s="80">
        <f>MIN($AE$16:$AE$85)</f>
        <v>0.86942140408256363</v>
      </c>
      <c r="AY20" s="80">
        <f>_xlfn.QUARTILE.EXC($AE$16:$AE$85,1)</f>
        <v>0.87769563489359415</v>
      </c>
      <c r="AZ20" s="80">
        <f>MEDIAN($AE$16:$AE$85)</f>
        <v>0.87985117300724247</v>
      </c>
      <c r="BA20" s="80">
        <f>AVERAGE($AE$16:$AE$85)</f>
        <v>0.87954575412686653</v>
      </c>
      <c r="BB20" s="80">
        <f>_xlfn.QUARTILE.EXC($AE$16:$AE$85,3)</f>
        <v>0.88161175513225332</v>
      </c>
      <c r="BC20" s="80">
        <f>MAX($AE$16:$AE$85)</f>
        <v>0.88583821437193822</v>
      </c>
      <c r="BD20" s="80">
        <f t="shared" si="0"/>
        <v>4.4508893762956149E-3</v>
      </c>
      <c r="BE20" s="80"/>
      <c r="BF20" s="48"/>
      <c r="BH20" s="59"/>
      <c r="BI20" s="49"/>
      <c r="BJ20" s="1"/>
      <c r="BK20" s="1"/>
    </row>
    <row r="21" spans="1:66" x14ac:dyDescent="0.3">
      <c r="A21" s="1" t="s">
        <v>321</v>
      </c>
      <c r="B21" s="1" t="s">
        <v>2</v>
      </c>
      <c r="C21" s="10">
        <f>C15/C20</f>
        <v>1</v>
      </c>
      <c r="D21" s="10">
        <f>D16/D20</f>
        <v>0.87378640776699024</v>
      </c>
      <c r="E21" s="10">
        <f>E17/E20</f>
        <v>0.97872340425531912</v>
      </c>
      <c r="F21" s="10">
        <f>F18/F20</f>
        <v>0.89782244556113899</v>
      </c>
      <c r="G21" s="10">
        <f>G19/G20</f>
        <v>0.47512437810945274</v>
      </c>
      <c r="H21" s="10"/>
      <c r="I21" s="14">
        <f>(C15+D16+E17+F18+G19)/H20</f>
        <v>0.88736842105263158</v>
      </c>
      <c r="S21" s="66" t="s">
        <v>39</v>
      </c>
      <c r="T21" s="67">
        <f>J26</f>
        <v>0</v>
      </c>
      <c r="U21" s="67">
        <f>J27</f>
        <v>1.5287192313211824</v>
      </c>
      <c r="V21" s="67">
        <f>J28</f>
        <v>0.65279145031339136</v>
      </c>
      <c r="W21" s="67">
        <f>J29</f>
        <v>1.5018907640240819</v>
      </c>
      <c r="X21" s="67">
        <f>J30</f>
        <v>2.617453785307823</v>
      </c>
      <c r="AC21" t="s">
        <v>98</v>
      </c>
      <c r="AD21" s="51">
        <f>I166</f>
        <v>0.89228070175438601</v>
      </c>
      <c r="AE21" s="55">
        <f>I177</f>
        <v>0.88583821437193822</v>
      </c>
      <c r="AF21" s="55">
        <f>J177</f>
        <v>6.533945176943062E-3</v>
      </c>
      <c r="AH21">
        <v>166</v>
      </c>
      <c r="AI21">
        <v>177</v>
      </c>
      <c r="AW21" s="51" t="s">
        <v>217</v>
      </c>
      <c r="AX21" s="80">
        <f>MIN($AE$16:$AE$95)</f>
        <v>0.86942140408256363</v>
      </c>
      <c r="AY21" s="80">
        <f>_xlfn.QUARTILE.EXC($AE$16:$AE$95,1)</f>
        <v>0.87745359545421175</v>
      </c>
      <c r="AZ21" s="80">
        <f>MEDIAN($AE$16:$AE$95)</f>
        <v>0.87985117300724247</v>
      </c>
      <c r="BA21" s="80">
        <f>AVERAGE($AE$16:$AE$95)</f>
        <v>0.87957858420466817</v>
      </c>
      <c r="BB21" s="80">
        <f>_xlfn.QUARTILE.EXC($AE$16:$AE$95,3)</f>
        <v>0.88163908888990372</v>
      </c>
      <c r="BC21" s="80">
        <f>MAX($AE$16:$AE$95)</f>
        <v>0.88621617714077705</v>
      </c>
      <c r="BD21" s="80">
        <f t="shared" si="0"/>
        <v>4.7570470598867001E-3</v>
      </c>
      <c r="BE21" s="80"/>
      <c r="BF21" s="48"/>
      <c r="BH21" s="59"/>
      <c r="BI21" s="49"/>
      <c r="BJ21" s="1"/>
      <c r="BK21" s="1"/>
      <c r="BM21" s="1"/>
      <c r="BN21" s="1"/>
    </row>
    <row r="22" spans="1:66" x14ac:dyDescent="0.3">
      <c r="B22" s="1" t="s">
        <v>14</v>
      </c>
      <c r="C22" s="11">
        <f>1-C21</f>
        <v>0</v>
      </c>
      <c r="D22" s="11">
        <f>1-D21</f>
        <v>0.12621359223300976</v>
      </c>
      <c r="E22" s="11">
        <f>1-E21</f>
        <v>2.1276595744680882E-2</v>
      </c>
      <c r="F22" s="11">
        <f>1-F21</f>
        <v>0.10217755443886101</v>
      </c>
      <c r="G22" s="11">
        <f>1-G21</f>
        <v>0.52487562189054726</v>
      </c>
      <c r="S22" s="68" t="s">
        <v>56</v>
      </c>
      <c r="T22" s="65">
        <f>N15*100</f>
        <v>100</v>
      </c>
      <c r="U22" s="65">
        <f>N16*100</f>
        <v>92.307692307692307</v>
      </c>
      <c r="V22" s="65">
        <f>N17*100</f>
        <v>94.628571428571433</v>
      </c>
      <c r="W22" s="65">
        <f>N18*100</f>
        <v>85.760000000000019</v>
      </c>
      <c r="X22" s="65">
        <f>N19*100</f>
        <v>59.409020217729392</v>
      </c>
      <c r="Y22" s="46"/>
      <c r="Z22" s="46"/>
      <c r="AA22" s="46"/>
      <c r="AC22" t="s">
        <v>99</v>
      </c>
      <c r="AD22" s="51">
        <f>I195</f>
        <v>0.87789473684210528</v>
      </c>
      <c r="AE22" s="55">
        <f>I206</f>
        <v>0.86942140408256363</v>
      </c>
      <c r="AF22" s="55">
        <f>J206</f>
        <v>6.9262498433170861E-3</v>
      </c>
      <c r="AH22">
        <v>195</v>
      </c>
      <c r="AI22">
        <v>206</v>
      </c>
      <c r="AW22" s="51" t="s">
        <v>218</v>
      </c>
      <c r="AX22" s="80">
        <f>MIN($AE$16:$AE$105)</f>
        <v>0.86942140408256363</v>
      </c>
      <c r="AY22" s="80">
        <f>_xlfn.QUARTILE.EXC($AE$16:$AE$105,1)</f>
        <v>0.87769563489359415</v>
      </c>
      <c r="AZ22" s="80">
        <f>MEDIAN($AE$16:$AE$105)</f>
        <v>0.87984293174107009</v>
      </c>
      <c r="BA22" s="80">
        <f>AVERAGE($AE$16:$AE$105)</f>
        <v>0.87964922271105295</v>
      </c>
      <c r="BB22" s="80">
        <f>_xlfn.QUARTILE.EXC($AE$16:$AE$105,3)</f>
        <v>0.88155303524360051</v>
      </c>
      <c r="BC22" s="80">
        <f>MAX($AE$16:$AE$105)</f>
        <v>0.88621617714077705</v>
      </c>
      <c r="BD22" s="80">
        <f t="shared" si="0"/>
        <v>4.3841920084226656E-3</v>
      </c>
      <c r="BE22" s="80"/>
      <c r="BF22" s="48"/>
      <c r="BI22" s="1"/>
      <c r="BJ22" s="13"/>
      <c r="BK22" s="1"/>
      <c r="BM22" s="1"/>
      <c r="BN22" s="81"/>
    </row>
    <row r="23" spans="1:66" x14ac:dyDescent="0.3">
      <c r="C23" s="2"/>
      <c r="R23" s="16" t="s">
        <v>66</v>
      </c>
      <c r="S23" t="s">
        <v>9</v>
      </c>
      <c r="T23" s="30">
        <f>N26</f>
        <v>2218.87</v>
      </c>
      <c r="U23" s="30">
        <f>N27</f>
        <v>9540.18</v>
      </c>
      <c r="V23" s="30">
        <f>N28</f>
        <v>110786.25</v>
      </c>
      <c r="W23" s="30">
        <f>N29</f>
        <v>39060.879999999997</v>
      </c>
      <c r="X23" s="30">
        <f>N30</f>
        <v>35758.720000000001</v>
      </c>
      <c r="Z23" t="s">
        <v>36</v>
      </c>
      <c r="AA23" s="1">
        <f>N31</f>
        <v>197364.9</v>
      </c>
      <c r="AC23" t="s">
        <v>100</v>
      </c>
      <c r="AD23" s="51">
        <f>I224</f>
        <v>0.88877192982456144</v>
      </c>
      <c r="AE23" s="55">
        <f>I235</f>
        <v>0.88202845168020261</v>
      </c>
      <c r="AF23" s="55">
        <f>J235</f>
        <v>6.6608123017275643E-3</v>
      </c>
      <c r="AH23">
        <v>224</v>
      </c>
      <c r="AI23">
        <v>235</v>
      </c>
      <c r="AW23" s="51" t="s">
        <v>219</v>
      </c>
      <c r="AX23" s="80">
        <f>MIN($AE$16:$AE$115)</f>
        <v>0.86942140408256363</v>
      </c>
      <c r="AY23" s="80">
        <f>_xlfn.QUARTILE.EXC($AE$16:$AE$115,1)</f>
        <v>0.87776090132917295</v>
      </c>
      <c r="AZ23" s="80">
        <f>MEDIAN($AE$16:$AE$115)</f>
        <v>0.87979929265385615</v>
      </c>
      <c r="BA23" s="80">
        <f>AVERAGE($AE$16:$AE$115)</f>
        <v>0.87977285114703596</v>
      </c>
      <c r="BB23" s="80">
        <f>_xlfn.QUARTILE.EXC($AE$16:$AE$115,3)</f>
        <v>0.88163908888990372</v>
      </c>
      <c r="BC23" s="80">
        <f>MAX($AE$16:$AE$115)</f>
        <v>0.88779978769170498</v>
      </c>
      <c r="BD23" s="80">
        <f t="shared" si="0"/>
        <v>4.4080366887230349E-3</v>
      </c>
      <c r="BE23" s="80"/>
      <c r="BF23" s="48"/>
      <c r="BI23" s="1"/>
      <c r="BJ23" s="1"/>
      <c r="BK23" s="1"/>
      <c r="BM23" s="23"/>
      <c r="BN23" s="1"/>
    </row>
    <row r="24" spans="1:66" ht="15.6" x14ac:dyDescent="0.35">
      <c r="A24" t="s">
        <v>322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323</v>
      </c>
      <c r="S24" t="s">
        <v>68</v>
      </c>
      <c r="T24" s="57">
        <f>$AA23*T16/100</f>
        <v>2218.8699999999994</v>
      </c>
      <c r="U24" s="57">
        <f>$AA23*U16/100</f>
        <v>10129.367332387459</v>
      </c>
      <c r="V24" s="57">
        <f>$AA23*V16/100</f>
        <v>105307.61399706047</v>
      </c>
      <c r="W24" s="57">
        <f>$AA23*W16/100</f>
        <v>38587.260744357802</v>
      </c>
      <c r="X24" s="57">
        <f>$AA23*X16/100</f>
        <v>41121.78792619428</v>
      </c>
      <c r="Z24" t="s">
        <v>36</v>
      </c>
      <c r="AA24" s="25">
        <f>SUM(T24:X24)</f>
        <v>197364.90000000002</v>
      </c>
      <c r="AC24" t="s">
        <v>101</v>
      </c>
      <c r="AD24" s="51">
        <f>I253</f>
        <v>0.88912280701754387</v>
      </c>
      <c r="AE24" s="55">
        <f>I264</f>
        <v>0.88216234039054742</v>
      </c>
      <c r="AF24" s="55">
        <f>J264</f>
        <v>6.6252691549153588E-3</v>
      </c>
      <c r="AH24">
        <v>253</v>
      </c>
      <c r="AI24">
        <v>264</v>
      </c>
      <c r="AW24" s="51" t="s">
        <v>326</v>
      </c>
      <c r="AX24" s="80">
        <f>MIN($AE$16:$AE$165)</f>
        <v>0.86942140408256363</v>
      </c>
      <c r="AY24" s="80">
        <f>_xlfn.QUARTILE.EXC($AE$16:$AE$165,1)</f>
        <v>0.87755770688682566</v>
      </c>
      <c r="AZ24" s="80">
        <f>MEDIAN($AE$16:$AE$165)</f>
        <v>0.87982872579264104</v>
      </c>
      <c r="BA24" s="80">
        <f>AVERAGE($AE$16:$AE$165)</f>
        <v>0.87981166361707097</v>
      </c>
      <c r="BB24" s="80">
        <f>_xlfn.QUARTILE.EXC($AE$16:$AE$165,3)</f>
        <v>0.88193730675123549</v>
      </c>
      <c r="BC24" s="80">
        <f>MAX($AE$16:$AE$165)</f>
        <v>0.88779978769170498</v>
      </c>
      <c r="BD24" s="80">
        <f t="shared" si="0"/>
        <v>4.9777868533040165E-3</v>
      </c>
      <c r="BE24" s="80"/>
      <c r="BF24" s="48"/>
      <c r="BI24" s="1"/>
      <c r="BJ24" s="13"/>
      <c r="BK24" s="1"/>
      <c r="BM24" s="23"/>
      <c r="BN24" s="1"/>
    </row>
    <row r="25" spans="1:66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67</v>
      </c>
      <c r="T25" s="67">
        <f>$AA23*T17/100</f>
        <v>0</v>
      </c>
      <c r="U25" s="67">
        <f>$AA23*U17/100</f>
        <v>263.62653851396294</v>
      </c>
      <c r="V25" s="67">
        <f>$AA23*V17/100</f>
        <v>983.00682054200149</v>
      </c>
      <c r="W25" s="67">
        <f>$AA23*W17/100</f>
        <v>1030.4017177826913</v>
      </c>
      <c r="X25" s="67">
        <f>$AA23*X17/100</f>
        <v>1251.3133322859139</v>
      </c>
      <c r="AA25" s="1"/>
      <c r="AC25" t="s">
        <v>102</v>
      </c>
      <c r="AD25" s="51">
        <f>I282</f>
        <v>0.88596491228070173</v>
      </c>
      <c r="AE25" s="55">
        <f>I293</f>
        <v>0.87775450409335987</v>
      </c>
      <c r="AF25" s="55">
        <f>J293</f>
        <v>6.7652069017575386E-3</v>
      </c>
      <c r="AH25">
        <v>282</v>
      </c>
      <c r="AI25">
        <v>293</v>
      </c>
      <c r="AW25" s="51" t="s">
        <v>327</v>
      </c>
      <c r="AX25" s="80">
        <f>MIN($AE$16:$AE$215)</f>
        <v>0.86942140408256363</v>
      </c>
      <c r="AY25" s="80">
        <f>_xlfn.QUARTILE.EXC($AE$16:$AE$215,1)</f>
        <v>0.87740521579354325</v>
      </c>
      <c r="AZ25" s="126">
        <f>MEDIAN($AE$16:$AE$215)</f>
        <v>0.87982872579264104</v>
      </c>
      <c r="BA25" s="126">
        <f>AVERAGE($AE$16:$AE$215)</f>
        <v>0.87971333096923376</v>
      </c>
      <c r="BB25" s="80">
        <f>_xlfn.QUARTILE.EXC($AE$16:$AE$215,3)</f>
        <v>0.8819643616870031</v>
      </c>
      <c r="BC25" s="80">
        <f>MAX($AE$16:$AE$215)</f>
        <v>0.88842707122749798</v>
      </c>
      <c r="BD25" s="80">
        <f t="shared" si="0"/>
        <v>5.1818561497324342E-3</v>
      </c>
      <c r="BE25" s="80"/>
      <c r="BF25" s="48"/>
      <c r="BJ25" s="12"/>
    </row>
    <row r="26" spans="1:66" x14ac:dyDescent="0.3">
      <c r="A26" t="s">
        <v>3</v>
      </c>
      <c r="B26" s="13">
        <v>0</v>
      </c>
      <c r="C26" s="29">
        <f>(C15/$L26)*$O26</f>
        <v>1.1242475232424811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0</v>
      </c>
      <c r="G26" s="32">
        <f t="shared" si="2"/>
        <v>0</v>
      </c>
      <c r="H26" s="17">
        <f>SUM(C26:G26)</f>
        <v>1.1242475232424811</v>
      </c>
      <c r="I26" s="17">
        <f>C26/H26*100</f>
        <v>100</v>
      </c>
      <c r="J26" s="17">
        <f>SQRT(I26*(100-I26)/(L26-1))</f>
        <v>0</v>
      </c>
      <c r="K26" s="18">
        <f>100-I26</f>
        <v>0</v>
      </c>
      <c r="L26" s="1">
        <f>H15</f>
        <v>56</v>
      </c>
      <c r="M26">
        <v>0</v>
      </c>
      <c r="N26" s="1">
        <v>2218.87</v>
      </c>
      <c r="O26" s="17">
        <f>N26/N31*100</f>
        <v>1.1242475232424811</v>
      </c>
      <c r="P26" s="52">
        <f>((O26*O26*(I26/100)*(K26/100))/(L26-1))</f>
        <v>0</v>
      </c>
      <c r="R26" t="s">
        <v>71</v>
      </c>
      <c r="S26" s="70" t="s">
        <v>28</v>
      </c>
      <c r="T26" s="64">
        <f t="shared" ref="T26:X29" si="3">C60</f>
        <v>1.1160343100520913</v>
      </c>
      <c r="U26" s="64">
        <f t="shared" si="3"/>
        <v>4.6621813998135435</v>
      </c>
      <c r="V26" s="64">
        <f t="shared" si="3"/>
        <v>52.977397600732345</v>
      </c>
      <c r="W26" s="64">
        <f t="shared" si="3"/>
        <v>19.515355442011359</v>
      </c>
      <c r="X26" s="64">
        <f t="shared" si="3"/>
        <v>21.729031247390655</v>
      </c>
      <c r="Y26" s="13"/>
      <c r="Z26" s="74"/>
      <c r="AA26" s="12"/>
      <c r="AC26" t="s">
        <v>103</v>
      </c>
      <c r="AD26" s="51">
        <f>I311</f>
        <v>0.88771929824561402</v>
      </c>
      <c r="AE26" s="55">
        <f>I322</f>
        <v>0.88117766857759849</v>
      </c>
      <c r="AF26" s="55">
        <f>J322</f>
        <v>6.6733862373632722E-3</v>
      </c>
      <c r="AH26">
        <v>311</v>
      </c>
      <c r="AI26">
        <v>322</v>
      </c>
      <c r="BF26" s="48"/>
      <c r="BJ26" s="13"/>
      <c r="BK26" s="13"/>
    </row>
    <row r="27" spans="1:66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4.7286953164461849</v>
      </c>
      <c r="E27" s="19">
        <f t="shared" si="2"/>
        <v>0.10508211814324855</v>
      </c>
      <c r="F27" s="18">
        <f t="shared" si="2"/>
        <v>0</v>
      </c>
      <c r="G27" s="20">
        <f t="shared" si="2"/>
        <v>0</v>
      </c>
      <c r="H27" s="17">
        <f>SUM(C27:G27)</f>
        <v>4.8337774345894333</v>
      </c>
      <c r="I27" s="17">
        <f>D27/H27*100</f>
        <v>97.826086956521735</v>
      </c>
      <c r="J27" s="17">
        <f>SQRT(I27*(100-I27)/(L27-1))</f>
        <v>1.5287192313211824</v>
      </c>
      <c r="K27" s="18">
        <f>100-I27</f>
        <v>2.1739130434782652</v>
      </c>
      <c r="L27" s="1">
        <f>H16</f>
        <v>92</v>
      </c>
      <c r="M27">
        <v>1</v>
      </c>
      <c r="N27" s="1">
        <v>9540.18</v>
      </c>
      <c r="O27" s="17">
        <f>N27/N31*100</f>
        <v>4.8337774345894333</v>
      </c>
      <c r="P27" s="52">
        <f>((O27*O27*(I27/100)*(K27/100))/(L27-1))</f>
        <v>5.4604540649035721E-3</v>
      </c>
      <c r="S27" s="66" t="s">
        <v>39</v>
      </c>
      <c r="T27" s="67">
        <f t="shared" si="3"/>
        <v>0</v>
      </c>
      <c r="U27" s="67">
        <f t="shared" si="3"/>
        <v>0.11108825241591531</v>
      </c>
      <c r="V27" s="67">
        <f t="shared" si="3"/>
        <v>0.49961445654920567</v>
      </c>
      <c r="W27" s="67">
        <f t="shared" si="3"/>
        <v>0.52013788711306397</v>
      </c>
      <c r="X27" s="67">
        <f t="shared" si="3"/>
        <v>0.62766095417055279</v>
      </c>
      <c r="AC27" t="s">
        <v>104</v>
      </c>
      <c r="AD27" s="51">
        <f>I340</f>
        <v>0.88666666666666671</v>
      </c>
      <c r="AE27" s="55">
        <f>I351</f>
        <v>0.87842165535510053</v>
      </c>
      <c r="AF27" s="55">
        <f>J351</f>
        <v>6.7461322750678619E-3</v>
      </c>
      <c r="AH27">
        <v>340</v>
      </c>
      <c r="AI27">
        <v>351</v>
      </c>
      <c r="BF27" s="48"/>
    </row>
    <row r="28" spans="1:66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0.40360902560625572</v>
      </c>
      <c r="E28" s="34">
        <f t="shared" si="2"/>
        <v>51.413580492612269</v>
      </c>
      <c r="F28" s="19">
        <f t="shared" si="2"/>
        <v>0.90035859558318598</v>
      </c>
      <c r="G28" s="20">
        <f t="shared" si="2"/>
        <v>3.4151532935913944</v>
      </c>
      <c r="H28" s="17">
        <f>SUM(C28:G28)</f>
        <v>56.132701407393107</v>
      </c>
      <c r="I28" s="17">
        <f>E28/H28*100</f>
        <v>91.592920353982294</v>
      </c>
      <c r="J28" s="17">
        <f>SQRT(I28*(100-I28)/(L28-1))</f>
        <v>0.65279145031339136</v>
      </c>
      <c r="K28" s="18">
        <f>100-I28</f>
        <v>8.4070796460177064</v>
      </c>
      <c r="L28" s="1">
        <f>H17</f>
        <v>1808</v>
      </c>
      <c r="M28">
        <v>2</v>
      </c>
      <c r="N28" s="1">
        <v>110786.25</v>
      </c>
      <c r="O28" s="17">
        <f>N28/N31*100</f>
        <v>56.132701407393107</v>
      </c>
      <c r="P28" s="52">
        <f>((O28*O28*(I28/100)*(K28/100))/(L28-1))</f>
        <v>0.13427056060124781</v>
      </c>
      <c r="S28" t="s">
        <v>30</v>
      </c>
      <c r="T28" s="57">
        <f t="shared" si="3"/>
        <v>100</v>
      </c>
      <c r="U28" s="57">
        <f t="shared" si="3"/>
        <v>94.687770508039677</v>
      </c>
      <c r="V28" s="57">
        <f t="shared" si="3"/>
        <v>96.303616297205835</v>
      </c>
      <c r="W28" s="57">
        <f t="shared" si="3"/>
        <v>83.573157307652949</v>
      </c>
      <c r="X28" s="57">
        <f t="shared" si="3"/>
        <v>68.716024067846803</v>
      </c>
      <c r="AC28" t="s">
        <v>105</v>
      </c>
      <c r="AD28" s="51">
        <f>I369</f>
        <v>0.89017543859649118</v>
      </c>
      <c r="AE28" s="55">
        <f>I380</f>
        <v>0.88503847386897105</v>
      </c>
      <c r="AF28" s="55">
        <f>J380</f>
        <v>6.5026083212735911E-3</v>
      </c>
      <c r="AH28">
        <v>369</v>
      </c>
      <c r="AI28">
        <v>380</v>
      </c>
      <c r="BF28" s="48"/>
    </row>
    <row r="29" spans="1:66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0</v>
      </c>
      <c r="E29" s="19">
        <f t="shared" si="2"/>
        <v>0.48492983624271452</v>
      </c>
      <c r="F29" s="34">
        <f t="shared" si="2"/>
        <v>16.245149514130937</v>
      </c>
      <c r="G29" s="20">
        <f t="shared" si="2"/>
        <v>3.0611195912821354</v>
      </c>
      <c r="H29" s="17">
        <f>SUM(C29:G29)</f>
        <v>19.791198941655786</v>
      </c>
      <c r="I29" s="17">
        <f>F29/H29*100</f>
        <v>82.08269525267994</v>
      </c>
      <c r="J29" s="17">
        <f>SQRT(I29*(100-I29)/(L29-1))</f>
        <v>1.5018907640240819</v>
      </c>
      <c r="K29" s="18">
        <f>100-I29</f>
        <v>17.91730474732006</v>
      </c>
      <c r="L29" s="1">
        <f>H18</f>
        <v>653</v>
      </c>
      <c r="M29">
        <v>3</v>
      </c>
      <c r="N29" s="1">
        <v>39060.879999999997</v>
      </c>
      <c r="O29" s="17">
        <f>N29/N31*100</f>
        <v>19.791198941655786</v>
      </c>
      <c r="P29" s="52">
        <f>((O29*O29*(I29/100)*(K29/100))/(L29-1))</f>
        <v>8.8352918918158885E-2</v>
      </c>
      <c r="S29" s="66" t="s">
        <v>39</v>
      </c>
      <c r="T29" s="67">
        <f t="shared" si="3"/>
        <v>0</v>
      </c>
      <c r="U29" s="67">
        <f t="shared" si="3"/>
        <v>1.9411999235067612</v>
      </c>
      <c r="V29" s="67">
        <f t="shared" si="3"/>
        <v>0.6576445060037992</v>
      </c>
      <c r="W29" s="67">
        <f t="shared" si="3"/>
        <v>3.1618678268122316</v>
      </c>
      <c r="X29" s="67">
        <f t="shared" si="3"/>
        <v>6.6994039213526113</v>
      </c>
      <c r="AC29" t="s">
        <v>106</v>
      </c>
      <c r="AD29" s="51">
        <f>I398</f>
        <v>0.88596491228070173</v>
      </c>
      <c r="AE29" s="55">
        <f>I409</f>
        <v>0.87722642949208274</v>
      </c>
      <c r="AF29" s="55">
        <f>J409</f>
        <v>6.7258255165527966E-3</v>
      </c>
      <c r="AH29">
        <v>398</v>
      </c>
      <c r="AI29">
        <v>409</v>
      </c>
      <c r="BF29" s="48"/>
    </row>
    <row r="30" spans="1:66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0</v>
      </c>
      <c r="E30" s="21">
        <f t="shared" si="2"/>
        <v>1.3532171969964544</v>
      </c>
      <c r="F30" s="21">
        <f t="shared" si="2"/>
        <v>2.4057194613270299</v>
      </c>
      <c r="G30" s="37">
        <f t="shared" si="2"/>
        <v>14.359138034795709</v>
      </c>
      <c r="H30" s="17">
        <f>SUM(C30:G30)</f>
        <v>18.118074693119194</v>
      </c>
      <c r="I30" s="17">
        <f>G30/H30*100</f>
        <v>79.253112033195023</v>
      </c>
      <c r="J30" s="17">
        <f>SQRT(I30*(100-I30)/(L30-1))</f>
        <v>2.617453785307823</v>
      </c>
      <c r="K30" s="18">
        <f>100-I30</f>
        <v>20.746887966804977</v>
      </c>
      <c r="L30" s="1">
        <f>H19</f>
        <v>241</v>
      </c>
      <c r="M30">
        <v>4</v>
      </c>
      <c r="N30" s="1">
        <v>35758.720000000001</v>
      </c>
      <c r="O30" s="17">
        <f>N30/N31*100</f>
        <v>18.118074693119194</v>
      </c>
      <c r="P30" s="52">
        <f>((O30*O30*(I30/100)*(K30/100))/(L30-1))</f>
        <v>0.22489620975383592</v>
      </c>
      <c r="S30" t="s">
        <v>31</v>
      </c>
      <c r="T30" s="57">
        <f>I55</f>
        <v>100</v>
      </c>
      <c r="U30" s="57">
        <f>I56</f>
        <v>97.826086956521735</v>
      </c>
      <c r="V30" s="57">
        <f>I57</f>
        <v>91.150442477876112</v>
      </c>
      <c r="W30" s="57">
        <f>I58</f>
        <v>81.010719754977032</v>
      </c>
      <c r="X30" s="57">
        <f>I59</f>
        <v>81.742738589211612</v>
      </c>
      <c r="AC30" t="s">
        <v>107</v>
      </c>
      <c r="AD30" s="51">
        <f>I427</f>
        <v>0.88912280701754387</v>
      </c>
      <c r="AE30" s="55">
        <f>I438</f>
        <v>0.88192377928335164</v>
      </c>
      <c r="AF30" s="55">
        <f>J438</f>
        <v>6.6429479274367365E-3</v>
      </c>
      <c r="AH30">
        <v>427</v>
      </c>
      <c r="AI30">
        <v>438</v>
      </c>
      <c r="BF30" s="48"/>
    </row>
    <row r="31" spans="1:66" x14ac:dyDescent="0.3">
      <c r="B31" t="s">
        <v>28</v>
      </c>
      <c r="C31" s="17">
        <f>SUM(C26:C30)</f>
        <v>1.1242475232424811</v>
      </c>
      <c r="D31" s="17">
        <f>SUM(D26:D30)</f>
        <v>5.132304342052441</v>
      </c>
      <c r="E31" s="17">
        <f>SUM(E26:E30)</f>
        <v>53.356809643994687</v>
      </c>
      <c r="F31" s="17">
        <f>SUM(F26:F30)</f>
        <v>19.551227571041153</v>
      </c>
      <c r="G31" s="17">
        <f>SUM(G26:G30)</f>
        <v>20.83541091966924</v>
      </c>
      <c r="H31" s="1">
        <f>SUM(H25:H30)</f>
        <v>100.00000000000001</v>
      </c>
      <c r="I31" s="13" t="s">
        <v>24</v>
      </c>
      <c r="J31" s="12" t="s">
        <v>29</v>
      </c>
      <c r="N31" s="1">
        <f>SUM(N26:N30)</f>
        <v>197364.9</v>
      </c>
      <c r="O31" s="17">
        <f>SUM(O26:O30)</f>
        <v>100.00000000000001</v>
      </c>
      <c r="S31" s="66" t="s">
        <v>39</v>
      </c>
      <c r="T31" s="67">
        <f>J55</f>
        <v>0</v>
      </c>
      <c r="U31" s="67">
        <f>J56</f>
        <v>1.5287192313211824</v>
      </c>
      <c r="V31" s="67">
        <f>J57</f>
        <v>0.66813018453268502</v>
      </c>
      <c r="W31" s="67">
        <f>J58</f>
        <v>1.5360370791104836</v>
      </c>
      <c r="X31" s="67">
        <f>J59</f>
        <v>2.4936574100246278</v>
      </c>
      <c r="AC31" t="s">
        <v>108</v>
      </c>
      <c r="AD31" s="51">
        <f>I456</f>
        <v>0.888421052631579</v>
      </c>
      <c r="AE31" s="55">
        <f>I467</f>
        <v>0.87918455738198131</v>
      </c>
      <c r="AF31" s="55">
        <f>J467</f>
        <v>6.7207257211024819E-3</v>
      </c>
      <c r="AH31">
        <v>456</v>
      </c>
      <c r="AI31">
        <v>467</v>
      </c>
      <c r="BF31" s="48"/>
    </row>
    <row r="32" spans="1:66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0</v>
      </c>
      <c r="D32" s="18">
        <f>SQRT(SUM((O26*O26*(D26/O26)*(1-D26/O26))/L26,(O27*O27*(D27/O27)*(1-D27/O27))/L27,(O28*O28*(D28/O28)*(1-D28/O28))/L28,(O29*O29*(D29/O29)*(1-D29/O29))/L29,(O30*O30*(D30/O30)*(1-D30/O30))/L30))</f>
        <v>0.1335731624589595</v>
      </c>
      <c r="E32" s="18">
        <f>SQRT(SUM((O26*O26*(E26/O26)*(1-E26/O26))/L26,(O27*O27*(E27/O27)*(1-E27/O27))/L27,(O28*O28*(E28/O28)*(1-E28/O28))/L28,(O29*O29*(E29/O29)*(1-E29/O29))/L29,(O30*O30*(E30/O30)*(1-E30/O30))/L30))</f>
        <v>0.4980656745662484</v>
      </c>
      <c r="F32" s="18">
        <f>SQRT(SUM((O26*O26*(F26/O26)*(1-F26/O26))/L26,(O27*O27*(F27/O27)*(1-F27/O27))/L27,(O28*O28*(F28/O28)*(1-F28/O28))/L28,(O29*O29*(F29/O29)*(1-F29/O29))/L29,(O30*O30*(F30/O30)*(1-F30/O30))/L30))</f>
        <v>0.52207951757515714</v>
      </c>
      <c r="G32" s="18">
        <f>SQRT(SUM((O26*O26*(G26/O26)*(1-G26/O26))/L26,(O27*O27*(G27/O27)*(1-G27/O27))/L27,(O28*O28*(G28/O28)*(1-G28/O28))/L28,(O29*O29*(G29/O29)*(1-G29/O29))/L29,(O30*O30*(G30/O30)*(1-G30/O30))/L30))</f>
        <v>0.6340100657644363</v>
      </c>
      <c r="H32" s="1"/>
      <c r="I32" s="14">
        <f>(C26+D27+E28+F29+G30)/H31</f>
        <v>0.87870810881227568</v>
      </c>
      <c r="J32" s="53">
        <f>SQRT(SUM(P26:P30))/100</f>
        <v>6.730379954639606E-3</v>
      </c>
      <c r="M32" s="1"/>
      <c r="N32" s="9"/>
      <c r="S32" s="66" t="s">
        <v>56</v>
      </c>
      <c r="T32" s="67">
        <f>N44*100</f>
        <v>100</v>
      </c>
      <c r="U32" s="67">
        <f>N45*100</f>
        <v>94.736842105263165</v>
      </c>
      <c r="V32" s="67">
        <f>N46*100</f>
        <v>94.306151645207436</v>
      </c>
      <c r="W32" s="67">
        <f>N47*100</f>
        <v>84.97991967871485</v>
      </c>
      <c r="X32" s="67">
        <f>N48*100</f>
        <v>59.878419452887542</v>
      </c>
      <c r="AC32" t="s">
        <v>109</v>
      </c>
      <c r="AD32" s="51">
        <f>I485</f>
        <v>0.88736842105263158</v>
      </c>
      <c r="AE32" s="55">
        <f>I496</f>
        <v>0.87862469811927479</v>
      </c>
      <c r="AF32" s="55">
        <f>J496</f>
        <v>6.739900555511661E-3</v>
      </c>
      <c r="AH32">
        <v>485</v>
      </c>
      <c r="AI32">
        <v>496</v>
      </c>
      <c r="BF32" s="48"/>
    </row>
    <row r="33" spans="1:65" x14ac:dyDescent="0.3">
      <c r="B33" s="1" t="s">
        <v>30</v>
      </c>
      <c r="C33" s="17">
        <f>C26/C31*100</f>
        <v>100</v>
      </c>
      <c r="D33" s="17">
        <f>D27/D31*100</f>
        <v>92.135910134961904</v>
      </c>
      <c r="E33" s="17">
        <f>E28/E31*100</f>
        <v>96.358048458391792</v>
      </c>
      <c r="F33" s="17">
        <f>F29/F31*100</f>
        <v>83.090176589182022</v>
      </c>
      <c r="G33" s="17">
        <f>G30/G31*100</f>
        <v>68.916989879188122</v>
      </c>
      <c r="H33" s="1"/>
      <c r="R33" s="16" t="s">
        <v>66</v>
      </c>
      <c r="S33" t="s">
        <v>9</v>
      </c>
      <c r="T33" s="30">
        <f>N55</f>
        <v>2202.66</v>
      </c>
      <c r="U33" s="30">
        <f>N56</f>
        <v>8906.32</v>
      </c>
      <c r="V33" s="30">
        <f>N57</f>
        <v>110470</v>
      </c>
      <c r="W33" s="30">
        <f>N58</f>
        <v>39734.769999999997</v>
      </c>
      <c r="X33" s="30">
        <f>N59</f>
        <v>36051.15</v>
      </c>
      <c r="Z33" t="s">
        <v>36</v>
      </c>
      <c r="AA33" s="1">
        <f>N60</f>
        <v>197364.9</v>
      </c>
      <c r="AC33" t="s">
        <v>110</v>
      </c>
      <c r="AD33" s="51">
        <f>I514</f>
        <v>0.89017543859649118</v>
      </c>
      <c r="AE33" s="55">
        <f>I525</f>
        <v>0.88434374236903102</v>
      </c>
      <c r="AF33" s="55">
        <f>J525</f>
        <v>6.5901200342878379E-3</v>
      </c>
      <c r="AH33">
        <v>514</v>
      </c>
      <c r="AI33">
        <v>525</v>
      </c>
    </row>
    <row r="34" spans="1:65" ht="18" x14ac:dyDescent="0.35">
      <c r="B34" s="16" t="s">
        <v>39</v>
      </c>
      <c r="C34" s="18">
        <f>SQRT((C37+C38)/(C31*C31))</f>
        <v>0</v>
      </c>
      <c r="D34" s="18">
        <f>SQRT((D37+D38)/(D31*D31))</f>
        <v>2.3007909715685715</v>
      </c>
      <c r="E34" s="18">
        <f>SQRT((E37+E38)/(E31*E31))</f>
        <v>0.65990884154450202</v>
      </c>
      <c r="F34" s="18">
        <f>SQRT((F37+F38)/(F31*F31))</f>
        <v>3.1545075268657237</v>
      </c>
      <c r="G34" s="18">
        <f>SQRT((G37+G38)/(G31*G31))</f>
        <v>7.211224059783099</v>
      </c>
      <c r="H34" s="1"/>
      <c r="I34" s="14"/>
      <c r="R34" s="16" t="s">
        <v>323</v>
      </c>
      <c r="S34" t="s">
        <v>68</v>
      </c>
      <c r="T34" s="57">
        <f>$AA33*T26/100</f>
        <v>2202.66</v>
      </c>
      <c r="U34" s="57">
        <f>$AA33*U26/100</f>
        <v>9201.5096575606003</v>
      </c>
      <c r="V34" s="57">
        <f>$AA33*V26/100</f>
        <v>104558.78779728779</v>
      </c>
      <c r="W34" s="57">
        <f>$AA33*W26/100</f>
        <v>38516.461752770272</v>
      </c>
      <c r="X34" s="57">
        <f>$AA33*X26/100</f>
        <v>42885.480792381313</v>
      </c>
      <c r="Z34" t="s">
        <v>36</v>
      </c>
      <c r="AA34" s="25">
        <f>SUM(T34:X34)</f>
        <v>197364.89999999997</v>
      </c>
      <c r="AB34" s="25"/>
      <c r="AC34" t="s">
        <v>111</v>
      </c>
      <c r="AD34" s="51">
        <f>I543</f>
        <v>0.88456140350877188</v>
      </c>
      <c r="AE34" s="55">
        <f>I554</f>
        <v>0.87665042819070504</v>
      </c>
      <c r="AF34" s="55">
        <f>J554</f>
        <v>6.7909906574423872E-3</v>
      </c>
      <c r="AH34">
        <v>543</v>
      </c>
      <c r="AI34">
        <v>554</v>
      </c>
      <c r="BF34" s="83" t="s">
        <v>361</v>
      </c>
    </row>
    <row r="35" spans="1:65" x14ac:dyDescent="0.3">
      <c r="B35" s="1" t="s">
        <v>37</v>
      </c>
      <c r="C35" s="18">
        <f>100-C33</f>
        <v>0</v>
      </c>
      <c r="D35" s="18">
        <f>100-D33</f>
        <v>7.8640898650380961</v>
      </c>
      <c r="E35" s="18">
        <f>100-E33</f>
        <v>3.6419515416082078</v>
      </c>
      <c r="F35" s="18">
        <f>100-F33</f>
        <v>16.909823410817978</v>
      </c>
      <c r="G35" s="18">
        <f>100-G33</f>
        <v>31.083010120811878</v>
      </c>
      <c r="R35" s="66"/>
      <c r="S35" s="66" t="s">
        <v>67</v>
      </c>
      <c r="T35" s="67">
        <f>$AA33*T27/100</f>
        <v>0</v>
      </c>
      <c r="U35" s="67">
        <f>$AA33*U27/100</f>
        <v>219.24921829241885</v>
      </c>
      <c r="V35" s="67">
        <f>$AA33*V27/100</f>
        <v>986.06357255388309</v>
      </c>
      <c r="W35" s="67">
        <f>$AA33*W27/100</f>
        <v>1026.5696207628116</v>
      </c>
      <c r="X35" s="67">
        <f>$AA33*X27/100</f>
        <v>1238.7824145377572</v>
      </c>
      <c r="AA35" s="1"/>
      <c r="AB35" s="25"/>
      <c r="AC35" s="58" t="s">
        <v>112</v>
      </c>
      <c r="AD35" s="120">
        <f>I572</f>
        <v>0.88701754385964915</v>
      </c>
      <c r="AE35" s="121">
        <f>I583</f>
        <v>0.87920605034530031</v>
      </c>
      <c r="AF35" s="121">
        <f>J583</f>
        <v>6.6957719623471365E-3</v>
      </c>
      <c r="AH35">
        <v>572</v>
      </c>
      <c r="AI35">
        <v>583</v>
      </c>
    </row>
    <row r="36" spans="1:65" ht="15.6" x14ac:dyDescent="0.35">
      <c r="B36" s="1" t="s">
        <v>25</v>
      </c>
      <c r="C36" s="1">
        <f>C20</f>
        <v>56</v>
      </c>
      <c r="D36" s="1">
        <f>D20</f>
        <v>103</v>
      </c>
      <c r="E36" s="1">
        <f>E20</f>
        <v>1692</v>
      </c>
      <c r="F36" s="1">
        <f>F20</f>
        <v>597</v>
      </c>
      <c r="G36" s="1">
        <f>G20</f>
        <v>402</v>
      </c>
      <c r="R36" t="s">
        <v>72</v>
      </c>
      <c r="S36" t="s">
        <v>28</v>
      </c>
      <c r="T36" s="57">
        <f t="shared" ref="T36:X39" si="4">C89</f>
        <v>1.1344672297083842</v>
      </c>
      <c r="U36" s="57">
        <f t="shared" si="4"/>
        <v>4.5769207890250394</v>
      </c>
      <c r="V36" s="57">
        <f t="shared" si="4"/>
        <v>52.959903865495889</v>
      </c>
      <c r="W36" s="57">
        <f t="shared" si="4"/>
        <v>20.079554797620112</v>
      </c>
      <c r="X36" s="57">
        <f t="shared" si="4"/>
        <v>21.249153318150572</v>
      </c>
      <c r="Y36" s="13"/>
      <c r="Z36" s="74"/>
      <c r="AA36" s="12"/>
      <c r="AC36" t="s">
        <v>113</v>
      </c>
      <c r="AD36" s="51">
        <v>0.88771929824561402</v>
      </c>
      <c r="AE36" s="51">
        <v>0.88262762441539599</v>
      </c>
      <c r="AH36">
        <v>601</v>
      </c>
      <c r="AI36">
        <v>612</v>
      </c>
      <c r="BF36" s="82" t="s">
        <v>335</v>
      </c>
      <c r="BG36" s="1">
        <v>0.05</v>
      </c>
      <c r="BH36" s="59" t="s">
        <v>336</v>
      </c>
      <c r="BI36" s="1">
        <v>20</v>
      </c>
      <c r="BJ36" s="59" t="s">
        <v>347</v>
      </c>
      <c r="BK36" s="1">
        <f>_xlfn.VAR.S(BF39:BF58)*(BI36-1)</f>
        <v>2.6599754142803296E-4</v>
      </c>
    </row>
    <row r="37" spans="1:6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33.769582650221679</v>
      </c>
      <c r="E37" s="18">
        <f>(O28*O28*(100-E33)*(100-E33)*(I28)*(100-I28))/((L28-1)*100)</f>
        <v>178.09393428981005</v>
      </c>
      <c r="F37" s="18">
        <f>(O29*O29*(100-F33)*(100-F33)*(I29)*(100-I29))/((L29-1)*100)</f>
        <v>2526.3821631478149</v>
      </c>
      <c r="G37" s="18">
        <f>(O30*O30*(100-G33)*(100-G33)*(I30)*(100-I30))/((L30-1)*100)</f>
        <v>21728.426427687788</v>
      </c>
      <c r="S37" s="66" t="s">
        <v>39</v>
      </c>
      <c r="T37" s="67">
        <f t="shared" si="4"/>
        <v>0</v>
      </c>
      <c r="U37" s="67">
        <f t="shared" si="4"/>
        <v>8.9569451997282043E-2</v>
      </c>
      <c r="V37" s="67">
        <f t="shared" si="4"/>
        <v>0.51761583619081264</v>
      </c>
      <c r="W37" s="67">
        <f t="shared" si="4"/>
        <v>0.5289893862035685</v>
      </c>
      <c r="X37" s="67">
        <f t="shared" si="4"/>
        <v>0.65704986293684031</v>
      </c>
      <c r="AC37" t="s">
        <v>114</v>
      </c>
      <c r="AD37" s="51">
        <v>0.88701754385964904</v>
      </c>
      <c r="AE37" s="51">
        <v>0.88130155500656204</v>
      </c>
      <c r="AH37">
        <v>630</v>
      </c>
      <c r="AI37">
        <v>641</v>
      </c>
    </row>
    <row r="38" spans="1:65" ht="15.6" x14ac:dyDescent="0.35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105.66777127837032</v>
      </c>
      <c r="E38" s="18">
        <f>E33*E33*(SUM((H26*E26*(1-E15/H15))/(H15-1),(H27*E27*(1-E16/H16))/(H16-1), (H29*E29*(1-E18/H18))/(H18-1),(H30*E30*(1-E19/H19))/(H19-1)))</f>
        <v>1061.6945617402641</v>
      </c>
      <c r="F38" s="18">
        <f>F33*F33*(SUM((H26*F26*(1-F15/H15))/(H15-1),(H27*F27*(1-F16/H16))/(H16-1), (H28*F28*(1-F17/H17))/(H17-1),(H30*F30*(1-F19/H19))/(H19-1)))</f>
        <v>1277.3611126686112</v>
      </c>
      <c r="G38" s="18">
        <f>G33*G33*(SUM((H26*G26*(1-G15/H15))/(H15-1),(H27*G27*(1-G16/H16))/(H16-1), (H28*G28*(1-G17/H17))/(H17-1),(H29*G29*(1-G18/H18))/(H18-1)))</f>
        <v>846.2804377884263</v>
      </c>
      <c r="S38" t="s">
        <v>30</v>
      </c>
      <c r="T38" s="57">
        <f t="shared" si="4"/>
        <v>100</v>
      </c>
      <c r="U38" s="57">
        <f t="shared" si="4"/>
        <v>95.945897011258253</v>
      </c>
      <c r="V38" s="57">
        <f t="shared" si="4"/>
        <v>96.116858070282277</v>
      </c>
      <c r="W38" s="57">
        <f t="shared" si="4"/>
        <v>82.859611438131282</v>
      </c>
      <c r="X38" s="57">
        <f t="shared" si="4"/>
        <v>67.795978822813254</v>
      </c>
      <c r="Z38" s="50"/>
      <c r="AA38" s="54"/>
      <c r="AC38" t="s">
        <v>115</v>
      </c>
      <c r="AD38" s="51">
        <v>0.88807017543859601</v>
      </c>
      <c r="AE38" s="51">
        <v>0.88091351432323195</v>
      </c>
      <c r="AH38">
        <v>659</v>
      </c>
      <c r="AI38">
        <v>670</v>
      </c>
      <c r="BF38" s="12" t="s">
        <v>334</v>
      </c>
      <c r="BG38" s="13" t="s">
        <v>362</v>
      </c>
      <c r="BH38" s="13" t="s">
        <v>367</v>
      </c>
      <c r="BI38" s="13" t="s">
        <v>368</v>
      </c>
      <c r="BJ38" s="13" t="s">
        <v>369</v>
      </c>
      <c r="BK38" s="13" t="s">
        <v>363</v>
      </c>
      <c r="BL38">
        <f>1/(SQRT(BI36))</f>
        <v>0.22360679774997896</v>
      </c>
    </row>
    <row r="39" spans="1:65" x14ac:dyDescent="0.3">
      <c r="A39" s="105" t="s">
        <v>390</v>
      </c>
      <c r="B39" s="69" t="s">
        <v>9</v>
      </c>
      <c r="C39" s="1">
        <v>269.37</v>
      </c>
      <c r="D39" s="1">
        <v>2012.32</v>
      </c>
      <c r="E39" s="1">
        <v>14878.32</v>
      </c>
      <c r="F39" s="1">
        <v>1656.87</v>
      </c>
      <c r="G39" s="1">
        <v>3273.77</v>
      </c>
      <c r="I39" t="s">
        <v>36</v>
      </c>
      <c r="J39" s="57">
        <f>SUM(C39:G39)</f>
        <v>22090.649999999998</v>
      </c>
      <c r="S39" s="66" t="s">
        <v>39</v>
      </c>
      <c r="T39" s="67">
        <f t="shared" si="4"/>
        <v>0</v>
      </c>
      <c r="U39" s="67">
        <f t="shared" si="4"/>
        <v>1.6423817910787082</v>
      </c>
      <c r="V39" s="67">
        <f t="shared" si="4"/>
        <v>0.70389424044255333</v>
      </c>
      <c r="W39" s="67">
        <f t="shared" si="4"/>
        <v>3.1039328049064689</v>
      </c>
      <c r="X39" s="67">
        <f t="shared" si="4"/>
        <v>7.6104113686138222</v>
      </c>
      <c r="AC39" t="s">
        <v>116</v>
      </c>
      <c r="AD39" s="51">
        <v>0.88701754385964904</v>
      </c>
      <c r="AE39" s="51">
        <v>0.880442983895391</v>
      </c>
      <c r="AH39">
        <v>688</v>
      </c>
      <c r="AI39">
        <v>699</v>
      </c>
      <c r="BF39" s="48">
        <v>0.86942149657545631</v>
      </c>
      <c r="BG39" s="27">
        <v>1</v>
      </c>
      <c r="BH39" s="84">
        <f>_xlfn.NORM.S.INV((BG39-0.375)/($BI$36+0.25))</f>
        <v>-1.8682416548639302</v>
      </c>
      <c r="BI39" s="84">
        <f>-BI58</f>
        <v>-0.47336806621893501</v>
      </c>
      <c r="BJ39">
        <f>BI39*BF39</f>
        <v>-0.41155637256309618</v>
      </c>
      <c r="BK39" s="13" t="s">
        <v>355</v>
      </c>
      <c r="BL39">
        <f>SUMSQ(BH39:BH58)</f>
        <v>17.633567020527028</v>
      </c>
    </row>
    <row r="40" spans="1:65" x14ac:dyDescent="0.3">
      <c r="B40" t="s">
        <v>391</v>
      </c>
      <c r="C40" s="57">
        <f>(C39/$J39)*100</f>
        <v>1.2193846717955334</v>
      </c>
      <c r="D40" s="57">
        <f>(D39/$J39)*100</f>
        <v>9.1093743280528194</v>
      </c>
      <c r="E40" s="57">
        <f>(E39/$J39)*100</f>
        <v>67.351209674681371</v>
      </c>
      <c r="F40" s="57">
        <f>(F39/$J39)*100</f>
        <v>7.5003225346470108</v>
      </c>
      <c r="G40" s="57">
        <f>(G39/$J39)*100</f>
        <v>14.819708790823269</v>
      </c>
      <c r="S40" t="s">
        <v>31</v>
      </c>
      <c r="T40" s="57">
        <f>I84</f>
        <v>100</v>
      </c>
      <c r="U40" s="57">
        <f>I85</f>
        <v>98.91304347826086</v>
      </c>
      <c r="V40" s="57">
        <f>I86</f>
        <v>91.039823008849567</v>
      </c>
      <c r="W40" s="57">
        <f>I87</f>
        <v>83.001531393568143</v>
      </c>
      <c r="X40" s="57">
        <f>I88</f>
        <v>78.008298755186729</v>
      </c>
      <c r="AC40" t="s">
        <v>117</v>
      </c>
      <c r="AD40" s="51">
        <v>0.88912280701754298</v>
      </c>
      <c r="AE40" s="51">
        <v>0.881598088253428</v>
      </c>
      <c r="AH40">
        <v>717</v>
      </c>
      <c r="AI40">
        <v>728</v>
      </c>
      <c r="BF40" s="48">
        <v>0.87473129514366776</v>
      </c>
      <c r="BG40" s="27">
        <v>2</v>
      </c>
      <c r="BH40" s="84">
        <f t="shared" ref="BH40:BH58" si="5">_xlfn.NORM.S.INV((BG40-0.375)/($BI$36+0.25))</f>
        <v>-1.4034126358514019</v>
      </c>
      <c r="BI40" s="84">
        <f>-BI57</f>
        <v>-0.32175145499838514</v>
      </c>
      <c r="BJ40">
        <f t="shared" ref="BJ40:BJ58" si="6">BI40*BF40</f>
        <v>-0.281446066945097</v>
      </c>
      <c r="BK40" s="74" t="s">
        <v>364</v>
      </c>
      <c r="BL40">
        <f>(BL39-2*(BH58^2)-2*(BH57^2))/(1-2*(BI58^2)-2*(BI57^2))</f>
        <v>19.471667059296756</v>
      </c>
    </row>
    <row r="41" spans="1:65" x14ac:dyDescent="0.3">
      <c r="A41" s="361">
        <v>1988</v>
      </c>
      <c r="B41" s="361"/>
      <c r="C41" s="361"/>
      <c r="D41" s="361"/>
      <c r="E41" s="361"/>
      <c r="F41" s="361"/>
      <c r="G41" s="361"/>
      <c r="H41" s="361"/>
      <c r="I41" s="361"/>
      <c r="J41" s="361"/>
      <c r="K41" s="361"/>
      <c r="L41" s="361" t="s">
        <v>53</v>
      </c>
      <c r="M41" s="361"/>
      <c r="N41" s="361"/>
      <c r="O41" s="361"/>
      <c r="P41" s="361"/>
      <c r="S41" s="66" t="s">
        <v>39</v>
      </c>
      <c r="T41" s="67">
        <f>J84</f>
        <v>0</v>
      </c>
      <c r="U41" s="67">
        <f>J85</f>
        <v>1.086956521739135</v>
      </c>
      <c r="V41" s="67">
        <f>J86</f>
        <v>0.67188496105116036</v>
      </c>
      <c r="W41" s="67">
        <f>J87</f>
        <v>1.471038887141888</v>
      </c>
      <c r="X41" s="67">
        <f>J88</f>
        <v>2.6735862314191756</v>
      </c>
      <c r="AC41" t="s">
        <v>118</v>
      </c>
      <c r="AD41" s="51">
        <v>0.88561403508771896</v>
      </c>
      <c r="AE41" s="51">
        <v>0.87982946050881505</v>
      </c>
      <c r="AH41">
        <v>746</v>
      </c>
      <c r="AI41">
        <v>757</v>
      </c>
      <c r="BF41" s="48">
        <v>0.87665101172588833</v>
      </c>
      <c r="BG41" s="1">
        <v>3</v>
      </c>
      <c r="BH41">
        <f t="shared" si="5"/>
        <v>-1.1281436452787641</v>
      </c>
      <c r="BI41">
        <f t="shared" ref="BI41:BI56" si="7">BH41/SQRT($BL$40)</f>
        <v>-0.25566002901309814</v>
      </c>
      <c r="BJ41">
        <f t="shared" si="6"/>
        <v>-0.22412462309220246</v>
      </c>
      <c r="BK41" s="74" t="s">
        <v>350</v>
      </c>
      <c r="BL41" s="48">
        <f>CORREL(BF39:BF58,BI39:BI58)^2</f>
        <v>0.94680572131664009</v>
      </c>
      <c r="BM41" s="48">
        <f>(BJ59^2)/BK36</f>
        <v>0.94680572131663521</v>
      </c>
    </row>
    <row r="42" spans="1:65" x14ac:dyDescent="0.3">
      <c r="A42" t="s">
        <v>320</v>
      </c>
      <c r="B42" t="s">
        <v>21</v>
      </c>
      <c r="I42" s="1" t="s">
        <v>58</v>
      </c>
      <c r="O42" s="360" t="s">
        <v>411</v>
      </c>
      <c r="P42" s="360"/>
      <c r="S42" s="66" t="s">
        <v>56</v>
      </c>
      <c r="T42" s="67">
        <f>N73*100</f>
        <v>100</v>
      </c>
      <c r="U42" s="67">
        <f>N74*100</f>
        <v>96.296296296296291</v>
      </c>
      <c r="V42" s="67">
        <f>N75*100</f>
        <v>94.35368300372599</v>
      </c>
      <c r="W42" s="67">
        <f>N76*100</f>
        <v>86.100079428117553</v>
      </c>
      <c r="X42" s="67">
        <f>N77*100</f>
        <v>57.757296466973884</v>
      </c>
      <c r="AC42" t="s">
        <v>119</v>
      </c>
      <c r="AD42" s="51">
        <v>0.89087719298245605</v>
      </c>
      <c r="AE42" s="51">
        <v>0.88305156601759804</v>
      </c>
      <c r="AH42">
        <v>775</v>
      </c>
      <c r="AI42">
        <v>786</v>
      </c>
      <c r="BF42" s="48">
        <v>0.87722659221811383</v>
      </c>
      <c r="BG42" s="1">
        <v>4</v>
      </c>
      <c r="BH42">
        <f t="shared" si="5"/>
        <v>-0.91913552204621074</v>
      </c>
      <c r="BI42">
        <f t="shared" si="7"/>
        <v>-0.20829458661289388</v>
      </c>
      <c r="BJ42">
        <f t="shared" si="6"/>
        <v>-0.18272155039190965</v>
      </c>
      <c r="BK42" s="74" t="s">
        <v>78</v>
      </c>
      <c r="BL42">
        <f>0.0038915*(LN(BI36)^3)-0.083751*(LN(BI36)^2)-0.31082*LN(BI36)-1.5861</f>
        <v>-3.1642267470723917</v>
      </c>
    </row>
    <row r="43" spans="1:6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56</v>
      </c>
      <c r="O43" s="13" t="s">
        <v>412</v>
      </c>
      <c r="P43" s="13" t="s">
        <v>41</v>
      </c>
      <c r="R43" s="16" t="s">
        <v>66</v>
      </c>
      <c r="S43" t="s">
        <v>9</v>
      </c>
      <c r="T43" s="30">
        <f>N84</f>
        <v>2239.04</v>
      </c>
      <c r="U43" s="30">
        <f>N85</f>
        <v>8762.26</v>
      </c>
      <c r="V43" s="30">
        <f>N86</f>
        <v>110353.28</v>
      </c>
      <c r="W43" s="30">
        <f>N87</f>
        <v>39562.230000000003</v>
      </c>
      <c r="X43" s="30">
        <f>N88</f>
        <v>36448.080000000002</v>
      </c>
      <c r="Z43" t="s">
        <v>36</v>
      </c>
      <c r="AA43" s="1">
        <f>N89</f>
        <v>197364.89</v>
      </c>
      <c r="AC43" t="s">
        <v>120</v>
      </c>
      <c r="AD43" s="51">
        <v>0.88596491228070096</v>
      </c>
      <c r="AE43" s="51">
        <v>0.880748925009461</v>
      </c>
      <c r="AH43">
        <v>804</v>
      </c>
      <c r="AI43">
        <v>815</v>
      </c>
      <c r="BF43" s="48">
        <v>0.87775465511408213</v>
      </c>
      <c r="BG43" s="1">
        <v>5</v>
      </c>
      <c r="BH43">
        <f t="shared" si="5"/>
        <v>-0.74414274222016763</v>
      </c>
      <c r="BI43">
        <f t="shared" si="7"/>
        <v>-0.16863770483667825</v>
      </c>
      <c r="BJ43">
        <f t="shared" si="6"/>
        <v>-0.14802253044814889</v>
      </c>
      <c r="BK43" s="74" t="s">
        <v>370</v>
      </c>
      <c r="BL43">
        <f>EXP(0.0030301*(LN(BI36)^2)-0.082676*LN(BI36)-0.4803)</f>
        <v>0.49619722706220387</v>
      </c>
    </row>
    <row r="44" spans="1:65" ht="15.6" x14ac:dyDescent="0.35">
      <c r="A44" t="s">
        <v>3</v>
      </c>
      <c r="B44" s="13">
        <v>0</v>
      </c>
      <c r="C44" s="26">
        <v>56</v>
      </c>
      <c r="D44" s="3">
        <v>0</v>
      </c>
      <c r="E44" s="3">
        <v>0</v>
      </c>
      <c r="F44" s="3">
        <v>0</v>
      </c>
      <c r="G44" s="4">
        <v>0</v>
      </c>
      <c r="H44" s="1">
        <f>SUM(C44:G44)</f>
        <v>56</v>
      </c>
      <c r="I44" s="10">
        <f>C44/H44</f>
        <v>1</v>
      </c>
      <c r="J44" s="11">
        <f>1-I44</f>
        <v>0</v>
      </c>
      <c r="K44">
        <f>H44-C49</f>
        <v>0</v>
      </c>
      <c r="N44" s="10">
        <f>2*(C50*I44)/(C50+I44)</f>
        <v>1</v>
      </c>
      <c r="O44" s="1"/>
      <c r="P44" s="1"/>
      <c r="R44" s="16" t="s">
        <v>323</v>
      </c>
      <c r="S44" t="s">
        <v>68</v>
      </c>
      <c r="T44" s="57">
        <f>$AA43*T36/100</f>
        <v>2239.04</v>
      </c>
      <c r="U44" s="57">
        <f>$AA43*U36/100</f>
        <v>9033.2346806464011</v>
      </c>
      <c r="V44" s="57">
        <f>$AA43*V36/100</f>
        <v>104524.25600824172</v>
      </c>
      <c r="W44" s="57">
        <f>$AA43*W36/100</f>
        <v>39629.991238812661</v>
      </c>
      <c r="X44" s="57">
        <f>$AA43*X36/100</f>
        <v>41938.368072299229</v>
      </c>
      <c r="Z44" t="s">
        <v>36</v>
      </c>
      <c r="AA44" s="25">
        <f>SUM(T44:X44)</f>
        <v>197364.89</v>
      </c>
      <c r="AC44" t="s">
        <v>121</v>
      </c>
      <c r="AD44" s="51">
        <v>0.88701754385964904</v>
      </c>
      <c r="AE44" s="51">
        <v>0.87902993352735903</v>
      </c>
      <c r="AH44">
        <v>833</v>
      </c>
      <c r="AI44">
        <v>844</v>
      </c>
      <c r="BF44" s="48">
        <v>0.87790626146021011</v>
      </c>
      <c r="BG44" s="1">
        <v>6</v>
      </c>
      <c r="BH44">
        <f t="shared" si="5"/>
        <v>-0.58945579784977842</v>
      </c>
      <c r="BI44">
        <f t="shared" si="7"/>
        <v>-0.13358253358150615</v>
      </c>
      <c r="BJ44">
        <f t="shared" si="6"/>
        <v>-0.11727294265292304</v>
      </c>
      <c r="BK44" s="74" t="s">
        <v>366</v>
      </c>
      <c r="BL44">
        <f>(LN(1-BL41)-BL42)/BL43</f>
        <v>0.46437646673885824</v>
      </c>
    </row>
    <row r="45" spans="1:65" x14ac:dyDescent="0.3">
      <c r="A45" t="s">
        <v>4</v>
      </c>
      <c r="B45" s="13">
        <v>1</v>
      </c>
      <c r="C45" s="5">
        <v>0</v>
      </c>
      <c r="D45" s="27">
        <v>90</v>
      </c>
      <c r="E45" s="1">
        <v>2</v>
      </c>
      <c r="F45" s="1">
        <v>0</v>
      </c>
      <c r="G45" s="6">
        <v>0</v>
      </c>
      <c r="H45" s="1">
        <f>SUM(C45:G45)</f>
        <v>92</v>
      </c>
      <c r="I45" s="10">
        <f>D45/H45</f>
        <v>0.97826086956521741</v>
      </c>
      <c r="J45" s="11">
        <f>1-I45</f>
        <v>2.1739130434782594E-2</v>
      </c>
      <c r="K45">
        <f>H45-D49</f>
        <v>-6</v>
      </c>
      <c r="N45" s="10">
        <f>2*(D50*I45)/(D50+I45)</f>
        <v>0.94736842105263164</v>
      </c>
      <c r="O45" s="1"/>
      <c r="P45" s="1"/>
      <c r="R45" s="66"/>
      <c r="S45" s="66" t="s">
        <v>67</v>
      </c>
      <c r="T45" s="67">
        <f>$AA43*T37/100</f>
        <v>0</v>
      </c>
      <c r="U45" s="67">
        <f>$AA43*U37/100</f>
        <v>176.77865040803852</v>
      </c>
      <c r="V45" s="67">
        <f>$AA43*V37/100</f>
        <v>1021.5919257205776</v>
      </c>
      <c r="W45" s="67">
        <f>$AA43*W37/100</f>
        <v>1044.0393201923482</v>
      </c>
      <c r="X45" s="67">
        <f>$AA43*X37/100</f>
        <v>1296.7857392304459</v>
      </c>
      <c r="AA45" s="1"/>
      <c r="AC45" t="s">
        <v>122</v>
      </c>
      <c r="AD45" s="51">
        <v>0.88070175438596399</v>
      </c>
      <c r="AE45" s="51">
        <v>0.87223992883604695</v>
      </c>
      <c r="AH45">
        <v>862</v>
      </c>
      <c r="AI45">
        <v>873</v>
      </c>
      <c r="BF45" s="48">
        <v>0.87842190982081814</v>
      </c>
      <c r="BG45" s="1">
        <v>7</v>
      </c>
      <c r="BH45">
        <f t="shared" si="5"/>
        <v>-0.44776751848294888</v>
      </c>
      <c r="BI45">
        <f t="shared" si="7"/>
        <v>-0.10147312112739562</v>
      </c>
      <c r="BJ45">
        <f t="shared" si="6"/>
        <v>-8.9136212856206071E-2</v>
      </c>
      <c r="BK45" s="74" t="s">
        <v>354</v>
      </c>
      <c r="BL45">
        <f>1-NORMSDIST(BL44)</f>
        <v>0.32118902379268965</v>
      </c>
    </row>
    <row r="46" spans="1:65" x14ac:dyDescent="0.3">
      <c r="A46" t="s">
        <v>5</v>
      </c>
      <c r="B46" s="13">
        <v>2</v>
      </c>
      <c r="C46" s="5">
        <v>0</v>
      </c>
      <c r="D46" s="1">
        <v>8</v>
      </c>
      <c r="E46" s="27">
        <v>1648</v>
      </c>
      <c r="F46" s="1">
        <v>35</v>
      </c>
      <c r="G46" s="6">
        <v>117</v>
      </c>
      <c r="H46" s="1">
        <f>SUM(C46:G46)</f>
        <v>1808</v>
      </c>
      <c r="I46" s="10">
        <f>E46/H46</f>
        <v>0.91150442477876104</v>
      </c>
      <c r="J46" s="11">
        <f>1-I46</f>
        <v>8.8495575221238965E-2</v>
      </c>
      <c r="K46">
        <f>H46-E49</f>
        <v>121</v>
      </c>
      <c r="N46" s="10">
        <f>2*(E50*I46)/(E50+I46)</f>
        <v>0.94306151645207437</v>
      </c>
      <c r="O46" s="1"/>
      <c r="P46" s="1"/>
      <c r="R46" t="s">
        <v>73</v>
      </c>
      <c r="S46" t="s">
        <v>28</v>
      </c>
      <c r="T46" s="57">
        <f t="shared" ref="T46:X49" si="8">C118</f>
        <v>1.1209642078726152</v>
      </c>
      <c r="U46" s="57">
        <f t="shared" si="8"/>
        <v>4.5724762260927658</v>
      </c>
      <c r="V46" s="57">
        <f t="shared" si="8"/>
        <v>54.606499373741066</v>
      </c>
      <c r="W46" s="57">
        <f t="shared" si="8"/>
        <v>19.425860328858548</v>
      </c>
      <c r="X46" s="57">
        <f t="shared" si="8"/>
        <v>20.274199863435012</v>
      </c>
      <c r="Y46" s="60"/>
      <c r="Z46" s="74"/>
      <c r="AA46" s="12"/>
      <c r="AC46" t="s">
        <v>135</v>
      </c>
      <c r="AD46" s="51">
        <v>0.88947368421052597</v>
      </c>
      <c r="AE46" s="51">
        <v>0.88165275576872904</v>
      </c>
      <c r="AH46">
        <v>891</v>
      </c>
      <c r="AI46">
        <v>902</v>
      </c>
      <c r="BF46" s="48">
        <v>0.87862456550374324</v>
      </c>
      <c r="BG46" s="1">
        <v>8</v>
      </c>
      <c r="BH46">
        <f t="shared" si="5"/>
        <v>-0.31457229183888502</v>
      </c>
      <c r="BI46">
        <f t="shared" si="7"/>
        <v>-7.1288405155509674E-2</v>
      </c>
      <c r="BJ46">
        <f t="shared" si="6"/>
        <v>-6.2635744005214503E-2</v>
      </c>
      <c r="BK46" s="13" t="s">
        <v>358</v>
      </c>
      <c r="BL46" s="13" t="str">
        <f>IF(GESTEP(BL45,BG36)=0,"YES","NO")</f>
        <v>NO</v>
      </c>
    </row>
    <row r="47" spans="1:65" x14ac:dyDescent="0.3">
      <c r="A47" t="s">
        <v>6</v>
      </c>
      <c r="B47" s="13">
        <v>3</v>
      </c>
      <c r="C47" s="5">
        <v>0</v>
      </c>
      <c r="D47" s="1">
        <v>0</v>
      </c>
      <c r="E47" s="1">
        <v>21</v>
      </c>
      <c r="F47" s="27">
        <v>529</v>
      </c>
      <c r="G47" s="6">
        <v>103</v>
      </c>
      <c r="H47" s="1">
        <f>SUM(C47:G47)</f>
        <v>653</v>
      </c>
      <c r="I47" s="10">
        <f>F47/H47</f>
        <v>0.81010719754977034</v>
      </c>
      <c r="J47" s="11">
        <f>1-I47</f>
        <v>0.18989280245022966</v>
      </c>
      <c r="K47">
        <f>H47-F49</f>
        <v>61</v>
      </c>
      <c r="N47" s="10">
        <f>2*(F50*I47)/(F50+I47)</f>
        <v>0.84979919678714855</v>
      </c>
      <c r="O47" s="1"/>
      <c r="P47" s="1"/>
      <c r="S47" s="66" t="s">
        <v>39</v>
      </c>
      <c r="T47" s="67">
        <f t="shared" si="8"/>
        <v>0</v>
      </c>
      <c r="U47" s="67">
        <f t="shared" si="8"/>
        <v>0.1139947018110825</v>
      </c>
      <c r="V47" s="67">
        <f t="shared" si="8"/>
        <v>0.51381262246952564</v>
      </c>
      <c r="W47" s="67">
        <f t="shared" si="8"/>
        <v>0.50022729071874683</v>
      </c>
      <c r="X47" s="67">
        <f t="shared" si="8"/>
        <v>0.61106121950920289</v>
      </c>
      <c r="AC47" t="s">
        <v>136</v>
      </c>
      <c r="AD47" s="51">
        <v>0.88526315789473597</v>
      </c>
      <c r="AE47" s="51">
        <v>0.87456501032513401</v>
      </c>
      <c r="AH47">
        <v>920</v>
      </c>
      <c r="AI47">
        <v>931</v>
      </c>
      <c r="BF47" s="48">
        <v>0.87870789331246424</v>
      </c>
      <c r="BG47" s="1">
        <v>9</v>
      </c>
      <c r="BH47">
        <f t="shared" si="5"/>
        <v>-0.18675612106373712</v>
      </c>
      <c r="BI47">
        <f t="shared" si="7"/>
        <v>-4.2322691378304626E-2</v>
      </c>
      <c r="BJ47">
        <f t="shared" si="6"/>
        <v>-3.7189282980343651E-2</v>
      </c>
    </row>
    <row r="48" spans="1:65" x14ac:dyDescent="0.3">
      <c r="A48" t="s">
        <v>7</v>
      </c>
      <c r="B48" s="13">
        <v>4</v>
      </c>
      <c r="C48" s="7">
        <v>0</v>
      </c>
      <c r="D48" s="8">
        <v>0</v>
      </c>
      <c r="E48" s="8">
        <v>16</v>
      </c>
      <c r="F48" s="8">
        <v>28</v>
      </c>
      <c r="G48" s="28">
        <v>197</v>
      </c>
      <c r="H48" s="1">
        <f>SUM(C48:G48)</f>
        <v>241</v>
      </c>
      <c r="I48" s="10">
        <f>G48/H48</f>
        <v>0.81742738589211617</v>
      </c>
      <c r="J48" s="11">
        <f>1-I48</f>
        <v>0.18257261410788383</v>
      </c>
      <c r="K48">
        <f>H48-G49</f>
        <v>-176</v>
      </c>
      <c r="N48" s="10">
        <f>2*(G50*I48)/(G50+I48)</f>
        <v>0.59878419452887544</v>
      </c>
      <c r="O48" s="1"/>
      <c r="P48" s="1"/>
      <c r="S48" t="s">
        <v>30</v>
      </c>
      <c r="T48" s="57">
        <f t="shared" si="8"/>
        <v>100</v>
      </c>
      <c r="U48" s="57">
        <f t="shared" si="8"/>
        <v>95.858901149038999</v>
      </c>
      <c r="V48" s="57">
        <f t="shared" si="8"/>
        <v>95.646584244835324</v>
      </c>
      <c r="W48" s="57">
        <f t="shared" si="8"/>
        <v>84.202720834170123</v>
      </c>
      <c r="X48" s="57">
        <f t="shared" si="8"/>
        <v>68.493299518186177</v>
      </c>
      <c r="AC48" t="s">
        <v>137</v>
      </c>
      <c r="AD48" s="51">
        <v>0.88666666666666605</v>
      </c>
      <c r="AE48" s="51">
        <v>0.87676270507065301</v>
      </c>
      <c r="AH48">
        <v>949</v>
      </c>
      <c r="AI48">
        <v>960</v>
      </c>
      <c r="BF48" s="48">
        <v>0.87918450619072674</v>
      </c>
      <c r="BG48" s="1">
        <v>10</v>
      </c>
      <c r="BH48">
        <f t="shared" si="5"/>
        <v>-6.1931623455317261E-2</v>
      </c>
      <c r="BI48">
        <f t="shared" si="7"/>
        <v>-1.4034950882076937E-2</v>
      </c>
      <c r="BJ48">
        <f t="shared" si="6"/>
        <v>-1.2339311360669916E-2</v>
      </c>
    </row>
    <row r="49" spans="1:64" ht="15.6" x14ac:dyDescent="0.35">
      <c r="B49" s="1" t="s">
        <v>19</v>
      </c>
      <c r="C49" s="1">
        <f>SUM(C44:C48)</f>
        <v>56</v>
      </c>
      <c r="D49" s="1">
        <f>SUM(D44:D48)</f>
        <v>98</v>
      </c>
      <c r="E49" s="1">
        <f>SUM(E44:E48)</f>
        <v>1687</v>
      </c>
      <c r="F49" s="1">
        <f>SUM(F44:F48)</f>
        <v>592</v>
      </c>
      <c r="G49" s="1">
        <f>SUM(G44:G48)</f>
        <v>417</v>
      </c>
      <c r="H49" s="1">
        <f>SUM(H43:H48)</f>
        <v>2850</v>
      </c>
      <c r="I49" s="13" t="s">
        <v>12</v>
      </c>
      <c r="N49" s="16" t="s">
        <v>36</v>
      </c>
      <c r="O49" s="1">
        <f>SUM(O44:O48)</f>
        <v>0</v>
      </c>
      <c r="P49" s="1">
        <f>SUM(P44:P48)</f>
        <v>0</v>
      </c>
      <c r="S49" s="66" t="s">
        <v>39</v>
      </c>
      <c r="T49" s="67">
        <f t="shared" si="8"/>
        <v>0</v>
      </c>
      <c r="U49" s="67">
        <f t="shared" si="8"/>
        <v>1.7896175512508647</v>
      </c>
      <c r="V49" s="67">
        <f t="shared" si="8"/>
        <v>0.68722210364490388</v>
      </c>
      <c r="W49" s="67">
        <f t="shared" si="8"/>
        <v>3.0146202443530701</v>
      </c>
      <c r="X49" s="67">
        <f t="shared" si="8"/>
        <v>7.0043439821935305</v>
      </c>
      <c r="AC49" t="s">
        <v>138</v>
      </c>
      <c r="AD49" s="51">
        <v>0.88701754385964904</v>
      </c>
      <c r="AE49" s="51">
        <v>0.880017647566393</v>
      </c>
      <c r="AH49">
        <v>978</v>
      </c>
      <c r="AI49">
        <v>989</v>
      </c>
      <c r="BF49" s="48">
        <v>0.87920593596248087</v>
      </c>
      <c r="BG49" s="1">
        <v>11</v>
      </c>
      <c r="BH49">
        <f t="shared" si="5"/>
        <v>6.1931623455317261E-2</v>
      </c>
      <c r="BI49">
        <f t="shared" si="7"/>
        <v>1.4034950882076937E-2</v>
      </c>
      <c r="BJ49">
        <f t="shared" si="6"/>
        <v>1.23396121264639E-2</v>
      </c>
    </row>
    <row r="50" spans="1:64" x14ac:dyDescent="0.3">
      <c r="A50" s="1" t="s">
        <v>321</v>
      </c>
      <c r="B50" s="1" t="s">
        <v>2</v>
      </c>
      <c r="C50" s="10">
        <f>C44/C49</f>
        <v>1</v>
      </c>
      <c r="D50" s="10">
        <f>D45/D49</f>
        <v>0.91836734693877553</v>
      </c>
      <c r="E50" s="10">
        <f>E46/E49</f>
        <v>0.97688203912270299</v>
      </c>
      <c r="F50" s="10">
        <f>F47/F49</f>
        <v>0.89358108108108103</v>
      </c>
      <c r="G50" s="10">
        <f>G48/G49</f>
        <v>0.47242206235011991</v>
      </c>
      <c r="H50" s="10"/>
      <c r="I50" s="14">
        <f>(C44+D45+E46+F47+G48)/H49</f>
        <v>0.88421052631578945</v>
      </c>
      <c r="S50" s="15" t="s">
        <v>31</v>
      </c>
      <c r="T50" s="71">
        <f>I113</f>
        <v>100</v>
      </c>
      <c r="U50" s="71">
        <f>I114</f>
        <v>96.739130434782624</v>
      </c>
      <c r="V50" s="71">
        <f>I115</f>
        <v>91.537610619469035</v>
      </c>
      <c r="W50" s="71">
        <f>I116</f>
        <v>81.623277182235825</v>
      </c>
      <c r="X50" s="71">
        <f>I117</f>
        <v>80.497925311203318</v>
      </c>
      <c r="AC50" t="s">
        <v>139</v>
      </c>
      <c r="AD50" s="51">
        <v>0.88877192982456099</v>
      </c>
      <c r="AE50" s="51">
        <v>0.88206931029102098</v>
      </c>
      <c r="AH50">
        <v>1007</v>
      </c>
      <c r="AI50">
        <v>1018</v>
      </c>
      <c r="BF50" s="48">
        <v>0.87976884387895549</v>
      </c>
      <c r="BG50" s="1">
        <v>12</v>
      </c>
      <c r="BH50">
        <f t="shared" si="5"/>
        <v>0.18675612106373712</v>
      </c>
      <c r="BI50">
        <f t="shared" si="7"/>
        <v>4.2322691378304626E-2</v>
      </c>
      <c r="BJ50">
        <f t="shared" si="6"/>
        <v>3.7234185263736896E-2</v>
      </c>
    </row>
    <row r="51" spans="1:64" x14ac:dyDescent="0.3">
      <c r="B51" s="1" t="s">
        <v>14</v>
      </c>
      <c r="C51" s="11">
        <f>1-C50</f>
        <v>0</v>
      </c>
      <c r="D51" s="11">
        <f>1-D50</f>
        <v>8.1632653061224469E-2</v>
      </c>
      <c r="E51" s="11">
        <f>1-E50</f>
        <v>2.3117960877297006E-2</v>
      </c>
      <c r="F51" s="11">
        <f>1-F50</f>
        <v>0.10641891891891897</v>
      </c>
      <c r="G51" s="11">
        <f>1-G50</f>
        <v>0.52757793764988015</v>
      </c>
      <c r="S51" s="75" t="s">
        <v>39</v>
      </c>
      <c r="T51" s="76">
        <f>J113</f>
        <v>0</v>
      </c>
      <c r="U51" s="76">
        <f>J114</f>
        <v>1.8618603664560787</v>
      </c>
      <c r="V51" s="76">
        <f>J115</f>
        <v>0.65473749435250606</v>
      </c>
      <c r="W51" s="76">
        <f>J116</f>
        <v>1.5167613322609963</v>
      </c>
      <c r="X51" s="76">
        <f>J117</f>
        <v>2.5575676528297544</v>
      </c>
      <c r="AC51" t="s">
        <v>140</v>
      </c>
      <c r="AD51" s="51">
        <v>0.88561403508771896</v>
      </c>
      <c r="AE51" s="51">
        <v>0.87789007187356705</v>
      </c>
      <c r="AH51">
        <v>1036</v>
      </c>
      <c r="AI51">
        <v>1047</v>
      </c>
      <c r="BF51" s="48">
        <v>0.88117798937874825</v>
      </c>
      <c r="BG51" s="1">
        <v>13</v>
      </c>
      <c r="BH51">
        <f t="shared" si="5"/>
        <v>0.31457229183888502</v>
      </c>
      <c r="BI51">
        <f t="shared" si="7"/>
        <v>7.1288405155509674E-2</v>
      </c>
      <c r="BJ51">
        <f t="shared" si="6"/>
        <v>6.281777352094961E-2</v>
      </c>
    </row>
    <row r="52" spans="1:64" x14ac:dyDescent="0.3">
      <c r="C52" s="2"/>
      <c r="S52" s="66" t="s">
        <v>56</v>
      </c>
      <c r="T52" s="67">
        <f>N102*100</f>
        <v>100</v>
      </c>
      <c r="U52" s="67">
        <f>N103*100</f>
        <v>95.18716577540107</v>
      </c>
      <c r="V52" s="67">
        <f>N104*100</f>
        <v>94.248291571753995</v>
      </c>
      <c r="W52" s="67">
        <f>N105*100</f>
        <v>85.348278622898306</v>
      </c>
      <c r="X52" s="67">
        <f>N106*100</f>
        <v>60.624999999999993</v>
      </c>
      <c r="AC52" t="s">
        <v>141</v>
      </c>
      <c r="AD52" s="51">
        <v>0.89017543859649095</v>
      </c>
      <c r="AE52" s="51">
        <v>0.88362921833307395</v>
      </c>
      <c r="AH52">
        <v>1065</v>
      </c>
      <c r="AI52">
        <v>1076</v>
      </c>
      <c r="BF52" s="48">
        <v>0.88140303828544742</v>
      </c>
      <c r="BG52" s="1">
        <v>14</v>
      </c>
      <c r="BH52">
        <f t="shared" si="5"/>
        <v>0.44776751848294888</v>
      </c>
      <c r="BI52">
        <f t="shared" si="7"/>
        <v>0.10147312112739562</v>
      </c>
      <c r="BJ52">
        <f t="shared" si="6"/>
        <v>8.9438717265993728E-2</v>
      </c>
    </row>
    <row r="53" spans="1:64" ht="15.6" x14ac:dyDescent="0.35">
      <c r="A53" t="s">
        <v>322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66</v>
      </c>
      <c r="S53" t="s">
        <v>9</v>
      </c>
      <c r="T53" s="30">
        <f>N113</f>
        <v>2212.39</v>
      </c>
      <c r="U53" s="30">
        <f>N114</f>
        <v>8942.35</v>
      </c>
      <c r="V53" s="30">
        <f>N115</f>
        <v>112611.87</v>
      </c>
      <c r="W53" s="30">
        <f>N116</f>
        <v>39551.440000000002</v>
      </c>
      <c r="X53" s="30">
        <f>N117</f>
        <v>34046.86</v>
      </c>
      <c r="Z53" t="s">
        <v>36</v>
      </c>
      <c r="AA53" s="1">
        <f>N118</f>
        <v>197364.90999999997</v>
      </c>
      <c r="AC53" t="s">
        <v>142</v>
      </c>
      <c r="AD53" s="51">
        <v>0.88596491228070096</v>
      </c>
      <c r="AE53" s="51">
        <v>0.87948140821410803</v>
      </c>
      <c r="AH53">
        <v>1094</v>
      </c>
      <c r="AI53">
        <v>1105</v>
      </c>
      <c r="BF53" s="48">
        <v>0.881923615432326</v>
      </c>
      <c r="BG53" s="1">
        <v>15</v>
      </c>
      <c r="BH53">
        <f t="shared" si="5"/>
        <v>0.58945579784977842</v>
      </c>
      <c r="BI53">
        <f t="shared" si="7"/>
        <v>0.13358253358150615</v>
      </c>
      <c r="BJ53">
        <f t="shared" si="6"/>
        <v>0.117809590974812</v>
      </c>
    </row>
    <row r="54" spans="1:64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323</v>
      </c>
      <c r="S54" t="s">
        <v>68</v>
      </c>
      <c r="T54" s="57">
        <f>$AA53*T46/100</f>
        <v>2212.39</v>
      </c>
      <c r="U54" s="57">
        <f>$AA53*U46/100</f>
        <v>9024.4635883993833</v>
      </c>
      <c r="V54" s="57">
        <f>$AA53*V46/100</f>
        <v>107774.0683431346</v>
      </c>
      <c r="W54" s="57">
        <f>$AA53*W46/100</f>
        <v>38339.831754777369</v>
      </c>
      <c r="X54" s="57">
        <f>$AA53*X46/100</f>
        <v>40014.156313688633</v>
      </c>
      <c r="Z54" t="s">
        <v>36</v>
      </c>
      <c r="AA54" s="25">
        <f>SUM(T54:X54)</f>
        <v>197364.91</v>
      </c>
      <c r="AC54" t="s">
        <v>143</v>
      </c>
      <c r="AD54" s="51">
        <v>0.888421052631579</v>
      </c>
      <c r="AE54" s="51">
        <v>0.88006189328927897</v>
      </c>
      <c r="AH54">
        <v>1123</v>
      </c>
      <c r="AI54">
        <v>1134</v>
      </c>
      <c r="BF54" s="48">
        <v>0.88202857567657711</v>
      </c>
      <c r="BG54" s="1">
        <v>16</v>
      </c>
      <c r="BH54">
        <f t="shared" si="5"/>
        <v>0.74414274222016763</v>
      </c>
      <c r="BI54">
        <f t="shared" si="7"/>
        <v>0.16863770483667825</v>
      </c>
      <c r="BJ54">
        <f t="shared" si="6"/>
        <v>0.14874327460246234</v>
      </c>
    </row>
    <row r="55" spans="1:64" x14ac:dyDescent="0.3">
      <c r="A55" t="s">
        <v>3</v>
      </c>
      <c r="B55" s="13">
        <v>0</v>
      </c>
      <c r="C55" s="29">
        <f>(C44/$L55)*$O55</f>
        <v>1.1160343100520913</v>
      </c>
      <c r="D55" s="31">
        <f>(D44/$L55)*$O55</f>
        <v>0</v>
      </c>
      <c r="E55" s="31">
        <f>(E44/$L55)*$O55</f>
        <v>0</v>
      </c>
      <c r="F55" s="31">
        <f>(F44/$L55)*$O55</f>
        <v>0</v>
      </c>
      <c r="G55" s="32">
        <f>(G44/$L55)*$O55</f>
        <v>0</v>
      </c>
      <c r="H55" s="17">
        <f>SUM(C55:G55)</f>
        <v>1.1160343100520913</v>
      </c>
      <c r="I55" s="17">
        <f>C55/H55*100</f>
        <v>100</v>
      </c>
      <c r="J55" s="17">
        <f>SQRT(I55*(100-I55)/(L55-1))</f>
        <v>0</v>
      </c>
      <c r="K55" s="18">
        <f>100-I55</f>
        <v>0</v>
      </c>
      <c r="L55" s="1">
        <f>H44</f>
        <v>56</v>
      </c>
      <c r="M55">
        <v>0</v>
      </c>
      <c r="N55" s="1">
        <v>2202.66</v>
      </c>
      <c r="O55" s="17">
        <f>N55/N60*100</f>
        <v>1.1160343100520913</v>
      </c>
      <c r="P55" s="52">
        <f>((O55*O55*(I55/100)*(K55/100))/(L55-1))</f>
        <v>0</v>
      </c>
      <c r="R55" s="66"/>
      <c r="S55" s="66" t="s">
        <v>67</v>
      </c>
      <c r="T55" s="67">
        <f>$AA53*T47/100</f>
        <v>0</v>
      </c>
      <c r="U55" s="67">
        <f>$AA53*U47/100</f>
        <v>224.98554063421133</v>
      </c>
      <c r="V55" s="67">
        <f>$AA53*V47/100</f>
        <v>1014.085819905619</v>
      </c>
      <c r="W55" s="67">
        <f>$AA53*W47/100</f>
        <v>987.27314212249291</v>
      </c>
      <c r="X55" s="67">
        <f>$AA53*X47/100</f>
        <v>1206.0204259292407</v>
      </c>
      <c r="AA55" s="1"/>
      <c r="AC55" t="s">
        <v>144</v>
      </c>
      <c r="AD55" s="51">
        <v>0.884210526315789</v>
      </c>
      <c r="AE55" s="51">
        <v>0.87645815264708604</v>
      </c>
      <c r="AH55">
        <v>1152</v>
      </c>
      <c r="AI55">
        <v>1163</v>
      </c>
      <c r="BF55" s="48">
        <v>0.88216257491329708</v>
      </c>
      <c r="BG55" s="1">
        <v>17</v>
      </c>
      <c r="BH55">
        <f t="shared" si="5"/>
        <v>0.91913552204621074</v>
      </c>
      <c r="BI55">
        <f t="shared" si="7"/>
        <v>0.20829458661289388</v>
      </c>
      <c r="BJ55">
        <f t="shared" si="6"/>
        <v>0.18374968886693124</v>
      </c>
    </row>
    <row r="56" spans="1:64" x14ac:dyDescent="0.3">
      <c r="A56" t="s">
        <v>4</v>
      </c>
      <c r="B56" s="13">
        <v>1</v>
      </c>
      <c r="C56" s="33">
        <f t="shared" ref="C56:G59" si="9">(C45/$L56)*$O56</f>
        <v>0</v>
      </c>
      <c r="D56" s="34">
        <f t="shared" si="9"/>
        <v>4.4145156245239594</v>
      </c>
      <c r="E56" s="19">
        <f t="shared" si="9"/>
        <v>9.8100347211643527E-2</v>
      </c>
      <c r="F56" s="18">
        <f t="shared" si="9"/>
        <v>0</v>
      </c>
      <c r="G56" s="20">
        <f t="shared" si="9"/>
        <v>0</v>
      </c>
      <c r="H56" s="17">
        <f>SUM(C56:G56)</f>
        <v>4.5126159717356034</v>
      </c>
      <c r="I56" s="17">
        <f>D56/H56*100</f>
        <v>97.826086956521735</v>
      </c>
      <c r="J56" s="17">
        <f>SQRT(I56*(100-I56)/(L56-1))</f>
        <v>1.5287192313211824</v>
      </c>
      <c r="K56" s="18">
        <f>100-I56</f>
        <v>2.1739130434782652</v>
      </c>
      <c r="L56" s="1">
        <f>H45</f>
        <v>92</v>
      </c>
      <c r="M56">
        <v>1</v>
      </c>
      <c r="N56" s="1">
        <v>8906.32</v>
      </c>
      <c r="O56" s="17">
        <f>N56/N60*100</f>
        <v>4.5126159717356025</v>
      </c>
      <c r="P56" s="52">
        <f>((O56*O56*(I56/100)*(K56/100))/(L56-1))</f>
        <v>4.7589617091980943E-3</v>
      </c>
      <c r="R56" t="s">
        <v>76</v>
      </c>
      <c r="S56" t="s">
        <v>28</v>
      </c>
      <c r="T56" s="57">
        <f t="shared" ref="T56:X59" si="10">C147</f>
        <v>1.1043554909893041</v>
      </c>
      <c r="U56" s="57">
        <f t="shared" si="10"/>
        <v>4.735857742946604</v>
      </c>
      <c r="V56" s="57">
        <f t="shared" si="10"/>
        <v>53.572034004700534</v>
      </c>
      <c r="W56" s="57">
        <f t="shared" si="10"/>
        <v>19.759062027513679</v>
      </c>
      <c r="X56" s="57">
        <f t="shared" si="10"/>
        <v>20.828690733849868</v>
      </c>
      <c r="Y56" s="13"/>
      <c r="Z56" s="74"/>
      <c r="AA56" s="12"/>
      <c r="AC56" t="s">
        <v>145</v>
      </c>
      <c r="AD56" s="51">
        <v>0.89228070175438601</v>
      </c>
      <c r="AE56" s="51">
        <v>0.88535204636258802</v>
      </c>
      <c r="AH56">
        <v>1181</v>
      </c>
      <c r="AI56">
        <v>1192</v>
      </c>
      <c r="BF56" s="48">
        <v>0.88434408526697328</v>
      </c>
      <c r="BG56" s="1">
        <v>18</v>
      </c>
      <c r="BH56">
        <f t="shared" si="5"/>
        <v>1.1281436452787641</v>
      </c>
      <c r="BI56">
        <f t="shared" si="7"/>
        <v>0.25566002901309814</v>
      </c>
      <c r="BJ56">
        <f t="shared" si="6"/>
        <v>0.22609143449691613</v>
      </c>
    </row>
    <row r="57" spans="1:64" x14ac:dyDescent="0.3">
      <c r="A57" t="s">
        <v>5</v>
      </c>
      <c r="B57" s="13">
        <v>2</v>
      </c>
      <c r="C57" s="33">
        <f t="shared" si="9"/>
        <v>0</v>
      </c>
      <c r="D57" s="19">
        <f t="shared" si="9"/>
        <v>0.24766577528958453</v>
      </c>
      <c r="E57" s="34">
        <f t="shared" si="9"/>
        <v>51.019149709654414</v>
      </c>
      <c r="F57" s="19">
        <f t="shared" si="9"/>
        <v>1.0835377668919324</v>
      </c>
      <c r="G57" s="20">
        <f t="shared" si="9"/>
        <v>3.6221119636101742</v>
      </c>
      <c r="H57" s="17">
        <f>SUM(C57:G57)</f>
        <v>55.9724652154461</v>
      </c>
      <c r="I57" s="17">
        <f>E57/H57*100</f>
        <v>91.150442477876112</v>
      </c>
      <c r="J57" s="17">
        <f>SQRT(I57*(100-I57)/(L57-1))</f>
        <v>0.66813018453268502</v>
      </c>
      <c r="K57" s="18">
        <f>100-I57</f>
        <v>8.849557522123888</v>
      </c>
      <c r="L57" s="1">
        <f>H46</f>
        <v>1808</v>
      </c>
      <c r="M57">
        <v>2</v>
      </c>
      <c r="N57" s="1">
        <v>110470</v>
      </c>
      <c r="O57" s="17">
        <f>N57/N60*100</f>
        <v>55.972465215446107</v>
      </c>
      <c r="P57" s="52">
        <f>((O57*O57*(I57/100)*(K57/100))/(L57-1))</f>
        <v>0.13985276444335293</v>
      </c>
      <c r="S57" s="66" t="s">
        <v>39</v>
      </c>
      <c r="T57" s="67">
        <f t="shared" si="10"/>
        <v>0</v>
      </c>
      <c r="U57" s="67">
        <f t="shared" si="10"/>
        <v>0.11615102760161768</v>
      </c>
      <c r="V57" s="67">
        <f t="shared" si="10"/>
        <v>0.48801915926070127</v>
      </c>
      <c r="W57" s="67">
        <f t="shared" si="10"/>
        <v>0.51937336837777226</v>
      </c>
      <c r="X57" s="67">
        <f t="shared" si="10"/>
        <v>0.61014866252903976</v>
      </c>
      <c r="AC57" t="s">
        <v>146</v>
      </c>
      <c r="AD57" s="51">
        <v>0.89122807017543804</v>
      </c>
      <c r="AE57" s="51">
        <v>0.88364126164816303</v>
      </c>
      <c r="AH57">
        <v>1210</v>
      </c>
      <c r="AI57">
        <v>1221</v>
      </c>
      <c r="BF57" s="48">
        <v>0.88503853184239789</v>
      </c>
      <c r="BG57" s="27">
        <v>19</v>
      </c>
      <c r="BH57" s="84">
        <f t="shared" si="5"/>
        <v>1.4034126358514019</v>
      </c>
      <c r="BI57" s="84">
        <f>-3.562633*($BL$38)^5+5.682633*($BL$38)^4-1.752461*($BL$38)^3-0.293762*($BL$38)^2+0.042981*$BL$38+BH57*($BL$39^-0.5)</f>
        <v>0.32175145499838514</v>
      </c>
      <c r="BJ57">
        <f t="shared" si="6"/>
        <v>0.28476243534992612</v>
      </c>
    </row>
    <row r="58" spans="1:64" x14ac:dyDescent="0.3">
      <c r="A58" t="s">
        <v>6</v>
      </c>
      <c r="B58" s="13">
        <v>3</v>
      </c>
      <c r="C58" s="33">
        <f t="shared" si="9"/>
        <v>0</v>
      </c>
      <c r="D58" s="19">
        <f t="shared" si="9"/>
        <v>0</v>
      </c>
      <c r="E58" s="19">
        <f t="shared" si="9"/>
        <v>0.64745098819791114</v>
      </c>
      <c r="F58" s="34">
        <f t="shared" si="9"/>
        <v>16.309598702699763</v>
      </c>
      <c r="G58" s="20">
        <f t="shared" si="9"/>
        <v>3.1755929421135645</v>
      </c>
      <c r="H58" s="17">
        <f>SUM(C58:G58)</f>
        <v>20.132642633011237</v>
      </c>
      <c r="I58" s="17">
        <f>F58/H58*100</f>
        <v>81.010719754977032</v>
      </c>
      <c r="J58" s="17">
        <f>SQRT(I58*(100-I58)/(L58-1))</f>
        <v>1.5360370791104836</v>
      </c>
      <c r="K58" s="18">
        <f>100-I58</f>
        <v>18.989280245022968</v>
      </c>
      <c r="L58" s="1">
        <f>H47</f>
        <v>653</v>
      </c>
      <c r="M58">
        <v>3</v>
      </c>
      <c r="N58" s="1">
        <v>39734.769999999997</v>
      </c>
      <c r="O58" s="17">
        <f>N58/N60*100</f>
        <v>20.132642633011237</v>
      </c>
      <c r="P58" s="52">
        <f>((O58*O58*(I58/100)*(K58/100))/(L58-1))</f>
        <v>9.5632380868362316E-2</v>
      </c>
      <c r="S58" t="s">
        <v>30</v>
      </c>
      <c r="T58" s="57">
        <f t="shared" si="10"/>
        <v>100</v>
      </c>
      <c r="U58" s="57">
        <f t="shared" si="10"/>
        <v>94.07795193057099</v>
      </c>
      <c r="V58" s="57">
        <f t="shared" si="10"/>
        <v>96.269325621281013</v>
      </c>
      <c r="W58" s="57">
        <f t="shared" si="10"/>
        <v>83.448380792308285</v>
      </c>
      <c r="X58" s="57">
        <f t="shared" si="10"/>
        <v>69.704047143412396</v>
      </c>
      <c r="AC58" t="s">
        <v>147</v>
      </c>
      <c r="AD58" s="51">
        <v>0.88596491228070096</v>
      </c>
      <c r="AE58" s="51">
        <v>0.87782748463745397</v>
      </c>
      <c r="AH58">
        <v>1239</v>
      </c>
      <c r="AI58">
        <v>1250</v>
      </c>
      <c r="BF58" s="48">
        <v>0.88583847149801753</v>
      </c>
      <c r="BG58" s="27">
        <v>20</v>
      </c>
      <c r="BH58" s="84">
        <f t="shared" si="5"/>
        <v>1.8682416548639302</v>
      </c>
      <c r="BI58" s="84">
        <f>-2.70605*($BL$38)^5+4.4334685*($BL$38)^4-2.07119*($BL$38)^3-0.147981*($BL$38)^2+0.221157*$BL$38+BH58*($BL$39^-0.5)</f>
        <v>0.47336806621893501</v>
      </c>
      <c r="BJ58">
        <f t="shared" si="6"/>
        <v>0.41932764423535374</v>
      </c>
    </row>
    <row r="59" spans="1:64" x14ac:dyDescent="0.3">
      <c r="A59" t="s">
        <v>7</v>
      </c>
      <c r="B59" s="13">
        <v>4</v>
      </c>
      <c r="C59" s="35">
        <f t="shared" si="9"/>
        <v>0</v>
      </c>
      <c r="D59" s="36">
        <f t="shared" si="9"/>
        <v>0</v>
      </c>
      <c r="E59" s="21">
        <f t="shared" si="9"/>
        <v>1.2126965556683789</v>
      </c>
      <c r="F59" s="21">
        <f t="shared" si="9"/>
        <v>2.1222189724196632</v>
      </c>
      <c r="G59" s="37">
        <f t="shared" si="9"/>
        <v>14.931326341666916</v>
      </c>
      <c r="H59" s="17">
        <f>SUM(C59:G59)</f>
        <v>18.266241869754957</v>
      </c>
      <c r="I59" s="17">
        <f>G59/H59*100</f>
        <v>81.742738589211612</v>
      </c>
      <c r="J59" s="17">
        <f>SQRT(I59*(100-I59)/(L59-1))</f>
        <v>2.4936574100246278</v>
      </c>
      <c r="K59" s="18">
        <f>100-I59</f>
        <v>18.257261410788388</v>
      </c>
      <c r="L59" s="1">
        <f>H48</f>
        <v>241</v>
      </c>
      <c r="M59">
        <v>4</v>
      </c>
      <c r="N59" s="1">
        <v>36051.15</v>
      </c>
      <c r="O59" s="17">
        <f>N59/N60*100</f>
        <v>18.266241869754957</v>
      </c>
      <c r="P59" s="52">
        <f>((O59*O59*(I59/100)*(K59/100))/(L59-1))</f>
        <v>0.20747796696572929</v>
      </c>
      <c r="S59" s="66" t="s">
        <v>39</v>
      </c>
      <c r="T59" s="67">
        <f t="shared" si="10"/>
        <v>0</v>
      </c>
      <c r="U59" s="67">
        <f t="shared" si="10"/>
        <v>2.047338932457555</v>
      </c>
      <c r="V59" s="67">
        <f t="shared" si="10"/>
        <v>0.63019957064136045</v>
      </c>
      <c r="W59" s="67">
        <f t="shared" si="10"/>
        <v>3.1285994319912076</v>
      </c>
      <c r="X59" s="67">
        <f t="shared" si="10"/>
        <v>6.5942891909798576</v>
      </c>
      <c r="AC59" t="s">
        <v>148</v>
      </c>
      <c r="AD59" s="51">
        <v>0.88596491228070096</v>
      </c>
      <c r="AE59" s="51">
        <v>0.87739348636188397</v>
      </c>
      <c r="AH59">
        <v>1268</v>
      </c>
      <c r="AI59">
        <v>1279</v>
      </c>
      <c r="BI59" t="s">
        <v>365</v>
      </c>
      <c r="BJ59">
        <f>SUM(BJ39:BJ58)</f>
        <v>1.5869719407734351E-2</v>
      </c>
    </row>
    <row r="60" spans="1:64" x14ac:dyDescent="0.3">
      <c r="B60" t="s">
        <v>28</v>
      </c>
      <c r="C60" s="17">
        <f>SUM(C55:C59)</f>
        <v>1.1160343100520913</v>
      </c>
      <c r="D60" s="17">
        <f>SUM(D55:D59)</f>
        <v>4.6621813998135435</v>
      </c>
      <c r="E60" s="17">
        <f>SUM(E55:E59)</f>
        <v>52.977397600732345</v>
      </c>
      <c r="F60" s="17">
        <f>SUM(F55:F59)</f>
        <v>19.515355442011359</v>
      </c>
      <c r="G60" s="17">
        <f>SUM(G55:G59)</f>
        <v>21.729031247390655</v>
      </c>
      <c r="H60" s="1">
        <f>SUM(H54:H59)</f>
        <v>100</v>
      </c>
      <c r="I60" s="13" t="s">
        <v>24</v>
      </c>
      <c r="J60" s="12" t="s">
        <v>29</v>
      </c>
      <c r="N60" s="1">
        <f>SUM(N55:N59)</f>
        <v>197364.9</v>
      </c>
      <c r="O60" s="17">
        <f>SUM(O55:O59)</f>
        <v>100</v>
      </c>
      <c r="S60" s="15" t="s">
        <v>31</v>
      </c>
      <c r="T60" s="71">
        <f>I142</f>
        <v>100</v>
      </c>
      <c r="U60" s="71">
        <f>I143</f>
        <v>97.826086956521735</v>
      </c>
      <c r="V60" s="71">
        <f>I144</f>
        <v>91.537610619469007</v>
      </c>
      <c r="W60" s="71">
        <f>I145</f>
        <v>81.470137825421148</v>
      </c>
      <c r="X60" s="71">
        <f>I146</f>
        <v>81.742738589211612</v>
      </c>
      <c r="AC60" t="s">
        <v>149</v>
      </c>
      <c r="AD60" s="51">
        <v>0.884210526315789</v>
      </c>
      <c r="AE60" s="51">
        <v>0.87636278671020496</v>
      </c>
      <c r="AH60">
        <v>1297</v>
      </c>
      <c r="AI60">
        <v>1308</v>
      </c>
    </row>
    <row r="61" spans="1:64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0</v>
      </c>
      <c r="D61" s="18">
        <f>SQRT(SUM((O55*O55*(D55/O55)*(1-D55/O55))/L55,(O56*O56*(D56/O56)*(1-D56/O56))/L56,(O57*O57*(D57/O57)*(1-D57/O57))/L57,(O58*O58*(D58/O58)*(1-D58/O58))/L58,(O59*O59*(D59/O59)*(1-D59/O59))/L59))</f>
        <v>0.11108825241591531</v>
      </c>
      <c r="E61" s="18">
        <f>SQRT(SUM((O55*O55*(E55/O55)*(1-E55/O55))/L55,(O56*O56*(E56/O56)*(1-E56/O56))/L56,(O57*O57*(E57/O57)*(1-E57/O57))/L57,(O58*O58*(E58/O58)*(1-E58/O58))/L58,(O59*O59*(E59/O59)*(1-E59/O59))/L59))</f>
        <v>0.49961445654920567</v>
      </c>
      <c r="F61" s="18">
        <f>SQRT(SUM((O55*O55*(F55/O55)*(1-F55/O55))/L55,(O56*O56*(F56/O56)*(1-F56/O56))/L56,(O57*O57*(F57/O57)*(1-F57/O57))/L57,(O58*O58*(F58/O58)*(1-F58/O58))/L58,(O59*O59*(F59/O59)*(1-F59/O59))/L59))</f>
        <v>0.52013788711306397</v>
      </c>
      <c r="G61" s="18">
        <f>SQRT(SUM((O55*O55*(G55/O55)*(1-G55/O55))/L55,(O56*O56*(G56/O56)*(1-G56/O56))/L56,(O57*O57*(G57/O57)*(1-G57/O57))/L57,(O58*O58*(G58/O58)*(1-G58/O58))/L58,(O59*O59*(G59/O59)*(1-G59/O59))/L59))</f>
        <v>0.62766095417055279</v>
      </c>
      <c r="H61" s="1"/>
      <c r="I61" s="14">
        <f>(C55+D56+E57+F58+G59)/H60</f>
        <v>0.87790624688597152</v>
      </c>
      <c r="J61" s="53">
        <f>SQRT(SUM(P55:P59))/100</f>
        <v>6.6912037331607437E-3</v>
      </c>
      <c r="M61" s="1"/>
      <c r="N61" s="9"/>
      <c r="S61" s="75" t="s">
        <v>39</v>
      </c>
      <c r="T61" s="76">
        <f>J142</f>
        <v>0</v>
      </c>
      <c r="U61" s="76">
        <f>J143</f>
        <v>1.5287192313211824</v>
      </c>
      <c r="V61" s="76">
        <f>J144</f>
        <v>0.65473749435250705</v>
      </c>
      <c r="W61" s="76">
        <f>J145</f>
        <v>1.5216386193197156</v>
      </c>
      <c r="X61" s="76">
        <f>J146</f>
        <v>2.4936574100246278</v>
      </c>
      <c r="AC61" t="s">
        <v>150</v>
      </c>
      <c r="AD61" s="51">
        <v>0.88561403508771896</v>
      </c>
      <c r="AE61" s="51">
        <v>0.87751902729429698</v>
      </c>
      <c r="AH61">
        <v>1326</v>
      </c>
      <c r="AI61">
        <v>1337</v>
      </c>
      <c r="BF61" s="82" t="s">
        <v>335</v>
      </c>
      <c r="BG61" s="1">
        <v>0.05</v>
      </c>
      <c r="BH61" s="59" t="s">
        <v>336</v>
      </c>
      <c r="BI61" s="1">
        <v>200</v>
      </c>
      <c r="BJ61" s="59" t="s">
        <v>347</v>
      </c>
      <c r="BK61" s="1">
        <f>_xlfn.VAR.S(BF64:BF263)*(BI61-1)</f>
        <v>2.460605434255963E-3</v>
      </c>
    </row>
    <row r="62" spans="1:64" x14ac:dyDescent="0.3">
      <c r="B62" s="1" t="s">
        <v>30</v>
      </c>
      <c r="C62" s="17">
        <f>C55/C60*100</f>
        <v>100</v>
      </c>
      <c r="D62" s="17">
        <f>D56/D60*100</f>
        <v>94.687770508039677</v>
      </c>
      <c r="E62" s="17">
        <f>E57/E60*100</f>
        <v>96.303616297205835</v>
      </c>
      <c r="F62" s="17">
        <f>F58/F60*100</f>
        <v>83.573157307652949</v>
      </c>
      <c r="G62" s="17">
        <f>G59/G60*100</f>
        <v>68.716024067846803</v>
      </c>
      <c r="H62" s="1"/>
      <c r="S62" s="66" t="s">
        <v>56</v>
      </c>
      <c r="T62" s="67">
        <f>N131*100</f>
        <v>100</v>
      </c>
      <c r="U62" s="67">
        <f>N132*100</f>
        <v>94.240837696335078</v>
      </c>
      <c r="V62" s="67">
        <f>N133*100</f>
        <v>94.382663244938698</v>
      </c>
      <c r="W62" s="67">
        <f>N134*100</f>
        <v>85.188150520416343</v>
      </c>
      <c r="X62" s="67">
        <f>N135*100</f>
        <v>61.466458658346333</v>
      </c>
      <c r="AC62" t="s">
        <v>151</v>
      </c>
      <c r="AD62" s="51">
        <v>0.88947368421052597</v>
      </c>
      <c r="AE62" s="51">
        <v>0.88081553865940498</v>
      </c>
      <c r="AH62">
        <v>1355</v>
      </c>
      <c r="AI62">
        <v>1366</v>
      </c>
    </row>
    <row r="63" spans="1:64" ht="15.6" x14ac:dyDescent="0.35">
      <c r="B63" s="16" t="s">
        <v>39</v>
      </c>
      <c r="C63" s="18">
        <f>SQRT((C66+C67)/(C60*C60))</f>
        <v>0</v>
      </c>
      <c r="D63" s="18">
        <f>SQRT((D66+D67)/(D60*D60))</f>
        <v>1.9411999235067612</v>
      </c>
      <c r="E63" s="18">
        <f>SQRT((E66+E67)/(E60*E60))</f>
        <v>0.6576445060037992</v>
      </c>
      <c r="F63" s="18">
        <f>SQRT((F66+F67)/(F60*F60))</f>
        <v>3.1618678268122316</v>
      </c>
      <c r="G63" s="18">
        <f>SQRT((G66+G67)/(G60*G60))</f>
        <v>6.6994039213526113</v>
      </c>
      <c r="H63" s="1"/>
      <c r="I63" s="14"/>
      <c r="R63" s="16" t="s">
        <v>66</v>
      </c>
      <c r="S63" t="s">
        <v>9</v>
      </c>
      <c r="T63" s="30">
        <f>N142</f>
        <v>2179.61</v>
      </c>
      <c r="U63" s="30">
        <f>N143</f>
        <v>8988.7999999999993</v>
      </c>
      <c r="V63" s="30">
        <f>N144</f>
        <v>111197.85</v>
      </c>
      <c r="W63" s="30">
        <f>N145</f>
        <v>39944.379999999997</v>
      </c>
      <c r="X63" s="30">
        <f>N146</f>
        <v>35054.25</v>
      </c>
      <c r="Z63" t="s">
        <v>36</v>
      </c>
      <c r="AA63" s="1">
        <f>N147</f>
        <v>197364.89</v>
      </c>
      <c r="AC63" t="s">
        <v>152</v>
      </c>
      <c r="AD63" s="51">
        <v>0.88350877192982402</v>
      </c>
      <c r="AE63" s="51">
        <v>0.87362859940127802</v>
      </c>
      <c r="AH63">
        <v>1384</v>
      </c>
      <c r="AI63">
        <v>1395</v>
      </c>
      <c r="BF63" s="12" t="s">
        <v>334</v>
      </c>
      <c r="BG63" s="13" t="s">
        <v>362</v>
      </c>
      <c r="BH63" s="13" t="s">
        <v>367</v>
      </c>
      <c r="BI63" s="13" t="s">
        <v>368</v>
      </c>
      <c r="BJ63" s="13" t="s">
        <v>369</v>
      </c>
      <c r="BK63" s="13" t="s">
        <v>363</v>
      </c>
      <c r="BL63">
        <f>1/(SQRT(BI61))</f>
        <v>7.0710678118654752E-2</v>
      </c>
    </row>
    <row r="64" spans="1:64" ht="15.6" x14ac:dyDescent="0.35">
      <c r="B64" s="1" t="s">
        <v>37</v>
      </c>
      <c r="C64" s="18">
        <f>100-C62</f>
        <v>0</v>
      </c>
      <c r="D64" s="18">
        <f>100-D62</f>
        <v>5.3122294919603235</v>
      </c>
      <c r="E64" s="18">
        <f>100-E62</f>
        <v>3.6963837027941651</v>
      </c>
      <c r="F64" s="18">
        <f>100-F62</f>
        <v>16.426842692347051</v>
      </c>
      <c r="G64" s="18">
        <f>100-G62</f>
        <v>31.283975932153197</v>
      </c>
      <c r="R64" s="16" t="s">
        <v>323</v>
      </c>
      <c r="S64" t="s">
        <v>68</v>
      </c>
      <c r="T64" s="57">
        <f>$AA63*T56/100</f>
        <v>2179.61</v>
      </c>
      <c r="U64" s="57">
        <f>$AA63*U56/100</f>
        <v>9346.9204249230479</v>
      </c>
      <c r="V64" s="57">
        <f>$AA63*V56/100</f>
        <v>105732.38598413981</v>
      </c>
      <c r="W64" s="57">
        <f>$AA63*W56/100</f>
        <v>38997.451035634142</v>
      </c>
      <c r="X64" s="57">
        <f>$AA63*X56/100</f>
        <v>41108.522555302989</v>
      </c>
      <c r="Z64" t="s">
        <v>36</v>
      </c>
      <c r="AA64" s="25">
        <f>SUM(T64:X64)</f>
        <v>197364.89</v>
      </c>
      <c r="AC64" t="s">
        <v>153</v>
      </c>
      <c r="AD64" s="51">
        <v>0.88456140350877099</v>
      </c>
      <c r="AE64" s="51">
        <v>0.87621416486632797</v>
      </c>
      <c r="AH64">
        <v>1413</v>
      </c>
      <c r="AI64">
        <v>1424</v>
      </c>
      <c r="BF64" s="51">
        <v>0.86942149657545631</v>
      </c>
      <c r="BG64" s="27">
        <v>1</v>
      </c>
      <c r="BH64" s="84">
        <f>_xlfn.NORM.S.INV((BG64-0.375)/($BI$61+0.25))</f>
        <v>-2.7347800424613062</v>
      </c>
      <c r="BI64" s="84">
        <f>-BI263</f>
        <v>-0.20934182212459215</v>
      </c>
      <c r="BJ64">
        <f>BI64*BF64</f>
        <v>-0.18200628028739588</v>
      </c>
      <c r="BK64" s="13" t="s">
        <v>355</v>
      </c>
      <c r="BL64">
        <f>SUMSQ(BH64:BH263)</f>
        <v>196.54625623244561</v>
      </c>
    </row>
    <row r="65" spans="1:65" ht="15.6" x14ac:dyDescent="0.35">
      <c r="B65" s="1" t="s">
        <v>25</v>
      </c>
      <c r="C65" s="1">
        <f>C49</f>
        <v>56</v>
      </c>
      <c r="D65" s="1">
        <f>D49</f>
        <v>98</v>
      </c>
      <c r="E65" s="1">
        <f>E49</f>
        <v>1687</v>
      </c>
      <c r="F65" s="1">
        <f>F49</f>
        <v>592</v>
      </c>
      <c r="G65" s="1">
        <f>G49</f>
        <v>417</v>
      </c>
      <c r="R65" s="66"/>
      <c r="S65" s="66" t="s">
        <v>67</v>
      </c>
      <c r="T65" s="67">
        <f>$AA63*T57/100</f>
        <v>0</v>
      </c>
      <c r="U65" s="67">
        <f>$AA63*U57/100</f>
        <v>229.24134785980237</v>
      </c>
      <c r="V65" s="67">
        <f>$AA63*V57/100</f>
        <v>963.17847685380798</v>
      </c>
      <c r="W65" s="67">
        <f>$AA63*W57/100</f>
        <v>1025.060677188085</v>
      </c>
      <c r="X65" s="67">
        <f>$AA63*X57/100</f>
        <v>1204.2192366369106</v>
      </c>
      <c r="AA65" s="1"/>
      <c r="AC65" t="s">
        <v>154</v>
      </c>
      <c r="AD65" s="51">
        <v>0.88807017543859601</v>
      </c>
      <c r="AE65" s="51">
        <v>0.88016353080210497</v>
      </c>
      <c r="AH65">
        <v>1442</v>
      </c>
      <c r="AI65">
        <v>1453</v>
      </c>
      <c r="BF65" s="51">
        <v>0.87074517166288101</v>
      </c>
      <c r="BG65" s="27">
        <v>2</v>
      </c>
      <c r="BH65" s="84">
        <f>_xlfn.NORM.S.INV((BG65-0.375)/($BI$61+0.25))</f>
        <v>-2.4037084127855821</v>
      </c>
      <c r="BI65" s="84">
        <f>-BI262</f>
        <v>-0.17254128536790717</v>
      </c>
      <c r="BJ65">
        <f t="shared" ref="BJ65:BJ128" si="11">BI65*BF65</f>
        <v>-0.15023949114661247</v>
      </c>
      <c r="BK65" s="74" t="s">
        <v>364</v>
      </c>
      <c r="BL65">
        <f>(BL64-2*(BH263^2)-2*(BH262^2))/(1-2*(BI263^2)-2*(BI262^2))</f>
        <v>199.37897338378195</v>
      </c>
    </row>
    <row r="66" spans="1:65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13.429686281394009</v>
      </c>
      <c r="E66" s="18">
        <f>(O57*O57*(100-E62)*(100-E62)*(I57)*(100-I57))/((L57-1)*100)</f>
        <v>191.08436303752728</v>
      </c>
      <c r="F66" s="18">
        <f>(O58*O58*(100-F62)*(100-F62)*(I58)*(100-I58))/((L58-1)*100)</f>
        <v>2580.5552667327329</v>
      </c>
      <c r="G66" s="18">
        <f>(O59*O59*(100-G62)*(100-G62)*(I59)*(100-I59))/((L59-1)*100)</f>
        <v>20305.602020311566</v>
      </c>
      <c r="R66" t="s">
        <v>98</v>
      </c>
      <c r="S66" t="s">
        <v>28</v>
      </c>
      <c r="T66" s="57">
        <f>C176</f>
        <v>1.1174935927053693</v>
      </c>
      <c r="U66" s="57">
        <f t="shared" ref="U66:X69" si="12">D176</f>
        <v>4.6166723707985922</v>
      </c>
      <c r="V66" s="57">
        <f t="shared" si="12"/>
        <v>52.779592312340263</v>
      </c>
      <c r="W66" s="57">
        <f t="shared" si="12"/>
        <v>19.870822772362857</v>
      </c>
      <c r="X66" s="57">
        <f t="shared" si="12"/>
        <v>21.615418951792922</v>
      </c>
      <c r="Y66" s="13"/>
      <c r="Z66" s="74"/>
      <c r="AA66" s="12"/>
      <c r="AC66" t="s">
        <v>163</v>
      </c>
      <c r="AD66" s="51">
        <v>0.88631578947368395</v>
      </c>
      <c r="AE66" s="51">
        <v>0.87908959808897602</v>
      </c>
      <c r="AH66" s="78"/>
      <c r="BF66" s="51">
        <v>0.87122177717415705</v>
      </c>
      <c r="BG66" s="1">
        <v>3</v>
      </c>
      <c r="BH66">
        <f>_xlfn.NORM.S.INV((BG66-0.375)/($BI$61+0.25))</f>
        <v>-2.2229788158905457</v>
      </c>
      <c r="BI66">
        <f>BH66/SQRT($BL$65)</f>
        <v>-0.15743295469116447</v>
      </c>
      <c r="BJ66">
        <f t="shared" si="11"/>
        <v>-0.13715901857181487</v>
      </c>
      <c r="BK66" s="74" t="s">
        <v>350</v>
      </c>
      <c r="BL66" s="48">
        <f>CORREL(BF64:BF263,BI64:BI263)^2</f>
        <v>0.99428950711715802</v>
      </c>
      <c r="BM66" s="48">
        <f>(BJ264^2)/BK61</f>
        <v>0.99428950711714803</v>
      </c>
    </row>
    <row r="67" spans="1:65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68.476907567899659</v>
      </c>
      <c r="E67" s="18">
        <f>E62*E62*(SUM((H55*E55*(1-E44/H44))/(H44-1),(H56*E56*(1-E45/H45))/(H45-1), (H58*E58*(1-E47/H47))/(H47-1),(H59*E59*(1-E48/H48))/(H48-1)))</f>
        <v>1022.7617560323812</v>
      </c>
      <c r="F67" s="18">
        <f>F62*F62*(SUM((H55*F55*(1-F44/H44))/(H44-1),(H56*F56*(1-F45/H45))/(H45-1), (H57*F57*(1-F46/H46))/(H46-1),(H59*F59*(1-F48/H48))/(H48-1)))</f>
        <v>1226.9486114240747</v>
      </c>
      <c r="G67" s="18">
        <f>G62*G62*(SUM((H55*G55*(1-G44/H44))/(H44-1),(H56*G56*(1-G45/H45))/(H45-1), (H57*G57*(1-G46/H46))/(H46-1),(H58*G58*(1-G47/H47))/(H47-1)))</f>
        <v>885.47622958862064</v>
      </c>
      <c r="S67" s="66" t="s">
        <v>39</v>
      </c>
      <c r="T67" s="67">
        <f>C177</f>
        <v>0</v>
      </c>
      <c r="U67" s="67">
        <f t="shared" si="12"/>
        <v>0.11065345155784485</v>
      </c>
      <c r="V67" s="67">
        <f t="shared" si="12"/>
        <v>0.48223703534104023</v>
      </c>
      <c r="W67" s="67">
        <f t="shared" si="12"/>
        <v>0.503957604284892</v>
      </c>
      <c r="X67" s="67">
        <f t="shared" si="12"/>
        <v>0.61704296623153632</v>
      </c>
      <c r="AC67" t="s">
        <v>164</v>
      </c>
      <c r="AD67" s="51">
        <v>0.89228070175438601</v>
      </c>
      <c r="AE67" s="51">
        <v>0.88346166065919596</v>
      </c>
      <c r="AI67" s="78"/>
      <c r="BF67" s="51">
        <v>0.87167002660154003</v>
      </c>
      <c r="BG67" s="1">
        <v>4</v>
      </c>
      <c r="BH67">
        <f t="shared" ref="BH67:BH130" si="13">_xlfn.NORM.S.INV((BG67-0.375)/($BI$61+0.25))</f>
        <v>-2.0946204699384201</v>
      </c>
      <c r="BI67">
        <f t="shared" ref="BI67:BI130" si="14">BH67/SQRT($BL$65)</f>
        <v>-0.14834252453588728</v>
      </c>
      <c r="BJ67">
        <f t="shared" si="11"/>
        <v>-0.12930573230833647</v>
      </c>
      <c r="BK67" s="74" t="s">
        <v>78</v>
      </c>
      <c r="BL67">
        <f>0.0038915*(LN(BI61)^3)-0.083751*(LN(BI61)^2)-0.31082*LN(BI61)-1.5861</f>
        <v>-5.00519183191303</v>
      </c>
    </row>
    <row r="68" spans="1:65" x14ac:dyDescent="0.3">
      <c r="A68" s="105" t="s">
        <v>390</v>
      </c>
      <c r="B68" s="69" t="s">
        <v>9</v>
      </c>
      <c r="C68" s="1">
        <v>262.17</v>
      </c>
      <c r="D68" s="1">
        <v>1798.42</v>
      </c>
      <c r="E68" s="1">
        <v>15004.72</v>
      </c>
      <c r="F68" s="1">
        <v>1694.69</v>
      </c>
      <c r="G68" s="1">
        <v>3330.67</v>
      </c>
      <c r="I68" t="s">
        <v>36</v>
      </c>
      <c r="J68" s="57">
        <f>SUM(C68:G68)</f>
        <v>22090.67</v>
      </c>
      <c r="S68" t="s">
        <v>30</v>
      </c>
      <c r="T68" s="57">
        <f>C178</f>
        <v>100</v>
      </c>
      <c r="U68" s="57">
        <f t="shared" si="12"/>
        <v>94.635354221584009</v>
      </c>
      <c r="V68" s="57">
        <f t="shared" si="12"/>
        <v>96.958735257255896</v>
      </c>
      <c r="W68" s="57">
        <f t="shared" si="12"/>
        <v>84.710846413015545</v>
      </c>
      <c r="X68" s="57">
        <f t="shared" si="12"/>
        <v>69.811999883544857</v>
      </c>
      <c r="AC68" t="s">
        <v>165</v>
      </c>
      <c r="AD68" s="51">
        <v>0.88105263157894698</v>
      </c>
      <c r="AE68" s="51">
        <v>0.87393271149918095</v>
      </c>
      <c r="AI68" s="78"/>
      <c r="BF68" s="51">
        <v>0.87223992883604695</v>
      </c>
      <c r="BG68" s="1">
        <v>5</v>
      </c>
      <c r="BH68">
        <f t="shared" si="13"/>
        <v>-1.9936322372681392</v>
      </c>
      <c r="BI68">
        <f t="shared" si="14"/>
        <v>-0.14119046544082484</v>
      </c>
      <c r="BJ68">
        <f t="shared" si="11"/>
        <v>-0.1231519615284334</v>
      </c>
      <c r="BK68" s="74" t="s">
        <v>370</v>
      </c>
      <c r="BL68">
        <f>EXP(0.0030301*(LN(BI61)^2)-0.082676*LN(BI61)-0.4803)</f>
        <v>0.43462042560966935</v>
      </c>
    </row>
    <row r="69" spans="1:65" x14ac:dyDescent="0.3">
      <c r="B69" t="s">
        <v>391</v>
      </c>
      <c r="C69" s="57">
        <f>(C68/$J68)*100</f>
        <v>1.186790622466408</v>
      </c>
      <c r="D69" s="57">
        <f>(D68/$J68)*100</f>
        <v>8.1410839960942791</v>
      </c>
      <c r="E69" s="57">
        <f>(E68/$J68)*100</f>
        <v>67.923335960385089</v>
      </c>
      <c r="F69" s="57">
        <f>(F68/$J68)*100</f>
        <v>7.6715192431918098</v>
      </c>
      <c r="G69" s="57">
        <f>(G68/$J68)*100</f>
        <v>15.07727017786242</v>
      </c>
      <c r="S69" s="66" t="s">
        <v>39</v>
      </c>
      <c r="T69" s="67">
        <f>C179</f>
        <v>0</v>
      </c>
      <c r="U69" s="67">
        <f t="shared" si="12"/>
        <v>1.959268739804259</v>
      </c>
      <c r="V69" s="67">
        <f t="shared" si="12"/>
        <v>0.61068283643535781</v>
      </c>
      <c r="W69" s="67">
        <f t="shared" si="12"/>
        <v>2.8569246367482379</v>
      </c>
      <c r="X69" s="67">
        <f t="shared" si="12"/>
        <v>6.3993436101032639</v>
      </c>
      <c r="AC69" t="s">
        <v>166</v>
      </c>
      <c r="AD69" s="51">
        <v>0.88736842105263103</v>
      </c>
      <c r="AE69" s="51">
        <v>0.879501953761466</v>
      </c>
      <c r="BF69" s="51">
        <v>0.87224381287034902</v>
      </c>
      <c r="BG69" s="1">
        <v>6</v>
      </c>
      <c r="BH69">
        <f t="shared" si="13"/>
        <v>-1.9096384934921877</v>
      </c>
      <c r="BI69">
        <f t="shared" si="14"/>
        <v>-0.13524196824251786</v>
      </c>
      <c r="BJ69">
        <f t="shared" si="11"/>
        <v>-0.11796397003994442</v>
      </c>
      <c r="BK69" s="74" t="s">
        <v>366</v>
      </c>
      <c r="BL69">
        <f>(LN(1-BL66)-BL67)/BL68</f>
        <v>-0.36873119266058824</v>
      </c>
    </row>
    <row r="70" spans="1:65" x14ac:dyDescent="0.3">
      <c r="A70" s="361">
        <v>1988</v>
      </c>
      <c r="B70" s="361"/>
      <c r="C70" s="361"/>
      <c r="D70" s="361"/>
      <c r="E70" s="361"/>
      <c r="F70" s="361"/>
      <c r="G70" s="361"/>
      <c r="H70" s="361"/>
      <c r="I70" s="361"/>
      <c r="J70" s="361"/>
      <c r="K70" s="361"/>
      <c r="L70" s="361" t="s">
        <v>61</v>
      </c>
      <c r="M70" s="361"/>
      <c r="N70" s="361"/>
      <c r="O70" s="361"/>
      <c r="P70" s="361"/>
      <c r="S70" s="15" t="s">
        <v>31</v>
      </c>
      <c r="T70" s="71">
        <f>I171</f>
        <v>100</v>
      </c>
      <c r="U70" s="71">
        <f>I172</f>
        <v>97.826086956521749</v>
      </c>
      <c r="V70" s="71">
        <f>I173</f>
        <v>91.426991150442461</v>
      </c>
      <c r="W70" s="71">
        <f>I174</f>
        <v>83.460949464012259</v>
      </c>
      <c r="X70" s="71">
        <f>I175</f>
        <v>82.572614107883808</v>
      </c>
      <c r="AC70" t="s">
        <v>167</v>
      </c>
      <c r="AD70" s="51">
        <v>0.88736842105263103</v>
      </c>
      <c r="AE70" s="51">
        <v>0.87936753679294399</v>
      </c>
      <c r="AI70" s="78"/>
      <c r="BF70" s="51">
        <v>0.87291203618017899</v>
      </c>
      <c r="BG70" s="1">
        <v>7</v>
      </c>
      <c r="BH70">
        <f t="shared" si="13"/>
        <v>-1.8372886748302382</v>
      </c>
      <c r="BI70">
        <f t="shared" si="14"/>
        <v>-0.13011810217510433</v>
      </c>
      <c r="BJ70">
        <f t="shared" si="11"/>
        <v>-0.1135816575135709</v>
      </c>
      <c r="BK70" s="74" t="s">
        <v>354</v>
      </c>
      <c r="BL70">
        <f>1-NORMSDIST(BL69)</f>
        <v>0.64383595191348186</v>
      </c>
    </row>
    <row r="71" spans="1:65" x14ac:dyDescent="0.3">
      <c r="A71" t="s">
        <v>320</v>
      </c>
      <c r="B71" t="s">
        <v>21</v>
      </c>
      <c r="I71" s="1" t="s">
        <v>58</v>
      </c>
      <c r="O71" s="360" t="s">
        <v>411</v>
      </c>
      <c r="P71" s="360"/>
      <c r="S71" s="75" t="s">
        <v>39</v>
      </c>
      <c r="T71" s="76">
        <f>J171</f>
        <v>0</v>
      </c>
      <c r="U71" s="76">
        <f>J172</f>
        <v>1.5287192313211773</v>
      </c>
      <c r="V71" s="76">
        <f>J173</f>
        <v>0.65860462085251126</v>
      </c>
      <c r="W71" s="76">
        <f>J174</f>
        <v>1.4550340270549542</v>
      </c>
      <c r="X71" s="76">
        <f>J175</f>
        <v>2.4486601865262365</v>
      </c>
      <c r="AC71" t="s">
        <v>168</v>
      </c>
      <c r="AD71" s="51">
        <v>0.89017543859649095</v>
      </c>
      <c r="AE71" s="51">
        <v>0.88187910370872102</v>
      </c>
      <c r="BF71" s="51">
        <v>0.87343598974578895</v>
      </c>
      <c r="BG71" s="1">
        <v>8</v>
      </c>
      <c r="BH71">
        <f t="shared" si="13"/>
        <v>-1.7734461562988939</v>
      </c>
      <c r="BI71">
        <f t="shared" si="14"/>
        <v>-0.12559672920678461</v>
      </c>
      <c r="BJ71">
        <f t="shared" si="11"/>
        <v>-0.10970070348356176</v>
      </c>
      <c r="BK71" s="13" t="s">
        <v>358</v>
      </c>
      <c r="BL71" s="13" t="str">
        <f>IF(GESTEP(BL70,BG61)=0,"YES","NO")</f>
        <v>NO</v>
      </c>
    </row>
    <row r="72" spans="1:65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56</v>
      </c>
      <c r="O72" s="13" t="s">
        <v>412</v>
      </c>
      <c r="P72" s="13" t="s">
        <v>41</v>
      </c>
      <c r="S72" s="66" t="s">
        <v>56</v>
      </c>
      <c r="T72" s="67">
        <f>N160*100</f>
        <v>100</v>
      </c>
      <c r="U72" s="67">
        <f>N161*100</f>
        <v>94.736842105263165</v>
      </c>
      <c r="V72" s="67">
        <f>N162*100</f>
        <v>94.727793696275057</v>
      </c>
      <c r="W72" s="67">
        <f>N163*100</f>
        <v>86.714399363564041</v>
      </c>
      <c r="X72" s="67">
        <f>N164*100</f>
        <v>61.136712749615974</v>
      </c>
      <c r="AC72" t="s">
        <v>159</v>
      </c>
      <c r="AD72" s="51">
        <v>0.88526315789473597</v>
      </c>
      <c r="AE72" s="51">
        <v>0.87781681953661606</v>
      </c>
      <c r="AI72" s="78"/>
      <c r="BF72" s="51">
        <v>0.87346024825622104</v>
      </c>
      <c r="BG72" s="1">
        <v>9</v>
      </c>
      <c r="BH72">
        <f t="shared" si="13"/>
        <v>-1.7161077551573309</v>
      </c>
      <c r="BI72">
        <f t="shared" si="14"/>
        <v>-0.12153598249860366</v>
      </c>
      <c r="BJ72">
        <f t="shared" si="11"/>
        <v>-0.10615684944529409</v>
      </c>
    </row>
    <row r="73" spans="1:65" x14ac:dyDescent="0.3">
      <c r="A73" t="s">
        <v>3</v>
      </c>
      <c r="B73" s="13">
        <v>0</v>
      </c>
      <c r="C73" s="26">
        <v>56</v>
      </c>
      <c r="D73" s="3">
        <v>0</v>
      </c>
      <c r="E73" s="3">
        <v>0</v>
      </c>
      <c r="F73" s="3">
        <v>0</v>
      </c>
      <c r="G73" s="4">
        <v>0</v>
      </c>
      <c r="H73" s="1">
        <f>SUM(C73:G73)</f>
        <v>56</v>
      </c>
      <c r="I73" s="10">
        <f>C73/H73</f>
        <v>1</v>
      </c>
      <c r="J73" s="11">
        <f>1-I73</f>
        <v>0</v>
      </c>
      <c r="K73">
        <f>H73-C78</f>
        <v>0</v>
      </c>
      <c r="N73" s="10">
        <f>2*(C79*I73)/(C79+I73)</f>
        <v>1</v>
      </c>
      <c r="O73" s="1"/>
      <c r="P73" s="1"/>
      <c r="R73" s="16" t="s">
        <v>66</v>
      </c>
      <c r="S73" t="s">
        <v>9</v>
      </c>
      <c r="T73" s="1">
        <f>N171</f>
        <v>2205.54</v>
      </c>
      <c r="U73" s="1">
        <f>N172</f>
        <v>8814.5</v>
      </c>
      <c r="V73" s="1">
        <f>N173</f>
        <v>110471.03999999999</v>
      </c>
      <c r="W73" s="1">
        <f>N174</f>
        <v>39805.35</v>
      </c>
      <c r="X73" s="1">
        <f>N175</f>
        <v>36068.46</v>
      </c>
      <c r="Z73" t="s">
        <v>36</v>
      </c>
      <c r="AA73" s="1">
        <f>N176</f>
        <v>197364.88999999998</v>
      </c>
      <c r="AC73" t="s">
        <v>169</v>
      </c>
      <c r="AD73" s="51">
        <v>0.88982456140350796</v>
      </c>
      <c r="AE73" s="51">
        <v>0.88182947700630898</v>
      </c>
      <c r="BF73" s="51">
        <v>0.87349717908639701</v>
      </c>
      <c r="BG73" s="1">
        <v>10</v>
      </c>
      <c r="BH73">
        <f t="shared" si="13"/>
        <v>-1.6639128949712361</v>
      </c>
      <c r="BI73">
        <f t="shared" si="14"/>
        <v>-0.11783950505129283</v>
      </c>
      <c r="BJ73">
        <f t="shared" si="11"/>
        <v>-0.10293247524724151</v>
      </c>
    </row>
    <row r="74" spans="1:65" ht="15.6" x14ac:dyDescent="0.35">
      <c r="A74" t="s">
        <v>4</v>
      </c>
      <c r="B74" s="13">
        <v>1</v>
      </c>
      <c r="C74" s="5">
        <v>0</v>
      </c>
      <c r="D74" s="27">
        <v>91</v>
      </c>
      <c r="E74" s="1">
        <v>1</v>
      </c>
      <c r="F74" s="1">
        <v>0</v>
      </c>
      <c r="G74" s="6">
        <v>0</v>
      </c>
      <c r="H74" s="1">
        <f>SUM(C74:G74)</f>
        <v>92</v>
      </c>
      <c r="I74" s="10">
        <f>D74/H74</f>
        <v>0.98913043478260865</v>
      </c>
      <c r="J74" s="11">
        <f>1-I74</f>
        <v>1.0869565217391353E-2</v>
      </c>
      <c r="K74">
        <f>H74-D78</f>
        <v>-5</v>
      </c>
      <c r="N74" s="10">
        <f>2*(D79*I74)/(D79+I74)</f>
        <v>0.96296296296296291</v>
      </c>
      <c r="O74" s="1"/>
      <c r="P74" s="1"/>
      <c r="R74" s="16" t="s">
        <v>323</v>
      </c>
      <c r="S74" t="s">
        <v>68</v>
      </c>
      <c r="T74" s="57">
        <f>$AA73*T66/100</f>
        <v>2205.54</v>
      </c>
      <c r="U74" s="57">
        <f>$AA73*U66/100</f>
        <v>9111.6903462870323</v>
      </c>
      <c r="V74" s="57">
        <f>$AA73*V66/100</f>
        <v>104168.38430969881</v>
      </c>
      <c r="W74" s="57">
        <f>$AA73*W66/100</f>
        <v>39218.0275067689</v>
      </c>
      <c r="X74" s="57">
        <f>$AA73*X66/100</f>
        <v>42661.247837245253</v>
      </c>
      <c r="Z74" t="s">
        <v>36</v>
      </c>
      <c r="AA74" s="25">
        <f>SUM(T74:X74)</f>
        <v>197364.89</v>
      </c>
      <c r="AC74" t="s">
        <v>170</v>
      </c>
      <c r="AD74" s="51">
        <v>0.88456140350877099</v>
      </c>
      <c r="AE74" s="51">
        <v>0.877156403763237</v>
      </c>
      <c r="AI74" s="78"/>
      <c r="BF74" s="51">
        <v>0.87362859940127802</v>
      </c>
      <c r="BG74" s="1">
        <v>11</v>
      </c>
      <c r="BH74">
        <f t="shared" si="13"/>
        <v>-1.6158934440722883</v>
      </c>
      <c r="BI74">
        <f t="shared" si="14"/>
        <v>-0.11443873308548347</v>
      </c>
      <c r="BJ74">
        <f t="shared" si="11"/>
        <v>-9.9976950102727613E-2</v>
      </c>
    </row>
    <row r="75" spans="1:65" x14ac:dyDescent="0.3">
      <c r="A75" t="s">
        <v>5</v>
      </c>
      <c r="B75" s="13">
        <v>2</v>
      </c>
      <c r="C75" s="5">
        <v>0</v>
      </c>
      <c r="D75" s="1">
        <v>6</v>
      </c>
      <c r="E75" s="27">
        <v>1646</v>
      </c>
      <c r="F75" s="1">
        <v>32</v>
      </c>
      <c r="G75" s="6">
        <v>124</v>
      </c>
      <c r="H75" s="1">
        <f>SUM(C75:G75)</f>
        <v>1808</v>
      </c>
      <c r="I75" s="10">
        <f>E75/H75</f>
        <v>0.91039823008849563</v>
      </c>
      <c r="J75" s="11">
        <f>1-I75</f>
        <v>8.960176991150437E-2</v>
      </c>
      <c r="K75">
        <f>H75-E78</f>
        <v>127</v>
      </c>
      <c r="N75" s="10">
        <f>2*(E79*I75)/(E79+I75)</f>
        <v>0.94353683003725997</v>
      </c>
      <c r="O75" s="1"/>
      <c r="P75" s="1"/>
      <c r="R75" s="66"/>
      <c r="S75" s="66" t="s">
        <v>67</v>
      </c>
      <c r="T75" s="67">
        <f>$AA73*T67/100</f>
        <v>0</v>
      </c>
      <c r="U75" s="67">
        <f>$AA73*U67/100</f>
        <v>218.39106294834374</v>
      </c>
      <c r="V75" s="67">
        <f>$AA73*V67/100</f>
        <v>951.76659434010503</v>
      </c>
      <c r="W75" s="67">
        <f>$AA73*W67/100</f>
        <v>994.63537134351236</v>
      </c>
      <c r="X75" s="67">
        <f>$AA73*X67/100</f>
        <v>1217.8261715556087</v>
      </c>
      <c r="AA75" s="1"/>
      <c r="AC75" t="s">
        <v>171</v>
      </c>
      <c r="AD75" s="51">
        <v>0.88701754385964904</v>
      </c>
      <c r="AE75" s="51">
        <v>0.87699082759726299</v>
      </c>
      <c r="BF75" s="51">
        <v>0.87393271149918095</v>
      </c>
      <c r="BG75" s="1">
        <v>12</v>
      </c>
      <c r="BH75">
        <f t="shared" si="13"/>
        <v>-1.5713349421078384</v>
      </c>
      <c r="BI75">
        <f t="shared" si="14"/>
        <v>-0.11128306800638772</v>
      </c>
      <c r="BJ75">
        <f t="shared" si="11"/>
        <v>-9.7253913366770181E-2</v>
      </c>
    </row>
    <row r="76" spans="1:65" x14ac:dyDescent="0.3">
      <c r="A76" t="s">
        <v>6</v>
      </c>
      <c r="B76" s="13">
        <v>3</v>
      </c>
      <c r="C76" s="5">
        <v>0</v>
      </c>
      <c r="D76" s="1">
        <v>0</v>
      </c>
      <c r="E76" s="1">
        <v>13</v>
      </c>
      <c r="F76" s="27">
        <v>542</v>
      </c>
      <c r="G76" s="6">
        <v>98</v>
      </c>
      <c r="H76" s="1">
        <f>SUM(C76:G76)</f>
        <v>653</v>
      </c>
      <c r="I76" s="10">
        <f>F76/H76</f>
        <v>0.83001531393568151</v>
      </c>
      <c r="J76" s="11">
        <f>1-I76</f>
        <v>0.16998468606431849</v>
      </c>
      <c r="K76">
        <f>H76-F78</f>
        <v>47</v>
      </c>
      <c r="N76" s="10">
        <f>2*(F79*I76)/(F79+I76)</f>
        <v>0.8610007942811756</v>
      </c>
      <c r="O76" s="1"/>
      <c r="P76" s="1"/>
      <c r="R76" t="s">
        <v>99</v>
      </c>
      <c r="S76" t="s">
        <v>28</v>
      </c>
      <c r="T76" s="57">
        <f>C205</f>
        <v>1.1070965506024628</v>
      </c>
      <c r="U76" s="57">
        <f t="shared" ref="U76:X79" si="15">D205</f>
        <v>4.5098188954538196</v>
      </c>
      <c r="V76" s="57">
        <f t="shared" si="15"/>
        <v>52.995741406492797</v>
      </c>
      <c r="W76" s="57">
        <f t="shared" si="15"/>
        <v>19.440383275560613</v>
      </c>
      <c r="X76" s="57">
        <f t="shared" si="15"/>
        <v>21.946959871890318</v>
      </c>
      <c r="AC76" t="s">
        <v>172</v>
      </c>
      <c r="AD76" s="51">
        <v>0.88877192982456099</v>
      </c>
      <c r="AE76" s="51">
        <v>0.88153801757365802</v>
      </c>
      <c r="AI76" s="78"/>
      <c r="BF76" s="51">
        <v>0.87396074089690801</v>
      </c>
      <c r="BG76" s="1">
        <v>13</v>
      </c>
      <c r="BH76">
        <f t="shared" si="13"/>
        <v>-1.5296944238710335</v>
      </c>
      <c r="BI76">
        <f t="shared" si="14"/>
        <v>-0.1083340566284879</v>
      </c>
      <c r="BJ76">
        <f t="shared" si="11"/>
        <v>-9.4679712395400878E-2</v>
      </c>
    </row>
    <row r="77" spans="1:65" x14ac:dyDescent="0.3">
      <c r="A77" t="s">
        <v>7</v>
      </c>
      <c r="B77" s="13">
        <v>4</v>
      </c>
      <c r="C77" s="7">
        <v>0</v>
      </c>
      <c r="D77" s="8">
        <v>0</v>
      </c>
      <c r="E77" s="8">
        <v>21</v>
      </c>
      <c r="F77" s="8">
        <v>32</v>
      </c>
      <c r="G77" s="28">
        <v>188</v>
      </c>
      <c r="H77" s="1">
        <f>SUM(C77:G77)</f>
        <v>241</v>
      </c>
      <c r="I77" s="10">
        <f>G77/H77</f>
        <v>0.78008298755186722</v>
      </c>
      <c r="J77" s="11">
        <f>1-I77</f>
        <v>0.21991701244813278</v>
      </c>
      <c r="K77">
        <f>H77-G78</f>
        <v>-169</v>
      </c>
      <c r="N77" s="10">
        <f>2*(G79*I77)/(G79+I77)</f>
        <v>0.57757296466973884</v>
      </c>
      <c r="O77" s="1"/>
      <c r="P77" s="1"/>
      <c r="S77" s="66" t="s">
        <v>39</v>
      </c>
      <c r="T77" s="67">
        <f>C206</f>
        <v>0</v>
      </c>
      <c r="U77" s="67">
        <f t="shared" si="15"/>
        <v>0.10119511832167938</v>
      </c>
      <c r="V77" s="67">
        <f t="shared" si="15"/>
        <v>0.51510065329480925</v>
      </c>
      <c r="W77" s="67">
        <f t="shared" si="15"/>
        <v>0.53875090887134502</v>
      </c>
      <c r="X77" s="67">
        <f t="shared" si="15"/>
        <v>0.65661363189661703</v>
      </c>
      <c r="AC77" t="s">
        <v>173</v>
      </c>
      <c r="AD77" s="51">
        <v>0.88982456140350796</v>
      </c>
      <c r="AE77" s="51">
        <v>0.88026811630175505</v>
      </c>
      <c r="BF77" s="51">
        <v>0.87456501032513401</v>
      </c>
      <c r="BG77" s="1">
        <v>14</v>
      </c>
      <c r="BH77">
        <f t="shared" si="13"/>
        <v>-1.4905491617855362</v>
      </c>
      <c r="BI77">
        <f t="shared" si="14"/>
        <v>-0.10556176108152786</v>
      </c>
      <c r="BJ77">
        <f t="shared" si="11"/>
        <v>-9.2320622670205743E-2</v>
      </c>
    </row>
    <row r="78" spans="1:65" ht="15.6" x14ac:dyDescent="0.35">
      <c r="B78" s="1" t="s">
        <v>19</v>
      </c>
      <c r="C78" s="1">
        <f>SUM(C73:C77)</f>
        <v>56</v>
      </c>
      <c r="D78" s="1">
        <f>SUM(D73:D77)</f>
        <v>97</v>
      </c>
      <c r="E78" s="1">
        <f>SUM(E73:E77)</f>
        <v>1681</v>
      </c>
      <c r="F78" s="1">
        <f>SUM(F73:F77)</f>
        <v>606</v>
      </c>
      <c r="G78" s="1">
        <f>SUM(G73:G77)</f>
        <v>410</v>
      </c>
      <c r="H78" s="1">
        <f>SUM(H72:H77)</f>
        <v>2850</v>
      </c>
      <c r="I78" s="13" t="s">
        <v>12</v>
      </c>
      <c r="N78" s="16" t="s">
        <v>36</v>
      </c>
      <c r="O78" s="1">
        <f>SUM(O73:O77)</f>
        <v>0</v>
      </c>
      <c r="P78" s="1">
        <f>SUM(P73:P77)</f>
        <v>0</v>
      </c>
      <c r="S78" s="70" t="s">
        <v>30</v>
      </c>
      <c r="T78" s="64">
        <f>C207</f>
        <v>100</v>
      </c>
      <c r="U78" s="64">
        <f t="shared" si="15"/>
        <v>95.88392389426555</v>
      </c>
      <c r="V78" s="64">
        <f t="shared" si="15"/>
        <v>96.032045108002478</v>
      </c>
      <c r="W78" s="64">
        <f t="shared" si="15"/>
        <v>82.400818325350414</v>
      </c>
      <c r="X78" s="64">
        <f t="shared" si="15"/>
        <v>66.519114391857343</v>
      </c>
      <c r="AC78" t="s">
        <v>174</v>
      </c>
      <c r="AD78" s="51">
        <v>0.88982456140350796</v>
      </c>
      <c r="AE78" s="51">
        <v>0.88053263717691799</v>
      </c>
      <c r="BF78" s="51">
        <v>0.87464263350498095</v>
      </c>
      <c r="BG78" s="1">
        <v>15</v>
      </c>
      <c r="BH78">
        <f t="shared" si="13"/>
        <v>-1.4535633083711825</v>
      </c>
      <c r="BI78">
        <f t="shared" si="14"/>
        <v>-0.1029423964059975</v>
      </c>
      <c r="BJ78">
        <f t="shared" si="11"/>
        <v>-9.0037808691855348E-2</v>
      </c>
    </row>
    <row r="79" spans="1:65" x14ac:dyDescent="0.3">
      <c r="A79" s="1" t="s">
        <v>321</v>
      </c>
      <c r="B79" s="1" t="s">
        <v>2</v>
      </c>
      <c r="C79" s="10">
        <f>C73/C78</f>
        <v>1</v>
      </c>
      <c r="D79" s="10">
        <f>D74/D78</f>
        <v>0.93814432989690721</v>
      </c>
      <c r="E79" s="10">
        <f>E75/E78</f>
        <v>0.97917906008328381</v>
      </c>
      <c r="F79" s="10">
        <f>F76/F78</f>
        <v>0.89438943894389444</v>
      </c>
      <c r="G79" s="10">
        <f>G77/G78</f>
        <v>0.45853658536585368</v>
      </c>
      <c r="H79" s="10"/>
      <c r="I79" s="14">
        <f>(C73+D74+E75+F76+G77)/H78</f>
        <v>0.88526315789473686</v>
      </c>
      <c r="S79" s="66" t="s">
        <v>39</v>
      </c>
      <c r="T79" s="67">
        <f>C208</f>
        <v>0</v>
      </c>
      <c r="U79" s="67">
        <f t="shared" si="15"/>
        <v>1.7231366401519175</v>
      </c>
      <c r="V79" s="67">
        <f t="shared" si="15"/>
        <v>0.69741735028216334</v>
      </c>
      <c r="W79" s="67">
        <f t="shared" si="15"/>
        <v>3.4162798021272152</v>
      </c>
      <c r="X79" s="67">
        <f t="shared" si="15"/>
        <v>7.4791453128061667</v>
      </c>
      <c r="AC79" t="s">
        <v>175</v>
      </c>
      <c r="AD79" s="51">
        <v>0.88771929824561402</v>
      </c>
      <c r="AE79" s="51">
        <v>0.88005511847704898</v>
      </c>
      <c r="BF79" s="51">
        <v>0.87473129514366776</v>
      </c>
      <c r="BG79" s="1">
        <v>16</v>
      </c>
      <c r="BH79">
        <f t="shared" si="13"/>
        <v>-1.4184654072104084</v>
      </c>
      <c r="BI79">
        <f t="shared" si="14"/>
        <v>-0.10045673786363954</v>
      </c>
      <c r="BJ79">
        <f t="shared" si="11"/>
        <v>-8.7872652417369343E-2</v>
      </c>
    </row>
    <row r="80" spans="1:65" x14ac:dyDescent="0.3">
      <c r="B80" s="1" t="s">
        <v>14</v>
      </c>
      <c r="C80" s="11">
        <f>1-C79</f>
        <v>0</v>
      </c>
      <c r="D80" s="11">
        <f>1-D79</f>
        <v>6.1855670103092786E-2</v>
      </c>
      <c r="E80" s="11">
        <f>1-E79</f>
        <v>2.0820939916716186E-2</v>
      </c>
      <c r="F80" s="11">
        <f>1-F79</f>
        <v>0.10561056105610556</v>
      </c>
      <c r="G80" s="11">
        <f>1-G79</f>
        <v>0.54146341463414638</v>
      </c>
      <c r="S80" s="70" t="s">
        <v>31</v>
      </c>
      <c r="T80" s="64">
        <f>I200</f>
        <v>100</v>
      </c>
      <c r="U80" s="64">
        <f>I201</f>
        <v>97.826086956521735</v>
      </c>
      <c r="V80" s="64">
        <f>I202</f>
        <v>90.984513274336294</v>
      </c>
      <c r="W80" s="64">
        <f>I203</f>
        <v>79.632465543644727</v>
      </c>
      <c r="X80" s="64">
        <f>I204</f>
        <v>79.253112033195023</v>
      </c>
      <c r="AC80" t="s">
        <v>176</v>
      </c>
      <c r="AD80" s="51">
        <v>0.88771929824561402</v>
      </c>
      <c r="AE80" s="51">
        <v>0.88003600388618997</v>
      </c>
      <c r="AI80" s="78"/>
      <c r="AJ80" s="361" t="s">
        <v>389</v>
      </c>
      <c r="AK80" s="361"/>
      <c r="AL80" s="361"/>
      <c r="AM80" s="361"/>
      <c r="AN80" s="361"/>
      <c r="AO80" s="361"/>
      <c r="AP80" s="361"/>
      <c r="AQ80" s="361"/>
      <c r="AR80" s="361"/>
      <c r="AS80" s="361"/>
      <c r="AT80" s="361"/>
      <c r="AU80" s="361" t="s">
        <v>374</v>
      </c>
      <c r="AV80" s="361"/>
      <c r="AW80" s="361"/>
      <c r="AX80" s="361"/>
      <c r="AY80" s="361"/>
      <c r="BF80" s="51">
        <v>0.87495272193186402</v>
      </c>
      <c r="BG80" s="1">
        <v>17</v>
      </c>
      <c r="BH80">
        <f t="shared" si="13"/>
        <v>-1.3850327712601831</v>
      </c>
      <c r="BI80">
        <f t="shared" si="14"/>
        <v>-9.8089014598292334E-2</v>
      </c>
      <c r="BJ80">
        <f t="shared" si="11"/>
        <v>-8.5823250314390226E-2</v>
      </c>
    </row>
    <row r="81" spans="1:62" x14ac:dyDescent="0.3">
      <c r="C81" s="2"/>
      <c r="S81" s="66" t="s">
        <v>39</v>
      </c>
      <c r="T81" s="67">
        <f>J200</f>
        <v>0</v>
      </c>
      <c r="U81" s="67">
        <f>J201</f>
        <v>1.5287192313211824</v>
      </c>
      <c r="V81" s="67">
        <f>J202</f>
        <v>0.67375073337855573</v>
      </c>
      <c r="W81" s="67">
        <f>J203</f>
        <v>1.5772135996637475</v>
      </c>
      <c r="X81" s="67">
        <f>J204</f>
        <v>2.617453785307823</v>
      </c>
      <c r="AC81" t="s">
        <v>177</v>
      </c>
      <c r="AD81" s="51">
        <v>0.88456140350877099</v>
      </c>
      <c r="AE81" s="51">
        <v>0.87794112543227398</v>
      </c>
      <c r="AJ81" t="s">
        <v>320</v>
      </c>
      <c r="AK81" t="s">
        <v>21</v>
      </c>
      <c r="AR81" s="1" t="s">
        <v>58</v>
      </c>
      <c r="BF81" s="51">
        <v>0.87498324087781199</v>
      </c>
      <c r="BG81" s="1">
        <v>18</v>
      </c>
      <c r="BH81">
        <f t="shared" si="13"/>
        <v>-1.3530803497322956</v>
      </c>
      <c r="BI81">
        <f t="shared" si="14"/>
        <v>-9.5826121180363974E-2</v>
      </c>
      <c r="BJ81">
        <f t="shared" si="11"/>
        <v>-8.3846250071144809E-2</v>
      </c>
    </row>
    <row r="82" spans="1:62" ht="15.6" x14ac:dyDescent="0.35">
      <c r="A82" t="s">
        <v>322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56</v>
      </c>
      <c r="T82" s="65">
        <f>N189*100</f>
        <v>100</v>
      </c>
      <c r="U82" s="65">
        <f>N190*100</f>
        <v>95.744680851063833</v>
      </c>
      <c r="V82" s="65">
        <f>N191*100</f>
        <v>94.215349369988544</v>
      </c>
      <c r="W82" s="65">
        <f>N192*100</f>
        <v>84.00646203554119</v>
      </c>
      <c r="X82" s="65">
        <f>N193*100</f>
        <v>57.014925373134332</v>
      </c>
      <c r="Z82" s="46"/>
      <c r="AA82" s="46"/>
      <c r="AC82" t="s">
        <v>178</v>
      </c>
      <c r="AD82" s="51">
        <v>0.89017543859649095</v>
      </c>
      <c r="AE82" s="51">
        <v>0.88423461293587702</v>
      </c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56</v>
      </c>
      <c r="BF82" s="51">
        <v>0.875162846788203</v>
      </c>
      <c r="BG82" s="1">
        <v>19</v>
      </c>
      <c r="BH82">
        <f t="shared" si="13"/>
        <v>-1.3224526154698777</v>
      </c>
      <c r="BI82">
        <f t="shared" si="14"/>
        <v>-9.3657043065016932E-2</v>
      </c>
      <c r="BJ82">
        <f t="shared" si="11"/>
        <v>-8.1965164430545537E-2</v>
      </c>
    </row>
    <row r="83" spans="1:62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66</v>
      </c>
      <c r="S83" t="s">
        <v>9</v>
      </c>
      <c r="T83" s="30">
        <f>N200</f>
        <v>2185.02</v>
      </c>
      <c r="U83" s="30">
        <f>N201</f>
        <v>8724.09</v>
      </c>
      <c r="V83" s="30">
        <f>N202</f>
        <v>110397.59</v>
      </c>
      <c r="W83" s="30">
        <f>N203</f>
        <v>39702.339999999997</v>
      </c>
      <c r="X83" s="30">
        <f>N204</f>
        <v>36355.86</v>
      </c>
      <c r="Z83" t="s">
        <v>36</v>
      </c>
      <c r="AA83" s="1">
        <f>N205</f>
        <v>197364.89999999997</v>
      </c>
      <c r="AC83" t="s">
        <v>179</v>
      </c>
      <c r="AD83" s="51">
        <v>0.88912280701754298</v>
      </c>
      <c r="AE83" s="51">
        <v>0.87987288550567</v>
      </c>
      <c r="AJ83" t="s">
        <v>3</v>
      </c>
      <c r="AK83" s="13">
        <v>0</v>
      </c>
      <c r="AL83" s="26">
        <v>56</v>
      </c>
      <c r="AM83" s="3">
        <v>0</v>
      </c>
      <c r="AN83" s="3">
        <v>0</v>
      </c>
      <c r="AO83" s="3">
        <v>0</v>
      </c>
      <c r="AP83" s="4">
        <v>0</v>
      </c>
      <c r="AQ83" s="1">
        <f>SUM(AL83:AP83)</f>
        <v>56</v>
      </c>
      <c r="AR83" s="10">
        <f>AL83/AQ83</f>
        <v>1</v>
      </c>
      <c r="AS83" s="11">
        <f>1-AR83</f>
        <v>0</v>
      </c>
      <c r="AT83">
        <f>AQ83-AL88</f>
        <v>0</v>
      </c>
      <c r="AW83" s="10">
        <f>2*(AL89*AR83)/(AL89+AR83)</f>
        <v>1</v>
      </c>
      <c r="BF83" s="120">
        <v>0.87523663883874203</v>
      </c>
      <c r="BG83" s="1">
        <v>20</v>
      </c>
      <c r="BH83">
        <f t="shared" si="13"/>
        <v>-1.2930175370911461</v>
      </c>
      <c r="BI83">
        <f t="shared" si="14"/>
        <v>-9.1572429695063032E-2</v>
      </c>
      <c r="BJ83">
        <f t="shared" si="11"/>
        <v>-8.0147545576603973E-2</v>
      </c>
    </row>
    <row r="84" spans="1:62" ht="15.6" x14ac:dyDescent="0.35">
      <c r="A84" t="s">
        <v>3</v>
      </c>
      <c r="B84" s="13">
        <v>0</v>
      </c>
      <c r="C84" s="29">
        <f>(C73/$L84)*$O84</f>
        <v>1.1344672297083842</v>
      </c>
      <c r="D84" s="31">
        <f>(D73/$L84)*$O84</f>
        <v>0</v>
      </c>
      <c r="E84" s="31">
        <f>(E73/$L84)*$O84</f>
        <v>0</v>
      </c>
      <c r="F84" s="31">
        <f>(F73/$L84)*$O84</f>
        <v>0</v>
      </c>
      <c r="G84" s="32">
        <f>(G73/$L84)*$O84</f>
        <v>0</v>
      </c>
      <c r="H84" s="17">
        <f>SUM(C84:G84)</f>
        <v>1.1344672297083842</v>
      </c>
      <c r="I84" s="17">
        <f>C84/H84*100</f>
        <v>100</v>
      </c>
      <c r="J84" s="17">
        <f>SQRT(I84*(100-I84)/(L84-1))</f>
        <v>0</v>
      </c>
      <c r="K84" s="18">
        <f>100-I84</f>
        <v>0</v>
      </c>
      <c r="L84" s="1">
        <f>H73</f>
        <v>56</v>
      </c>
      <c r="M84">
        <v>0</v>
      </c>
      <c r="N84" s="1">
        <v>2239.04</v>
      </c>
      <c r="O84" s="17">
        <f>N84/N89*100</f>
        <v>1.1344672297083842</v>
      </c>
      <c r="P84" s="52">
        <f>((O84*O84*(I84/100)*(K84/100))/(L84-1))</f>
        <v>0</v>
      </c>
      <c r="R84" s="16" t="s">
        <v>323</v>
      </c>
      <c r="S84" t="s">
        <v>68</v>
      </c>
      <c r="T84" s="57">
        <f>$AA83*T76/100</f>
        <v>2185.0199999999995</v>
      </c>
      <c r="U84" s="57">
        <f>$AA83*U76/100</f>
        <v>8900.7995531935339</v>
      </c>
      <c r="V84" s="57">
        <f>$AA83*V76/100</f>
        <v>104594.99203118309</v>
      </c>
      <c r="W84" s="57">
        <f>$AA83*W76/100</f>
        <v>38368.493011426923</v>
      </c>
      <c r="X84" s="57">
        <f>$AA83*X76/100</f>
        <v>43315.595404196443</v>
      </c>
      <c r="Z84" t="s">
        <v>36</v>
      </c>
      <c r="AA84" s="25">
        <f>SUM(T84:X84)</f>
        <v>197364.9</v>
      </c>
      <c r="AC84" t="s">
        <v>180</v>
      </c>
      <c r="AD84" s="51">
        <v>0.88561403508771896</v>
      </c>
      <c r="AE84" s="51">
        <v>0.877137823629076</v>
      </c>
      <c r="AI84" s="78"/>
      <c r="AJ84" t="s">
        <v>4</v>
      </c>
      <c r="AK84" s="13">
        <v>1</v>
      </c>
      <c r="AL84" s="5">
        <v>0</v>
      </c>
      <c r="AM84" s="27">
        <v>90</v>
      </c>
      <c r="AN84" s="1">
        <v>2</v>
      </c>
      <c r="AO84" s="1">
        <v>0</v>
      </c>
      <c r="AP84" s="6">
        <v>0</v>
      </c>
      <c r="AQ84" s="1">
        <f>SUM(AL84:AP84)</f>
        <v>92</v>
      </c>
      <c r="AR84" s="10">
        <f>AM84/AQ84</f>
        <v>0.97826086956521741</v>
      </c>
      <c r="AS84" s="11">
        <f>1-AR84</f>
        <v>2.1739130434782594E-2</v>
      </c>
      <c r="AT84">
        <f>AQ84-AM88</f>
        <v>-4</v>
      </c>
      <c r="AW84" s="10">
        <f>2*(AM89*AR84)/(AM89+AR84)</f>
        <v>0.95744680851063835</v>
      </c>
      <c r="BF84" s="51">
        <v>0.87534026408880705</v>
      </c>
      <c r="BG84" s="1">
        <v>21</v>
      </c>
      <c r="BH84">
        <f t="shared" si="13"/>
        <v>-1.2646620224523379</v>
      </c>
      <c r="BI84">
        <f t="shared" si="14"/>
        <v>-8.9564271803739284E-2</v>
      </c>
      <c r="BJ84">
        <f t="shared" si="11"/>
        <v>-7.8399213333606846E-2</v>
      </c>
    </row>
    <row r="85" spans="1:62" x14ac:dyDescent="0.3">
      <c r="A85" t="s">
        <v>4</v>
      </c>
      <c r="B85" s="13">
        <v>1</v>
      </c>
      <c r="C85" s="33">
        <f t="shared" ref="C85:G88" si="16">(C74/$L85)*$O85</f>
        <v>0</v>
      </c>
      <c r="D85" s="34">
        <f t="shared" si="16"/>
        <v>4.3913677065248331</v>
      </c>
      <c r="E85" s="19">
        <f t="shared" si="16"/>
        <v>4.8256787983789379E-2</v>
      </c>
      <c r="F85" s="18">
        <f t="shared" si="16"/>
        <v>0</v>
      </c>
      <c r="G85" s="20">
        <f t="shared" si="16"/>
        <v>0</v>
      </c>
      <c r="H85" s="17">
        <f>SUM(C85:G85)</f>
        <v>4.4396244945086227</v>
      </c>
      <c r="I85" s="17">
        <f>D85/H85*100</f>
        <v>98.91304347826086</v>
      </c>
      <c r="J85" s="17">
        <f>SQRT(I85*(100-I85)/(L85-1))</f>
        <v>1.086956521739135</v>
      </c>
      <c r="K85" s="18">
        <f>100-I85</f>
        <v>1.0869565217391397</v>
      </c>
      <c r="L85" s="1">
        <f>H74</f>
        <v>92</v>
      </c>
      <c r="M85">
        <v>1</v>
      </c>
      <c r="N85" s="1">
        <v>8762.26</v>
      </c>
      <c r="O85" s="17">
        <f>N85/N89*100</f>
        <v>4.4396244945086227</v>
      </c>
      <c r="P85" s="52">
        <f>((O85*O85*(I85/100)*(K85/100))/(L85-1))</f>
        <v>2.328717586512419E-3</v>
      </c>
      <c r="R85" s="66"/>
      <c r="S85" s="66" t="s">
        <v>67</v>
      </c>
      <c r="T85" s="67">
        <f>$AA83*T77/100</f>
        <v>0</v>
      </c>
      <c r="U85" s="67">
        <f>$AA83*U77/100</f>
        <v>199.72364408046414</v>
      </c>
      <c r="V85" s="67">
        <f>$AA83*V77/100</f>
        <v>1016.6278892746469</v>
      </c>
      <c r="W85" s="67">
        <f>$AA83*W77/100</f>
        <v>1063.3051925430211</v>
      </c>
      <c r="X85" s="67">
        <f>$AA83*X77/100</f>
        <v>1295.9248379791261</v>
      </c>
      <c r="AA85" s="1"/>
      <c r="AC85" t="s">
        <v>181</v>
      </c>
      <c r="AD85" s="51">
        <v>0.89087719298245605</v>
      </c>
      <c r="AE85" s="51">
        <v>0.88075089567088405</v>
      </c>
      <c r="AJ85" t="s">
        <v>5</v>
      </c>
      <c r="AK85" s="13">
        <v>2</v>
      </c>
      <c r="AL85" s="5">
        <v>0</v>
      </c>
      <c r="AM85" s="1">
        <v>6</v>
      </c>
      <c r="AN85" s="27">
        <v>1657</v>
      </c>
      <c r="AO85" s="1">
        <v>34</v>
      </c>
      <c r="AP85" s="6">
        <v>111</v>
      </c>
      <c r="AQ85" s="1">
        <f>SUM(AL85:AP85)</f>
        <v>1808</v>
      </c>
      <c r="AR85" s="10">
        <f>AN85/AQ85</f>
        <v>0.91648230088495575</v>
      </c>
      <c r="AS85" s="11">
        <f>1-AR85</f>
        <v>8.3517699115044253E-2</v>
      </c>
      <c r="AT85">
        <f>AQ85-AN88</f>
        <v>117</v>
      </c>
      <c r="AW85" s="10">
        <f>2*(AN89*AR85)/(AN89+AR85)</f>
        <v>0.9471277507859388</v>
      </c>
      <c r="BF85" s="51">
        <v>0.87534390473443002</v>
      </c>
      <c r="BG85" s="1">
        <v>22</v>
      </c>
      <c r="BH85">
        <f t="shared" si="13"/>
        <v>-1.2372884211694735</v>
      </c>
      <c r="BI85">
        <f t="shared" si="14"/>
        <v>-8.7625653720789717E-2</v>
      </c>
      <c r="BJ85">
        <f t="shared" si="11"/>
        <v>-7.6702581882863108E-2</v>
      </c>
    </row>
    <row r="86" spans="1:62" x14ac:dyDescent="0.3">
      <c r="A86" t="s">
        <v>5</v>
      </c>
      <c r="B86" s="13">
        <v>2</v>
      </c>
      <c r="C86" s="33">
        <f t="shared" si="16"/>
        <v>0</v>
      </c>
      <c r="D86" s="19">
        <f t="shared" si="16"/>
        <v>0.18555308250020636</v>
      </c>
      <c r="E86" s="34">
        <f t="shared" si="16"/>
        <v>50.903395632556617</v>
      </c>
      <c r="F86" s="19">
        <f t="shared" si="16"/>
        <v>0.98961644000110061</v>
      </c>
      <c r="G86" s="20">
        <f t="shared" si="16"/>
        <v>3.8347637050042649</v>
      </c>
      <c r="H86" s="17">
        <f>SUM(C86:G86)</f>
        <v>55.913328860062187</v>
      </c>
      <c r="I86" s="17">
        <f>E86/H86*100</f>
        <v>91.039823008849567</v>
      </c>
      <c r="J86" s="17">
        <f>SQRT(I86*(100-I86)/(L86-1))</f>
        <v>0.67188496105116036</v>
      </c>
      <c r="K86" s="18">
        <f>100-I86</f>
        <v>8.9601769911504334</v>
      </c>
      <c r="L86" s="1">
        <f>H75</f>
        <v>1808</v>
      </c>
      <c r="M86">
        <v>2</v>
      </c>
      <c r="N86" s="1">
        <v>110353.28</v>
      </c>
      <c r="O86" s="17">
        <f>N86/N89*100</f>
        <v>55.913328860062187</v>
      </c>
      <c r="P86" s="52">
        <f>((O86*O86*(I86/100)*(K86/100))/(L86-1))</f>
        <v>0.14113038913802278</v>
      </c>
      <c r="R86" t="s">
        <v>100</v>
      </c>
      <c r="S86" s="70" t="s">
        <v>28</v>
      </c>
      <c r="T86" s="64">
        <f>C234</f>
        <v>1.1187754256202598</v>
      </c>
      <c r="U86" s="64">
        <f t="shared" ref="U86:X89" si="17">D234</f>
        <v>4.2547610716747259</v>
      </c>
      <c r="V86" s="64">
        <f t="shared" si="17"/>
        <v>52.272458568739772</v>
      </c>
      <c r="W86" s="64">
        <f t="shared" si="17"/>
        <v>20.103696223199798</v>
      </c>
      <c r="X86" s="64">
        <f t="shared" si="17"/>
        <v>22.250308710765452</v>
      </c>
      <c r="AA86" s="12"/>
      <c r="AC86" t="s">
        <v>182</v>
      </c>
      <c r="AD86" s="51">
        <v>0.88736842105263103</v>
      </c>
      <c r="AE86" s="51">
        <v>0.876924407128999</v>
      </c>
      <c r="AI86" s="78"/>
      <c r="AJ86" t="s">
        <v>6</v>
      </c>
      <c r="AK86" s="13">
        <v>3</v>
      </c>
      <c r="AL86" s="5">
        <v>0</v>
      </c>
      <c r="AM86" s="1">
        <v>0</v>
      </c>
      <c r="AN86" s="1">
        <v>16</v>
      </c>
      <c r="AO86" s="27">
        <v>543</v>
      </c>
      <c r="AP86" s="6">
        <v>94</v>
      </c>
      <c r="AQ86" s="1">
        <f>SUM(AL86:AP86)</f>
        <v>653</v>
      </c>
      <c r="AR86" s="10">
        <f>AO86/AQ86</f>
        <v>0.83154670750382853</v>
      </c>
      <c r="AS86" s="11">
        <f>1-AR86</f>
        <v>0.16845329249617147</v>
      </c>
      <c r="AT86">
        <f>AQ86-AO88</f>
        <v>44</v>
      </c>
      <c r="AW86" s="10">
        <f>2*(AO89*AR86)/(AO89+AR86)</f>
        <v>0.86053882725832009</v>
      </c>
      <c r="BF86" s="51">
        <v>0.87569831710812795</v>
      </c>
      <c r="BG86" s="1">
        <v>23</v>
      </c>
      <c r="BH86">
        <f t="shared" si="13"/>
        <v>-1.210811802980156</v>
      </c>
      <c r="BI86">
        <f t="shared" si="14"/>
        <v>-8.5750560624095404E-2</v>
      </c>
      <c r="BJ86">
        <f t="shared" si="11"/>
        <v>-7.5091621629598843E-2</v>
      </c>
    </row>
    <row r="87" spans="1:62" x14ac:dyDescent="0.3">
      <c r="A87" t="s">
        <v>6</v>
      </c>
      <c r="B87" s="13">
        <v>3</v>
      </c>
      <c r="C87" s="33">
        <f t="shared" si="16"/>
        <v>0</v>
      </c>
      <c r="D87" s="19">
        <f t="shared" si="16"/>
        <v>0</v>
      </c>
      <c r="E87" s="19">
        <f t="shared" si="16"/>
        <v>0.39906260902138507</v>
      </c>
      <c r="F87" s="34">
        <f t="shared" si="16"/>
        <v>16.637841083814674</v>
      </c>
      <c r="G87" s="20">
        <f t="shared" si="16"/>
        <v>3.0083181295458261</v>
      </c>
      <c r="H87" s="17">
        <f>SUM(C87:G87)</f>
        <v>20.045221822381887</v>
      </c>
      <c r="I87" s="17">
        <f>F87/H87*100</f>
        <v>83.001531393568143</v>
      </c>
      <c r="J87" s="17">
        <f>SQRT(I87*(100-I87)/(L87-1))</f>
        <v>1.471038887141888</v>
      </c>
      <c r="K87" s="18">
        <f>100-I87</f>
        <v>16.998468606431857</v>
      </c>
      <c r="L87" s="1">
        <f>H76</f>
        <v>653</v>
      </c>
      <c r="M87">
        <v>3</v>
      </c>
      <c r="N87" s="1">
        <v>39562.230000000003</v>
      </c>
      <c r="O87" s="17">
        <f>N87/N89*100</f>
        <v>20.045221822381883</v>
      </c>
      <c r="P87" s="52">
        <f>((O87*O87*(I87/100)*(K87/100))/(L87-1))</f>
        <v>8.6950090859405429E-2</v>
      </c>
      <c r="S87" s="66" t="s">
        <v>39</v>
      </c>
      <c r="T87" s="67">
        <f>C235</f>
        <v>0</v>
      </c>
      <c r="U87" s="67">
        <f t="shared" si="17"/>
        <v>8.3724171983850293E-2</v>
      </c>
      <c r="V87" s="67">
        <f t="shared" si="17"/>
        <v>0.47783571330062918</v>
      </c>
      <c r="W87" s="67">
        <f t="shared" si="17"/>
        <v>0.53063782760509604</v>
      </c>
      <c r="X87" s="67">
        <f t="shared" si="17"/>
        <v>0.62979393962012775</v>
      </c>
      <c r="AC87" t="s">
        <v>183</v>
      </c>
      <c r="AD87" s="51">
        <v>0.88736842105263103</v>
      </c>
      <c r="AE87" s="51">
        <v>0.87795335853744005</v>
      </c>
      <c r="AJ87" t="s">
        <v>7</v>
      </c>
      <c r="AK87" s="13">
        <v>4</v>
      </c>
      <c r="AL87" s="7">
        <v>0</v>
      </c>
      <c r="AM87" s="8">
        <v>0</v>
      </c>
      <c r="AN87" s="8">
        <v>16</v>
      </c>
      <c r="AO87" s="8">
        <v>32</v>
      </c>
      <c r="AP87" s="28">
        <v>193</v>
      </c>
      <c r="AQ87" s="1">
        <f>SUM(AL87:AP87)</f>
        <v>241</v>
      </c>
      <c r="AR87" s="10">
        <f>AP87/AQ87</f>
        <v>0.80082987551867224</v>
      </c>
      <c r="AS87" s="11">
        <f>1-AR87</f>
        <v>0.19917012448132776</v>
      </c>
      <c r="AT87">
        <f>AQ87-AP88</f>
        <v>-157</v>
      </c>
      <c r="AW87" s="10">
        <f>2*(AP89*AR87)/(AP89+AR87)</f>
        <v>0.6040688575899843</v>
      </c>
      <c r="BF87" s="51">
        <v>0.87603796730343597</v>
      </c>
      <c r="BG87" s="1">
        <v>24</v>
      </c>
      <c r="BH87">
        <f t="shared" si="13"/>
        <v>-1.1851578135117355</v>
      </c>
      <c r="BI87">
        <f t="shared" si="14"/>
        <v>-8.393372668363723E-2</v>
      </c>
      <c r="BJ87">
        <f t="shared" si="11"/>
        <v>-7.3529131312135718E-2</v>
      </c>
    </row>
    <row r="88" spans="1:62" ht="15.6" x14ac:dyDescent="0.35">
      <c r="A88" t="s">
        <v>7</v>
      </c>
      <c r="B88" s="13">
        <v>4</v>
      </c>
      <c r="C88" s="35">
        <f t="shared" si="16"/>
        <v>0</v>
      </c>
      <c r="D88" s="36">
        <f t="shared" si="16"/>
        <v>0</v>
      </c>
      <c r="E88" s="21">
        <f t="shared" si="16"/>
        <v>1.6091888359340962</v>
      </c>
      <c r="F88" s="21">
        <f t="shared" si="16"/>
        <v>2.4520972738043372</v>
      </c>
      <c r="G88" s="37">
        <f t="shared" si="16"/>
        <v>14.406071483600481</v>
      </c>
      <c r="H88" s="17">
        <f>SUM(C88:G88)</f>
        <v>18.467357593338914</v>
      </c>
      <c r="I88" s="17">
        <f>G88/H88*100</f>
        <v>78.008298755186729</v>
      </c>
      <c r="J88" s="17">
        <f>SQRT(I88*(100-I88)/(L88-1))</f>
        <v>2.6735862314191756</v>
      </c>
      <c r="K88" s="18">
        <f>100-I88</f>
        <v>21.991701244813271</v>
      </c>
      <c r="L88" s="1">
        <f>H77</f>
        <v>241</v>
      </c>
      <c r="M88">
        <v>4</v>
      </c>
      <c r="N88" s="1">
        <v>36448.080000000002</v>
      </c>
      <c r="O88" s="17">
        <f>N88/N89*100</f>
        <v>18.467357593338914</v>
      </c>
      <c r="P88" s="52">
        <f>((O88*O88*(I88/100)*(K88/100))/(L88-1))</f>
        <v>0.24377990838435654</v>
      </c>
      <c r="S88" t="s">
        <v>30</v>
      </c>
      <c r="T88" s="57">
        <f>C236</f>
        <v>100</v>
      </c>
      <c r="U88" s="57">
        <f t="shared" si="17"/>
        <v>97.834766644789667</v>
      </c>
      <c r="V88" s="57">
        <f t="shared" si="17"/>
        <v>96.991299318590762</v>
      </c>
      <c r="W88" s="57">
        <f t="shared" si="17"/>
        <v>83.101476393353934</v>
      </c>
      <c r="X88" s="57">
        <f t="shared" si="17"/>
        <v>69.730399050239654</v>
      </c>
      <c r="AC88" t="s">
        <v>184</v>
      </c>
      <c r="AD88" s="51">
        <v>0.88982456140350796</v>
      </c>
      <c r="AE88" s="51">
        <v>0.88379809313967095</v>
      </c>
      <c r="AI88" s="78"/>
      <c r="AK88" s="1" t="s">
        <v>19</v>
      </c>
      <c r="AL88" s="1">
        <f>SUM(AL83:AL87)</f>
        <v>56</v>
      </c>
      <c r="AM88" s="1">
        <f>SUM(AM83:AM87)</f>
        <v>96</v>
      </c>
      <c r="AN88" s="1">
        <f>SUM(AN83:AN87)</f>
        <v>1691</v>
      </c>
      <c r="AO88" s="1">
        <f>SUM(AO83:AO87)</f>
        <v>609</v>
      </c>
      <c r="AP88" s="1">
        <f>SUM(AP83:AP87)</f>
        <v>398</v>
      </c>
      <c r="AQ88" s="1">
        <f>SUM(AQ82:AQ87)</f>
        <v>2850</v>
      </c>
      <c r="AR88" s="13" t="s">
        <v>12</v>
      </c>
      <c r="BF88" s="51">
        <v>0.87606295632145903</v>
      </c>
      <c r="BG88" s="1">
        <v>25</v>
      </c>
      <c r="BH88">
        <f t="shared" si="13"/>
        <v>-1.1602609659441347</v>
      </c>
      <c r="BI88">
        <f t="shared" si="14"/>
        <v>-8.217051407583166E-2</v>
      </c>
      <c r="BJ88">
        <f t="shared" si="11"/>
        <v>-7.1986543483727142E-2</v>
      </c>
    </row>
    <row r="89" spans="1:62" x14ac:dyDescent="0.3">
      <c r="B89" t="s">
        <v>28</v>
      </c>
      <c r="C89" s="17">
        <f>SUM(C84:C88)</f>
        <v>1.1344672297083842</v>
      </c>
      <c r="D89" s="17">
        <f>SUM(D84:D88)</f>
        <v>4.5769207890250394</v>
      </c>
      <c r="E89" s="17">
        <f>SUM(E84:E88)</f>
        <v>52.959903865495889</v>
      </c>
      <c r="F89" s="17">
        <f>SUM(F84:F88)</f>
        <v>20.079554797620112</v>
      </c>
      <c r="G89" s="17">
        <f>SUM(G84:G88)</f>
        <v>21.249153318150572</v>
      </c>
      <c r="H89" s="1">
        <f>SUM(H83:H88)</f>
        <v>100</v>
      </c>
      <c r="I89" s="13" t="s">
        <v>24</v>
      </c>
      <c r="J89" s="12" t="s">
        <v>29</v>
      </c>
      <c r="N89" s="1">
        <f>SUM(N84:N88)</f>
        <v>197364.89</v>
      </c>
      <c r="O89" s="17">
        <f>SUM(O84:O88)</f>
        <v>99.999999999999986</v>
      </c>
      <c r="S89" s="66" t="s">
        <v>39</v>
      </c>
      <c r="T89" s="67">
        <f>C237</f>
        <v>0</v>
      </c>
      <c r="U89" s="67">
        <f t="shared" si="17"/>
        <v>1.266384922963341</v>
      </c>
      <c r="V89" s="67">
        <f t="shared" si="17"/>
        <v>0.60560336774676637</v>
      </c>
      <c r="W89" s="67">
        <f t="shared" si="17"/>
        <v>3.127076379249401</v>
      </c>
      <c r="X89" s="67">
        <f t="shared" si="17"/>
        <v>6.403509276619717</v>
      </c>
      <c r="AC89" t="s">
        <v>185</v>
      </c>
      <c r="AD89" s="51">
        <v>0.88631578947368395</v>
      </c>
      <c r="AE89" s="51">
        <v>0.87569831710812795</v>
      </c>
      <c r="AJ89" s="1" t="s">
        <v>321</v>
      </c>
      <c r="AK89" s="1" t="s">
        <v>2</v>
      </c>
      <c r="AL89" s="10">
        <f>AL83/AL88</f>
        <v>1</v>
      </c>
      <c r="AM89" s="10">
        <f>AM84/AM88</f>
        <v>0.9375</v>
      </c>
      <c r="AN89" s="10">
        <f>AN85/AN88</f>
        <v>0.97989355410999412</v>
      </c>
      <c r="AO89" s="10">
        <f>AO86/AO88</f>
        <v>0.89162561576354682</v>
      </c>
      <c r="AP89" s="10">
        <f>AP87/AP88</f>
        <v>0.48492462311557788</v>
      </c>
      <c r="AQ89" s="10"/>
      <c r="AR89" s="14">
        <f>(AL83+AM84+AN85+AO86+AP87)/AQ88</f>
        <v>0.89087719298245616</v>
      </c>
      <c r="BF89" s="51">
        <v>0.87621416486632797</v>
      </c>
      <c r="BG89" s="1">
        <v>26</v>
      </c>
      <c r="BH89">
        <f t="shared" si="13"/>
        <v>-1.1360632660214303</v>
      </c>
      <c r="BI89">
        <f t="shared" si="14"/>
        <v>-8.0456815605864276E-2</v>
      </c>
      <c r="BJ89">
        <f t="shared" si="11"/>
        <v>-7.0497401493896508E-2</v>
      </c>
    </row>
    <row r="90" spans="1:62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0</v>
      </c>
      <c r="D90" s="18">
        <f>SQRT(SUM((O84*O84*(D84/O84)*(1-D84/O84))/L84,(O85*O85*(D85/O85)*(1-D85/O85))/L85,(O86*O86*(D86/O86)*(1-D86/O86))/L86,(O87*O87*(D87/O87)*(1-D87/O87))/L87,(O88*O88*(D88/O88)*(1-D88/O88))/L88))</f>
        <v>8.9569451997282043E-2</v>
      </c>
      <c r="E90" s="18">
        <f>SQRT(SUM((O84*O84*(E84/O84)*(1-E84/O84))/L84,(O85*O85*(E85/O85)*(1-E85/O85))/L85,(O86*O86*(E86/O86)*(1-E86/O86))/L86,(O87*O87*(E87/O87)*(1-E87/O87))/L87,(O88*O88*(E88/O88)*(1-E88/O88))/L88))</f>
        <v>0.51761583619081264</v>
      </c>
      <c r="F90" s="18">
        <f>SQRT(SUM((O84*O84*(F84/O84)*(1-F84/O84))/L84,(O85*O85*(F85/O85)*(1-F85/O85))/L85,(O86*O86*(F86/O86)*(1-F86/O86))/L86,(O87*O87*(F87/O87)*(1-F87/O87))/L87,(O88*O88*(F88/O88)*(1-F88/O88))/L88))</f>
        <v>0.5289893862035685</v>
      </c>
      <c r="G90" s="18">
        <f>SQRT(SUM((O84*O84*(G84/O84)*(1-G84/O84))/L84,(O85*O85*(G85/O85)*(1-G85/O85))/L85,(O86*O86*(G86/O86)*(1-G86/O86))/L86,(O87*O87*(G87/O87)*(1-G87/O87))/L87,(O88*O88*(G88/O88)*(1-G88/O88))/L88))</f>
        <v>0.65704986293684031</v>
      </c>
      <c r="H90" s="1"/>
      <c r="I90" s="14">
        <f>(C84+D85+E86+F87+G88)/H89</f>
        <v>0.87473143136205</v>
      </c>
      <c r="J90" s="53">
        <f>SQRT(SUM(P84:P88))/100</f>
        <v>6.8861390195689275E-3</v>
      </c>
      <c r="M90" s="1"/>
      <c r="N90" s="9"/>
      <c r="S90" t="s">
        <v>31</v>
      </c>
      <c r="T90" s="57">
        <f>I229</f>
        <v>100</v>
      </c>
      <c r="U90" s="57">
        <f>I230</f>
        <v>97.826086956521749</v>
      </c>
      <c r="V90" s="57">
        <f>I231</f>
        <v>91.316371681415944</v>
      </c>
      <c r="W90" s="57">
        <f>I232</f>
        <v>82.235834609494631</v>
      </c>
      <c r="X90" s="57">
        <f>I233</f>
        <v>82.572614107883808</v>
      </c>
      <c r="AC90" t="s">
        <v>186</v>
      </c>
      <c r="AD90" s="51">
        <v>0.88350877192982402</v>
      </c>
      <c r="AE90" s="51">
        <v>0.875162846788203</v>
      </c>
      <c r="AI90" s="78"/>
      <c r="AK90" s="1" t="s">
        <v>14</v>
      </c>
      <c r="AL90" s="11">
        <f>1-AL89</f>
        <v>0</v>
      </c>
      <c r="AM90" s="11">
        <f>1-AM89</f>
        <v>6.25E-2</v>
      </c>
      <c r="AN90" s="11">
        <f>1-AN89</f>
        <v>2.0106445890005875E-2</v>
      </c>
      <c r="AO90" s="11">
        <f>1-AO89</f>
        <v>0.10837438423645318</v>
      </c>
      <c r="AP90" s="11">
        <f>1-AP89</f>
        <v>0.51507537688442206</v>
      </c>
      <c r="BF90" s="51">
        <v>0.87636278671020496</v>
      </c>
      <c r="BG90" s="1">
        <v>27</v>
      </c>
      <c r="BH90">
        <f t="shared" si="13"/>
        <v>-1.1125130950141264</v>
      </c>
      <c r="BI90">
        <f t="shared" si="14"/>
        <v>-7.8788975598276648E-2</v>
      </c>
      <c r="BJ90">
        <f t="shared" si="11"/>
        <v>-6.904772621734806E-2</v>
      </c>
    </row>
    <row r="91" spans="1:62" x14ac:dyDescent="0.3">
      <c r="B91" s="1" t="s">
        <v>30</v>
      </c>
      <c r="C91" s="17">
        <f>C84/C89*100</f>
        <v>100</v>
      </c>
      <c r="D91" s="17">
        <f>D85/D89*100</f>
        <v>95.945897011258253</v>
      </c>
      <c r="E91" s="17">
        <f>E86/E89*100</f>
        <v>96.116858070282277</v>
      </c>
      <c r="F91" s="17">
        <f>F87/F89*100</f>
        <v>82.859611438131282</v>
      </c>
      <c r="G91" s="17">
        <f>G88/G89*100</f>
        <v>67.795978822813254</v>
      </c>
      <c r="H91" s="1"/>
      <c r="S91" s="66" t="s">
        <v>39</v>
      </c>
      <c r="T91" s="67">
        <f>J229</f>
        <v>0</v>
      </c>
      <c r="U91" s="67">
        <f>J230</f>
        <v>1.5287192313211773</v>
      </c>
      <c r="V91" s="67">
        <f>J231</f>
        <v>0.66243895045402745</v>
      </c>
      <c r="W91" s="67">
        <f>J232</f>
        <v>1.4968530214541313</v>
      </c>
      <c r="X91" s="67">
        <f>J233</f>
        <v>2.4486601865262365</v>
      </c>
      <c r="AC91" t="s">
        <v>187</v>
      </c>
      <c r="AD91" s="51">
        <v>0.89017543859649095</v>
      </c>
      <c r="AE91" s="51">
        <v>0.88137578719147802</v>
      </c>
      <c r="AL91" s="2"/>
      <c r="BF91" s="51">
        <v>0.87636940006007602</v>
      </c>
      <c r="BG91" s="1">
        <v>28</v>
      </c>
      <c r="BH91">
        <f t="shared" si="13"/>
        <v>-1.0895642944538471</v>
      </c>
      <c r="BI91">
        <f t="shared" si="14"/>
        <v>-7.7163725077220427E-2</v>
      </c>
      <c r="BJ91">
        <f t="shared" si="11"/>
        <v>-6.7623927452324303E-2</v>
      </c>
    </row>
    <row r="92" spans="1:62" ht="15.6" x14ac:dyDescent="0.35">
      <c r="B92" s="16" t="s">
        <v>39</v>
      </c>
      <c r="C92" s="18">
        <f>SQRT((C95+C96)/(C89*C89))</f>
        <v>0</v>
      </c>
      <c r="D92" s="18">
        <f>SQRT((D95+D96)/(D89*D89))</f>
        <v>1.6423817910787082</v>
      </c>
      <c r="E92" s="18">
        <f>SQRT((E95+E96)/(E89*E89))</f>
        <v>0.70389424044255333</v>
      </c>
      <c r="F92" s="18">
        <f>SQRT((F95+F96)/(F89*F89))</f>
        <v>3.1039328049064689</v>
      </c>
      <c r="G92" s="18">
        <f>SQRT((G95+G96)/(G89*G89))</f>
        <v>7.6104113686138222</v>
      </c>
      <c r="H92" s="1"/>
      <c r="I92" s="14"/>
      <c r="S92" s="66" t="s">
        <v>56</v>
      </c>
      <c r="T92" s="67">
        <f>N218*100</f>
        <v>100</v>
      </c>
      <c r="U92" s="67">
        <f>N219*100</f>
        <v>97.297297297297305</v>
      </c>
      <c r="V92" s="67">
        <f>N220*100</f>
        <v>94.640298079678985</v>
      </c>
      <c r="W92" s="67">
        <f>N221*100</f>
        <v>85.509554140127392</v>
      </c>
      <c r="X92" s="67">
        <f>N222*100</f>
        <v>60.486322188449847</v>
      </c>
      <c r="AC92" t="s">
        <v>188</v>
      </c>
      <c r="AD92" s="51">
        <v>0.89228070175438601</v>
      </c>
      <c r="AE92" s="51">
        <v>0.88621617714077705</v>
      </c>
      <c r="AI92" s="78"/>
      <c r="AJ92" t="s">
        <v>322</v>
      </c>
      <c r="AK92" s="15" t="s">
        <v>23</v>
      </c>
      <c r="AW92" s="12" t="s">
        <v>17</v>
      </c>
      <c r="AX92" s="1" t="s">
        <v>27</v>
      </c>
      <c r="AY92" s="1" t="s">
        <v>33</v>
      </c>
      <c r="BF92" s="51">
        <v>0.876393734873122</v>
      </c>
      <c r="BG92" s="1">
        <v>29</v>
      </c>
      <c r="BH92">
        <f t="shared" si="13"/>
        <v>-1.0671754102700386</v>
      </c>
      <c r="BI92">
        <f t="shared" si="14"/>
        <v>-7.5578128235676445E-2</v>
      </c>
      <c r="BJ92">
        <f t="shared" si="11"/>
        <v>-6.6236198079184239E-2</v>
      </c>
    </row>
    <row r="93" spans="1:62" ht="15.6" x14ac:dyDescent="0.35">
      <c r="B93" s="1" t="s">
        <v>37</v>
      </c>
      <c r="C93" s="18">
        <f>100-C91</f>
        <v>0</v>
      </c>
      <c r="D93" s="18">
        <f>100-D91</f>
        <v>4.0541029887417466</v>
      </c>
      <c r="E93" s="18">
        <f>100-E91</f>
        <v>3.8831419297177234</v>
      </c>
      <c r="F93" s="18">
        <f>100-F91</f>
        <v>17.140388561868718</v>
      </c>
      <c r="G93" s="18">
        <f>100-G91</f>
        <v>32.204021177186746</v>
      </c>
      <c r="R93" s="16" t="s">
        <v>66</v>
      </c>
      <c r="S93" t="s">
        <v>9</v>
      </c>
      <c r="T93" s="30">
        <f>N229</f>
        <v>2208.0700000000002</v>
      </c>
      <c r="U93" s="30">
        <f>N230</f>
        <v>8398.15</v>
      </c>
      <c r="V93" s="30">
        <f>N231</f>
        <v>109578.91</v>
      </c>
      <c r="W93" s="30">
        <f>N232</f>
        <v>40095.300000000003</v>
      </c>
      <c r="X93" s="30">
        <f>N233</f>
        <v>37084.47</v>
      </c>
      <c r="Z93" t="s">
        <v>36</v>
      </c>
      <c r="AA93" s="1">
        <f>N234</f>
        <v>197364.9</v>
      </c>
      <c r="AC93" t="s">
        <v>189</v>
      </c>
      <c r="AD93" s="51">
        <v>0.88596491228070096</v>
      </c>
      <c r="AE93" s="51">
        <v>0.87989264589071203</v>
      </c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  <c r="BF93" s="51">
        <v>0.87645815264708604</v>
      </c>
      <c r="BG93" s="1">
        <v>30</v>
      </c>
      <c r="BH93">
        <f t="shared" si="13"/>
        <v>-1.0453090640125338</v>
      </c>
      <c r="BI93">
        <f t="shared" si="14"/>
        <v>-7.4029537904985426E-2</v>
      </c>
      <c r="BJ93">
        <f t="shared" si="11"/>
        <v>-6.4883792033520959E-2</v>
      </c>
    </row>
    <row r="94" spans="1:62" ht="15.6" x14ac:dyDescent="0.35">
      <c r="B94" s="1" t="s">
        <v>25</v>
      </c>
      <c r="C94" s="1">
        <f>C78</f>
        <v>56</v>
      </c>
      <c r="D94" s="1">
        <f>D78</f>
        <v>97</v>
      </c>
      <c r="E94" s="1">
        <f>E78</f>
        <v>1681</v>
      </c>
      <c r="F94" s="1">
        <f>F78</f>
        <v>606</v>
      </c>
      <c r="G94" s="1">
        <f>G78</f>
        <v>410</v>
      </c>
      <c r="R94" s="16" t="s">
        <v>323</v>
      </c>
      <c r="S94" t="s">
        <v>68</v>
      </c>
      <c r="T94" s="57">
        <f>$AA93*T86/100</f>
        <v>2208.0700000000002</v>
      </c>
      <c r="U94" s="57">
        <f>$AA93*U86/100</f>
        <v>8397.40493434975</v>
      </c>
      <c r="V94" s="57">
        <f>$AA93*V86/100</f>
        <v>103167.48558173468</v>
      </c>
      <c r="W94" s="57">
        <f>$AA93*W86/100</f>
        <v>39677.639947222058</v>
      </c>
      <c r="X94" s="57">
        <f>$AA93*X86/100</f>
        <v>43914.299536693521</v>
      </c>
      <c r="Z94" t="s">
        <v>36</v>
      </c>
      <c r="AA94" s="25">
        <f>SUM(T94:X94)</f>
        <v>197364.90000000002</v>
      </c>
      <c r="AC94" t="s">
        <v>190</v>
      </c>
      <c r="AD94" s="51">
        <v>0.89157894736842103</v>
      </c>
      <c r="AE94" s="51">
        <v>0.88363052972654499</v>
      </c>
      <c r="AI94" s="78"/>
      <c r="AJ94" t="s">
        <v>3</v>
      </c>
      <c r="AK94" s="13">
        <v>0</v>
      </c>
      <c r="AL94" s="29">
        <f>(AL83/$AU94)*$AX94</f>
        <v>1.1226059508355311</v>
      </c>
      <c r="AM94" s="31">
        <f t="shared" ref="AM94:AO95" si="18">(AM83/$AU94)*$AX94</f>
        <v>0</v>
      </c>
      <c r="AN94" s="31">
        <f t="shared" si="18"/>
        <v>0</v>
      </c>
      <c r="AO94" s="31">
        <f t="shared" si="18"/>
        <v>0</v>
      </c>
      <c r="AP94" s="32">
        <f>(AP83/$AU94)*$AX94</f>
        <v>0</v>
      </c>
      <c r="AQ94" s="17">
        <f>SUM(AL94:AP94)</f>
        <v>1.1226059508355311</v>
      </c>
      <c r="AR94" s="17">
        <f>AL94/AQ94*100</f>
        <v>100</v>
      </c>
      <c r="AS94" s="17">
        <f>SQRT(AR94*(100-AR94)/(AU94-1))</f>
        <v>0</v>
      </c>
      <c r="AT94" s="18">
        <f>100-AR94</f>
        <v>0</v>
      </c>
      <c r="AU94" s="1">
        <f>AQ83</f>
        <v>56</v>
      </c>
      <c r="AV94">
        <v>0</v>
      </c>
      <c r="AW94" s="1">
        <v>2215.63</v>
      </c>
      <c r="AX94" s="17">
        <f>AW94/AW99*100</f>
        <v>1.1226059508355311</v>
      </c>
      <c r="AY94" s="52">
        <f>((AX94*AX94*(AR94/100)*(AT94/100))/(AU94-1))</f>
        <v>0</v>
      </c>
      <c r="BF94" s="51">
        <v>0.87648891442183496</v>
      </c>
      <c r="BG94" s="1">
        <v>31</v>
      </c>
      <c r="BH94">
        <f t="shared" si="13"/>
        <v>-1.0239314262560566</v>
      </c>
      <c r="BI94">
        <f t="shared" si="14"/>
        <v>-7.2515558260977289E-2</v>
      </c>
      <c r="BJ94">
        <f t="shared" si="11"/>
        <v>-6.3559082938857314E-2</v>
      </c>
    </row>
    <row r="95" spans="1:62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3.8274222502130204</v>
      </c>
      <c r="E95" s="18">
        <f>(O86*O86*(100-E91)*(100-E91)*(I86)*(100-I86))/((L86-1)*100)</f>
        <v>212.80756763258307</v>
      </c>
      <c r="F95" s="18">
        <f>(O87*O87*(100-F91)*(100-F91)*(I87)*(100-I87))/((L87-1)*100)</f>
        <v>2554.5321092357517</v>
      </c>
      <c r="G95" s="18">
        <f>(O88*O88*(100-G91)*(100-G91)*(I88)*(100-I88))/((L88-1)*100)</f>
        <v>25282.389432520282</v>
      </c>
      <c r="R95" s="66"/>
      <c r="S95" s="66" t="s">
        <v>67</v>
      </c>
      <c r="T95" s="67">
        <f>$AA93*T87/100</f>
        <v>0</v>
      </c>
      <c r="U95" s="67">
        <f>$AA93*U87/100</f>
        <v>165.24212831175413</v>
      </c>
      <c r="V95" s="67">
        <f>$AA93*V87/100</f>
        <v>943.07997772007354</v>
      </c>
      <c r="W95" s="67">
        <f>$AA93*W87/100</f>
        <v>1047.2928178149702</v>
      </c>
      <c r="X95" s="67">
        <f>$AA93*X87/100</f>
        <v>1242.9921791373254</v>
      </c>
      <c r="AA95" s="1"/>
      <c r="AC95" t="s">
        <v>191</v>
      </c>
      <c r="AD95" s="51">
        <v>0.884210526315789</v>
      </c>
      <c r="AE95" s="51">
        <v>0.87743178484085005</v>
      </c>
      <c r="AJ95" t="s">
        <v>4</v>
      </c>
      <c r="AK95" s="13">
        <v>1</v>
      </c>
      <c r="AL95" s="33">
        <f t="shared" ref="AL95:AO98" si="19">(AL84/$AU95)*$AX95</f>
        <v>0</v>
      </c>
      <c r="AM95" s="34">
        <f>(AM84/$AU95)*$AX95</f>
        <v>4.2779562746201574</v>
      </c>
      <c r="AN95" s="19">
        <f t="shared" si="18"/>
        <v>9.5065694991559063E-2</v>
      </c>
      <c r="AO95" s="18">
        <f t="shared" si="18"/>
        <v>0</v>
      </c>
      <c r="AP95" s="20">
        <f>(AP84/$AU95)*$AX95</f>
        <v>0</v>
      </c>
      <c r="AQ95" s="17">
        <f>SUM(AL95:AP95)</f>
        <v>4.3730219696117167</v>
      </c>
      <c r="AR95" s="17">
        <f>AM95/AQ95*100</f>
        <v>97.826086956521735</v>
      </c>
      <c r="AS95" s="17">
        <f>SQRT(AR95*(100-AR95)/(AU95-1))</f>
        <v>1.5287192313211824</v>
      </c>
      <c r="AT95" s="18">
        <f>100-AR95</f>
        <v>2.1739130434782652</v>
      </c>
      <c r="AU95" s="1">
        <f>AQ84</f>
        <v>92</v>
      </c>
      <c r="AV95">
        <v>1</v>
      </c>
      <c r="AW95" s="1">
        <v>8630.81</v>
      </c>
      <c r="AX95" s="17">
        <f>AW95/AW99*100</f>
        <v>4.3730219696117167</v>
      </c>
      <c r="AY95" s="52">
        <f>((AX95*AX95*(AR95/100)*(AT95/100))/(AU95-1))</f>
        <v>4.4690866636293075E-3</v>
      </c>
      <c r="BF95" s="51">
        <v>0.87665101172588833</v>
      </c>
      <c r="BG95" s="1">
        <v>32</v>
      </c>
      <c r="BH95">
        <f t="shared" si="13"/>
        <v>-1.0030117728102939</v>
      </c>
      <c r="BI95">
        <f t="shared" si="14"/>
        <v>-7.1034013394449966E-2</v>
      </c>
      <c r="BJ95">
        <f t="shared" si="11"/>
        <v>-6.2272039709194864E-2</v>
      </c>
    </row>
    <row r="96" spans="1:62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52.678638945335472</v>
      </c>
      <c r="E96" s="18">
        <f>E91*E91*(SUM((H84*E84*(1-E73/H73))/(H73-1),(H85*E85*(1-E74/H74))/(H74-1), (H87*E87*(1-E76/H76))/(H76-1),(H88*E88*(1-E77/H77))/(H77-1)))</f>
        <v>1176.8544882357437</v>
      </c>
      <c r="F96" s="18">
        <f>F91*F91*(SUM((H84*F84*(1-F73/H73))/(H73-1),(H85*F85*(1-F74/H74))/(H74-1), (H86*F86*(1-F75/H75))/(H75-1),(H88*F88*(1-F77/H77))/(H77-1)))</f>
        <v>1329.9469155467652</v>
      </c>
      <c r="G96" s="18">
        <f>G91*G91*(SUM((H84*G84*(1-G73/H73))/(H73-1),(H85*G85*(1-G74/H74))/(H74-1), (H86*G86*(1-G75/H75))/(H75-1),(H87*G87*(1-G76/H76))/(H76-1)))</f>
        <v>869.28645509086527</v>
      </c>
      <c r="R96" t="s">
        <v>101</v>
      </c>
      <c r="S96" t="s">
        <v>28</v>
      </c>
      <c r="T96" s="57">
        <f>C263</f>
        <v>1.11968744189063</v>
      </c>
      <c r="U96" s="57">
        <f t="shared" ref="U96:X99" si="20">D263</f>
        <v>4.5419414238743512</v>
      </c>
      <c r="V96" s="57">
        <f t="shared" si="20"/>
        <v>52.682199271043352</v>
      </c>
      <c r="W96" s="57">
        <f t="shared" si="20"/>
        <v>20.0446051197355</v>
      </c>
      <c r="X96" s="57">
        <f t="shared" si="20"/>
        <v>21.611566743456173</v>
      </c>
      <c r="Y96" s="13"/>
      <c r="Z96" s="74"/>
      <c r="AA96" s="12"/>
      <c r="AC96" t="s">
        <v>192</v>
      </c>
      <c r="AD96" s="51">
        <v>0.88807017543859601</v>
      </c>
      <c r="AE96" s="51">
        <v>0.87900662058193801</v>
      </c>
      <c r="AI96" s="78"/>
      <c r="AJ96" t="s">
        <v>5</v>
      </c>
      <c r="AK96" s="13">
        <v>2</v>
      </c>
      <c r="AL96" s="33">
        <f t="shared" si="19"/>
        <v>0</v>
      </c>
      <c r="AM96" s="19">
        <f t="shared" si="19"/>
        <v>0.18728083553475383</v>
      </c>
      <c r="AN96" s="34">
        <f t="shared" si="19"/>
        <v>51.720724080181185</v>
      </c>
      <c r="AO96" s="19">
        <f t="shared" si="19"/>
        <v>1.0612580680302719</v>
      </c>
      <c r="AP96" s="20">
        <f>(AP85/$AU96)*$AX96</f>
        <v>3.4646954573929456</v>
      </c>
      <c r="AQ96" s="17">
        <f>SUM(AL96:AP96)</f>
        <v>56.433958441139154</v>
      </c>
      <c r="AR96" s="17">
        <f>AN96/AQ96*100</f>
        <v>91.648230088495581</v>
      </c>
      <c r="AS96" s="17">
        <f>SQRT(AR96*(100-AR96)/(AU96-1))</f>
        <v>0.6508369863389688</v>
      </c>
      <c r="AT96" s="18">
        <f>100-AR96</f>
        <v>8.3517699115044195</v>
      </c>
      <c r="AU96" s="1">
        <f>AQ85</f>
        <v>1808</v>
      </c>
      <c r="AV96">
        <v>2</v>
      </c>
      <c r="AW96" s="1">
        <v>111380.82</v>
      </c>
      <c r="AX96" s="17">
        <f>AW96/AW99*100</f>
        <v>56.433958441139154</v>
      </c>
      <c r="AY96" s="52">
        <f>((AX96*AX96*(AR96/100)*(AT96/100))/(AU96-1))</f>
        <v>0.13490420249492874</v>
      </c>
      <c r="BF96" s="51">
        <v>0.87670774755493397</v>
      </c>
      <c r="BG96" s="1">
        <v>33</v>
      </c>
      <c r="BH96">
        <f t="shared" si="13"/>
        <v>-0.98252210852503719</v>
      </c>
      <c r="BI96">
        <f t="shared" si="14"/>
        <v>-6.9582920668779649E-2</v>
      </c>
      <c r="BJ96">
        <f t="shared" si="11"/>
        <v>-6.1003885647819465E-2</v>
      </c>
    </row>
    <row r="97" spans="1:62" x14ac:dyDescent="0.3">
      <c r="A97" s="105" t="s">
        <v>390</v>
      </c>
      <c r="B97" s="69" t="s">
        <v>9</v>
      </c>
      <c r="C97" s="1">
        <v>264.69</v>
      </c>
      <c r="D97" s="1">
        <v>1785.45</v>
      </c>
      <c r="E97" s="1">
        <v>15035.33</v>
      </c>
      <c r="F97" s="1">
        <v>1691.08</v>
      </c>
      <c r="G97" s="1">
        <v>3314.1</v>
      </c>
      <c r="I97" t="s">
        <v>36</v>
      </c>
      <c r="J97" s="57">
        <f>SUM(C97:G97)</f>
        <v>22090.65</v>
      </c>
      <c r="S97" s="66" t="s">
        <v>39</v>
      </c>
      <c r="T97" s="67">
        <f>C264</f>
        <v>0</v>
      </c>
      <c r="U97" s="67">
        <f t="shared" si="20"/>
        <v>0.11010848342681975</v>
      </c>
      <c r="V97" s="67">
        <f t="shared" si="20"/>
        <v>0.48621485120168562</v>
      </c>
      <c r="W97" s="67">
        <f t="shared" si="20"/>
        <v>0.51428781893358566</v>
      </c>
      <c r="X97" s="67">
        <f t="shared" si="20"/>
        <v>0.62611764833033223</v>
      </c>
      <c r="AC97" t="s">
        <v>193</v>
      </c>
      <c r="AD97" s="51">
        <v>0.888421052631579</v>
      </c>
      <c r="AE97" s="51">
        <v>0.8798824320577</v>
      </c>
      <c r="AJ97" t="s">
        <v>6</v>
      </c>
      <c r="AK97" s="13">
        <v>3</v>
      </c>
      <c r="AL97" s="33">
        <f t="shared" si="19"/>
        <v>0</v>
      </c>
      <c r="AM97" s="19">
        <f t="shared" si="19"/>
        <v>0</v>
      </c>
      <c r="AN97" s="19">
        <f t="shared" si="19"/>
        <v>0.49216453848503644</v>
      </c>
      <c r="AO97" s="34">
        <f t="shared" si="19"/>
        <v>16.702834024835923</v>
      </c>
      <c r="AP97" s="20">
        <f>(AP86/$AU97)*$AX97</f>
        <v>2.8914666635995889</v>
      </c>
      <c r="AQ97" s="17">
        <f>SUM(AL97:AP97)</f>
        <v>20.086465226920545</v>
      </c>
      <c r="AR97" s="17">
        <f>AO97/AQ97*100</f>
        <v>83.154670750382863</v>
      </c>
      <c r="AS97" s="17">
        <f>SQRT(AR97*(100-AR97)/(AU97-1))</f>
        <v>1.4657478918855846</v>
      </c>
      <c r="AT97" s="18">
        <f>100-AR97</f>
        <v>16.845329249617137</v>
      </c>
      <c r="AU97" s="1">
        <f>AQ86</f>
        <v>653</v>
      </c>
      <c r="AV97">
        <v>3</v>
      </c>
      <c r="AW97" s="1">
        <v>39643.629999999997</v>
      </c>
      <c r="AX97" s="17">
        <f>AW97/AW99*100</f>
        <v>20.086465226920549</v>
      </c>
      <c r="AY97" s="52">
        <f>((AX97*AX97*(AR97/100)*(AT97/100))/(AU97-1))</f>
        <v>8.6681334922815212E-2</v>
      </c>
      <c r="BF97" s="51">
        <v>0.87673423884095203</v>
      </c>
      <c r="BG97" s="1">
        <v>34</v>
      </c>
      <c r="BH97">
        <f t="shared" si="13"/>
        <v>-0.96243684665105678</v>
      </c>
      <c r="BI97">
        <f t="shared" si="14"/>
        <v>-6.8160468012027825E-2</v>
      </c>
      <c r="BJ97">
        <f t="shared" si="11"/>
        <v>-5.9758616041568277E-2</v>
      </c>
    </row>
    <row r="98" spans="1:62" x14ac:dyDescent="0.3">
      <c r="B98" t="s">
        <v>391</v>
      </c>
      <c r="C98" s="57">
        <f>(C97/$J97)*100</f>
        <v>1.1981992381392126</v>
      </c>
      <c r="D98" s="57">
        <f>(D97/$J97)*100</f>
        <v>8.0823787439482313</v>
      </c>
      <c r="E98" s="57">
        <f>(E97/$J97)*100</f>
        <v>68.061962866642673</v>
      </c>
      <c r="F98" s="57">
        <f>(F97/$J97)*100</f>
        <v>7.6551844332330639</v>
      </c>
      <c r="G98" s="57">
        <f>(G97/$J97)*100</f>
        <v>15.002274718036816</v>
      </c>
      <c r="S98" t="s">
        <v>30</v>
      </c>
      <c r="T98" s="57">
        <f>C265</f>
        <v>100</v>
      </c>
      <c r="U98" s="57">
        <f t="shared" si="20"/>
        <v>94.53377116491221</v>
      </c>
      <c r="V98" s="57">
        <f t="shared" si="20"/>
        <v>97.021738691444796</v>
      </c>
      <c r="W98" s="57">
        <f t="shared" si="20"/>
        <v>83.798810606470582</v>
      </c>
      <c r="X98" s="57">
        <f t="shared" si="20"/>
        <v>68.910097389509104</v>
      </c>
      <c r="AA98" s="54"/>
      <c r="AC98" t="s">
        <v>194</v>
      </c>
      <c r="AD98" s="51">
        <v>0.88350877192982402</v>
      </c>
      <c r="AE98" s="51">
        <v>0.87707630164518302</v>
      </c>
      <c r="AI98" s="78"/>
      <c r="AJ98" t="s">
        <v>7</v>
      </c>
      <c r="AK98" s="13">
        <v>4</v>
      </c>
      <c r="AL98" s="35">
        <f>(AL87/$AU98)*$AX98</f>
        <v>0</v>
      </c>
      <c r="AM98" s="36">
        <f t="shared" si="19"/>
        <v>0</v>
      </c>
      <c r="AN98" s="21">
        <f t="shared" si="19"/>
        <v>1.1939550812609492</v>
      </c>
      <c r="AO98" s="21">
        <f t="shared" si="19"/>
        <v>2.3879101625218984</v>
      </c>
      <c r="AP98" s="37">
        <f>(AP87/$AU98)*$AX98</f>
        <v>14.402083167710199</v>
      </c>
      <c r="AQ98" s="17">
        <f>SUM(AL98:AP98)</f>
        <v>17.983948411493046</v>
      </c>
      <c r="AR98" s="17">
        <f>AP98/AQ98*100</f>
        <v>80.08298755186722</v>
      </c>
      <c r="AS98" s="17">
        <f>SQRT(AR98*(100-AR98)/(AU98-1))</f>
        <v>2.5779625837359448</v>
      </c>
      <c r="AT98" s="18">
        <f>100-AR98</f>
        <v>19.91701244813278</v>
      </c>
      <c r="AU98" s="1">
        <f>AQ87</f>
        <v>241</v>
      </c>
      <c r="AV98">
        <v>4</v>
      </c>
      <c r="AW98" s="1">
        <v>35494</v>
      </c>
      <c r="AX98" s="17">
        <f>AW98/AW99*100</f>
        <v>17.983948411493046</v>
      </c>
      <c r="AY98" s="52">
        <f>((AX98*AX98*(AR98/100)*(AT98/100))/(AU98-1))</f>
        <v>0.21494300473537972</v>
      </c>
      <c r="BF98" s="51">
        <v>0.87676270507065301</v>
      </c>
      <c r="BG98" s="1">
        <v>35</v>
      </c>
      <c r="BH98">
        <f t="shared" si="13"/>
        <v>-0.94273253415310254</v>
      </c>
      <c r="BI98">
        <f t="shared" si="14"/>
        <v>-6.6764994463410915E-2</v>
      </c>
      <c r="BJ98">
        <f t="shared" si="11"/>
        <v>-5.8537057149767327E-2</v>
      </c>
    </row>
    <row r="99" spans="1:62" x14ac:dyDescent="0.3">
      <c r="A99" s="361">
        <v>1988</v>
      </c>
      <c r="B99" s="361"/>
      <c r="C99" s="361"/>
      <c r="D99" s="361"/>
      <c r="E99" s="361"/>
      <c r="F99" s="361"/>
      <c r="G99" s="361"/>
      <c r="H99" s="361"/>
      <c r="I99" s="361"/>
      <c r="J99" s="361"/>
      <c r="K99" s="361"/>
      <c r="L99" s="361" t="s">
        <v>62</v>
      </c>
      <c r="M99" s="361"/>
      <c r="N99" s="361"/>
      <c r="O99" s="361"/>
      <c r="P99" s="361"/>
      <c r="S99" s="66" t="s">
        <v>39</v>
      </c>
      <c r="T99" s="67">
        <f>C266</f>
        <v>0</v>
      </c>
      <c r="U99" s="67">
        <f t="shared" si="20"/>
        <v>1.9942258343967558</v>
      </c>
      <c r="V99" s="67">
        <f t="shared" si="20"/>
        <v>0.60765402627231035</v>
      </c>
      <c r="W99" s="67">
        <f t="shared" si="20"/>
        <v>2.9639246547126534</v>
      </c>
      <c r="X99" s="67">
        <f t="shared" si="20"/>
        <v>6.6792731662435463</v>
      </c>
      <c r="AC99" t="s">
        <v>195</v>
      </c>
      <c r="AD99" s="51">
        <v>0.88877192982456099</v>
      </c>
      <c r="AE99" s="51">
        <v>0.88132141605616798</v>
      </c>
      <c r="AK99" t="s">
        <v>28</v>
      </c>
      <c r="AL99" s="17">
        <f t="shared" ref="AL99:AQ99" si="21">SUM(AL94:AL98)</f>
        <v>1.1226059508355311</v>
      </c>
      <c r="AM99" s="17">
        <f t="shared" si="21"/>
        <v>4.4652371101549111</v>
      </c>
      <c r="AN99" s="17">
        <f t="shared" si="21"/>
        <v>53.501909394918734</v>
      </c>
      <c r="AO99" s="17">
        <f t="shared" si="21"/>
        <v>20.152002255388094</v>
      </c>
      <c r="AP99" s="17">
        <f t="shared" si="21"/>
        <v>20.758245288702732</v>
      </c>
      <c r="AQ99" s="18">
        <f t="shared" si="21"/>
        <v>99.999999999999986</v>
      </c>
      <c r="AR99" s="13" t="s">
        <v>24</v>
      </c>
      <c r="AS99" s="12" t="s">
        <v>29</v>
      </c>
      <c r="AW99" s="1">
        <f>SUM(AW94:AW98)</f>
        <v>197364.89</v>
      </c>
      <c r="AX99" s="17">
        <f>SUM(AX94:AX98)</f>
        <v>100</v>
      </c>
      <c r="BF99" s="51">
        <v>0.876889665840352</v>
      </c>
      <c r="BG99" s="1">
        <v>36</v>
      </c>
      <c r="BH99">
        <f t="shared" si="13"/>
        <v>-0.92338761525908586</v>
      </c>
      <c r="BI99">
        <f t="shared" si="14"/>
        <v>-6.5394973427683731E-2</v>
      </c>
      <c r="BJ99">
        <f t="shared" si="11"/>
        <v>-5.7344176396640287E-2</v>
      </c>
    </row>
    <row r="100" spans="1:62" x14ac:dyDescent="0.3">
      <c r="A100" t="s">
        <v>320</v>
      </c>
      <c r="B100" t="s">
        <v>21</v>
      </c>
      <c r="I100" s="1" t="s">
        <v>58</v>
      </c>
      <c r="O100" s="360" t="s">
        <v>411</v>
      </c>
      <c r="P100" s="360"/>
      <c r="S100" t="s">
        <v>31</v>
      </c>
      <c r="T100" s="57">
        <f>I258</f>
        <v>100</v>
      </c>
      <c r="U100" s="57">
        <f>I259</f>
        <v>97.826086956521735</v>
      </c>
      <c r="V100" s="57">
        <f>I260</f>
        <v>91.095132743362825</v>
      </c>
      <c r="W100" s="57">
        <f>I261</f>
        <v>83.30781010719754</v>
      </c>
      <c r="X100" s="57">
        <f>I262</f>
        <v>81.742738589211612</v>
      </c>
      <c r="AC100" t="s">
        <v>196</v>
      </c>
      <c r="AD100" s="51">
        <v>0.88666666666666605</v>
      </c>
      <c r="AE100" s="51">
        <v>0.87924153891075096</v>
      </c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0</v>
      </c>
      <c r="AM100" s="18">
        <f>SQRT(SUM((AX94*AM94-AM94*AM94)/AU94,(AX95*AM95-AM95*AM95)/AU95,(AX96*AM96-AM96*AM96)/AU96,(AX97*AM97-AM97*AM97)/AU97,(AX98*AM98-AM98*AM98)/AU98))</f>
        <v>0.10122645634039594</v>
      </c>
      <c r="AN100" s="18">
        <f>SQRT(SUM((AX94*AN94-AN94*AN94)/AU94,(AX95*AN95-AN95*AN95)/AU95,(AX96*AN96-AN96*AN96)/AU96,(AX97*AN97-AN97*AN97)/AU97,(AX98*AN98-AN98*AN98)/AU98))</f>
        <v>0.48703055710567605</v>
      </c>
      <c r="AO100" s="18">
        <f>SQRT(SUM((AX94*AO94-AO94*AO94)/AU94,(AX95*AO95-AO95*AO95)/AU95,(AX96*AO96-AO96*AO96)/AU96,(AX97*AO97-AO97*AO97)/AU97,(AX98*AO98-AO98*AO98)/AU98))</f>
        <v>0.52305073282032977</v>
      </c>
      <c r="AP100" s="18">
        <f>SQRT(SUM((AX94*AP94-AP94*AP94)/AU94,(AX95*AP95-AP95*AP95)/AU95,(AX96*AP96-AP96*AP96)/AU96,(AX97*AP97-AP97*AP97)/AU97,(AX98*AP98-AP98*AP98)/AU98))</f>
        <v>0.62585609763328509</v>
      </c>
      <c r="AQ100" s="1"/>
      <c r="AR100" s="56">
        <f>(AL94+AM95+AN96+AO97+AP98)/AQ99</f>
        <v>0.88226203498183009</v>
      </c>
      <c r="AS100" s="53">
        <f>SQRT(SUM(AY94:AY98))/100</f>
        <v>6.6407652331395735E-3</v>
      </c>
      <c r="AV100" s="1"/>
      <c r="AW100" s="9"/>
      <c r="BF100" s="51">
        <v>0.876924407128999</v>
      </c>
      <c r="BG100" s="1">
        <v>37</v>
      </c>
      <c r="BH100">
        <f t="shared" si="13"/>
        <v>-0.90438222700361048</v>
      </c>
      <c r="BI100">
        <f t="shared" si="14"/>
        <v>-6.4048998195385523E-2</v>
      </c>
      <c r="BJ100">
        <f t="shared" si="11"/>
        <v>-5.6166129769694775E-2</v>
      </c>
    </row>
    <row r="101" spans="1:62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56</v>
      </c>
      <c r="O101" s="13" t="s">
        <v>412</v>
      </c>
      <c r="P101" s="13" t="s">
        <v>41</v>
      </c>
      <c r="S101" s="66" t="s">
        <v>39</v>
      </c>
      <c r="T101" s="67">
        <f>J258</f>
        <v>0</v>
      </c>
      <c r="U101" s="67">
        <f>J259</f>
        <v>1.5287192313211824</v>
      </c>
      <c r="V101" s="67">
        <f>J260</f>
        <v>0.67001146642319931</v>
      </c>
      <c r="W101" s="67">
        <f>J261</f>
        <v>1.4604130991041799</v>
      </c>
      <c r="X101" s="67">
        <f>J262</f>
        <v>2.4936574100246278</v>
      </c>
      <c r="AC101" t="s">
        <v>197</v>
      </c>
      <c r="AD101" s="51">
        <v>0.888421052631579</v>
      </c>
      <c r="AE101" s="51">
        <v>0.88032749476864103</v>
      </c>
      <c r="AK101" s="1" t="s">
        <v>30</v>
      </c>
      <c r="AL101" s="17">
        <f>AL94/AL99*100</f>
        <v>100</v>
      </c>
      <c r="AM101" s="17">
        <f>AM95/AM99*100</f>
        <v>95.805803120536709</v>
      </c>
      <c r="AN101" s="17">
        <f>AN96/AN99*100</f>
        <v>96.670800472577696</v>
      </c>
      <c r="AO101" s="17">
        <f>AO97/AO99*100</f>
        <v>82.884240549199234</v>
      </c>
      <c r="AP101" s="17">
        <f>AP98/AP99*100</f>
        <v>69.380060633295685</v>
      </c>
      <c r="AQ101" s="1"/>
      <c r="BF101" s="51">
        <v>0.87699082759726299</v>
      </c>
      <c r="BG101" s="1">
        <v>38</v>
      </c>
      <c r="BH101">
        <f t="shared" si="13"/>
        <v>-0.8856980216844178</v>
      </c>
      <c r="BI101">
        <f t="shared" si="14"/>
        <v>-6.2725769369078213E-2</v>
      </c>
      <c r="BJ101">
        <f t="shared" si="11"/>
        <v>-5.5009924390662948E-2</v>
      </c>
    </row>
    <row r="102" spans="1:62" x14ac:dyDescent="0.3">
      <c r="A102" t="s">
        <v>3</v>
      </c>
      <c r="B102" s="13">
        <v>0</v>
      </c>
      <c r="C102" s="26">
        <v>56</v>
      </c>
      <c r="D102" s="3">
        <v>0</v>
      </c>
      <c r="E102" s="3">
        <v>0</v>
      </c>
      <c r="F102" s="3">
        <v>0</v>
      </c>
      <c r="G102" s="4">
        <v>0</v>
      </c>
      <c r="H102" s="1">
        <f>SUM(C102:G102)</f>
        <v>56</v>
      </c>
      <c r="I102" s="10">
        <f>C102/H102</f>
        <v>1</v>
      </c>
      <c r="J102" s="11">
        <f>1-I102</f>
        <v>0</v>
      </c>
      <c r="K102">
        <f>H102-C107</f>
        <v>0</v>
      </c>
      <c r="N102" s="10">
        <f>2*(C108*I102)/(C108+I102)</f>
        <v>1</v>
      </c>
      <c r="O102" s="1"/>
      <c r="P102" s="1"/>
      <c r="S102" s="66" t="s">
        <v>56</v>
      </c>
      <c r="T102" s="67">
        <f>N247*100</f>
        <v>100</v>
      </c>
      <c r="U102" s="67">
        <f>N248*100</f>
        <v>94.736842105263165</v>
      </c>
      <c r="V102" s="67">
        <f>N249*100</f>
        <v>94.573643410852711</v>
      </c>
      <c r="W102" s="67">
        <f>N250*100</f>
        <v>86.349206349206355</v>
      </c>
      <c r="X102" s="67">
        <f>N251*100</f>
        <v>60.152671755725187</v>
      </c>
      <c r="AC102" t="s">
        <v>198</v>
      </c>
      <c r="AD102" s="51">
        <v>0.88877192982456099</v>
      </c>
      <c r="AE102" s="51">
        <v>0.87964557216249595</v>
      </c>
      <c r="AI102" s="78"/>
      <c r="AK102" s="16" t="s">
        <v>39</v>
      </c>
      <c r="AL102" s="18">
        <f>SQRT((AL105+AL106)/(AL99*AL99))</f>
        <v>0</v>
      </c>
      <c r="AM102" s="18">
        <f>SQRT((AM105+AM106)/(AM99*AM99))</f>
        <v>1.7544102301500859</v>
      </c>
      <c r="AN102" s="18">
        <f>SQRT((AN105+AN106)/(AN99*AN99))</f>
        <v>0.62274478762877639</v>
      </c>
      <c r="AO102" s="18">
        <f>SQRT((AO105+AO106)/(AO99*AO99))</f>
        <v>3.0705092571012704</v>
      </c>
      <c r="AP102" s="18">
        <f>SQRT((AP105+AP106)/(AP99*AP99))</f>
        <v>6.98244848169601</v>
      </c>
      <c r="AQ102" s="1"/>
      <c r="AR102" s="14"/>
      <c r="BF102" s="51">
        <v>0.87705666366285395</v>
      </c>
      <c r="BG102" s="1">
        <v>39</v>
      </c>
      <c r="BH102">
        <f t="shared" si="13"/>
        <v>-0.8673180120699755</v>
      </c>
      <c r="BI102">
        <f t="shared" si="14"/>
        <v>-6.1424083900836604E-2</v>
      </c>
      <c r="BJ102">
        <f t="shared" si="11"/>
        <v>-5.3872402094614968E-2</v>
      </c>
    </row>
    <row r="103" spans="1:62" x14ac:dyDescent="0.3">
      <c r="A103" t="s">
        <v>4</v>
      </c>
      <c r="B103" s="13">
        <v>1</v>
      </c>
      <c r="C103" s="5">
        <v>0</v>
      </c>
      <c r="D103" s="27">
        <v>89</v>
      </c>
      <c r="E103" s="1">
        <v>3</v>
      </c>
      <c r="F103" s="1">
        <v>0</v>
      </c>
      <c r="G103" s="6">
        <v>0</v>
      </c>
      <c r="H103" s="1">
        <f>SUM(C103:G103)</f>
        <v>92</v>
      </c>
      <c r="I103" s="10">
        <f>D103/H103</f>
        <v>0.96739130434782605</v>
      </c>
      <c r="J103" s="11">
        <f>1-I103</f>
        <v>3.2608695652173947E-2</v>
      </c>
      <c r="K103">
        <f>H103-D107</f>
        <v>-3</v>
      </c>
      <c r="N103" s="10">
        <f>2*(D108*I103)/(D108+I103)</f>
        <v>0.95187165775401072</v>
      </c>
      <c r="O103" s="1"/>
      <c r="P103" s="1"/>
      <c r="R103" s="16" t="s">
        <v>66</v>
      </c>
      <c r="S103" t="s">
        <v>9</v>
      </c>
      <c r="T103" s="30">
        <f>N258</f>
        <v>2209.87</v>
      </c>
      <c r="U103" s="30">
        <f>N259</f>
        <v>8662.51</v>
      </c>
      <c r="V103" s="30">
        <f>N260</f>
        <v>110740.81</v>
      </c>
      <c r="W103" s="30">
        <f>N261</f>
        <v>39794.18</v>
      </c>
      <c r="X103" s="30">
        <f>N262</f>
        <v>35957.53</v>
      </c>
      <c r="Z103" t="s">
        <v>36</v>
      </c>
      <c r="AA103" s="1">
        <f>N263</f>
        <v>197364.9</v>
      </c>
      <c r="AC103" t="s">
        <v>199</v>
      </c>
      <c r="AD103" s="51">
        <v>0.88912280701754298</v>
      </c>
      <c r="AE103" s="51">
        <v>0.87962207374296897</v>
      </c>
      <c r="AK103" s="1" t="s">
        <v>37</v>
      </c>
      <c r="AL103" s="18">
        <f>100-AL101</f>
        <v>0</v>
      </c>
      <c r="AM103" s="18">
        <f>100-AM101</f>
        <v>4.1941968794632913</v>
      </c>
      <c r="AN103" s="18">
        <f>100-AN101</f>
        <v>3.3291995274223041</v>
      </c>
      <c r="AO103" s="18">
        <f>100-AO101</f>
        <v>17.115759450800766</v>
      </c>
      <c r="AP103" s="18">
        <f>100-AP101</f>
        <v>30.619939366704315</v>
      </c>
      <c r="BF103" s="51">
        <v>0.87707630164518302</v>
      </c>
      <c r="BG103" s="1">
        <v>40</v>
      </c>
      <c r="BH103">
        <f t="shared" si="13"/>
        <v>-0.84922643593033087</v>
      </c>
      <c r="BI103">
        <f t="shared" si="14"/>
        <v>-6.0142825498226318E-2</v>
      </c>
      <c r="BJ103">
        <f t="shared" si="11"/>
        <v>-5.2749846958475954E-2</v>
      </c>
    </row>
    <row r="104" spans="1:62" ht="15.6" x14ac:dyDescent="0.35">
      <c r="A104" t="s">
        <v>5</v>
      </c>
      <c r="B104" s="13">
        <v>2</v>
      </c>
      <c r="C104" s="5">
        <v>0</v>
      </c>
      <c r="D104" s="1">
        <v>6</v>
      </c>
      <c r="E104" s="27">
        <v>1655</v>
      </c>
      <c r="F104" s="1">
        <v>36</v>
      </c>
      <c r="G104" s="6">
        <v>111</v>
      </c>
      <c r="H104" s="1">
        <f>SUM(C104:G104)</f>
        <v>1808</v>
      </c>
      <c r="I104" s="10">
        <f>E104/H104</f>
        <v>0.91537610619469023</v>
      </c>
      <c r="J104" s="11">
        <f>1-I104</f>
        <v>8.4623893805309769E-2</v>
      </c>
      <c r="K104">
        <f>H104-E107</f>
        <v>104</v>
      </c>
      <c r="N104" s="10">
        <f>2*(E108*I104)/(E108+I104)</f>
        <v>0.94248291571753995</v>
      </c>
      <c r="O104" s="1"/>
      <c r="P104" s="1"/>
      <c r="R104" s="16" t="s">
        <v>323</v>
      </c>
      <c r="S104" t="s">
        <v>68</v>
      </c>
      <c r="T104" s="57">
        <f>$AA103*T96/100</f>
        <v>2209.87</v>
      </c>
      <c r="U104" s="57">
        <f>$AA103*U96/100</f>
        <v>8964.1981492881896</v>
      </c>
      <c r="V104" s="57">
        <f>$AA103*V96/100</f>
        <v>103976.16990909544</v>
      </c>
      <c r="W104" s="57">
        <f>$AA103*W96/100</f>
        <v>39561.014849960848</v>
      </c>
      <c r="X104" s="57">
        <f>$AA103*X96/100</f>
        <v>42653.647091655526</v>
      </c>
      <c r="Z104" t="s">
        <v>36</v>
      </c>
      <c r="AA104" s="25">
        <f>SUM(T104:X104)</f>
        <v>197364.9</v>
      </c>
      <c r="AC104" t="s">
        <v>200</v>
      </c>
      <c r="AD104" s="51">
        <v>0.89473684210526305</v>
      </c>
      <c r="AE104" s="51">
        <v>0.88616345472214197</v>
      </c>
      <c r="AI104" s="78"/>
      <c r="AK104" s="1" t="s">
        <v>25</v>
      </c>
      <c r="AL104" s="1">
        <f>AL88</f>
        <v>56</v>
      </c>
      <c r="AM104" s="1">
        <f>AM88</f>
        <v>96</v>
      </c>
      <c r="AN104" s="1">
        <f>AN88</f>
        <v>1691</v>
      </c>
      <c r="AO104" s="1">
        <f>AO88</f>
        <v>609</v>
      </c>
      <c r="AP104" s="1">
        <f>AP88</f>
        <v>398</v>
      </c>
      <c r="BF104" s="51">
        <v>0.877137823629076</v>
      </c>
      <c r="BG104" s="1">
        <v>41</v>
      </c>
      <c r="BH104">
        <f t="shared" si="13"/>
        <v>-0.83140863705266987</v>
      </c>
      <c r="BI104">
        <f t="shared" si="14"/>
        <v>-5.8880956197740281E-2</v>
      </c>
      <c r="BJ104">
        <f t="shared" si="11"/>
        <v>-5.1646713772484865E-2</v>
      </c>
    </row>
    <row r="105" spans="1:62" x14ac:dyDescent="0.3">
      <c r="A105" t="s">
        <v>6</v>
      </c>
      <c r="B105" s="13">
        <v>3</v>
      </c>
      <c r="C105" s="5">
        <v>0</v>
      </c>
      <c r="D105" s="1">
        <v>0</v>
      </c>
      <c r="E105" s="1">
        <v>26</v>
      </c>
      <c r="F105" s="27">
        <v>533</v>
      </c>
      <c r="G105" s="6">
        <v>94</v>
      </c>
      <c r="H105" s="1">
        <f>SUM(C105:G105)</f>
        <v>653</v>
      </c>
      <c r="I105" s="10">
        <f>F105/H105</f>
        <v>0.81623277182235832</v>
      </c>
      <c r="J105" s="11">
        <f>1-I105</f>
        <v>0.18376722817764168</v>
      </c>
      <c r="K105">
        <f>H105-F107</f>
        <v>57</v>
      </c>
      <c r="N105" s="10">
        <f>2*(F108*I105)/(F108+I105)</f>
        <v>0.8534827862289831</v>
      </c>
      <c r="O105" s="1"/>
      <c r="P105" s="1"/>
      <c r="R105" s="66"/>
      <c r="S105" s="66" t="s">
        <v>67</v>
      </c>
      <c r="T105" s="67">
        <f>$AA103*T97/100</f>
        <v>0</v>
      </c>
      <c r="U105" s="67">
        <f>$AA103*U97/100</f>
        <v>217.31549820685939</v>
      </c>
      <c r="V105" s="67">
        <f>$AA103*V97/100</f>
        <v>959.61745485935569</v>
      </c>
      <c r="W105" s="67">
        <f>$AA103*W97/100</f>
        <v>1015.0236395504523</v>
      </c>
      <c r="X105" s="67">
        <f>$AA103*X97/100</f>
        <v>1235.7364705095119</v>
      </c>
      <c r="AA105" s="1"/>
      <c r="AC105" t="s">
        <v>201</v>
      </c>
      <c r="AD105" s="51">
        <v>0.88807017543859601</v>
      </c>
      <c r="AE105" s="51">
        <v>0.87985640297332501</v>
      </c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7.8616988200089359</v>
      </c>
      <c r="AN105" s="18">
        <f>(AX96*AX96*(100-AN101)*(100-AN101)*(AR96)*(100-AR96))/((AU96-1)*100)</f>
        <v>149.52201033027495</v>
      </c>
      <c r="AO105" s="18">
        <f>(AX97*AX97*(100-AO101)*(100-AO101)*(AR97)*(100-AR97))/((AU97-1)*100)</f>
        <v>2539.3229590952515</v>
      </c>
      <c r="AP105" s="18">
        <f>(AX98*AX98*(100-AP101)*(100-AP101)*(AR98)*(100-AR98))/((AU98-1)*100)</f>
        <v>20152.641000709125</v>
      </c>
      <c r="BF105" s="51">
        <v>0.877156403763237</v>
      </c>
      <c r="BG105" s="1">
        <v>42</v>
      </c>
      <c r="BH105">
        <f t="shared" si="13"/>
        <v>-0.81385096037908278</v>
      </c>
      <c r="BI105">
        <f t="shared" si="14"/>
        <v>-5.7637508938380051E-2</v>
      </c>
      <c r="BJ105">
        <f t="shared" si="11"/>
        <v>-5.0557110062260872E-2</v>
      </c>
    </row>
    <row r="106" spans="1:62" x14ac:dyDescent="0.3">
      <c r="A106" t="s">
        <v>7</v>
      </c>
      <c r="B106" s="13">
        <v>4</v>
      </c>
      <c r="C106" s="7">
        <v>0</v>
      </c>
      <c r="D106" s="8">
        <v>0</v>
      </c>
      <c r="E106" s="8">
        <v>20</v>
      </c>
      <c r="F106" s="8">
        <v>27</v>
      </c>
      <c r="G106" s="28">
        <v>194</v>
      </c>
      <c r="H106" s="1">
        <f>SUM(C106:G106)</f>
        <v>241</v>
      </c>
      <c r="I106" s="10">
        <f>G106/H106</f>
        <v>0.80497925311203322</v>
      </c>
      <c r="J106" s="11">
        <f>1-I106</f>
        <v>0.19502074688796678</v>
      </c>
      <c r="K106">
        <f>H106-G107</f>
        <v>-158</v>
      </c>
      <c r="N106" s="10">
        <f>2*(G108*I106)/(G108+I106)</f>
        <v>0.60624999999999996</v>
      </c>
      <c r="O106" s="1"/>
      <c r="P106" s="1"/>
      <c r="R106" t="s">
        <v>102</v>
      </c>
      <c r="S106" t="s">
        <v>28</v>
      </c>
      <c r="T106" s="57">
        <f>C292</f>
        <v>1.1226058939558148</v>
      </c>
      <c r="U106" s="57">
        <f t="shared" ref="U106:X109" si="22">D292</f>
        <v>4.7636649463579923</v>
      </c>
      <c r="V106" s="57">
        <f t="shared" si="22"/>
        <v>53.539816352875334</v>
      </c>
      <c r="W106" s="57">
        <f t="shared" si="22"/>
        <v>19.393576377974483</v>
      </c>
      <c r="X106" s="57">
        <f t="shared" si="22"/>
        <v>21.180336428836373</v>
      </c>
      <c r="Y106" s="60"/>
      <c r="Z106" s="74"/>
      <c r="AA106" s="12"/>
      <c r="AC106" t="s">
        <v>202</v>
      </c>
      <c r="AD106" s="51">
        <v>0.88631578947368395</v>
      </c>
      <c r="AE106" s="51">
        <v>0.87726084370657698</v>
      </c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53.507627112729594</v>
      </c>
      <c r="AN106" s="18">
        <f>AN101*AN101*(SUM((AQ94*AN94*(1-AN83/AQ83))/(AQ83-1),(AQ95*AN95*(1-AN84/AQ84))/(AQ84-1), (AQ97*AN97*(1-AN86/AQ86))/(AQ86-1),(AQ98*AN98*(1-AN87/AQ87))/(AQ87-1)))</f>
        <v>960.56945951622606</v>
      </c>
      <c r="AO106" s="18">
        <f>AO101*AO101*(SUM((AQ94*AO94*(1-AO83/AQ83))/(AQ83-1),(AQ95*AO95*(1-AO84/AQ84))/(AQ84-1), (AQ96*AO96*(1-AO85/AQ85))/(AQ85-1),(AQ98*AO98*(1-AO87/AQ87))/(AQ87-1)))</f>
        <v>1289.4289669948248</v>
      </c>
      <c r="AP106" s="18">
        <f>AP101*AP101*(SUM((AQ94*AP94*(1-AP83/AQ83))/(AQ83-1),(AQ95*AP95*(1-AP84/AQ84))/(AQ84-1), (AQ96*AP96*(1-AP85/AQ85))/(AQ85-1),(AQ97*AP97*(1-AP86/AQ86))/(AQ86-1)))</f>
        <v>855.94191195288613</v>
      </c>
      <c r="BF106" s="51">
        <v>0.87719826298732195</v>
      </c>
      <c r="BG106" s="1">
        <v>43</v>
      </c>
      <c r="BH106">
        <f t="shared" si="13"/>
        <v>-0.79654065929088214</v>
      </c>
      <c r="BI106">
        <f t="shared" si="14"/>
        <v>-5.6411580995464693E-2</v>
      </c>
      <c r="BJ106">
        <f t="shared" si="11"/>
        <v>-4.9484140861590253E-2</v>
      </c>
    </row>
    <row r="107" spans="1:62" ht="15.6" x14ac:dyDescent="0.35">
      <c r="B107" s="1" t="s">
        <v>19</v>
      </c>
      <c r="C107" s="1">
        <f>SUM(C102:C106)</f>
        <v>56</v>
      </c>
      <c r="D107" s="1">
        <f>SUM(D102:D106)</f>
        <v>95</v>
      </c>
      <c r="E107" s="1">
        <f>SUM(E102:E106)</f>
        <v>1704</v>
      </c>
      <c r="F107" s="1">
        <f>SUM(F102:F106)</f>
        <v>596</v>
      </c>
      <c r="G107" s="1">
        <f>SUM(G102:G106)</f>
        <v>399</v>
      </c>
      <c r="H107" s="1">
        <f>SUM(H101:H106)</f>
        <v>2850</v>
      </c>
      <c r="I107" s="13" t="s">
        <v>12</v>
      </c>
      <c r="N107" s="16" t="s">
        <v>36</v>
      </c>
      <c r="O107" s="1">
        <f>SUM(O102:O106)</f>
        <v>0</v>
      </c>
      <c r="P107" s="1">
        <f>SUM(P102:P106)</f>
        <v>0</v>
      </c>
      <c r="S107" s="66" t="s">
        <v>39</v>
      </c>
      <c r="T107" s="67">
        <f>C293</f>
        <v>0</v>
      </c>
      <c r="U107" s="67">
        <f t="shared" si="22"/>
        <v>0.10075374394121508</v>
      </c>
      <c r="V107" s="67">
        <f t="shared" si="22"/>
        <v>0.50635320472217915</v>
      </c>
      <c r="W107" s="67">
        <f t="shared" si="22"/>
        <v>0.52701111010410684</v>
      </c>
      <c r="X107" s="67">
        <f t="shared" si="22"/>
        <v>0.63800026102842267</v>
      </c>
      <c r="AC107" t="s">
        <v>203</v>
      </c>
      <c r="AD107" s="51">
        <v>0.88982456140350796</v>
      </c>
      <c r="AE107" s="51">
        <v>0.88379500247207698</v>
      </c>
      <c r="BF107" s="51">
        <v>0.87722659221811383</v>
      </c>
      <c r="BG107" s="1">
        <v>44</v>
      </c>
      <c r="BH107">
        <f t="shared" si="13"/>
        <v>-0.77946581337961318</v>
      </c>
      <c r="BI107">
        <f t="shared" si="14"/>
        <v>-5.5202328157114761E-2</v>
      </c>
      <c r="BJ107">
        <f t="shared" si="11"/>
        <v>-4.8424950211771817E-2</v>
      </c>
    </row>
    <row r="108" spans="1:62" x14ac:dyDescent="0.3">
      <c r="A108" s="1" t="s">
        <v>321</v>
      </c>
      <c r="B108" s="1" t="s">
        <v>2</v>
      </c>
      <c r="C108" s="10">
        <f>C102/C107</f>
        <v>1</v>
      </c>
      <c r="D108" s="10">
        <f>D103/D107</f>
        <v>0.93684210526315792</v>
      </c>
      <c r="E108" s="10">
        <f>E104/E107</f>
        <v>0.97124413145539901</v>
      </c>
      <c r="F108" s="10">
        <f>F105/F107</f>
        <v>0.89429530201342278</v>
      </c>
      <c r="G108" s="10">
        <f>G106/G107</f>
        <v>0.48621553884711777</v>
      </c>
      <c r="H108" s="10"/>
      <c r="I108" s="14">
        <f>(C102+D103+E104+F105+G106)/H107</f>
        <v>0.88666666666666671</v>
      </c>
      <c r="S108" t="s">
        <v>30</v>
      </c>
      <c r="T108" s="57">
        <f>C294</f>
        <v>100</v>
      </c>
      <c r="U108" s="57">
        <f t="shared" si="22"/>
        <v>94.772616042858672</v>
      </c>
      <c r="V108" s="57">
        <f t="shared" si="22"/>
        <v>96.101816730674599</v>
      </c>
      <c r="W108" s="57">
        <f t="shared" si="22"/>
        <v>82.472640788580065</v>
      </c>
      <c r="X108" s="57">
        <f t="shared" si="22"/>
        <v>69.361805955796044</v>
      </c>
      <c r="AC108" t="s">
        <v>204</v>
      </c>
      <c r="AD108" s="51">
        <v>0.88877192982456099</v>
      </c>
      <c r="AE108" s="51">
        <v>0.88247362325267997</v>
      </c>
      <c r="AJ108" s="118" t="s">
        <v>375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  <c r="BF108" s="51">
        <v>0.87724019977727297</v>
      </c>
      <c r="BG108" s="1">
        <v>45</v>
      </c>
      <c r="BH108">
        <f t="shared" si="13"/>
        <v>-0.76261525530438468</v>
      </c>
      <c r="BI108">
        <f t="shared" si="14"/>
        <v>-5.400895954423595E-2</v>
      </c>
      <c r="BJ108">
        <f t="shared" si="11"/>
        <v>-4.7378830460348201E-2</v>
      </c>
    </row>
    <row r="109" spans="1:62" x14ac:dyDescent="0.3">
      <c r="B109" s="1" t="s">
        <v>14</v>
      </c>
      <c r="C109" s="11">
        <f>1-C108</f>
        <v>0</v>
      </c>
      <c r="D109" s="11">
        <f>1-D108</f>
        <v>6.315789473684208E-2</v>
      </c>
      <c r="E109" s="11">
        <f>1-E108</f>
        <v>2.8755868544600993E-2</v>
      </c>
      <c r="F109" s="11">
        <f>1-F108</f>
        <v>0.10570469798657722</v>
      </c>
      <c r="G109" s="11">
        <f>1-G108</f>
        <v>0.51378446115288223</v>
      </c>
      <c r="S109" s="66" t="s">
        <v>39</v>
      </c>
      <c r="T109" s="67">
        <f>C295</f>
        <v>0</v>
      </c>
      <c r="U109" s="67">
        <f t="shared" si="22"/>
        <v>1.8309617795640551</v>
      </c>
      <c r="V109" s="67">
        <f t="shared" si="22"/>
        <v>0.67676767454535947</v>
      </c>
      <c r="W109" s="67">
        <f t="shared" si="22"/>
        <v>3.2642474351498389</v>
      </c>
      <c r="X109" s="67">
        <f t="shared" si="22"/>
        <v>7.0667703123437668</v>
      </c>
      <c r="AC109" t="s">
        <v>205</v>
      </c>
      <c r="AD109" s="51">
        <v>0.88631578947368395</v>
      </c>
      <c r="AE109" s="51">
        <v>0.87890202682721197</v>
      </c>
      <c r="AJ109" s="106" t="s">
        <v>395</v>
      </c>
      <c r="AK109" s="107" t="s">
        <v>28</v>
      </c>
      <c r="AL109" s="108">
        <f t="shared" ref="AL109:AP112" si="23">AL99</f>
        <v>1.1226059508355311</v>
      </c>
      <c r="AM109" s="108">
        <f t="shared" si="23"/>
        <v>4.4652371101549111</v>
      </c>
      <c r="AN109" s="108">
        <f t="shared" si="23"/>
        <v>53.501909394918734</v>
      </c>
      <c r="AO109" s="108">
        <f t="shared" si="23"/>
        <v>20.152002255388094</v>
      </c>
      <c r="AP109" s="108">
        <f t="shared" si="23"/>
        <v>20.758245288702732</v>
      </c>
      <c r="AQ109" s="107"/>
      <c r="AR109" s="232" t="s">
        <v>77</v>
      </c>
      <c r="AS109" s="233">
        <f>AR100</f>
        <v>0.88226203498183009</v>
      </c>
      <c r="BF109" s="51">
        <v>0.87725941363690496</v>
      </c>
      <c r="BG109" s="1">
        <v>46</v>
      </c>
      <c r="BH109">
        <f t="shared" si="13"/>
        <v>-0.74597850554896161</v>
      </c>
      <c r="BI109">
        <f t="shared" si="14"/>
        <v>-5.2830732989969618E-2</v>
      </c>
      <c r="BJ109">
        <f t="shared" si="11"/>
        <v>-4.6346257844788637E-2</v>
      </c>
    </row>
    <row r="110" spans="1:62" x14ac:dyDescent="0.3">
      <c r="C110" s="2"/>
      <c r="S110" s="15" t="s">
        <v>31</v>
      </c>
      <c r="T110" s="71">
        <f>I287</f>
        <v>100</v>
      </c>
      <c r="U110" s="71">
        <f>I288</f>
        <v>98.913043478260875</v>
      </c>
      <c r="V110" s="71">
        <f>I289</f>
        <v>91.426991150442461</v>
      </c>
      <c r="W110" s="71">
        <f>I290</f>
        <v>81.623277182235839</v>
      </c>
      <c r="X110" s="71">
        <f>I291</f>
        <v>79.668049792531122</v>
      </c>
      <c r="AC110" t="s">
        <v>206</v>
      </c>
      <c r="AD110" s="51">
        <v>0.89508771929824504</v>
      </c>
      <c r="AE110" s="51">
        <v>0.88779978769170498</v>
      </c>
      <c r="AI110" s="78"/>
      <c r="AJ110" s="107"/>
      <c r="AK110" s="109" t="s">
        <v>39</v>
      </c>
      <c r="AL110" s="110">
        <f t="shared" si="23"/>
        <v>0</v>
      </c>
      <c r="AM110" s="110">
        <f t="shared" si="23"/>
        <v>0.10122645634039594</v>
      </c>
      <c r="AN110" s="110">
        <f t="shared" si="23"/>
        <v>0.48703055710567605</v>
      </c>
      <c r="AO110" s="110">
        <f t="shared" si="23"/>
        <v>0.52305073282032977</v>
      </c>
      <c r="AP110" s="110">
        <f t="shared" si="23"/>
        <v>0.62585609763328509</v>
      </c>
      <c r="AQ110" s="107"/>
      <c r="AR110" s="232" t="s">
        <v>29</v>
      </c>
      <c r="AS110" s="234">
        <f>AS100</f>
        <v>6.6407652331395735E-3</v>
      </c>
      <c r="AX110" s="103" t="s">
        <v>386</v>
      </c>
      <c r="BF110" s="51">
        <v>0.87726084370657698</v>
      </c>
      <c r="BG110" s="1">
        <v>47</v>
      </c>
      <c r="BH110">
        <f t="shared" si="13"/>
        <v>-0.7295457140694851</v>
      </c>
      <c r="BI110">
        <f t="shared" si="14"/>
        <v>-5.1666950907142448E-2</v>
      </c>
      <c r="BJ110">
        <f t="shared" si="11"/>
        <v>-4.5325392944546079E-2</v>
      </c>
    </row>
    <row r="111" spans="1:62" ht="15.6" x14ac:dyDescent="0.35">
      <c r="A111" t="s">
        <v>322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</v>
      </c>
      <c r="U111" s="76">
        <f>J288</f>
        <v>1.0869565217391279</v>
      </c>
      <c r="V111" s="76">
        <f>J289</f>
        <v>0.65860462085251126</v>
      </c>
      <c r="W111" s="76">
        <f>J290</f>
        <v>1.5167613322609959</v>
      </c>
      <c r="X111" s="76">
        <f>J291</f>
        <v>2.5979213016595066</v>
      </c>
      <c r="AC111" t="s">
        <v>160</v>
      </c>
      <c r="AD111" s="51">
        <v>0.89017543859649095</v>
      </c>
      <c r="AE111" s="51">
        <v>0.87897921227362596</v>
      </c>
      <c r="AJ111" s="107"/>
      <c r="AK111" s="107" t="s">
        <v>30</v>
      </c>
      <c r="AL111" s="108">
        <f t="shared" si="23"/>
        <v>100</v>
      </c>
      <c r="AM111" s="108">
        <f t="shared" si="23"/>
        <v>95.805803120536709</v>
      </c>
      <c r="AN111" s="108">
        <f t="shared" si="23"/>
        <v>96.670800472577696</v>
      </c>
      <c r="AO111" s="108">
        <f t="shared" si="23"/>
        <v>82.884240549199234</v>
      </c>
      <c r="AP111" s="108">
        <f t="shared" si="23"/>
        <v>69.380060633295685</v>
      </c>
      <c r="AQ111" s="107"/>
      <c r="AR111" s="107"/>
      <c r="AS111" s="107"/>
      <c r="AU111" s="103" t="s">
        <v>386</v>
      </c>
      <c r="AW111" s="101"/>
      <c r="AX111" s="1" t="s">
        <v>380</v>
      </c>
      <c r="AY111" s="96"/>
      <c r="BF111" s="51">
        <v>0.87735352937106004</v>
      </c>
      <c r="BG111" s="1">
        <v>48</v>
      </c>
      <c r="BH111">
        <f t="shared" si="13"/>
        <v>-0.7133076079711943</v>
      </c>
      <c r="BI111">
        <f t="shared" si="14"/>
        <v>-5.0516956582694325E-2</v>
      </c>
      <c r="BJ111">
        <f t="shared" si="11"/>
        <v>-4.4321230150911467E-2</v>
      </c>
    </row>
    <row r="112" spans="1:62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56</v>
      </c>
      <c r="T112" s="67">
        <f>N276*100</f>
        <v>100</v>
      </c>
      <c r="U112" s="67">
        <f>N277*100</f>
        <v>95.287958115183244</v>
      </c>
      <c r="V112" s="67">
        <f>N278*100</f>
        <v>94.403198172472884</v>
      </c>
      <c r="W112" s="67">
        <f>N279*100</f>
        <v>85.28</v>
      </c>
      <c r="X112" s="67">
        <f>N280*100</f>
        <v>59.534883720930232</v>
      </c>
      <c r="AC112" t="s">
        <v>207</v>
      </c>
      <c r="AD112" s="51">
        <v>0.88456140350877099</v>
      </c>
      <c r="AE112" s="51">
        <v>0.87719826298732195</v>
      </c>
      <c r="AI112" s="78"/>
      <c r="AJ112" s="107"/>
      <c r="AK112" s="109" t="s">
        <v>39</v>
      </c>
      <c r="AL112" s="110">
        <f t="shared" si="23"/>
        <v>0</v>
      </c>
      <c r="AM112" s="110">
        <f t="shared" si="23"/>
        <v>1.7544102301500859</v>
      </c>
      <c r="AN112" s="110">
        <f t="shared" si="23"/>
        <v>0.62274478762877639</v>
      </c>
      <c r="AO112" s="110">
        <f t="shared" si="23"/>
        <v>3.0705092571012704</v>
      </c>
      <c r="AP112" s="110">
        <f t="shared" si="23"/>
        <v>6.98244848169601</v>
      </c>
      <c r="AQ112" s="107"/>
      <c r="AR112" s="107"/>
      <c r="AS112" s="107"/>
      <c r="AU112" s="93"/>
      <c r="AV112" s="1" t="s">
        <v>380</v>
      </c>
      <c r="AW112" s="97"/>
      <c r="AX112" s="71" t="s">
        <v>381</v>
      </c>
      <c r="AY112" s="95"/>
      <c r="BF112" s="51">
        <v>0.87739348636188397</v>
      </c>
      <c r="BG112" s="1">
        <v>49</v>
      </c>
      <c r="BH112">
        <f t="shared" si="13"/>
        <v>-0.69725544447594368</v>
      </c>
      <c r="BI112">
        <f t="shared" si="14"/>
        <v>-4.9380130846804184E-2</v>
      </c>
      <c r="BJ112">
        <f t="shared" si="11"/>
        <v>-4.3325805160683531E-2</v>
      </c>
    </row>
    <row r="113" spans="1:62" x14ac:dyDescent="0.3">
      <c r="A113" t="s">
        <v>3</v>
      </c>
      <c r="B113" s="13">
        <v>0</v>
      </c>
      <c r="C113" s="29">
        <f>(C102/$L113)*$O113</f>
        <v>1.1209642078726152</v>
      </c>
      <c r="D113" s="31">
        <f>(D102/$L113)*$O113</f>
        <v>0</v>
      </c>
      <c r="E113" s="31">
        <f>(E102/$L113)*$O113</f>
        <v>0</v>
      </c>
      <c r="F113" s="31">
        <f>(F102/$L113)*$O113</f>
        <v>0</v>
      </c>
      <c r="G113" s="32">
        <f>(G102/$L113)*$O113</f>
        <v>0</v>
      </c>
      <c r="H113" s="17">
        <f>SUM(C113:G113)</f>
        <v>1.1209642078726152</v>
      </c>
      <c r="I113" s="17">
        <f>C113/H113*100</f>
        <v>100</v>
      </c>
      <c r="J113" s="17">
        <f>SQRT(I113*(100-I113)/(L113-1))</f>
        <v>0</v>
      </c>
      <c r="K113" s="18">
        <f>100-I113</f>
        <v>0</v>
      </c>
      <c r="L113" s="1">
        <f>H102</f>
        <v>56</v>
      </c>
      <c r="M113">
        <v>0</v>
      </c>
      <c r="N113" s="1">
        <v>2212.39</v>
      </c>
      <c r="O113" s="17">
        <f>N113/N118*100</f>
        <v>1.1209642078726152</v>
      </c>
      <c r="P113" s="52">
        <f>((O113*O113*(I113/100)*(K113/100))/(L113-1))</f>
        <v>0</v>
      </c>
      <c r="R113" s="16" t="s">
        <v>66</v>
      </c>
      <c r="S113" t="s">
        <v>9</v>
      </c>
      <c r="T113" s="30">
        <f>N287</f>
        <v>2215.63</v>
      </c>
      <c r="U113" s="30">
        <f>N288</f>
        <v>9008.25</v>
      </c>
      <c r="V113" s="30">
        <f>N289</f>
        <v>111071.84</v>
      </c>
      <c r="W113" s="30">
        <f>N290</f>
        <v>38674.410000000003</v>
      </c>
      <c r="X113" s="30">
        <f>N291</f>
        <v>36394.769999999997</v>
      </c>
      <c r="Z113" t="s">
        <v>36</v>
      </c>
      <c r="AA113" s="1">
        <f>N292</f>
        <v>197364.9</v>
      </c>
      <c r="AC113" t="s">
        <v>161</v>
      </c>
      <c r="AD113" s="51">
        <v>0.88631578947368395</v>
      </c>
      <c r="AE113" s="51">
        <v>0.87778009303661197</v>
      </c>
      <c r="AJ113" s="107"/>
      <c r="AK113" s="111" t="s">
        <v>31</v>
      </c>
      <c r="AL113" s="112">
        <f>AR94</f>
        <v>100</v>
      </c>
      <c r="AM113" s="112">
        <f>AR95</f>
        <v>97.826086956521735</v>
      </c>
      <c r="AN113" s="112">
        <f>AR96</f>
        <v>91.648230088495581</v>
      </c>
      <c r="AO113" s="112">
        <f>AR97</f>
        <v>83.154670750382863</v>
      </c>
      <c r="AP113" s="112">
        <f>AR98</f>
        <v>80.08298755186722</v>
      </c>
      <c r="AQ113" s="107"/>
      <c r="AR113" s="107"/>
      <c r="AS113" s="107"/>
      <c r="AU113" s="94"/>
      <c r="AV113" s="71" t="s">
        <v>383</v>
      </c>
      <c r="AW113" s="98"/>
      <c r="AX113" s="71" t="s">
        <v>382</v>
      </c>
      <c r="AY113" s="93"/>
      <c r="BF113" s="79">
        <v>0.87739635944444105</v>
      </c>
      <c r="BG113" s="1">
        <v>50</v>
      </c>
      <c r="BH113">
        <f t="shared" si="13"/>
        <v>-0.68138096854583952</v>
      </c>
      <c r="BI113">
        <f t="shared" si="14"/>
        <v>-4.8255889071765555E-2</v>
      </c>
      <c r="BJ113">
        <f t="shared" si="11"/>
        <v>-4.2339541393321883E-2</v>
      </c>
    </row>
    <row r="114" spans="1:62" ht="15.6" x14ac:dyDescent="0.35">
      <c r="A114" t="s">
        <v>4</v>
      </c>
      <c r="B114" s="13">
        <v>1</v>
      </c>
      <c r="C114" s="33">
        <f t="shared" ref="C114:G117" si="24">(C103/$L114)*$O114</f>
        <v>0</v>
      </c>
      <c r="D114" s="34">
        <f t="shared" si="24"/>
        <v>4.3831254656335732</v>
      </c>
      <c r="E114" s="19">
        <f t="shared" si="24"/>
        <v>0.14774580221236766</v>
      </c>
      <c r="F114" s="18">
        <f t="shared" si="24"/>
        <v>0</v>
      </c>
      <c r="G114" s="20">
        <f t="shared" si="24"/>
        <v>0</v>
      </c>
      <c r="H114" s="17">
        <f>SUM(C114:G114)</f>
        <v>4.5308712678459404</v>
      </c>
      <c r="I114" s="17">
        <f>D114/H114*100</f>
        <v>96.739130434782624</v>
      </c>
      <c r="J114" s="17">
        <f>SQRT(I114*(100-I114)/(L114-1))</f>
        <v>1.8618603664560787</v>
      </c>
      <c r="K114" s="18">
        <f>100-I114</f>
        <v>3.2608695652173765</v>
      </c>
      <c r="L114" s="1">
        <f>H103</f>
        <v>92</v>
      </c>
      <c r="M114">
        <v>1</v>
      </c>
      <c r="N114" s="1">
        <v>8942.35</v>
      </c>
      <c r="O114" s="17">
        <f>N114/N118*100</f>
        <v>4.5308712678459413</v>
      </c>
      <c r="P114" s="52">
        <f>((O114*O114*(I114/100)*(K114/100))/(L114-1))</f>
        <v>7.1163559133789788E-3</v>
      </c>
      <c r="R114" s="16" t="s">
        <v>323</v>
      </c>
      <c r="S114" t="s">
        <v>68</v>
      </c>
      <c r="T114" s="57">
        <f>$AA113*T106/100</f>
        <v>2215.6299999999997</v>
      </c>
      <c r="U114" s="57">
        <f>$AA113*U106/100</f>
        <v>9401.8025577145054</v>
      </c>
      <c r="V114" s="57">
        <f>$AA113*V106/100</f>
        <v>105668.80500503605</v>
      </c>
      <c r="W114" s="57">
        <f>$AA113*W106/100</f>
        <v>38276.112624812959</v>
      </c>
      <c r="X114" s="57">
        <f>$AA113*X106/100</f>
        <v>41802.549812436475</v>
      </c>
      <c r="Z114" t="s">
        <v>36</v>
      </c>
      <c r="AA114" s="25">
        <f>SUM(T114:X114)</f>
        <v>197364.9</v>
      </c>
      <c r="AC114" t="s">
        <v>208</v>
      </c>
      <c r="AD114" s="51">
        <v>0.89228070175438601</v>
      </c>
      <c r="AE114" s="51">
        <v>0.88519552831089698</v>
      </c>
      <c r="AI114" s="78"/>
      <c r="AJ114" s="107"/>
      <c r="AK114" s="113" t="s">
        <v>39</v>
      </c>
      <c r="AL114" s="114">
        <f>AS94</f>
        <v>0</v>
      </c>
      <c r="AM114" s="114">
        <f>AS95</f>
        <v>1.5287192313211824</v>
      </c>
      <c r="AN114" s="114">
        <f>AS96</f>
        <v>0.6508369863389688</v>
      </c>
      <c r="AO114" s="114">
        <f>AS97</f>
        <v>1.4657478918855846</v>
      </c>
      <c r="AP114" s="114">
        <f>AS98</f>
        <v>2.5779625837359448</v>
      </c>
      <c r="AQ114" s="107"/>
      <c r="AR114" s="107"/>
      <c r="AS114" s="107"/>
      <c r="AU114" s="95"/>
      <c r="AV114" s="1" t="s">
        <v>384</v>
      </c>
      <c r="AW114" s="99"/>
      <c r="AX114" s="1" t="s">
        <v>387</v>
      </c>
      <c r="AY114" s="99"/>
      <c r="BF114" s="51">
        <v>0.87743178484085005</v>
      </c>
      <c r="BG114" s="1">
        <v>51</v>
      </c>
      <c r="BH114">
        <f t="shared" si="13"/>
        <v>-0.66567637461552465</v>
      </c>
      <c r="BI114">
        <f t="shared" si="14"/>
        <v>-4.7143678461839464E-2</v>
      </c>
      <c r="BJ114">
        <f t="shared" si="11"/>
        <v>-4.1365361936734943E-2</v>
      </c>
    </row>
    <row r="115" spans="1:62" x14ac:dyDescent="0.3">
      <c r="A115" t="s">
        <v>5</v>
      </c>
      <c r="B115" s="13">
        <v>2</v>
      </c>
      <c r="C115" s="33">
        <f t="shared" si="24"/>
        <v>0</v>
      </c>
      <c r="D115" s="19">
        <f t="shared" si="24"/>
        <v>0.18935076045919297</v>
      </c>
      <c r="E115" s="34">
        <f t="shared" si="24"/>
        <v>52.229251426660724</v>
      </c>
      <c r="F115" s="19">
        <f t="shared" si="24"/>
        <v>1.1361045627551578</v>
      </c>
      <c r="G115" s="20">
        <f t="shared" si="24"/>
        <v>3.50298906849507</v>
      </c>
      <c r="H115" s="17">
        <f>SUM(C115:G115)</f>
        <v>57.057695818370142</v>
      </c>
      <c r="I115" s="17">
        <f>E115/H115*100</f>
        <v>91.537610619469035</v>
      </c>
      <c r="J115" s="17">
        <f>SQRT(I115*(100-I115)/(L115-1))</f>
        <v>0.65473749435250606</v>
      </c>
      <c r="K115" s="18">
        <f>100-I115</f>
        <v>8.4623893805309649</v>
      </c>
      <c r="L115" s="1">
        <f>H104</f>
        <v>1808</v>
      </c>
      <c r="M115">
        <v>2</v>
      </c>
      <c r="N115" s="1">
        <v>112611.87</v>
      </c>
      <c r="O115" s="17">
        <f>N115/N118*100</f>
        <v>57.057695818370149</v>
      </c>
      <c r="P115" s="52">
        <f>((O115*O115*(I115/100)*(K115/100))/(L115-1))</f>
        <v>0.13956061767251854</v>
      </c>
      <c r="R115" s="66"/>
      <c r="S115" s="66" t="s">
        <v>67</v>
      </c>
      <c r="T115" s="67">
        <f>$AA113*T107/100</f>
        <v>0</v>
      </c>
      <c r="U115" s="67">
        <f>$AA113*U107/100</f>
        <v>198.85252597583519</v>
      </c>
      <c r="V115" s="67">
        <f>$AA113*V107/100</f>
        <v>999.36349614672406</v>
      </c>
      <c r="W115" s="67">
        <f>$AA113*W107/100</f>
        <v>1040.1349504458603</v>
      </c>
      <c r="X115" s="67">
        <f>$AA113*X107/100</f>
        <v>1259.1885771784853</v>
      </c>
      <c r="AA115" s="1"/>
      <c r="AC115" t="s">
        <v>209</v>
      </c>
      <c r="AD115" s="51">
        <v>0.88807017543859601</v>
      </c>
      <c r="AE115" s="51">
        <v>0.87947069015013002</v>
      </c>
      <c r="AJ115" s="107"/>
      <c r="AK115" s="109" t="s">
        <v>56</v>
      </c>
      <c r="AL115" s="110">
        <f>AW83*100</f>
        <v>100</v>
      </c>
      <c r="AM115" s="110">
        <f>AW84*100</f>
        <v>95.744680851063833</v>
      </c>
      <c r="AN115" s="110">
        <f>AW85*100</f>
        <v>94.712775078593879</v>
      </c>
      <c r="AO115" s="110">
        <f>AW86*100</f>
        <v>86.053882725832011</v>
      </c>
      <c r="AP115" s="110">
        <f>AW87*100</f>
        <v>60.406885758998428</v>
      </c>
      <c r="AQ115" s="107"/>
      <c r="AR115" s="107"/>
      <c r="AS115" s="107"/>
      <c r="AU115" s="96"/>
      <c r="AV115" s="1" t="s">
        <v>385</v>
      </c>
      <c r="AW115" s="100"/>
      <c r="AX115" s="71" t="s">
        <v>388</v>
      </c>
      <c r="AY115" s="102"/>
      <c r="BF115" s="51">
        <v>0.87751902729429698</v>
      </c>
      <c r="BG115" s="1">
        <v>52</v>
      </c>
      <c r="BH115">
        <f t="shared" si="13"/>
        <v>-0.65013427195943652</v>
      </c>
      <c r="BI115">
        <f t="shared" si="14"/>
        <v>-4.6042975600538862E-2</v>
      </c>
      <c r="BJ115">
        <f t="shared" si="11"/>
        <v>-4.0403587162719912E-2</v>
      </c>
    </row>
    <row r="116" spans="1:62" x14ac:dyDescent="0.3">
      <c r="A116" t="s">
        <v>6</v>
      </c>
      <c r="B116" s="13">
        <v>3</v>
      </c>
      <c r="C116" s="33">
        <f t="shared" si="24"/>
        <v>0</v>
      </c>
      <c r="D116" s="19">
        <f t="shared" si="24"/>
        <v>0</v>
      </c>
      <c r="E116" s="19">
        <f t="shared" si="24"/>
        <v>0.79790746060217388</v>
      </c>
      <c r="F116" s="34">
        <f t="shared" si="24"/>
        <v>16.357102942344564</v>
      </c>
      <c r="G116" s="20">
        <f t="shared" si="24"/>
        <v>2.8847423575617057</v>
      </c>
      <c r="H116" s="17">
        <f>SUM(C116:G116)</f>
        <v>20.039752760508446</v>
      </c>
      <c r="I116" s="17">
        <f>F116/H116*100</f>
        <v>81.623277182235825</v>
      </c>
      <c r="J116" s="17">
        <f>SQRT(I116*(100-I116)/(L116-1))</f>
        <v>1.5167613322609963</v>
      </c>
      <c r="K116" s="18">
        <f>100-I116</f>
        <v>18.376722817764175</v>
      </c>
      <c r="L116" s="1">
        <f>H105</f>
        <v>653</v>
      </c>
      <c r="M116">
        <v>3</v>
      </c>
      <c r="N116" s="1">
        <v>39551.440000000002</v>
      </c>
      <c r="O116" s="17">
        <f>N116/N118*100</f>
        <v>20.039752760508446</v>
      </c>
      <c r="P116" s="52">
        <f>((O116*O116*(I116/100)*(K116/100))/(L116-1))</f>
        <v>9.2388776344038498E-2</v>
      </c>
      <c r="R116" t="s">
        <v>103</v>
      </c>
      <c r="S116" t="s">
        <v>28</v>
      </c>
      <c r="T116" s="57">
        <f>C321</f>
        <v>1.0997954094064046</v>
      </c>
      <c r="U116" s="57">
        <f t="shared" ref="U116:X119" si="25">D321</f>
        <v>4.8290630764454869</v>
      </c>
      <c r="V116" s="57">
        <f t="shared" si="25"/>
        <v>52.190572848981972</v>
      </c>
      <c r="W116" s="57">
        <f t="shared" si="25"/>
        <v>19.923942674527169</v>
      </c>
      <c r="X116" s="57">
        <f t="shared" si="25"/>
        <v>21.956625990638965</v>
      </c>
      <c r="Z116" s="74"/>
      <c r="AA116" s="12"/>
      <c r="AC116" t="s">
        <v>220</v>
      </c>
      <c r="AD116" s="51">
        <v>0.88456140350877099</v>
      </c>
      <c r="AE116" s="51">
        <v>0.876889665840352</v>
      </c>
      <c r="AI116" s="78"/>
      <c r="AJ116" s="115" t="s">
        <v>379</v>
      </c>
      <c r="AK116" s="107" t="s">
        <v>9</v>
      </c>
      <c r="AL116" s="116">
        <f>AW94</f>
        <v>2215.63</v>
      </c>
      <c r="AM116" s="116">
        <f>AW95</f>
        <v>8630.81</v>
      </c>
      <c r="AN116" s="116">
        <f>AW96</f>
        <v>111380.82</v>
      </c>
      <c r="AO116" s="116">
        <f>AW97</f>
        <v>39643.629999999997</v>
      </c>
      <c r="AP116" s="116">
        <f>AW98</f>
        <v>35494</v>
      </c>
      <c r="AQ116" s="107"/>
      <c r="AR116" s="115" t="s">
        <v>36</v>
      </c>
      <c r="AS116" s="111">
        <f>AW99</f>
        <v>197364.89</v>
      </c>
      <c r="AW116" s="102"/>
      <c r="AX116" s="1" t="s">
        <v>385</v>
      </c>
      <c r="AY116" s="104"/>
      <c r="BF116" s="51">
        <v>0.87755550493339396</v>
      </c>
      <c r="BG116" s="1">
        <v>53</v>
      </c>
      <c r="BH116">
        <f t="shared" si="13"/>
        <v>-0.63474765328291094</v>
      </c>
      <c r="BI116">
        <f t="shared" si="14"/>
        <v>-4.4953284226228012E-2</v>
      </c>
      <c r="BJ116">
        <f t="shared" si="11"/>
        <v>-3.9449002037561895E-2</v>
      </c>
    </row>
    <row r="117" spans="1:62" ht="15.6" x14ac:dyDescent="0.35">
      <c r="A117" t="s">
        <v>7</v>
      </c>
      <c r="B117" s="13">
        <v>4</v>
      </c>
      <c r="C117" s="35">
        <f t="shared" si="24"/>
        <v>0</v>
      </c>
      <c r="D117" s="36">
        <f t="shared" si="24"/>
        <v>0</v>
      </c>
      <c r="E117" s="21">
        <f t="shared" si="24"/>
        <v>1.4315946842657974</v>
      </c>
      <c r="F117" s="21">
        <f t="shared" si="24"/>
        <v>1.9326528237588267</v>
      </c>
      <c r="G117" s="37">
        <f t="shared" si="24"/>
        <v>13.886468437378236</v>
      </c>
      <c r="H117" s="17">
        <f>SUM(C117:G117)</f>
        <v>17.25071594540286</v>
      </c>
      <c r="I117" s="17">
        <f>G117/H117*100</f>
        <v>80.497925311203318</v>
      </c>
      <c r="J117" s="17">
        <f>SQRT(I117*(100-I117)/(L117-1))</f>
        <v>2.5575676528297544</v>
      </c>
      <c r="K117" s="18">
        <f>100-I117</f>
        <v>19.502074688796682</v>
      </c>
      <c r="L117" s="1">
        <f>H106</f>
        <v>241</v>
      </c>
      <c r="M117">
        <v>4</v>
      </c>
      <c r="N117" s="1">
        <v>34046.86</v>
      </c>
      <c r="O117" s="17">
        <f>N117/N118*100</f>
        <v>17.25071594540286</v>
      </c>
      <c r="P117" s="52">
        <f>((O117*O117*(I117/100)*(K117/100))/(L117-1))</f>
        <v>0.19465632014880138</v>
      </c>
      <c r="S117" s="66" t="s">
        <v>39</v>
      </c>
      <c r="T117" s="67">
        <f>C322</f>
        <v>0</v>
      </c>
      <c r="U117" s="67">
        <f t="shared" si="25"/>
        <v>0.11965261909920166</v>
      </c>
      <c r="V117" s="67">
        <f t="shared" si="25"/>
        <v>0.48834856893141548</v>
      </c>
      <c r="W117" s="67">
        <f t="shared" si="25"/>
        <v>0.52079684650536884</v>
      </c>
      <c r="X117" s="67">
        <f t="shared" si="25"/>
        <v>0.62825467492618303</v>
      </c>
      <c r="AC117" t="s">
        <v>221</v>
      </c>
      <c r="AD117" s="51">
        <v>0.89017543859649095</v>
      </c>
      <c r="AE117" s="51">
        <v>0.88197788915488695</v>
      </c>
      <c r="AH117" s="78"/>
      <c r="AJ117" s="115" t="s">
        <v>378</v>
      </c>
      <c r="AK117" s="107" t="s">
        <v>68</v>
      </c>
      <c r="AL117" s="108">
        <f>$AS116*AL109/100</f>
        <v>2215.63</v>
      </c>
      <c r="AM117" s="108">
        <f>$AS116*AM109/100</f>
        <v>8812.810310696419</v>
      </c>
      <c r="AN117" s="108">
        <f>$AS116*AN109/100</f>
        <v>105593.98462518104</v>
      </c>
      <c r="AO117" s="108">
        <f>$AS116*AO109/100</f>
        <v>39772.97708414423</v>
      </c>
      <c r="AP117" s="108">
        <f>$AS116*AP109/100</f>
        <v>40969.48797997833</v>
      </c>
      <c r="AQ117" s="107"/>
      <c r="AR117" s="115" t="s">
        <v>36</v>
      </c>
      <c r="AS117" s="137">
        <f>SUM(AL117:AP117)</f>
        <v>197364.89</v>
      </c>
      <c r="BF117" s="51">
        <v>0.87755844087130297</v>
      </c>
      <c r="BG117" s="1">
        <v>54</v>
      </c>
      <c r="BH117">
        <f t="shared" si="13"/>
        <v>-0.6195098661793067</v>
      </c>
      <c r="BI117">
        <f t="shared" si="14"/>
        <v>-4.3874133210695589E-2</v>
      </c>
      <c r="BJ117">
        <f t="shared" si="11"/>
        <v>-3.8502115934957871E-2</v>
      </c>
    </row>
    <row r="118" spans="1:62" x14ac:dyDescent="0.3">
      <c r="B118" t="s">
        <v>28</v>
      </c>
      <c r="C118" s="17">
        <f t="shared" ref="C118:H118" si="26">SUM(C113:C117)</f>
        <v>1.1209642078726152</v>
      </c>
      <c r="D118" s="17">
        <f t="shared" si="26"/>
        <v>4.5724762260927658</v>
      </c>
      <c r="E118" s="17">
        <f t="shared" si="26"/>
        <v>54.606499373741066</v>
      </c>
      <c r="F118" s="17">
        <f t="shared" si="26"/>
        <v>19.425860328858548</v>
      </c>
      <c r="G118" s="17">
        <f t="shared" si="26"/>
        <v>20.274199863435012</v>
      </c>
      <c r="H118" s="18">
        <f t="shared" si="26"/>
        <v>100</v>
      </c>
      <c r="I118" s="13" t="s">
        <v>24</v>
      </c>
      <c r="J118" s="12" t="s">
        <v>29</v>
      </c>
      <c r="N118" s="1">
        <f>SUM(N113:N117)</f>
        <v>197364.90999999997</v>
      </c>
      <c r="O118" s="17">
        <f>SUM(O113:O117)</f>
        <v>100.00000000000001</v>
      </c>
      <c r="S118" t="s">
        <v>30</v>
      </c>
      <c r="T118" s="57">
        <f>C323</f>
        <v>100</v>
      </c>
      <c r="U118" s="57">
        <f t="shared" si="25"/>
        <v>93.641043897260062</v>
      </c>
      <c r="V118" s="57">
        <f t="shared" si="25"/>
        <v>96.788229062662097</v>
      </c>
      <c r="W118" s="57">
        <f t="shared" si="25"/>
        <v>83.656236542549863</v>
      </c>
      <c r="X118" s="57">
        <f t="shared" si="25"/>
        <v>69.746756942751858</v>
      </c>
      <c r="AC118" t="s">
        <v>222</v>
      </c>
      <c r="AD118" s="51">
        <v>0.89122807017543804</v>
      </c>
      <c r="AE118" s="51">
        <v>0.88386582336205199</v>
      </c>
      <c r="AI118" s="78"/>
      <c r="AJ118" s="109"/>
      <c r="AK118" s="109" t="s">
        <v>377</v>
      </c>
      <c r="AL118" s="110">
        <f>$AS116*AL110/100</f>
        <v>0</v>
      </c>
      <c r="AM118" s="110">
        <f>$AS116*AM110/100</f>
        <v>199.7854842071205</v>
      </c>
      <c r="AN118" s="110">
        <f>$AS116*AN110/100</f>
        <v>961.22732329800476</v>
      </c>
      <c r="AO118" s="110">
        <f>$AS116*AO110/100</f>
        <v>1032.3185034750379</v>
      </c>
      <c r="AP118" s="110">
        <f>$AS116*AP110/100</f>
        <v>1235.2201986522259</v>
      </c>
      <c r="AQ118" s="107"/>
      <c r="AR118" s="107"/>
      <c r="AS118" s="107"/>
      <c r="BF118" s="51">
        <v>0.87775465511408213</v>
      </c>
      <c r="BG118" s="1">
        <v>55</v>
      </c>
      <c r="BH118">
        <f t="shared" si="13"/>
        <v>-0.6044145871408374</v>
      </c>
      <c r="BI118">
        <f t="shared" si="14"/>
        <v>-4.2805074718583164E-2</v>
      </c>
      <c r="BJ118">
        <f t="shared" si="11"/>
        <v>-3.7572353596742478E-2</v>
      </c>
    </row>
    <row r="119" spans="1:62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0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0.1139947018110825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0.51381262246952564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0.50022729071874683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0.61106121950920289</v>
      </c>
      <c r="H119" s="1"/>
      <c r="I119" s="56">
        <f>(C113+D114+E115+F116+G117)/H118</f>
        <v>0.87976912479889724</v>
      </c>
      <c r="J119" s="53">
        <f>SQRT(SUM(P113:P117))/100</f>
        <v>6.5857578916836699E-3</v>
      </c>
      <c r="M119" s="1"/>
      <c r="N119" s="9"/>
      <c r="S119" s="66" t="s">
        <v>39</v>
      </c>
      <c r="T119" s="67">
        <f>C324</f>
        <v>0</v>
      </c>
      <c r="U119" s="67">
        <f t="shared" si="25"/>
        <v>2.0961686077476345</v>
      </c>
      <c r="V119" s="67">
        <f t="shared" si="25"/>
        <v>0.62739355573853028</v>
      </c>
      <c r="W119" s="67">
        <f t="shared" si="25"/>
        <v>3.0292230976458043</v>
      </c>
      <c r="X119" s="67">
        <f t="shared" si="25"/>
        <v>6.4916012750093142</v>
      </c>
      <c r="AC119" t="s">
        <v>223</v>
      </c>
      <c r="AD119" s="51">
        <v>0.88736842105263103</v>
      </c>
      <c r="AE119" s="51">
        <v>0.87725941363690496</v>
      </c>
      <c r="AH119" s="78"/>
      <c r="AJ119" s="115" t="s">
        <v>410</v>
      </c>
      <c r="AK119" s="122" t="s">
        <v>9</v>
      </c>
      <c r="AL119" s="136">
        <f>AVERAGE(AR195:AR214)</f>
        <v>2207.4175</v>
      </c>
      <c r="AM119" s="136">
        <f>AVERAGE(AS195:AS214)</f>
        <v>8776.0074999999997</v>
      </c>
      <c r="AN119" s="136">
        <f>AVERAGE(AT195:AT214)</f>
        <v>110837.50450000001</v>
      </c>
      <c r="AO119" s="140">
        <f>AVERAGE(AU195:AU214)</f>
        <v>39512.947499999995</v>
      </c>
      <c r="AP119" s="136">
        <f>AVERAGE(AV195:AV214)</f>
        <v>36031.019500000009</v>
      </c>
      <c r="AQ119" s="107"/>
      <c r="AR119" s="115" t="s">
        <v>36</v>
      </c>
      <c r="AS119" s="137">
        <f>SUM(AL119:AP119)</f>
        <v>197364.89650000003</v>
      </c>
      <c r="BF119" s="51">
        <v>0.87776559431546897</v>
      </c>
      <c r="BG119" s="1">
        <v>56</v>
      </c>
      <c r="BH119">
        <f t="shared" si="13"/>
        <v>-0.58945579784977842</v>
      </c>
      <c r="BI119">
        <f t="shared" si="14"/>
        <v>-4.1745682528311422E-2</v>
      </c>
      <c r="BJ119">
        <f t="shared" si="11"/>
        <v>-3.6642923834568165E-2</v>
      </c>
    </row>
    <row r="120" spans="1:62" x14ac:dyDescent="0.3">
      <c r="B120" s="1" t="s">
        <v>30</v>
      </c>
      <c r="C120" s="17">
        <f>C113/C118*100</f>
        <v>100</v>
      </c>
      <c r="D120" s="17">
        <f>D114/D118*100</f>
        <v>95.858901149038999</v>
      </c>
      <c r="E120" s="17">
        <f>E115/E118*100</f>
        <v>95.646584244835324</v>
      </c>
      <c r="F120" s="17">
        <f>F116/F118*100</f>
        <v>84.202720834170123</v>
      </c>
      <c r="G120" s="17">
        <f>G117/G118*100</f>
        <v>68.493299518186177</v>
      </c>
      <c r="H120" s="1"/>
      <c r="S120" s="15" t="s">
        <v>31</v>
      </c>
      <c r="T120" s="71">
        <f>I316</f>
        <v>100</v>
      </c>
      <c r="U120" s="71">
        <f>I317</f>
        <v>97.826086956521735</v>
      </c>
      <c r="V120" s="71">
        <f>I318</f>
        <v>90.984513274336294</v>
      </c>
      <c r="W120" s="71">
        <f>I319</f>
        <v>82.848392036753452</v>
      </c>
      <c r="X120" s="71">
        <f>I320</f>
        <v>82.15767634854771</v>
      </c>
      <c r="AC120" t="s">
        <v>224</v>
      </c>
      <c r="AD120" s="51">
        <v>0.88596491228070096</v>
      </c>
      <c r="AE120" s="51">
        <v>0.87603796730343597</v>
      </c>
      <c r="AI120" s="78"/>
      <c r="AJ120" s="141"/>
      <c r="AK120" s="129" t="s">
        <v>394</v>
      </c>
      <c r="AL120" s="125">
        <f>_xlfn.STDEV.S(AR195:AR214)/SQRT($AK$108)</f>
        <v>5.5046470738726452</v>
      </c>
      <c r="AM120" s="125">
        <f>_xlfn.STDEV.S(AS195:AS214)/SQRT($AK$108)</f>
        <v>69.540120831052434</v>
      </c>
      <c r="AN120" s="125">
        <f>_xlfn.STDEV.S(AT195:AT214)/SQRT($AK$108)</f>
        <v>174.86878852212999</v>
      </c>
      <c r="AO120" s="125">
        <f>_xlfn.STDEV.S(AU195:AU214)/SQRT($AK$108)</f>
        <v>97.465704118976433</v>
      </c>
      <c r="AP120" s="125">
        <f>_xlfn.STDEV.S(AV195:AV214)/SQRT($AK$108)</f>
        <v>158.27146653351969</v>
      </c>
      <c r="AQ120" s="107"/>
      <c r="AR120" s="107"/>
      <c r="AS120" s="107"/>
      <c r="BF120" s="51">
        <v>0.87778009303661197</v>
      </c>
      <c r="BG120" s="1">
        <v>57</v>
      </c>
      <c r="BH120">
        <f t="shared" si="13"/>
        <v>-0.57462776351023559</v>
      </c>
      <c r="BI120">
        <f t="shared" si="14"/>
        <v>-4.0695550497520529E-2</v>
      </c>
      <c r="BJ120">
        <f t="shared" si="11"/>
        <v>-3.5721744101889712E-2</v>
      </c>
    </row>
    <row r="121" spans="1:62" x14ac:dyDescent="0.3">
      <c r="B121" s="16" t="s">
        <v>39</v>
      </c>
      <c r="C121" s="18">
        <f>SQRT((C124+C125)/(C118*C118))</f>
        <v>0</v>
      </c>
      <c r="D121" s="18">
        <f>SQRT((D124+D125)/(D118*D118))</f>
        <v>1.7896175512508647</v>
      </c>
      <c r="E121" s="18">
        <f>SQRT((E124+E125)/(E118*E118))</f>
        <v>0.68722210364490388</v>
      </c>
      <c r="F121" s="18">
        <f>SQRT((F124+F125)/(F118*F118))</f>
        <v>3.0146202443530701</v>
      </c>
      <c r="G121" s="18">
        <f>SQRT((G124+G125)/(G118*G118))</f>
        <v>7.0043439821935305</v>
      </c>
      <c r="H121" s="1"/>
      <c r="I121" s="14"/>
      <c r="S121" s="75" t="s">
        <v>39</v>
      </c>
      <c r="T121" s="76">
        <f>J316</f>
        <v>0</v>
      </c>
      <c r="U121" s="76">
        <f>J317</f>
        <v>1.5287192313211824</v>
      </c>
      <c r="V121" s="76">
        <f>J318</f>
        <v>0.67375073337855573</v>
      </c>
      <c r="W121" s="76">
        <f>J319</f>
        <v>1.4762865557827505</v>
      </c>
      <c r="X121" s="76">
        <f>J320</f>
        <v>2.4714063572708076</v>
      </c>
      <c r="AC121" t="s">
        <v>225</v>
      </c>
      <c r="AD121" s="51">
        <v>0.89052631578947306</v>
      </c>
      <c r="AE121" s="51">
        <v>0.88271577850386296</v>
      </c>
      <c r="AH121" s="78"/>
      <c r="AJ121" s="119" t="s">
        <v>396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  <c r="BF121" s="51">
        <v>0.87779579331649804</v>
      </c>
      <c r="BG121" s="1">
        <v>58</v>
      </c>
      <c r="BH121">
        <f t="shared" si="13"/>
        <v>-0.5599250130095369</v>
      </c>
      <c r="BI121">
        <f t="shared" si="14"/>
        <v>-3.9654291158085615E-2</v>
      </c>
      <c r="BJ121">
        <f t="shared" si="11"/>
        <v>-3.480836996551516E-2</v>
      </c>
    </row>
    <row r="122" spans="1:62" x14ac:dyDescent="0.3">
      <c r="B122" s="1" t="s">
        <v>37</v>
      </c>
      <c r="C122" s="18">
        <f>100-C120</f>
        <v>0</v>
      </c>
      <c r="D122" s="18">
        <f>100-D120</f>
        <v>4.1410988509610007</v>
      </c>
      <c r="E122" s="18">
        <f>100-E120</f>
        <v>4.3534157551646757</v>
      </c>
      <c r="F122" s="18">
        <f>100-F120</f>
        <v>15.797279165829877</v>
      </c>
      <c r="G122" s="18">
        <f>100-G120</f>
        <v>31.506700481813823</v>
      </c>
      <c r="S122" s="66" t="s">
        <v>56</v>
      </c>
      <c r="T122" s="67">
        <f>N305*100</f>
        <v>100</v>
      </c>
      <c r="U122" s="67">
        <f>N306*100</f>
        <v>93.75</v>
      </c>
      <c r="V122" s="67">
        <f>N307*100</f>
        <v>94.404591104734564</v>
      </c>
      <c r="W122" s="67">
        <f>N308*100</f>
        <v>86.146496815286625</v>
      </c>
      <c r="X122" s="67">
        <f>N309*100</f>
        <v>60.458015267175568</v>
      </c>
      <c r="AC122" t="s">
        <v>226</v>
      </c>
      <c r="AD122" s="51">
        <v>0.88982456140350796</v>
      </c>
      <c r="AE122" s="51">
        <v>0.88089967574592298</v>
      </c>
      <c r="AI122" s="78"/>
      <c r="AJ122" s="115" t="s">
        <v>409</v>
      </c>
      <c r="AK122" s="122" t="s">
        <v>9</v>
      </c>
      <c r="AL122" s="136">
        <v>265.05</v>
      </c>
      <c r="AM122" s="136">
        <v>1744.4</v>
      </c>
      <c r="AN122" s="136">
        <v>15190.54</v>
      </c>
      <c r="AO122" s="136">
        <v>1689.64</v>
      </c>
      <c r="AP122" s="136">
        <v>3201.03</v>
      </c>
      <c r="AQ122" s="107"/>
      <c r="AR122" s="115" t="s">
        <v>36</v>
      </c>
      <c r="AS122" s="137">
        <f>SUM(AL122:AP122)</f>
        <v>22090.66</v>
      </c>
      <c r="AU122">
        <v>1</v>
      </c>
      <c r="AV122">
        <v>68</v>
      </c>
      <c r="BF122" s="51">
        <v>0.87781681953661606</v>
      </c>
      <c r="BG122" s="1">
        <v>59</v>
      </c>
      <c r="BH122">
        <f t="shared" si="13"/>
        <v>-0.5453423207232565</v>
      </c>
      <c r="BI122">
        <f t="shared" si="14"/>
        <v>-3.8621534427535548E-2</v>
      </c>
      <c r="BJ122">
        <f t="shared" si="11"/>
        <v>-3.3902632516803179E-2</v>
      </c>
    </row>
    <row r="123" spans="1:62" ht="15.6" x14ac:dyDescent="0.35">
      <c r="B123" s="1" t="s">
        <v>25</v>
      </c>
      <c r="C123" s="1">
        <f>C107</f>
        <v>56</v>
      </c>
      <c r="D123" s="1">
        <f>D107</f>
        <v>95</v>
      </c>
      <c r="E123" s="1">
        <f>E107</f>
        <v>1704</v>
      </c>
      <c r="F123" s="1">
        <f>F107</f>
        <v>596</v>
      </c>
      <c r="G123" s="1">
        <f>G107</f>
        <v>399</v>
      </c>
      <c r="R123" s="16" t="s">
        <v>66</v>
      </c>
      <c r="S123" t="s">
        <v>9</v>
      </c>
      <c r="T123" s="30">
        <f>N316</f>
        <v>2170.61</v>
      </c>
      <c r="U123" s="30">
        <f>N317</f>
        <v>9123.14</v>
      </c>
      <c r="V123" s="30">
        <f>N318</f>
        <v>109576.4</v>
      </c>
      <c r="W123" s="30">
        <f>N319</f>
        <v>39706.300000000003</v>
      </c>
      <c r="X123" s="30">
        <f>N320</f>
        <v>36788.44</v>
      </c>
      <c r="Z123" t="s">
        <v>36</v>
      </c>
      <c r="AA123" s="1">
        <f>N321</f>
        <v>197364.89</v>
      </c>
      <c r="AC123" t="s">
        <v>227</v>
      </c>
      <c r="AD123" s="51">
        <v>0.88456140350877099</v>
      </c>
      <c r="AE123" s="51">
        <v>0.87724019977727297</v>
      </c>
      <c r="AH123" s="78"/>
      <c r="AJ123" s="107"/>
      <c r="AK123" s="107" t="s">
        <v>391</v>
      </c>
      <c r="AL123" s="108">
        <f>(AL122/$AS122)*100</f>
        <v>1.1998283437434645</v>
      </c>
      <c r="AM123" s="108">
        <f>(AM122/$AS122)*100</f>
        <v>7.8965499446372363</v>
      </c>
      <c r="AN123" s="108">
        <f>(AN122/$AS122)*100</f>
        <v>68.76453668654537</v>
      </c>
      <c r="AO123" s="108">
        <f>(AO122/$AS122)*100</f>
        <v>7.648662375863827</v>
      </c>
      <c r="AP123" s="108">
        <f>(AP122/$AS122)*100</f>
        <v>14.490422649210119</v>
      </c>
      <c r="AQ123" s="107"/>
      <c r="AR123" s="107"/>
      <c r="AS123" s="107"/>
      <c r="AU123">
        <v>2</v>
      </c>
      <c r="AV123">
        <v>97</v>
      </c>
      <c r="BF123" s="51">
        <v>0.87782748463745397</v>
      </c>
      <c r="BG123" s="1">
        <v>60</v>
      </c>
      <c r="BH123">
        <f t="shared" si="13"/>
        <v>-0.53087468979951646</v>
      </c>
      <c r="BI123">
        <f t="shared" si="14"/>
        <v>-3.7596926425235176E-2</v>
      </c>
      <c r="BJ123">
        <f t="shared" si="11"/>
        <v>-3.3003615353963615E-2</v>
      </c>
    </row>
    <row r="124" spans="1:62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12.203625047010455</v>
      </c>
      <c r="E124" s="18">
        <f>(O115*O115*(100-E120)*(100-E120)*(I115)*(100-I115))/((L115-1)*100)</f>
        <v>264.49847488506811</v>
      </c>
      <c r="F124" s="18">
        <f>(O116*O116*(100-F120)*(100-F120)*(I116)*(100-I116))/((L116-1)*100)</f>
        <v>2305.599137502245</v>
      </c>
      <c r="G124" s="18">
        <f>(O117*O117*(100-G120)*(100-G120)*(I117)*(100-I117))/((L117-1)*100)</f>
        <v>19322.991274841261</v>
      </c>
      <c r="R124" s="16" t="s">
        <v>323</v>
      </c>
      <c r="S124" t="s">
        <v>68</v>
      </c>
      <c r="T124" s="57">
        <f>$AA123*T116/100</f>
        <v>2170.61</v>
      </c>
      <c r="U124" s="57">
        <f>$AA123*U116/100</f>
        <v>9530.8750288572519</v>
      </c>
      <c r="V124" s="57">
        <f>$AA123*V116/100</f>
        <v>103005.86669376314</v>
      </c>
      <c r="W124" s="57">
        <f>$AA123*W116/100</f>
        <v>39322.867543243607</v>
      </c>
      <c r="X124" s="57">
        <f>$AA123*X116/100</f>
        <v>43334.670734136009</v>
      </c>
      <c r="Z124" t="s">
        <v>36</v>
      </c>
      <c r="AA124" s="25">
        <f>SUM(T124:X124)</f>
        <v>197364.89</v>
      </c>
      <c r="AC124" t="s">
        <v>228</v>
      </c>
      <c r="AD124" s="51">
        <v>0.88736842105263103</v>
      </c>
      <c r="AE124" s="51">
        <v>0.87909969567508595</v>
      </c>
      <c r="AI124" s="78"/>
      <c r="AJ124" s="115" t="s">
        <v>410</v>
      </c>
      <c r="AK124" s="122" t="s">
        <v>9</v>
      </c>
      <c r="AL124" s="136">
        <f>AVERAGE(AR216:AR235)</f>
        <v>264.45650000000006</v>
      </c>
      <c r="AM124" s="140">
        <f>AVERAGE(AS216:AS235)</f>
        <v>1796.8690000000001</v>
      </c>
      <c r="AN124" s="136">
        <f>AVERAGE(AT216:AT235)</f>
        <v>15060.646499999999</v>
      </c>
      <c r="AO124" s="136">
        <f>AVERAGE(AU216:AU235)</f>
        <v>1683.4674999999995</v>
      </c>
      <c r="AP124" s="136">
        <f>AVERAGE(AV216:AV235)</f>
        <v>3285.22</v>
      </c>
      <c r="AQ124" s="107"/>
      <c r="AR124" s="115" t="s">
        <v>36</v>
      </c>
      <c r="AS124" s="137">
        <f>SUM(AL124:AP124)</f>
        <v>22090.659499999998</v>
      </c>
      <c r="AU124">
        <v>3</v>
      </c>
      <c r="AV124">
        <v>126</v>
      </c>
      <c r="BF124" s="51">
        <v>0.87783959297916103</v>
      </c>
      <c r="BG124" s="1">
        <v>61</v>
      </c>
      <c r="BH124">
        <f t="shared" si="13"/>
        <v>-0.51651733677697942</v>
      </c>
      <c r="BI124">
        <f t="shared" si="14"/>
        <v>-3.6580128383020535E-2</v>
      </c>
      <c r="BJ124">
        <f t="shared" si="11"/>
        <v>-3.2111485010876205E-2</v>
      </c>
    </row>
    <row r="125" spans="1:62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54.757597300264713</v>
      </c>
      <c r="E125" s="18">
        <f>E120*E120*(SUM((H113*E113*(1-E102/H102))/(H102-1),(H114*E114*(1-E103/H103))/(H103-1), (H116*E116*(1-E105/H105))/(H105-1),(H117*E117*(1-E106/H106))/(H106-1)))</f>
        <v>1143.761745922716</v>
      </c>
      <c r="F125" s="18">
        <f>F120*F120*(SUM((H113*F113*(1-F102/H102))/(H102-1),(H114*F114*(1-F103/H103))/(H103-1), (H115*F115*(1-F104/H104))/(H104-1),(H117*F117*(1-F106/H106))/(H106-1)))</f>
        <v>1123.8608979771834</v>
      </c>
      <c r="G125" s="18">
        <f>G120*G120*(SUM((H113*G113*(1-G102/H102))/(H102-1),(H114*G114*(1-G103/H103))/(H103-1), (H115*G115*(1-G104/H104))/(H104-1),(H116*G116*(1-G105/H105))/(H105-1)))</f>
        <v>843.13020621289661</v>
      </c>
      <c r="R125" s="66"/>
      <c r="S125" s="66" t="s">
        <v>67</v>
      </c>
      <c r="T125" s="67">
        <f>$AA123*T117/100</f>
        <v>0</v>
      </c>
      <c r="U125" s="67">
        <f>$AA123*U117/100</f>
        <v>236.15226006725837</v>
      </c>
      <c r="V125" s="67">
        <f>$AA123*V117/100</f>
        <v>963.82861588806236</v>
      </c>
      <c r="W125" s="67">
        <f>$AA123*W117/100</f>
        <v>1027.8701232287901</v>
      </c>
      <c r="X125" s="67">
        <f>$AA123*X117/100</f>
        <v>1239.9541480879188</v>
      </c>
      <c r="AA125" s="1"/>
      <c r="AC125" t="s">
        <v>229</v>
      </c>
      <c r="AD125" s="51">
        <v>0.88701754385964904</v>
      </c>
      <c r="AE125" s="51">
        <v>0.87755550493339396</v>
      </c>
      <c r="AH125" s="78"/>
      <c r="AJ125" s="107"/>
      <c r="AK125" s="129" t="s">
        <v>394</v>
      </c>
      <c r="AL125" s="125">
        <f>_xlfn.STDEV.S(AR216:AR235)/SQRT($AK$108)</f>
        <v>1.4633796994412773</v>
      </c>
      <c r="AM125" s="125">
        <f>_xlfn.STDEV.S(AS216:AS235)/SQRT($AK$108)</f>
        <v>15.569559164566842</v>
      </c>
      <c r="AN125" s="125">
        <f>_xlfn.STDEV.S(AT216:AT235)/SQRT($AK$108)</f>
        <v>23.989584760617355</v>
      </c>
      <c r="AO125" s="125">
        <f>_xlfn.STDEV.S(AU216:AU235)/SQRT($AK$108)</f>
        <v>6.784988766813802</v>
      </c>
      <c r="AP125" s="125">
        <f>_xlfn.STDEV.S(AV216:AV235)/SQRT($AK$108)</f>
        <v>22.579796570339031</v>
      </c>
      <c r="AQ125" s="107"/>
      <c r="AR125" s="107"/>
      <c r="AS125" s="107"/>
      <c r="AU125">
        <v>4</v>
      </c>
      <c r="AV125">
        <v>155</v>
      </c>
      <c r="BF125" s="51">
        <v>0.87788575305601002</v>
      </c>
      <c r="BG125" s="1">
        <v>62</v>
      </c>
      <c r="BH125">
        <f t="shared" si="13"/>
        <v>-0.5022656774073111</v>
      </c>
      <c r="BI125">
        <f t="shared" si="14"/>
        <v>-3.557081564113547E-2</v>
      </c>
      <c r="BJ125">
        <f t="shared" si="11"/>
        <v>-3.122711227593471E-2</v>
      </c>
    </row>
    <row r="126" spans="1:62" x14ac:dyDescent="0.3">
      <c r="A126" s="105" t="s">
        <v>390</v>
      </c>
      <c r="B126" s="69" t="s">
        <v>9</v>
      </c>
      <c r="C126" s="1">
        <v>271.52999999999997</v>
      </c>
      <c r="D126" s="1">
        <v>1809.22</v>
      </c>
      <c r="E126" s="1">
        <v>15285.61</v>
      </c>
      <c r="F126" s="1">
        <v>1672.36</v>
      </c>
      <c r="G126" s="1">
        <v>3051.94</v>
      </c>
      <c r="I126" t="s">
        <v>36</v>
      </c>
      <c r="J126" s="57">
        <f>SUM(C126:G126)</f>
        <v>22090.66</v>
      </c>
      <c r="R126" t="s">
        <v>104</v>
      </c>
      <c r="S126" t="s">
        <v>28</v>
      </c>
      <c r="T126" s="57">
        <f>C350</f>
        <v>1.1114742287002399</v>
      </c>
      <c r="U126" s="57">
        <f t="shared" ref="U126:X129" si="27">D350</f>
        <v>4.5073067026563081</v>
      </c>
      <c r="V126" s="57">
        <f t="shared" si="27"/>
        <v>53.229222358046904</v>
      </c>
      <c r="W126" s="57">
        <f t="shared" si="27"/>
        <v>19.684473287806426</v>
      </c>
      <c r="X126" s="57">
        <f t="shared" si="27"/>
        <v>21.467523422790133</v>
      </c>
      <c r="Y126" s="13"/>
      <c r="Z126" s="74"/>
      <c r="AA126" s="12"/>
      <c r="AC126" t="s">
        <v>230</v>
      </c>
      <c r="AD126" s="51">
        <v>0.89157894736842103</v>
      </c>
      <c r="AE126" s="51">
        <v>0.88205398297549298</v>
      </c>
      <c r="AI126" s="78"/>
      <c r="AJ126" s="119" t="s">
        <v>423</v>
      </c>
      <c r="AK126" s="107"/>
      <c r="AL126" s="116"/>
      <c r="AM126" s="116"/>
      <c r="AN126" s="116"/>
      <c r="AO126" s="116"/>
      <c r="AP126" s="116"/>
      <c r="AQ126" s="107"/>
      <c r="AR126" s="107"/>
      <c r="AS126" s="107"/>
      <c r="AU126">
        <v>5</v>
      </c>
      <c r="AV126">
        <v>184</v>
      </c>
      <c r="BF126" s="51">
        <v>0.87789007187356705</v>
      </c>
      <c r="BG126" s="1">
        <v>63</v>
      </c>
      <c r="BH126">
        <f t="shared" si="13"/>
        <v>-0.48811531356716492</v>
      </c>
      <c r="BI126">
        <f t="shared" si="14"/>
        <v>-3.4568676721328996E-2</v>
      </c>
      <c r="BJ126">
        <f t="shared" si="11"/>
        <v>-3.0347498091461617E-2</v>
      </c>
    </row>
    <row r="127" spans="1:62" x14ac:dyDescent="0.3">
      <c r="B127" t="s">
        <v>391</v>
      </c>
      <c r="C127" s="57">
        <f>(C126/$J126)*100</f>
        <v>1.2291620078349854</v>
      </c>
      <c r="D127" s="57">
        <f>(D126/$J126)*100</f>
        <v>8.1899771215527295</v>
      </c>
      <c r="E127" s="57">
        <f>(E126/$J126)*100</f>
        <v>69.194899563888086</v>
      </c>
      <c r="F127" s="57">
        <f>(F126/$J126)*100</f>
        <v>7.5704392716197706</v>
      </c>
      <c r="G127" s="57">
        <f>(G126/$J126)*100</f>
        <v>13.815522035104429</v>
      </c>
      <c r="S127" s="66" t="s">
        <v>39</v>
      </c>
      <c r="T127" s="67">
        <f>C351</f>
        <v>0</v>
      </c>
      <c r="U127" s="67">
        <f t="shared" si="27"/>
        <v>0.11363138100967152</v>
      </c>
      <c r="V127" s="67">
        <f t="shared" si="27"/>
        <v>0.50581551249412049</v>
      </c>
      <c r="W127" s="67">
        <f t="shared" si="27"/>
        <v>0.51975875453908171</v>
      </c>
      <c r="X127" s="67">
        <f t="shared" si="27"/>
        <v>0.63632667329262727</v>
      </c>
      <c r="AC127" t="s">
        <v>231</v>
      </c>
      <c r="AD127" s="51">
        <v>0.88</v>
      </c>
      <c r="AE127" s="51">
        <v>0.87224381287034902</v>
      </c>
      <c r="AH127" s="78"/>
      <c r="AJ127" s="115" t="s">
        <v>409</v>
      </c>
      <c r="AK127" s="122" t="s">
        <v>9</v>
      </c>
      <c r="AL127" s="136">
        <v>63.71</v>
      </c>
      <c r="AM127" s="136">
        <v>28.18</v>
      </c>
      <c r="AN127" s="136">
        <v>12137.33</v>
      </c>
      <c r="AO127" s="136">
        <v>15486.76</v>
      </c>
      <c r="AP127" s="136">
        <v>15506.46</v>
      </c>
      <c r="AQ127" s="107"/>
      <c r="AR127" s="115" t="s">
        <v>36</v>
      </c>
      <c r="AS127" s="137">
        <f>SUM(AL127:AP127)</f>
        <v>43222.44</v>
      </c>
      <c r="AU127">
        <v>6</v>
      </c>
      <c r="AV127">
        <v>213</v>
      </c>
      <c r="BF127" s="51">
        <v>0.87790626146021011</v>
      </c>
      <c r="BG127" s="1">
        <v>64</v>
      </c>
      <c r="BH127">
        <f t="shared" si="13"/>
        <v>-0.4740620211572345</v>
      </c>
      <c r="BI127">
        <f t="shared" si="14"/>
        <v>-3.3573412469857518E-2</v>
      </c>
      <c r="BJ127">
        <f t="shared" si="11"/>
        <v>-2.9474309025874213E-2</v>
      </c>
    </row>
    <row r="128" spans="1:62" x14ac:dyDescent="0.3">
      <c r="A128" s="361">
        <v>1988</v>
      </c>
      <c r="B128" s="361"/>
      <c r="C128" s="361"/>
      <c r="D128" s="361"/>
      <c r="E128" s="361"/>
      <c r="F128" s="361"/>
      <c r="G128" s="361"/>
      <c r="H128" s="361"/>
      <c r="I128" s="361"/>
      <c r="J128" s="361"/>
      <c r="K128" s="361"/>
      <c r="L128" s="361" t="s">
        <v>64</v>
      </c>
      <c r="M128" s="361"/>
      <c r="N128" s="361"/>
      <c r="O128" s="361"/>
      <c r="P128" s="361"/>
      <c r="S128" t="s">
        <v>30</v>
      </c>
      <c r="T128" s="57">
        <f>C352</f>
        <v>100</v>
      </c>
      <c r="U128" s="57">
        <f t="shared" si="27"/>
        <v>93.814646981490526</v>
      </c>
      <c r="V128" s="57">
        <f t="shared" si="27"/>
        <v>96.13887024137388</v>
      </c>
      <c r="W128" s="57">
        <f t="shared" si="27"/>
        <v>83.86780310561835</v>
      </c>
      <c r="X128" s="57">
        <f t="shared" si="27"/>
        <v>69.031107272098453</v>
      </c>
      <c r="AC128" t="s">
        <v>232</v>
      </c>
      <c r="AD128" s="51">
        <v>0.88736842105263103</v>
      </c>
      <c r="AE128" s="51">
        <v>0.87982799107646703</v>
      </c>
      <c r="AI128" s="78"/>
      <c r="AJ128" s="107"/>
      <c r="AK128" s="107" t="s">
        <v>391</v>
      </c>
      <c r="AL128" s="108">
        <f>(AL127/$AS127)*100</f>
        <v>0.14740028559239138</v>
      </c>
      <c r="AM128" s="108">
        <f>(AM127/$AS127)*100</f>
        <v>6.5197614942608506E-2</v>
      </c>
      <c r="AN128" s="108">
        <f>(AN127/$AS127)*100</f>
        <v>28.081084732837848</v>
      </c>
      <c r="AO128" s="108">
        <f>(AO127/$AS127)*100</f>
        <v>35.830369595052943</v>
      </c>
      <c r="AP128" s="108">
        <f>(AP127/$AS127)*100</f>
        <v>35.875947771574204</v>
      </c>
      <c r="AQ128" s="107"/>
      <c r="AR128" s="107"/>
      <c r="AS128" s="107"/>
      <c r="AU128">
        <v>7</v>
      </c>
      <c r="AV128">
        <v>242</v>
      </c>
      <c r="BF128" s="51">
        <v>0.87791977415431699</v>
      </c>
      <c r="BG128" s="1">
        <v>65</v>
      </c>
      <c r="BH128">
        <f t="shared" si="13"/>
        <v>-0.46010173889686451</v>
      </c>
      <c r="BI128">
        <f t="shared" si="14"/>
        <v>-3.2584735263911119E-2</v>
      </c>
      <c r="BJ128">
        <f t="shared" si="11"/>
        <v>-2.8606783423771057E-2</v>
      </c>
    </row>
    <row r="129" spans="1:62" x14ac:dyDescent="0.3">
      <c r="A129" t="s">
        <v>320</v>
      </c>
      <c r="B129" t="s">
        <v>21</v>
      </c>
      <c r="I129" s="1" t="s">
        <v>58</v>
      </c>
      <c r="O129" s="360" t="s">
        <v>411</v>
      </c>
      <c r="P129" s="360"/>
      <c r="S129" s="66" t="s">
        <v>39</v>
      </c>
      <c r="T129" s="67">
        <f>C353</f>
        <v>0</v>
      </c>
      <c r="U129" s="67">
        <f t="shared" si="27"/>
        <v>2.1323824649069234</v>
      </c>
      <c r="V129" s="67">
        <f t="shared" si="27"/>
        <v>0.67970365071346373</v>
      </c>
      <c r="W129" s="67">
        <f t="shared" si="27"/>
        <v>3.0719409894439003</v>
      </c>
      <c r="X129" s="67">
        <f t="shared" si="27"/>
        <v>6.9311226932512735</v>
      </c>
      <c r="AC129" t="s">
        <v>233</v>
      </c>
      <c r="AD129" s="51">
        <v>0.88771929824561402</v>
      </c>
      <c r="AE129" s="51">
        <v>0.87878663287425896</v>
      </c>
      <c r="AH129" s="78"/>
      <c r="AJ129" s="115" t="s">
        <v>410</v>
      </c>
      <c r="AK129" s="122" t="s">
        <v>9</v>
      </c>
      <c r="AL129" s="140">
        <f>AVERAGE(AL195:AL214)</f>
        <v>60.878</v>
      </c>
      <c r="AM129" s="136">
        <f>AVERAGE(AM195:AM214)</f>
        <v>30.201000000000004</v>
      </c>
      <c r="AN129" s="136">
        <f>AVERAGE(AN195:AN214)</f>
        <v>12161.712</v>
      </c>
      <c r="AO129" s="136">
        <f>AVERAGE(AO195:AO214)</f>
        <v>15438.344500000001</v>
      </c>
      <c r="AP129" s="136">
        <f>AVERAGE(AP195:AP214)</f>
        <v>15531.3115</v>
      </c>
      <c r="AQ129" s="107"/>
      <c r="AR129" s="115" t="s">
        <v>36</v>
      </c>
      <c r="AS129" s="137">
        <f>SUM(AL129:AP129)</f>
        <v>43222.447</v>
      </c>
      <c r="AU129">
        <v>8</v>
      </c>
      <c r="AV129">
        <v>271</v>
      </c>
      <c r="BF129" s="51">
        <v>0.87794112543227398</v>
      </c>
      <c r="BG129" s="1">
        <v>66</v>
      </c>
      <c r="BH129">
        <f t="shared" si="13"/>
        <v>-0.44623055793233662</v>
      </c>
      <c r="BI129">
        <f t="shared" si="14"/>
        <v>-3.1602368275664941E-2</v>
      </c>
      <c r="BJ129">
        <f t="shared" ref="BJ129:BJ192" si="28">BI129*BF129</f>
        <v>-2.7745018770262472E-2</v>
      </c>
    </row>
    <row r="130" spans="1:62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56</v>
      </c>
      <c r="O130" s="13" t="s">
        <v>412</v>
      </c>
      <c r="P130" s="13" t="s">
        <v>41</v>
      </c>
      <c r="S130" s="15" t="s">
        <v>31</v>
      </c>
      <c r="T130" s="71">
        <f>I345</f>
        <v>100</v>
      </c>
      <c r="U130" s="71">
        <f>I346</f>
        <v>97.826086956521749</v>
      </c>
      <c r="V130" s="71">
        <f>I347</f>
        <v>91.371681415929203</v>
      </c>
      <c r="W130" s="71">
        <f>I348</f>
        <v>81.929555895865235</v>
      </c>
      <c r="X130" s="71">
        <f>I349</f>
        <v>80.497925311203318</v>
      </c>
      <c r="AC130" t="s">
        <v>234</v>
      </c>
      <c r="AD130" s="51">
        <v>0.89052631578947306</v>
      </c>
      <c r="AE130" s="51">
        <v>0.88143121421750703</v>
      </c>
      <c r="AI130" s="78"/>
      <c r="AJ130" s="107"/>
      <c r="AK130" s="129" t="s">
        <v>394</v>
      </c>
      <c r="AL130" s="125">
        <f>_xlfn.STDEV.S(AL195:AL214)/SQRT($AK$108)</f>
        <v>2.8958226355980612</v>
      </c>
      <c r="AM130" s="125">
        <f>_xlfn.STDEV.S(AM195:AM214)/SQRT($AK$108)</f>
        <v>0.82832580038228065</v>
      </c>
      <c r="AN130" s="125">
        <f>_xlfn.STDEV.S(AN195:AN214)/SQRT($AK$108)</f>
        <v>43.373460746842625</v>
      </c>
      <c r="AO130" s="125">
        <f>_xlfn.STDEV.S(AO195:AO214)/SQRT($AK$108)</f>
        <v>36.338837730703766</v>
      </c>
      <c r="AP130" s="125">
        <f>_xlfn.STDEV.S(AP195:AP214)/SQRT($AK$108)</f>
        <v>40.798888286421423</v>
      </c>
      <c r="AQ130" s="107"/>
      <c r="AR130" s="107"/>
      <c r="AS130" s="107"/>
      <c r="AU130">
        <v>9</v>
      </c>
      <c r="AV130">
        <v>300</v>
      </c>
      <c r="BF130" s="51">
        <v>0.87794834096001495</v>
      </c>
      <c r="BG130" s="1">
        <v>67</v>
      </c>
      <c r="BH130">
        <f t="shared" si="13"/>
        <v>-0.43244471218542158</v>
      </c>
      <c r="BI130">
        <f t="shared" si="14"/>
        <v>-3.0626044788756676E-2</v>
      </c>
      <c r="BJ130">
        <f t="shared" si="28"/>
        <v>-2.6888085212456034E-2</v>
      </c>
    </row>
    <row r="131" spans="1:62" x14ac:dyDescent="0.3">
      <c r="A131" t="s">
        <v>3</v>
      </c>
      <c r="B131" s="13">
        <v>0</v>
      </c>
      <c r="C131" s="26">
        <v>56</v>
      </c>
      <c r="D131" s="3">
        <v>0</v>
      </c>
      <c r="E131" s="3">
        <v>0</v>
      </c>
      <c r="F131" s="3">
        <v>0</v>
      </c>
      <c r="G131" s="4">
        <v>0</v>
      </c>
      <c r="H131" s="1">
        <f>SUM(C131:G131)</f>
        <v>56</v>
      </c>
      <c r="I131" s="10">
        <f>C131/H131</f>
        <v>1</v>
      </c>
      <c r="J131" s="11">
        <f>1-I131</f>
        <v>0</v>
      </c>
      <c r="K131">
        <f>H131-C136</f>
        <v>0</v>
      </c>
      <c r="N131" s="10">
        <f>2*(C137*I131)/(C137+I131)</f>
        <v>1</v>
      </c>
      <c r="O131" s="1"/>
      <c r="P131" s="1"/>
      <c r="S131" s="75" t="s">
        <v>39</v>
      </c>
      <c r="T131" s="76">
        <f>J345</f>
        <v>0</v>
      </c>
      <c r="U131" s="76">
        <f>J346</f>
        <v>1.5287192313211773</v>
      </c>
      <c r="V131" s="76">
        <f>J347</f>
        <v>0.6605258494539199</v>
      </c>
      <c r="W131" s="76">
        <f>J348</f>
        <v>1.5068877956470301</v>
      </c>
      <c r="X131" s="76">
        <f>J349</f>
        <v>2.5575676528297544</v>
      </c>
      <c r="AC131" t="s">
        <v>235</v>
      </c>
      <c r="AD131" s="51">
        <v>0.88350877192982402</v>
      </c>
      <c r="AE131" s="51">
        <v>0.87705666366285395</v>
      </c>
      <c r="AH131" s="78"/>
      <c r="AJ131" s="119" t="s">
        <v>424</v>
      </c>
      <c r="AK131" s="107"/>
      <c r="AL131" s="116"/>
      <c r="AM131" s="116"/>
      <c r="AN131" s="116"/>
      <c r="AO131" s="116"/>
      <c r="AP131" s="116"/>
      <c r="AQ131" s="107"/>
      <c r="AR131" s="107"/>
      <c r="AS131" s="107"/>
      <c r="AU131">
        <v>10</v>
      </c>
      <c r="AV131">
        <v>329</v>
      </c>
      <c r="BF131" s="51">
        <v>0.87795335853744005</v>
      </c>
      <c r="BG131" s="1">
        <v>68</v>
      </c>
      <c r="BH131">
        <f t="shared" ref="BH131:BH194" si="29">_xlfn.NORM.S.INV((BG131-0.375)/($BI$61+0.25))</f>
        <v>-0.41874056937625298</v>
      </c>
      <c r="BI131">
        <f t="shared" ref="BI131:BI194" si="30">BH131/SQRT($BL$65)</f>
        <v>-2.9655507562520094E-2</v>
      </c>
      <c r="BJ131">
        <f t="shared" si="28"/>
        <v>-2.6036152463646968E-2</v>
      </c>
    </row>
    <row r="132" spans="1:62" x14ac:dyDescent="0.3">
      <c r="A132" t="s">
        <v>4</v>
      </c>
      <c r="B132" s="13">
        <v>1</v>
      </c>
      <c r="C132" s="5">
        <v>0</v>
      </c>
      <c r="D132" s="27">
        <v>90</v>
      </c>
      <c r="E132" s="1">
        <v>2</v>
      </c>
      <c r="F132" s="1">
        <v>0</v>
      </c>
      <c r="G132" s="6">
        <v>0</v>
      </c>
      <c r="H132" s="1">
        <f>SUM(C132:G132)</f>
        <v>92</v>
      </c>
      <c r="I132" s="10">
        <f>D132/H132</f>
        <v>0.97826086956521741</v>
      </c>
      <c r="J132" s="11">
        <f>1-I132</f>
        <v>2.1739130434782594E-2</v>
      </c>
      <c r="K132">
        <f>H132-D136</f>
        <v>-7</v>
      </c>
      <c r="N132" s="10">
        <f>2*(D137*I132)/(D137+I132)</f>
        <v>0.94240837696335078</v>
      </c>
      <c r="O132" s="1"/>
      <c r="P132" s="1"/>
      <c r="S132" s="66" t="s">
        <v>56</v>
      </c>
      <c r="T132" s="67">
        <f>N334*100</f>
        <v>100</v>
      </c>
      <c r="U132" s="67">
        <f>N335*100</f>
        <v>94.240837696335078</v>
      </c>
      <c r="V132" s="67">
        <f>N336*100</f>
        <v>94.426979136896264</v>
      </c>
      <c r="W132" s="67">
        <f>N337*100</f>
        <v>85.737179487179489</v>
      </c>
      <c r="X132" s="67">
        <f>N338*100</f>
        <v>59.692307692307686</v>
      </c>
      <c r="AC132" t="s">
        <v>236</v>
      </c>
      <c r="AD132" s="51">
        <v>0.88736842105263103</v>
      </c>
      <c r="AE132" s="51">
        <v>0.880348168422455</v>
      </c>
      <c r="AI132" s="78"/>
      <c r="AJ132" s="115" t="s">
        <v>409</v>
      </c>
      <c r="AK132" s="122" t="s">
        <v>9</v>
      </c>
      <c r="AL132" s="136">
        <v>0</v>
      </c>
      <c r="AM132" s="136">
        <v>3.49</v>
      </c>
      <c r="AN132" s="136">
        <v>897.34</v>
      </c>
      <c r="AO132" s="136">
        <v>405.06</v>
      </c>
      <c r="AP132" s="136">
        <v>547.04999999999995</v>
      </c>
      <c r="AQ132" s="107"/>
      <c r="AR132" s="115" t="s">
        <v>36</v>
      </c>
      <c r="AS132" s="137">
        <f>SUM(AL132:AP132)</f>
        <v>1852.94</v>
      </c>
      <c r="AU132">
        <v>11</v>
      </c>
      <c r="AV132">
        <v>358</v>
      </c>
      <c r="BF132" s="51">
        <v>0.87799385693547405</v>
      </c>
      <c r="BG132" s="1">
        <v>69</v>
      </c>
      <c r="BH132">
        <f t="shared" si="29"/>
        <v>-0.40511462266119341</v>
      </c>
      <c r="BI132">
        <f t="shared" si="30"/>
        <v>-2.8690508239772695E-2</v>
      </c>
      <c r="BJ132">
        <f t="shared" si="28"/>
        <v>-2.5190089986877027E-2</v>
      </c>
    </row>
    <row r="133" spans="1:62" x14ac:dyDescent="0.3">
      <c r="A133" t="s">
        <v>5</v>
      </c>
      <c r="B133" s="13">
        <v>2</v>
      </c>
      <c r="C133" s="5">
        <v>0</v>
      </c>
      <c r="D133" s="1">
        <v>9</v>
      </c>
      <c r="E133" s="27">
        <v>1655</v>
      </c>
      <c r="F133" s="1">
        <v>34</v>
      </c>
      <c r="G133" s="6">
        <v>110</v>
      </c>
      <c r="H133" s="1">
        <f>SUM(C133:G133)</f>
        <v>1808</v>
      </c>
      <c r="I133" s="10">
        <f>E133/H133</f>
        <v>0.91537610619469023</v>
      </c>
      <c r="J133" s="11">
        <f>1-I133</f>
        <v>8.4623893805309769E-2</v>
      </c>
      <c r="K133">
        <f>H133-E136</f>
        <v>109</v>
      </c>
      <c r="N133" s="10">
        <f>2*(E137*I133)/(E137+I133)</f>
        <v>0.94382663244938692</v>
      </c>
      <c r="O133" s="1"/>
      <c r="P133" s="1"/>
      <c r="R133" s="16" t="s">
        <v>66</v>
      </c>
      <c r="S133" t="s">
        <v>9</v>
      </c>
      <c r="T133" s="30">
        <f>N345</f>
        <v>2193.66</v>
      </c>
      <c r="U133" s="30">
        <f>N346</f>
        <v>8531.06</v>
      </c>
      <c r="V133" s="30">
        <f>N347</f>
        <v>110536.94</v>
      </c>
      <c r="W133" s="30">
        <f>N348</f>
        <v>39769.339999999997</v>
      </c>
      <c r="X133" s="30">
        <f>N349</f>
        <v>36333.9</v>
      </c>
      <c r="Z133" t="s">
        <v>36</v>
      </c>
      <c r="AA133" s="1">
        <f>N350</f>
        <v>197364.9</v>
      </c>
      <c r="AC133" t="s">
        <v>237</v>
      </c>
      <c r="AD133" s="51">
        <v>0.88947368421052597</v>
      </c>
      <c r="AE133" s="51">
        <v>0.880474475745322</v>
      </c>
      <c r="AH133" s="78"/>
      <c r="AJ133" s="107"/>
      <c r="AK133" s="107" t="s">
        <v>391</v>
      </c>
      <c r="AL133" s="108">
        <f>(AL132/$AS132)*100</f>
        <v>0</v>
      </c>
      <c r="AM133" s="108">
        <f>(AM132/$AS132)*100</f>
        <v>0.18834932593607998</v>
      </c>
      <c r="AN133" s="108">
        <f>(AN132/$AS132)*100</f>
        <v>48.427903763748418</v>
      </c>
      <c r="AO133" s="108">
        <f>(AO132/$AS132)*100</f>
        <v>21.860394831996718</v>
      </c>
      <c r="AP133" s="108">
        <f>(AP132/$AS132)*100</f>
        <v>29.523352078318776</v>
      </c>
      <c r="AQ133" s="107"/>
      <c r="AR133" s="107"/>
      <c r="AS133" s="107"/>
      <c r="AU133">
        <v>12</v>
      </c>
      <c r="AV133">
        <v>387</v>
      </c>
      <c r="BF133" s="51">
        <v>0.87800967499082005</v>
      </c>
      <c r="BG133" s="1">
        <v>70</v>
      </c>
      <c r="BH133">
        <f t="shared" si="29"/>
        <v>-0.3915634828322011</v>
      </c>
      <c r="BI133">
        <f t="shared" si="30"/>
        <v>-2.7730806794369258E-2</v>
      </c>
      <c r="BJ133">
        <f t="shared" si="28"/>
        <v>-2.4347916660757377E-2</v>
      </c>
    </row>
    <row r="134" spans="1:62" ht="15.6" x14ac:dyDescent="0.35">
      <c r="A134" t="s">
        <v>6</v>
      </c>
      <c r="B134" s="13">
        <v>3</v>
      </c>
      <c r="C134" s="5">
        <v>0</v>
      </c>
      <c r="D134" s="1">
        <v>0</v>
      </c>
      <c r="E134" s="1">
        <v>28</v>
      </c>
      <c r="F134" s="27">
        <v>532</v>
      </c>
      <c r="G134" s="6">
        <v>93</v>
      </c>
      <c r="H134" s="1">
        <f>SUM(C134:G134)</f>
        <v>653</v>
      </c>
      <c r="I134" s="10">
        <f>F134/H134</f>
        <v>0.81470137825421129</v>
      </c>
      <c r="J134" s="11">
        <f>1-I134</f>
        <v>0.18529862174578871</v>
      </c>
      <c r="K134">
        <f>H134-F136</f>
        <v>57</v>
      </c>
      <c r="N134" s="10">
        <f>2*(F137*I134)/(F137+I134)</f>
        <v>0.85188150520416339</v>
      </c>
      <c r="O134" s="1"/>
      <c r="P134" s="1"/>
      <c r="R134" s="16" t="s">
        <v>323</v>
      </c>
      <c r="S134" t="s">
        <v>68</v>
      </c>
      <c r="T134" s="57">
        <f>$AA133*T126/100</f>
        <v>2193.66</v>
      </c>
      <c r="U134" s="57">
        <f>$AA133*U126/100</f>
        <v>8895.8413663909196</v>
      </c>
      <c r="V134" s="57">
        <f>$AA133*V126/100</f>
        <v>105055.80147773691</v>
      </c>
      <c r="W134" s="57">
        <f>$AA133*W126/100</f>
        <v>38850.241020005866</v>
      </c>
      <c r="X134" s="57">
        <f>$AA133*X126/100</f>
        <v>42369.356135866328</v>
      </c>
      <c r="Z134" t="s">
        <v>36</v>
      </c>
      <c r="AA134" s="25">
        <f>SUM(T134:X134)</f>
        <v>197364.90000000002</v>
      </c>
      <c r="AC134" t="s">
        <v>238</v>
      </c>
      <c r="AD134" s="51">
        <v>0.888421052631579</v>
      </c>
      <c r="AE134" s="51">
        <v>0.87998635225912702</v>
      </c>
      <c r="AI134" s="78"/>
      <c r="AJ134" s="115" t="s">
        <v>410</v>
      </c>
      <c r="AK134" s="122" t="s">
        <v>9</v>
      </c>
      <c r="AL134" s="136">
        <f>AVERAGE(AL216:AL235)</f>
        <v>0</v>
      </c>
      <c r="AM134" s="136">
        <f>AVERAGE(AM216:AM235)</f>
        <v>4.1175000000000006</v>
      </c>
      <c r="AN134" s="136">
        <f>AVERAGE(AN216:AN235)</f>
        <v>892.18299999999999</v>
      </c>
      <c r="AO134" s="136">
        <f>AVERAGE(AO216:AO235)</f>
        <v>405.89250000000004</v>
      </c>
      <c r="AP134" s="136">
        <f>AVERAGE(AP216:AP235)</f>
        <v>550.73950000000002</v>
      </c>
      <c r="AQ134" s="107"/>
      <c r="AR134" s="115" t="s">
        <v>36</v>
      </c>
      <c r="AS134" s="137">
        <f>SUM(AL134:AP134)</f>
        <v>1852.9324999999999</v>
      </c>
      <c r="AU134">
        <v>13</v>
      </c>
      <c r="AV134">
        <v>416</v>
      </c>
      <c r="BF134" s="51">
        <v>0.87819171757824999</v>
      </c>
      <c r="BG134" s="1">
        <v>71</v>
      </c>
      <c r="BH134">
        <f t="shared" si="29"/>
        <v>-0.37808387102940144</v>
      </c>
      <c r="BI134">
        <f t="shared" si="30"/>
        <v>-2.6776171015100936E-2</v>
      </c>
      <c r="BJ134">
        <f t="shared" si="28"/>
        <v>-2.3514611613920443E-2</v>
      </c>
    </row>
    <row r="135" spans="1:62" x14ac:dyDescent="0.3">
      <c r="A135" t="s">
        <v>7</v>
      </c>
      <c r="B135" s="13">
        <v>4</v>
      </c>
      <c r="C135" s="7">
        <v>0</v>
      </c>
      <c r="D135" s="8">
        <v>0</v>
      </c>
      <c r="E135" s="8">
        <v>14</v>
      </c>
      <c r="F135" s="8">
        <v>30</v>
      </c>
      <c r="G135" s="28">
        <v>197</v>
      </c>
      <c r="H135" s="1">
        <f>SUM(C135:G135)</f>
        <v>241</v>
      </c>
      <c r="I135" s="10">
        <f>G135/H135</f>
        <v>0.81742738589211617</v>
      </c>
      <c r="J135" s="11">
        <f>1-I135</f>
        <v>0.18257261410788383</v>
      </c>
      <c r="K135">
        <f>H135-G136</f>
        <v>-159</v>
      </c>
      <c r="N135" s="10">
        <f>2*(G137*I135)/(G137+I135)</f>
        <v>0.61466458658346335</v>
      </c>
      <c r="O135" s="1"/>
      <c r="P135" s="1"/>
      <c r="R135" s="66"/>
      <c r="S135" s="66" t="s">
        <v>67</v>
      </c>
      <c r="T135" s="67">
        <f>$AA133*T127/100</f>
        <v>0</v>
      </c>
      <c r="U135" s="67">
        <f>$AA133*U127/100</f>
        <v>224.26846149835717</v>
      </c>
      <c r="V135" s="67">
        <f>$AA133*V127/100</f>
        <v>998.3022804185083</v>
      </c>
      <c r="W135" s="67">
        <f>$AA133*W127/100</f>
        <v>1025.8213461373041</v>
      </c>
      <c r="X135" s="67">
        <f>$AA133*X127/100</f>
        <v>1255.8855024173206</v>
      </c>
      <c r="AA135" s="1"/>
      <c r="AC135" t="s">
        <v>239</v>
      </c>
      <c r="AD135" s="51">
        <v>0.89052631578947306</v>
      </c>
      <c r="AE135" s="51">
        <v>0.88566715471275104</v>
      </c>
      <c r="AH135" s="78"/>
      <c r="AJ135" s="141"/>
      <c r="AK135" s="129" t="s">
        <v>394</v>
      </c>
      <c r="AL135" s="125">
        <f>_xlfn.STDEV.S(AL216:AL235)/SQRT($AK$108)</f>
        <v>0</v>
      </c>
      <c r="AM135" s="125">
        <f>_xlfn.STDEV.S(AM216:AM235)/SQRT($AK$108)</f>
        <v>0.28388459015296269</v>
      </c>
      <c r="AN135" s="125">
        <f>_xlfn.STDEV.S(AN216:AN235)/SQRT($AK$108)</f>
        <v>3.0459367325910343</v>
      </c>
      <c r="AO135" s="125">
        <f>_xlfn.STDEV.S(AO216:AO235)/SQRT($AK$108)</f>
        <v>0.99955276183111597</v>
      </c>
      <c r="AP135" s="125">
        <f>_xlfn.STDEV.S(AP216:AP235)/SQRT($AK$108)</f>
        <v>3.0866219377892858</v>
      </c>
      <c r="AQ135" s="107"/>
      <c r="AR135" s="107"/>
      <c r="AS135" s="107"/>
      <c r="AU135">
        <v>14</v>
      </c>
      <c r="AV135">
        <v>445</v>
      </c>
      <c r="BF135" s="51">
        <v>0.87824694080231902</v>
      </c>
      <c r="BG135" s="1">
        <v>72</v>
      </c>
      <c r="BH135">
        <f t="shared" si="29"/>
        <v>-0.36467261192316763</v>
      </c>
      <c r="BI135">
        <f t="shared" si="30"/>
        <v>-2.5826376022845311E-2</v>
      </c>
      <c r="BJ135">
        <f t="shared" si="28"/>
        <v>-2.2681935734074257E-2</v>
      </c>
    </row>
    <row r="136" spans="1:62" ht="15.6" x14ac:dyDescent="0.35">
      <c r="B136" s="1" t="s">
        <v>19</v>
      </c>
      <c r="C136" s="1">
        <f>SUM(C131:C135)</f>
        <v>56</v>
      </c>
      <c r="D136" s="1">
        <f>SUM(D131:D135)</f>
        <v>99</v>
      </c>
      <c r="E136" s="1">
        <f>SUM(E131:E135)</f>
        <v>1699</v>
      </c>
      <c r="F136" s="1">
        <f>SUM(F131:F135)</f>
        <v>596</v>
      </c>
      <c r="G136" s="1">
        <f>SUM(G131:G135)</f>
        <v>400</v>
      </c>
      <c r="H136" s="1">
        <f>SUM(H130:H135)</f>
        <v>2850</v>
      </c>
      <c r="I136" s="13" t="s">
        <v>12</v>
      </c>
      <c r="N136" s="16" t="s">
        <v>36</v>
      </c>
      <c r="O136" s="1">
        <f>SUM(O131:O135)</f>
        <v>0</v>
      </c>
      <c r="P136" s="1">
        <f>SUM(P131:P135)</f>
        <v>0</v>
      </c>
      <c r="R136" t="s">
        <v>105</v>
      </c>
      <c r="S136" t="s">
        <v>28</v>
      </c>
      <c r="T136" s="57">
        <f>C379</f>
        <v>1.1539944539277247</v>
      </c>
      <c r="U136" s="57">
        <f t="shared" ref="U136:X139" si="31">D379</f>
        <v>4.6084849553998195</v>
      </c>
      <c r="V136" s="57">
        <f t="shared" si="31"/>
        <v>53.56089605055336</v>
      </c>
      <c r="W136" s="57">
        <f t="shared" si="31"/>
        <v>19.171545003679366</v>
      </c>
      <c r="X136" s="57">
        <f t="shared" si="31"/>
        <v>21.505079536439723</v>
      </c>
      <c r="Z136" s="74"/>
      <c r="AA136" s="12"/>
      <c r="AC136" t="s">
        <v>240</v>
      </c>
      <c r="AD136" s="51">
        <v>0.88877192982456099</v>
      </c>
      <c r="AE136" s="51">
        <v>0.88101516219791798</v>
      </c>
      <c r="AI136" s="78"/>
      <c r="AU136">
        <v>15</v>
      </c>
      <c r="AV136">
        <v>474</v>
      </c>
      <c r="BF136" s="51">
        <v>0.87826616146090397</v>
      </c>
      <c r="BG136" s="1">
        <v>73</v>
      </c>
      <c r="BH136">
        <f t="shared" si="29"/>
        <v>-0.35132662732612346</v>
      </c>
      <c r="BI136">
        <f t="shared" si="30"/>
        <v>-2.4881203818163857E-2</v>
      </c>
      <c r="BJ136">
        <f t="shared" si="28"/>
        <v>-2.1852319369905157E-2</v>
      </c>
    </row>
    <row r="137" spans="1:62" x14ac:dyDescent="0.3">
      <c r="A137" s="1" t="s">
        <v>321</v>
      </c>
      <c r="B137" s="1" t="s">
        <v>2</v>
      </c>
      <c r="C137" s="10">
        <f>C131/C136</f>
        <v>1</v>
      </c>
      <c r="D137" s="10">
        <f>D132/D136</f>
        <v>0.90909090909090906</v>
      </c>
      <c r="E137" s="10">
        <f>E133/E136</f>
        <v>0.97410241318422597</v>
      </c>
      <c r="F137" s="10">
        <f>F134/F136</f>
        <v>0.89261744966442957</v>
      </c>
      <c r="G137" s="10">
        <f>G135/G136</f>
        <v>0.49249999999999999</v>
      </c>
      <c r="H137" s="10"/>
      <c r="I137" s="14">
        <f>(C131+D132+E133+F134+G135)/H136</f>
        <v>0.88771929824561402</v>
      </c>
      <c r="S137" s="66" t="s">
        <v>39</v>
      </c>
      <c r="T137" s="67">
        <f>C380</f>
        <v>0</v>
      </c>
      <c r="U137" s="67">
        <f t="shared" si="31"/>
        <v>0.1112095078952092</v>
      </c>
      <c r="V137" s="67">
        <f t="shared" si="31"/>
        <v>0.4745408452174692</v>
      </c>
      <c r="W137" s="67">
        <f t="shared" si="31"/>
        <v>0.51382111472036762</v>
      </c>
      <c r="X137" s="67">
        <f t="shared" si="31"/>
        <v>0.608277847337789</v>
      </c>
      <c r="AC137" t="s">
        <v>241</v>
      </c>
      <c r="AD137" s="51">
        <v>0.88666666666666605</v>
      </c>
      <c r="AE137" s="51">
        <v>0.87853898577419498</v>
      </c>
      <c r="AH137" s="78"/>
      <c r="AU137">
        <v>16</v>
      </c>
      <c r="AV137">
        <v>503</v>
      </c>
      <c r="BF137" s="51">
        <v>0.87842190982081814</v>
      </c>
      <c r="BG137" s="1">
        <v>74</v>
      </c>
      <c r="BH137">
        <f t="shared" si="29"/>
        <v>-0.33804293019912629</v>
      </c>
      <c r="BI137">
        <f t="shared" si="30"/>
        <v>-2.3940442856801341E-2</v>
      </c>
      <c r="BJ137">
        <f t="shared" si="28"/>
        <v>-2.1029809536227597E-2</v>
      </c>
    </row>
    <row r="138" spans="1:62" x14ac:dyDescent="0.3">
      <c r="B138" s="1" t="s">
        <v>14</v>
      </c>
      <c r="C138" s="11">
        <f>1-C137</f>
        <v>0</v>
      </c>
      <c r="D138" s="11">
        <f>1-D137</f>
        <v>9.0909090909090939E-2</v>
      </c>
      <c r="E138" s="11">
        <f>1-E137</f>
        <v>2.5897586815774032E-2</v>
      </c>
      <c r="F138" s="11">
        <f>1-F137</f>
        <v>0.10738255033557043</v>
      </c>
      <c r="G138" s="11">
        <f>1-G137</f>
        <v>0.50750000000000006</v>
      </c>
      <c r="S138" t="s">
        <v>30</v>
      </c>
      <c r="T138" s="57">
        <f>C381</f>
        <v>100</v>
      </c>
      <c r="U138" s="57">
        <f t="shared" si="31"/>
        <v>94.574818383005422</v>
      </c>
      <c r="V138" s="57">
        <f t="shared" si="31"/>
        <v>96.859611469464568</v>
      </c>
      <c r="W138" s="57">
        <f t="shared" si="31"/>
        <v>83.415861462648181</v>
      </c>
      <c r="X138" s="57">
        <f t="shared" si="31"/>
        <v>70.31083700910095</v>
      </c>
      <c r="AA138" s="54"/>
      <c r="AC138" t="s">
        <v>242</v>
      </c>
      <c r="AD138" s="51">
        <v>0.88631578947368395</v>
      </c>
      <c r="AE138" s="51">
        <v>0.880336578795619</v>
      </c>
      <c r="AI138" s="78"/>
      <c r="AU138">
        <v>17</v>
      </c>
      <c r="AV138">
        <v>532</v>
      </c>
      <c r="BF138" s="51">
        <v>0.87853898577419498</v>
      </c>
      <c r="BG138" s="1">
        <v>75</v>
      </c>
      <c r="BH138">
        <f t="shared" si="29"/>
        <v>-0.32481861901855619</v>
      </c>
      <c r="BI138">
        <f t="shared" si="30"/>
        <v>-2.3003887650773207E-2</v>
      </c>
      <c r="BJ138">
        <f t="shared" si="28"/>
        <v>-2.0209812125573823E-2</v>
      </c>
    </row>
    <row r="139" spans="1:62" x14ac:dyDescent="0.3">
      <c r="C139" s="2"/>
      <c r="S139" s="66" t="s">
        <v>39</v>
      </c>
      <c r="T139" s="67">
        <f>C382</f>
        <v>0</v>
      </c>
      <c r="U139" s="67">
        <f t="shared" si="31"/>
        <v>1.9801101205938565</v>
      </c>
      <c r="V139" s="67">
        <f t="shared" si="31"/>
        <v>0.59098620193513141</v>
      </c>
      <c r="W139" s="67">
        <f t="shared" si="31"/>
        <v>3.1701488973560208</v>
      </c>
      <c r="X139" s="67">
        <f t="shared" si="31"/>
        <v>6.2528992233501448</v>
      </c>
      <c r="AC139" t="s">
        <v>243</v>
      </c>
      <c r="AD139" s="51">
        <v>0.888421052631579</v>
      </c>
      <c r="AE139" s="51">
        <v>0.87930535441250901</v>
      </c>
      <c r="AH139" s="78"/>
      <c r="AU139">
        <v>18</v>
      </c>
      <c r="AV139">
        <v>561</v>
      </c>
      <c r="BF139" s="51">
        <v>0.87862456550374324</v>
      </c>
      <c r="BG139" s="1">
        <v>76</v>
      </c>
      <c r="BH139">
        <f t="shared" si="29"/>
        <v>-0.31165087247515011</v>
      </c>
      <c r="BI139">
        <f t="shared" si="30"/>
        <v>-2.2071338392933199E-2</v>
      </c>
      <c r="BJ139">
        <f t="shared" si="28"/>
        <v>-1.939242010557702E-2</v>
      </c>
    </row>
    <row r="140" spans="1:62" ht="15.6" x14ac:dyDescent="0.35">
      <c r="A140" t="s">
        <v>322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100</v>
      </c>
      <c r="U140" s="57">
        <f>I375</f>
        <v>97.826086956521735</v>
      </c>
      <c r="V140" s="57">
        <f>I376</f>
        <v>91.814159292035413</v>
      </c>
      <c r="W140" s="57">
        <f>I377</f>
        <v>81.316998468606428</v>
      </c>
      <c r="X140" s="57">
        <f>I378</f>
        <v>82.987551867219921</v>
      </c>
      <c r="AC140" t="s">
        <v>244</v>
      </c>
      <c r="AD140" s="51">
        <v>0.88947368421052597</v>
      </c>
      <c r="AE140" s="51">
        <v>0.88287247249102196</v>
      </c>
      <c r="AI140" s="78"/>
      <c r="AU140">
        <v>19</v>
      </c>
      <c r="AV140">
        <v>590</v>
      </c>
      <c r="BF140" s="51">
        <v>0.87870789331246424</v>
      </c>
      <c r="BG140" s="1">
        <v>77</v>
      </c>
      <c r="BH140">
        <f t="shared" si="29"/>
        <v>-0.29853694447722279</v>
      </c>
      <c r="BI140">
        <f t="shared" si="30"/>
        <v>-2.1142600603097896E-2</v>
      </c>
      <c r="BJ140">
        <f t="shared" si="28"/>
        <v>-1.8578170035094987E-2</v>
      </c>
    </row>
    <row r="141" spans="1:62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</v>
      </c>
      <c r="U141" s="67">
        <f>J375</f>
        <v>1.5287192313211824</v>
      </c>
      <c r="V141" s="67">
        <f>J376</f>
        <v>0.64492230764642777</v>
      </c>
      <c r="W141" s="67">
        <f>J377</f>
        <v>1.5264767600435056</v>
      </c>
      <c r="X141" s="67">
        <f>J378</f>
        <v>2.425404967738614</v>
      </c>
      <c r="AC141" t="s">
        <v>245</v>
      </c>
      <c r="AD141" s="51">
        <v>0.88350877192982402</v>
      </c>
      <c r="AE141" s="51">
        <v>0.87495272193186402</v>
      </c>
      <c r="AH141" s="78"/>
      <c r="BF141" s="51">
        <v>0.87877925481728503</v>
      </c>
      <c r="BG141" s="1">
        <v>78</v>
      </c>
      <c r="BH141">
        <f t="shared" si="29"/>
        <v>-0.28547415943346122</v>
      </c>
      <c r="BI141">
        <f t="shared" si="30"/>
        <v>-2.0217484793970817E-2</v>
      </c>
      <c r="BJ141">
        <f t="shared" si="28"/>
        <v>-1.7766706221525465E-2</v>
      </c>
    </row>
    <row r="142" spans="1:62" x14ac:dyDescent="0.3">
      <c r="A142" t="s">
        <v>3</v>
      </c>
      <c r="B142" s="13">
        <v>0</v>
      </c>
      <c r="C142" s="29">
        <f>(C131/$L142)*$O142</f>
        <v>1.1043554909893041</v>
      </c>
      <c r="D142" s="31">
        <f>(D131/$L142)*$O142</f>
        <v>0</v>
      </c>
      <c r="E142" s="31">
        <f>(E131/$L142)*$O142</f>
        <v>0</v>
      </c>
      <c r="F142" s="31">
        <f>(F131/$L142)*$O142</f>
        <v>0</v>
      </c>
      <c r="G142" s="32">
        <f>(G131/$L142)*$O142</f>
        <v>0</v>
      </c>
      <c r="H142" s="17">
        <f>SUM(C142:G142)</f>
        <v>1.1043554909893041</v>
      </c>
      <c r="I142" s="17">
        <f>C142/H142*100</f>
        <v>100</v>
      </c>
      <c r="J142" s="17">
        <f>SQRT(I142*(100-I142)/(L142-1))</f>
        <v>0</v>
      </c>
      <c r="K142" s="18">
        <f>100-I142</f>
        <v>0</v>
      </c>
      <c r="L142" s="1">
        <f>H131</f>
        <v>56</v>
      </c>
      <c r="M142">
        <v>0</v>
      </c>
      <c r="N142" s="1">
        <v>2179.61</v>
      </c>
      <c r="O142" s="17">
        <f>N142/N147*100</f>
        <v>1.1043554909893041</v>
      </c>
      <c r="P142" s="52">
        <f>((O142*O142*(I142/100)*(K142/100))/(L142-1))</f>
        <v>0</v>
      </c>
      <c r="S142" s="66" t="s">
        <v>56</v>
      </c>
      <c r="T142" s="67">
        <f>N363*100</f>
        <v>100</v>
      </c>
      <c r="U142" s="67">
        <f>N364*100</f>
        <v>94.736842105263165</v>
      </c>
      <c r="V142" s="67">
        <f>N365*100</f>
        <v>94.775906365972034</v>
      </c>
      <c r="W142" s="67">
        <f>N366*100</f>
        <v>85.232744783306586</v>
      </c>
      <c r="X142" s="67">
        <f>N367*100</f>
        <v>61.633281972265017</v>
      </c>
      <c r="AC142" t="s">
        <v>246</v>
      </c>
      <c r="AD142" s="51">
        <v>0.88877192982456099</v>
      </c>
      <c r="AE142" s="51">
        <v>0.88360137732819399</v>
      </c>
      <c r="AI142" s="78"/>
      <c r="BF142" s="51">
        <v>0.87878663287425896</v>
      </c>
      <c r="BG142" s="1">
        <v>79</v>
      </c>
      <c r="BH142">
        <f t="shared" si="29"/>
        <v>-0.27245990779256396</v>
      </c>
      <c r="BI142">
        <f t="shared" si="30"/>
        <v>-1.9295806155256487E-2</v>
      </c>
      <c r="BJ142">
        <f t="shared" si="28"/>
        <v>-1.6956896519772249E-2</v>
      </c>
    </row>
    <row r="143" spans="1:62" x14ac:dyDescent="0.3">
      <c r="A143" t="s">
        <v>4</v>
      </c>
      <c r="B143" s="13">
        <v>1</v>
      </c>
      <c r="C143" s="33">
        <f t="shared" ref="C143:G146" si="32">(C132/$L143)*$O143</f>
        <v>0</v>
      </c>
      <c r="D143" s="34">
        <f t="shared" si="32"/>
        <v>4.4553979709095302</v>
      </c>
      <c r="E143" s="19">
        <f t="shared" si="32"/>
        <v>9.9008843797989549E-2</v>
      </c>
      <c r="F143" s="18">
        <f t="shared" si="32"/>
        <v>0</v>
      </c>
      <c r="G143" s="20">
        <f t="shared" si="32"/>
        <v>0</v>
      </c>
      <c r="H143" s="17">
        <f>SUM(C143:G143)</f>
        <v>4.5544068147075194</v>
      </c>
      <c r="I143" s="17">
        <f>D143/H143*100</f>
        <v>97.826086956521735</v>
      </c>
      <c r="J143" s="17">
        <f>SQRT(I143*(100-I143)/(L143-1))</f>
        <v>1.5287192313211824</v>
      </c>
      <c r="K143" s="18">
        <f>100-I143</f>
        <v>2.1739130434782652</v>
      </c>
      <c r="L143" s="1">
        <f>H132</f>
        <v>92</v>
      </c>
      <c r="M143">
        <v>1</v>
      </c>
      <c r="N143" s="1">
        <v>8988.7999999999993</v>
      </c>
      <c r="O143" s="17">
        <f>N143/N147*100</f>
        <v>4.5544068147075194</v>
      </c>
      <c r="P143" s="52">
        <f>((O143*O143*(I143/100)*(K143/100))/(L143-1))</f>
        <v>4.8475143050512315E-3</v>
      </c>
      <c r="R143" s="16" t="s">
        <v>66</v>
      </c>
      <c r="S143" t="s">
        <v>9</v>
      </c>
      <c r="T143" s="30">
        <f>N374</f>
        <v>2277.58</v>
      </c>
      <c r="U143" s="30">
        <f>N375</f>
        <v>8793.24</v>
      </c>
      <c r="V143" s="30">
        <f>N376</f>
        <v>111519.5</v>
      </c>
      <c r="W143" s="30">
        <f>N377</f>
        <v>38814.53</v>
      </c>
      <c r="X143" s="30">
        <f>N378</f>
        <v>35960.050000000003</v>
      </c>
      <c r="Z143" t="s">
        <v>36</v>
      </c>
      <c r="AA143" s="1">
        <f>N379</f>
        <v>197364.90000000002</v>
      </c>
      <c r="AC143" t="s">
        <v>247</v>
      </c>
      <c r="AD143" s="51">
        <v>0.884210526315789</v>
      </c>
      <c r="AE143" s="51">
        <v>0.87776559431546897</v>
      </c>
      <c r="AH143" s="78"/>
      <c r="BF143" s="51">
        <v>0.87890202682721197</v>
      </c>
      <c r="BG143" s="1">
        <v>80</v>
      </c>
      <c r="BH143">
        <f t="shared" si="29"/>
        <v>-0.25949164181888412</v>
      </c>
      <c r="BI143">
        <f t="shared" si="30"/>
        <v>-1.8377384254488437E-2</v>
      </c>
      <c r="BJ143">
        <f t="shared" si="28"/>
        <v>-1.6151920269052378E-2</v>
      </c>
    </row>
    <row r="144" spans="1:62" ht="15.6" x14ac:dyDescent="0.35">
      <c r="A144" t="s">
        <v>5</v>
      </c>
      <c r="B144" s="13">
        <v>2</v>
      </c>
      <c r="C144" s="33">
        <f t="shared" si="32"/>
        <v>0</v>
      </c>
      <c r="D144" s="19">
        <f t="shared" si="32"/>
        <v>0.28045977203707367</v>
      </c>
      <c r="E144" s="34">
        <f t="shared" si="32"/>
        <v>51.573435857928544</v>
      </c>
      <c r="F144" s="19">
        <f t="shared" si="32"/>
        <v>1.0595146943622784</v>
      </c>
      <c r="G144" s="20">
        <f t="shared" si="32"/>
        <v>3.4278416582309004</v>
      </c>
      <c r="H144" s="17">
        <f>SUM(C144:G144)</f>
        <v>56.341251982558802</v>
      </c>
      <c r="I144" s="17">
        <f>E144/H144*100</f>
        <v>91.537610619469007</v>
      </c>
      <c r="J144" s="17">
        <f>SQRT(I144*(100-I144)/(L144-1))</f>
        <v>0.65473749435250705</v>
      </c>
      <c r="K144" s="18">
        <f>100-I144</f>
        <v>8.4623893805309933</v>
      </c>
      <c r="L144" s="1">
        <f>H133</f>
        <v>1808</v>
      </c>
      <c r="M144">
        <v>2</v>
      </c>
      <c r="N144" s="1">
        <v>111197.85</v>
      </c>
      <c r="O144" s="17">
        <f>N144/N147*100</f>
        <v>56.341251982558802</v>
      </c>
      <c r="P144" s="52">
        <f>((O144*O144*(I144/100)*(K144/100))/(L144-1))</f>
        <v>0.13607784122081701</v>
      </c>
      <c r="R144" s="16" t="s">
        <v>323</v>
      </c>
      <c r="S144" t="s">
        <v>68</v>
      </c>
      <c r="T144" s="57">
        <f>$AA143*T136/100</f>
        <v>2277.5800000000004</v>
      </c>
      <c r="U144" s="57">
        <f>$AA143*U136/100</f>
        <v>9095.5317237398995</v>
      </c>
      <c r="V144" s="57">
        <f>$AA143*V136/100</f>
        <v>105710.40892927861</v>
      </c>
      <c r="W144" s="57">
        <f>$AA143*W136/100</f>
        <v>37837.90062496678</v>
      </c>
      <c r="X144" s="57">
        <f>$AA143*X136/100</f>
        <v>42443.478722014726</v>
      </c>
      <c r="Z144" t="s">
        <v>36</v>
      </c>
      <c r="AA144" s="25">
        <f>SUM(T144:X144)</f>
        <v>197364.90000000002</v>
      </c>
      <c r="AC144" t="s">
        <v>248</v>
      </c>
      <c r="AD144" s="51">
        <v>0.88701754385964904</v>
      </c>
      <c r="AE144" s="51">
        <v>0.87999896555448498</v>
      </c>
      <c r="AI144" s="78"/>
      <c r="BF144" s="51">
        <v>0.87897921227362596</v>
      </c>
      <c r="BG144" s="1">
        <v>81</v>
      </c>
      <c r="BH144">
        <f t="shared" si="29"/>
        <v>-0.24656687158492113</v>
      </c>
      <c r="BI144">
        <f t="shared" si="30"/>
        <v>-1.7462042753214592E-2</v>
      </c>
      <c r="BJ144">
        <f t="shared" si="28"/>
        <v>-1.534877258390894E-2</v>
      </c>
    </row>
    <row r="145" spans="1:62" x14ac:dyDescent="0.3">
      <c r="A145" t="s">
        <v>6</v>
      </c>
      <c r="B145" s="13">
        <v>3</v>
      </c>
      <c r="C145" s="33">
        <f t="shared" si="32"/>
        <v>0</v>
      </c>
      <c r="D145" s="19">
        <f t="shared" si="32"/>
        <v>0</v>
      </c>
      <c r="E145" s="19">
        <f t="shared" si="32"/>
        <v>0.86782196430042124</v>
      </c>
      <c r="F145" s="34">
        <f t="shared" si="32"/>
        <v>16.488617321708006</v>
      </c>
      <c r="G145" s="20">
        <f t="shared" si="32"/>
        <v>2.8824086671406848</v>
      </c>
      <c r="H145" s="17">
        <f>SUM(C145:G145)</f>
        <v>20.238847953149111</v>
      </c>
      <c r="I145" s="17">
        <f>F145/H145*100</f>
        <v>81.470137825421148</v>
      </c>
      <c r="J145" s="17">
        <f>SQRT(I145*(100-I145)/(L145-1))</f>
        <v>1.5216386193197156</v>
      </c>
      <c r="K145" s="18">
        <f>100-I145</f>
        <v>18.529862174578852</v>
      </c>
      <c r="L145" s="1">
        <f>H134</f>
        <v>653</v>
      </c>
      <c r="M145">
        <v>3</v>
      </c>
      <c r="N145" s="1">
        <v>39944.379999999997</v>
      </c>
      <c r="O145" s="17">
        <f>N145/N147*100</f>
        <v>20.238847953149111</v>
      </c>
      <c r="P145" s="52">
        <f>((O145*O145*(I145/100)*(K145/100))/(L145-1))</f>
        <v>9.4840671395674453E-2</v>
      </c>
      <c r="R145" s="66"/>
      <c r="S145" s="66" t="s">
        <v>67</v>
      </c>
      <c r="T145" s="67">
        <f>$AA143*T137/100</f>
        <v>0</v>
      </c>
      <c r="U145" s="67">
        <f>$AA143*U137/100</f>
        <v>219.48853404787175</v>
      </c>
      <c r="V145" s="67">
        <f>$AA143*V137/100</f>
        <v>936.57706462261297</v>
      </c>
      <c r="W145" s="67">
        <f>$AA143*W137/100</f>
        <v>1014.102529246739</v>
      </c>
      <c r="X145" s="67">
        <f>$AA143*X137/100</f>
        <v>1200.5269651203801</v>
      </c>
      <c r="AA145" s="1"/>
      <c r="AC145" t="s">
        <v>249</v>
      </c>
      <c r="AD145" s="51">
        <v>0.88</v>
      </c>
      <c r="AE145" s="51">
        <v>0.87167002660154003</v>
      </c>
      <c r="AH145" s="78"/>
      <c r="BF145" s="51">
        <v>0.87900662058193801</v>
      </c>
      <c r="BG145" s="1">
        <v>82</v>
      </c>
      <c r="BH145">
        <f t="shared" si="29"/>
        <v>-0.23368316116302504</v>
      </c>
      <c r="BI145">
        <f t="shared" si="30"/>
        <v>-1.6549609137291046E-2</v>
      </c>
      <c r="BJ145">
        <f t="shared" si="28"/>
        <v>-1.4547215999722165E-2</v>
      </c>
    </row>
    <row r="146" spans="1:62" x14ac:dyDescent="0.3">
      <c r="A146" t="s">
        <v>7</v>
      </c>
      <c r="B146" s="13">
        <v>4</v>
      </c>
      <c r="C146" s="35">
        <f t="shared" si="32"/>
        <v>0</v>
      </c>
      <c r="D146" s="36">
        <f t="shared" si="32"/>
        <v>0</v>
      </c>
      <c r="E146" s="21">
        <f t="shared" si="32"/>
        <v>1.0317673386735835</v>
      </c>
      <c r="F146" s="21">
        <f t="shared" si="32"/>
        <v>2.2109300114433932</v>
      </c>
      <c r="G146" s="37">
        <f t="shared" si="32"/>
        <v>14.518440408478281</v>
      </c>
      <c r="H146" s="17">
        <f>SUM(C146:G146)</f>
        <v>17.761137758595257</v>
      </c>
      <c r="I146" s="17">
        <f>G146/H146*100</f>
        <v>81.742738589211612</v>
      </c>
      <c r="J146" s="17">
        <f>SQRT(I146*(100-I146)/(L146-1))</f>
        <v>2.4936574100246278</v>
      </c>
      <c r="K146" s="18">
        <f>100-I146</f>
        <v>18.257261410788388</v>
      </c>
      <c r="L146" s="1">
        <f>H135</f>
        <v>241</v>
      </c>
      <c r="M146">
        <v>4</v>
      </c>
      <c r="N146" s="1">
        <v>35054.25</v>
      </c>
      <c r="O146" s="17">
        <f>N146/N147*100</f>
        <v>17.761137758595257</v>
      </c>
      <c r="P146" s="52">
        <f>((O146*O146*(I146/100)*(K146/100))/(L146-1))</f>
        <v>0.19616211766834907</v>
      </c>
      <c r="R146" t="s">
        <v>106</v>
      </c>
      <c r="S146" t="s">
        <v>28</v>
      </c>
      <c r="T146" s="57">
        <f>C408</f>
        <v>1.1246123297506294</v>
      </c>
      <c r="U146" s="57">
        <f t="shared" ref="U146:X149" si="33">D408</f>
        <v>4.2586550792931082</v>
      </c>
      <c r="V146" s="57">
        <f t="shared" si="33"/>
        <v>54.170107275022779</v>
      </c>
      <c r="W146" s="57">
        <f t="shared" si="33"/>
        <v>19.642858565600754</v>
      </c>
      <c r="X146" s="57">
        <f t="shared" si="33"/>
        <v>20.803766750332727</v>
      </c>
      <c r="Y146" s="60"/>
      <c r="Z146" s="74"/>
      <c r="AA146" s="12"/>
      <c r="AC146" t="s">
        <v>250</v>
      </c>
      <c r="AD146" s="51">
        <v>0.89368421052631497</v>
      </c>
      <c r="AE146" s="51">
        <v>0.88731142765538695</v>
      </c>
      <c r="AI146" s="78"/>
      <c r="BF146" s="51">
        <v>0.87902993352735903</v>
      </c>
      <c r="BG146" s="1">
        <v>83</v>
      </c>
      <c r="BH146">
        <f t="shared" si="29"/>
        <v>-0.2208381250000446</v>
      </c>
      <c r="BI146">
        <f t="shared" si="30"/>
        <v>-1.5639914460132034E-2</v>
      </c>
      <c r="BJ146">
        <f t="shared" si="28"/>
        <v>-1.3747952968263444E-2</v>
      </c>
    </row>
    <row r="147" spans="1:62" x14ac:dyDescent="0.3">
      <c r="B147" t="s">
        <v>28</v>
      </c>
      <c r="C147" s="17">
        <f t="shared" ref="C147:H147" si="34">SUM(C142:C146)</f>
        <v>1.1043554909893041</v>
      </c>
      <c r="D147" s="17">
        <f t="shared" si="34"/>
        <v>4.735857742946604</v>
      </c>
      <c r="E147" s="17">
        <f t="shared" si="34"/>
        <v>53.572034004700534</v>
      </c>
      <c r="F147" s="17">
        <f t="shared" si="34"/>
        <v>19.759062027513679</v>
      </c>
      <c r="G147" s="17">
        <f t="shared" si="34"/>
        <v>20.828690733849868</v>
      </c>
      <c r="H147" s="18">
        <f t="shared" si="34"/>
        <v>100</v>
      </c>
      <c r="I147" s="13" t="s">
        <v>24</v>
      </c>
      <c r="J147" s="12" t="s">
        <v>29</v>
      </c>
      <c r="N147" s="1">
        <f>SUM(N142:N146)</f>
        <v>197364.89</v>
      </c>
      <c r="O147" s="17">
        <f>SUM(O142:O146)</f>
        <v>100</v>
      </c>
      <c r="S147" s="66" t="s">
        <v>39</v>
      </c>
      <c r="T147" s="67">
        <f>C409</f>
        <v>0</v>
      </c>
      <c r="U147" s="67">
        <f t="shared" si="33"/>
        <v>8.9799651285192086E-2</v>
      </c>
      <c r="V147" s="67">
        <f t="shared" si="33"/>
        <v>0.51072499388904413</v>
      </c>
      <c r="W147" s="67">
        <f t="shared" si="33"/>
        <v>0.51841873063367871</v>
      </c>
      <c r="X147" s="67">
        <f t="shared" si="33"/>
        <v>0.63454720831579148</v>
      </c>
      <c r="AC147" t="s">
        <v>251</v>
      </c>
      <c r="AD147" s="51">
        <v>0.87964912280701701</v>
      </c>
      <c r="AE147" s="51">
        <v>0.87346024825622104</v>
      </c>
      <c r="AH147" s="78"/>
      <c r="BF147" s="51">
        <v>0.87904737804209598</v>
      </c>
      <c r="BG147" s="1">
        <v>84</v>
      </c>
      <c r="BH147">
        <f t="shared" si="29"/>
        <v>-0.20802942445987585</v>
      </c>
      <c r="BI147">
        <f t="shared" si="30"/>
        <v>-1.4732793097850746E-2</v>
      </c>
      <c r="BJ147">
        <f t="shared" si="28"/>
        <v>-1.2950823143902387E-2</v>
      </c>
    </row>
    <row r="148" spans="1:62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0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0.11615102760161768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0.48801915926070127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0.51937336837777226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0.61014866252903976</v>
      </c>
      <c r="H148" s="1"/>
      <c r="I148" s="56">
        <f>(C142+D143+E144+F145+G146)/H147</f>
        <v>0.88140247050013665</v>
      </c>
      <c r="J148" s="53">
        <f>SQRT(SUM(P142:P146))/100</f>
        <v>6.5721240447049667E-3</v>
      </c>
      <c r="M148" s="1"/>
      <c r="N148" s="9"/>
      <c r="S148" t="s">
        <v>30</v>
      </c>
      <c r="T148" s="57">
        <f>C410</f>
        <v>100</v>
      </c>
      <c r="U148" s="57">
        <f t="shared" si="33"/>
        <v>97.049651353680787</v>
      </c>
      <c r="V148" s="57">
        <f t="shared" si="33"/>
        <v>95.967485999325589</v>
      </c>
      <c r="W148" s="57">
        <f t="shared" si="33"/>
        <v>83.27022734648925</v>
      </c>
      <c r="X148" s="57">
        <f t="shared" si="33"/>
        <v>67.885194937209036</v>
      </c>
      <c r="AC148" t="s">
        <v>252</v>
      </c>
      <c r="AD148" s="51">
        <v>0.88526315789473597</v>
      </c>
      <c r="AE148" s="51">
        <v>0.87819171757824999</v>
      </c>
      <c r="AI148" s="78"/>
      <c r="BF148" s="51">
        <v>0.87908959808897602</v>
      </c>
      <c r="BG148" s="1">
        <v>85</v>
      </c>
      <c r="BH148">
        <f t="shared" si="29"/>
        <v>-0.19525476451997853</v>
      </c>
      <c r="BI148">
        <f t="shared" si="30"/>
        <v>-1.3828082515304235E-2</v>
      </c>
      <c r="BJ148">
        <f t="shared" si="28"/>
        <v>-1.2156123500719996E-2</v>
      </c>
    </row>
    <row r="149" spans="1:62" x14ac:dyDescent="0.3">
      <c r="B149" s="1" t="s">
        <v>30</v>
      </c>
      <c r="C149" s="17">
        <f>C142/C147*100</f>
        <v>100</v>
      </c>
      <c r="D149" s="17">
        <f>D143/D147*100</f>
        <v>94.07795193057099</v>
      </c>
      <c r="E149" s="17">
        <f>E144/E147*100</f>
        <v>96.269325621281013</v>
      </c>
      <c r="F149" s="17">
        <f>F145/F147*100</f>
        <v>83.448380792308285</v>
      </c>
      <c r="G149" s="17">
        <f>G146/G147*100</f>
        <v>69.704047143412396</v>
      </c>
      <c r="H149" s="1"/>
      <c r="S149" s="66" t="s">
        <v>39</v>
      </c>
      <c r="T149" s="67">
        <f>C411</f>
        <v>0</v>
      </c>
      <c r="U149" s="67">
        <f t="shared" si="33"/>
        <v>1.4988098593454682</v>
      </c>
      <c r="V149" s="67">
        <f t="shared" si="33"/>
        <v>0.68052718278120383</v>
      </c>
      <c r="W149" s="67">
        <f t="shared" si="33"/>
        <v>3.143984191904063</v>
      </c>
      <c r="X149" s="67">
        <f t="shared" si="33"/>
        <v>7.3365521654109527</v>
      </c>
      <c r="AC149" t="s">
        <v>253</v>
      </c>
      <c r="AD149" s="51">
        <v>0.89017543859649095</v>
      </c>
      <c r="AE149" s="51">
        <v>0.88276122933303303</v>
      </c>
      <c r="AH149" s="78"/>
      <c r="BF149" s="51">
        <v>0.87909969567508595</v>
      </c>
      <c r="BG149" s="1">
        <v>86</v>
      </c>
      <c r="BH149">
        <f t="shared" si="29"/>
        <v>-0.1825118906089187</v>
      </c>
      <c r="BI149">
        <f t="shared" si="30"/>
        <v>-1.2925623042125935E-2</v>
      </c>
      <c r="BJ149">
        <f t="shared" si="28"/>
        <v>-1.1362911282743788E-2</v>
      </c>
    </row>
    <row r="150" spans="1:62" x14ac:dyDescent="0.3">
      <c r="B150" s="16" t="s">
        <v>39</v>
      </c>
      <c r="C150" s="18">
        <f>SQRT((C153+C154)/(C147*C147))</f>
        <v>0</v>
      </c>
      <c r="D150" s="18">
        <f>SQRT((D153+D154)/(D147*D147))</f>
        <v>2.047338932457555</v>
      </c>
      <c r="E150" s="18">
        <f>SQRT((E153+E154)/(E147*E147))</f>
        <v>0.63019957064136045</v>
      </c>
      <c r="F150" s="18">
        <f>SQRT((F153+F154)/(F147*F147))</f>
        <v>3.1285994319912076</v>
      </c>
      <c r="G150" s="18">
        <f>SQRT((G153+G154)/(G147*G147))</f>
        <v>6.5942891909798576</v>
      </c>
      <c r="H150" s="1"/>
      <c r="I150" s="14"/>
      <c r="S150" s="15" t="s">
        <v>31</v>
      </c>
      <c r="T150" s="71">
        <f>I403</f>
        <v>100</v>
      </c>
      <c r="U150" s="71">
        <f>I404</f>
        <v>97.826086956521735</v>
      </c>
      <c r="V150" s="71">
        <f>I405</f>
        <v>91.537610619469007</v>
      </c>
      <c r="W150" s="71">
        <f>I406</f>
        <v>81.623277182235825</v>
      </c>
      <c r="X150" s="71">
        <f>I407</f>
        <v>79.253112033195023</v>
      </c>
      <c r="AC150" t="s">
        <v>254</v>
      </c>
      <c r="AD150" s="51">
        <v>0.89192982456140302</v>
      </c>
      <c r="AE150" s="51">
        <v>0.88422422765981801</v>
      </c>
      <c r="AI150" s="78"/>
      <c r="BF150" s="51">
        <v>0.87918450619072674</v>
      </c>
      <c r="BG150" s="1">
        <v>87</v>
      </c>
      <c r="BH150">
        <f t="shared" si="29"/>
        <v>-0.16979858557289609</v>
      </c>
      <c r="BI150">
        <f t="shared" si="30"/>
        <v>-1.2025257657892939E-2</v>
      </c>
      <c r="BJ150">
        <f t="shared" si="28"/>
        <v>-1.0572420215770859E-2</v>
      </c>
    </row>
    <row r="151" spans="1:62" x14ac:dyDescent="0.3">
      <c r="B151" s="1" t="s">
        <v>37</v>
      </c>
      <c r="C151" s="18">
        <f>100-C149</f>
        <v>0</v>
      </c>
      <c r="D151" s="18">
        <f>100-D149</f>
        <v>5.9220480694290103</v>
      </c>
      <c r="E151" s="18">
        <f>100-E149</f>
        <v>3.7306743787189873</v>
      </c>
      <c r="F151" s="18">
        <f>100-F149</f>
        <v>16.551619207691715</v>
      </c>
      <c r="G151" s="18">
        <f>100-G149</f>
        <v>30.295952856587604</v>
      </c>
      <c r="S151" s="75" t="s">
        <v>39</v>
      </c>
      <c r="T151" s="76">
        <f>J403</f>
        <v>0</v>
      </c>
      <c r="U151" s="76">
        <f>J404</f>
        <v>1.5287192313211824</v>
      </c>
      <c r="V151" s="76">
        <f>J405</f>
        <v>0.65473749435250705</v>
      </c>
      <c r="W151" s="76">
        <f>J406</f>
        <v>1.5167613322609963</v>
      </c>
      <c r="X151" s="76">
        <f>J407</f>
        <v>2.617453785307823</v>
      </c>
      <c r="AC151" t="s">
        <v>255</v>
      </c>
      <c r="AD151" s="51">
        <v>0.88105263157894698</v>
      </c>
      <c r="AE151" s="51">
        <v>0.87343598974578895</v>
      </c>
      <c r="AH151" s="78"/>
      <c r="BF151" s="51">
        <v>0.87920593596248087</v>
      </c>
      <c r="BG151" s="1">
        <v>88</v>
      </c>
      <c r="BH151">
        <f t="shared" si="29"/>
        <v>-0.15711266676001351</v>
      </c>
      <c r="BI151">
        <f t="shared" si="30"/>
        <v>-1.1126831785631874E-2</v>
      </c>
      <c r="BJ151">
        <f t="shared" si="28"/>
        <v>-9.7827765543835547E-3</v>
      </c>
    </row>
    <row r="152" spans="1:62" ht="15.6" x14ac:dyDescent="0.35">
      <c r="B152" s="1" t="s">
        <v>25</v>
      </c>
      <c r="C152" s="1">
        <f>C136</f>
        <v>56</v>
      </c>
      <c r="D152" s="1">
        <f>D136</f>
        <v>99</v>
      </c>
      <c r="E152" s="1">
        <f>E136</f>
        <v>1699</v>
      </c>
      <c r="F152" s="1">
        <f>F136</f>
        <v>596</v>
      </c>
      <c r="G152" s="1">
        <f>G136</f>
        <v>400</v>
      </c>
      <c r="S152" s="66" t="s">
        <v>56</v>
      </c>
      <c r="T152" s="67">
        <f>N392*100</f>
        <v>100</v>
      </c>
      <c r="U152" s="67">
        <f>N393*100</f>
        <v>96.774193548387103</v>
      </c>
      <c r="V152" s="67">
        <f>N394*100</f>
        <v>94.43651925820258</v>
      </c>
      <c r="W152" s="67">
        <f>N395*100</f>
        <v>85.28</v>
      </c>
      <c r="X152" s="67">
        <f>N396*100</f>
        <v>59.041731066460592</v>
      </c>
      <c r="AC152" t="s">
        <v>256</v>
      </c>
      <c r="AD152" s="51">
        <v>0.888421052631579</v>
      </c>
      <c r="AE152" s="51">
        <v>0.87800967499082005</v>
      </c>
      <c r="AI152" s="78"/>
      <c r="BF152" s="51">
        <v>0.87924153891075096</v>
      </c>
      <c r="BG152" s="1">
        <v>89</v>
      </c>
      <c r="BH152">
        <f t="shared" si="29"/>
        <v>-0.14445198321177469</v>
      </c>
      <c r="BI152">
        <f t="shared" si="30"/>
        <v>-1.0230193092918755E-2</v>
      </c>
      <c r="BJ152">
        <f t="shared" si="28"/>
        <v>-8.9948107183720205E-3</v>
      </c>
    </row>
    <row r="153" spans="1:62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17.000549373679629</v>
      </c>
      <c r="E153" s="18">
        <f>(O144*O144*(100-E149)*(100-E149)*(I144)*(100-I144))/((L144-1)*100)</f>
        <v>189.39220482893194</v>
      </c>
      <c r="F153" s="18">
        <f>(O145*O145*(100-F149)*(100-F149)*(I145)*(100-I145))/((L145-1)*100)</f>
        <v>2598.2180304856815</v>
      </c>
      <c r="G153" s="18">
        <f>(O146*O146*(100-G149)*(100-G149)*(I146)*(100-I146))/((L146-1)*100)</f>
        <v>18004.637171207607</v>
      </c>
      <c r="R153" s="16" t="s">
        <v>66</v>
      </c>
      <c r="S153" t="s">
        <v>9</v>
      </c>
      <c r="T153" s="30">
        <f>N403</f>
        <v>2219.59</v>
      </c>
      <c r="U153" s="30">
        <f>N404</f>
        <v>8338.3799999999992</v>
      </c>
      <c r="V153" s="30">
        <f>N405</f>
        <v>112086.72</v>
      </c>
      <c r="W153" s="30">
        <f>N406</f>
        <v>39550.35</v>
      </c>
      <c r="X153" s="30">
        <f>N407</f>
        <v>35169.86</v>
      </c>
      <c r="Z153" t="s">
        <v>36</v>
      </c>
      <c r="AA153" s="1">
        <f>N408</f>
        <v>197364.90000000002</v>
      </c>
      <c r="AC153" t="s">
        <v>257</v>
      </c>
      <c r="AD153" s="51">
        <v>0.888421052631579</v>
      </c>
      <c r="AE153" s="51">
        <v>0.88397022463922303</v>
      </c>
      <c r="AH153" s="78"/>
      <c r="BF153" s="51">
        <v>0.87930535441250901</v>
      </c>
      <c r="BG153" s="1">
        <v>90</v>
      </c>
      <c r="BH153">
        <f t="shared" si="29"/>
        <v>-0.13181441295194157</v>
      </c>
      <c r="BI153">
        <f t="shared" si="30"/>
        <v>-9.3351912998739239E-3</v>
      </c>
      <c r="BJ153">
        <f t="shared" si="28"/>
        <v>-8.2084836944442113E-3</v>
      </c>
    </row>
    <row r="154" spans="1:62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77.010042540556555</v>
      </c>
      <c r="E154" s="18">
        <f>E149*E149*(SUM((H142*E142*(1-E131/H131))/(H131-1),(H143*E143*(1-E132/H132))/(H132-1), (H145*E145*(1-E134/H134))/(H134-1),(H146*E146*(1-E135/H135))/(H135-1)))</f>
        <v>950.41783367848927</v>
      </c>
      <c r="F154" s="18">
        <f>F149*F149*(SUM((H142*F142*(1-F131/H131))/(H131-1),(H143*F143*(1-F132/H132))/(H132-1), (H144*F144*(1-F133/H133))/(H133-1),(H146*F146*(1-F135/H135))/(H135-1)))</f>
        <v>1223.2706135634526</v>
      </c>
      <c r="G154" s="18">
        <f>G149*G149*(SUM((H142*G142*(1-G131/H131))/(H131-1),(H143*G143*(1-G132/H132))/(H132-1), (H144*G144*(1-G133/H133))/(H133-1),(H145*G145*(1-G134/H134))/(H134-1)))</f>
        <v>860.49800224442004</v>
      </c>
      <c r="R154" s="16" t="s">
        <v>323</v>
      </c>
      <c r="S154" t="s">
        <v>68</v>
      </c>
      <c r="T154" s="57">
        <f>$AA153*T146/100</f>
        <v>2219.59</v>
      </c>
      <c r="U154" s="57">
        <f>$AA153*U146/100</f>
        <v>8405.0903385917645</v>
      </c>
      <c r="V154" s="57">
        <f>$AA153*V146/100</f>
        <v>106912.77805324145</v>
      </c>
      <c r="W154" s="57">
        <f>$AA153*W146/100</f>
        <v>38768.108165139369</v>
      </c>
      <c r="X154" s="57">
        <f>$AA153*X146/100</f>
        <v>41059.333443027441</v>
      </c>
      <c r="Z154" t="s">
        <v>36</v>
      </c>
      <c r="AA154" s="25">
        <f>SUM(T154:X154)</f>
        <v>197364.90000000002</v>
      </c>
      <c r="AC154" t="s">
        <v>258</v>
      </c>
      <c r="AD154" s="51">
        <v>0.88631578947368395</v>
      </c>
      <c r="AE154" s="51">
        <v>0.87739635944444105</v>
      </c>
      <c r="AI154" s="78"/>
      <c r="BF154" s="51">
        <v>0.87936753679294399</v>
      </c>
      <c r="BG154" s="1">
        <v>91</v>
      </c>
      <c r="BH154">
        <f t="shared" si="29"/>
        <v>-0.11919786036346161</v>
      </c>
      <c r="BI154">
        <f t="shared" si="30"/>
        <v>-8.4416779933941481E-3</v>
      </c>
      <c r="BJ154">
        <f t="shared" si="28"/>
        <v>-7.4233375834502138E-3</v>
      </c>
    </row>
    <row r="155" spans="1:62" x14ac:dyDescent="0.3">
      <c r="A155" s="105" t="s">
        <v>390</v>
      </c>
      <c r="B155" s="69" t="s">
        <v>9</v>
      </c>
      <c r="C155" s="1">
        <v>261.45</v>
      </c>
      <c r="D155" s="1">
        <v>1841.63</v>
      </c>
      <c r="E155" s="1">
        <v>15194.86</v>
      </c>
      <c r="F155" s="1">
        <v>1710.17</v>
      </c>
      <c r="G155" s="1">
        <v>3082.55</v>
      </c>
      <c r="I155" t="s">
        <v>36</v>
      </c>
      <c r="J155" s="57">
        <f>SUM(C155:G155)</f>
        <v>22090.66</v>
      </c>
      <c r="R155" s="66"/>
      <c r="S155" s="66" t="s">
        <v>67</v>
      </c>
      <c r="T155" s="67">
        <f>$AA153*T147/100</f>
        <v>0</v>
      </c>
      <c r="U155" s="67">
        <f>$AA153*U147/100</f>
        <v>177.23299195936809</v>
      </c>
      <c r="V155" s="67">
        <f>$AA153*V147/100</f>
        <v>1007.9918734641183</v>
      </c>
      <c r="W155" s="67">
        <f>$AA153*W147/100</f>
        <v>1023.1766092964295</v>
      </c>
      <c r="X155" s="67">
        <f>$AA153*X147/100</f>
        <v>1252.3734631452537</v>
      </c>
      <c r="AA155" s="1"/>
      <c r="AC155" t="s">
        <v>259</v>
      </c>
      <c r="AD155" s="51">
        <v>0.89052631578947306</v>
      </c>
      <c r="AE155" s="51">
        <v>0.88426514683341495</v>
      </c>
      <c r="AH155" s="78"/>
      <c r="BF155" s="51">
        <v>0.87947069015013002</v>
      </c>
      <c r="BG155" s="1">
        <v>92</v>
      </c>
      <c r="BH155">
        <f t="shared" si="29"/>
        <v>-0.10660025364469777</v>
      </c>
      <c r="BI155">
        <f t="shared" si="30"/>
        <v>-7.5495064470010092E-3</v>
      </c>
      <c r="BJ155">
        <f t="shared" si="28"/>
        <v>-6.6395696452368333E-3</v>
      </c>
    </row>
    <row r="156" spans="1:62" x14ac:dyDescent="0.3">
      <c r="B156" t="s">
        <v>391</v>
      </c>
      <c r="C156" s="57">
        <f>(C155/$J155)*100</f>
        <v>1.1835318636926193</v>
      </c>
      <c r="D156" s="57">
        <f>(D155/$J155)*100</f>
        <v>8.3366907100104761</v>
      </c>
      <c r="E156" s="57">
        <f>(E155/$J155)*100</f>
        <v>68.784092462606367</v>
      </c>
      <c r="F156" s="57">
        <f>(F155/$J155)*100</f>
        <v>7.7415975801537851</v>
      </c>
      <c r="G156" s="57">
        <f>(G155/$J155)*100</f>
        <v>13.954087383536754</v>
      </c>
      <c r="R156" t="s">
        <v>107</v>
      </c>
      <c r="S156" t="s">
        <v>28</v>
      </c>
      <c r="T156" s="57">
        <f>C437</f>
        <v>1.1041730877259883</v>
      </c>
      <c r="U156" s="57">
        <f t="shared" ref="U156:X159" si="35">D437</f>
        <v>4.5430844966698016</v>
      </c>
      <c r="V156" s="57">
        <f t="shared" si="35"/>
        <v>53.447501247992115</v>
      </c>
      <c r="W156" s="57">
        <f t="shared" si="35"/>
        <v>19.490188784180638</v>
      </c>
      <c r="X156" s="57">
        <f t="shared" si="35"/>
        <v>21.415052383431455</v>
      </c>
      <c r="Z156" s="74"/>
      <c r="AA156" s="12"/>
      <c r="AC156" t="s">
        <v>260</v>
      </c>
      <c r="AD156" s="51">
        <v>0.88561403508771896</v>
      </c>
      <c r="AE156" s="51">
        <v>0.87826616146090397</v>
      </c>
      <c r="AI156" s="78"/>
      <c r="BF156" s="51">
        <v>0.87948140821410803</v>
      </c>
      <c r="BG156" s="1">
        <v>93</v>
      </c>
      <c r="BH156">
        <f t="shared" si="29"/>
        <v>-9.4019542336647222E-2</v>
      </c>
      <c r="BI156">
        <f t="shared" si="30"/>
        <v>-6.6585314457167574E-3</v>
      </c>
      <c r="BJ156">
        <f t="shared" si="28"/>
        <v>-5.8560546125168943E-3</v>
      </c>
    </row>
    <row r="157" spans="1:62" x14ac:dyDescent="0.3">
      <c r="A157" s="361">
        <v>1988</v>
      </c>
      <c r="B157" s="361"/>
      <c r="C157" s="361"/>
      <c r="D157" s="361"/>
      <c r="E157" s="361"/>
      <c r="F157" s="361"/>
      <c r="G157" s="361"/>
      <c r="H157" s="361"/>
      <c r="I157" s="361"/>
      <c r="J157" s="361"/>
      <c r="K157" s="361"/>
      <c r="L157" s="361" t="s">
        <v>83</v>
      </c>
      <c r="M157" s="361"/>
      <c r="N157" s="361"/>
      <c r="O157" s="361"/>
      <c r="P157" s="361"/>
      <c r="S157" s="66" t="s">
        <v>39</v>
      </c>
      <c r="T157" s="67">
        <f>C438</f>
        <v>0</v>
      </c>
      <c r="U157" s="67">
        <f t="shared" si="35"/>
        <v>0.11678890340859759</v>
      </c>
      <c r="V157" s="67">
        <f t="shared" si="35"/>
        <v>0.49076333280444884</v>
      </c>
      <c r="W157" s="67">
        <f t="shared" si="35"/>
        <v>0.51616259013280263</v>
      </c>
      <c r="X157" s="67">
        <f t="shared" si="35"/>
        <v>0.62502222532321206</v>
      </c>
      <c r="AC157" t="s">
        <v>261</v>
      </c>
      <c r="AD157" s="51">
        <v>0.89122807017543804</v>
      </c>
      <c r="AE157" s="51">
        <v>0.88379972251677996</v>
      </c>
      <c r="AH157" s="78"/>
      <c r="BF157" s="51">
        <v>0.879501953761466</v>
      </c>
      <c r="BG157" s="1">
        <v>94</v>
      </c>
      <c r="BH157">
        <f t="shared" si="29"/>
        <v>-8.1453694913247957E-2</v>
      </c>
      <c r="BI157">
        <f t="shared" si="30"/>
        <v>-5.7686091154080963E-3</v>
      </c>
      <c r="BJ157">
        <f t="shared" si="28"/>
        <v>-5.0735029874876226E-3</v>
      </c>
    </row>
    <row r="158" spans="1:62" x14ac:dyDescent="0.3">
      <c r="A158" t="s">
        <v>320</v>
      </c>
      <c r="B158" t="s">
        <v>21</v>
      </c>
      <c r="I158" s="1" t="s">
        <v>58</v>
      </c>
      <c r="O158" s="360" t="s">
        <v>411</v>
      </c>
      <c r="P158" s="360"/>
      <c r="S158" t="s">
        <v>30</v>
      </c>
      <c r="T158" s="57">
        <f>C439</f>
        <v>100</v>
      </c>
      <c r="U158" s="57">
        <f t="shared" si="35"/>
        <v>95.192917736468104</v>
      </c>
      <c r="V158" s="57">
        <f t="shared" si="35"/>
        <v>96.664554764235177</v>
      </c>
      <c r="W158" s="57">
        <f t="shared" si="35"/>
        <v>83.269502278301715</v>
      </c>
      <c r="X158" s="57">
        <f t="shared" si="35"/>
        <v>69.434048439830335</v>
      </c>
      <c r="AC158" t="s">
        <v>262</v>
      </c>
      <c r="AD158" s="51">
        <v>0.89543859649122803</v>
      </c>
      <c r="AE158" s="51">
        <v>0.88599003790031206</v>
      </c>
      <c r="AI158" s="78"/>
      <c r="BF158" s="51">
        <v>0.87962207374296897</v>
      </c>
      <c r="BG158" s="1">
        <v>95</v>
      </c>
      <c r="BH158">
        <f t="shared" si="29"/>
        <v>-6.8900696427226377E-2</v>
      </c>
      <c r="BI158">
        <f t="shared" si="30"/>
        <v>-4.8795967560634193E-3</v>
      </c>
      <c r="BJ158">
        <f t="shared" si="28"/>
        <v>-4.2922010175979689E-3</v>
      </c>
    </row>
    <row r="159" spans="1:62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56</v>
      </c>
      <c r="O159" s="13" t="s">
        <v>412</v>
      </c>
      <c r="P159" s="13" t="s">
        <v>41</v>
      </c>
      <c r="S159" s="66" t="s">
        <v>39</v>
      </c>
      <c r="T159" s="67">
        <f>C440</f>
        <v>0</v>
      </c>
      <c r="U159" s="67">
        <f t="shared" si="35"/>
        <v>1.9383265865822372</v>
      </c>
      <c r="V159" s="67">
        <f t="shared" si="35"/>
        <v>0.63154101396241336</v>
      </c>
      <c r="W159" s="67">
        <f t="shared" si="35"/>
        <v>3.1167901327663534</v>
      </c>
      <c r="X159" s="67">
        <f t="shared" si="35"/>
        <v>6.7069589347214364</v>
      </c>
      <c r="AC159" t="s">
        <v>263</v>
      </c>
      <c r="AD159" s="51">
        <v>0.89403508771929796</v>
      </c>
      <c r="AE159" s="51">
        <v>0.88544090591215596</v>
      </c>
      <c r="AH159" s="78"/>
      <c r="BF159" s="51">
        <v>0.87964557216249595</v>
      </c>
      <c r="BG159" s="1">
        <v>96</v>
      </c>
      <c r="BH159">
        <f t="shared" si="29"/>
        <v>-5.6358546204254636E-2</v>
      </c>
      <c r="BI159">
        <f t="shared" si="30"/>
        <v>-3.9913526784913769E-3</v>
      </c>
      <c r="BJ159">
        <f t="shared" si="28"/>
        <v>-3.5109757105738579E-3</v>
      </c>
    </row>
    <row r="160" spans="1:62" x14ac:dyDescent="0.3">
      <c r="A160" t="s">
        <v>3</v>
      </c>
      <c r="B160" s="13">
        <v>0</v>
      </c>
      <c r="C160" s="26">
        <v>56</v>
      </c>
      <c r="D160" s="3">
        <v>0</v>
      </c>
      <c r="E160" s="3">
        <v>0</v>
      </c>
      <c r="F160" s="3">
        <v>0</v>
      </c>
      <c r="G160" s="4">
        <v>0</v>
      </c>
      <c r="H160" s="1">
        <f>SUM(C160:G160)</f>
        <v>56</v>
      </c>
      <c r="I160" s="10">
        <f>C160/H160</f>
        <v>1</v>
      </c>
      <c r="J160" s="11">
        <f>1-I160</f>
        <v>0</v>
      </c>
      <c r="K160">
        <f>H160-C165</f>
        <v>0</v>
      </c>
      <c r="N160" s="10">
        <f>2*(C166*I160)/(C166+I160)</f>
        <v>1</v>
      </c>
      <c r="O160" s="1"/>
      <c r="P160" s="1"/>
      <c r="S160" s="15" t="s">
        <v>31</v>
      </c>
      <c r="T160" s="71">
        <f>I432</f>
        <v>100</v>
      </c>
      <c r="U160" s="71">
        <f>I433</f>
        <v>96.739130434782595</v>
      </c>
      <c r="V160" s="71">
        <f>I434</f>
        <v>91.592920353982294</v>
      </c>
      <c r="W160" s="71">
        <f>I435</f>
        <v>82.235834609494631</v>
      </c>
      <c r="X160" s="71">
        <f>I436</f>
        <v>81.327800829875514</v>
      </c>
      <c r="AC160" t="s">
        <v>264</v>
      </c>
      <c r="AD160" s="51">
        <v>0.88912280701754298</v>
      </c>
      <c r="AE160" s="51">
        <v>0.88179813450643096</v>
      </c>
      <c r="AI160" s="78"/>
      <c r="BF160" s="51">
        <v>0.87968167495567395</v>
      </c>
      <c r="BG160" s="1">
        <v>97</v>
      </c>
      <c r="BH160">
        <f t="shared" si="29"/>
        <v>-4.382525557845094E-2</v>
      </c>
      <c r="BI160">
        <f t="shared" si="30"/>
        <v>-3.1037360439473871E-3</v>
      </c>
      <c r="BJ160">
        <f t="shared" si="28"/>
        <v>-2.7302997217599346E-3</v>
      </c>
    </row>
    <row r="161" spans="1:62" x14ac:dyDescent="0.3">
      <c r="A161" t="s">
        <v>4</v>
      </c>
      <c r="B161" s="13">
        <v>1</v>
      </c>
      <c r="C161" s="5">
        <v>0</v>
      </c>
      <c r="D161" s="27">
        <v>90</v>
      </c>
      <c r="E161" s="1">
        <v>2</v>
      </c>
      <c r="F161" s="1">
        <v>0</v>
      </c>
      <c r="G161" s="6">
        <v>0</v>
      </c>
      <c r="H161" s="1">
        <f>SUM(C161:G161)</f>
        <v>92</v>
      </c>
      <c r="I161" s="10">
        <f>D161/H161</f>
        <v>0.97826086956521741</v>
      </c>
      <c r="J161" s="11">
        <f>1-I161</f>
        <v>2.1739130434782594E-2</v>
      </c>
      <c r="K161">
        <f>H161-D165</f>
        <v>-6</v>
      </c>
      <c r="N161" s="10">
        <f>2*(D166*I161)/(D166+I161)</f>
        <v>0.94736842105263164</v>
      </c>
      <c r="O161" s="1"/>
      <c r="P161" s="1"/>
      <c r="S161" s="75" t="s">
        <v>39</v>
      </c>
      <c r="T161" s="76">
        <f>J432</f>
        <v>0</v>
      </c>
      <c r="U161" s="76">
        <f>J433</f>
        <v>1.8618603664560864</v>
      </c>
      <c r="V161" s="76">
        <f>J434</f>
        <v>0.65279145031339136</v>
      </c>
      <c r="W161" s="76">
        <f>J435</f>
        <v>1.4968530214541313</v>
      </c>
      <c r="X161" s="76">
        <f>J436</f>
        <v>2.5154264840211913</v>
      </c>
      <c r="AC161" t="s">
        <v>265</v>
      </c>
      <c r="AD161" s="51">
        <v>0.88561403508771896</v>
      </c>
      <c r="AE161" s="51">
        <v>0.87606295632145903</v>
      </c>
      <c r="AH161" s="78"/>
      <c r="BF161" s="51">
        <v>0.87973427436595097</v>
      </c>
      <c r="BG161" s="1">
        <v>98</v>
      </c>
      <c r="BH161">
        <f t="shared" si="29"/>
        <v>-3.1298845662488722E-2</v>
      </c>
      <c r="BI161">
        <f t="shared" si="30"/>
        <v>-2.2166067062111641E-3</v>
      </c>
      <c r="BJ161">
        <f t="shared" si="28"/>
        <v>-1.9500248922433791E-3</v>
      </c>
    </row>
    <row r="162" spans="1:62" x14ac:dyDescent="0.3">
      <c r="A162" t="s">
        <v>5</v>
      </c>
      <c r="B162" s="13">
        <v>2</v>
      </c>
      <c r="C162" s="5">
        <v>0</v>
      </c>
      <c r="D162" s="1">
        <v>8</v>
      </c>
      <c r="E162" s="27">
        <v>1653</v>
      </c>
      <c r="F162" s="1">
        <v>32</v>
      </c>
      <c r="G162" s="6">
        <v>115</v>
      </c>
      <c r="H162" s="1">
        <f>SUM(C162:G162)</f>
        <v>1808</v>
      </c>
      <c r="I162" s="10">
        <f>E162/H162</f>
        <v>0.91426991150442483</v>
      </c>
      <c r="J162" s="11">
        <f>1-I162</f>
        <v>8.5730088495575174E-2</v>
      </c>
      <c r="K162">
        <f>H162-E165</f>
        <v>126</v>
      </c>
      <c r="N162" s="10">
        <f>2*(E166*I162)/(E166+I162)</f>
        <v>0.94727793696275064</v>
      </c>
      <c r="O162" s="1"/>
      <c r="P162" s="1"/>
      <c r="S162" s="66" t="s">
        <v>56</v>
      </c>
      <c r="T162" s="67">
        <f>N421*100</f>
        <v>100</v>
      </c>
      <c r="U162" s="67">
        <f>N422*100</f>
        <v>94.680851063829792</v>
      </c>
      <c r="V162" s="67">
        <f>N423*100</f>
        <v>94.709751215327415</v>
      </c>
      <c r="W162" s="67">
        <f>N424*100</f>
        <v>85.714285714285708</v>
      </c>
      <c r="X162" s="67">
        <f>N425*100</f>
        <v>60.307692307692307</v>
      </c>
      <c r="AC162" t="s">
        <v>266</v>
      </c>
      <c r="AD162" s="51">
        <v>0.89087719298245605</v>
      </c>
      <c r="AE162" s="51">
        <v>0.88521242606273398</v>
      </c>
      <c r="AI162" s="78"/>
      <c r="BF162" s="56">
        <v>0.87976884387895549</v>
      </c>
      <c r="BG162" s="1">
        <v>99</v>
      </c>
      <c r="BH162">
        <f t="shared" si="29"/>
        <v>-1.8777345145768697E-2</v>
      </c>
      <c r="BI162">
        <f t="shared" si="30"/>
        <v>-1.3298250556516842E-3</v>
      </c>
      <c r="BJ162">
        <f t="shared" si="28"/>
        <v>-1.1699386517719499E-3</v>
      </c>
    </row>
    <row r="163" spans="1:62" x14ac:dyDescent="0.3">
      <c r="A163" t="s">
        <v>6</v>
      </c>
      <c r="B163" s="13">
        <v>3</v>
      </c>
      <c r="C163" s="5">
        <v>0</v>
      </c>
      <c r="D163" s="1">
        <v>0</v>
      </c>
      <c r="E163" s="1">
        <v>12</v>
      </c>
      <c r="F163" s="27">
        <v>545</v>
      </c>
      <c r="G163" s="6">
        <v>96</v>
      </c>
      <c r="H163" s="1">
        <f>SUM(C163:G163)</f>
        <v>653</v>
      </c>
      <c r="I163" s="10">
        <f>F163/H163</f>
        <v>0.83460949464012246</v>
      </c>
      <c r="J163" s="11">
        <f>1-I163</f>
        <v>0.16539050535987754</v>
      </c>
      <c r="K163">
        <f>H163-F165</f>
        <v>49</v>
      </c>
      <c r="N163" s="10">
        <f>2*(F166*I163)/(F166+I163)</f>
        <v>0.86714399363564043</v>
      </c>
      <c r="O163" s="1"/>
      <c r="P163" s="1"/>
      <c r="R163" s="16" t="s">
        <v>66</v>
      </c>
      <c r="S163" t="s">
        <v>9</v>
      </c>
      <c r="T163" s="30">
        <f>N432</f>
        <v>2179.25</v>
      </c>
      <c r="U163" s="30">
        <f>N433</f>
        <v>8823.14</v>
      </c>
      <c r="V163" s="30">
        <f>N434</f>
        <v>111327.55</v>
      </c>
      <c r="W163" s="30">
        <f>N435</f>
        <v>38950.300000000003</v>
      </c>
      <c r="X163" s="30">
        <f>N436</f>
        <v>36084.65</v>
      </c>
      <c r="Z163" t="s">
        <v>36</v>
      </c>
      <c r="AA163" s="1">
        <f>N437</f>
        <v>197364.88999999998</v>
      </c>
      <c r="AC163" t="s">
        <v>267</v>
      </c>
      <c r="AD163" s="51">
        <v>0.88666666666666605</v>
      </c>
      <c r="AE163" s="51">
        <v>0.87794834096001495</v>
      </c>
      <c r="AH163" s="78"/>
      <c r="BF163" s="51">
        <v>0.87982799107646703</v>
      </c>
      <c r="BG163" s="1">
        <v>100</v>
      </c>
      <c r="BH163">
        <f t="shared" si="29"/>
        <v>-6.2587881142602613E-3</v>
      </c>
      <c r="BI163">
        <f t="shared" si="30"/>
        <v>-4.4325186482679023E-4</v>
      </c>
      <c r="BJ163">
        <f t="shared" si="28"/>
        <v>-3.8998539777145258E-4</v>
      </c>
    </row>
    <row r="164" spans="1:62" ht="15.6" x14ac:dyDescent="0.35">
      <c r="A164" t="s">
        <v>7</v>
      </c>
      <c r="B164" s="13">
        <v>4</v>
      </c>
      <c r="C164" s="7">
        <v>0</v>
      </c>
      <c r="D164" s="8">
        <v>0</v>
      </c>
      <c r="E164" s="8">
        <v>15</v>
      </c>
      <c r="F164" s="8">
        <v>27</v>
      </c>
      <c r="G164" s="28">
        <v>199</v>
      </c>
      <c r="H164" s="1">
        <f>SUM(C164:G164)</f>
        <v>241</v>
      </c>
      <c r="I164" s="10">
        <f>G164/H164</f>
        <v>0.82572614107883813</v>
      </c>
      <c r="J164" s="11">
        <f>1-I164</f>
        <v>0.17427385892116187</v>
      </c>
      <c r="K164">
        <f>H164-G165</f>
        <v>-169</v>
      </c>
      <c r="N164" s="10">
        <f>2*(G166*I164)/(G166+I164)</f>
        <v>0.61136712749615973</v>
      </c>
      <c r="O164" s="1"/>
      <c r="P164" s="1"/>
      <c r="R164" s="16" t="s">
        <v>323</v>
      </c>
      <c r="S164" t="s">
        <v>68</v>
      </c>
      <c r="T164" s="57">
        <f>$AA163*T156/100</f>
        <v>2179.2500000000005</v>
      </c>
      <c r="U164" s="57">
        <f>$AA163*U156/100</f>
        <v>8966.4537194594068</v>
      </c>
      <c r="V164" s="57">
        <f>$AA163*V156/100</f>
        <v>105486.60204584825</v>
      </c>
      <c r="W164" s="57">
        <f>$AA163*W156/100</f>
        <v>38466.789654690452</v>
      </c>
      <c r="X164" s="57">
        <f>$AA163*X156/100</f>
        <v>42265.794580001872</v>
      </c>
      <c r="Z164" t="s">
        <v>36</v>
      </c>
      <c r="AA164" s="25">
        <f>SUM(T164:X164)</f>
        <v>197364.88999999998</v>
      </c>
      <c r="AC164" t="s">
        <v>268</v>
      </c>
      <c r="AD164" s="51">
        <v>0.88526315789473597</v>
      </c>
      <c r="AE164" s="51">
        <v>0.87755844087130297</v>
      </c>
      <c r="AI164" s="78"/>
      <c r="BF164" s="51">
        <v>0.87982946050881505</v>
      </c>
      <c r="BG164" s="1">
        <v>101</v>
      </c>
      <c r="BH164">
        <f t="shared" si="29"/>
        <v>6.2587881142602613E-3</v>
      </c>
      <c r="BI164">
        <f t="shared" si="30"/>
        <v>4.4325186482679023E-4</v>
      </c>
      <c r="BJ164">
        <f t="shared" si="28"/>
        <v>3.8998604910008109E-4</v>
      </c>
    </row>
    <row r="165" spans="1:62" ht="15.6" x14ac:dyDescent="0.35">
      <c r="B165" s="1" t="s">
        <v>19</v>
      </c>
      <c r="C165" s="1">
        <f>SUM(C160:C164)</f>
        <v>56</v>
      </c>
      <c r="D165" s="1">
        <f>SUM(D160:D164)</f>
        <v>98</v>
      </c>
      <c r="E165" s="1">
        <f>SUM(E160:E164)</f>
        <v>1682</v>
      </c>
      <c r="F165" s="1">
        <f>SUM(F160:F164)</f>
        <v>604</v>
      </c>
      <c r="G165" s="1">
        <f>SUM(G160:G164)</f>
        <v>410</v>
      </c>
      <c r="H165" s="1">
        <f>SUM(H159:H164)</f>
        <v>2850</v>
      </c>
      <c r="I165" s="13" t="s">
        <v>12</v>
      </c>
      <c r="N165" s="16" t="s">
        <v>36</v>
      </c>
      <c r="O165" s="1">
        <f>SUM(O160:O164)</f>
        <v>0</v>
      </c>
      <c r="P165" s="1">
        <f>SUM(P160:P164)</f>
        <v>0</v>
      </c>
      <c r="R165" s="66"/>
      <c r="S165" s="66" t="s">
        <v>67</v>
      </c>
      <c r="T165" s="67">
        <f>$AA163*T157/100</f>
        <v>0</v>
      </c>
      <c r="U165" s="67">
        <f>$AA163*U157/100</f>
        <v>230.50029074458485</v>
      </c>
      <c r="V165" s="67">
        <f>$AA163*V157/100</f>
        <v>968.59451194983421</v>
      </c>
      <c r="W165" s="67">
        <f>$AA163*W157/100</f>
        <v>1018.7237282367568</v>
      </c>
      <c r="X165" s="67">
        <f>$AA163*X157/100</f>
        <v>1233.5744274847095</v>
      </c>
      <c r="AA165" s="1"/>
      <c r="AC165" t="s">
        <v>269</v>
      </c>
      <c r="AD165" s="51">
        <v>0.88666666666666605</v>
      </c>
      <c r="AE165" s="51">
        <v>0.87788575305601002</v>
      </c>
      <c r="AH165" s="78"/>
      <c r="BF165" s="51">
        <v>0.87985640297332501</v>
      </c>
      <c r="BG165" s="1">
        <v>102</v>
      </c>
      <c r="BH165">
        <f t="shared" si="29"/>
        <v>1.8777345145768697E-2</v>
      </c>
      <c r="BI165">
        <f t="shared" si="30"/>
        <v>1.3298250556516842E-3</v>
      </c>
      <c r="BJ165">
        <f t="shared" si="28"/>
        <v>1.1700550900494925E-3</v>
      </c>
    </row>
    <row r="166" spans="1:62" x14ac:dyDescent="0.3">
      <c r="A166" s="1" t="s">
        <v>321</v>
      </c>
      <c r="B166" s="1" t="s">
        <v>2</v>
      </c>
      <c r="C166" s="10">
        <f>C160/C165</f>
        <v>1</v>
      </c>
      <c r="D166" s="10">
        <f>D161/D165</f>
        <v>0.91836734693877553</v>
      </c>
      <c r="E166" s="10">
        <f>E162/E165</f>
        <v>0.98275862068965514</v>
      </c>
      <c r="F166" s="10">
        <f>F163/F165</f>
        <v>0.90231788079470199</v>
      </c>
      <c r="G166" s="10">
        <f>G164/G165</f>
        <v>0.48536585365853657</v>
      </c>
      <c r="H166" s="10"/>
      <c r="I166" s="14">
        <f>(C160+D161+E162+F163+G164)/H165</f>
        <v>0.89228070175438601</v>
      </c>
      <c r="R166" t="s">
        <v>108</v>
      </c>
      <c r="S166" t="s">
        <v>28</v>
      </c>
      <c r="T166" s="57">
        <f>C466</f>
        <v>1.1300894941299084</v>
      </c>
      <c r="U166" s="57">
        <f t="shared" ref="U166:X169" si="36">D466</f>
        <v>4.2244264894066363</v>
      </c>
      <c r="V166" s="57">
        <f t="shared" si="36"/>
        <v>54.162017800361355</v>
      </c>
      <c r="W166" s="57">
        <f t="shared" si="36"/>
        <v>19.789988354522663</v>
      </c>
      <c r="X166" s="57">
        <f t="shared" si="36"/>
        <v>20.693477861579428</v>
      </c>
      <c r="Z166" s="74"/>
      <c r="AA166" s="12"/>
      <c r="AC166" t="s">
        <v>270</v>
      </c>
      <c r="AD166" s="51">
        <v>0.88701754385964904</v>
      </c>
      <c r="AE166" s="51">
        <v>0.88015776433993798</v>
      </c>
      <c r="AI166" s="78"/>
      <c r="BF166" s="51">
        <v>0.87986960282131899</v>
      </c>
      <c r="BG166" s="1">
        <v>103</v>
      </c>
      <c r="BH166">
        <f t="shared" si="29"/>
        <v>3.1298845662488868E-2</v>
      </c>
      <c r="BI166">
        <f t="shared" si="30"/>
        <v>2.2166067062111745E-3</v>
      </c>
      <c r="BJ166">
        <f t="shared" si="28"/>
        <v>1.9503248622050981E-3</v>
      </c>
    </row>
    <row r="167" spans="1:62" x14ac:dyDescent="0.3">
      <c r="B167" s="1" t="s">
        <v>14</v>
      </c>
      <c r="C167" s="11">
        <f>1-C166</f>
        <v>0</v>
      </c>
      <c r="D167" s="11">
        <f>1-D166</f>
        <v>8.1632653061224469E-2</v>
      </c>
      <c r="E167" s="11">
        <f>1-E166</f>
        <v>1.7241379310344862E-2</v>
      </c>
      <c r="F167" s="11">
        <f>1-F166</f>
        <v>9.7682119205298013E-2</v>
      </c>
      <c r="G167" s="11">
        <f>1-G166</f>
        <v>0.51463414634146343</v>
      </c>
      <c r="S167" s="66" t="s">
        <v>39</v>
      </c>
      <c r="T167" s="67">
        <f>C467</f>
        <v>0</v>
      </c>
      <c r="U167" s="67">
        <f t="shared" si="36"/>
        <v>7.0500831654445553E-2</v>
      </c>
      <c r="V167" s="67">
        <f t="shared" si="36"/>
        <v>0.51328941146900531</v>
      </c>
      <c r="W167" s="67">
        <f t="shared" si="36"/>
        <v>0.5199892840047402</v>
      </c>
      <c r="X167" s="67">
        <f t="shared" si="36"/>
        <v>0.63363271039099389</v>
      </c>
      <c r="AC167" t="s">
        <v>271</v>
      </c>
      <c r="AD167" s="51">
        <v>0.88631578947368395</v>
      </c>
      <c r="AE167" s="51">
        <v>0.876393734873122</v>
      </c>
      <c r="AH167" s="78"/>
      <c r="BF167" s="51">
        <v>0.87987288550567</v>
      </c>
      <c r="BG167" s="1">
        <v>104</v>
      </c>
      <c r="BH167">
        <f t="shared" si="29"/>
        <v>4.3825255578451086E-2</v>
      </c>
      <c r="BI167">
        <f t="shared" si="30"/>
        <v>3.1037360439473975E-3</v>
      </c>
      <c r="BJ167">
        <f t="shared" si="28"/>
        <v>2.7308931888359498E-3</v>
      </c>
    </row>
    <row r="168" spans="1:62" x14ac:dyDescent="0.3">
      <c r="C168" s="2"/>
      <c r="S168" t="s">
        <v>30</v>
      </c>
      <c r="T168" s="57">
        <f>C468</f>
        <v>100</v>
      </c>
      <c r="U168" s="57">
        <f t="shared" si="36"/>
        <v>97.777875116667872</v>
      </c>
      <c r="V168" s="57">
        <f t="shared" si="36"/>
        <v>95.728805087096006</v>
      </c>
      <c r="W168" s="57">
        <f t="shared" si="36"/>
        <v>83.24716659815914</v>
      </c>
      <c r="X168" s="57">
        <f t="shared" si="36"/>
        <v>69.270882623761793</v>
      </c>
      <c r="AC168" t="s">
        <v>272</v>
      </c>
      <c r="AD168" s="51">
        <v>0.88947368421052597</v>
      </c>
      <c r="AE168" s="51">
        <v>0.88091222340408804</v>
      </c>
      <c r="AI168" s="78"/>
      <c r="BF168" s="51">
        <v>0.8798824320577</v>
      </c>
      <c r="BG168" s="1">
        <v>105</v>
      </c>
      <c r="BH168">
        <f t="shared" si="29"/>
        <v>5.6358546204254782E-2</v>
      </c>
      <c r="BI168">
        <f t="shared" si="30"/>
        <v>3.9913526784913873E-3</v>
      </c>
      <c r="BJ168">
        <f t="shared" si="28"/>
        <v>3.511921101951017E-3</v>
      </c>
    </row>
    <row r="169" spans="1:62" ht="15.6" x14ac:dyDescent="0.35">
      <c r="A169" t="s">
        <v>322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0</v>
      </c>
      <c r="U169" s="67">
        <f t="shared" si="36"/>
        <v>1.2762740162363204</v>
      </c>
      <c r="V169" s="67">
        <f t="shared" si="36"/>
        <v>0.69684502885109678</v>
      </c>
      <c r="W169" s="67">
        <f t="shared" si="36"/>
        <v>3.1065971223835702</v>
      </c>
      <c r="X169" s="67">
        <f t="shared" si="36"/>
        <v>7.170952575838875</v>
      </c>
      <c r="AC169" t="s">
        <v>273</v>
      </c>
      <c r="AD169" s="51">
        <v>0.89192982456140302</v>
      </c>
      <c r="AE169" s="51">
        <v>0.88362590190270096</v>
      </c>
      <c r="AH169" s="78"/>
      <c r="BF169" s="51">
        <v>0.87989264589071203</v>
      </c>
      <c r="BG169" s="1">
        <v>106</v>
      </c>
      <c r="BH169">
        <f t="shared" si="29"/>
        <v>6.8900696427226224E-2</v>
      </c>
      <c r="BI169">
        <f t="shared" si="30"/>
        <v>4.879596756063408E-3</v>
      </c>
      <c r="BJ169">
        <f t="shared" si="28"/>
        <v>4.2935213005723671E-3</v>
      </c>
    </row>
    <row r="170" spans="1:62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100</v>
      </c>
      <c r="U170" s="71">
        <f>I462</f>
        <v>98.91304347826086</v>
      </c>
      <c r="V170" s="71">
        <f>I463</f>
        <v>91.648230088495581</v>
      </c>
      <c r="W170" s="71">
        <f>I464</f>
        <v>82.235834609494646</v>
      </c>
      <c r="X170" s="71">
        <f>I465</f>
        <v>79.253112033195023</v>
      </c>
      <c r="AC170" t="s">
        <v>274</v>
      </c>
      <c r="AD170" s="51">
        <v>0.88807017543859601</v>
      </c>
      <c r="AE170" s="51">
        <v>0.88218095500221105</v>
      </c>
      <c r="AI170" s="78"/>
      <c r="BF170" s="51">
        <v>0.87998635225912702</v>
      </c>
      <c r="BG170" s="1">
        <v>107</v>
      </c>
      <c r="BH170">
        <f t="shared" si="29"/>
        <v>8.1453694913247818E-2</v>
      </c>
      <c r="BI170">
        <f t="shared" si="30"/>
        <v>5.7686091154080868E-3</v>
      </c>
      <c r="BJ170">
        <f t="shared" si="28"/>
        <v>5.0762972930767118E-3</v>
      </c>
    </row>
    <row r="171" spans="1:62" x14ac:dyDescent="0.3">
      <c r="A171" t="s">
        <v>3</v>
      </c>
      <c r="B171" s="13">
        <v>0</v>
      </c>
      <c r="C171" s="29">
        <f>(C160/$L171)*$O171</f>
        <v>1.1174935927053693</v>
      </c>
      <c r="D171" s="31">
        <f>(D160/$L171)*$O171</f>
        <v>0</v>
      </c>
      <c r="E171" s="31">
        <f>(E160/$L171)*$O171</f>
        <v>0</v>
      </c>
      <c r="F171" s="31">
        <f>(F160/$L171)*$O171</f>
        <v>0</v>
      </c>
      <c r="G171" s="32">
        <f>(G160/$L171)*$O171</f>
        <v>0</v>
      </c>
      <c r="H171" s="17">
        <f>SUM(C171:G171)</f>
        <v>1.1174935927053693</v>
      </c>
      <c r="I171" s="17">
        <f>C171/H171*100</f>
        <v>100</v>
      </c>
      <c r="J171" s="17">
        <f>SQRT(I171*(100-I171)/(L171-1))</f>
        <v>0</v>
      </c>
      <c r="K171" s="18">
        <f>100-I171</f>
        <v>0</v>
      </c>
      <c r="L171" s="1">
        <f>H160</f>
        <v>56</v>
      </c>
      <c r="M171">
        <v>0</v>
      </c>
      <c r="N171" s="1">
        <v>2205.54</v>
      </c>
      <c r="O171" s="17">
        <f>N171/N176*100</f>
        <v>1.1174935927053693</v>
      </c>
      <c r="P171" s="52">
        <f>((O171*O171*(I171/100)*(K171/100))/(L171-1))</f>
        <v>0</v>
      </c>
      <c r="S171" s="75" t="s">
        <v>39</v>
      </c>
      <c r="T171" s="76">
        <f>J461</f>
        <v>0</v>
      </c>
      <c r="U171" s="76">
        <f>J462</f>
        <v>1.086956521739135</v>
      </c>
      <c r="V171" s="76">
        <f>J463</f>
        <v>0.6508369863389688</v>
      </c>
      <c r="W171" s="76">
        <f>J464</f>
        <v>1.4968530214541307</v>
      </c>
      <c r="X171" s="76">
        <f>J465</f>
        <v>2.617453785307823</v>
      </c>
      <c r="AC171" t="s">
        <v>275</v>
      </c>
      <c r="AD171" s="51">
        <v>0.88280701754385904</v>
      </c>
      <c r="AE171" s="51">
        <v>0.87673423884095203</v>
      </c>
      <c r="AH171" s="78"/>
      <c r="BF171" s="51">
        <v>0.87999896555448498</v>
      </c>
      <c r="BG171" s="1">
        <v>108</v>
      </c>
      <c r="BH171">
        <f t="shared" si="29"/>
        <v>9.4019542336647222E-2</v>
      </c>
      <c r="BI171">
        <f t="shared" si="30"/>
        <v>6.6585314457167574E-3</v>
      </c>
      <c r="BJ171">
        <f t="shared" si="28"/>
        <v>5.8595007843427558E-3</v>
      </c>
    </row>
    <row r="172" spans="1:62" x14ac:dyDescent="0.3">
      <c r="A172" t="s">
        <v>4</v>
      </c>
      <c r="B172" s="13">
        <v>1</v>
      </c>
      <c r="C172" s="33">
        <f t="shared" ref="C172:G175" si="37">(C161/$L172)*$O172</f>
        <v>0</v>
      </c>
      <c r="D172" s="34">
        <f t="shared" si="37"/>
        <v>4.3690042513552481</v>
      </c>
      <c r="E172" s="19">
        <f t="shared" si="37"/>
        <v>9.7088983363449941E-2</v>
      </c>
      <c r="F172" s="18">
        <f t="shared" si="37"/>
        <v>0</v>
      </c>
      <c r="G172" s="20">
        <f t="shared" si="37"/>
        <v>0</v>
      </c>
      <c r="H172" s="17">
        <f>SUM(C172:G172)</f>
        <v>4.4660932347186977</v>
      </c>
      <c r="I172" s="17">
        <f>D172/H172*100</f>
        <v>97.826086956521749</v>
      </c>
      <c r="J172" s="17">
        <f>SQRT(I172*(100-I172)/(L172-1))</f>
        <v>1.5287192313211773</v>
      </c>
      <c r="K172" s="18">
        <f>100-I172</f>
        <v>2.173913043478251</v>
      </c>
      <c r="L172" s="1">
        <f>H161</f>
        <v>92</v>
      </c>
      <c r="M172">
        <v>1</v>
      </c>
      <c r="N172" s="1">
        <v>8814.5</v>
      </c>
      <c r="O172" s="17">
        <f>N172/N176*100</f>
        <v>4.4660932347186977</v>
      </c>
      <c r="P172" s="52">
        <f>((O172*O172*(I172/100)*(K172/100))/(L172-1))</f>
        <v>4.6613426491721966E-3</v>
      </c>
      <c r="S172" s="66" t="s">
        <v>56</v>
      </c>
      <c r="T172" s="67">
        <f>N450*100</f>
        <v>100</v>
      </c>
      <c r="U172" s="67">
        <f>N451*100</f>
        <v>97.849462365591393</v>
      </c>
      <c r="V172" s="67">
        <f>N452*100</f>
        <v>94.389062945029906</v>
      </c>
      <c r="W172" s="67">
        <f>N453*100</f>
        <v>85.645933014354057</v>
      </c>
      <c r="X172" s="67">
        <f>N454*100</f>
        <v>59.968602825745677</v>
      </c>
      <c r="AC172" t="s">
        <v>276</v>
      </c>
      <c r="AD172" s="51">
        <v>0.888421052631579</v>
      </c>
      <c r="AE172" s="51">
        <v>0.88044287475698102</v>
      </c>
      <c r="AI172" s="78"/>
      <c r="BF172" s="51">
        <v>0.880017647566393</v>
      </c>
      <c r="BG172" s="1">
        <v>109</v>
      </c>
      <c r="BH172">
        <f t="shared" si="29"/>
        <v>0.10660025364469777</v>
      </c>
      <c r="BI172">
        <f t="shared" si="30"/>
        <v>7.5495064470010092E-3</v>
      </c>
      <c r="BJ172">
        <f t="shared" si="28"/>
        <v>6.643698903777146E-3</v>
      </c>
    </row>
    <row r="173" spans="1:62" x14ac:dyDescent="0.3">
      <c r="A173" t="s">
        <v>5</v>
      </c>
      <c r="B173" s="13">
        <v>2</v>
      </c>
      <c r="C173" s="33">
        <f t="shared" si="37"/>
        <v>0</v>
      </c>
      <c r="D173" s="19">
        <f t="shared" si="37"/>
        <v>0.24766811944334416</v>
      </c>
      <c r="E173" s="34">
        <f t="shared" si="37"/>
        <v>51.174425179980986</v>
      </c>
      <c r="F173" s="19">
        <f t="shared" si="37"/>
        <v>0.99067247777337664</v>
      </c>
      <c r="G173" s="20">
        <f t="shared" si="37"/>
        <v>3.5602292169980725</v>
      </c>
      <c r="H173" s="17">
        <f>SUM(C173:G173)</f>
        <v>55.972994994195787</v>
      </c>
      <c r="I173" s="17">
        <f>E173/H173*100</f>
        <v>91.426991150442461</v>
      </c>
      <c r="J173" s="17">
        <f>SQRT(I173*(100-I173)/(L173-1))</f>
        <v>0.65860462085251126</v>
      </c>
      <c r="K173" s="18">
        <f>100-I173</f>
        <v>8.5730088495575387</v>
      </c>
      <c r="L173" s="1">
        <f>H162</f>
        <v>1808</v>
      </c>
      <c r="M173">
        <v>2</v>
      </c>
      <c r="N173" s="1">
        <v>110471.03999999999</v>
      </c>
      <c r="O173" s="17">
        <f>N173/N176*100</f>
        <v>55.97299499419578</v>
      </c>
      <c r="P173" s="52">
        <f>((O173*O173*(I173/100)*(K173/100))/(L173-1))</f>
        <v>0.1358959888923357</v>
      </c>
      <c r="R173" s="16" t="s">
        <v>66</v>
      </c>
      <c r="S173" t="s">
        <v>9</v>
      </c>
      <c r="T173" s="1">
        <f>N461</f>
        <v>2230.4</v>
      </c>
      <c r="U173" s="1">
        <f>N462</f>
        <v>8241.85</v>
      </c>
      <c r="V173" s="1">
        <f>N463</f>
        <v>111656.32000000001</v>
      </c>
      <c r="W173" s="1">
        <f>N464</f>
        <v>39538.83</v>
      </c>
      <c r="X173" s="1">
        <f>N465</f>
        <v>35697.5</v>
      </c>
      <c r="Z173" t="s">
        <v>36</v>
      </c>
      <c r="AA173" s="1">
        <f>N466</f>
        <v>197364.90000000002</v>
      </c>
      <c r="AC173" t="s">
        <v>277</v>
      </c>
      <c r="AD173" s="51">
        <v>0.89438596491227995</v>
      </c>
      <c r="AE173" s="51">
        <v>0.88749834257073101</v>
      </c>
      <c r="AH173" s="78"/>
      <c r="BF173" s="51">
        <v>0.88003600388618997</v>
      </c>
      <c r="BG173" s="1">
        <v>110</v>
      </c>
      <c r="BH173">
        <f t="shared" si="29"/>
        <v>0.11919786036346161</v>
      </c>
      <c r="BI173">
        <f t="shared" si="30"/>
        <v>8.4416779933941481E-3</v>
      </c>
      <c r="BJ173">
        <f t="shared" si="28"/>
        <v>7.428980567400577E-3</v>
      </c>
    </row>
    <row r="174" spans="1:62" ht="15.6" x14ac:dyDescent="0.35">
      <c r="A174" t="s">
        <v>6</v>
      </c>
      <c r="B174" s="13">
        <v>3</v>
      </c>
      <c r="C174" s="33">
        <f t="shared" si="37"/>
        <v>0</v>
      </c>
      <c r="D174" s="19">
        <f t="shared" si="37"/>
        <v>0</v>
      </c>
      <c r="E174" s="19">
        <f t="shared" si="37"/>
        <v>0.37062918516768045</v>
      </c>
      <c r="F174" s="34">
        <f t="shared" si="37"/>
        <v>16.832742159698817</v>
      </c>
      <c r="G174" s="20">
        <f t="shared" si="37"/>
        <v>2.9650334813414436</v>
      </c>
      <c r="H174" s="17">
        <f>SUM(C174:G174)</f>
        <v>20.16840482620794</v>
      </c>
      <c r="I174" s="17">
        <f>F174/H174*100</f>
        <v>83.460949464012259</v>
      </c>
      <c r="J174" s="17">
        <f>SQRT(I174*(100-I174)/(L174-1))</f>
        <v>1.4550340270549542</v>
      </c>
      <c r="K174" s="18">
        <f>100-I174</f>
        <v>16.539050535987741</v>
      </c>
      <c r="L174" s="1">
        <f>H163</f>
        <v>653</v>
      </c>
      <c r="M174">
        <v>3</v>
      </c>
      <c r="N174" s="1">
        <v>39805.35</v>
      </c>
      <c r="O174" s="17">
        <f>N174/N176*100</f>
        <v>20.168404826207944</v>
      </c>
      <c r="P174" s="52">
        <f>((O174*O174*(I174/100)*(K174/100))/(L174-1))</f>
        <v>8.6117100609020697E-2</v>
      </c>
      <c r="R174" s="16" t="s">
        <v>323</v>
      </c>
      <c r="S174" t="s">
        <v>68</v>
      </c>
      <c r="T174" s="57">
        <f>$AA173*T166/100</f>
        <v>2230.4</v>
      </c>
      <c r="U174" s="57">
        <f>$AA173*U166/100</f>
        <v>8337.5351163909181</v>
      </c>
      <c r="V174" s="57">
        <f>$AA173*V166/100</f>
        <v>106896.81226966539</v>
      </c>
      <c r="W174" s="57">
        <f>$AA173*W166/100</f>
        <v>39058.490725915304</v>
      </c>
      <c r="X174" s="57">
        <f>$AA173*X166/100</f>
        <v>40841.661888028386</v>
      </c>
      <c r="Z174" t="s">
        <v>36</v>
      </c>
      <c r="AA174" s="25">
        <f>SUM(T174:X174)</f>
        <v>197364.9</v>
      </c>
      <c r="AC174" t="s">
        <v>278</v>
      </c>
      <c r="AD174" s="51">
        <v>0.88456140350877099</v>
      </c>
      <c r="AE174" s="51">
        <v>0.87779579331649804</v>
      </c>
      <c r="AI174" s="78"/>
      <c r="BF174" s="51">
        <v>0.88005511847704898</v>
      </c>
      <c r="BG174" s="1">
        <v>111</v>
      </c>
      <c r="BH174">
        <f t="shared" si="29"/>
        <v>0.13181441295194157</v>
      </c>
      <c r="BI174">
        <f t="shared" si="30"/>
        <v>9.3351912998739239E-3</v>
      </c>
      <c r="BJ174">
        <f t="shared" si="28"/>
        <v>8.2154828854164638E-3</v>
      </c>
    </row>
    <row r="175" spans="1:62" x14ac:dyDescent="0.3">
      <c r="A175" t="s">
        <v>7</v>
      </c>
      <c r="B175" s="13">
        <v>4</v>
      </c>
      <c r="C175" s="35">
        <f t="shared" si="37"/>
        <v>0</v>
      </c>
      <c r="D175" s="36">
        <f t="shared" si="37"/>
        <v>0</v>
      </c>
      <c r="E175" s="21">
        <f t="shared" si="37"/>
        <v>1.1374489638281462</v>
      </c>
      <c r="F175" s="21">
        <f t="shared" si="37"/>
        <v>2.0474081348906634</v>
      </c>
      <c r="G175" s="37">
        <f t="shared" si="37"/>
        <v>15.090156253453406</v>
      </c>
      <c r="H175" s="17">
        <f>SUM(C175:G175)</f>
        <v>18.275013352172216</v>
      </c>
      <c r="I175" s="17">
        <f>G175/H175*100</f>
        <v>82.572614107883808</v>
      </c>
      <c r="J175" s="17">
        <f>SQRT(I175*(100-I175)/(L175-1))</f>
        <v>2.4486601865262365</v>
      </c>
      <c r="K175" s="18">
        <f>100-I175</f>
        <v>17.427385892116192</v>
      </c>
      <c r="L175" s="1">
        <f>H164</f>
        <v>241</v>
      </c>
      <c r="M175">
        <v>4</v>
      </c>
      <c r="N175" s="1">
        <v>36068.46</v>
      </c>
      <c r="O175" s="17">
        <f>N175/N176*100</f>
        <v>18.275013352172216</v>
      </c>
      <c r="P175" s="52">
        <f>((O175*O175*(I175/100)*(K175/100))/(L175-1))</f>
        <v>0.20024996360244646</v>
      </c>
      <c r="R175" s="66"/>
      <c r="S175" s="66" t="s">
        <v>67</v>
      </c>
      <c r="T175" s="67">
        <f>$AA173*T167/100</f>
        <v>0</v>
      </c>
      <c r="U175" s="67">
        <f>$AA173*U167/100</f>
        <v>139.14389589396484</v>
      </c>
      <c r="V175" s="67">
        <f>$AA173*V167/100</f>
        <v>1013.053133656391</v>
      </c>
      <c r="W175" s="67">
        <f>$AA173*W167/100</f>
        <v>1026.2763303866716</v>
      </c>
      <c r="X175" s="67">
        <f>$AA173*X167/100</f>
        <v>1250.5685652304749</v>
      </c>
      <c r="AA175" s="1"/>
      <c r="AC175" t="s">
        <v>279</v>
      </c>
      <c r="AD175" s="51">
        <v>0.88631578947368395</v>
      </c>
      <c r="AE175" s="51">
        <v>0.88093639400191703</v>
      </c>
      <c r="AH175" s="78"/>
      <c r="BF175" s="51">
        <v>0.88006189328927897</v>
      </c>
      <c r="BG175" s="1">
        <v>112</v>
      </c>
      <c r="BH175">
        <f t="shared" si="29"/>
        <v>0.14445198321177485</v>
      </c>
      <c r="BI175">
        <f t="shared" si="30"/>
        <v>1.0230193092918767E-2</v>
      </c>
      <c r="BJ175">
        <f t="shared" si="28"/>
        <v>9.0032031020689952E-3</v>
      </c>
    </row>
    <row r="176" spans="1:62" x14ac:dyDescent="0.3">
      <c r="B176" t="s">
        <v>28</v>
      </c>
      <c r="C176" s="17">
        <f t="shared" ref="C176:H176" si="38">SUM(C171:C175)</f>
        <v>1.1174935927053693</v>
      </c>
      <c r="D176" s="17">
        <f t="shared" si="38"/>
        <v>4.6166723707985922</v>
      </c>
      <c r="E176" s="17">
        <f t="shared" si="38"/>
        <v>52.779592312340263</v>
      </c>
      <c r="F176" s="17">
        <f t="shared" si="38"/>
        <v>19.870822772362857</v>
      </c>
      <c r="G176" s="17">
        <f t="shared" si="38"/>
        <v>21.615418951792922</v>
      </c>
      <c r="H176" s="18">
        <f t="shared" si="38"/>
        <v>100</v>
      </c>
      <c r="I176" s="13" t="s">
        <v>24</v>
      </c>
      <c r="J176" s="12" t="s">
        <v>29</v>
      </c>
      <c r="N176" s="1">
        <f>SUM(N171:N175)</f>
        <v>197364.88999999998</v>
      </c>
      <c r="O176" s="17">
        <f>SUM(O171:O175)</f>
        <v>100</v>
      </c>
      <c r="R176" t="s">
        <v>109</v>
      </c>
      <c r="S176" t="s">
        <v>28</v>
      </c>
      <c r="T176" s="57">
        <f>C495</f>
        <v>1.1056323138325159</v>
      </c>
      <c r="U176" s="57">
        <f t="shared" ref="U176:X179" si="39">D495</f>
        <v>4.4816358547962798</v>
      </c>
      <c r="V176" s="57">
        <f t="shared" si="39"/>
        <v>52.762363748605196</v>
      </c>
      <c r="W176" s="57">
        <f t="shared" si="39"/>
        <v>20.496007556072481</v>
      </c>
      <c r="X176" s="57">
        <f t="shared" si="39"/>
        <v>21.154360526693523</v>
      </c>
      <c r="AC176" t="s">
        <v>280</v>
      </c>
      <c r="AD176" s="51">
        <v>0.88070175438596399</v>
      </c>
      <c r="AE176" s="51">
        <v>0.87291203618017899</v>
      </c>
      <c r="AI176" s="78"/>
      <c r="BF176" s="51">
        <v>0.88015776433993798</v>
      </c>
      <c r="BG176" s="1">
        <v>113</v>
      </c>
      <c r="BH176">
        <f t="shared" si="29"/>
        <v>0.15711266676001365</v>
      </c>
      <c r="BI176">
        <f t="shared" si="30"/>
        <v>1.1126831785631883E-2</v>
      </c>
      <c r="BJ176">
        <f t="shared" si="28"/>
        <v>9.7933673886283178E-3</v>
      </c>
    </row>
    <row r="177" spans="1:62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0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0.11065345155784485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0.48223703534104023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0.503957604284892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0.61704296623153632</v>
      </c>
      <c r="H177" s="1"/>
      <c r="I177" s="14">
        <f>(C171+D172+E173+F174+G175)/H176</f>
        <v>0.88583821437193822</v>
      </c>
      <c r="J177" s="53">
        <f>SQRT(SUM(P171:P175))/100</f>
        <v>6.533945176943062E-3</v>
      </c>
      <c r="M177" s="1"/>
      <c r="N177" s="9"/>
      <c r="S177" s="66" t="s">
        <v>39</v>
      </c>
      <c r="T177" s="67">
        <f>C496</f>
        <v>0</v>
      </c>
      <c r="U177" s="67">
        <f t="shared" si="39"/>
        <v>0.11559628687347208</v>
      </c>
      <c r="V177" s="67">
        <f t="shared" si="39"/>
        <v>0.47969619871860436</v>
      </c>
      <c r="W177" s="67">
        <f t="shared" si="39"/>
        <v>0.53992031158610931</v>
      </c>
      <c r="X177" s="67">
        <f t="shared" si="39"/>
        <v>0.63441674408823234</v>
      </c>
      <c r="AC177" t="s">
        <v>281</v>
      </c>
      <c r="AD177" s="51">
        <v>0.88631578947368395</v>
      </c>
      <c r="AE177" s="51">
        <v>0.87877925481728503</v>
      </c>
      <c r="AH177" s="78"/>
      <c r="BF177" s="51">
        <v>0.88016353080210497</v>
      </c>
      <c r="BG177" s="1">
        <v>114</v>
      </c>
      <c r="BH177">
        <f t="shared" si="29"/>
        <v>0.16979858557289623</v>
      </c>
      <c r="BI177">
        <f t="shared" si="30"/>
        <v>1.2025257657892949E-2</v>
      </c>
      <c r="BJ177">
        <f t="shared" si="28"/>
        <v>1.058419323897611E-2</v>
      </c>
    </row>
    <row r="178" spans="1:62" x14ac:dyDescent="0.3">
      <c r="B178" s="1" t="s">
        <v>30</v>
      </c>
      <c r="C178" s="17">
        <f>C171/C176*100</f>
        <v>100</v>
      </c>
      <c r="D178" s="17">
        <f>D172/D176*100</f>
        <v>94.635354221584009</v>
      </c>
      <c r="E178" s="17">
        <f>E173/E176*100</f>
        <v>96.958735257255896</v>
      </c>
      <c r="F178" s="17">
        <f>F174/F176*100</f>
        <v>84.710846413015545</v>
      </c>
      <c r="G178" s="17">
        <f>G175/G176*100</f>
        <v>69.811999883544857</v>
      </c>
      <c r="H178" s="1"/>
      <c r="S178" s="70" t="s">
        <v>30</v>
      </c>
      <c r="T178" s="64">
        <f>C497</f>
        <v>100</v>
      </c>
      <c r="U178" s="64">
        <f t="shared" si="39"/>
        <v>95.158790318709379</v>
      </c>
      <c r="V178" s="64">
        <f t="shared" si="39"/>
        <v>96.928640098186918</v>
      </c>
      <c r="W178" s="64">
        <f t="shared" si="39"/>
        <v>81.988135292352609</v>
      </c>
      <c r="X178" s="64">
        <f t="shared" si="39"/>
        <v>68.761383470046937</v>
      </c>
      <c r="AC178" t="s">
        <v>282</v>
      </c>
      <c r="AD178" s="51">
        <v>0.888421052631579</v>
      </c>
      <c r="AE178" s="51">
        <v>0.88082871478358105</v>
      </c>
      <c r="AI178" s="78"/>
      <c r="BF178" s="51">
        <v>0.88018601169977295</v>
      </c>
      <c r="BG178" s="1">
        <v>115</v>
      </c>
      <c r="BH178">
        <f t="shared" si="29"/>
        <v>0.18251189060891859</v>
      </c>
      <c r="BI178">
        <f t="shared" si="30"/>
        <v>1.2925623042125927E-2</v>
      </c>
      <c r="BJ178">
        <f t="shared" si="28"/>
        <v>1.1376952594183505E-2</v>
      </c>
    </row>
    <row r="179" spans="1:62" x14ac:dyDescent="0.3">
      <c r="B179" s="16" t="s">
        <v>39</v>
      </c>
      <c r="C179" s="18">
        <f>SQRT((C182+C183)/(C176*C176))</f>
        <v>0</v>
      </c>
      <c r="D179" s="18">
        <f>SQRT((D182+D183)/(D176*D176))</f>
        <v>1.959268739804259</v>
      </c>
      <c r="E179" s="18">
        <f>SQRT((E182+E183)/(E176*E176))</f>
        <v>0.61068283643535781</v>
      </c>
      <c r="F179" s="18">
        <f>SQRT((F182+F183)/(F176*F176))</f>
        <v>2.8569246367482379</v>
      </c>
      <c r="G179" s="18">
        <f>SQRT((G182+G183)/(G176*G176))</f>
        <v>6.3993436101032639</v>
      </c>
      <c r="H179" s="1"/>
      <c r="I179" s="14"/>
      <c r="S179" s="66" t="s">
        <v>39</v>
      </c>
      <c r="T179" s="67">
        <f>C498</f>
        <v>0</v>
      </c>
      <c r="U179" s="67">
        <f t="shared" si="39"/>
        <v>1.9513877106786999</v>
      </c>
      <c r="V179" s="67">
        <f t="shared" si="39"/>
        <v>0.59779194222491472</v>
      </c>
      <c r="W179" s="67">
        <f t="shared" si="39"/>
        <v>3.1887793817017549</v>
      </c>
      <c r="X179" s="67">
        <f t="shared" si="39"/>
        <v>7.0540977842835826</v>
      </c>
      <c r="AC179" t="s">
        <v>283</v>
      </c>
      <c r="AD179" s="51">
        <v>0.88491228070175398</v>
      </c>
      <c r="AE179" s="51">
        <v>0.87534026408880705</v>
      </c>
      <c r="AH179" s="78"/>
      <c r="BF179" s="51">
        <v>0.88026811630175505</v>
      </c>
      <c r="BG179" s="1">
        <v>116</v>
      </c>
      <c r="BH179">
        <f t="shared" si="29"/>
        <v>0.19525476451997836</v>
      </c>
      <c r="BI179">
        <f t="shared" si="30"/>
        <v>1.3828082515304223E-2</v>
      </c>
      <c r="BJ179">
        <f t="shared" si="28"/>
        <v>1.2172420147812084E-2</v>
      </c>
    </row>
    <row r="180" spans="1:62" x14ac:dyDescent="0.3">
      <c r="B180" s="1" t="s">
        <v>37</v>
      </c>
      <c r="C180" s="18">
        <f>100-C178</f>
        <v>0</v>
      </c>
      <c r="D180" s="18">
        <f>100-D178</f>
        <v>5.3646457784159907</v>
      </c>
      <c r="E180" s="18">
        <f>100-E178</f>
        <v>3.0412647427441044</v>
      </c>
      <c r="F180" s="18">
        <f>100-F178</f>
        <v>15.289153586984455</v>
      </c>
      <c r="G180" s="18">
        <f>100-G178</f>
        <v>30.188000116455143</v>
      </c>
      <c r="S180" s="70" t="s">
        <v>31</v>
      </c>
      <c r="T180" s="64">
        <f>I490</f>
        <v>100</v>
      </c>
      <c r="U180" s="64">
        <f>I491</f>
        <v>96.739130434782609</v>
      </c>
      <c r="V180" s="64">
        <f>I492</f>
        <v>91.261061946902657</v>
      </c>
      <c r="W180" s="64">
        <f>I493</f>
        <v>82.848392036753438</v>
      </c>
      <c r="X180" s="64">
        <f>I494</f>
        <v>80.08298755186722</v>
      </c>
      <c r="AC180" t="s">
        <v>284</v>
      </c>
      <c r="AD180" s="51">
        <v>0.88807017543859601</v>
      </c>
      <c r="AE180" s="51">
        <v>0.87986960282131899</v>
      </c>
      <c r="AI180" s="78"/>
      <c r="BF180" s="51">
        <v>0.88028681631101902</v>
      </c>
      <c r="BG180" s="1">
        <v>117</v>
      </c>
      <c r="BH180">
        <f t="shared" si="29"/>
        <v>0.20802942445987585</v>
      </c>
      <c r="BI180">
        <f t="shared" si="30"/>
        <v>1.4732793097850746E-2</v>
      </c>
      <c r="BJ180">
        <f t="shared" si="28"/>
        <v>1.2969083531475988E-2</v>
      </c>
    </row>
    <row r="181" spans="1:62" ht="15.6" x14ac:dyDescent="0.35">
      <c r="B181" s="1" t="s">
        <v>25</v>
      </c>
      <c r="C181" s="1">
        <f>C165</f>
        <v>56</v>
      </c>
      <c r="D181" s="1">
        <f>D165</f>
        <v>98</v>
      </c>
      <c r="E181" s="1">
        <f>E165</f>
        <v>1682</v>
      </c>
      <c r="F181" s="1">
        <f>F165</f>
        <v>604</v>
      </c>
      <c r="G181" s="1">
        <f>G165</f>
        <v>410</v>
      </c>
      <c r="S181" s="66" t="s">
        <v>39</v>
      </c>
      <c r="T181" s="67">
        <f>J490</f>
        <v>0</v>
      </c>
      <c r="U181" s="67">
        <f>J491</f>
        <v>1.8618603664560827</v>
      </c>
      <c r="V181" s="67">
        <f>J492</f>
        <v>0.66434399406761713</v>
      </c>
      <c r="W181" s="67">
        <f>J493</f>
        <v>1.4762865557827509</v>
      </c>
      <c r="X181" s="67">
        <f>J494</f>
        <v>2.5779625837359448</v>
      </c>
      <c r="AC181" t="s">
        <v>285</v>
      </c>
      <c r="AD181" s="51">
        <v>0.88596491228070096</v>
      </c>
      <c r="AE181" s="51">
        <v>0.87735352937106004</v>
      </c>
      <c r="AH181" s="78"/>
      <c r="BF181" s="51">
        <v>0.88032749476864103</v>
      </c>
      <c r="BG181" s="1">
        <v>118</v>
      </c>
      <c r="BH181">
        <f t="shared" si="29"/>
        <v>0.2208381250000446</v>
      </c>
      <c r="BI181">
        <f t="shared" si="30"/>
        <v>1.5639914460132034E-2</v>
      </c>
      <c r="BJ181">
        <f t="shared" si="28"/>
        <v>1.3768246715083877E-2</v>
      </c>
    </row>
    <row r="182" spans="1:62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13.415075803815467</v>
      </c>
      <c r="E182" s="18">
        <f>(O173*O173*(100-E178)*(100-E178)*(I173)*(100-I173))/((L173-1)*100)</f>
        <v>125.69415789958279</v>
      </c>
      <c r="F182" s="18">
        <f>(O174*O174*(100-F178)*(100-F178)*(I174)*(100-I174))/((L174-1)*100)</f>
        <v>2013.0579926572248</v>
      </c>
      <c r="G182" s="18">
        <f>(O175*O175*(100-G178)*(100-G178)*(I175)*(100-I175))/((L175-1)*100)</f>
        <v>18249.086587432761</v>
      </c>
      <c r="S182" s="68" t="s">
        <v>56</v>
      </c>
      <c r="T182" s="65">
        <f>N479*100</f>
        <v>100</v>
      </c>
      <c r="U182" s="65">
        <f>N480*100</f>
        <v>94.680851063829792</v>
      </c>
      <c r="V182" s="65">
        <f>N481*100</f>
        <v>94.555873925501444</v>
      </c>
      <c r="W182" s="65">
        <f>N482*100</f>
        <v>85.669041963578778</v>
      </c>
      <c r="X182" s="65">
        <f>N483*100</f>
        <v>59.659969088098919</v>
      </c>
      <c r="AC182" t="s">
        <v>286</v>
      </c>
      <c r="AD182" s="51">
        <v>0.88631578947368395</v>
      </c>
      <c r="AE182" s="51">
        <v>0.87799385693547405</v>
      </c>
      <c r="AI182" s="78"/>
      <c r="BF182" s="51">
        <v>0.880336578795619</v>
      </c>
      <c r="BG182" s="1">
        <v>119</v>
      </c>
      <c r="BH182">
        <f t="shared" si="29"/>
        <v>0.23368316116302504</v>
      </c>
      <c r="BI182">
        <f t="shared" si="30"/>
        <v>1.6549609137291046E-2</v>
      </c>
      <c r="BJ182">
        <f t="shared" si="28"/>
        <v>1.4569226288327516E-2</v>
      </c>
    </row>
    <row r="183" spans="1:62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68.402409898951504</v>
      </c>
      <c r="E183" s="18">
        <f>E178*E178*(SUM((H171*E171*(1-E160/H160))/(H160-1),(H172*E172*(1-E161/H161))/(H161-1), (H174*E174*(1-E163/H163))/(H163-1),(H175*E175*(1-E164/H164))/(H164-1)))</f>
        <v>913.18130946508643</v>
      </c>
      <c r="F183" s="18">
        <f>F178*F178*(SUM((H171*F171*(1-F160/H160))/(H160-1),(H172*F172*(1-F161/H161))/(H161-1), (H173*F173*(1-F162/H162))/(H162-1),(H175*F175*(1-F164/H164))/(H164-1)))</f>
        <v>1209.711680726336</v>
      </c>
      <c r="G183" s="18">
        <f>G178*G178*(SUM((H171*G171*(1-G160/H160))/(H160-1),(H172*G172*(1-G161/H161))/(H161-1), (H173*G173*(1-G162/H162))/(H162-1),(H174*G174*(1-G163/H163))/(H163-1)))</f>
        <v>884.57881745654356</v>
      </c>
      <c r="R183" s="16" t="s">
        <v>66</v>
      </c>
      <c r="S183" t="s">
        <v>9</v>
      </c>
      <c r="T183" s="1">
        <f>N490</f>
        <v>2182.13</v>
      </c>
      <c r="U183" s="1">
        <f>N491</f>
        <v>8700.68</v>
      </c>
      <c r="V183" s="1">
        <f>N492</f>
        <v>110601.43</v>
      </c>
      <c r="W183" s="1">
        <f>N493</f>
        <v>40031.89</v>
      </c>
      <c r="X183" s="1">
        <f>N494</f>
        <v>35848.76</v>
      </c>
      <c r="Z183" t="s">
        <v>36</v>
      </c>
      <c r="AA183" s="1">
        <f>N495</f>
        <v>197364.89</v>
      </c>
      <c r="AC183" t="s">
        <v>287</v>
      </c>
      <c r="AD183" s="51">
        <v>0.88491228070175398</v>
      </c>
      <c r="AE183" s="51">
        <v>0.88018601169977295</v>
      </c>
      <c r="AH183" s="78"/>
      <c r="BF183" s="51">
        <v>0.880348168422455</v>
      </c>
      <c r="BG183" s="1">
        <v>120</v>
      </c>
      <c r="BH183">
        <f t="shared" si="29"/>
        <v>0.24656687158492113</v>
      </c>
      <c r="BI183">
        <f t="shared" si="30"/>
        <v>1.7462042753214592E-2</v>
      </c>
      <c r="BJ183">
        <f t="shared" si="28"/>
        <v>1.5372677354707069E-2</v>
      </c>
    </row>
    <row r="184" spans="1:62" ht="15.6" x14ac:dyDescent="0.35">
      <c r="A184" s="105" t="s">
        <v>390</v>
      </c>
      <c r="B184" s="69" t="s">
        <v>9</v>
      </c>
      <c r="C184" s="1">
        <v>260.01</v>
      </c>
      <c r="D184" s="1">
        <v>1809.22</v>
      </c>
      <c r="E184" s="1">
        <v>15043.97</v>
      </c>
      <c r="F184" s="1">
        <v>1716.65</v>
      </c>
      <c r="G184" s="1">
        <v>3260.8</v>
      </c>
      <c r="I184" t="s">
        <v>36</v>
      </c>
      <c r="J184" s="57">
        <f>SUM(C184:G184)</f>
        <v>22090.65</v>
      </c>
      <c r="R184" s="16" t="s">
        <v>323</v>
      </c>
      <c r="S184" t="s">
        <v>68</v>
      </c>
      <c r="T184" s="57">
        <f>$AA183*T176/100</f>
        <v>2182.13</v>
      </c>
      <c r="U184" s="57">
        <f>$AA183*U176/100</f>
        <v>8845.175675019238</v>
      </c>
      <c r="V184" s="57">
        <f>$AA183*V176/100</f>
        <v>104134.38117383452</v>
      </c>
      <c r="W184" s="57">
        <f>$AA183*W176/100</f>
        <v>40451.922767434145</v>
      </c>
      <c r="X184" s="57">
        <f>$AA183*X176/100</f>
        <v>41751.280383712095</v>
      </c>
      <c r="Z184" t="s">
        <v>36</v>
      </c>
      <c r="AA184" s="25">
        <f>SUM(T184:X184)</f>
        <v>197364.88999999998</v>
      </c>
      <c r="AC184" t="s">
        <v>288</v>
      </c>
      <c r="AD184" s="51">
        <v>0.89122807017543804</v>
      </c>
      <c r="AE184" s="51">
        <v>0.88222003483012101</v>
      </c>
      <c r="AI184" s="78"/>
      <c r="BF184" s="51">
        <v>0.88044287475698102</v>
      </c>
      <c r="BG184" s="1">
        <v>121</v>
      </c>
      <c r="BH184">
        <f t="shared" si="29"/>
        <v>0.25949164181888423</v>
      </c>
      <c r="BI184">
        <f t="shared" si="30"/>
        <v>1.8377384254488444E-2</v>
      </c>
      <c r="BJ184">
        <f t="shared" si="28"/>
        <v>1.6180237023535483E-2</v>
      </c>
    </row>
    <row r="185" spans="1:62" x14ac:dyDescent="0.3">
      <c r="B185" t="s">
        <v>391</v>
      </c>
      <c r="C185" s="57">
        <f>(C184/$J184)*100</f>
        <v>1.1770138044828919</v>
      </c>
      <c r="D185" s="57">
        <f>(D184/$J184)*100</f>
        <v>8.1899808289932619</v>
      </c>
      <c r="E185" s="57">
        <f>(E184/$J184)*100</f>
        <v>68.101074436469716</v>
      </c>
      <c r="F185" s="57">
        <f>(F184/$J184)*100</f>
        <v>7.7709347619920637</v>
      </c>
      <c r="G185" s="57">
        <f>(G184/$J184)*100</f>
        <v>14.760996168062054</v>
      </c>
      <c r="R185" s="66"/>
      <c r="S185" s="66" t="s">
        <v>67</v>
      </c>
      <c r="T185" s="67">
        <f>$AA183*T177/100</f>
        <v>0</v>
      </c>
      <c r="U185" s="67">
        <f>$AA183*U177/100</f>
        <v>228.14648443191263</v>
      </c>
      <c r="V185" s="67">
        <f>$AA183*V177/100</f>
        <v>946.75187493515489</v>
      </c>
      <c r="W185" s="67">
        <f>$AA183*W177/100</f>
        <v>1065.6131290495819</v>
      </c>
      <c r="X185" s="67">
        <f>$AA183*X177/100</f>
        <v>1252.1159091113213</v>
      </c>
      <c r="AA185" s="1"/>
      <c r="AC185" t="s">
        <v>289</v>
      </c>
      <c r="AD185" s="51">
        <v>0.88631578947368395</v>
      </c>
      <c r="AE185" s="51">
        <v>0.87904737804209598</v>
      </c>
      <c r="AH185" s="78"/>
      <c r="BF185" s="51">
        <v>0.880442983895391</v>
      </c>
      <c r="BG185" s="1">
        <v>122</v>
      </c>
      <c r="BH185">
        <f t="shared" si="29"/>
        <v>0.27245990779256418</v>
      </c>
      <c r="BI185">
        <f t="shared" si="30"/>
        <v>1.9295806155256504E-2</v>
      </c>
      <c r="BJ185">
        <f t="shared" si="28"/>
        <v>1.698885714800109E-2</v>
      </c>
    </row>
    <row r="186" spans="1:62" x14ac:dyDescent="0.3">
      <c r="A186" s="361">
        <v>1988</v>
      </c>
      <c r="B186" s="361"/>
      <c r="C186" s="361"/>
      <c r="D186" s="361"/>
      <c r="E186" s="361"/>
      <c r="F186" s="361"/>
      <c r="G186" s="361"/>
      <c r="H186" s="361"/>
      <c r="I186" s="361"/>
      <c r="J186" s="361"/>
      <c r="K186" s="361"/>
      <c r="L186" s="361" t="s">
        <v>84</v>
      </c>
      <c r="M186" s="361"/>
      <c r="N186" s="361"/>
      <c r="O186" s="361"/>
      <c r="P186" s="361"/>
      <c r="R186" t="s">
        <v>110</v>
      </c>
      <c r="S186" s="70" t="s">
        <v>28</v>
      </c>
      <c r="T186" s="64">
        <f>C524</f>
        <v>1.1257068063119029</v>
      </c>
      <c r="U186" s="64">
        <f t="shared" ref="U186:X189" si="40">D524</f>
        <v>4.8546892662348462</v>
      </c>
      <c r="V186" s="64">
        <f t="shared" si="40"/>
        <v>52.687914231950877</v>
      </c>
      <c r="W186" s="64">
        <f t="shared" si="40"/>
        <v>19.284205277469646</v>
      </c>
      <c r="X186" s="64">
        <f t="shared" si="40"/>
        <v>22.047484418032735</v>
      </c>
      <c r="AA186" s="12"/>
      <c r="AC186" t="s">
        <v>290</v>
      </c>
      <c r="AD186" s="51">
        <v>0.89122807017543804</v>
      </c>
      <c r="AE186" s="51">
        <v>0.88144590760776398</v>
      </c>
      <c r="AI186" s="78"/>
      <c r="BF186" s="51">
        <v>0.880474475745322</v>
      </c>
      <c r="BG186" s="1">
        <v>123</v>
      </c>
      <c r="BH186">
        <f t="shared" si="29"/>
        <v>0.28547415943346138</v>
      </c>
      <c r="BI186">
        <f t="shared" si="30"/>
        <v>2.0217484793970827E-2</v>
      </c>
      <c r="BJ186">
        <f t="shared" si="28"/>
        <v>1.7800979324860484E-2</v>
      </c>
    </row>
    <row r="187" spans="1:62" x14ac:dyDescent="0.3">
      <c r="A187" t="s">
        <v>320</v>
      </c>
      <c r="B187" t="s">
        <v>21</v>
      </c>
      <c r="I187" s="1" t="s">
        <v>58</v>
      </c>
      <c r="O187" s="360" t="s">
        <v>411</v>
      </c>
      <c r="P187" s="360"/>
      <c r="S187" s="66" t="s">
        <v>39</v>
      </c>
      <c r="T187" s="67">
        <f>C525</f>
        <v>0</v>
      </c>
      <c r="U187" s="67">
        <f t="shared" si="40"/>
        <v>0.10513860673312125</v>
      </c>
      <c r="V187" s="67">
        <f t="shared" si="40"/>
        <v>0.48733399625105966</v>
      </c>
      <c r="W187" s="67">
        <f t="shared" si="40"/>
        <v>0.50736681932189576</v>
      </c>
      <c r="X187" s="67">
        <f t="shared" si="40"/>
        <v>0.62442270248780429</v>
      </c>
      <c r="AC187" t="s">
        <v>291</v>
      </c>
      <c r="AD187" s="51">
        <v>0.88350877192982402</v>
      </c>
      <c r="AE187" s="51">
        <v>0.87498324087781199</v>
      </c>
      <c r="AH187" s="78"/>
      <c r="BF187" s="51">
        <v>0.88049314621838004</v>
      </c>
      <c r="BG187" s="1">
        <v>124</v>
      </c>
      <c r="BH187">
        <f t="shared" si="29"/>
        <v>0.29853694447722257</v>
      </c>
      <c r="BI187">
        <f t="shared" si="30"/>
        <v>2.1142600603097878E-2</v>
      </c>
      <c r="BJ187">
        <f t="shared" si="28"/>
        <v>1.861591492426027E-2</v>
      </c>
    </row>
    <row r="188" spans="1:62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56</v>
      </c>
      <c r="O188" s="13" t="s">
        <v>412</v>
      </c>
      <c r="P188" s="13" t="s">
        <v>41</v>
      </c>
      <c r="S188" t="s">
        <v>30</v>
      </c>
      <c r="T188" s="57">
        <f>C526</f>
        <v>100</v>
      </c>
      <c r="U188" s="57">
        <f t="shared" si="40"/>
        <v>94.270903815508575</v>
      </c>
      <c r="V188" s="57">
        <f t="shared" si="40"/>
        <v>96.836951324205472</v>
      </c>
      <c r="W188" s="57">
        <f t="shared" si="40"/>
        <v>84.322355731267834</v>
      </c>
      <c r="X188" s="57">
        <f t="shared" si="40"/>
        <v>70.075304993486412</v>
      </c>
      <c r="AC188" t="s">
        <v>292</v>
      </c>
      <c r="AD188" s="51">
        <v>0.87789473684210495</v>
      </c>
      <c r="AE188" s="51">
        <v>0.87074517166288101</v>
      </c>
      <c r="AI188" s="78"/>
      <c r="BF188" s="51">
        <v>0.88053263717691799</v>
      </c>
      <c r="BG188" s="1">
        <v>125</v>
      </c>
      <c r="BH188">
        <f t="shared" si="29"/>
        <v>0.31165087247514994</v>
      </c>
      <c r="BI188">
        <f t="shared" si="30"/>
        <v>2.2071338392933185E-2</v>
      </c>
      <c r="BJ188">
        <f t="shared" si="28"/>
        <v>1.9434533801153616E-2</v>
      </c>
    </row>
    <row r="189" spans="1:62" x14ac:dyDescent="0.3">
      <c r="A189" t="s">
        <v>3</v>
      </c>
      <c r="B189" s="13">
        <v>0</v>
      </c>
      <c r="C189" s="26">
        <v>56</v>
      </c>
      <c r="D189" s="3">
        <v>0</v>
      </c>
      <c r="E189" s="3">
        <v>0</v>
      </c>
      <c r="F189" s="3">
        <v>0</v>
      </c>
      <c r="G189" s="4">
        <v>0</v>
      </c>
      <c r="H189" s="1">
        <f>SUM(C189:G189)</f>
        <v>56</v>
      </c>
      <c r="I189" s="10">
        <f>C189/H189</f>
        <v>1</v>
      </c>
      <c r="J189" s="11">
        <f>1-I189</f>
        <v>0</v>
      </c>
      <c r="K189">
        <f>H189-C194</f>
        <v>0</v>
      </c>
      <c r="N189" s="10">
        <f>2*(C195*I189)/(C195+I189)</f>
        <v>1</v>
      </c>
      <c r="O189" s="1"/>
      <c r="P189" s="1"/>
      <c r="S189" s="66" t="s">
        <v>39</v>
      </c>
      <c r="T189" s="67">
        <f>C527</f>
        <v>0</v>
      </c>
      <c r="U189" s="67">
        <f t="shared" si="40"/>
        <v>1.8918089497352948</v>
      </c>
      <c r="V189" s="67">
        <f t="shared" si="40"/>
        <v>0.62488227655502881</v>
      </c>
      <c r="W189" s="67">
        <f t="shared" si="40"/>
        <v>2.9870581033395753</v>
      </c>
      <c r="X189" s="67">
        <f t="shared" si="40"/>
        <v>6.3638743638987236</v>
      </c>
      <c r="AC189" t="s">
        <v>293</v>
      </c>
      <c r="AD189" s="51">
        <v>0.88491228070175398</v>
      </c>
      <c r="AE189" s="51">
        <v>0.87648891442183496</v>
      </c>
      <c r="AH189" s="78"/>
      <c r="BF189" s="51">
        <v>0.880748925009461</v>
      </c>
      <c r="BG189" s="1">
        <v>126</v>
      </c>
      <c r="BH189">
        <f t="shared" si="29"/>
        <v>0.32481861901855619</v>
      </c>
      <c r="BI189">
        <f t="shared" si="30"/>
        <v>2.3003887650773207E-2</v>
      </c>
      <c r="BJ189">
        <f t="shared" si="28"/>
        <v>2.0260649319456918E-2</v>
      </c>
    </row>
    <row r="190" spans="1:62" x14ac:dyDescent="0.3">
      <c r="A190" t="s">
        <v>4</v>
      </c>
      <c r="B190" s="13">
        <v>1</v>
      </c>
      <c r="C190" s="5">
        <v>0</v>
      </c>
      <c r="D190" s="27">
        <v>90</v>
      </c>
      <c r="E190" s="1">
        <v>2</v>
      </c>
      <c r="F190" s="1">
        <v>0</v>
      </c>
      <c r="G190" s="6">
        <v>0</v>
      </c>
      <c r="H190" s="1">
        <f>SUM(C190:G190)</f>
        <v>92</v>
      </c>
      <c r="I190" s="10">
        <f>D190/H190</f>
        <v>0.97826086956521741</v>
      </c>
      <c r="J190" s="11">
        <f>1-I190</f>
        <v>2.1739130434782594E-2</v>
      </c>
      <c r="K190">
        <f>H190-D194</f>
        <v>-4</v>
      </c>
      <c r="N190" s="10">
        <f>2*(D195*I190)/(D195+I190)</f>
        <v>0.95744680851063835</v>
      </c>
      <c r="O190" s="1"/>
      <c r="P190" s="1"/>
      <c r="S190" t="s">
        <v>31</v>
      </c>
      <c r="T190" s="57">
        <f>I519</f>
        <v>100</v>
      </c>
      <c r="U190" s="57">
        <f>I520</f>
        <v>98.913043478260875</v>
      </c>
      <c r="V190" s="57">
        <f>I521</f>
        <v>91.316371681415916</v>
      </c>
      <c r="W190" s="57">
        <f>I522</f>
        <v>82.695252679938733</v>
      </c>
      <c r="X190" s="57">
        <f>I523</f>
        <v>82.572614107883808</v>
      </c>
      <c r="AC190" t="s">
        <v>294</v>
      </c>
      <c r="AD190" s="51">
        <v>0.89228070175438601</v>
      </c>
      <c r="AE190" s="51">
        <v>0.88719041167442703</v>
      </c>
      <c r="AI190" s="78"/>
      <c r="BF190" s="51">
        <v>0.88075089567088405</v>
      </c>
      <c r="BG190" s="1">
        <v>127</v>
      </c>
      <c r="BH190">
        <f t="shared" si="29"/>
        <v>0.33804293019912629</v>
      </c>
      <c r="BI190">
        <f t="shared" si="30"/>
        <v>2.3940442856801341E-2</v>
      </c>
      <c r="BJ190">
        <f t="shared" si="28"/>
        <v>2.1085566488885397E-2</v>
      </c>
    </row>
    <row r="191" spans="1:62" x14ac:dyDescent="0.3">
      <c r="A191" t="s">
        <v>5</v>
      </c>
      <c r="B191" s="13">
        <v>2</v>
      </c>
      <c r="C191" s="5">
        <v>0</v>
      </c>
      <c r="D191" s="1">
        <v>6</v>
      </c>
      <c r="E191" s="27">
        <v>1645</v>
      </c>
      <c r="F191" s="1">
        <v>34</v>
      </c>
      <c r="G191" s="6">
        <v>123</v>
      </c>
      <c r="H191" s="1">
        <f>SUM(C191:G191)</f>
        <v>1808</v>
      </c>
      <c r="I191" s="10">
        <f>E191/H191</f>
        <v>0.90984513274336287</v>
      </c>
      <c r="J191" s="11">
        <f>1-I191</f>
        <v>9.0154867256637128E-2</v>
      </c>
      <c r="K191">
        <f>H191-E194</f>
        <v>124</v>
      </c>
      <c r="N191" s="10">
        <f>2*(E195*I191)/(E195+I191)</f>
        <v>0.94215349369988544</v>
      </c>
      <c r="O191" s="1"/>
      <c r="P191" s="1"/>
      <c r="S191" s="66" t="s">
        <v>39</v>
      </c>
      <c r="T191" s="67">
        <f>J519</f>
        <v>0</v>
      </c>
      <c r="U191" s="67">
        <f>J520</f>
        <v>1.0869565217391279</v>
      </c>
      <c r="V191" s="67">
        <f>J521</f>
        <v>0.66243895045402845</v>
      </c>
      <c r="W191" s="67">
        <f>J522</f>
        <v>1.4814913582167113</v>
      </c>
      <c r="X191" s="67">
        <f>J523</f>
        <v>2.4486601865262365</v>
      </c>
      <c r="AC191" t="s">
        <v>295</v>
      </c>
      <c r="AD191" s="51">
        <v>0.88491228070175398</v>
      </c>
      <c r="AE191" s="51">
        <v>0.87534390473443002</v>
      </c>
      <c r="AH191" s="78"/>
      <c r="BF191" s="51">
        <v>0.88081290685776303</v>
      </c>
      <c r="BG191" s="1">
        <v>128</v>
      </c>
      <c r="BH191">
        <f t="shared" si="29"/>
        <v>0.35132662732612346</v>
      </c>
      <c r="BI191">
        <f t="shared" si="30"/>
        <v>2.4881203818163857E-2</v>
      </c>
      <c r="BJ191">
        <f t="shared" si="28"/>
        <v>2.191568546119738E-2</v>
      </c>
    </row>
    <row r="192" spans="1:62" x14ac:dyDescent="0.3">
      <c r="A192" t="s">
        <v>6</v>
      </c>
      <c r="B192" s="13">
        <v>3</v>
      </c>
      <c r="C192" s="5">
        <v>0</v>
      </c>
      <c r="D192" s="1">
        <v>0</v>
      </c>
      <c r="E192" s="1">
        <v>18</v>
      </c>
      <c r="F192" s="27">
        <v>520</v>
      </c>
      <c r="G192" s="6">
        <v>115</v>
      </c>
      <c r="H192" s="1">
        <f>SUM(C192:G192)</f>
        <v>653</v>
      </c>
      <c r="I192" s="10">
        <f>F192/H192</f>
        <v>0.79632465543644715</v>
      </c>
      <c r="J192" s="11">
        <f>1-I192</f>
        <v>0.20367534456355285</v>
      </c>
      <c r="K192">
        <f>H192-F194</f>
        <v>68</v>
      </c>
      <c r="N192" s="10">
        <f>2*(F195*I192)/(F195+I192)</f>
        <v>0.84006462035541196</v>
      </c>
      <c r="O192" s="1"/>
      <c r="P192" s="1"/>
      <c r="S192" s="66" t="s">
        <v>56</v>
      </c>
      <c r="T192" s="67">
        <f>N508*100</f>
        <v>100</v>
      </c>
      <c r="U192" s="67">
        <f>N509*100</f>
        <v>94.791666666666671</v>
      </c>
      <c r="V192" s="67">
        <f>N510*100</f>
        <v>94.613180515759311</v>
      </c>
      <c r="W192" s="67">
        <f>N511*100</f>
        <v>86.4</v>
      </c>
      <c r="X192" s="67">
        <f>N512*100</f>
        <v>60.670731707317074</v>
      </c>
      <c r="AC192" t="s">
        <v>296</v>
      </c>
      <c r="AD192" s="51">
        <v>0.88105263157894698</v>
      </c>
      <c r="AE192" s="51">
        <v>0.87523663883874203</v>
      </c>
      <c r="AI192" s="78"/>
      <c r="BF192" s="51">
        <v>0.88081553865940498</v>
      </c>
      <c r="BG192" s="1">
        <v>129</v>
      </c>
      <c r="BH192">
        <f t="shared" si="29"/>
        <v>0.36467261192316763</v>
      </c>
      <c r="BI192">
        <f t="shared" si="30"/>
        <v>2.5826376022845311E-2</v>
      </c>
      <c r="BJ192">
        <f t="shared" si="28"/>
        <v>2.2748273308182833E-2</v>
      </c>
    </row>
    <row r="193" spans="1:62" x14ac:dyDescent="0.3">
      <c r="A193" t="s">
        <v>7</v>
      </c>
      <c r="B193" s="13">
        <v>4</v>
      </c>
      <c r="C193" s="7">
        <v>0</v>
      </c>
      <c r="D193" s="8">
        <v>0</v>
      </c>
      <c r="E193" s="8">
        <v>19</v>
      </c>
      <c r="F193" s="8">
        <v>31</v>
      </c>
      <c r="G193" s="28">
        <v>191</v>
      </c>
      <c r="H193" s="1">
        <f>SUM(C193:G193)</f>
        <v>241</v>
      </c>
      <c r="I193" s="10">
        <f>G193/H193</f>
        <v>0.79253112033195017</v>
      </c>
      <c r="J193" s="11">
        <f>1-I193</f>
        <v>0.20746887966804983</v>
      </c>
      <c r="K193">
        <f>H193-G194</f>
        <v>-188</v>
      </c>
      <c r="N193" s="10">
        <f>2*(G195*I193)/(G195+I193)</f>
        <v>0.57014925373134329</v>
      </c>
      <c r="O193" s="1"/>
      <c r="P193" s="1"/>
      <c r="R193" s="16" t="s">
        <v>66</v>
      </c>
      <c r="S193" t="s">
        <v>9</v>
      </c>
      <c r="T193" s="1">
        <f>N519</f>
        <v>2221.75</v>
      </c>
      <c r="U193" s="1">
        <f>N520</f>
        <v>9131.7800000000007</v>
      </c>
      <c r="V193" s="1">
        <f>N521</f>
        <v>110274.06</v>
      </c>
      <c r="W193" s="1">
        <f>N522</f>
        <v>38809.120000000003</v>
      </c>
      <c r="X193" s="1">
        <f>N523</f>
        <v>36928.18</v>
      </c>
      <c r="Z193" t="s">
        <v>36</v>
      </c>
      <c r="AA193" s="1">
        <f>N524</f>
        <v>197364.88999999998</v>
      </c>
      <c r="AC193" t="s">
        <v>297</v>
      </c>
      <c r="AD193" s="51">
        <v>0.88350877192982402</v>
      </c>
      <c r="AE193" s="51">
        <v>0.87464263350498095</v>
      </c>
      <c r="AH193" s="78"/>
      <c r="AL193" s="132">
        <v>0</v>
      </c>
      <c r="AM193" s="133">
        <v>1</v>
      </c>
      <c r="AN193" s="133">
        <v>2</v>
      </c>
      <c r="AO193" s="133">
        <v>3</v>
      </c>
      <c r="AP193" s="134">
        <v>4</v>
      </c>
      <c r="BF193" s="51">
        <v>0.88082871478358105</v>
      </c>
      <c r="BG193" s="1">
        <v>130</v>
      </c>
      <c r="BH193">
        <f t="shared" si="29"/>
        <v>0.37808387102940144</v>
      </c>
      <c r="BI193">
        <f t="shared" si="30"/>
        <v>2.6776171015100936E-2</v>
      </c>
      <c r="BJ193">
        <f t="shared" ref="BJ193:BJ256" si="41">BI193*BF193</f>
        <v>2.3585220302056731E-2</v>
      </c>
    </row>
    <row r="194" spans="1:62" ht="15.6" x14ac:dyDescent="0.35">
      <c r="B194" s="1" t="s">
        <v>19</v>
      </c>
      <c r="C194" s="1">
        <f>SUM(C189:C193)</f>
        <v>56</v>
      </c>
      <c r="D194" s="1">
        <f>SUM(D189:D193)</f>
        <v>96</v>
      </c>
      <c r="E194" s="1">
        <f>SUM(E189:E193)</f>
        <v>1684</v>
      </c>
      <c r="F194" s="1">
        <f>SUM(F189:F193)</f>
        <v>585</v>
      </c>
      <c r="G194" s="1">
        <f>SUM(G189:G193)</f>
        <v>429</v>
      </c>
      <c r="H194" s="1">
        <f>SUM(H188:H193)</f>
        <v>2850</v>
      </c>
      <c r="I194" s="13" t="s">
        <v>12</v>
      </c>
      <c r="N194" s="16" t="s">
        <v>36</v>
      </c>
      <c r="O194" s="1">
        <f>SUM(O189:O193)</f>
        <v>0</v>
      </c>
      <c r="P194" s="1">
        <f>SUM(P189:P193)</f>
        <v>0</v>
      </c>
      <c r="R194" s="16" t="s">
        <v>323</v>
      </c>
      <c r="S194" t="s">
        <v>68</v>
      </c>
      <c r="T194" s="57">
        <f>$AA193*T186/100</f>
        <v>2221.75</v>
      </c>
      <c r="U194" s="57">
        <f>$AA193*U186/100</f>
        <v>9581.45213014621</v>
      </c>
      <c r="V194" s="57">
        <f>$AA193*V186/100</f>
        <v>103987.44396718418</v>
      </c>
      <c r="W194" s="57">
        <f>$AA193*W186/100</f>
        <v>38060.250533252161</v>
      </c>
      <c r="X194" s="57">
        <f>$AA193*X186/100</f>
        <v>43513.99336941744</v>
      </c>
      <c r="Z194" t="s">
        <v>36</v>
      </c>
      <c r="AA194" s="25">
        <f>SUM(T194:X194)</f>
        <v>197364.88999999998</v>
      </c>
      <c r="AC194" t="s">
        <v>298</v>
      </c>
      <c r="AD194" s="51">
        <v>0.88631578947368395</v>
      </c>
      <c r="AE194" s="51">
        <v>0.87670774755493397</v>
      </c>
      <c r="AI194" s="78"/>
      <c r="AJ194" t="s">
        <v>2</v>
      </c>
      <c r="AQ194" t="s">
        <v>41</v>
      </c>
      <c r="BF194" s="51">
        <v>0.88089967574592298</v>
      </c>
      <c r="BG194" s="1">
        <v>131</v>
      </c>
      <c r="BH194">
        <f t="shared" si="29"/>
        <v>0.39156348283220138</v>
      </c>
      <c r="BI194">
        <f t="shared" si="30"/>
        <v>2.7730806794369275E-2</v>
      </c>
      <c r="BJ194">
        <f t="shared" si="41"/>
        <v>2.4428058713332732E-2</v>
      </c>
    </row>
    <row r="195" spans="1:62" x14ac:dyDescent="0.3">
      <c r="A195" s="1" t="s">
        <v>321</v>
      </c>
      <c r="B195" s="1" t="s">
        <v>2</v>
      </c>
      <c r="C195" s="10">
        <f>C189/C194</f>
        <v>1</v>
      </c>
      <c r="D195" s="10">
        <f>D190/D194</f>
        <v>0.9375</v>
      </c>
      <c r="E195" s="10">
        <f>E191/E194</f>
        <v>0.97684085510688834</v>
      </c>
      <c r="F195" s="10">
        <f>F192/F194</f>
        <v>0.88888888888888884</v>
      </c>
      <c r="G195" s="10">
        <f>G193/G194</f>
        <v>0.44522144522144524</v>
      </c>
      <c r="H195" s="10"/>
      <c r="I195" s="14">
        <f>(C189+D190+E191+F192+G193)/H194</f>
        <v>0.87789473684210528</v>
      </c>
      <c r="R195" s="66"/>
      <c r="S195" s="66" t="s">
        <v>67</v>
      </c>
      <c r="T195" s="67">
        <f>$AA193*T187/100</f>
        <v>0</v>
      </c>
      <c r="U195" s="67">
        <f>$AA193*U187/100</f>
        <v>207.50669552635733</v>
      </c>
      <c r="V195" s="67">
        <f>$AA193*V187/100</f>
        <v>961.82620563350793</v>
      </c>
      <c r="W195" s="67">
        <f>$AA193*W187/100</f>
        <v>1001.3639648511582</v>
      </c>
      <c r="X195" s="67">
        <f>$AA193*X187/100</f>
        <v>1232.3911799000821</v>
      </c>
      <c r="AA195" s="1"/>
      <c r="AC195" t="s">
        <v>299</v>
      </c>
      <c r="AD195" s="51">
        <v>0.89298245614034999</v>
      </c>
      <c r="AE195" s="51">
        <v>0.88534893804442905</v>
      </c>
      <c r="AH195" s="78"/>
      <c r="AJ195" t="s">
        <v>415</v>
      </c>
      <c r="AK195">
        <v>0</v>
      </c>
      <c r="AL195" s="1">
        <v>57.19</v>
      </c>
      <c r="AM195" s="1">
        <v>36.630000000000003</v>
      </c>
      <c r="AN195" s="1">
        <v>12200.99</v>
      </c>
      <c r="AO195" s="1">
        <v>15250.77</v>
      </c>
      <c r="AP195" s="1">
        <v>15676.87</v>
      </c>
      <c r="AR195" s="1">
        <v>2218.87</v>
      </c>
      <c r="AS195" s="1">
        <v>9540.18</v>
      </c>
      <c r="AT195" s="1">
        <v>110786.25</v>
      </c>
      <c r="AU195" s="1">
        <v>39060.879999999997</v>
      </c>
      <c r="AV195" s="1">
        <v>35758.720000000001</v>
      </c>
      <c r="BF195" s="51">
        <v>0.88091222340408804</v>
      </c>
      <c r="BG195" s="1">
        <v>132</v>
      </c>
      <c r="BH195">
        <f t="shared" ref="BH195:BH258" si="42">_xlfn.NORM.S.INV((BG195-0.375)/($BI$61+0.25))</f>
        <v>0.40511462266119358</v>
      </c>
      <c r="BI195">
        <f t="shared" ref="BI195:BI258" si="43">BH195/SQRT($BL$65)</f>
        <v>2.8690508239772709E-2</v>
      </c>
      <c r="BJ195">
        <f t="shared" si="41"/>
        <v>2.5273819404091485E-2</v>
      </c>
    </row>
    <row r="196" spans="1:62" x14ac:dyDescent="0.3">
      <c r="B196" s="1" t="s">
        <v>14</v>
      </c>
      <c r="C196" s="11">
        <f>1-C195</f>
        <v>0</v>
      </c>
      <c r="D196" s="11">
        <f>1-D195</f>
        <v>6.25E-2</v>
      </c>
      <c r="E196" s="11">
        <f>1-E195</f>
        <v>2.3159144893111661E-2</v>
      </c>
      <c r="F196" s="11">
        <f>1-F195</f>
        <v>0.11111111111111116</v>
      </c>
      <c r="G196" s="11">
        <f>1-G195</f>
        <v>0.55477855477855476</v>
      </c>
      <c r="R196" t="s">
        <v>111</v>
      </c>
      <c r="S196" t="s">
        <v>28</v>
      </c>
      <c r="T196" s="57">
        <f>C553</f>
        <v>1.1160343665988413</v>
      </c>
      <c r="U196" s="57">
        <f t="shared" ref="U196:X199" si="44">D553</f>
        <v>4.3414227021507328</v>
      </c>
      <c r="V196" s="57">
        <f t="shared" si="44"/>
        <v>53.28291907677081</v>
      </c>
      <c r="W196" s="57">
        <f t="shared" si="44"/>
        <v>19.49589128349724</v>
      </c>
      <c r="X196" s="57">
        <f t="shared" si="44"/>
        <v>21.763732570982377</v>
      </c>
      <c r="Y196" s="13"/>
      <c r="Z196" s="74"/>
      <c r="AA196" s="12"/>
      <c r="AC196" t="s">
        <v>300</v>
      </c>
      <c r="AD196" s="51">
        <v>0.88561403508771896</v>
      </c>
      <c r="AE196" s="51">
        <v>0.88028681631101902</v>
      </c>
      <c r="AI196" s="78"/>
      <c r="AJ196" t="s">
        <v>415</v>
      </c>
      <c r="AK196">
        <v>1</v>
      </c>
      <c r="AL196" s="1">
        <v>57.14</v>
      </c>
      <c r="AM196" s="1">
        <v>29.28</v>
      </c>
      <c r="AN196" s="1">
        <v>12164.98</v>
      </c>
      <c r="AO196" s="1">
        <v>15574.04</v>
      </c>
      <c r="AP196" s="1">
        <v>15397</v>
      </c>
      <c r="AR196" s="1">
        <v>2202.66</v>
      </c>
      <c r="AS196" s="1">
        <v>8906.32</v>
      </c>
      <c r="AT196" s="1">
        <v>110470</v>
      </c>
      <c r="AU196" s="1">
        <v>39734.769999999997</v>
      </c>
      <c r="AV196" s="1">
        <v>36051.15</v>
      </c>
      <c r="BF196" s="51">
        <v>0.88091351432323195</v>
      </c>
      <c r="BG196" s="1">
        <v>133</v>
      </c>
      <c r="BH196">
        <f t="shared" si="42"/>
        <v>0.41874056937625281</v>
      </c>
      <c r="BI196">
        <f t="shared" si="43"/>
        <v>2.9655507562520084E-2</v>
      </c>
      <c r="BJ196">
        <f t="shared" si="41"/>
        <v>2.612393738593875E-2</v>
      </c>
    </row>
    <row r="197" spans="1:62" x14ac:dyDescent="0.3">
      <c r="C197" s="2"/>
      <c r="S197" s="66" t="s">
        <v>39</v>
      </c>
      <c r="T197" s="67">
        <f>C554</f>
        <v>0</v>
      </c>
      <c r="U197" s="67">
        <f t="shared" si="44"/>
        <v>9.929786151401214E-2</v>
      </c>
      <c r="V197" s="67">
        <f t="shared" si="44"/>
        <v>0.52052010767779611</v>
      </c>
      <c r="W197" s="67">
        <f t="shared" si="44"/>
        <v>0.51890759970963596</v>
      </c>
      <c r="X197" s="67">
        <f t="shared" si="44"/>
        <v>0.63874843172277962</v>
      </c>
      <c r="AC197" t="s">
        <v>301</v>
      </c>
      <c r="AD197" s="51">
        <v>0.88701754385964904</v>
      </c>
      <c r="AE197" s="51">
        <v>0.87791977415431699</v>
      </c>
      <c r="AH197" s="78"/>
      <c r="AJ197" t="s">
        <v>415</v>
      </c>
      <c r="AK197">
        <v>2</v>
      </c>
      <c r="AL197" s="1">
        <v>73.78</v>
      </c>
      <c r="AM197" s="1">
        <v>30.25</v>
      </c>
      <c r="AN197" s="1">
        <v>12184.3</v>
      </c>
      <c r="AO197" s="1">
        <v>15350.19</v>
      </c>
      <c r="AP197" s="1">
        <v>15583.91</v>
      </c>
      <c r="AR197" s="1">
        <v>2239.04</v>
      </c>
      <c r="AS197" s="1">
        <v>8762.26</v>
      </c>
      <c r="AT197" s="1">
        <v>110353.28</v>
      </c>
      <c r="AU197" s="1">
        <v>39562.230000000003</v>
      </c>
      <c r="AV197" s="1">
        <v>36448.080000000002</v>
      </c>
      <c r="BF197" s="51">
        <v>0.88093639400191703</v>
      </c>
      <c r="BG197" s="1">
        <v>134</v>
      </c>
      <c r="BH197">
        <f t="shared" si="42"/>
        <v>0.43244471218542141</v>
      </c>
      <c r="BI197">
        <f t="shared" si="43"/>
        <v>3.0626044788756662E-2</v>
      </c>
      <c r="BJ197">
        <f t="shared" si="41"/>
        <v>2.6979597458748499E-2</v>
      </c>
    </row>
    <row r="198" spans="1:62" ht="15.6" x14ac:dyDescent="0.35">
      <c r="A198" t="s">
        <v>322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100</v>
      </c>
      <c r="U198" s="57">
        <f t="shared" si="44"/>
        <v>95.737981134467447</v>
      </c>
      <c r="V198" s="57">
        <f t="shared" si="44"/>
        <v>95.497526967665777</v>
      </c>
      <c r="W198" s="57">
        <f t="shared" si="44"/>
        <v>84.221929601109451</v>
      </c>
      <c r="X198" s="57">
        <f t="shared" si="44"/>
        <v>69.330626579388237</v>
      </c>
      <c r="AC198" t="s">
        <v>302</v>
      </c>
      <c r="AD198" s="51">
        <v>0.88771929824561402</v>
      </c>
      <c r="AE198" s="51">
        <v>0.87636940006007602</v>
      </c>
      <c r="AI198" s="78"/>
      <c r="AJ198" t="s">
        <v>415</v>
      </c>
      <c r="AK198">
        <v>3</v>
      </c>
      <c r="AL198" s="1">
        <v>57.73</v>
      </c>
      <c r="AM198" s="1">
        <v>31.55</v>
      </c>
      <c r="AN198" s="1">
        <v>12609.45</v>
      </c>
      <c r="AO198" s="1">
        <v>15487.25</v>
      </c>
      <c r="AP198" s="1">
        <v>15036.47</v>
      </c>
      <c r="AR198" s="1">
        <v>2212.39</v>
      </c>
      <c r="AS198" s="1">
        <v>8942.35</v>
      </c>
      <c r="AT198" s="1">
        <v>112611.87</v>
      </c>
      <c r="AU198" s="1">
        <v>39551.440000000002</v>
      </c>
      <c r="AV198" s="1">
        <v>34046.86</v>
      </c>
      <c r="BF198" s="51">
        <v>0.88101516219791798</v>
      </c>
      <c r="BG198" s="1">
        <v>135</v>
      </c>
      <c r="BH198">
        <f t="shared" si="42"/>
        <v>0.44623055793233662</v>
      </c>
      <c r="BI198">
        <f t="shared" si="43"/>
        <v>3.1602368275664941E-2</v>
      </c>
      <c r="BJ198">
        <f t="shared" si="41"/>
        <v>2.7842165612223285E-2</v>
      </c>
    </row>
    <row r="199" spans="1:62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</v>
      </c>
      <c r="U199" s="67">
        <f t="shared" si="44"/>
        <v>1.7815177564126092</v>
      </c>
      <c r="V199" s="67">
        <f t="shared" si="44"/>
        <v>0.72765068303204206</v>
      </c>
      <c r="W199" s="67">
        <f t="shared" si="44"/>
        <v>3.0876953371341842</v>
      </c>
      <c r="X199" s="67">
        <f t="shared" si="44"/>
        <v>6.8059144445742605</v>
      </c>
      <c r="AC199" t="s">
        <v>303</v>
      </c>
      <c r="AD199" s="51">
        <v>0.89228070175438601</v>
      </c>
      <c r="AE199" s="51">
        <v>0.88240794886171403</v>
      </c>
      <c r="AH199" s="78"/>
      <c r="AJ199" t="s">
        <v>415</v>
      </c>
      <c r="AK199">
        <v>4</v>
      </c>
      <c r="AL199" s="1">
        <v>43.01</v>
      </c>
      <c r="AM199" s="1">
        <v>31.57</v>
      </c>
      <c r="AN199" s="1">
        <v>12263.98</v>
      </c>
      <c r="AO199" s="1">
        <v>15603.52</v>
      </c>
      <c r="AP199" s="1">
        <v>15280.37</v>
      </c>
      <c r="AR199" s="1">
        <v>2179.61</v>
      </c>
      <c r="AS199" s="1">
        <v>8988.7999999999993</v>
      </c>
      <c r="AT199" s="1">
        <v>111197.85</v>
      </c>
      <c r="AU199" s="1">
        <v>39944.379999999997</v>
      </c>
      <c r="AV199" s="1">
        <v>35054.25</v>
      </c>
      <c r="BF199" s="51">
        <v>0.88117798937874825</v>
      </c>
      <c r="BG199" s="1">
        <v>136</v>
      </c>
      <c r="BH199">
        <f t="shared" si="42"/>
        <v>0.46010173889686451</v>
      </c>
      <c r="BI199">
        <f t="shared" si="43"/>
        <v>3.2584735263911119E-2</v>
      </c>
      <c r="BJ199">
        <f t="shared" si="41"/>
        <v>2.8712951504291994E-2</v>
      </c>
    </row>
    <row r="200" spans="1:62" x14ac:dyDescent="0.3">
      <c r="A200" t="s">
        <v>3</v>
      </c>
      <c r="B200" s="13">
        <v>0</v>
      </c>
      <c r="C200" s="29">
        <f>(C189/$L200)*$O200</f>
        <v>1.1070965506024628</v>
      </c>
      <c r="D200" s="31">
        <f>(D189/$L200)*$O200</f>
        <v>0</v>
      </c>
      <c r="E200" s="31">
        <f>(E189/$L200)*$O200</f>
        <v>0</v>
      </c>
      <c r="F200" s="31">
        <f>(F189/$L200)*$O200</f>
        <v>0</v>
      </c>
      <c r="G200" s="32">
        <f>(G189/$L200)*$O200</f>
        <v>0</v>
      </c>
      <c r="H200" s="17">
        <f>SUM(C200:G200)</f>
        <v>1.1070965506024628</v>
      </c>
      <c r="I200" s="17">
        <f>C200/H200*100</f>
        <v>100</v>
      </c>
      <c r="J200" s="17">
        <f>SQRT(I200*(100-I200)/(L200-1))</f>
        <v>0</v>
      </c>
      <c r="K200" s="18">
        <f>100-I200</f>
        <v>0</v>
      </c>
      <c r="L200" s="1">
        <f>H189</f>
        <v>56</v>
      </c>
      <c r="M200">
        <v>0</v>
      </c>
      <c r="N200" s="1">
        <v>2185.02</v>
      </c>
      <c r="O200" s="17">
        <f>N200/N205*100</f>
        <v>1.1070965506024628</v>
      </c>
      <c r="P200" s="52">
        <f>((O200*O200*(I200/100)*(K200/100))/(L200-1))</f>
        <v>0</v>
      </c>
      <c r="S200" t="s">
        <v>31</v>
      </c>
      <c r="T200" s="57">
        <f>I548</f>
        <v>100</v>
      </c>
      <c r="U200" s="57">
        <f>I549</f>
        <v>97.826086956521749</v>
      </c>
      <c r="V200" s="57">
        <f>I550</f>
        <v>91.261061946902657</v>
      </c>
      <c r="W200" s="57">
        <f>I551</f>
        <v>81.163859111791737</v>
      </c>
      <c r="X200" s="57">
        <f>I552</f>
        <v>80.912863070539416</v>
      </c>
      <c r="AC200" t="s">
        <v>304</v>
      </c>
      <c r="AD200" s="51">
        <v>0.89017543859649095</v>
      </c>
      <c r="AE200" s="51">
        <v>0.88141773982332094</v>
      </c>
      <c r="AI200" s="78"/>
      <c r="AJ200" t="s">
        <v>415</v>
      </c>
      <c r="AK200">
        <v>5</v>
      </c>
      <c r="AL200" s="1">
        <v>63.7</v>
      </c>
      <c r="AM200" s="1">
        <v>29.96</v>
      </c>
      <c r="AN200" s="1">
        <v>12008.38</v>
      </c>
      <c r="AO200" s="1">
        <v>15526.41</v>
      </c>
      <c r="AP200" s="1">
        <v>15594</v>
      </c>
      <c r="AR200" s="1">
        <v>2205.54</v>
      </c>
      <c r="AS200" s="1">
        <v>8814.5</v>
      </c>
      <c r="AT200" s="1">
        <v>110471.03999999999</v>
      </c>
      <c r="AU200" s="1">
        <v>39805.35</v>
      </c>
      <c r="AV200" s="1">
        <v>36068.46</v>
      </c>
      <c r="BF200" s="51">
        <v>0.88130155500656204</v>
      </c>
      <c r="BG200" s="1">
        <v>137</v>
      </c>
      <c r="BH200">
        <f t="shared" si="42"/>
        <v>0.4740620211572345</v>
      </c>
      <c r="BI200">
        <f t="shared" si="43"/>
        <v>3.3573412469857518E-2</v>
      </c>
      <c r="BJ200">
        <f t="shared" si="41"/>
        <v>2.9588300616562133E-2</v>
      </c>
    </row>
    <row r="201" spans="1:62" x14ac:dyDescent="0.3">
      <c r="A201" t="s">
        <v>4</v>
      </c>
      <c r="B201" s="13">
        <v>1</v>
      </c>
      <c r="C201" s="33">
        <f t="shared" ref="C201:G204" si="45">(C190/$L201)*$O201</f>
        <v>0</v>
      </c>
      <c r="D201" s="34">
        <f t="shared" si="45"/>
        <v>4.3241913174861475</v>
      </c>
      <c r="E201" s="19">
        <f t="shared" si="45"/>
        <v>9.6093140388581064E-2</v>
      </c>
      <c r="F201" s="18">
        <f t="shared" si="45"/>
        <v>0</v>
      </c>
      <c r="G201" s="20">
        <f t="shared" si="45"/>
        <v>0</v>
      </c>
      <c r="H201" s="17">
        <f>SUM(C201:G201)</f>
        <v>4.4202844578747289</v>
      </c>
      <c r="I201" s="17">
        <f>D201/H201*100</f>
        <v>97.826086956521735</v>
      </c>
      <c r="J201" s="17">
        <f>SQRT(I201*(100-I201)/(L201-1))</f>
        <v>1.5287192313211824</v>
      </c>
      <c r="K201" s="18">
        <f>100-I201</f>
        <v>2.1739130434782652</v>
      </c>
      <c r="L201" s="1">
        <f>H190</f>
        <v>92</v>
      </c>
      <c r="M201">
        <v>1</v>
      </c>
      <c r="N201" s="1">
        <v>8724.09</v>
      </c>
      <c r="O201" s="17">
        <f>N201/N205*100</f>
        <v>4.4202844578747289</v>
      </c>
      <c r="P201" s="52">
        <f>((O201*O201*(I201/100)*(K201/100))/(L201-1))</f>
        <v>4.5662101465745114E-3</v>
      </c>
      <c r="S201" s="66" t="s">
        <v>39</v>
      </c>
      <c r="T201" s="67">
        <f>J548</f>
        <v>0</v>
      </c>
      <c r="U201" s="67">
        <f>J549</f>
        <v>1.5287192313211773</v>
      </c>
      <c r="V201" s="67">
        <f>J550</f>
        <v>0.66434399406761713</v>
      </c>
      <c r="W201" s="67">
        <f>J551</f>
        <v>1.531276125486605</v>
      </c>
      <c r="X201" s="67">
        <f>J552</f>
        <v>2.5367259876841253</v>
      </c>
      <c r="AC201" t="s">
        <v>305</v>
      </c>
      <c r="AD201" s="51">
        <v>0.89017543859649095</v>
      </c>
      <c r="AE201" s="51">
        <v>0.88498719067553799</v>
      </c>
      <c r="AH201" s="78"/>
      <c r="AJ201" t="s">
        <v>415</v>
      </c>
      <c r="AK201">
        <v>6</v>
      </c>
      <c r="AL201" s="1">
        <v>61.55</v>
      </c>
      <c r="AM201" s="1">
        <v>28.55</v>
      </c>
      <c r="AN201" s="1">
        <v>12057.68</v>
      </c>
      <c r="AO201" s="1">
        <v>15624.22</v>
      </c>
      <c r="AP201" s="1">
        <v>15450.44</v>
      </c>
      <c r="AR201" s="1">
        <v>2185.02</v>
      </c>
      <c r="AS201" s="1">
        <v>8724.09</v>
      </c>
      <c r="AT201" s="1">
        <v>110397.59</v>
      </c>
      <c r="AU201" s="1">
        <v>39702.339999999997</v>
      </c>
      <c r="AV201" s="1">
        <v>36355.86</v>
      </c>
      <c r="BF201" s="51">
        <v>0.88132141605616798</v>
      </c>
      <c r="BG201" s="1">
        <v>138</v>
      </c>
      <c r="BH201">
        <f t="shared" si="42"/>
        <v>0.48811531356716492</v>
      </c>
      <c r="BI201">
        <f t="shared" si="43"/>
        <v>3.4568676721328996E-2</v>
      </c>
      <c r="BJ201">
        <f t="shared" si="41"/>
        <v>3.0466115119229562E-2</v>
      </c>
    </row>
    <row r="202" spans="1:62" x14ac:dyDescent="0.3">
      <c r="A202" t="s">
        <v>5</v>
      </c>
      <c r="B202" s="13">
        <v>2</v>
      </c>
      <c r="C202" s="33">
        <f t="shared" si="45"/>
        <v>0</v>
      </c>
      <c r="D202" s="19">
        <f t="shared" si="45"/>
        <v>0.18562757796767237</v>
      </c>
      <c r="E202" s="34">
        <f t="shared" si="45"/>
        <v>50.892894292803511</v>
      </c>
      <c r="F202" s="19">
        <f t="shared" si="45"/>
        <v>1.051889608483477</v>
      </c>
      <c r="G202" s="20">
        <f t="shared" si="45"/>
        <v>3.8053653483372836</v>
      </c>
      <c r="H202" s="17">
        <f>SUM(C202:G202)</f>
        <v>55.935776827591944</v>
      </c>
      <c r="I202" s="17">
        <f>E202/H202*100</f>
        <v>90.984513274336294</v>
      </c>
      <c r="J202" s="17">
        <f>SQRT(I202*(100-I202)/(L202-1))</f>
        <v>0.67375073337855573</v>
      </c>
      <c r="K202" s="18">
        <f>100-I202</f>
        <v>9.0154867256637061</v>
      </c>
      <c r="L202" s="1">
        <f>H191</f>
        <v>1808</v>
      </c>
      <c r="M202">
        <v>2</v>
      </c>
      <c r="N202" s="1">
        <v>110397.59</v>
      </c>
      <c r="O202" s="17">
        <f>N202/N205*100</f>
        <v>55.935776827591944</v>
      </c>
      <c r="P202" s="52">
        <f>((O202*O202*(I202/100)*(K202/100))/(L202-1))</f>
        <v>0.14202926827560183</v>
      </c>
      <c r="S202" s="66" t="s">
        <v>56</v>
      </c>
      <c r="T202" s="67">
        <f>N537*100</f>
        <v>100</v>
      </c>
      <c r="U202" s="67">
        <f>N538*100</f>
        <v>95.744680851063833</v>
      </c>
      <c r="V202" s="67">
        <f>N539*100</f>
        <v>94.124358243011983</v>
      </c>
      <c r="W202" s="67">
        <f>N540*100</f>
        <v>85.346215780998392</v>
      </c>
      <c r="X202" s="67">
        <f>N541*100</f>
        <v>59.815950920245399</v>
      </c>
      <c r="AC202" t="s">
        <v>306</v>
      </c>
      <c r="AD202" s="51">
        <v>0.88456140350877099</v>
      </c>
      <c r="AE202" s="51">
        <v>0.87824694080231902</v>
      </c>
      <c r="AI202" s="78"/>
      <c r="AJ202" t="s">
        <v>415</v>
      </c>
      <c r="AK202">
        <v>7</v>
      </c>
      <c r="AL202" s="1">
        <v>69.13</v>
      </c>
      <c r="AM202" s="1">
        <v>26.99</v>
      </c>
      <c r="AN202" s="1">
        <v>11766.23</v>
      </c>
      <c r="AO202" s="1">
        <v>15595.26</v>
      </c>
      <c r="AP202" s="1">
        <v>15764.84</v>
      </c>
      <c r="AR202" s="1">
        <v>2208.0700000000002</v>
      </c>
      <c r="AS202" s="1">
        <v>8398.15</v>
      </c>
      <c r="AT202" s="1">
        <v>109578.91</v>
      </c>
      <c r="AU202" s="1">
        <v>40095.300000000003</v>
      </c>
      <c r="AV202" s="1">
        <v>37084.47</v>
      </c>
      <c r="BF202" s="51">
        <v>0.88137578719147802</v>
      </c>
      <c r="BG202" s="1">
        <v>139</v>
      </c>
      <c r="BH202">
        <f t="shared" si="42"/>
        <v>0.5022656774073111</v>
      </c>
      <c r="BI202">
        <f t="shared" si="43"/>
        <v>3.557081564113547E-2</v>
      </c>
      <c r="BJ202">
        <f t="shared" si="41"/>
        <v>3.1351255636748711E-2</v>
      </c>
    </row>
    <row r="203" spans="1:62" x14ac:dyDescent="0.3">
      <c r="A203" t="s">
        <v>6</v>
      </c>
      <c r="B203" s="13">
        <v>3</v>
      </c>
      <c r="C203" s="33">
        <f t="shared" si="45"/>
        <v>0</v>
      </c>
      <c r="D203" s="19">
        <f t="shared" si="45"/>
        <v>0</v>
      </c>
      <c r="E203" s="19">
        <f t="shared" si="45"/>
        <v>0.55450505439160991</v>
      </c>
      <c r="F203" s="34">
        <f t="shared" si="45"/>
        <v>16.019034904646507</v>
      </c>
      <c r="G203" s="20">
        <f t="shared" si="45"/>
        <v>3.5426711808352853</v>
      </c>
      <c r="H203" s="17">
        <f>SUM(C203:G203)</f>
        <v>20.1162111398734</v>
      </c>
      <c r="I203" s="17">
        <f>F203/H203*100</f>
        <v>79.632465543644727</v>
      </c>
      <c r="J203" s="17">
        <f>SQRT(I203*(100-I203)/(L203-1))</f>
        <v>1.5772135996637475</v>
      </c>
      <c r="K203" s="18">
        <f>100-I203</f>
        <v>20.367534456355273</v>
      </c>
      <c r="L203" s="1">
        <f>H192</f>
        <v>653</v>
      </c>
      <c r="M203">
        <v>3</v>
      </c>
      <c r="N203" s="1">
        <v>39702.339999999997</v>
      </c>
      <c r="O203" s="17">
        <f>N203/N205*100</f>
        <v>20.116211139873403</v>
      </c>
      <c r="P203" s="52">
        <f>((O203*O203*(I203/100)*(K203/100))/(L203-1))</f>
        <v>0.10066381767268065</v>
      </c>
      <c r="R203" s="16" t="s">
        <v>66</v>
      </c>
      <c r="S203" t="s">
        <v>9</v>
      </c>
      <c r="T203" s="1">
        <f>N548</f>
        <v>2202.66</v>
      </c>
      <c r="U203" s="1">
        <f>N549</f>
        <v>8385.5499999999993</v>
      </c>
      <c r="V203" s="1">
        <f>N550</f>
        <v>110043.53</v>
      </c>
      <c r="W203" s="1">
        <f>N551</f>
        <v>39927.81</v>
      </c>
      <c r="X203" s="1">
        <f>N552</f>
        <v>36805.339999999997</v>
      </c>
      <c r="Z203" t="s">
        <v>36</v>
      </c>
      <c r="AA203" s="1">
        <f>N553</f>
        <v>197364.88999999998</v>
      </c>
      <c r="AC203" t="s">
        <v>307</v>
      </c>
      <c r="AD203" s="51">
        <v>0.89122807017543804</v>
      </c>
      <c r="AE203" s="51">
        <v>0.88312465420438002</v>
      </c>
      <c r="AH203" s="78"/>
      <c r="AJ203" t="s">
        <v>415</v>
      </c>
      <c r="AK203">
        <v>8</v>
      </c>
      <c r="AL203" s="1">
        <v>53.82</v>
      </c>
      <c r="AM203" s="1">
        <v>25.98</v>
      </c>
      <c r="AN203" s="1">
        <v>12037.22</v>
      </c>
      <c r="AO203" s="1">
        <v>15542</v>
      </c>
      <c r="AP203" s="1">
        <v>15563.43</v>
      </c>
      <c r="AR203" s="1">
        <v>2209.87</v>
      </c>
      <c r="AS203" s="1">
        <v>8662.51</v>
      </c>
      <c r="AT203" s="1">
        <v>110740.81</v>
      </c>
      <c r="AU203" s="1">
        <v>39794.18</v>
      </c>
      <c r="AV203" s="1">
        <v>35957.53</v>
      </c>
      <c r="BF203" s="56">
        <v>0.88140303828544742</v>
      </c>
      <c r="BG203" s="1">
        <v>140</v>
      </c>
      <c r="BH203">
        <f t="shared" si="42"/>
        <v>0.51651733677697964</v>
      </c>
      <c r="BI203">
        <f t="shared" si="43"/>
        <v>3.6580128383020556E-2</v>
      </c>
      <c r="BJ203">
        <f t="shared" si="41"/>
        <v>3.2241836297666047E-2</v>
      </c>
    </row>
    <row r="204" spans="1:62" ht="15.6" x14ac:dyDescent="0.35">
      <c r="A204" t="s">
        <v>7</v>
      </c>
      <c r="B204" s="13">
        <v>4</v>
      </c>
      <c r="C204" s="35">
        <f t="shared" si="45"/>
        <v>0</v>
      </c>
      <c r="D204" s="36">
        <f t="shared" si="45"/>
        <v>0</v>
      </c>
      <c r="E204" s="21">
        <f t="shared" si="45"/>
        <v>1.4522489189090955</v>
      </c>
      <c r="F204" s="21">
        <f t="shared" si="45"/>
        <v>2.3694587624306291</v>
      </c>
      <c r="G204" s="37">
        <f t="shared" si="45"/>
        <v>14.598923342717748</v>
      </c>
      <c r="H204" s="17">
        <f>SUM(C204:G204)</f>
        <v>18.420631024057474</v>
      </c>
      <c r="I204" s="17">
        <f>G204/H204*100</f>
        <v>79.253112033195023</v>
      </c>
      <c r="J204" s="17">
        <f>SQRT(I204*(100-I204)/(L204-1))</f>
        <v>2.617453785307823</v>
      </c>
      <c r="K204" s="18">
        <f>100-I204</f>
        <v>20.746887966804977</v>
      </c>
      <c r="L204" s="1">
        <f>H193</f>
        <v>241</v>
      </c>
      <c r="M204">
        <v>4</v>
      </c>
      <c r="N204" s="1">
        <v>36355.86</v>
      </c>
      <c r="O204" s="17">
        <f>N204/N205*100</f>
        <v>18.420631024057474</v>
      </c>
      <c r="P204" s="52">
        <f>((O204*O204*(I204/100)*(K204/100))/(L204-1))</f>
        <v>0.23247007282564267</v>
      </c>
      <c r="R204" s="16" t="s">
        <v>323</v>
      </c>
      <c r="S204" t="s">
        <v>68</v>
      </c>
      <c r="T204" s="57">
        <f>$AA203*T196/100</f>
        <v>2202.66</v>
      </c>
      <c r="U204" s="57">
        <f>$AA203*U196/100</f>
        <v>8568.4441405348207</v>
      </c>
      <c r="V204" s="57">
        <f>$AA203*V196/100</f>
        <v>105161.77462465773</v>
      </c>
      <c r="W204" s="57">
        <f>$AA203*W196/100</f>
        <v>38478.044386193913</v>
      </c>
      <c r="X204" s="57">
        <f>$AA203*X196/100</f>
        <v>42953.966848613534</v>
      </c>
      <c r="Z204" t="s">
        <v>36</v>
      </c>
      <c r="AA204" s="25">
        <f>SUM(T204:X204)</f>
        <v>197364.89</v>
      </c>
      <c r="AC204" t="s">
        <v>308</v>
      </c>
      <c r="AD204" s="51">
        <v>0.88596491228070096</v>
      </c>
      <c r="AE204" s="51">
        <v>0.88281592343214399</v>
      </c>
      <c r="AI204" s="78"/>
      <c r="AJ204" t="s">
        <v>415</v>
      </c>
      <c r="AK204">
        <v>9</v>
      </c>
      <c r="AL204" s="1">
        <v>67.150000000000006</v>
      </c>
      <c r="AM204" s="1">
        <v>36.82</v>
      </c>
      <c r="AN204" s="1">
        <v>12266.68</v>
      </c>
      <c r="AO204" s="1">
        <v>15164.53</v>
      </c>
      <c r="AP204" s="1">
        <v>15687.26</v>
      </c>
      <c r="AR204" s="1">
        <v>2215.63</v>
      </c>
      <c r="AS204" s="1">
        <v>9008.25</v>
      </c>
      <c r="AT204" s="1">
        <v>111071.84</v>
      </c>
      <c r="AU204" s="1">
        <v>38674.410000000003</v>
      </c>
      <c r="AV204" s="1">
        <v>36394.769999999997</v>
      </c>
      <c r="BF204" s="51">
        <v>0.88141773982332094</v>
      </c>
      <c r="BG204" s="1">
        <v>141</v>
      </c>
      <c r="BH204">
        <f t="shared" si="42"/>
        <v>0.53087468979951669</v>
      </c>
      <c r="BI204">
        <f t="shared" si="43"/>
        <v>3.7596926425235197E-2</v>
      </c>
      <c r="BJ204">
        <f t="shared" si="41"/>
        <v>3.31385979140345E-2</v>
      </c>
    </row>
    <row r="205" spans="1:62" x14ac:dyDescent="0.3">
      <c r="B205" t="s">
        <v>28</v>
      </c>
      <c r="C205" s="17">
        <f t="shared" ref="C205:H205" si="46">SUM(C200:C204)</f>
        <v>1.1070965506024628</v>
      </c>
      <c r="D205" s="17">
        <f t="shared" si="46"/>
        <v>4.5098188954538196</v>
      </c>
      <c r="E205" s="17">
        <f t="shared" si="46"/>
        <v>52.995741406492797</v>
      </c>
      <c r="F205" s="17">
        <f t="shared" si="46"/>
        <v>19.440383275560613</v>
      </c>
      <c r="G205" s="17">
        <f t="shared" si="46"/>
        <v>21.946959871890318</v>
      </c>
      <c r="H205" s="18">
        <f t="shared" si="46"/>
        <v>100.00000000000001</v>
      </c>
      <c r="I205" s="13" t="s">
        <v>24</v>
      </c>
      <c r="J205" s="12" t="s">
        <v>29</v>
      </c>
      <c r="N205" s="1">
        <f>SUM(N200:N204)</f>
        <v>197364.89999999997</v>
      </c>
      <c r="O205" s="17">
        <f>SUM(O200:O204)</f>
        <v>100.00000000000001</v>
      </c>
      <c r="R205" s="66"/>
      <c r="S205" s="66" t="s">
        <v>67</v>
      </c>
      <c r="T205" s="67">
        <f>$AA203*T197/100</f>
        <v>0</v>
      </c>
      <c r="U205" s="67">
        <f>$AA203*U197/100</f>
        <v>195.9791151494824</v>
      </c>
      <c r="V205" s="67">
        <f>$AA203*V197/100</f>
        <v>1027.3239379461638</v>
      </c>
      <c r="W205" s="67">
        <f>$AA203*W197/100</f>
        <v>1024.1414133685632</v>
      </c>
      <c r="X205" s="67">
        <f>$AA203*X197/100</f>
        <v>1260.665139646389</v>
      </c>
      <c r="AA205" s="1"/>
      <c r="AC205" t="s">
        <v>309</v>
      </c>
      <c r="AD205" s="51">
        <v>0.88070175438596399</v>
      </c>
      <c r="AE205" s="51">
        <v>0.87349717908639701</v>
      </c>
      <c r="AH205" s="78"/>
      <c r="AJ205" t="s">
        <v>415</v>
      </c>
      <c r="AK205">
        <v>10</v>
      </c>
      <c r="AL205" s="1">
        <v>61.5</v>
      </c>
      <c r="AM205" s="1">
        <v>34.39</v>
      </c>
      <c r="AN205" s="1">
        <v>11940.33</v>
      </c>
      <c r="AO205" s="1">
        <v>15525.83</v>
      </c>
      <c r="AP205" s="1">
        <v>15660.4</v>
      </c>
      <c r="AR205" s="1">
        <v>2170.61</v>
      </c>
      <c r="AS205" s="1">
        <v>9123.14</v>
      </c>
      <c r="AT205" s="1">
        <v>109576.4</v>
      </c>
      <c r="AU205" s="1">
        <v>39706.300000000003</v>
      </c>
      <c r="AV205" s="1">
        <v>36788.44</v>
      </c>
      <c r="BF205" s="51">
        <v>0.88143121421750703</v>
      </c>
      <c r="BG205" s="1">
        <v>142</v>
      </c>
      <c r="BH205">
        <f t="shared" si="42"/>
        <v>0.54534232072325628</v>
      </c>
      <c r="BI205">
        <f t="shared" si="43"/>
        <v>3.8621534427535534E-2</v>
      </c>
      <c r="BJ205">
        <f t="shared" si="41"/>
        <v>3.4042225985405898E-2</v>
      </c>
    </row>
    <row r="206" spans="1:62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0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0.10119511832167938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0.51510065329480925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0.53875090887134502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0.65661363189661703</v>
      </c>
      <c r="H206" s="1"/>
      <c r="I206" s="14">
        <f>(C200+D201+E202+F203+G204)/H205</f>
        <v>0.86942140408256363</v>
      </c>
      <c r="J206" s="53">
        <f>SQRT(SUM(P200:P204))/100</f>
        <v>6.9262498433170861E-3</v>
      </c>
      <c r="M206" s="1"/>
      <c r="N206" s="9"/>
      <c r="R206" t="s">
        <v>112</v>
      </c>
      <c r="S206" t="s">
        <v>28</v>
      </c>
      <c r="T206" s="57">
        <f>C582</f>
        <v>1.1116566319543142</v>
      </c>
      <c r="U206" s="57">
        <f t="shared" ref="U206:X209" si="47">D582</f>
        <v>4.4848848232476444</v>
      </c>
      <c r="V206" s="57">
        <f t="shared" si="47"/>
        <v>53.677935844984034</v>
      </c>
      <c r="W206" s="57">
        <f t="shared" si="47"/>
        <v>19.589934178138545</v>
      </c>
      <c r="X206" s="57">
        <f>G582</f>
        <v>21.135588521675462</v>
      </c>
      <c r="Y206" s="60"/>
      <c r="Z206" s="74"/>
      <c r="AA206" s="12"/>
      <c r="AC206" t="s">
        <v>310</v>
      </c>
      <c r="AD206" s="51">
        <v>0.88771929824561402</v>
      </c>
      <c r="AE206" s="51">
        <v>0.88081290685776303</v>
      </c>
      <c r="AI206" s="78"/>
      <c r="AJ206" t="s">
        <v>415</v>
      </c>
      <c r="AK206">
        <v>11</v>
      </c>
      <c r="AL206" s="1">
        <v>59.6</v>
      </c>
      <c r="AM206" s="1">
        <v>29</v>
      </c>
      <c r="AN206" s="1">
        <v>12032.61</v>
      </c>
      <c r="AO206" s="1">
        <v>15501.78</v>
      </c>
      <c r="AP206" s="1">
        <v>15599.46</v>
      </c>
      <c r="AR206" s="1">
        <v>2193.66</v>
      </c>
      <c r="AS206" s="1">
        <v>8531.06</v>
      </c>
      <c r="AT206" s="1">
        <v>110536.94</v>
      </c>
      <c r="AU206" s="1">
        <v>39769.339999999997</v>
      </c>
      <c r="AV206" s="1">
        <v>36333.9</v>
      </c>
      <c r="BF206" s="51">
        <v>0.88144590760776398</v>
      </c>
      <c r="BG206" s="1">
        <v>143</v>
      </c>
      <c r="BH206">
        <f t="shared" si="42"/>
        <v>0.55992501300953679</v>
      </c>
      <c r="BI206">
        <f t="shared" si="43"/>
        <v>3.9654291158085608E-2</v>
      </c>
      <c r="BJ206">
        <f t="shared" si="41"/>
        <v>3.49531126603813E-2</v>
      </c>
    </row>
    <row r="207" spans="1:62" x14ac:dyDescent="0.3">
      <c r="B207" s="1" t="s">
        <v>30</v>
      </c>
      <c r="C207" s="17">
        <f>C200/C205*100</f>
        <v>100</v>
      </c>
      <c r="D207" s="17">
        <f>D201/D205*100</f>
        <v>95.88392389426555</v>
      </c>
      <c r="E207" s="17">
        <f>E202/E205*100</f>
        <v>96.032045108002478</v>
      </c>
      <c r="F207" s="17">
        <f>F203/F205*100</f>
        <v>82.400818325350414</v>
      </c>
      <c r="G207" s="17">
        <f>G204/G205*100</f>
        <v>66.519114391857343</v>
      </c>
      <c r="H207" s="1"/>
      <c r="S207" s="66" t="s">
        <v>39</v>
      </c>
      <c r="T207" s="67">
        <f>C583</f>
        <v>0</v>
      </c>
      <c r="U207" s="67">
        <f t="shared" si="47"/>
        <v>0.11606217995430064</v>
      </c>
      <c r="V207" s="67">
        <f t="shared" si="47"/>
        <v>0.49325592227421339</v>
      </c>
      <c r="W207" s="67">
        <f t="shared" si="47"/>
        <v>0.52610550807277634</v>
      </c>
      <c r="X207" s="67">
        <f t="shared" si="47"/>
        <v>0.62822656506448482</v>
      </c>
      <c r="AC207" t="s">
        <v>311</v>
      </c>
      <c r="AD207" s="51">
        <v>0.88140350877192897</v>
      </c>
      <c r="AE207" s="51">
        <v>0.87396074089690801</v>
      </c>
      <c r="AH207" s="78"/>
      <c r="AJ207" t="s">
        <v>415</v>
      </c>
      <c r="AK207">
        <v>12</v>
      </c>
      <c r="AL207" s="1">
        <v>103.71</v>
      </c>
      <c r="AM207" s="1">
        <v>32.090000000000003</v>
      </c>
      <c r="AN207" s="1">
        <v>12256.63</v>
      </c>
      <c r="AO207" s="1">
        <v>15166.76</v>
      </c>
      <c r="AP207" s="1">
        <v>15663.26</v>
      </c>
      <c r="AR207" s="1">
        <v>2277.58</v>
      </c>
      <c r="AS207" s="1">
        <v>8793.24</v>
      </c>
      <c r="AT207" s="1">
        <v>111519.5</v>
      </c>
      <c r="AU207" s="1">
        <v>38814.53</v>
      </c>
      <c r="AV207" s="1">
        <v>35960.050000000003</v>
      </c>
      <c r="BF207" s="51">
        <v>0.88153801757365802</v>
      </c>
      <c r="BG207" s="1">
        <v>144</v>
      </c>
      <c r="BH207">
        <f t="shared" si="42"/>
        <v>0.57462776351023559</v>
      </c>
      <c r="BI207">
        <f t="shared" si="43"/>
        <v>4.0695550497520529E-2</v>
      </c>
      <c r="BJ207">
        <f t="shared" si="41"/>
        <v>3.5874674909652939E-2</v>
      </c>
    </row>
    <row r="208" spans="1:62" x14ac:dyDescent="0.3">
      <c r="B208" s="16" t="s">
        <v>39</v>
      </c>
      <c r="C208" s="18">
        <f>SQRT((C211+C212)/(C205*C205))</f>
        <v>0</v>
      </c>
      <c r="D208" s="18">
        <f>SQRT((D211+D212)/(D205*D205))</f>
        <v>1.7231366401519175</v>
      </c>
      <c r="E208" s="18">
        <f>SQRT((E211+E212)/(E205*E205))</f>
        <v>0.69741735028216334</v>
      </c>
      <c r="F208" s="18">
        <f>SQRT((F211+F212)/(F205*F205))</f>
        <v>3.4162798021272152</v>
      </c>
      <c r="G208" s="18">
        <f>SQRT((G211+G212)/(G205*G205))</f>
        <v>7.4791453128061667</v>
      </c>
      <c r="H208" s="1"/>
      <c r="I208" s="14"/>
      <c r="S208" t="s">
        <v>30</v>
      </c>
      <c r="T208" s="57">
        <f>C584</f>
        <v>100</v>
      </c>
      <c r="U208" s="57">
        <f t="shared" si="47"/>
        <v>95.125259975812554</v>
      </c>
      <c r="V208" s="57">
        <f t="shared" si="47"/>
        <v>96.412071693340835</v>
      </c>
      <c r="W208" s="57">
        <f t="shared" si="47"/>
        <v>82.674471263012094</v>
      </c>
      <c r="X208" s="57">
        <f t="shared" si="47"/>
        <v>69.053225307439931</v>
      </c>
      <c r="AC208" t="s">
        <v>312</v>
      </c>
      <c r="AD208" s="51">
        <v>0.88631578947368395</v>
      </c>
      <c r="AE208" s="51">
        <v>0.87783959297916103</v>
      </c>
      <c r="AI208" s="78"/>
      <c r="AJ208" t="s">
        <v>415</v>
      </c>
      <c r="AK208">
        <v>13</v>
      </c>
      <c r="AL208" s="1">
        <v>45.29</v>
      </c>
      <c r="AM208" s="1">
        <v>27.37</v>
      </c>
      <c r="AN208" s="1">
        <v>12458.93</v>
      </c>
      <c r="AO208" s="1">
        <v>15367.02</v>
      </c>
      <c r="AP208" s="1">
        <v>15323.85</v>
      </c>
      <c r="AR208" s="1">
        <v>2219.59</v>
      </c>
      <c r="AS208" s="1">
        <v>8338.3799999999992</v>
      </c>
      <c r="AT208" s="1">
        <v>112086.72</v>
      </c>
      <c r="AU208" s="1">
        <v>39550.35</v>
      </c>
      <c r="AV208" s="1">
        <v>35169.86</v>
      </c>
      <c r="BF208" s="51">
        <v>0.881598088253428</v>
      </c>
      <c r="BG208" s="1">
        <v>145</v>
      </c>
      <c r="BH208">
        <f t="shared" si="42"/>
        <v>0.58945579784977842</v>
      </c>
      <c r="BI208">
        <f t="shared" si="43"/>
        <v>4.1745682528311422E-2</v>
      </c>
      <c r="BJ208">
        <f t="shared" si="41"/>
        <v>3.6802913909793879E-2</v>
      </c>
    </row>
    <row r="209" spans="1:62" x14ac:dyDescent="0.3">
      <c r="B209" s="1" t="s">
        <v>37</v>
      </c>
      <c r="C209" s="18">
        <f>100-C207</f>
        <v>0</v>
      </c>
      <c r="D209" s="18">
        <f>100-D207</f>
        <v>4.1160761057344502</v>
      </c>
      <c r="E209" s="18">
        <f>100-E207</f>
        <v>3.9679548919975218</v>
      </c>
      <c r="F209" s="18">
        <f>100-F207</f>
        <v>17.599181674649586</v>
      </c>
      <c r="G209" s="18">
        <f>100-G207</f>
        <v>33.480885608142657</v>
      </c>
      <c r="S209" s="66" t="s">
        <v>39</v>
      </c>
      <c r="T209" s="67">
        <f>C585</f>
        <v>0</v>
      </c>
      <c r="U209" s="67">
        <f t="shared" si="47"/>
        <v>1.9642107150026973</v>
      </c>
      <c r="V209" s="67">
        <f t="shared" si="47"/>
        <v>0.64125844080531824</v>
      </c>
      <c r="W209" s="67">
        <f t="shared" si="47"/>
        <v>3.2359466895479163</v>
      </c>
      <c r="X209" s="67">
        <f t="shared" si="47"/>
        <v>6.9301656007490617</v>
      </c>
      <c r="AC209" t="s">
        <v>313</v>
      </c>
      <c r="AD209" s="51">
        <v>0.88701754385964904</v>
      </c>
      <c r="AE209" s="51">
        <v>0.88049314621838004</v>
      </c>
      <c r="AH209" s="78"/>
      <c r="AJ209" t="s">
        <v>415</v>
      </c>
      <c r="AK209">
        <v>14</v>
      </c>
      <c r="AL209" s="1">
        <v>44.44</v>
      </c>
      <c r="AM209" s="1">
        <v>34.64</v>
      </c>
      <c r="AN209" s="1">
        <v>12246.15</v>
      </c>
      <c r="AO209" s="1">
        <v>15270.03</v>
      </c>
      <c r="AP209" s="1">
        <v>15627.18</v>
      </c>
      <c r="AR209" s="1">
        <v>2179.25</v>
      </c>
      <c r="AS209" s="1">
        <v>8823.14</v>
      </c>
      <c r="AT209" s="1">
        <v>111327.55</v>
      </c>
      <c r="AU209" s="1">
        <v>38950.300000000003</v>
      </c>
      <c r="AV209" s="1">
        <v>36084.65</v>
      </c>
      <c r="BF209" s="51">
        <v>0.88165275576872904</v>
      </c>
      <c r="BG209" s="1">
        <v>146</v>
      </c>
      <c r="BH209">
        <f t="shared" si="42"/>
        <v>0.6044145871408374</v>
      </c>
      <c r="BI209">
        <f t="shared" si="43"/>
        <v>4.2805074718583164E-2</v>
      </c>
      <c r="BJ209">
        <f t="shared" si="41"/>
        <v>3.7739212086525198E-2</v>
      </c>
    </row>
    <row r="210" spans="1:62" ht="15.6" x14ac:dyDescent="0.35">
      <c r="B210" s="1" t="s">
        <v>25</v>
      </c>
      <c r="C210" s="1">
        <f>C194</f>
        <v>56</v>
      </c>
      <c r="D210" s="1">
        <f>D194</f>
        <v>96</v>
      </c>
      <c r="E210" s="1">
        <f>E194</f>
        <v>1684</v>
      </c>
      <c r="F210" s="1">
        <f>F194</f>
        <v>585</v>
      </c>
      <c r="G210" s="1">
        <f>G194</f>
        <v>429</v>
      </c>
      <c r="S210" s="15" t="s">
        <v>31</v>
      </c>
      <c r="T210" s="71">
        <f>I577</f>
        <v>100</v>
      </c>
      <c r="U210" s="71">
        <f>I578</f>
        <v>96.739130434782609</v>
      </c>
      <c r="V210" s="71">
        <f>I579</f>
        <v>91.648230088495581</v>
      </c>
      <c r="W210" s="71">
        <f>I580</f>
        <v>81.470137825421148</v>
      </c>
      <c r="X210" s="71">
        <f>I581</f>
        <v>80.497925311203318</v>
      </c>
      <c r="AC210" t="s">
        <v>314</v>
      </c>
      <c r="AD210" s="51">
        <v>0.88807017543859601</v>
      </c>
      <c r="AE210" s="51">
        <v>0.87973427436595097</v>
      </c>
      <c r="AI210" s="78"/>
      <c r="AJ210" t="s">
        <v>415</v>
      </c>
      <c r="AK210">
        <v>15</v>
      </c>
      <c r="AL210" s="1">
        <v>55.83</v>
      </c>
      <c r="AM210" s="1">
        <v>26.86</v>
      </c>
      <c r="AN210" s="1">
        <v>12249.67</v>
      </c>
      <c r="AO210" s="1">
        <v>15372.89</v>
      </c>
      <c r="AP210" s="1">
        <v>15517.2</v>
      </c>
      <c r="AR210" s="1">
        <v>2230.4</v>
      </c>
      <c r="AS210" s="1">
        <v>8241.85</v>
      </c>
      <c r="AT210" s="1">
        <v>111656.32000000001</v>
      </c>
      <c r="AU210" s="1">
        <v>39538.83</v>
      </c>
      <c r="AV210" s="1">
        <v>35697.5</v>
      </c>
      <c r="BF210" s="51">
        <v>0.88179813450643096</v>
      </c>
      <c r="BG210" s="1">
        <v>147</v>
      </c>
      <c r="BH210">
        <f t="shared" si="42"/>
        <v>0.6195098661793067</v>
      </c>
      <c r="BI210">
        <f t="shared" si="43"/>
        <v>4.3874133210695589E-2</v>
      </c>
      <c r="BJ210">
        <f t="shared" si="41"/>
        <v>3.8688128818278017E-2</v>
      </c>
    </row>
    <row r="211" spans="1:62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7.7361109053036614</v>
      </c>
      <c r="E211" s="18">
        <f>(O202*O202*(100-E207)*(100-E207)*(I202)*(100-I202))/((L202-1)*100)</f>
        <v>223.62033947641197</v>
      </c>
      <c r="F211" s="18">
        <f>(O203*O203*(100-F207)*(100-F207)*(I203)*(100-I203))/((L203-1)*100)</f>
        <v>3117.8724603163464</v>
      </c>
      <c r="G211" s="18">
        <f>(O204*O204*(100-G207)*(100-G207)*(I204)*(100-I204))/((L204-1)*100)</f>
        <v>26059.190805134236</v>
      </c>
      <c r="S211" s="75" t="s">
        <v>39</v>
      </c>
      <c r="T211" s="76">
        <f>J577</f>
        <v>0</v>
      </c>
      <c r="U211" s="76">
        <f>J578</f>
        <v>1.8618603664560827</v>
      </c>
      <c r="V211" s="76">
        <f>J579</f>
        <v>0.6508369863389688</v>
      </c>
      <c r="W211" s="76">
        <f>J580</f>
        <v>1.5216386193197156</v>
      </c>
      <c r="X211" s="76">
        <f>J581</f>
        <v>2.5575676528297544</v>
      </c>
      <c r="AC211" t="s">
        <v>315</v>
      </c>
      <c r="AD211" s="51">
        <v>0.89052631578947306</v>
      </c>
      <c r="AE211" s="51">
        <v>0.88242679915197297</v>
      </c>
      <c r="AH211" s="78"/>
      <c r="AJ211" t="s">
        <v>415</v>
      </c>
      <c r="AK211">
        <v>16</v>
      </c>
      <c r="AL211" s="1">
        <v>61.14</v>
      </c>
      <c r="AM211" s="1">
        <v>25.6</v>
      </c>
      <c r="AN211" s="1">
        <v>12119.12</v>
      </c>
      <c r="AO211" s="1">
        <v>15644.12</v>
      </c>
      <c r="AP211" s="1">
        <v>15372.46</v>
      </c>
      <c r="AR211" s="1">
        <v>2182.13</v>
      </c>
      <c r="AS211" s="1">
        <v>8700.68</v>
      </c>
      <c r="AT211" s="1">
        <v>110601.43</v>
      </c>
      <c r="AU211" s="1">
        <v>40031.89</v>
      </c>
      <c r="AV211" s="1">
        <v>35848.76</v>
      </c>
      <c r="BF211" s="51">
        <v>0.88182947700630898</v>
      </c>
      <c r="BG211" s="1">
        <v>148</v>
      </c>
      <c r="BH211">
        <f t="shared" si="42"/>
        <v>0.63474765328291094</v>
      </c>
      <c r="BI211">
        <f t="shared" si="43"/>
        <v>4.4953284226228012E-2</v>
      </c>
      <c r="BJ211">
        <f t="shared" si="41"/>
        <v>3.9641131118930605E-2</v>
      </c>
    </row>
    <row r="212" spans="1:62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52.652861309083058</v>
      </c>
      <c r="E212" s="18">
        <f>E207*E207*(SUM((H200*E200*(1-E189/H189))/(H189-1),(H201*E201*(1-E190/H190))/(H190-1), (H203*E203*(1-E192/H192))/(H192-1),(H204*E204*(1-E193/H193))/(H193-1)))</f>
        <v>1142.4323151307815</v>
      </c>
      <c r="F212" s="18">
        <f>F207*F207*(SUM((H200*F200*(1-F189/H189))/(H189-1),(H201*F201*(1-F190/H190))/(H190-1), (H202*F202*(1-F191/H191))/(H191-1),(H204*F204*(1-F193/H193))/(H193-1)))</f>
        <v>1292.9188731446998</v>
      </c>
      <c r="G212" s="18">
        <f>G207*G207*(SUM((H200*G200*(1-G189/H189))/(H189-1),(H201*G201*(1-G190/H190))/(H190-1), (H202*G202*(1-G191/H191))/(H191-1),(H203*G203*(1-G192/H192))/(H192-1)))</f>
        <v>884.22675014147671</v>
      </c>
      <c r="S212" s="66" t="s">
        <v>56</v>
      </c>
      <c r="T212" s="67">
        <f>N566*100</f>
        <v>100</v>
      </c>
      <c r="U212" s="67">
        <f>N567*100</f>
        <v>94.680851063829792</v>
      </c>
      <c r="V212" s="67">
        <f>N568*100</f>
        <v>94.604624607479309</v>
      </c>
      <c r="W212" s="67">
        <f>N569*100</f>
        <v>85.11999999999999</v>
      </c>
      <c r="X212" s="67">
        <f>N570*100</f>
        <v>59.969088098918085</v>
      </c>
      <c r="AC212" t="s">
        <v>316</v>
      </c>
      <c r="AD212" s="51">
        <v>0.87894736842105203</v>
      </c>
      <c r="AE212" s="51">
        <v>0.87122177717415705</v>
      </c>
      <c r="AI212" s="78"/>
      <c r="AJ212" t="s">
        <v>415</v>
      </c>
      <c r="AK212">
        <v>17</v>
      </c>
      <c r="AL212" s="1">
        <v>64.790000000000006</v>
      </c>
      <c r="AM212" s="1">
        <v>34.6</v>
      </c>
      <c r="AN212" s="1">
        <v>12135.46</v>
      </c>
      <c r="AO212" s="1">
        <v>15209.38</v>
      </c>
      <c r="AP212" s="1">
        <v>15778.22</v>
      </c>
      <c r="AR212" s="1">
        <v>2221.75</v>
      </c>
      <c r="AS212" s="1">
        <v>9131.7800000000007</v>
      </c>
      <c r="AT212" s="1">
        <v>110274.06</v>
      </c>
      <c r="AU212" s="1">
        <v>38809.120000000003</v>
      </c>
      <c r="AV212" s="1">
        <v>36928.18</v>
      </c>
      <c r="BF212" s="51">
        <v>0.88187910370872102</v>
      </c>
      <c r="BG212" s="1">
        <v>149</v>
      </c>
      <c r="BH212">
        <f t="shared" si="42"/>
        <v>0.65013427195943696</v>
      </c>
      <c r="BI212">
        <f t="shared" si="43"/>
        <v>4.6042975600538889E-2</v>
      </c>
      <c r="BJ212">
        <f t="shared" si="41"/>
        <v>4.0604338054685746E-2</v>
      </c>
    </row>
    <row r="213" spans="1:62" x14ac:dyDescent="0.3">
      <c r="A213" s="105" t="s">
        <v>390</v>
      </c>
      <c r="B213" s="69" t="s">
        <v>9</v>
      </c>
      <c r="C213" s="1">
        <v>258.20999999999998</v>
      </c>
      <c r="D213" s="1">
        <v>1764.21</v>
      </c>
      <c r="E213" s="1">
        <v>15041.45</v>
      </c>
      <c r="F213" s="1">
        <v>1691.08</v>
      </c>
      <c r="G213" s="1">
        <v>3335.71</v>
      </c>
      <c r="I213" t="s">
        <v>36</v>
      </c>
      <c r="J213" s="57">
        <f>SUM(C213:G213)</f>
        <v>22090.660000000003</v>
      </c>
      <c r="R213" s="16" t="s">
        <v>66</v>
      </c>
      <c r="S213" t="s">
        <v>9</v>
      </c>
      <c r="T213" s="1">
        <f>N577</f>
        <v>2194.02</v>
      </c>
      <c r="U213" s="1">
        <f>N578</f>
        <v>8703.92</v>
      </c>
      <c r="V213" s="1">
        <f>N579</f>
        <v>111448.2</v>
      </c>
      <c r="W213" s="1">
        <f>N580</f>
        <v>39235.199999999997</v>
      </c>
      <c r="X213" s="1">
        <f>N581</f>
        <v>35783.56</v>
      </c>
      <c r="Z213" t="s">
        <v>36</v>
      </c>
      <c r="AA213" s="1">
        <f>N582</f>
        <v>197364.9</v>
      </c>
      <c r="AC213" t="s">
        <v>317</v>
      </c>
      <c r="AD213" s="51">
        <v>0.89543859649122803</v>
      </c>
      <c r="AE213" s="51">
        <v>0.88842707122749798</v>
      </c>
      <c r="AH213" s="78"/>
      <c r="AJ213" t="s">
        <v>415</v>
      </c>
      <c r="AK213">
        <v>18</v>
      </c>
      <c r="AL213" s="1">
        <v>65.459999999999994</v>
      </c>
      <c r="AM213" s="1">
        <v>26.93</v>
      </c>
      <c r="AN213" s="1">
        <v>11893.71</v>
      </c>
      <c r="AO213" s="1">
        <v>15625.21</v>
      </c>
      <c r="AP213" s="1">
        <v>15611.14</v>
      </c>
      <c r="AR213" s="1">
        <v>2202.66</v>
      </c>
      <c r="AS213" s="1">
        <v>8385.5499999999993</v>
      </c>
      <c r="AT213" s="1">
        <v>110043.53</v>
      </c>
      <c r="AU213" s="1">
        <v>39927.81</v>
      </c>
      <c r="AV213" s="1">
        <v>36805.339999999997</v>
      </c>
      <c r="BF213" s="51">
        <v>0.881923615432326</v>
      </c>
      <c r="BG213" s="1">
        <v>150</v>
      </c>
      <c r="BH213">
        <f t="shared" si="42"/>
        <v>0.66567637461552476</v>
      </c>
      <c r="BI213">
        <f t="shared" si="43"/>
        <v>4.7143678461839471E-2</v>
      </c>
      <c r="BJ213">
        <f t="shared" si="41"/>
        <v>4.1577123353844544E-2</v>
      </c>
    </row>
    <row r="214" spans="1:62" ht="15.6" x14ac:dyDescent="0.35">
      <c r="B214" t="s">
        <v>391</v>
      </c>
      <c r="C214" s="57">
        <f>(C213/$J213)*100</f>
        <v>1.1688650316468585</v>
      </c>
      <c r="D214" s="57">
        <f>(D213/$J213)*100</f>
        <v>7.9862258529170242</v>
      </c>
      <c r="E214" s="57">
        <f>(E213/$J213)*100</f>
        <v>68.089636072439646</v>
      </c>
      <c r="F214" s="57">
        <f>(F213/$J213)*100</f>
        <v>7.6551809678841636</v>
      </c>
      <c r="G214" s="57">
        <f>(G213/$J213)*100</f>
        <v>15.100092075112284</v>
      </c>
      <c r="R214" s="16" t="s">
        <v>323</v>
      </c>
      <c r="S214" t="s">
        <v>68</v>
      </c>
      <c r="T214" s="57">
        <f>$AA213*T206/100</f>
        <v>2194.0200000000004</v>
      </c>
      <c r="U214" s="57">
        <f>$AA213*U206/100</f>
        <v>8851.5884465178897</v>
      </c>
      <c r="V214" s="57">
        <f>$AA213*V206/100</f>
        <v>105941.4044025169</v>
      </c>
      <c r="W214" s="57">
        <f>$AA213*W206/100</f>
        <v>38663.65400074896</v>
      </c>
      <c r="X214" s="57">
        <f>$AA213*X206/100</f>
        <v>41714.233150216256</v>
      </c>
      <c r="Z214" t="s">
        <v>36</v>
      </c>
      <c r="AA214" s="25">
        <f>SUM(T214:X214)</f>
        <v>197364.9</v>
      </c>
      <c r="AC214" t="s">
        <v>318</v>
      </c>
      <c r="AD214" s="51">
        <v>0.89403508771929796</v>
      </c>
      <c r="AE214" s="51">
        <v>0.88590268454642396</v>
      </c>
      <c r="AI214" s="78"/>
      <c r="AJ214" t="s">
        <v>415</v>
      </c>
      <c r="AK214">
        <v>19</v>
      </c>
      <c r="AL214" s="1">
        <v>51.6</v>
      </c>
      <c r="AM214" s="1">
        <v>24.96</v>
      </c>
      <c r="AN214" s="1">
        <v>12341.74</v>
      </c>
      <c r="AO214" s="1">
        <v>15365.68</v>
      </c>
      <c r="AP214" s="1">
        <v>15438.47</v>
      </c>
      <c r="AR214" s="1">
        <v>2194.02</v>
      </c>
      <c r="AS214" s="1">
        <v>8703.92</v>
      </c>
      <c r="AT214" s="1">
        <v>111448.2</v>
      </c>
      <c r="AU214" s="1">
        <v>39235.199999999997</v>
      </c>
      <c r="AV214" s="1">
        <v>35783.56</v>
      </c>
      <c r="BF214" s="51">
        <v>0.88197788915488695</v>
      </c>
      <c r="BG214" s="1">
        <v>151</v>
      </c>
      <c r="BH214">
        <f t="shared" si="42"/>
        <v>0.68138096854583952</v>
      </c>
      <c r="BI214">
        <f t="shared" si="43"/>
        <v>4.8255889071765555E-2</v>
      </c>
      <c r="BJ214">
        <f t="shared" si="41"/>
        <v>4.2560627182808161E-2</v>
      </c>
    </row>
    <row r="215" spans="1:62" x14ac:dyDescent="0.3">
      <c r="A215" s="361">
        <v>1988</v>
      </c>
      <c r="B215" s="361"/>
      <c r="C215" s="361"/>
      <c r="D215" s="361"/>
      <c r="E215" s="361"/>
      <c r="F215" s="361"/>
      <c r="G215" s="361"/>
      <c r="H215" s="361"/>
      <c r="I215" s="361"/>
      <c r="J215" s="361"/>
      <c r="K215" s="361"/>
      <c r="L215" s="361" t="s">
        <v>85</v>
      </c>
      <c r="M215" s="361"/>
      <c r="N215" s="361"/>
      <c r="O215" s="361"/>
      <c r="P215" s="361"/>
      <c r="R215" s="66"/>
      <c r="S215" s="66" t="s">
        <v>67</v>
      </c>
      <c r="T215" s="67">
        <f>$AA213*T207/100</f>
        <v>0</v>
      </c>
      <c r="U215" s="67">
        <f>$AA213*U207/100</f>
        <v>229.06600540462551</v>
      </c>
      <c r="V215" s="67">
        <f>$AA213*V207/100</f>
        <v>973.51405774057901</v>
      </c>
      <c r="W215" s="67">
        <f>$AA213*W207/100</f>
        <v>1038.3476099023269</v>
      </c>
      <c r="X215" s="67">
        <f>$AA213*X207/100</f>
        <v>1239.8987319129553</v>
      </c>
      <c r="AA215" s="1"/>
      <c r="AC215" t="s">
        <v>319</v>
      </c>
      <c r="AD215" s="51">
        <v>0.88736842105263103</v>
      </c>
      <c r="AE215" s="51">
        <v>0.87968167495567395</v>
      </c>
      <c r="AH215" s="78"/>
      <c r="AQ215" t="s">
        <v>412</v>
      </c>
      <c r="BF215" s="51">
        <v>0.88202857567657711</v>
      </c>
      <c r="BG215" s="1">
        <v>152</v>
      </c>
      <c r="BH215">
        <f t="shared" si="42"/>
        <v>0.69725544447594368</v>
      </c>
      <c r="BI215">
        <f t="shared" si="43"/>
        <v>4.9380130846804184E-2</v>
      </c>
      <c r="BJ215">
        <f t="shared" si="41"/>
        <v>4.3554686477529705E-2</v>
      </c>
    </row>
    <row r="216" spans="1:62" x14ac:dyDescent="0.3">
      <c r="A216" t="s">
        <v>320</v>
      </c>
      <c r="B216" t="s">
        <v>21</v>
      </c>
      <c r="I216" s="1" t="s">
        <v>58</v>
      </c>
      <c r="O216" s="360" t="s">
        <v>411</v>
      </c>
      <c r="P216" s="360"/>
      <c r="AI216" s="78"/>
      <c r="AJ216" t="s">
        <v>416</v>
      </c>
      <c r="AK216">
        <v>0</v>
      </c>
      <c r="AL216" s="1">
        <v>0</v>
      </c>
      <c r="AM216" s="1">
        <v>7.26</v>
      </c>
      <c r="AN216" s="1">
        <v>887.62</v>
      </c>
      <c r="AO216" s="1">
        <v>401.07</v>
      </c>
      <c r="AP216" s="1">
        <v>556.98</v>
      </c>
      <c r="AQ216" s="1"/>
      <c r="AR216" s="1">
        <v>269.37</v>
      </c>
      <c r="AS216" s="1">
        <v>2012.32</v>
      </c>
      <c r="AT216" s="1">
        <v>14878.32</v>
      </c>
      <c r="AU216" s="1">
        <v>1656.87</v>
      </c>
      <c r="AV216" s="1">
        <v>3273.77</v>
      </c>
      <c r="BF216" s="51">
        <v>0.88205398297549298</v>
      </c>
      <c r="BG216" s="1">
        <v>153</v>
      </c>
      <c r="BH216">
        <f t="shared" si="42"/>
        <v>0.7133076079711943</v>
      </c>
      <c r="BI216">
        <f t="shared" si="43"/>
        <v>5.0516956582694325E-2</v>
      </c>
      <c r="BJ216">
        <f t="shared" si="41"/>
        <v>4.4558682761565577E-2</v>
      </c>
    </row>
    <row r="217" spans="1:62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56</v>
      </c>
      <c r="O217" s="13" t="s">
        <v>412</v>
      </c>
      <c r="P217" s="13" t="s">
        <v>41</v>
      </c>
      <c r="AH217" s="78"/>
      <c r="AJ217" t="s">
        <v>416</v>
      </c>
      <c r="AK217">
        <v>1</v>
      </c>
      <c r="AL217" s="1">
        <v>0</v>
      </c>
      <c r="AM217" s="1">
        <v>3.39</v>
      </c>
      <c r="AN217" s="1">
        <v>883.69</v>
      </c>
      <c r="AO217" s="1">
        <v>411.51</v>
      </c>
      <c r="AP217" s="1">
        <v>554.34</v>
      </c>
      <c r="AQ217" s="1"/>
      <c r="AR217" s="1">
        <v>262.17</v>
      </c>
      <c r="AS217" s="1">
        <v>1798.42</v>
      </c>
      <c r="AT217" s="1">
        <v>15004.72</v>
      </c>
      <c r="AU217" s="1">
        <v>1694.69</v>
      </c>
      <c r="AV217" s="1">
        <v>3330.67</v>
      </c>
      <c r="BF217" s="51">
        <v>0.88206931029102098</v>
      </c>
      <c r="BG217" s="1">
        <v>154</v>
      </c>
      <c r="BH217">
        <f t="shared" si="42"/>
        <v>0.7295457140694851</v>
      </c>
      <c r="BI217">
        <f t="shared" si="43"/>
        <v>5.1666950907142448E-2</v>
      </c>
      <c r="BJ217">
        <f t="shared" si="41"/>
        <v>4.5573831751503181E-2</v>
      </c>
    </row>
    <row r="218" spans="1:62" x14ac:dyDescent="0.3">
      <c r="A218" t="s">
        <v>3</v>
      </c>
      <c r="B218" s="13">
        <v>0</v>
      </c>
      <c r="C218" s="26">
        <v>56</v>
      </c>
      <c r="D218" s="3">
        <v>0</v>
      </c>
      <c r="E218" s="3">
        <v>0</v>
      </c>
      <c r="F218" s="3">
        <v>0</v>
      </c>
      <c r="G218" s="4">
        <v>0</v>
      </c>
      <c r="H218" s="1">
        <f>SUM(C218:G218)</f>
        <v>56</v>
      </c>
      <c r="I218" s="10">
        <f>C218/H218</f>
        <v>1</v>
      </c>
      <c r="J218" s="11">
        <f>1-I218</f>
        <v>0</v>
      </c>
      <c r="K218">
        <f>H218-C223</f>
        <v>0</v>
      </c>
      <c r="N218" s="10">
        <f>2*(C224*I218)/(C224+I218)</f>
        <v>1</v>
      </c>
      <c r="O218" s="1"/>
      <c r="P218" s="1"/>
      <c r="R218" s="66"/>
      <c r="S218" s="66"/>
      <c r="T218" s="66"/>
      <c r="U218" s="66"/>
      <c r="V218" s="66"/>
      <c r="W218" s="66"/>
      <c r="X218" s="66"/>
      <c r="AI218" s="78"/>
      <c r="AJ218" t="s">
        <v>416</v>
      </c>
      <c r="AK218">
        <v>2</v>
      </c>
      <c r="AL218" s="1">
        <v>0</v>
      </c>
      <c r="AM218" s="1">
        <v>3.72</v>
      </c>
      <c r="AN218" s="1">
        <v>902.93</v>
      </c>
      <c r="AO218" s="1">
        <v>402.26</v>
      </c>
      <c r="AP218" s="1">
        <v>544.02</v>
      </c>
      <c r="AQ218" s="1"/>
      <c r="AR218" s="1">
        <v>264.69</v>
      </c>
      <c r="AS218" s="1">
        <v>1785.45</v>
      </c>
      <c r="AT218" s="1">
        <v>15035.33</v>
      </c>
      <c r="AU218" s="1">
        <v>1691.08</v>
      </c>
      <c r="AV218" s="1">
        <v>3314.1</v>
      </c>
      <c r="BF218" s="51">
        <v>0.88216257491329708</v>
      </c>
      <c r="BG218" s="1">
        <v>155</v>
      </c>
      <c r="BH218">
        <f t="shared" si="42"/>
        <v>0.74597850554896161</v>
      </c>
      <c r="BI218">
        <f t="shared" si="43"/>
        <v>5.2830732989969618E-2</v>
      </c>
      <c r="BJ218">
        <f t="shared" si="41"/>
        <v>4.6605295448988469E-2</v>
      </c>
    </row>
    <row r="219" spans="1:62" x14ac:dyDescent="0.3">
      <c r="A219" t="s">
        <v>4</v>
      </c>
      <c r="B219" s="13">
        <v>1</v>
      </c>
      <c r="C219" s="5">
        <v>0</v>
      </c>
      <c r="D219" s="27">
        <v>90</v>
      </c>
      <c r="E219" s="1">
        <v>2</v>
      </c>
      <c r="F219" s="1">
        <v>0</v>
      </c>
      <c r="G219" s="6">
        <v>0</v>
      </c>
      <c r="H219" s="1">
        <f>SUM(C219:G219)</f>
        <v>92</v>
      </c>
      <c r="I219" s="10">
        <f>D219/H219</f>
        <v>0.97826086956521741</v>
      </c>
      <c r="J219" s="11">
        <f>1-I219</f>
        <v>2.1739130434782594E-2</v>
      </c>
      <c r="K219">
        <f>H219-D223</f>
        <v>-1</v>
      </c>
      <c r="N219" s="10">
        <f>2*(D224*I219)/(D224+I219)</f>
        <v>0.97297297297297303</v>
      </c>
      <c r="O219" s="1"/>
      <c r="P219" s="1"/>
      <c r="R219" t="s">
        <v>371</v>
      </c>
      <c r="S219" t="s">
        <v>28</v>
      </c>
      <c r="T219" s="57">
        <f>AVERAGE(T16,T26,T36,T46,T56,T66,T76,T86,T96,T106,T116,T126,T136,T146,T156,T166,T176,T186,T196,T206)</f>
        <v>1.1184448394488942</v>
      </c>
      <c r="U219" s="57">
        <f>AVERAGE(U16,U26,U36,U46,U56,U66,U76,U86,U96,U106,U116,U126,U136,U146,U156,U166,U176,U186,U196,U206)</f>
        <v>4.5750126327195266</v>
      </c>
      <c r="V219" s="57">
        <f>AVERAGE(V16,V26,V36,V46,V56,V66,V76,V86,V96,V106,V116,V126,V136,V146,V156,V166,V176,V186,V196,V206)</f>
        <v>53.245695144171272</v>
      </c>
      <c r="W219" s="57">
        <f>AVERAGE(W16,W26,W36,W46,W56,W66,W76,W86,W96,W106,W116,W126,W136,W146,W156,W166,W176,W186,W196,W206)</f>
        <v>19.687658945068655</v>
      </c>
      <c r="X219" s="57">
        <f>AVERAGE(X16,X26,X36,X46,X56,X66,X76,X86,X96,X106,X116,X126,X136,X146,X156,X166,X176,X186,X196,X206)</f>
        <v>21.373188438591651</v>
      </c>
      <c r="AH219" s="78"/>
      <c r="AJ219" t="s">
        <v>416</v>
      </c>
      <c r="AK219">
        <v>3</v>
      </c>
      <c r="AL219" s="1">
        <v>0</v>
      </c>
      <c r="AM219" s="1">
        <v>4.87</v>
      </c>
      <c r="AN219" s="1">
        <v>918.47</v>
      </c>
      <c r="AO219" s="1">
        <v>408.66</v>
      </c>
      <c r="AP219" s="1">
        <v>520.94000000000005</v>
      </c>
      <c r="AQ219" s="1"/>
      <c r="AR219" s="1">
        <v>271.52999999999997</v>
      </c>
      <c r="AS219" s="1">
        <v>1809.22</v>
      </c>
      <c r="AT219" s="1">
        <v>15285.61</v>
      </c>
      <c r="AU219" s="1">
        <v>1672.36</v>
      </c>
      <c r="AV219" s="1">
        <v>3051.94</v>
      </c>
      <c r="BF219" s="51">
        <v>0.88218095500221105</v>
      </c>
      <c r="BG219" s="1">
        <v>156</v>
      </c>
      <c r="BH219">
        <f t="shared" si="42"/>
        <v>0.76261525530438468</v>
      </c>
      <c r="BI219">
        <f t="shared" si="43"/>
        <v>5.400895954423595E-2</v>
      </c>
      <c r="BJ219">
        <f t="shared" si="41"/>
        <v>4.7645675509409853E-2</v>
      </c>
    </row>
    <row r="220" spans="1:62" x14ac:dyDescent="0.3">
      <c r="A220" t="s">
        <v>5</v>
      </c>
      <c r="B220" s="13">
        <v>2</v>
      </c>
      <c r="C220" s="5">
        <v>0</v>
      </c>
      <c r="D220" s="1">
        <v>3</v>
      </c>
      <c r="E220" s="27">
        <v>1651</v>
      </c>
      <c r="F220" s="1">
        <v>37</v>
      </c>
      <c r="G220" s="6">
        <v>117</v>
      </c>
      <c r="H220" s="1">
        <f>SUM(C220:G220)</f>
        <v>1808</v>
      </c>
      <c r="I220" s="10">
        <f>E220/H220</f>
        <v>0.91316371681415931</v>
      </c>
      <c r="J220" s="11">
        <f>1-I220</f>
        <v>8.683628318584069E-2</v>
      </c>
      <c r="K220">
        <f>H220-E223</f>
        <v>127</v>
      </c>
      <c r="N220" s="10">
        <f>2*(E224*I220)/(E224+I220)</f>
        <v>0.94640298079678986</v>
      </c>
      <c r="O220" s="1"/>
      <c r="P220" s="1"/>
      <c r="S220" s="66" t="s">
        <v>39</v>
      </c>
      <c r="T220" s="67">
        <f t="shared" ref="T220:X228" si="48">AVERAGE(T17,T27,T37,T47,T57,T67,T77,T87,T97,T107,T117,T127,T137,T147,T157,T167,T177,T187,T197,T207)</f>
        <v>0</v>
      </c>
      <c r="U220" s="67">
        <f t="shared" si="48"/>
        <v>0.10642446974717452</v>
      </c>
      <c r="V220" s="67">
        <f t="shared" si="48"/>
        <v>0.49745790483120073</v>
      </c>
      <c r="W220" s="67">
        <f t="shared" si="48"/>
        <v>0.52033501395068948</v>
      </c>
      <c r="X220" s="67">
        <f t="shared" si="48"/>
        <v>0.62996874974835038</v>
      </c>
      <c r="AC220" t="s">
        <v>123</v>
      </c>
      <c r="AD220" t="s">
        <v>162</v>
      </c>
      <c r="AE220" t="s">
        <v>124</v>
      </c>
      <c r="AI220" s="78"/>
      <c r="AJ220" t="s">
        <v>416</v>
      </c>
      <c r="AK220">
        <v>4</v>
      </c>
      <c r="AL220" s="1">
        <v>0</v>
      </c>
      <c r="AM220" s="1">
        <v>4.5599999999999996</v>
      </c>
      <c r="AN220" s="1">
        <v>915.02</v>
      </c>
      <c r="AO220" s="1">
        <v>408.77</v>
      </c>
      <c r="AP220" s="1">
        <v>524.58000000000004</v>
      </c>
      <c r="AQ220" s="1"/>
      <c r="AR220" s="1">
        <v>261.45</v>
      </c>
      <c r="AS220" s="1">
        <v>1841.63</v>
      </c>
      <c r="AT220" s="1">
        <v>15194.86</v>
      </c>
      <c r="AU220" s="1">
        <v>1710.17</v>
      </c>
      <c r="AV220" s="1">
        <v>3082.55</v>
      </c>
      <c r="BF220" s="51">
        <v>0.88222003483012101</v>
      </c>
      <c r="BG220" s="1">
        <v>157</v>
      </c>
      <c r="BH220">
        <f t="shared" si="42"/>
        <v>0.77946581337961318</v>
      </c>
      <c r="BI220">
        <f t="shared" si="43"/>
        <v>5.5202328157114761E-2</v>
      </c>
      <c r="BJ220">
        <f t="shared" si="41"/>
        <v>4.8700599869473553E-2</v>
      </c>
    </row>
    <row r="221" spans="1:62" x14ac:dyDescent="0.3">
      <c r="A221" t="s">
        <v>6</v>
      </c>
      <c r="B221" s="13">
        <v>3</v>
      </c>
      <c r="C221" s="5">
        <v>0</v>
      </c>
      <c r="D221" s="1">
        <v>0</v>
      </c>
      <c r="E221" s="1">
        <v>15</v>
      </c>
      <c r="F221" s="27">
        <v>537</v>
      </c>
      <c r="G221" s="6">
        <v>101</v>
      </c>
      <c r="H221" s="1">
        <f>SUM(C221:G221)</f>
        <v>653</v>
      </c>
      <c r="I221" s="10">
        <f>F221/H221</f>
        <v>0.8223583460949464</v>
      </c>
      <c r="J221" s="11">
        <f>1-I221</f>
        <v>0.1776416539050536</v>
      </c>
      <c r="K221">
        <f>H221-F223</f>
        <v>50</v>
      </c>
      <c r="N221" s="10">
        <f>2*(F224*I221)/(F224+I221)</f>
        <v>0.85509554140127386</v>
      </c>
      <c r="O221" s="1"/>
      <c r="P221" s="1"/>
      <c r="S221" t="s">
        <v>30</v>
      </c>
      <c r="T221" s="57">
        <f t="shared" si="48"/>
        <v>100</v>
      </c>
      <c r="U221" s="57">
        <f t="shared" si="48"/>
        <v>95.135537570767525</v>
      </c>
      <c r="V221" s="57">
        <f t="shared" si="48"/>
        <v>96.381140725276055</v>
      </c>
      <c r="W221" s="57">
        <f t="shared" si="48"/>
        <v>83.37961643548617</v>
      </c>
      <c r="X221" s="57">
        <f t="shared" si="48"/>
        <v>69.04295618387539</v>
      </c>
      <c r="AB221">
        <v>0</v>
      </c>
      <c r="AC221">
        <v>31</v>
      </c>
      <c r="AD221">
        <v>26</v>
      </c>
      <c r="AE221">
        <v>15</v>
      </c>
      <c r="AH221" s="78"/>
      <c r="AJ221" t="s">
        <v>416</v>
      </c>
      <c r="AK221">
        <v>5</v>
      </c>
      <c r="AL221" s="1">
        <v>0</v>
      </c>
      <c r="AM221" s="1">
        <v>2.77</v>
      </c>
      <c r="AN221" s="1">
        <v>892.74</v>
      </c>
      <c r="AO221" s="1">
        <v>408.43</v>
      </c>
      <c r="AP221" s="1">
        <v>548.99</v>
      </c>
      <c r="AQ221" s="1"/>
      <c r="AR221" s="1">
        <v>260.01</v>
      </c>
      <c r="AS221" s="1">
        <v>1809.22</v>
      </c>
      <c r="AT221" s="1">
        <v>15043.97</v>
      </c>
      <c r="AU221" s="1">
        <v>1716.65</v>
      </c>
      <c r="AV221" s="1">
        <v>3260.8</v>
      </c>
      <c r="BF221" s="51">
        <v>0.88240794886171403</v>
      </c>
      <c r="BG221" s="1">
        <v>158</v>
      </c>
      <c r="BH221">
        <f t="shared" si="42"/>
        <v>0.79654065929088214</v>
      </c>
      <c r="BI221">
        <f t="shared" si="43"/>
        <v>5.6411580995464693E-2</v>
      </c>
      <c r="BJ221">
        <f t="shared" si="41"/>
        <v>4.9778027478254445E-2</v>
      </c>
    </row>
    <row r="222" spans="1:62" x14ac:dyDescent="0.3">
      <c r="A222" t="s">
        <v>7</v>
      </c>
      <c r="B222" s="13">
        <v>4</v>
      </c>
      <c r="C222" s="7">
        <v>0</v>
      </c>
      <c r="D222" s="8">
        <v>0</v>
      </c>
      <c r="E222" s="8">
        <v>13</v>
      </c>
      <c r="F222" s="8">
        <v>29</v>
      </c>
      <c r="G222" s="28">
        <v>199</v>
      </c>
      <c r="H222" s="1">
        <f>SUM(C222:G222)</f>
        <v>241</v>
      </c>
      <c r="I222" s="10">
        <f>G222/H222</f>
        <v>0.82572614107883813</v>
      </c>
      <c r="J222" s="11">
        <f>1-I222</f>
        <v>0.17427385892116187</v>
      </c>
      <c r="K222">
        <f>H222-G223</f>
        <v>-176</v>
      </c>
      <c r="N222" s="10">
        <f>2*(G224*I222)/(G224+I222)</f>
        <v>0.60486322188449848</v>
      </c>
      <c r="O222" s="1"/>
      <c r="P222" s="1"/>
      <c r="S222" s="66" t="s">
        <v>39</v>
      </c>
      <c r="T222" s="67">
        <f t="shared" si="48"/>
        <v>0</v>
      </c>
      <c r="U222" s="67">
        <f t="shared" si="48"/>
        <v>1.850315193699227</v>
      </c>
      <c r="V222" s="67">
        <f t="shared" si="48"/>
        <v>0.65177872470791098</v>
      </c>
      <c r="W222" s="67">
        <f t="shared" si="48"/>
        <v>3.11650723430696</v>
      </c>
      <c r="X222" s="67">
        <f t="shared" si="48"/>
        <v>6.8595926631063504</v>
      </c>
      <c r="AB222">
        <v>1</v>
      </c>
      <c r="AC222">
        <v>60</v>
      </c>
      <c r="AD222">
        <v>55</v>
      </c>
      <c r="AE222">
        <v>44</v>
      </c>
      <c r="AI222" s="78"/>
      <c r="AJ222" t="s">
        <v>416</v>
      </c>
      <c r="AK222">
        <v>6</v>
      </c>
      <c r="AL222" s="1">
        <v>0</v>
      </c>
      <c r="AM222" s="1">
        <v>4.0199999999999996</v>
      </c>
      <c r="AN222" s="1">
        <v>877.34</v>
      </c>
      <c r="AO222" s="1">
        <v>409.25</v>
      </c>
      <c r="AP222" s="1">
        <v>562.33000000000004</v>
      </c>
      <c r="AQ222" s="1"/>
      <c r="AR222" s="1">
        <v>258.20999999999998</v>
      </c>
      <c r="AS222" s="1">
        <v>1764.21</v>
      </c>
      <c r="AT222" s="1">
        <v>15041.45</v>
      </c>
      <c r="AU222" s="1">
        <v>1691.08</v>
      </c>
      <c r="AV222" s="1">
        <v>3335.71</v>
      </c>
      <c r="BF222" s="51">
        <v>0.88242679915197297</v>
      </c>
      <c r="BG222" s="1">
        <v>159</v>
      </c>
      <c r="BH222">
        <f t="shared" si="42"/>
        <v>0.81385096037908433</v>
      </c>
      <c r="BI222">
        <f t="shared" si="43"/>
        <v>5.7637508938380155E-2</v>
      </c>
      <c r="BJ222">
        <f t="shared" si="41"/>
        <v>5.086088252358803E-2</v>
      </c>
    </row>
    <row r="223" spans="1:62" ht="15.6" x14ac:dyDescent="0.35">
      <c r="B223" s="1" t="s">
        <v>19</v>
      </c>
      <c r="C223" s="1">
        <f>SUM(C218:C222)</f>
        <v>56</v>
      </c>
      <c r="D223" s="1">
        <f>SUM(D218:D222)</f>
        <v>93</v>
      </c>
      <c r="E223" s="1">
        <f>SUM(E218:E222)</f>
        <v>1681</v>
      </c>
      <c r="F223" s="1">
        <f>SUM(F218:F222)</f>
        <v>603</v>
      </c>
      <c r="G223" s="1">
        <f>SUM(G218:G222)</f>
        <v>417</v>
      </c>
      <c r="H223" s="1">
        <f>SUM(H217:H222)</f>
        <v>2850</v>
      </c>
      <c r="I223" s="13" t="s">
        <v>12</v>
      </c>
      <c r="N223" s="16" t="s">
        <v>36</v>
      </c>
      <c r="O223" s="1">
        <f>SUM(O218:O222)</f>
        <v>0</v>
      </c>
      <c r="P223" s="1">
        <f>SUM(P218:P222)</f>
        <v>0</v>
      </c>
      <c r="S223" s="15" t="s">
        <v>31</v>
      </c>
      <c r="T223" s="71">
        <f t="shared" si="48"/>
        <v>100</v>
      </c>
      <c r="U223" s="71">
        <f t="shared" si="48"/>
        <v>97.826086956521721</v>
      </c>
      <c r="V223" s="71">
        <f t="shared" si="48"/>
        <v>91.377212389380517</v>
      </c>
      <c r="W223" s="71">
        <f t="shared" si="48"/>
        <v>81.990811638591111</v>
      </c>
      <c r="X223" s="71">
        <f t="shared" si="48"/>
        <v>80.82987551867221</v>
      </c>
      <c r="AB223">
        <v>2</v>
      </c>
      <c r="AC223">
        <v>89</v>
      </c>
      <c r="AD223">
        <v>84</v>
      </c>
      <c r="AE223">
        <v>73</v>
      </c>
      <c r="AH223" s="78"/>
      <c r="AJ223" t="s">
        <v>416</v>
      </c>
      <c r="AK223">
        <v>7</v>
      </c>
      <c r="AL223" s="1">
        <v>0</v>
      </c>
      <c r="AM223" s="1">
        <v>2.77</v>
      </c>
      <c r="AN223" s="1">
        <v>872.96</v>
      </c>
      <c r="AO223" s="1">
        <v>406.52</v>
      </c>
      <c r="AP223" s="1">
        <v>570.69000000000005</v>
      </c>
      <c r="AQ223" s="1"/>
      <c r="AR223" s="1">
        <v>261.45</v>
      </c>
      <c r="AS223" s="1">
        <v>1724.95</v>
      </c>
      <c r="AT223" s="1">
        <v>14916.14</v>
      </c>
      <c r="AU223" s="1">
        <v>1718.09</v>
      </c>
      <c r="AV223" s="1">
        <v>3470.03</v>
      </c>
      <c r="BF223" s="51">
        <v>0.88247362325267997</v>
      </c>
      <c r="BG223" s="1">
        <v>160</v>
      </c>
      <c r="BH223">
        <f t="shared" si="42"/>
        <v>0.8314086370526691</v>
      </c>
      <c r="BI223">
        <f t="shared" si="43"/>
        <v>5.8880956197740225E-2</v>
      </c>
      <c r="BJ223">
        <f t="shared" si="41"/>
        <v>5.1960890756402159E-2</v>
      </c>
    </row>
    <row r="224" spans="1:62" x14ac:dyDescent="0.3">
      <c r="A224" s="1" t="s">
        <v>321</v>
      </c>
      <c r="B224" s="1" t="s">
        <v>2</v>
      </c>
      <c r="C224" s="10">
        <f>C218/C223</f>
        <v>1</v>
      </c>
      <c r="D224" s="10">
        <f>D219/D223</f>
        <v>0.967741935483871</v>
      </c>
      <c r="E224" s="10">
        <f>E220/E223</f>
        <v>0.98215348007138603</v>
      </c>
      <c r="F224" s="10">
        <f>F221/F223</f>
        <v>0.89054726368159209</v>
      </c>
      <c r="G224" s="10">
        <f>G222/G223</f>
        <v>0.47721822541966424</v>
      </c>
      <c r="H224" s="10"/>
      <c r="I224" s="14">
        <f>(C218+D219+E220+F221+G222)/H223</f>
        <v>0.88877192982456144</v>
      </c>
      <c r="S224" s="75" t="s">
        <v>39</v>
      </c>
      <c r="T224" s="76">
        <f t="shared" si="48"/>
        <v>0</v>
      </c>
      <c r="U224" s="76">
        <f t="shared" si="48"/>
        <v>1.5069949164317511</v>
      </c>
      <c r="V224" s="76">
        <f t="shared" si="48"/>
        <v>0.66026103614875287</v>
      </c>
      <c r="W224" s="76">
        <f t="shared" si="48"/>
        <v>1.5042226453421752</v>
      </c>
      <c r="X224" s="76">
        <f t="shared" si="48"/>
        <v>2.5383952401451255</v>
      </c>
      <c r="AB224">
        <v>3</v>
      </c>
      <c r="AC224">
        <v>118</v>
      </c>
      <c r="AD224">
        <v>113</v>
      </c>
      <c r="AE224">
        <v>102</v>
      </c>
      <c r="AI224" s="78"/>
      <c r="AJ224" t="s">
        <v>416</v>
      </c>
      <c r="AK224">
        <v>8</v>
      </c>
      <c r="AL224" s="1">
        <v>0</v>
      </c>
      <c r="AM224" s="1">
        <v>3.8</v>
      </c>
      <c r="AN224" s="1">
        <v>902.47</v>
      </c>
      <c r="AO224" s="1">
        <v>405.07</v>
      </c>
      <c r="AP224" s="1">
        <v>541.59</v>
      </c>
      <c r="AQ224" s="1"/>
      <c r="AR224" s="1">
        <v>270.08999999999997</v>
      </c>
      <c r="AS224" s="1">
        <v>1794.46</v>
      </c>
      <c r="AT224" s="1">
        <v>15096.19</v>
      </c>
      <c r="AU224" s="1">
        <v>1679.56</v>
      </c>
      <c r="AV224" s="1">
        <v>3250.36</v>
      </c>
      <c r="BF224" s="51">
        <v>0.88262762441539599</v>
      </c>
      <c r="BG224" s="1">
        <v>161</v>
      </c>
      <c r="BH224">
        <f t="shared" si="42"/>
        <v>0.84922643593033087</v>
      </c>
      <c r="BI224">
        <f t="shared" si="43"/>
        <v>6.0142825498226318E-2</v>
      </c>
      <c r="BJ224">
        <f t="shared" si="41"/>
        <v>5.3083719195129199E-2</v>
      </c>
    </row>
    <row r="225" spans="1:62" x14ac:dyDescent="0.3">
      <c r="B225" s="1" t="s">
        <v>14</v>
      </c>
      <c r="C225" s="11">
        <f>1-C224</f>
        <v>0</v>
      </c>
      <c r="D225" s="11">
        <f>1-D224</f>
        <v>3.2258064516129004E-2</v>
      </c>
      <c r="E225" s="11">
        <f>1-E224</f>
        <v>1.7846519928613969E-2</v>
      </c>
      <c r="F225" s="11">
        <f>1-F224</f>
        <v>0.10945273631840791</v>
      </c>
      <c r="G225" s="11">
        <f>1-G224</f>
        <v>0.52278177458033581</v>
      </c>
      <c r="S225" s="66" t="s">
        <v>56</v>
      </c>
      <c r="T225" s="67">
        <f t="shared" si="48"/>
        <v>100</v>
      </c>
      <c r="U225" s="67">
        <f t="shared" si="48"/>
        <v>95.125134553992751</v>
      </c>
      <c r="V225" s="67">
        <f t="shared" si="48"/>
        <v>94.476024547069045</v>
      </c>
      <c r="W225" s="67">
        <f t="shared" si="48"/>
        <v>85.576397384878788</v>
      </c>
      <c r="X225" s="67">
        <f t="shared" si="48"/>
        <v>59.933954076500946</v>
      </c>
      <c r="AB225">
        <v>4</v>
      </c>
      <c r="AC225">
        <v>147</v>
      </c>
      <c r="AD225">
        <v>142</v>
      </c>
      <c r="AE225">
        <v>131</v>
      </c>
      <c r="AH225" s="78"/>
      <c r="AJ225" t="s">
        <v>416</v>
      </c>
      <c r="AK225">
        <v>9</v>
      </c>
      <c r="AL225" s="1">
        <v>0</v>
      </c>
      <c r="AM225" s="1">
        <v>5.63</v>
      </c>
      <c r="AN225" s="1">
        <v>879.45</v>
      </c>
      <c r="AO225" s="1">
        <v>403.46</v>
      </c>
      <c r="AP225" s="1">
        <v>564.39</v>
      </c>
      <c r="AR225" s="1">
        <v>262.17</v>
      </c>
      <c r="AS225" s="1">
        <v>1794.46</v>
      </c>
      <c r="AT225" s="1">
        <v>15063.78</v>
      </c>
      <c r="AU225" s="1">
        <v>1650.75</v>
      </c>
      <c r="AV225" s="1">
        <v>3319.5</v>
      </c>
      <c r="BF225" s="51">
        <v>0.88271577850386296</v>
      </c>
      <c r="BG225" s="1">
        <v>162</v>
      </c>
      <c r="BH225">
        <f t="shared" si="42"/>
        <v>0.8673180120699755</v>
      </c>
      <c r="BI225">
        <f t="shared" si="43"/>
        <v>6.1424083900836604E-2</v>
      </c>
      <c r="BJ225">
        <f t="shared" si="41"/>
        <v>5.4220008039413577E-2</v>
      </c>
    </row>
    <row r="226" spans="1:62" x14ac:dyDescent="0.3">
      <c r="C226" s="2"/>
      <c r="R226" s="16" t="s">
        <v>66</v>
      </c>
      <c r="S226" t="s">
        <v>9</v>
      </c>
      <c r="T226" s="1">
        <f t="shared" si="48"/>
        <v>2207.4175</v>
      </c>
      <c r="U226" s="1">
        <f t="shared" si="48"/>
        <v>8776.0074999999997</v>
      </c>
      <c r="V226" s="1">
        <f t="shared" si="48"/>
        <v>110837.50450000001</v>
      </c>
      <c r="W226" s="1">
        <f t="shared" si="48"/>
        <v>39512.947499999995</v>
      </c>
      <c r="X226" s="1">
        <f t="shared" si="48"/>
        <v>36031.019500000009</v>
      </c>
      <c r="AB226">
        <v>5</v>
      </c>
      <c r="AC226">
        <v>176</v>
      </c>
      <c r="AD226">
        <v>171</v>
      </c>
      <c r="AE226">
        <v>160</v>
      </c>
      <c r="AI226" s="78"/>
      <c r="AJ226" t="s">
        <v>416</v>
      </c>
      <c r="AK226">
        <v>10</v>
      </c>
      <c r="AL226" s="1">
        <v>0</v>
      </c>
      <c r="AM226" s="1">
        <v>5.79</v>
      </c>
      <c r="AN226" s="1">
        <v>873.07</v>
      </c>
      <c r="AO226" s="1">
        <v>410.46</v>
      </c>
      <c r="AP226" s="1">
        <v>563.61</v>
      </c>
      <c r="AR226" s="1">
        <v>252.45</v>
      </c>
      <c r="AS226" s="1">
        <v>1872.96</v>
      </c>
      <c r="AT226" s="1">
        <v>14909.29</v>
      </c>
      <c r="AU226" s="1">
        <v>1704.05</v>
      </c>
      <c r="AV226" s="1">
        <v>3351.91</v>
      </c>
      <c r="BF226" s="51">
        <v>0.88276122933303303</v>
      </c>
      <c r="BG226" s="1">
        <v>163</v>
      </c>
      <c r="BH226">
        <f t="shared" si="42"/>
        <v>0.8856980216844178</v>
      </c>
      <c r="BI226">
        <f t="shared" si="43"/>
        <v>6.2725769369078213E-2</v>
      </c>
      <c r="BJ226">
        <f t="shared" si="41"/>
        <v>5.5371877279107792E-2</v>
      </c>
    </row>
    <row r="227" spans="1:62" ht="15.6" x14ac:dyDescent="0.35">
      <c r="A227" t="s">
        <v>322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323</v>
      </c>
      <c r="S227" t="s">
        <v>68</v>
      </c>
      <c r="T227" s="57">
        <f>AVERAGE(T24,T34,T44,T54,T64,T74,T84,T94,T104,T114,T124,T134,T144,T154,T164,T174,T184,T194,T204,T214)</f>
        <v>2207.4175000000005</v>
      </c>
      <c r="U227" s="57">
        <f t="shared" si="48"/>
        <v>9029.4689455199095</v>
      </c>
      <c r="V227" s="57">
        <f t="shared" si="48"/>
        <v>105088.31113021697</v>
      </c>
      <c r="W227" s="57">
        <f t="shared" si="48"/>
        <v>38856.52769440673</v>
      </c>
      <c r="X227" s="57">
        <f t="shared" si="48"/>
        <v>42183.171229856394</v>
      </c>
      <c r="AB227">
        <v>6</v>
      </c>
      <c r="AC227">
        <v>205</v>
      </c>
      <c r="AD227">
        <v>200</v>
      </c>
      <c r="AE227">
        <v>189</v>
      </c>
      <c r="AH227" s="78"/>
      <c r="AJ227" t="s">
        <v>416</v>
      </c>
      <c r="AK227">
        <v>11</v>
      </c>
      <c r="AL227" s="1">
        <v>0</v>
      </c>
      <c r="AM227" s="1">
        <v>3.26</v>
      </c>
      <c r="AN227" s="1">
        <v>888.02</v>
      </c>
      <c r="AO227" s="1">
        <v>410.54</v>
      </c>
      <c r="AP227" s="1">
        <v>551.12</v>
      </c>
      <c r="AR227" s="1">
        <v>256.05</v>
      </c>
      <c r="AS227" s="1">
        <v>1713.43</v>
      </c>
      <c r="AT227" s="1">
        <v>15053.7</v>
      </c>
      <c r="AU227" s="1">
        <v>1708.01</v>
      </c>
      <c r="AV227" s="1">
        <v>3359.47</v>
      </c>
      <c r="BF227" s="51">
        <v>0.88281592343214399</v>
      </c>
      <c r="BG227" s="1">
        <v>164</v>
      </c>
      <c r="BH227">
        <f t="shared" si="42"/>
        <v>0.90438222700361048</v>
      </c>
      <c r="BI227">
        <f t="shared" si="43"/>
        <v>6.4048998195385523E-2</v>
      </c>
      <c r="BJ227">
        <f t="shared" si="41"/>
        <v>5.6543475486762994E-2</v>
      </c>
    </row>
    <row r="228" spans="1:62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67</v>
      </c>
      <c r="T228" s="67">
        <f>AVERAGE(T25,T35,T45,T55,T65,T75,T85,T95,T105,T115,T125,T135,T145,T155,T165,T175,T185,T195,T205,T215)</f>
        <v>0</v>
      </c>
      <c r="U228" s="67">
        <f t="shared" si="48"/>
        <v>210.04454449777367</v>
      </c>
      <c r="V228" s="67">
        <f t="shared" si="48"/>
        <v>981.80727920858624</v>
      </c>
      <c r="W228" s="67">
        <f t="shared" si="48"/>
        <v>1026.9586616725287</v>
      </c>
      <c r="X228" s="67">
        <f t="shared" si="48"/>
        <v>1243.3371708518566</v>
      </c>
      <c r="AB228">
        <v>7</v>
      </c>
      <c r="AC228">
        <v>234</v>
      </c>
      <c r="AD228">
        <v>229</v>
      </c>
      <c r="AE228">
        <v>218</v>
      </c>
      <c r="AI228" s="78"/>
      <c r="AJ228" t="s">
        <v>416</v>
      </c>
      <c r="AK228">
        <v>12</v>
      </c>
      <c r="AL228" s="1">
        <v>0</v>
      </c>
      <c r="AM228" s="1">
        <v>5.45</v>
      </c>
      <c r="AN228" s="1">
        <v>884.96</v>
      </c>
      <c r="AO228" s="1">
        <v>398.96</v>
      </c>
      <c r="AP228" s="1">
        <v>563.55999999999995</v>
      </c>
      <c r="AR228" s="1">
        <v>280.54000000000002</v>
      </c>
      <c r="AS228" s="1">
        <v>1808.86</v>
      </c>
      <c r="AT228" s="1">
        <v>15067.74</v>
      </c>
      <c r="AU228" s="1">
        <v>1621.58</v>
      </c>
      <c r="AV228" s="1">
        <v>3311.94</v>
      </c>
      <c r="BF228" s="51">
        <v>0.88287247249102196</v>
      </c>
      <c r="BG228" s="1">
        <v>165</v>
      </c>
      <c r="BH228">
        <f t="shared" si="42"/>
        <v>0.92338761525908586</v>
      </c>
      <c r="BI228">
        <f t="shared" si="43"/>
        <v>6.5394973427683731E-2</v>
      </c>
      <c r="BJ228">
        <f t="shared" si="41"/>
        <v>5.7735421878583819E-2</v>
      </c>
    </row>
    <row r="229" spans="1:62" x14ac:dyDescent="0.3">
      <c r="A229" t="s">
        <v>3</v>
      </c>
      <c r="B229" s="13">
        <v>0</v>
      </c>
      <c r="C229" s="29">
        <f>(C218/$L229)*$O229</f>
        <v>1.1187754256202598</v>
      </c>
      <c r="D229" s="31">
        <f>(D218/$L229)*$O229</f>
        <v>0</v>
      </c>
      <c r="E229" s="31">
        <f>(E218/$L229)*$O229</f>
        <v>0</v>
      </c>
      <c r="F229" s="31">
        <f>(F218/$L229)*$O229</f>
        <v>0</v>
      </c>
      <c r="G229" s="32">
        <f>(G218/$L229)*$O229</f>
        <v>0</v>
      </c>
      <c r="H229" s="17">
        <f>SUM(C229:G229)</f>
        <v>1.1187754256202598</v>
      </c>
      <c r="I229" s="17">
        <f>C229/H229*100</f>
        <v>100</v>
      </c>
      <c r="J229" s="17">
        <f>SQRT(I229*(100-I229)/(L229-1))</f>
        <v>0</v>
      </c>
      <c r="K229" s="18">
        <f>100-I229</f>
        <v>0</v>
      </c>
      <c r="L229" s="1">
        <f>H218</f>
        <v>56</v>
      </c>
      <c r="M229">
        <v>0</v>
      </c>
      <c r="N229" s="1">
        <v>2208.0700000000002</v>
      </c>
      <c r="O229" s="17">
        <f>N229/N234*100</f>
        <v>1.1187754256202598</v>
      </c>
      <c r="P229" s="52">
        <f>((O229*O229*(I229/100)*(K229/100))/(L229-1))</f>
        <v>0</v>
      </c>
      <c r="AB229">
        <v>8</v>
      </c>
      <c r="AC229">
        <v>263</v>
      </c>
      <c r="AD229">
        <v>258</v>
      </c>
      <c r="AE229">
        <v>247</v>
      </c>
      <c r="AH229" s="78"/>
      <c r="AJ229" t="s">
        <v>416</v>
      </c>
      <c r="AK229">
        <v>13</v>
      </c>
      <c r="AL229" s="1">
        <v>0</v>
      </c>
      <c r="AM229" s="1">
        <v>2.41</v>
      </c>
      <c r="AN229" s="1">
        <v>892.13</v>
      </c>
      <c r="AO229" s="1">
        <v>403.75</v>
      </c>
      <c r="AP229" s="1">
        <v>554.63</v>
      </c>
      <c r="AR229" s="1">
        <v>264.33</v>
      </c>
      <c r="AS229" s="1">
        <v>1718.11</v>
      </c>
      <c r="AT229" s="1">
        <v>15196.66</v>
      </c>
      <c r="AU229" s="1">
        <v>1701.17</v>
      </c>
      <c r="AV229" s="1">
        <v>3210.39</v>
      </c>
      <c r="BF229" s="51">
        <v>0.88305156601759804</v>
      </c>
      <c r="BG229" s="1">
        <v>166</v>
      </c>
      <c r="BH229">
        <f t="shared" si="42"/>
        <v>0.94273253415310254</v>
      </c>
      <c r="BI229">
        <f t="shared" si="43"/>
        <v>6.6764994463410915E-2</v>
      </c>
      <c r="BJ229">
        <f t="shared" si="41"/>
        <v>5.8956932916071271E-2</v>
      </c>
    </row>
    <row r="230" spans="1:62" x14ac:dyDescent="0.3">
      <c r="A230" t="s">
        <v>4</v>
      </c>
      <c r="B230" s="13">
        <v>1</v>
      </c>
      <c r="C230" s="33">
        <f t="shared" ref="C230:G233" si="49">(C219/$L230)*$O230</f>
        <v>0</v>
      </c>
      <c r="D230" s="34">
        <f t="shared" si="49"/>
        <v>4.1626355657663199</v>
      </c>
      <c r="E230" s="19">
        <f t="shared" si="49"/>
        <v>9.2503012572584878E-2</v>
      </c>
      <c r="F230" s="18">
        <f t="shared" si="49"/>
        <v>0</v>
      </c>
      <c r="G230" s="20">
        <f t="shared" si="49"/>
        <v>0</v>
      </c>
      <c r="H230" s="17">
        <f>SUM(C230:G230)</f>
        <v>4.2551385783389044</v>
      </c>
      <c r="I230" s="17">
        <f>D230/H230*100</f>
        <v>97.826086956521749</v>
      </c>
      <c r="J230" s="17">
        <f>SQRT(I230*(100-I230)/(L230-1))</f>
        <v>1.5287192313211773</v>
      </c>
      <c r="K230" s="18">
        <f>100-I230</f>
        <v>2.173913043478251</v>
      </c>
      <c r="L230" s="1">
        <f>H219</f>
        <v>92</v>
      </c>
      <c r="M230">
        <v>1</v>
      </c>
      <c r="N230" s="1">
        <v>8398.15</v>
      </c>
      <c r="O230" s="17">
        <f>N230/N234*100</f>
        <v>4.2551385783389044</v>
      </c>
      <c r="P230" s="52">
        <f>((O230*O230*(I230/100)*(K230/100))/(L230-1))</f>
        <v>4.2313882425842764E-3</v>
      </c>
      <c r="S230" t="s">
        <v>69</v>
      </c>
      <c r="T230" s="1" t="s">
        <v>418</v>
      </c>
      <c r="U230" s="1" t="s">
        <v>419</v>
      </c>
      <c r="V230" s="1" t="s">
        <v>420</v>
      </c>
      <c r="W230" s="1" t="s">
        <v>421</v>
      </c>
      <c r="X230" s="1" t="s">
        <v>422</v>
      </c>
      <c r="AB230">
        <v>9</v>
      </c>
      <c r="AC230">
        <v>292</v>
      </c>
      <c r="AD230">
        <v>287</v>
      </c>
      <c r="AE230">
        <v>276</v>
      </c>
      <c r="AI230" s="78"/>
      <c r="AJ230" t="s">
        <v>416</v>
      </c>
      <c r="AK230">
        <v>14</v>
      </c>
      <c r="AL230" s="1">
        <v>0</v>
      </c>
      <c r="AM230" s="1">
        <v>2.87</v>
      </c>
      <c r="AN230" s="1">
        <v>898.25</v>
      </c>
      <c r="AO230" s="1">
        <v>397.84</v>
      </c>
      <c r="AP230" s="1">
        <v>553.97</v>
      </c>
      <c r="AR230" s="1">
        <v>267.57</v>
      </c>
      <c r="AS230" s="1">
        <v>1776.09</v>
      </c>
      <c r="AT230" s="1">
        <v>15073.5</v>
      </c>
      <c r="AU230" s="1">
        <v>1662.64</v>
      </c>
      <c r="AV230" s="1">
        <v>3310.86</v>
      </c>
      <c r="BF230" s="51">
        <v>0.88312465420438002</v>
      </c>
      <c r="BG230" s="1">
        <v>167</v>
      </c>
      <c r="BH230">
        <f t="shared" si="42"/>
        <v>0.96243684665105678</v>
      </c>
      <c r="BI230">
        <f t="shared" si="43"/>
        <v>6.8160468012027825E-2</v>
      </c>
      <c r="BJ230">
        <f t="shared" si="41"/>
        <v>6.0194189743530781E-2</v>
      </c>
    </row>
    <row r="231" spans="1:62" x14ac:dyDescent="0.3">
      <c r="A231" t="s">
        <v>5</v>
      </c>
      <c r="B231" s="13">
        <v>2</v>
      </c>
      <c r="C231" s="33">
        <f t="shared" si="49"/>
        <v>0</v>
      </c>
      <c r="D231" s="19">
        <f t="shared" si="49"/>
        <v>9.2125505908405944E-2</v>
      </c>
      <c r="E231" s="34">
        <f t="shared" si="49"/>
        <v>50.699736751592738</v>
      </c>
      <c r="F231" s="19">
        <f t="shared" si="49"/>
        <v>1.1362145728703401</v>
      </c>
      <c r="G231" s="20">
        <f t="shared" si="49"/>
        <v>3.5928947304278323</v>
      </c>
      <c r="H231" s="17">
        <f>SUM(C231:G231)</f>
        <v>55.52097156079931</v>
      </c>
      <c r="I231" s="17">
        <f>E231/H231*100</f>
        <v>91.316371681415944</v>
      </c>
      <c r="J231" s="17">
        <f>SQRT(I231*(100-I231)/(L231-1))</f>
        <v>0.66243895045402745</v>
      </c>
      <c r="K231" s="18">
        <f>100-I231</f>
        <v>8.6836283185840557</v>
      </c>
      <c r="L231" s="1">
        <f>H220</f>
        <v>1808</v>
      </c>
      <c r="M231">
        <v>2</v>
      </c>
      <c r="N231" s="1">
        <v>109578.91</v>
      </c>
      <c r="O231" s="17">
        <f>N231/N234*100</f>
        <v>55.520971560799318</v>
      </c>
      <c r="P231" s="52">
        <f>((O231*O231*(I231/100)*(K231/100))/(L231-1))</f>
        <v>0.13527135342799587</v>
      </c>
      <c r="T231" s="57">
        <f>T24</f>
        <v>2218.8699999999994</v>
      </c>
      <c r="U231" s="57">
        <f>U24</f>
        <v>10129.367332387459</v>
      </c>
      <c r="V231" s="57">
        <f>V24</f>
        <v>105307.61399706047</v>
      </c>
      <c r="W231" s="57">
        <f>W24</f>
        <v>38587.260744357802</v>
      </c>
      <c r="X231" s="57">
        <f>X24</f>
        <v>41121.78792619428</v>
      </c>
      <c r="AB231">
        <v>10</v>
      </c>
      <c r="AC231">
        <v>321</v>
      </c>
      <c r="AD231">
        <v>316</v>
      </c>
      <c r="AE231">
        <v>305</v>
      </c>
      <c r="AH231" s="78"/>
      <c r="AJ231" t="s">
        <v>416</v>
      </c>
      <c r="AK231">
        <v>15</v>
      </c>
      <c r="AL231" s="1">
        <v>0</v>
      </c>
      <c r="AM231" s="1">
        <v>2.9</v>
      </c>
      <c r="AN231" s="1">
        <v>904.59</v>
      </c>
      <c r="AO231" s="1">
        <v>405.34</v>
      </c>
      <c r="AP231" s="1">
        <v>540.1</v>
      </c>
      <c r="AR231" s="1">
        <v>273.33</v>
      </c>
      <c r="AS231" s="1">
        <v>1696.87</v>
      </c>
      <c r="AT231" s="1">
        <v>15224.03</v>
      </c>
      <c r="AU231" s="1">
        <v>1665.16</v>
      </c>
      <c r="AV231" s="1">
        <v>3231.28</v>
      </c>
      <c r="BF231" s="51">
        <v>0.88346166065919596</v>
      </c>
      <c r="BG231" s="1">
        <v>168</v>
      </c>
      <c r="BH231">
        <f t="shared" si="42"/>
        <v>0.9825221085250373</v>
      </c>
      <c r="BI231">
        <f t="shared" si="43"/>
        <v>6.9582920668779649E-2</v>
      </c>
      <c r="BJ231">
        <f t="shared" si="41"/>
        <v>6.1473842647557161E-2</v>
      </c>
    </row>
    <row r="232" spans="1:62" x14ac:dyDescent="0.3">
      <c r="A232" t="s">
        <v>6</v>
      </c>
      <c r="B232" s="13">
        <v>3</v>
      </c>
      <c r="C232" s="33">
        <f t="shared" si="49"/>
        <v>0</v>
      </c>
      <c r="D232" s="19">
        <f t="shared" si="49"/>
        <v>0</v>
      </c>
      <c r="E232" s="19">
        <f t="shared" si="49"/>
        <v>0.46666112768474766</v>
      </c>
      <c r="F232" s="34">
        <f t="shared" si="49"/>
        <v>16.706468371113967</v>
      </c>
      <c r="G232" s="20">
        <f t="shared" si="49"/>
        <v>3.1421849264106343</v>
      </c>
      <c r="H232" s="17">
        <f>SUM(C232:G232)</f>
        <v>20.315314425209351</v>
      </c>
      <c r="I232" s="17">
        <f>F232/H232*100</f>
        <v>82.235834609494631</v>
      </c>
      <c r="J232" s="17">
        <f>SQRT(I232*(100-I232)/(L232-1))</f>
        <v>1.4968530214541313</v>
      </c>
      <c r="K232" s="18">
        <f>100-I232</f>
        <v>17.764165390505369</v>
      </c>
      <c r="L232" s="1">
        <f>H221</f>
        <v>653</v>
      </c>
      <c r="M232">
        <v>3</v>
      </c>
      <c r="N232" s="1">
        <v>40095.300000000003</v>
      </c>
      <c r="O232" s="17">
        <f>N232/N234*100</f>
        <v>20.315314425209348</v>
      </c>
      <c r="P232" s="52">
        <f>((O232*O232*(I232/100)*(K232/100))/(L232-1))</f>
        <v>9.2470970029085817E-2</v>
      </c>
      <c r="T232" s="57">
        <f>T34</f>
        <v>2202.66</v>
      </c>
      <c r="U232" s="57">
        <f>U34</f>
        <v>9201.5096575606003</v>
      </c>
      <c r="V232" s="57">
        <f>V34</f>
        <v>104558.78779728779</v>
      </c>
      <c r="W232" s="57">
        <f>W34</f>
        <v>38516.461752770272</v>
      </c>
      <c r="X232" s="57">
        <f>X34</f>
        <v>42885.480792381313</v>
      </c>
      <c r="AB232">
        <v>11</v>
      </c>
      <c r="AC232">
        <v>350</v>
      </c>
      <c r="AD232">
        <v>345</v>
      </c>
      <c r="AE232">
        <v>334</v>
      </c>
      <c r="AI232" s="78"/>
      <c r="AJ232" t="s">
        <v>416</v>
      </c>
      <c r="AK232">
        <v>16</v>
      </c>
      <c r="AL232" s="1">
        <v>0</v>
      </c>
      <c r="AM232" s="1">
        <v>3.09</v>
      </c>
      <c r="AN232" s="1">
        <v>906.64</v>
      </c>
      <c r="AO232" s="1">
        <v>410.76</v>
      </c>
      <c r="AP232" s="1">
        <v>532.44000000000005</v>
      </c>
      <c r="AQ232" s="1"/>
      <c r="AR232" s="1">
        <v>258.20999999999998</v>
      </c>
      <c r="AS232" s="1">
        <v>1803.46</v>
      </c>
      <c r="AT232" s="1">
        <v>15087.55</v>
      </c>
      <c r="AU232" s="1">
        <v>1725.65</v>
      </c>
      <c r="AV232" s="1">
        <v>3215.79</v>
      </c>
      <c r="BF232" s="51">
        <v>0.88360137732819399</v>
      </c>
      <c r="BG232" s="1">
        <v>169</v>
      </c>
      <c r="BH232">
        <f t="shared" si="42"/>
        <v>1.0030117728102925</v>
      </c>
      <c r="BI232">
        <f t="shared" si="43"/>
        <v>7.1034013394449869E-2</v>
      </c>
      <c r="BJ232">
        <f t="shared" si="41"/>
        <v>6.276575207248529E-2</v>
      </c>
    </row>
    <row r="233" spans="1:62" x14ac:dyDescent="0.3">
      <c r="A233" t="s">
        <v>7</v>
      </c>
      <c r="B233" s="13">
        <v>4</v>
      </c>
      <c r="C233" s="35">
        <f t="shared" si="49"/>
        <v>0</v>
      </c>
      <c r="D233" s="36">
        <f t="shared" si="49"/>
        <v>0</v>
      </c>
      <c r="E233" s="21">
        <f t="shared" si="49"/>
        <v>1.0135576768897026</v>
      </c>
      <c r="F233" s="21">
        <f t="shared" si="49"/>
        <v>2.2610132792154904</v>
      </c>
      <c r="G233" s="37">
        <f t="shared" si="49"/>
        <v>15.515229053926983</v>
      </c>
      <c r="H233" s="17">
        <f>SUM(C233:G233)</f>
        <v>18.789800010032177</v>
      </c>
      <c r="I233" s="17">
        <f>G233/H233*100</f>
        <v>82.572614107883808</v>
      </c>
      <c r="J233" s="17">
        <f>SQRT(I233*(100-I233)/(L233-1))</f>
        <v>2.4486601865262365</v>
      </c>
      <c r="K233" s="18">
        <f>100-I233</f>
        <v>17.427385892116192</v>
      </c>
      <c r="L233" s="1">
        <f>H222</f>
        <v>241</v>
      </c>
      <c r="M233">
        <v>4</v>
      </c>
      <c r="N233" s="1">
        <v>37084.47</v>
      </c>
      <c r="O233" s="17">
        <f>N233/N234*100</f>
        <v>18.789800010032177</v>
      </c>
      <c r="P233" s="52">
        <f>((O233*O233*(I233/100)*(K233/100))/(L233-1))</f>
        <v>0.2116904934887866</v>
      </c>
      <c r="T233" s="57">
        <f>T44</f>
        <v>2239.04</v>
      </c>
      <c r="U233" s="57">
        <f>U44</f>
        <v>9033.2346806464011</v>
      </c>
      <c r="V233" s="57">
        <f>V44</f>
        <v>104524.25600824172</v>
      </c>
      <c r="W233" s="57">
        <f>W44</f>
        <v>39629.991238812661</v>
      </c>
      <c r="X233" s="57">
        <f>X44</f>
        <v>41938.368072299229</v>
      </c>
      <c r="AB233">
        <v>12</v>
      </c>
      <c r="AC233">
        <v>379</v>
      </c>
      <c r="AD233">
        <v>374</v>
      </c>
      <c r="AE233">
        <v>363</v>
      </c>
      <c r="AH233" s="78"/>
      <c r="AJ233" t="s">
        <v>416</v>
      </c>
      <c r="AK233">
        <v>17</v>
      </c>
      <c r="AL233" s="1">
        <v>0</v>
      </c>
      <c r="AM233" s="1">
        <v>4.93</v>
      </c>
      <c r="AN233" s="1">
        <v>888.34</v>
      </c>
      <c r="AO233" s="1">
        <v>398.35</v>
      </c>
      <c r="AP233" s="1">
        <v>561.30999999999995</v>
      </c>
      <c r="AQ233" s="1"/>
      <c r="AR233" s="1">
        <v>266.13</v>
      </c>
      <c r="AS233" s="1">
        <v>1858.92</v>
      </c>
      <c r="AT233" s="1">
        <v>15010.48</v>
      </c>
      <c r="AU233" s="1">
        <v>1620.14</v>
      </c>
      <c r="AV233" s="1">
        <v>3334.99</v>
      </c>
      <c r="BF233" s="51">
        <v>0.88362590190270096</v>
      </c>
      <c r="BG233" s="1">
        <v>170</v>
      </c>
      <c r="BH233">
        <f t="shared" si="42"/>
        <v>1.0239314262560566</v>
      </c>
      <c r="BI233">
        <f t="shared" si="43"/>
        <v>7.2515558260977289E-2</v>
      </c>
      <c r="BJ233">
        <f t="shared" si="41"/>
        <v>6.4076625570333917E-2</v>
      </c>
    </row>
    <row r="234" spans="1:62" x14ac:dyDescent="0.3">
      <c r="B234" t="s">
        <v>28</v>
      </c>
      <c r="C234" s="17">
        <f>SUM(C229:C233)</f>
        <v>1.1187754256202598</v>
      </c>
      <c r="D234" s="17">
        <f>SUM(D229:D233)</f>
        <v>4.2547610716747259</v>
      </c>
      <c r="E234" s="17">
        <f>SUM(E229:E233)</f>
        <v>52.272458568739772</v>
      </c>
      <c r="F234" s="17">
        <f>SUM(F229:F233)</f>
        <v>20.103696223199798</v>
      </c>
      <c r="G234" s="17">
        <f>SUM(G229:G233)</f>
        <v>22.250308710765452</v>
      </c>
      <c r="H234" s="1">
        <f>SUM(H228:H233)</f>
        <v>100.00000000000001</v>
      </c>
      <c r="I234" s="13" t="s">
        <v>24</v>
      </c>
      <c r="J234" s="12" t="s">
        <v>29</v>
      </c>
      <c r="N234" s="1">
        <f>SUM(N229:N233)</f>
        <v>197364.9</v>
      </c>
      <c r="O234" s="17">
        <f>SUM(O229:O233)</f>
        <v>100.00000000000001</v>
      </c>
      <c r="T234" s="57">
        <f>T54</f>
        <v>2212.39</v>
      </c>
      <c r="U234" s="57">
        <f>U54</f>
        <v>9024.4635883993833</v>
      </c>
      <c r="V234" s="57">
        <f>V54</f>
        <v>107774.0683431346</v>
      </c>
      <c r="W234" s="57">
        <f>W54</f>
        <v>38339.831754777369</v>
      </c>
      <c r="X234" s="57">
        <f>X54</f>
        <v>40014.156313688633</v>
      </c>
      <c r="AB234">
        <v>13</v>
      </c>
      <c r="AC234">
        <v>408</v>
      </c>
      <c r="AD234">
        <v>403</v>
      </c>
      <c r="AE234">
        <v>392</v>
      </c>
      <c r="AI234" s="78"/>
      <c r="AJ234" t="s">
        <v>416</v>
      </c>
      <c r="AK234">
        <v>18</v>
      </c>
      <c r="AL234" s="1">
        <v>0</v>
      </c>
      <c r="AM234" s="1">
        <v>4.21</v>
      </c>
      <c r="AN234" s="1">
        <v>874.2</v>
      </c>
      <c r="AO234" s="1">
        <v>411.37</v>
      </c>
      <c r="AP234" s="1">
        <v>563.16</v>
      </c>
      <c r="AR234" s="1">
        <v>267.57</v>
      </c>
      <c r="AS234" s="1">
        <v>1739.72</v>
      </c>
      <c r="AT234" s="1">
        <v>14929.82</v>
      </c>
      <c r="AU234" s="1">
        <v>1705.85</v>
      </c>
      <c r="AV234" s="1">
        <v>3447.7</v>
      </c>
      <c r="BF234" s="51">
        <v>0.88362921833307395</v>
      </c>
      <c r="BG234" s="1">
        <v>171</v>
      </c>
      <c r="BH234">
        <f t="shared" si="42"/>
        <v>1.0453090640125338</v>
      </c>
      <c r="BI234">
        <f t="shared" si="43"/>
        <v>7.4029537904985426E-2</v>
      </c>
      <c r="BJ234">
        <f t="shared" si="41"/>
        <v>6.5414662712540941E-2</v>
      </c>
    </row>
    <row r="235" spans="1:62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0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8.3724171983850293E-2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0.47783571330062918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0.53063782760509604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0.62979393962012775</v>
      </c>
      <c r="H235" s="1"/>
      <c r="I235" s="14">
        <f>(C229+D230+E231+F232+G233)/H234</f>
        <v>0.88202845168020261</v>
      </c>
      <c r="J235" s="53">
        <f>SQRT(SUM(P229:P233))/100</f>
        <v>6.6608123017275643E-3</v>
      </c>
      <c r="M235" s="1"/>
      <c r="N235" s="9"/>
      <c r="T235" s="57">
        <f>T64</f>
        <v>2179.61</v>
      </c>
      <c r="U235" s="57">
        <f>U64</f>
        <v>9346.9204249230479</v>
      </c>
      <c r="V235" s="57">
        <f>V64</f>
        <v>105732.38598413981</v>
      </c>
      <c r="W235" s="57">
        <f>W64</f>
        <v>38997.451035634142</v>
      </c>
      <c r="X235" s="57">
        <f>X64</f>
        <v>41108.522555302989</v>
      </c>
      <c r="AB235">
        <v>14</v>
      </c>
      <c r="AC235">
        <v>437</v>
      </c>
      <c r="AD235">
        <v>432</v>
      </c>
      <c r="AE235">
        <v>421</v>
      </c>
      <c r="AH235" s="78"/>
      <c r="AJ235" t="s">
        <v>416</v>
      </c>
      <c r="AK235">
        <v>19</v>
      </c>
      <c r="AL235" s="1">
        <v>0</v>
      </c>
      <c r="AM235" s="1">
        <v>4.6500000000000004</v>
      </c>
      <c r="AN235" s="1">
        <v>900.77</v>
      </c>
      <c r="AO235" s="1">
        <v>405.48</v>
      </c>
      <c r="AP235" s="1">
        <v>542.04</v>
      </c>
      <c r="AR235" s="1">
        <v>261.81</v>
      </c>
      <c r="AS235" s="1">
        <v>1814.62</v>
      </c>
      <c r="AT235" s="1">
        <v>15099.79</v>
      </c>
      <c r="AU235" s="1">
        <v>1673.8</v>
      </c>
      <c r="AV235" s="1">
        <v>3240.64</v>
      </c>
      <c r="BF235" s="51">
        <v>0.88363052972654499</v>
      </c>
      <c r="BG235" s="1">
        <v>172</v>
      </c>
      <c r="BH235">
        <f t="shared" si="42"/>
        <v>1.0671754102700386</v>
      </c>
      <c r="BI235">
        <f t="shared" si="43"/>
        <v>7.5578128235676445E-2</v>
      </c>
      <c r="BJ235">
        <f t="shared" si="41"/>
        <v>6.6783141488631528E-2</v>
      </c>
    </row>
    <row r="236" spans="1:62" x14ac:dyDescent="0.3">
      <c r="B236" s="1" t="s">
        <v>30</v>
      </c>
      <c r="C236" s="17">
        <f>C229/C234*100</f>
        <v>100</v>
      </c>
      <c r="D236" s="17">
        <f>D230/D234*100</f>
        <v>97.834766644789667</v>
      </c>
      <c r="E236" s="17">
        <f>E231/E234*100</f>
        <v>96.991299318590762</v>
      </c>
      <c r="F236" s="17">
        <f>F232/F234*100</f>
        <v>83.101476393353934</v>
      </c>
      <c r="G236" s="17">
        <f>G233/G234*100</f>
        <v>69.730399050239654</v>
      </c>
      <c r="H236" s="1"/>
      <c r="T236" s="57">
        <f>T74</f>
        <v>2205.54</v>
      </c>
      <c r="U236" s="57">
        <f>U74</f>
        <v>9111.6903462870323</v>
      </c>
      <c r="V236" s="57">
        <f>V74</f>
        <v>104168.38430969881</v>
      </c>
      <c r="W236" s="57">
        <f>W74</f>
        <v>39218.0275067689</v>
      </c>
      <c r="X236" s="57">
        <f>X74</f>
        <v>42661.247837245253</v>
      </c>
      <c r="AB236">
        <v>15</v>
      </c>
      <c r="AC236">
        <v>466</v>
      </c>
      <c r="AD236">
        <v>461</v>
      </c>
      <c r="AE236">
        <v>450</v>
      </c>
      <c r="AI236" s="78"/>
      <c r="BF236" s="51">
        <v>0.88364126164816303</v>
      </c>
      <c r="BG236" s="1">
        <v>173</v>
      </c>
      <c r="BH236">
        <f t="shared" si="42"/>
        <v>1.0895642944538471</v>
      </c>
      <c r="BI236">
        <f t="shared" si="43"/>
        <v>7.7163725077220427E-2</v>
      </c>
      <c r="BJ236">
        <f t="shared" si="41"/>
        <v>6.818505138070706E-2</v>
      </c>
    </row>
    <row r="237" spans="1:62" x14ac:dyDescent="0.3">
      <c r="B237" s="16" t="s">
        <v>39</v>
      </c>
      <c r="C237" s="18">
        <f>SQRT((C240+C241)/(C234*C234))</f>
        <v>0</v>
      </c>
      <c r="D237" s="18">
        <f>SQRT((D240+D241)/(D234*D234))</f>
        <v>1.266384922963341</v>
      </c>
      <c r="E237" s="18">
        <f>SQRT((E240+E241)/(E234*E234))</f>
        <v>0.60560336774676637</v>
      </c>
      <c r="F237" s="18">
        <f>SQRT((F240+F241)/(F234*F234))</f>
        <v>3.127076379249401</v>
      </c>
      <c r="G237" s="18">
        <f>SQRT((G240+G241)/(G234*G234))</f>
        <v>6.403509276619717</v>
      </c>
      <c r="H237" s="1"/>
      <c r="I237" s="14"/>
      <c r="T237" s="57">
        <f>T84</f>
        <v>2185.0199999999995</v>
      </c>
      <c r="U237" s="57">
        <f>U84</f>
        <v>8900.7995531935339</v>
      </c>
      <c r="V237" s="57">
        <f>V84</f>
        <v>104594.99203118309</v>
      </c>
      <c r="W237" s="57">
        <f>W84</f>
        <v>38368.493011426923</v>
      </c>
      <c r="X237" s="57">
        <f>X84</f>
        <v>43315.595404196443</v>
      </c>
      <c r="AB237">
        <v>16</v>
      </c>
      <c r="AC237">
        <v>495</v>
      </c>
      <c r="AD237">
        <v>490</v>
      </c>
      <c r="AE237">
        <v>479</v>
      </c>
      <c r="AH237" s="78"/>
      <c r="AM237" s="78"/>
      <c r="AN237" s="78"/>
      <c r="BF237" s="51">
        <v>0.88379500247207698</v>
      </c>
      <c r="BG237" s="1">
        <v>174</v>
      </c>
      <c r="BH237">
        <f t="shared" si="42"/>
        <v>1.1125130950141264</v>
      </c>
      <c r="BI237">
        <f t="shared" si="43"/>
        <v>7.8788975598276648E-2</v>
      </c>
      <c r="BJ237">
        <f t="shared" si="41"/>
        <v>6.9633302883651327E-2</v>
      </c>
    </row>
    <row r="238" spans="1:62" x14ac:dyDescent="0.3">
      <c r="B238" s="1" t="s">
        <v>37</v>
      </c>
      <c r="C238" s="18">
        <f>100-C236</f>
        <v>0</v>
      </c>
      <c r="D238" s="18">
        <f>100-D236</f>
        <v>2.1652333552103329</v>
      </c>
      <c r="E238" s="18">
        <f>100-E236</f>
        <v>3.0087006814092376</v>
      </c>
      <c r="F238" s="18">
        <f>100-F236</f>
        <v>16.898523606646066</v>
      </c>
      <c r="G238" s="18">
        <f>100-G236</f>
        <v>30.269600949760346</v>
      </c>
      <c r="T238" s="57">
        <f>T94</f>
        <v>2208.0700000000002</v>
      </c>
      <c r="U238" s="57">
        <f>U94</f>
        <v>8397.40493434975</v>
      </c>
      <c r="V238" s="57">
        <f>V94</f>
        <v>103167.48558173468</v>
      </c>
      <c r="W238" s="57">
        <f>W94</f>
        <v>39677.639947222058</v>
      </c>
      <c r="X238" s="57">
        <f>X94</f>
        <v>43914.299536693521</v>
      </c>
      <c r="AB238">
        <v>17</v>
      </c>
      <c r="AC238">
        <v>524</v>
      </c>
      <c r="AD238">
        <v>519</v>
      </c>
      <c r="AE238">
        <v>508</v>
      </c>
      <c r="AI238" s="78"/>
      <c r="BF238" s="51">
        <v>0.88379809313967095</v>
      </c>
      <c r="BG238" s="1">
        <v>175</v>
      </c>
      <c r="BH238">
        <f t="shared" si="42"/>
        <v>1.1360632660214303</v>
      </c>
      <c r="BI238">
        <f t="shared" si="43"/>
        <v>8.0456815605864276E-2</v>
      </c>
      <c r="BJ238">
        <f t="shared" si="41"/>
        <v>7.1107580212552965E-2</v>
      </c>
    </row>
    <row r="239" spans="1:62" ht="15.6" x14ac:dyDescent="0.35">
      <c r="B239" s="1" t="s">
        <v>25</v>
      </c>
      <c r="C239" s="1">
        <f>C223</f>
        <v>56</v>
      </c>
      <c r="D239" s="1">
        <f>D223</f>
        <v>93</v>
      </c>
      <c r="E239" s="1">
        <f>E223</f>
        <v>1681</v>
      </c>
      <c r="F239" s="1">
        <f>F223</f>
        <v>603</v>
      </c>
      <c r="G239" s="1">
        <f>G223</f>
        <v>417</v>
      </c>
      <c r="T239" s="57">
        <f>T104</f>
        <v>2209.87</v>
      </c>
      <c r="U239" s="57">
        <f>U104</f>
        <v>8964.1981492881896</v>
      </c>
      <c r="V239" s="57">
        <f>V104</f>
        <v>103976.16990909544</v>
      </c>
      <c r="W239" s="57">
        <f>W104</f>
        <v>39561.014849960848</v>
      </c>
      <c r="X239" s="57">
        <f>X104</f>
        <v>42653.647091655526</v>
      </c>
      <c r="AB239">
        <v>18</v>
      </c>
      <c r="AC239">
        <v>553</v>
      </c>
      <c r="AD239">
        <v>548</v>
      </c>
      <c r="AE239">
        <v>537</v>
      </c>
      <c r="AH239" s="78"/>
      <c r="AM239" s="78"/>
      <c r="AN239" s="78"/>
      <c r="BF239" s="51">
        <v>0.88379972251677996</v>
      </c>
      <c r="BG239" s="1">
        <v>176</v>
      </c>
      <c r="BH239">
        <f t="shared" si="42"/>
        <v>1.1602609659441347</v>
      </c>
      <c r="BI239">
        <f t="shared" si="43"/>
        <v>8.217051407583166E-2</v>
      </c>
      <c r="BJ239">
        <f t="shared" si="41"/>
        <v>7.2622277539281188E-2</v>
      </c>
    </row>
    <row r="240" spans="1:62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1.9837744499182064</v>
      </c>
      <c r="E240" s="18">
        <f>(O231*O231*(100-E236)*(100-E236)*(I231)*(100-I231))/((L231-1)*100)</f>
        <v>122.45141388444544</v>
      </c>
      <c r="F240" s="18">
        <f>(O232*O232*(100-F236)*(100-F236)*(I232)*(100-I232))/((L232-1)*100)</f>
        <v>2640.6019456404933</v>
      </c>
      <c r="G240" s="18">
        <f>(O233*O233*(100-G236)*(100-G236)*(I233)*(100-I233))/((L233-1)*100)</f>
        <v>19396.114828000507</v>
      </c>
      <c r="T240" s="57">
        <f>T114</f>
        <v>2215.6299999999997</v>
      </c>
      <c r="U240" s="57">
        <f>U114</f>
        <v>9401.8025577145054</v>
      </c>
      <c r="V240" s="57">
        <f>V114</f>
        <v>105668.80500503605</v>
      </c>
      <c r="W240" s="57">
        <f>W114</f>
        <v>38276.112624812959</v>
      </c>
      <c r="X240" s="57">
        <f>X114</f>
        <v>41802.549812436475</v>
      </c>
      <c r="AB240">
        <v>19</v>
      </c>
      <c r="AC240">
        <v>582</v>
      </c>
      <c r="AD240">
        <v>577</v>
      </c>
      <c r="AE240">
        <v>566</v>
      </c>
      <c r="AI240" s="78"/>
      <c r="BF240" s="51">
        <v>0.88386582336205199</v>
      </c>
      <c r="BG240" s="1">
        <v>177</v>
      </c>
      <c r="BH240">
        <f t="shared" si="42"/>
        <v>1.1851578135117353</v>
      </c>
      <c r="BI240">
        <f t="shared" si="43"/>
        <v>8.3933726683637216E-2</v>
      </c>
      <c r="BJ240">
        <f t="shared" si="41"/>
        <v>7.418615244307844E-2</v>
      </c>
    </row>
    <row r="241" spans="1:62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27.048550548255477</v>
      </c>
      <c r="E241" s="18">
        <f>E236*E236*(SUM((H229*E229*(1-E218/H218))/(H218-1),(H230*E230*(1-E219/H219))/(H219-1), (H232*E232*(1-E221/H221))/(H221-1),(H233*E233*(1-E222/H222))/(H222-1)))</f>
        <v>879.67478769275453</v>
      </c>
      <c r="F241" s="18">
        <f>F236*F236*(SUM((H229*F229*(1-F218/H218))/(H218-1),(H230*F230*(1-F219/H219))/(H219-1), (H231*F231*(1-F220/H220))/(H220-1),(H233*F233*(1-F222/H222))/(H222-1)))</f>
        <v>1311.5060587104615</v>
      </c>
      <c r="G241" s="18">
        <f>G236*G236*(SUM((H229*G229*(1-G218/H218))/(H218-1),(H230*G230*(1-G219/H219))/(H219-1), (H231*G231*(1-G220/H220))/(H220-1),(H232*G232*(1-G221/H221))/(H221-1)))</f>
        <v>904.4521672295366</v>
      </c>
      <c r="T241" s="57">
        <f>T124</f>
        <v>2170.61</v>
      </c>
      <c r="U241" s="57">
        <f>U124</f>
        <v>9530.8750288572519</v>
      </c>
      <c r="V241" s="57">
        <f>V124</f>
        <v>103005.86669376314</v>
      </c>
      <c r="W241" s="57">
        <f>W124</f>
        <v>39322.867543243607</v>
      </c>
      <c r="X241" s="57">
        <f>X124</f>
        <v>43334.670734136009</v>
      </c>
      <c r="AB241">
        <v>20</v>
      </c>
      <c r="AC241">
        <v>611</v>
      </c>
      <c r="AD241">
        <v>606</v>
      </c>
      <c r="AE241">
        <v>595</v>
      </c>
      <c r="AH241" s="78"/>
      <c r="AM241" s="78"/>
      <c r="AN241" s="78"/>
      <c r="BF241" s="51">
        <v>0.88397022463922303</v>
      </c>
      <c r="BG241" s="1">
        <v>178</v>
      </c>
      <c r="BH241">
        <f t="shared" si="42"/>
        <v>1.2108118029801551</v>
      </c>
      <c r="BI241">
        <f t="shared" si="43"/>
        <v>8.5750560624095334E-2</v>
      </c>
      <c r="BJ241">
        <f t="shared" si="41"/>
        <v>7.5800942337820865E-2</v>
      </c>
    </row>
    <row r="242" spans="1:62" x14ac:dyDescent="0.3">
      <c r="A242" s="105" t="s">
        <v>390</v>
      </c>
      <c r="B242" s="69" t="s">
        <v>9</v>
      </c>
      <c r="C242" s="1">
        <v>261.45</v>
      </c>
      <c r="D242" s="1">
        <v>1724.95</v>
      </c>
      <c r="E242" s="1">
        <v>14916.14</v>
      </c>
      <c r="F242" s="1">
        <v>1718.09</v>
      </c>
      <c r="G242" s="1">
        <v>3470.03</v>
      </c>
      <c r="I242" t="s">
        <v>36</v>
      </c>
      <c r="J242" s="57">
        <f>SUM(C242:G242)</f>
        <v>22090.66</v>
      </c>
      <c r="T242" s="57">
        <f>T134</f>
        <v>2193.66</v>
      </c>
      <c r="U242" s="57">
        <f>U134</f>
        <v>8895.8413663909196</v>
      </c>
      <c r="V242" s="57">
        <f>V134</f>
        <v>105055.80147773691</v>
      </c>
      <c r="W242" s="57">
        <f>W134</f>
        <v>38850.241020005866</v>
      </c>
      <c r="X242" s="57">
        <f>X134</f>
        <v>42369.356135866328</v>
      </c>
      <c r="AB242">
        <v>21</v>
      </c>
      <c r="AC242">
        <v>640</v>
      </c>
      <c r="AD242">
        <v>635</v>
      </c>
      <c r="AE242">
        <v>624</v>
      </c>
      <c r="AI242" s="78"/>
      <c r="BF242" s="51">
        <v>0.88422422765981801</v>
      </c>
      <c r="BG242" s="1">
        <v>179</v>
      </c>
      <c r="BH242">
        <f t="shared" si="42"/>
        <v>1.2372884211694737</v>
      </c>
      <c r="BI242">
        <f t="shared" si="43"/>
        <v>8.7625653720789745E-2</v>
      </c>
      <c r="BJ242">
        <f t="shared" si="41"/>
        <v>7.7480725984451965E-2</v>
      </c>
    </row>
    <row r="243" spans="1:62" x14ac:dyDescent="0.3">
      <c r="B243" t="s">
        <v>391</v>
      </c>
      <c r="C243" s="57">
        <f>(C242/$J242)*100</f>
        <v>1.1835318636926193</v>
      </c>
      <c r="D243" s="57">
        <f>(D242/$J242)*100</f>
        <v>7.8085036843625319</v>
      </c>
      <c r="E243" s="57">
        <f>(E242/$J242)*100</f>
        <v>67.522382762669835</v>
      </c>
      <c r="F243" s="57">
        <f>(F242/$J242)*100</f>
        <v>7.7774498362656432</v>
      </c>
      <c r="G243" s="57">
        <f>(G242/$J242)*100</f>
        <v>15.708131853009371</v>
      </c>
      <c r="T243" s="57">
        <f>T144</f>
        <v>2277.5800000000004</v>
      </c>
      <c r="U243" s="57">
        <f>U144</f>
        <v>9095.5317237398995</v>
      </c>
      <c r="V243" s="57">
        <f>V144</f>
        <v>105710.40892927861</v>
      </c>
      <c r="W243" s="57">
        <f>W144</f>
        <v>37837.90062496678</v>
      </c>
      <c r="X243" s="57">
        <f>X144</f>
        <v>42443.478722014726</v>
      </c>
      <c r="AB243">
        <v>22</v>
      </c>
      <c r="AC243">
        <v>669</v>
      </c>
      <c r="AD243">
        <v>664</v>
      </c>
      <c r="AE243">
        <v>653</v>
      </c>
      <c r="AH243" s="78"/>
      <c r="AM243" s="78"/>
      <c r="AN243" s="78"/>
      <c r="BF243" s="51">
        <v>0.88423461293587702</v>
      </c>
      <c r="BG243" s="1">
        <v>180</v>
      </c>
      <c r="BH243">
        <f t="shared" si="42"/>
        <v>1.2646620224523379</v>
      </c>
      <c r="BI243">
        <f t="shared" si="43"/>
        <v>8.9564271803739284E-2</v>
      </c>
      <c r="BJ243">
        <f t="shared" si="41"/>
        <v>7.9195829211263086E-2</v>
      </c>
    </row>
    <row r="244" spans="1:62" x14ac:dyDescent="0.3">
      <c r="A244" s="361">
        <v>1988</v>
      </c>
      <c r="B244" s="361"/>
      <c r="C244" s="361"/>
      <c r="D244" s="361"/>
      <c r="E244" s="361"/>
      <c r="F244" s="361"/>
      <c r="G244" s="361"/>
      <c r="H244" s="361"/>
      <c r="I244" s="361"/>
      <c r="J244" s="361"/>
      <c r="K244" s="361"/>
      <c r="L244" s="361" t="s">
        <v>86</v>
      </c>
      <c r="M244" s="361"/>
      <c r="N244" s="361"/>
      <c r="O244" s="361"/>
      <c r="P244" s="361"/>
      <c r="T244" s="57">
        <f>T154</f>
        <v>2219.59</v>
      </c>
      <c r="U244" s="57">
        <f>U154</f>
        <v>8405.0903385917645</v>
      </c>
      <c r="V244" s="57">
        <f>V154</f>
        <v>106912.77805324145</v>
      </c>
      <c r="W244" s="57">
        <f>W154</f>
        <v>38768.108165139369</v>
      </c>
      <c r="X244" s="57">
        <f>X154</f>
        <v>41059.333443027441</v>
      </c>
      <c r="AB244">
        <v>23</v>
      </c>
      <c r="AC244">
        <v>698</v>
      </c>
      <c r="AD244">
        <v>693</v>
      </c>
      <c r="AE244">
        <v>682</v>
      </c>
      <c r="AI244" s="78"/>
      <c r="BF244" s="51">
        <v>0.88426514683341495</v>
      </c>
      <c r="BG244" s="1">
        <v>181</v>
      </c>
      <c r="BH244">
        <f t="shared" si="42"/>
        <v>1.2930175370911461</v>
      </c>
      <c r="BI244">
        <f t="shared" si="43"/>
        <v>9.1572429695063032E-2</v>
      </c>
      <c r="BJ244">
        <f t="shared" si="41"/>
        <v>8.0974307990197475E-2</v>
      </c>
    </row>
    <row r="245" spans="1:62" x14ac:dyDescent="0.3">
      <c r="A245" t="s">
        <v>320</v>
      </c>
      <c r="B245" t="s">
        <v>21</v>
      </c>
      <c r="I245" s="1" t="s">
        <v>58</v>
      </c>
      <c r="O245" s="360" t="s">
        <v>411</v>
      </c>
      <c r="P245" s="360"/>
      <c r="T245" s="57">
        <f>T164</f>
        <v>2179.2500000000005</v>
      </c>
      <c r="U245" s="57">
        <f>U164</f>
        <v>8966.4537194594068</v>
      </c>
      <c r="V245" s="57">
        <f>V164</f>
        <v>105486.60204584825</v>
      </c>
      <c r="W245" s="57">
        <f>W164</f>
        <v>38466.789654690452</v>
      </c>
      <c r="X245" s="57">
        <f>X164</f>
        <v>42265.794580001872</v>
      </c>
      <c r="AB245">
        <v>24</v>
      </c>
      <c r="AC245">
        <v>727</v>
      </c>
      <c r="AD245">
        <v>722</v>
      </c>
      <c r="AE245">
        <v>711</v>
      </c>
      <c r="AH245" s="78"/>
      <c r="AM245" s="78"/>
      <c r="AN245" s="78"/>
      <c r="BF245" s="51">
        <v>0.88434408526697328</v>
      </c>
      <c r="BG245" s="1">
        <v>182</v>
      </c>
      <c r="BH245">
        <f t="shared" si="42"/>
        <v>1.3224526154698777</v>
      </c>
      <c r="BI245">
        <f t="shared" si="43"/>
        <v>9.3657043065016932E-2</v>
      </c>
      <c r="BJ245">
        <f t="shared" si="41"/>
        <v>8.282505207814192E-2</v>
      </c>
    </row>
    <row r="246" spans="1:62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56</v>
      </c>
      <c r="O246" s="13" t="s">
        <v>412</v>
      </c>
      <c r="P246" s="13" t="s">
        <v>41</v>
      </c>
      <c r="T246" s="57">
        <f>T174</f>
        <v>2230.4</v>
      </c>
      <c r="U246" s="57">
        <f>U174</f>
        <v>8337.5351163909181</v>
      </c>
      <c r="V246" s="57">
        <f>V174</f>
        <v>106896.81226966539</v>
      </c>
      <c r="W246" s="57">
        <f>W174</f>
        <v>39058.490725915304</v>
      </c>
      <c r="X246" s="57">
        <f>X174</f>
        <v>40841.661888028386</v>
      </c>
      <c r="AB246">
        <v>25</v>
      </c>
      <c r="AC246">
        <v>756</v>
      </c>
      <c r="AD246">
        <v>751</v>
      </c>
      <c r="AE246">
        <v>740</v>
      </c>
      <c r="AI246" s="78"/>
      <c r="BF246" s="51">
        <v>0.88498719067553799</v>
      </c>
      <c r="BG246" s="1">
        <v>183</v>
      </c>
      <c r="BH246">
        <f t="shared" si="42"/>
        <v>1.3530803497322956</v>
      </c>
      <c r="BI246">
        <f t="shared" si="43"/>
        <v>9.5826121180363974E-2</v>
      </c>
      <c r="BJ246">
        <f t="shared" si="41"/>
        <v>8.4804889776743983E-2</v>
      </c>
    </row>
    <row r="247" spans="1:62" x14ac:dyDescent="0.3">
      <c r="A247" t="s">
        <v>3</v>
      </c>
      <c r="B247" s="13">
        <v>0</v>
      </c>
      <c r="C247" s="26">
        <v>56</v>
      </c>
      <c r="D247" s="3">
        <v>0</v>
      </c>
      <c r="E247" s="3">
        <v>0</v>
      </c>
      <c r="F247" s="3">
        <v>0</v>
      </c>
      <c r="G247" s="4">
        <v>0</v>
      </c>
      <c r="H247" s="1">
        <f>SUM(C247:G247)</f>
        <v>56</v>
      </c>
      <c r="I247" s="10">
        <f>C247/H247</f>
        <v>1</v>
      </c>
      <c r="J247" s="11">
        <f>1-I247</f>
        <v>0</v>
      </c>
      <c r="K247">
        <f>H247-C252</f>
        <v>0</v>
      </c>
      <c r="N247" s="10">
        <f>2*(C253*I247)/(C253+I247)</f>
        <v>1</v>
      </c>
      <c r="O247" s="1"/>
      <c r="P247" s="1"/>
      <c r="T247" s="57">
        <f>T184</f>
        <v>2182.13</v>
      </c>
      <c r="U247" s="57">
        <f>U184</f>
        <v>8845.175675019238</v>
      </c>
      <c r="V247" s="57">
        <f>V184</f>
        <v>104134.38117383452</v>
      </c>
      <c r="W247" s="57">
        <f>W184</f>
        <v>40451.922767434145</v>
      </c>
      <c r="X247" s="57">
        <f>X184</f>
        <v>41751.280383712095</v>
      </c>
      <c r="AB247">
        <v>26</v>
      </c>
      <c r="AC247">
        <v>785</v>
      </c>
      <c r="AD247">
        <v>780</v>
      </c>
      <c r="AE247">
        <v>769</v>
      </c>
      <c r="AH247" s="78"/>
      <c r="AM247" s="78"/>
      <c r="AN247" s="78"/>
      <c r="BF247" s="51">
        <v>0.88503853184239789</v>
      </c>
      <c r="BG247" s="1">
        <v>184</v>
      </c>
      <c r="BH247">
        <f t="shared" si="42"/>
        <v>1.3850327712601831</v>
      </c>
      <c r="BI247">
        <f t="shared" si="43"/>
        <v>9.8089014598292334E-2</v>
      </c>
      <c r="BJ247">
        <f t="shared" si="41"/>
        <v>8.6812557469940183E-2</v>
      </c>
    </row>
    <row r="248" spans="1:62" x14ac:dyDescent="0.3">
      <c r="A248" t="s">
        <v>4</v>
      </c>
      <c r="B248" s="13">
        <v>1</v>
      </c>
      <c r="C248" s="5">
        <v>0</v>
      </c>
      <c r="D248" s="27">
        <v>90</v>
      </c>
      <c r="E248" s="1">
        <v>2</v>
      </c>
      <c r="F248" s="1">
        <v>0</v>
      </c>
      <c r="G248" s="6">
        <v>0</v>
      </c>
      <c r="H248" s="1">
        <f>SUM(C248:G248)</f>
        <v>92</v>
      </c>
      <c r="I248" s="10">
        <f>D248/H248</f>
        <v>0.97826086956521741</v>
      </c>
      <c r="J248" s="11">
        <f>1-I248</f>
        <v>2.1739130434782594E-2</v>
      </c>
      <c r="K248">
        <f>H248-D252</f>
        <v>-6</v>
      </c>
      <c r="N248" s="10">
        <f>2*(D253*I248)/(D253+I248)</f>
        <v>0.94736842105263164</v>
      </c>
      <c r="O248" s="1"/>
      <c r="P248" s="1"/>
      <c r="T248" s="57">
        <f>T194</f>
        <v>2221.75</v>
      </c>
      <c r="U248" s="57">
        <f>U194</f>
        <v>9581.45213014621</v>
      </c>
      <c r="V248" s="57">
        <f>V194</f>
        <v>103987.44396718418</v>
      </c>
      <c r="W248" s="57">
        <f>W194</f>
        <v>38060.250533252161</v>
      </c>
      <c r="X248" s="57">
        <f>X194</f>
        <v>43513.99336941744</v>
      </c>
      <c r="AB248">
        <v>27</v>
      </c>
      <c r="AC248">
        <v>814</v>
      </c>
      <c r="AD248">
        <v>809</v>
      </c>
      <c r="AE248">
        <v>798</v>
      </c>
      <c r="AI248" s="78"/>
      <c r="BF248" s="51">
        <v>0.88519552831089698</v>
      </c>
      <c r="BG248" s="1">
        <v>185</v>
      </c>
      <c r="BH248">
        <f t="shared" si="42"/>
        <v>1.4184654072104084</v>
      </c>
      <c r="BI248">
        <f t="shared" si="43"/>
        <v>0.10045673786363954</v>
      </c>
      <c r="BJ248">
        <f t="shared" si="41"/>
        <v>8.8923855145593686E-2</v>
      </c>
    </row>
    <row r="249" spans="1:62" x14ac:dyDescent="0.3">
      <c r="A249" t="s">
        <v>5</v>
      </c>
      <c r="B249" s="13">
        <v>2</v>
      </c>
      <c r="C249" s="5">
        <v>0</v>
      </c>
      <c r="D249" s="1">
        <v>8</v>
      </c>
      <c r="E249" s="27">
        <v>1647</v>
      </c>
      <c r="F249" s="1">
        <v>34</v>
      </c>
      <c r="G249" s="6">
        <v>119</v>
      </c>
      <c r="H249" s="1">
        <f>SUM(C249:G249)</f>
        <v>1808</v>
      </c>
      <c r="I249" s="10">
        <f>E249/H249</f>
        <v>0.91095132743362828</v>
      </c>
      <c r="J249" s="11">
        <f>1-I249</f>
        <v>8.9048672566371723E-2</v>
      </c>
      <c r="K249">
        <f>H249-E252</f>
        <v>133</v>
      </c>
      <c r="N249" s="10">
        <f>2*(E253*I249)/(E253+I249)</f>
        <v>0.94573643410852715</v>
      </c>
      <c r="O249" s="1"/>
      <c r="P249" s="1"/>
      <c r="T249" s="57">
        <f>T204</f>
        <v>2202.66</v>
      </c>
      <c r="U249" s="57">
        <f>U204</f>
        <v>8568.4441405348207</v>
      </c>
      <c r="V249" s="57">
        <f>V204</f>
        <v>105161.77462465773</v>
      </c>
      <c r="W249" s="57">
        <f>W204</f>
        <v>38478.044386193913</v>
      </c>
      <c r="X249" s="57">
        <f>X204</f>
        <v>42953.966848613534</v>
      </c>
      <c r="AB249">
        <v>28</v>
      </c>
      <c r="AC249">
        <v>843</v>
      </c>
      <c r="AD249">
        <v>838</v>
      </c>
      <c r="AE249">
        <v>827</v>
      </c>
      <c r="AH249" s="78"/>
      <c r="AM249" s="78"/>
      <c r="AN249" s="78"/>
      <c r="BF249" s="51">
        <v>0.88521242606273398</v>
      </c>
      <c r="BG249" s="1">
        <v>186</v>
      </c>
      <c r="BH249">
        <f t="shared" si="42"/>
        <v>1.4535633083711834</v>
      </c>
      <c r="BI249">
        <f t="shared" si="43"/>
        <v>0.10294239640599756</v>
      </c>
      <c r="BJ249">
        <f t="shared" si="41"/>
        <v>9.1125888467264771E-2</v>
      </c>
    </row>
    <row r="250" spans="1:62" x14ac:dyDescent="0.3">
      <c r="A250" t="s">
        <v>6</v>
      </c>
      <c r="B250" s="13">
        <v>3</v>
      </c>
      <c r="C250" s="5">
        <v>0</v>
      </c>
      <c r="D250" s="1">
        <v>0</v>
      </c>
      <c r="E250" s="1">
        <v>11</v>
      </c>
      <c r="F250" s="27">
        <v>544</v>
      </c>
      <c r="G250" s="6">
        <v>98</v>
      </c>
      <c r="H250" s="1">
        <f>SUM(C250:G250)</f>
        <v>653</v>
      </c>
      <c r="I250" s="10">
        <f>F250/H250</f>
        <v>0.83307810107197555</v>
      </c>
      <c r="J250" s="11">
        <f>1-I250</f>
        <v>0.16692189892802445</v>
      </c>
      <c r="K250">
        <f>H250-F252</f>
        <v>46</v>
      </c>
      <c r="N250" s="10">
        <f>2*(F253*I250)/(F253+I250)</f>
        <v>0.86349206349206353</v>
      </c>
      <c r="O250" s="1"/>
      <c r="P250" s="1"/>
      <c r="T250" s="57">
        <f>T214</f>
        <v>2194.0200000000004</v>
      </c>
      <c r="U250" s="57">
        <f>U214</f>
        <v>8851.5884465178897</v>
      </c>
      <c r="V250" s="57">
        <f>V214</f>
        <v>105941.4044025169</v>
      </c>
      <c r="W250" s="57">
        <f>W214</f>
        <v>38663.65400074896</v>
      </c>
      <c r="X250" s="57">
        <f>X214</f>
        <v>41714.233150216256</v>
      </c>
      <c r="AB250">
        <v>29</v>
      </c>
      <c r="AC250">
        <v>872</v>
      </c>
      <c r="AD250">
        <v>867</v>
      </c>
      <c r="AE250">
        <v>856</v>
      </c>
      <c r="AI250" s="78"/>
      <c r="BF250" s="51">
        <v>0.88534893804442905</v>
      </c>
      <c r="BG250" s="1">
        <v>187</v>
      </c>
      <c r="BH250">
        <f t="shared" si="42"/>
        <v>1.490549161785536</v>
      </c>
      <c r="BI250">
        <f t="shared" si="43"/>
        <v>0.10556176108152784</v>
      </c>
      <c r="BJ250">
        <f t="shared" si="41"/>
        <v>9.3458993071630414E-2</v>
      </c>
    </row>
    <row r="251" spans="1:62" x14ac:dyDescent="0.3">
      <c r="A251" t="s">
        <v>7</v>
      </c>
      <c r="B251" s="13">
        <v>4</v>
      </c>
      <c r="C251" s="7">
        <v>0</v>
      </c>
      <c r="D251" s="8">
        <v>0</v>
      </c>
      <c r="E251" s="8">
        <v>15</v>
      </c>
      <c r="F251" s="8">
        <v>29</v>
      </c>
      <c r="G251" s="28">
        <v>197</v>
      </c>
      <c r="H251" s="1">
        <f>SUM(C251:G251)</f>
        <v>241</v>
      </c>
      <c r="I251" s="10">
        <f>G251/H251</f>
        <v>0.81742738589211617</v>
      </c>
      <c r="J251" s="11">
        <f>1-I251</f>
        <v>0.18257261410788383</v>
      </c>
      <c r="K251">
        <f>H251-G252</f>
        <v>-173</v>
      </c>
      <c r="N251" s="10">
        <f>2*(G253*I251)/(G253+I251)</f>
        <v>0.60152671755725184</v>
      </c>
      <c r="O251" s="1"/>
      <c r="P251" s="1"/>
      <c r="AH251" s="78"/>
      <c r="AM251" s="78"/>
      <c r="AN251" s="78"/>
      <c r="BF251" s="51">
        <v>0.88535204636258802</v>
      </c>
      <c r="BG251" s="1">
        <v>188</v>
      </c>
      <c r="BH251">
        <f t="shared" si="42"/>
        <v>1.5296944238710337</v>
      </c>
      <c r="BI251">
        <f t="shared" si="43"/>
        <v>0.10833405662848791</v>
      </c>
      <c r="BJ251">
        <f t="shared" si="41"/>
        <v>9.591377872679227E-2</v>
      </c>
    </row>
    <row r="252" spans="1:62" ht="15.6" x14ac:dyDescent="0.35">
      <c r="B252" s="1" t="s">
        <v>19</v>
      </c>
      <c r="C252" s="1">
        <f>SUM(C247:C251)</f>
        <v>56</v>
      </c>
      <c r="D252" s="1">
        <f>SUM(D247:D251)</f>
        <v>98</v>
      </c>
      <c r="E252" s="1">
        <f>SUM(E247:E251)</f>
        <v>1675</v>
      </c>
      <c r="F252" s="1">
        <f>SUM(F247:F251)</f>
        <v>607</v>
      </c>
      <c r="G252" s="1">
        <f>SUM(G247:G251)</f>
        <v>414</v>
      </c>
      <c r="H252" s="1">
        <f>SUM(H246:H251)</f>
        <v>2850</v>
      </c>
      <c r="I252" s="13" t="s">
        <v>12</v>
      </c>
      <c r="N252" s="16" t="s">
        <v>36</v>
      </c>
      <c r="O252" s="1">
        <f>SUM(O247:O251)</f>
        <v>0</v>
      </c>
      <c r="P252" s="1">
        <f>SUM(P247:P251)</f>
        <v>0</v>
      </c>
      <c r="AI252" s="78"/>
      <c r="BF252" s="51">
        <v>0.88544090591215596</v>
      </c>
      <c r="BG252" s="1">
        <v>189</v>
      </c>
      <c r="BH252">
        <f t="shared" si="42"/>
        <v>1.571334942107838</v>
      </c>
      <c r="BI252">
        <f t="shared" si="43"/>
        <v>0.11128306800638769</v>
      </c>
      <c r="BJ252">
        <f t="shared" si="41"/>
        <v>9.8534580548259976E-2</v>
      </c>
    </row>
    <row r="253" spans="1:62" x14ac:dyDescent="0.3">
      <c r="A253" s="1" t="s">
        <v>321</v>
      </c>
      <c r="B253" s="1" t="s">
        <v>2</v>
      </c>
      <c r="C253" s="10">
        <f>C247/C252</f>
        <v>1</v>
      </c>
      <c r="D253" s="10">
        <f>D248/D252</f>
        <v>0.91836734693877553</v>
      </c>
      <c r="E253" s="10">
        <f>E249/E252</f>
        <v>0.98328358208955224</v>
      </c>
      <c r="F253" s="10">
        <f>F250/F252</f>
        <v>0.89621087314662273</v>
      </c>
      <c r="G253" s="10">
        <f>G251/G252</f>
        <v>0.47584541062801933</v>
      </c>
      <c r="H253" s="10"/>
      <c r="I253" s="14">
        <f>(C247+D248+E249+F250+G251)/H252</f>
        <v>0.88912280701754387</v>
      </c>
      <c r="AH253" s="78"/>
      <c r="AM253" s="78"/>
      <c r="AN253" s="78"/>
      <c r="BF253" s="51">
        <v>0.88566715471275104</v>
      </c>
      <c r="BG253" s="1">
        <v>190</v>
      </c>
      <c r="BH253">
        <f t="shared" si="42"/>
        <v>1.6158934440722883</v>
      </c>
      <c r="BI253">
        <f t="shared" si="43"/>
        <v>0.11443873308548347</v>
      </c>
      <c r="BJ253">
        <f t="shared" si="41"/>
        <v>0.10135462712075211</v>
      </c>
    </row>
    <row r="254" spans="1:62" x14ac:dyDescent="0.3">
      <c r="B254" s="1" t="s">
        <v>14</v>
      </c>
      <c r="C254" s="11">
        <f>1-C253</f>
        <v>0</v>
      </c>
      <c r="D254" s="11">
        <f>1-D253</f>
        <v>8.1632653061224469E-2</v>
      </c>
      <c r="E254" s="11">
        <f>1-E253</f>
        <v>1.6716417910447756E-2</v>
      </c>
      <c r="F254" s="11">
        <f>1-F253</f>
        <v>0.10378912685337727</v>
      </c>
      <c r="G254" s="11">
        <f>1-G253</f>
        <v>0.52415458937198067</v>
      </c>
      <c r="AI254" s="78"/>
      <c r="BF254" s="51">
        <v>0.88583847149801753</v>
      </c>
      <c r="BG254" s="1">
        <v>191</v>
      </c>
      <c r="BH254">
        <f t="shared" si="42"/>
        <v>1.6639128949712361</v>
      </c>
      <c r="BI254">
        <f t="shared" si="43"/>
        <v>0.11783950505129283</v>
      </c>
      <c r="BJ254">
        <f t="shared" si="41"/>
        <v>0.10438676703672016</v>
      </c>
    </row>
    <row r="255" spans="1:62" x14ac:dyDescent="0.3">
      <c r="C255" s="2"/>
      <c r="AH255" s="78"/>
      <c r="AM255" s="78"/>
      <c r="AN255" s="78"/>
      <c r="BF255" s="51">
        <v>0.88590268454642396</v>
      </c>
      <c r="BG255" s="1">
        <v>192</v>
      </c>
      <c r="BH255">
        <f t="shared" si="42"/>
        <v>1.7161077551573309</v>
      </c>
      <c r="BI255">
        <f t="shared" si="43"/>
        <v>0.12153598249860366</v>
      </c>
      <c r="BJ255">
        <f t="shared" si="41"/>
        <v>0.10766905316450018</v>
      </c>
    </row>
    <row r="256" spans="1:62" ht="15.6" x14ac:dyDescent="0.35">
      <c r="A256" t="s">
        <v>322</v>
      </c>
      <c r="B256" s="15" t="s">
        <v>23</v>
      </c>
      <c r="N256" s="12" t="s">
        <v>17</v>
      </c>
      <c r="O256" s="1" t="s">
        <v>27</v>
      </c>
      <c r="P256" s="1" t="s">
        <v>33</v>
      </c>
      <c r="AI256" s="78"/>
      <c r="BF256" s="51">
        <v>0.88599003790031206</v>
      </c>
      <c r="BG256" s="1">
        <v>193</v>
      </c>
      <c r="BH256">
        <f t="shared" si="42"/>
        <v>1.7734461562988943</v>
      </c>
      <c r="BI256">
        <f t="shared" si="43"/>
        <v>0.12559672920678464</v>
      </c>
      <c r="BJ256">
        <f t="shared" si="41"/>
        <v>0.11127745087007435</v>
      </c>
    </row>
    <row r="257" spans="1:62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H257" s="78"/>
      <c r="AM257" s="78"/>
      <c r="AN257" s="78"/>
      <c r="BF257" s="51">
        <v>0.88616345472214197</v>
      </c>
      <c r="BG257" s="1">
        <v>194</v>
      </c>
      <c r="BH257">
        <f t="shared" si="42"/>
        <v>1.8372886748302386</v>
      </c>
      <c r="BI257">
        <f t="shared" si="43"/>
        <v>0.13011810217510436</v>
      </c>
      <c r="BJ257">
        <f t="shared" ref="BJ257:BJ263" si="50">BI257*BF257</f>
        <v>0.11530590694537914</v>
      </c>
    </row>
    <row r="258" spans="1:62" x14ac:dyDescent="0.3">
      <c r="A258" t="s">
        <v>3</v>
      </c>
      <c r="B258" s="13">
        <v>0</v>
      </c>
      <c r="C258" s="29">
        <f>(C247/$L258)*$O258</f>
        <v>1.11968744189063</v>
      </c>
      <c r="D258" s="31">
        <f>(D247/$L258)*$O258</f>
        <v>0</v>
      </c>
      <c r="E258" s="31">
        <f>(E247/$L258)*$O258</f>
        <v>0</v>
      </c>
      <c r="F258" s="31">
        <f>(F247/$L258)*$O258</f>
        <v>0</v>
      </c>
      <c r="G258" s="32">
        <f>(G247/$L258)*$O258</f>
        <v>0</v>
      </c>
      <c r="H258" s="17">
        <f>SUM(C258:G258)</f>
        <v>1.11968744189063</v>
      </c>
      <c r="I258" s="17">
        <f>C258/H258*100</f>
        <v>100</v>
      </c>
      <c r="J258" s="17">
        <f>SQRT(I258*(100-I258)/(L258-1))</f>
        <v>0</v>
      </c>
      <c r="K258" s="18">
        <f>100-I258</f>
        <v>0</v>
      </c>
      <c r="L258" s="1">
        <f>H247</f>
        <v>56</v>
      </c>
      <c r="M258">
        <v>0</v>
      </c>
      <c r="N258" s="1">
        <v>2209.87</v>
      </c>
      <c r="O258" s="17">
        <f>N258/N263*100</f>
        <v>1.11968744189063</v>
      </c>
      <c r="P258" s="52">
        <f>((O258*O258*(I258/100)*(K258/100))/(L258-1))</f>
        <v>0</v>
      </c>
      <c r="AI258" s="78"/>
      <c r="BF258" s="51">
        <v>0.88621617714077705</v>
      </c>
      <c r="BG258" s="1">
        <v>195</v>
      </c>
      <c r="BH258">
        <f t="shared" si="42"/>
        <v>1.9096384934921886</v>
      </c>
      <c r="BI258">
        <f t="shared" si="43"/>
        <v>0.13524196824251794</v>
      </c>
      <c r="BJ258">
        <f t="shared" si="50"/>
        <v>0.11985362008487863</v>
      </c>
    </row>
    <row r="259" spans="1:62" x14ac:dyDescent="0.3">
      <c r="A259" t="s">
        <v>4</v>
      </c>
      <c r="B259" s="13">
        <v>1</v>
      </c>
      <c r="C259" s="33">
        <f t="shared" ref="C259:G262" si="51">(C248/$L259)*$O259</f>
        <v>0</v>
      </c>
      <c r="D259" s="34">
        <f t="shared" si="51"/>
        <v>4.2936685120897344</v>
      </c>
      <c r="E259" s="19">
        <f t="shared" si="51"/>
        <v>9.5414855824216313E-2</v>
      </c>
      <c r="F259" s="18">
        <f t="shared" si="51"/>
        <v>0</v>
      </c>
      <c r="G259" s="20">
        <f t="shared" si="51"/>
        <v>0</v>
      </c>
      <c r="H259" s="17">
        <f>SUM(C259:G259)</f>
        <v>4.3890833679139512</v>
      </c>
      <c r="I259" s="17">
        <f>D259/H259*100</f>
        <v>97.826086956521735</v>
      </c>
      <c r="J259" s="17">
        <f>SQRT(I259*(100-I259)/(L259-1))</f>
        <v>1.5287192313211824</v>
      </c>
      <c r="K259" s="18">
        <f>100-I259</f>
        <v>2.1739130434782652</v>
      </c>
      <c r="L259" s="1">
        <f>H248</f>
        <v>92</v>
      </c>
      <c r="M259">
        <v>1</v>
      </c>
      <c r="N259" s="1">
        <v>8662.51</v>
      </c>
      <c r="O259" s="17">
        <f>N259/N263*100</f>
        <v>4.3890833679139503</v>
      </c>
      <c r="P259" s="52">
        <f>((O259*O259*(I259/100)*(K259/100))/(L259-1))</f>
        <v>4.5019754070112095E-3</v>
      </c>
      <c r="AH259" s="78"/>
      <c r="AM259" s="78"/>
      <c r="AN259" s="78"/>
      <c r="BF259" s="51">
        <v>0.88719041167442703</v>
      </c>
      <c r="BG259" s="1">
        <v>196</v>
      </c>
      <c r="BH259">
        <f>_xlfn.NORM.S.INV((BG259-0.375)/($BI$61+0.25))</f>
        <v>1.9936322372681397</v>
      </c>
      <c r="BI259">
        <f>BH259/SQRT($BL$65)</f>
        <v>0.14119046544082486</v>
      </c>
      <c r="BJ259">
        <f t="shared" si="50"/>
        <v>0.12526282715894937</v>
      </c>
    </row>
    <row r="260" spans="1:62" x14ac:dyDescent="0.3">
      <c r="A260" t="s">
        <v>5</v>
      </c>
      <c r="B260" s="13">
        <v>2</v>
      </c>
      <c r="C260" s="33">
        <f t="shared" si="51"/>
        <v>0</v>
      </c>
      <c r="D260" s="19">
        <f t="shared" si="51"/>
        <v>0.24827291178461647</v>
      </c>
      <c r="E260" s="34">
        <f t="shared" si="51"/>
        <v>51.113185713657913</v>
      </c>
      <c r="F260" s="19">
        <f t="shared" si="51"/>
        <v>1.0551598750846201</v>
      </c>
      <c r="G260" s="20">
        <f t="shared" si="51"/>
        <v>3.6930595627961704</v>
      </c>
      <c r="H260" s="17">
        <f>SUM(C260:G260)</f>
        <v>56.109678063323322</v>
      </c>
      <c r="I260" s="17">
        <f>E260/H260*100</f>
        <v>91.095132743362825</v>
      </c>
      <c r="J260" s="17">
        <f>SQRT(I260*(100-I260)/(L260-1))</f>
        <v>0.67001146642319931</v>
      </c>
      <c r="K260" s="18">
        <f>100-I260</f>
        <v>8.9048672566371749</v>
      </c>
      <c r="L260" s="1">
        <f>H249</f>
        <v>1808</v>
      </c>
      <c r="M260">
        <v>2</v>
      </c>
      <c r="N260" s="1">
        <v>110740.81</v>
      </c>
      <c r="O260" s="17">
        <f>N260/N263*100</f>
        <v>56.109678063323322</v>
      </c>
      <c r="P260" s="52">
        <f>((O260*O260*(I260/100)*(K260/100))/(L260-1))</f>
        <v>0.1413318436000659</v>
      </c>
      <c r="AI260" s="78"/>
      <c r="BF260" s="51">
        <v>0.88731142765538695</v>
      </c>
      <c r="BG260" s="1">
        <v>197</v>
      </c>
      <c r="BH260">
        <f>_xlfn.NORM.S.INV((BG260-0.375)/($BI$61+0.25))</f>
        <v>2.0946204699384201</v>
      </c>
      <c r="BI260">
        <f>BH260/SQRT($BL$65)</f>
        <v>0.14834252453588728</v>
      </c>
      <c r="BJ260">
        <f t="shared" si="50"/>
        <v>0.1316260172279424</v>
      </c>
    </row>
    <row r="261" spans="1:62" x14ac:dyDescent="0.3">
      <c r="A261" t="s">
        <v>6</v>
      </c>
      <c r="B261" s="13">
        <v>3</v>
      </c>
      <c r="C261" s="33">
        <f t="shared" si="51"/>
        <v>0</v>
      </c>
      <c r="D261" s="19">
        <f t="shared" si="51"/>
        <v>0</v>
      </c>
      <c r="E261" s="19">
        <f t="shared" si="51"/>
        <v>0.33964806524287244</v>
      </c>
      <c r="F261" s="34">
        <f t="shared" si="51"/>
        <v>16.797140681102057</v>
      </c>
      <c r="G261" s="20">
        <f t="shared" si="51"/>
        <v>3.0259554903455905</v>
      </c>
      <c r="H261" s="17">
        <f>SUM(C261:G261)</f>
        <v>20.162744236690521</v>
      </c>
      <c r="I261" s="17">
        <f>F261/H261*100</f>
        <v>83.30781010719754</v>
      </c>
      <c r="J261" s="17">
        <f>SQRT(I261*(100-I261)/(L261-1))</f>
        <v>1.4604130991041799</v>
      </c>
      <c r="K261" s="18">
        <f>100-I261</f>
        <v>16.69218989280246</v>
      </c>
      <c r="L261" s="1">
        <f>H250</f>
        <v>653</v>
      </c>
      <c r="M261">
        <v>3</v>
      </c>
      <c r="N261" s="1">
        <v>39794.18</v>
      </c>
      <c r="O261" s="17">
        <f>N261/N263*100</f>
        <v>20.162744236690518</v>
      </c>
      <c r="P261" s="52">
        <f>((O261*O261*(I261/100)*(K261/100))/(L261-1))</f>
        <v>8.6706313496988846E-2</v>
      </c>
      <c r="AH261" s="78"/>
      <c r="AM261" s="78"/>
      <c r="AN261" s="78"/>
      <c r="BF261" s="51">
        <v>0.88749834257073101</v>
      </c>
      <c r="BG261" s="1">
        <v>198</v>
      </c>
      <c r="BH261">
        <f>_xlfn.NORM.S.INV((BG261-0.375)/($BI$61+0.25))</f>
        <v>2.2229788158905439</v>
      </c>
      <c r="BI261">
        <f>BH261/SQRT($BL$65)</f>
        <v>0.15743295469116433</v>
      </c>
      <c r="BJ261">
        <f t="shared" si="50"/>
        <v>0.13972148635442133</v>
      </c>
    </row>
    <row r="262" spans="1:62" x14ac:dyDescent="0.3">
      <c r="A262" t="s">
        <v>7</v>
      </c>
      <c r="B262" s="13">
        <v>4</v>
      </c>
      <c r="C262" s="35">
        <f t="shared" si="51"/>
        <v>0</v>
      </c>
      <c r="D262" s="36">
        <f t="shared" si="51"/>
        <v>0</v>
      </c>
      <c r="E262" s="21">
        <f t="shared" si="51"/>
        <v>1.1339506363183562</v>
      </c>
      <c r="F262" s="21">
        <f t="shared" si="51"/>
        <v>2.1923045635488219</v>
      </c>
      <c r="G262" s="37">
        <f t="shared" si="51"/>
        <v>14.892551690314411</v>
      </c>
      <c r="H262" s="17">
        <f>SUM(C262:G262)</f>
        <v>18.21880689018159</v>
      </c>
      <c r="I262" s="17">
        <f>G262/H262*100</f>
        <v>81.742738589211612</v>
      </c>
      <c r="J262" s="17">
        <f>SQRT(I262*(100-I262)/(L262-1))</f>
        <v>2.4936574100246278</v>
      </c>
      <c r="K262" s="18">
        <f>100-I262</f>
        <v>18.257261410788388</v>
      </c>
      <c r="L262" s="1">
        <f>H251</f>
        <v>241</v>
      </c>
      <c r="M262">
        <v>4</v>
      </c>
      <c r="N262" s="1">
        <v>35957.53</v>
      </c>
      <c r="O262" s="17">
        <f>N262/N263*100</f>
        <v>18.21880689018159</v>
      </c>
      <c r="P262" s="52">
        <f>((O262*O262*(I262/100)*(K262/100))/(L262-1))</f>
        <v>0.20640178124666281</v>
      </c>
      <c r="AI262" s="78"/>
      <c r="BF262" s="51">
        <v>0.88779978769170498</v>
      </c>
      <c r="BG262" s="27">
        <v>199</v>
      </c>
      <c r="BH262" s="84">
        <f>_xlfn.NORM.S.INV((BG262-0.375)/($BI$61+0.25))</f>
        <v>2.4037084127855812</v>
      </c>
      <c r="BI262" s="84">
        <f>-3.562633*($BL$63)^5+5.682633*($BL$63)^4-1.752461*($BL$63)^3-0.293762*($BL$63)^2+0.042981*$BL$63+BH262*($BL$64^-0.5)</f>
        <v>0.17254128536790717</v>
      </c>
      <c r="BJ262">
        <f t="shared" si="50"/>
        <v>0.15318211651768188</v>
      </c>
    </row>
    <row r="263" spans="1:62" x14ac:dyDescent="0.3">
      <c r="B263" t="s">
        <v>28</v>
      </c>
      <c r="C263" s="17">
        <f>SUM(C258:C262)</f>
        <v>1.11968744189063</v>
      </c>
      <c r="D263" s="17">
        <f>SUM(D258:D262)</f>
        <v>4.5419414238743512</v>
      </c>
      <c r="E263" s="17">
        <f>SUM(E258:E262)</f>
        <v>52.682199271043352</v>
      </c>
      <c r="F263" s="17">
        <f>SUM(F258:F262)</f>
        <v>20.0446051197355</v>
      </c>
      <c r="G263" s="17">
        <f>SUM(G258:G262)</f>
        <v>21.611566743456173</v>
      </c>
      <c r="H263" s="1">
        <f>SUM(H257:H262)</f>
        <v>100</v>
      </c>
      <c r="I263" s="13" t="s">
        <v>24</v>
      </c>
      <c r="J263" s="12" t="s">
        <v>29</v>
      </c>
      <c r="N263" s="1">
        <f>SUM(N258:N262)</f>
        <v>197364.9</v>
      </c>
      <c r="O263" s="17">
        <f>SUM(O258:O262)</f>
        <v>100</v>
      </c>
      <c r="AH263" s="78"/>
      <c r="AM263" s="78"/>
      <c r="AN263" s="78"/>
      <c r="BF263" s="51">
        <v>0.88842707122749798</v>
      </c>
      <c r="BG263" s="27">
        <v>200</v>
      </c>
      <c r="BH263" s="84">
        <f>_xlfn.NORM.S.INV((BG263-0.375)/($BI$61+0.25))</f>
        <v>2.7347800424613049</v>
      </c>
      <c r="BI263" s="84">
        <f>-2.70605*($BL$63)^5+4.4334685*($BL$63)^4-2.07119*($BL$63)^3-0.147981*($BL$63)^2+0.221157*$BL$63+BH263*($BL$64^-0.5)</f>
        <v>0.20934182212459215</v>
      </c>
      <c r="BJ263">
        <f t="shared" si="50"/>
        <v>0.18598494191557924</v>
      </c>
    </row>
    <row r="264" spans="1:62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0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0.11010848342681975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0.48621485120168562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0.51428781893358566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0.62611764833033223</v>
      </c>
      <c r="H264" s="1"/>
      <c r="I264" s="56">
        <f>(C258+D259+E260+F261+G262)/H263</f>
        <v>0.88216234039054742</v>
      </c>
      <c r="J264" s="53">
        <f>SQRT(SUM(P258:P262))/100</f>
        <v>6.6252691549153588E-3</v>
      </c>
      <c r="M264" s="1"/>
      <c r="N264" s="9"/>
      <c r="AI264" s="78"/>
      <c r="BI264" t="s">
        <v>365</v>
      </c>
      <c r="BJ264">
        <f>SUM(BJ64:BJ263)</f>
        <v>4.9462654239700254E-2</v>
      </c>
    </row>
    <row r="265" spans="1:62" x14ac:dyDescent="0.3">
      <c r="B265" s="1" t="s">
        <v>30</v>
      </c>
      <c r="C265" s="17">
        <f>C258/C263*100</f>
        <v>100</v>
      </c>
      <c r="D265" s="17">
        <f>D259/D263*100</f>
        <v>94.53377116491221</v>
      </c>
      <c r="E265" s="17">
        <f>E260/E263*100</f>
        <v>97.021738691444796</v>
      </c>
      <c r="F265" s="17">
        <f>F261/F263*100</f>
        <v>83.798810606470582</v>
      </c>
      <c r="G265" s="17">
        <f>G262/G263*100</f>
        <v>68.910097389509104</v>
      </c>
      <c r="H265" s="1"/>
      <c r="AH265" s="78"/>
      <c r="AM265" s="78"/>
      <c r="AN265" s="78"/>
    </row>
    <row r="266" spans="1:62" x14ac:dyDescent="0.3">
      <c r="B266" s="16" t="s">
        <v>39</v>
      </c>
      <c r="C266" s="18">
        <f>SQRT((C269+C270)/(C263*C263))</f>
        <v>0</v>
      </c>
      <c r="D266" s="18">
        <f>SQRT((D269+D270)/(D263*D263))</f>
        <v>1.9942258343967558</v>
      </c>
      <c r="E266" s="18">
        <f>SQRT((E269+E270)/(E263*E263))</f>
        <v>0.60765402627231035</v>
      </c>
      <c r="F266" s="18">
        <f>SQRT((F269+F270)/(F263*F263))</f>
        <v>2.9639246547126534</v>
      </c>
      <c r="G266" s="18">
        <f>SQRT((G269+G270)/(G263*G263))</f>
        <v>6.6792731662435463</v>
      </c>
      <c r="H266" s="1"/>
      <c r="I266" s="14"/>
      <c r="AI266" s="78"/>
    </row>
    <row r="267" spans="1:62" x14ac:dyDescent="0.3">
      <c r="B267" s="1" t="s">
        <v>37</v>
      </c>
      <c r="C267" s="18">
        <f>100-C265</f>
        <v>0</v>
      </c>
      <c r="D267" s="18">
        <f>100-D265</f>
        <v>5.4662288350877901</v>
      </c>
      <c r="E267" s="18">
        <f>100-E265</f>
        <v>2.9782613085552043</v>
      </c>
      <c r="F267" s="18">
        <f>100-F265</f>
        <v>16.201189393529418</v>
      </c>
      <c r="G267" s="18">
        <f>100-G265</f>
        <v>31.089902610490896</v>
      </c>
      <c r="AH267" s="78"/>
      <c r="AM267" s="78"/>
      <c r="AN267" s="78"/>
    </row>
    <row r="268" spans="1:62" ht="15.6" x14ac:dyDescent="0.35">
      <c r="B268" s="1" t="s">
        <v>25</v>
      </c>
      <c r="C268" s="1">
        <f>C252</f>
        <v>56</v>
      </c>
      <c r="D268" s="1">
        <f>D252</f>
        <v>98</v>
      </c>
      <c r="E268" s="1">
        <f>E252</f>
        <v>1675</v>
      </c>
      <c r="F268" s="1">
        <f>F252</f>
        <v>607</v>
      </c>
      <c r="G268" s="1">
        <f>G252</f>
        <v>414</v>
      </c>
      <c r="AI268" s="78"/>
    </row>
    <row r="269" spans="1:62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13.451748403422227</v>
      </c>
      <c r="E269" s="18">
        <f>(O260*O260*(100-E265)*(100-E265)*(I260)*(100-I260))/((L260-1)*100)</f>
        <v>125.36191656535898</v>
      </c>
      <c r="F269" s="18">
        <f>(O261*O261*(100-F265)*(100-F265)*(I261)*(100-I261))/((L261-1)*100)</f>
        <v>2275.8546381684191</v>
      </c>
      <c r="G269" s="18">
        <f>(O262*O262*(100-G265)*(100-G265)*(I262)*(100-I262))/((L262-1)*100)</f>
        <v>19950.425567071321</v>
      </c>
      <c r="AH269" s="78"/>
      <c r="AM269" s="78"/>
      <c r="AN269" s="78"/>
    </row>
    <row r="270" spans="1:62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68.589400582197598</v>
      </c>
      <c r="E270" s="18">
        <f>E265*E265*(SUM((H258*E258*(1-E247/H247))/(H247-1),(H259*E259*(1-E248/H248))/(H248-1), (H261*E261*(1-E250/H250))/(H250-1),(H262*E262*(1-E251/H251))/(H251-1)))</f>
        <v>899.44147294518802</v>
      </c>
      <c r="F270" s="18">
        <f>F265*F265*(SUM((H258*F258*(1-F247/H247))/(H247-1),(H259*F259*(1-F248/H248))/(H248-1), (H260*F260*(1-F249/H249))/(H249-1),(H262*F262*(1-F251/H251))/(H251-1)))</f>
        <v>1253.7765541403669</v>
      </c>
      <c r="G270" s="18">
        <f>G265*G265*(SUM((H258*G258*(1-G247/H247))/(H247-1),(H259*G259*(1-G248/H248))/(H248-1), (H260*G260*(1-G249/H249))/(H249-1),(H261*G261*(1-G250/H250))/(H250-1)))</f>
        <v>886.36927865912162</v>
      </c>
      <c r="AI270" s="78"/>
    </row>
    <row r="271" spans="1:62" x14ac:dyDescent="0.3">
      <c r="A271" s="105" t="s">
        <v>390</v>
      </c>
      <c r="B271" s="69" t="s">
        <v>9</v>
      </c>
      <c r="C271" s="1">
        <v>270.08999999999997</v>
      </c>
      <c r="D271" s="1">
        <v>1794.46</v>
      </c>
      <c r="E271" s="1">
        <v>15096.19</v>
      </c>
      <c r="F271" s="1">
        <v>1679.56</v>
      </c>
      <c r="G271" s="1">
        <v>3250.36</v>
      </c>
      <c r="I271" t="s">
        <v>36</v>
      </c>
      <c r="J271" s="57">
        <f>SUM(C271:G271)</f>
        <v>22090.660000000003</v>
      </c>
      <c r="AH271" s="78"/>
      <c r="AM271" s="78"/>
      <c r="AN271" s="78"/>
    </row>
    <row r="272" spans="1:62" x14ac:dyDescent="0.3">
      <c r="B272" t="s">
        <v>391</v>
      </c>
      <c r="C272" s="57">
        <f>(C271/$J271)*100</f>
        <v>1.2226434158146471</v>
      </c>
      <c r="D272" s="57">
        <f>(D271/$J271)*100</f>
        <v>8.1231615533442625</v>
      </c>
      <c r="E272" s="57">
        <f>(E271/$J271)*100</f>
        <v>68.337433105212781</v>
      </c>
      <c r="F272" s="57">
        <f>(F271/$J271)*100</f>
        <v>7.6030322317214587</v>
      </c>
      <c r="G272" s="57">
        <f>(G271/$J271)*100</f>
        <v>14.713729693906835</v>
      </c>
      <c r="T272" s="2"/>
      <c r="AI272" s="78"/>
    </row>
    <row r="273" spans="1:40" x14ac:dyDescent="0.3">
      <c r="A273" s="361">
        <v>1988</v>
      </c>
      <c r="B273" s="361"/>
      <c r="C273" s="361"/>
      <c r="D273" s="361"/>
      <c r="E273" s="361"/>
      <c r="F273" s="361"/>
      <c r="G273" s="361"/>
      <c r="H273" s="361"/>
      <c r="I273" s="361"/>
      <c r="J273" s="361"/>
      <c r="K273" s="361"/>
      <c r="L273" s="361" t="s">
        <v>87</v>
      </c>
      <c r="M273" s="361"/>
      <c r="N273" s="361"/>
      <c r="O273" s="361"/>
      <c r="P273" s="361"/>
      <c r="AH273" s="78"/>
      <c r="AM273" s="78"/>
      <c r="AN273" s="78"/>
    </row>
    <row r="274" spans="1:40" ht="15" thickBot="1" x14ac:dyDescent="0.35">
      <c r="A274" t="s">
        <v>320</v>
      </c>
      <c r="B274" t="s">
        <v>21</v>
      </c>
      <c r="I274" s="1" t="s">
        <v>58</v>
      </c>
      <c r="O274" s="360" t="s">
        <v>411</v>
      </c>
      <c r="P274" s="360"/>
      <c r="R274" s="59" t="s">
        <v>78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77</v>
      </c>
      <c r="AA274" s="12" t="s">
        <v>29</v>
      </c>
      <c r="AI274" s="78"/>
    </row>
    <row r="275" spans="1:40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56</v>
      </c>
      <c r="O275" s="13" t="s">
        <v>412</v>
      </c>
      <c r="P275" s="13" t="s">
        <v>41</v>
      </c>
      <c r="S275" t="s">
        <v>28</v>
      </c>
      <c r="T275" s="57">
        <f t="shared" ref="T275:X276" si="52">AVERAGE(T16,T26,T36,T46,T56)</f>
        <v>1.1200137523729752</v>
      </c>
      <c r="U275" s="57">
        <f t="shared" si="52"/>
        <v>4.7359480999860786</v>
      </c>
      <c r="V275" s="57">
        <f t="shared" si="52"/>
        <v>53.494528897732906</v>
      </c>
      <c r="W275" s="57">
        <f t="shared" si="52"/>
        <v>19.666212033408968</v>
      </c>
      <c r="X275" s="57">
        <f t="shared" si="52"/>
        <v>20.983297216499071</v>
      </c>
      <c r="Z275" s="14">
        <f>AVERAGE(AE16,AE17,AE18,AE19,AE20)</f>
        <v>0.87850347647186633</v>
      </c>
      <c r="AA275" s="72">
        <f>AVERAGE(AF16,AF17,AF18,AF19,AF20)</f>
        <v>6.693120928751582E-3</v>
      </c>
      <c r="AH275" s="78"/>
      <c r="AM275" s="78"/>
      <c r="AN275" s="78"/>
    </row>
    <row r="276" spans="1:40" x14ac:dyDescent="0.3">
      <c r="A276" t="s">
        <v>3</v>
      </c>
      <c r="B276" s="13">
        <v>0</v>
      </c>
      <c r="C276" s="26">
        <v>56</v>
      </c>
      <c r="D276" s="3">
        <v>0</v>
      </c>
      <c r="E276" s="3">
        <v>0</v>
      </c>
      <c r="F276" s="3">
        <v>0</v>
      </c>
      <c r="G276" s="4">
        <v>0</v>
      </c>
      <c r="H276" s="1">
        <f>SUM(C276:G276)</f>
        <v>56</v>
      </c>
      <c r="I276" s="10">
        <f>C276/H276</f>
        <v>1</v>
      </c>
      <c r="J276" s="11">
        <f>1-I276</f>
        <v>0</v>
      </c>
      <c r="K276">
        <f>H276-C281</f>
        <v>0</v>
      </c>
      <c r="N276" s="10">
        <f>2*(C282*I276)/(C282+I276)</f>
        <v>1</v>
      </c>
      <c r="O276" s="1"/>
      <c r="P276" s="1"/>
      <c r="S276" t="s">
        <v>39</v>
      </c>
      <c r="T276" s="57">
        <f t="shared" si="52"/>
        <v>0</v>
      </c>
      <c r="U276" s="57">
        <f t="shared" si="52"/>
        <v>0.1128753192569714</v>
      </c>
      <c r="V276" s="57">
        <f t="shared" si="52"/>
        <v>0.5034255498072987</v>
      </c>
      <c r="W276" s="57">
        <f t="shared" si="52"/>
        <v>0.51816148999766165</v>
      </c>
      <c r="X276" s="57">
        <f t="shared" si="52"/>
        <v>0.62798615298201443</v>
      </c>
      <c r="AI276" s="78"/>
    </row>
    <row r="277" spans="1:40" x14ac:dyDescent="0.3">
      <c r="A277" t="s">
        <v>4</v>
      </c>
      <c r="B277" s="13">
        <v>1</v>
      </c>
      <c r="C277" s="5">
        <v>0</v>
      </c>
      <c r="D277" s="27">
        <v>91</v>
      </c>
      <c r="E277" s="1">
        <v>1</v>
      </c>
      <c r="F277" s="1">
        <v>0</v>
      </c>
      <c r="G277" s="6">
        <v>0</v>
      </c>
      <c r="H277" s="1">
        <f>SUM(C277:G277)</f>
        <v>92</v>
      </c>
      <c r="I277" s="10">
        <f>D277/H277</f>
        <v>0.98913043478260865</v>
      </c>
      <c r="J277" s="11">
        <f>1-I277</f>
        <v>1.0869565217391353E-2</v>
      </c>
      <c r="K277">
        <f>H277-D281</f>
        <v>-7</v>
      </c>
      <c r="N277" s="10">
        <f>2*(D282*I277)/(D282+I277)</f>
        <v>0.95287958115183247</v>
      </c>
      <c r="O277" s="1"/>
      <c r="P277" s="1"/>
      <c r="S277" s="66" t="s">
        <v>65</v>
      </c>
      <c r="T277" s="67">
        <f>1.96*T276</f>
        <v>0</v>
      </c>
      <c r="U277" s="67">
        <f>1.96*U276</f>
        <v>0.22123562574366396</v>
      </c>
      <c r="V277" s="67">
        <f>1.96*V276</f>
        <v>0.98671407762230545</v>
      </c>
      <c r="W277" s="67">
        <f>1.96*W276</f>
        <v>1.0155965203954169</v>
      </c>
      <c r="X277" s="67">
        <f>1.96*X276</f>
        <v>1.2308528598447483</v>
      </c>
      <c r="AH277" s="78"/>
      <c r="AM277" s="78"/>
      <c r="AN277" s="78"/>
    </row>
    <row r="278" spans="1:40" x14ac:dyDescent="0.3">
      <c r="A278" t="s">
        <v>5</v>
      </c>
      <c r="B278" s="13">
        <v>2</v>
      </c>
      <c r="C278" s="5">
        <v>0</v>
      </c>
      <c r="D278" s="1">
        <v>8</v>
      </c>
      <c r="E278" s="27">
        <v>1653</v>
      </c>
      <c r="F278" s="1">
        <v>33</v>
      </c>
      <c r="G278" s="6">
        <v>114</v>
      </c>
      <c r="H278" s="1">
        <f>SUM(C278:G278)</f>
        <v>1808</v>
      </c>
      <c r="I278" s="10">
        <f>E278/H278</f>
        <v>0.91426991150442483</v>
      </c>
      <c r="J278" s="11">
        <f>1-I278</f>
        <v>8.5730088495575174E-2</v>
      </c>
      <c r="K278">
        <f>H278-E281</f>
        <v>114</v>
      </c>
      <c r="N278" s="10">
        <f>2*(E282*I278)/(E282+I278)</f>
        <v>0.9440319817247288</v>
      </c>
      <c r="O278" s="1"/>
      <c r="P278" s="1"/>
      <c r="S278" t="s">
        <v>30</v>
      </c>
      <c r="T278" s="57">
        <f t="shared" ref="T278:X279" si="53">AVERAGE(T18,T28,T38,T48,T58)</f>
        <v>100</v>
      </c>
      <c r="U278" s="57">
        <f t="shared" si="53"/>
        <v>94.541286146773956</v>
      </c>
      <c r="V278" s="57">
        <f t="shared" si="53"/>
        <v>96.138886538399248</v>
      </c>
      <c r="W278" s="57">
        <f t="shared" si="53"/>
        <v>83.43480939228894</v>
      </c>
      <c r="X278" s="57">
        <f t="shared" si="53"/>
        <v>68.725267886289345</v>
      </c>
    </row>
    <row r="279" spans="1:40" x14ac:dyDescent="0.3">
      <c r="A279" t="s">
        <v>6</v>
      </c>
      <c r="B279" s="13">
        <v>3</v>
      </c>
      <c r="C279" s="5">
        <v>0</v>
      </c>
      <c r="D279" s="1">
        <v>0</v>
      </c>
      <c r="E279" s="1">
        <v>22</v>
      </c>
      <c r="F279" s="27">
        <v>533</v>
      </c>
      <c r="G279" s="6">
        <v>98</v>
      </c>
      <c r="H279" s="1">
        <f>SUM(C279:G279)</f>
        <v>653</v>
      </c>
      <c r="I279" s="10">
        <f>F279/H279</f>
        <v>0.81623277182235832</v>
      </c>
      <c r="J279" s="11">
        <f>1-I279</f>
        <v>0.18376722817764168</v>
      </c>
      <c r="K279">
        <f>H279-F281</f>
        <v>56</v>
      </c>
      <c r="N279" s="10">
        <f>2*(F282*I279)/(F282+I279)</f>
        <v>0.8528</v>
      </c>
      <c r="O279" s="1"/>
      <c r="P279" s="1"/>
      <c r="S279" t="s">
        <v>39</v>
      </c>
      <c r="T279" s="57">
        <f t="shared" si="53"/>
        <v>0</v>
      </c>
      <c r="U279" s="57">
        <f t="shared" si="53"/>
        <v>1.9442658339724921</v>
      </c>
      <c r="V279" s="57">
        <f t="shared" si="53"/>
        <v>0.66777385245542376</v>
      </c>
      <c r="W279" s="57">
        <f t="shared" si="53"/>
        <v>3.1127055669857406</v>
      </c>
      <c r="X279" s="57">
        <f t="shared" si="53"/>
        <v>7.0239345045845836</v>
      </c>
      <c r="AH279" s="78"/>
      <c r="AM279" s="78"/>
      <c r="AN279" s="78"/>
    </row>
    <row r="280" spans="1:40" x14ac:dyDescent="0.3">
      <c r="A280" t="s">
        <v>7</v>
      </c>
      <c r="B280" s="13">
        <v>4</v>
      </c>
      <c r="C280" s="7">
        <v>0</v>
      </c>
      <c r="D280" s="8">
        <v>0</v>
      </c>
      <c r="E280" s="8">
        <v>18</v>
      </c>
      <c r="F280" s="8">
        <v>31</v>
      </c>
      <c r="G280" s="28">
        <v>192</v>
      </c>
      <c r="H280" s="1">
        <f>SUM(C280:G280)</f>
        <v>241</v>
      </c>
      <c r="I280" s="10">
        <f>G280/H280</f>
        <v>0.79668049792531115</v>
      </c>
      <c r="J280" s="11">
        <f>1-I280</f>
        <v>0.20331950207468885</v>
      </c>
      <c r="K280">
        <f>H280-G281</f>
        <v>-163</v>
      </c>
      <c r="N280" s="10">
        <f>2*(G282*I280)/(G282+I280)</f>
        <v>0.59534883720930232</v>
      </c>
      <c r="O280" s="1"/>
      <c r="P280" s="1"/>
      <c r="S280" s="66" t="s">
        <v>65</v>
      </c>
      <c r="T280" s="67">
        <f>1.96*T279</f>
        <v>0</v>
      </c>
      <c r="U280" s="67">
        <f>1.96*U279</f>
        <v>3.8107610345860845</v>
      </c>
      <c r="V280" s="67">
        <f>1.96*V279</f>
        <v>1.3088367508126306</v>
      </c>
      <c r="W280" s="67">
        <f>1.96*W279</f>
        <v>6.1009029112920512</v>
      </c>
      <c r="X280" s="67">
        <f>1.96*X279</f>
        <v>13.766911628985783</v>
      </c>
    </row>
    <row r="281" spans="1:40" ht="15.6" x14ac:dyDescent="0.35">
      <c r="B281" s="1" t="s">
        <v>19</v>
      </c>
      <c r="C281" s="1">
        <f>SUM(C276:C280)</f>
        <v>56</v>
      </c>
      <c r="D281" s="1">
        <f>SUM(D276:D280)</f>
        <v>99</v>
      </c>
      <c r="E281" s="1">
        <f>SUM(E276:E280)</f>
        <v>1694</v>
      </c>
      <c r="F281" s="1">
        <f>SUM(F276:F280)</f>
        <v>597</v>
      </c>
      <c r="G281" s="1">
        <f>SUM(G276:G280)</f>
        <v>404</v>
      </c>
      <c r="H281" s="1">
        <f>SUM(H275:H280)</f>
        <v>2850</v>
      </c>
      <c r="I281" s="13" t="s">
        <v>12</v>
      </c>
      <c r="N281" s="16" t="s">
        <v>36</v>
      </c>
      <c r="O281" s="1">
        <f>SUM(O276:O280)</f>
        <v>0</v>
      </c>
      <c r="P281" s="1">
        <f>SUM(P276:P280)</f>
        <v>0</v>
      </c>
      <c r="S281" t="s">
        <v>31</v>
      </c>
      <c r="T281" s="57">
        <f t="shared" ref="T281:X282" si="54">AVERAGE(T20,T30,T40,T50,T60)</f>
        <v>100</v>
      </c>
      <c r="U281" s="57">
        <f t="shared" si="54"/>
        <v>97.826086956521735</v>
      </c>
      <c r="V281" s="57">
        <f t="shared" si="54"/>
        <v>91.371681415929203</v>
      </c>
      <c r="W281" s="57">
        <f t="shared" si="54"/>
        <v>81.83767228177642</v>
      </c>
      <c r="X281" s="57">
        <f t="shared" si="54"/>
        <v>80.248962655601673</v>
      </c>
      <c r="AH281" s="78"/>
      <c r="AM281" s="78"/>
      <c r="AN281" s="78"/>
    </row>
    <row r="282" spans="1:40" x14ac:dyDescent="0.3">
      <c r="A282" s="1" t="s">
        <v>321</v>
      </c>
      <c r="B282" s="1" t="s">
        <v>2</v>
      </c>
      <c r="C282" s="10">
        <f>C276/C281</f>
        <v>1</v>
      </c>
      <c r="D282" s="10">
        <f>D277/D281</f>
        <v>0.91919191919191923</v>
      </c>
      <c r="E282" s="10">
        <f>E278/E281</f>
        <v>0.97579693034238491</v>
      </c>
      <c r="F282" s="10">
        <f>F279/F281</f>
        <v>0.89279731993299838</v>
      </c>
      <c r="G282" s="10">
        <f>G280/G281</f>
        <v>0.47524752475247523</v>
      </c>
      <c r="H282" s="10"/>
      <c r="I282" s="14">
        <f>(C276+D277+E278+F279+G280)/H281</f>
        <v>0.88596491228070173</v>
      </c>
      <c r="S282" t="s">
        <v>39</v>
      </c>
      <c r="T282" s="57">
        <f t="shared" si="54"/>
        <v>0</v>
      </c>
      <c r="U282" s="57">
        <f t="shared" si="54"/>
        <v>1.5069949164317522</v>
      </c>
      <c r="V282" s="57">
        <f t="shared" si="54"/>
        <v>0.66045631692045004</v>
      </c>
      <c r="W282" s="57">
        <f t="shared" si="54"/>
        <v>1.5094733363714332</v>
      </c>
      <c r="X282" s="57">
        <f t="shared" si="54"/>
        <v>2.5671844979212017</v>
      </c>
    </row>
    <row r="283" spans="1:40" x14ac:dyDescent="0.3">
      <c r="B283" s="1" t="s">
        <v>14</v>
      </c>
      <c r="C283" s="11">
        <f>1-C282</f>
        <v>0</v>
      </c>
      <c r="D283" s="11">
        <f>1-D282</f>
        <v>8.0808080808080773E-2</v>
      </c>
      <c r="E283" s="11">
        <f>1-E282</f>
        <v>2.4203069657615095E-2</v>
      </c>
      <c r="F283" s="11">
        <f>1-F282</f>
        <v>0.10720268006700162</v>
      </c>
      <c r="G283" s="11">
        <f>1-G282</f>
        <v>0.52475247524752477</v>
      </c>
      <c r="S283" s="66" t="s">
        <v>65</v>
      </c>
      <c r="T283" s="67">
        <f>1.96*T282</f>
        <v>0</v>
      </c>
      <c r="U283" s="67">
        <f>1.96*U282</f>
        <v>2.9537100362062341</v>
      </c>
      <c r="V283" s="67">
        <f>1.96*V282</f>
        <v>1.2944943811640821</v>
      </c>
      <c r="W283" s="67">
        <f>1.96*W282</f>
        <v>2.958567739288009</v>
      </c>
      <c r="X283" s="67">
        <f>1.96*X282</f>
        <v>5.0316816159255557</v>
      </c>
      <c r="AH283" s="78"/>
      <c r="AM283" s="78"/>
      <c r="AN283" s="78"/>
    </row>
    <row r="284" spans="1:40" x14ac:dyDescent="0.3">
      <c r="C284" s="2"/>
      <c r="S284" t="s">
        <v>56</v>
      </c>
      <c r="T284" s="57">
        <f>AVERAGE(T22,T32,T42,T52,T62)</f>
        <v>100</v>
      </c>
      <c r="U284" s="57">
        <f>AVERAGE(U22,U32,U42,U52,U62)</f>
        <v>94.553766836197582</v>
      </c>
      <c r="V284" s="57">
        <f>AVERAGE(V22,V32,V42,V52,V62)</f>
        <v>94.383872178839511</v>
      </c>
      <c r="W284" s="57">
        <f>AVERAGE(W22,W32,W42,W52,W62)</f>
        <v>85.475285650029406</v>
      </c>
      <c r="X284" s="57">
        <f>AVERAGE(X22,X32,X42,X52,X62)</f>
        <v>59.827238959187426</v>
      </c>
    </row>
    <row r="285" spans="1:40" ht="15.6" x14ac:dyDescent="0.35">
      <c r="A285" t="s">
        <v>322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</v>
      </c>
      <c r="U285" s="57">
        <f>_xlfn.STDEV.S(U22,U32,U42,U52,U62)</f>
        <v>1.4674719012484292</v>
      </c>
      <c r="V285" s="57">
        <f>_xlfn.STDEV.S(V22,V32,V42,V52,V62)</f>
        <v>0.14595646011765687</v>
      </c>
      <c r="W285" s="57">
        <f>_xlfn.STDEV.S(W22,W32,W42,W52,W62)</f>
        <v>0.45149594110906832</v>
      </c>
      <c r="X285" s="57">
        <f>_xlfn.STDEV.S(X22,X32,X42,X52,X62)</f>
        <v>1.3951390773021797</v>
      </c>
      <c r="AH285" s="78"/>
      <c r="AM285" s="78"/>
      <c r="AN285" s="78"/>
    </row>
    <row r="286" spans="1:40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65</v>
      </c>
      <c r="T286" s="67">
        <f>1.96*T285</f>
        <v>0</v>
      </c>
      <c r="U286" s="67">
        <f>1.96*U285</f>
        <v>2.8762449264469212</v>
      </c>
      <c r="V286" s="67">
        <f>1.96*V285</f>
        <v>0.28607466183060748</v>
      </c>
      <c r="W286" s="67">
        <f>1.96*W285</f>
        <v>0.88493204457377395</v>
      </c>
      <c r="X286" s="67">
        <f>1.96*X285</f>
        <v>2.7344725915122723</v>
      </c>
    </row>
    <row r="287" spans="1:40" x14ac:dyDescent="0.3">
      <c r="A287" t="s">
        <v>3</v>
      </c>
      <c r="B287" s="13">
        <v>0</v>
      </c>
      <c r="C287" s="29">
        <f>(C276/$L287)*$O287</f>
        <v>1.1226058939558148</v>
      </c>
      <c r="D287" s="31">
        <f>(D276/$L287)*$O287</f>
        <v>0</v>
      </c>
      <c r="E287" s="31">
        <f>(E276/$L287)*$O287</f>
        <v>0</v>
      </c>
      <c r="F287" s="31">
        <f>(F276/$L287)*$O287</f>
        <v>0</v>
      </c>
      <c r="G287" s="32">
        <f>(G276/$L287)*$O287</f>
        <v>0</v>
      </c>
      <c r="H287" s="17">
        <f>SUM(C287:G287)</f>
        <v>1.1226058939558148</v>
      </c>
      <c r="I287" s="17">
        <f>C287/H287*100</f>
        <v>100</v>
      </c>
      <c r="J287" s="17">
        <f>SQRT(I287*(100-I287)/(L287-1))</f>
        <v>0</v>
      </c>
      <c r="K287" s="18">
        <f>100-I287</f>
        <v>0</v>
      </c>
      <c r="L287" s="1">
        <f>H276</f>
        <v>56</v>
      </c>
      <c r="M287">
        <v>0</v>
      </c>
      <c r="N287" s="1">
        <v>2215.63</v>
      </c>
      <c r="O287" s="17">
        <f>N287/N292*100</f>
        <v>1.1226058939558148</v>
      </c>
      <c r="P287" s="52">
        <f>((O287*O287*(I287/100)*(K287/100))/(L287-1))</f>
        <v>0</v>
      </c>
      <c r="R287" s="16" t="s">
        <v>75</v>
      </c>
      <c r="S287" t="s">
        <v>9</v>
      </c>
      <c r="T287" s="57">
        <f>AVERAGE(T23,T33,T43,T53,T63)</f>
        <v>2210.5140000000001</v>
      </c>
      <c r="U287" s="57">
        <f>AVERAGE(U23,U33,U43,U53,U63)</f>
        <v>9027.982</v>
      </c>
      <c r="V287" s="57">
        <f>AVERAGE(V23,V33,V43,V53,V63)</f>
        <v>111083.85</v>
      </c>
      <c r="W287" s="57">
        <f>AVERAGE(W23,W33,W43,W53,W63)</f>
        <v>39570.740000000005</v>
      </c>
      <c r="X287" s="57">
        <f>AVERAGE(X23,X33,X43,X53,X63)</f>
        <v>35471.811999999998</v>
      </c>
      <c r="Z287" t="s">
        <v>36</v>
      </c>
      <c r="AA287" s="57">
        <f>AVERAGE(AA23,AA33,AA43,AA53,AA63)</f>
        <v>197364.89799999999</v>
      </c>
      <c r="AH287" s="78"/>
      <c r="AM287" s="78"/>
      <c r="AN287" s="78"/>
    </row>
    <row r="288" spans="1:40" x14ac:dyDescent="0.3">
      <c r="A288" t="s">
        <v>4</v>
      </c>
      <c r="B288" s="13">
        <v>1</v>
      </c>
      <c r="C288" s="33">
        <f t="shared" ref="C288:G291" si="55">(C277/$L288)*$O288</f>
        <v>0</v>
      </c>
      <c r="D288" s="34">
        <f t="shared" si="55"/>
        <v>4.5146498891801095</v>
      </c>
      <c r="E288" s="19">
        <f t="shared" si="55"/>
        <v>4.9611537243737472E-2</v>
      </c>
      <c r="F288" s="18">
        <f t="shared" si="55"/>
        <v>0</v>
      </c>
      <c r="G288" s="20">
        <f t="shared" si="55"/>
        <v>0</v>
      </c>
      <c r="H288" s="17">
        <f>SUM(C288:G288)</f>
        <v>4.5642614264238466</v>
      </c>
      <c r="I288" s="17">
        <f>D288/H288*100</f>
        <v>98.913043478260875</v>
      </c>
      <c r="J288" s="17">
        <f>SQRT(I288*(100-I288)/(L288-1))</f>
        <v>1.0869565217391279</v>
      </c>
      <c r="K288" s="18">
        <f>100-I288</f>
        <v>1.0869565217391255</v>
      </c>
      <c r="L288" s="1">
        <f>H277</f>
        <v>92</v>
      </c>
      <c r="M288">
        <v>1</v>
      </c>
      <c r="N288" s="1">
        <v>9008.25</v>
      </c>
      <c r="O288" s="17">
        <f>N288/N292*100</f>
        <v>4.5642614264238475</v>
      </c>
      <c r="P288" s="52">
        <f>((O288*O288*(I288/100)*(K288/100))/(L288-1))</f>
        <v>2.4613046276867395E-3</v>
      </c>
      <c r="S288" t="s">
        <v>29</v>
      </c>
      <c r="T288" s="57">
        <f>_xlfn.STDEV.S(T23,T33,T43,T53,T63)</f>
        <v>21.816377563656104</v>
      </c>
      <c r="U288" s="57">
        <f>_xlfn.STDEV.S(U23,U33,U43,U53,U63)</f>
        <v>298.59030597124223</v>
      </c>
      <c r="V288" s="57">
        <f>_xlfn.STDEV.S(V23,V33,V43,V53,V63)</f>
        <v>914.73373554821796</v>
      </c>
      <c r="W288" s="57">
        <f>_xlfn.STDEV.S(W23,W33,W43,W53,W63)</f>
        <v>326.69359505506054</v>
      </c>
      <c r="X288" s="57">
        <f>_xlfn.STDEV.S(X23,X33,X43,X53,X63)</f>
        <v>945.50173885086065</v>
      </c>
      <c r="Z288" t="s">
        <v>29</v>
      </c>
      <c r="AA288" s="57">
        <f>_xlfn.STDEV.S(AA23,AA33,AA43,AA53,AA63)</f>
        <v>8.366600248782748E-3</v>
      </c>
    </row>
    <row r="289" spans="1:40" x14ac:dyDescent="0.3">
      <c r="A289" t="s">
        <v>5</v>
      </c>
      <c r="B289" s="13">
        <v>2</v>
      </c>
      <c r="C289" s="33">
        <f t="shared" si="55"/>
        <v>0</v>
      </c>
      <c r="D289" s="19">
        <f t="shared" si="55"/>
        <v>0.24901505717788261</v>
      </c>
      <c r="E289" s="34">
        <f t="shared" si="55"/>
        <v>51.452736189379998</v>
      </c>
      <c r="F289" s="19">
        <f t="shared" si="55"/>
        <v>1.0271871108587658</v>
      </c>
      <c r="G289" s="20">
        <f t="shared" si="55"/>
        <v>3.548464564784827</v>
      </c>
      <c r="H289" s="17">
        <f>SUM(C289:G289)</f>
        <v>56.277402922201482</v>
      </c>
      <c r="I289" s="17">
        <f>E289/H289*100</f>
        <v>91.426991150442461</v>
      </c>
      <c r="J289" s="17">
        <f>SQRT(I289*(100-I289)/(L289-1))</f>
        <v>0.65860462085251126</v>
      </c>
      <c r="K289" s="18">
        <f>100-I289</f>
        <v>8.5730088495575387</v>
      </c>
      <c r="L289" s="1">
        <f>H278</f>
        <v>1808</v>
      </c>
      <c r="M289">
        <v>2</v>
      </c>
      <c r="N289" s="1">
        <v>111071.84</v>
      </c>
      <c r="O289" s="17">
        <f>N289/N292*100</f>
        <v>56.277402922201468</v>
      </c>
      <c r="P289" s="52">
        <f>((O289*O289*(I289/100)*(K289/100))/(L289-1))</f>
        <v>0.13737814311319405</v>
      </c>
      <c r="S289" t="s">
        <v>65</v>
      </c>
      <c r="T289" s="57">
        <f>1.96*T288</f>
        <v>42.760100024765961</v>
      </c>
      <c r="U289" s="57">
        <f>1.96*U288</f>
        <v>585.23699970363475</v>
      </c>
      <c r="V289" s="57">
        <f>1.96*V288</f>
        <v>1792.8781216745072</v>
      </c>
      <c r="W289" s="57">
        <f>1.96*W288</f>
        <v>640.31944630791861</v>
      </c>
      <c r="X289" s="57">
        <f>1.96*X288</f>
        <v>1853.1834081476868</v>
      </c>
      <c r="AH289" s="78"/>
      <c r="AM289" s="78"/>
      <c r="AN289" s="78"/>
    </row>
    <row r="290" spans="1:40" x14ac:dyDescent="0.3">
      <c r="A290" t="s">
        <v>6</v>
      </c>
      <c r="B290" s="13">
        <v>3</v>
      </c>
      <c r="C290" s="33">
        <f t="shared" si="55"/>
        <v>0</v>
      </c>
      <c r="D290" s="19">
        <f t="shared" si="55"/>
        <v>0</v>
      </c>
      <c r="E290" s="19">
        <f t="shared" si="55"/>
        <v>0.66018138988714425</v>
      </c>
      <c r="F290" s="34">
        <f t="shared" si="55"/>
        <v>15.994394582265812</v>
      </c>
      <c r="G290" s="20">
        <f t="shared" si="55"/>
        <v>2.9408080094972791</v>
      </c>
      <c r="H290" s="17">
        <f>SUM(C290:G290)</f>
        <v>19.595383981650233</v>
      </c>
      <c r="I290" s="17">
        <f>F290/H290*100</f>
        <v>81.623277182235839</v>
      </c>
      <c r="J290" s="17">
        <f>SQRT(I290*(100-I290)/(L290-1))</f>
        <v>1.5167613322609959</v>
      </c>
      <c r="K290" s="18">
        <f>100-I290</f>
        <v>18.376722817764161</v>
      </c>
      <c r="L290" s="1">
        <f>H279</f>
        <v>653</v>
      </c>
      <c r="M290">
        <v>3</v>
      </c>
      <c r="N290" s="1">
        <v>38674.410000000003</v>
      </c>
      <c r="O290" s="17">
        <f>N290/N292*100</f>
        <v>19.595383981650237</v>
      </c>
      <c r="P290" s="52">
        <f>((O290*O290*(I290/100)*(K290/100))/(L290-1))</f>
        <v>8.8336879356304965E-2</v>
      </c>
      <c r="R290" s="16" t="s">
        <v>74</v>
      </c>
      <c r="S290" t="s">
        <v>9</v>
      </c>
      <c r="T290" s="57">
        <f>AVERAGE(T24,T34,T44,T54,T64)</f>
        <v>2210.5140000000001</v>
      </c>
      <c r="U290" s="57">
        <f>AVERAGE(U24,U34,U44,U54,U64)</f>
        <v>9347.0991367833794</v>
      </c>
      <c r="V290" s="57">
        <f>AVERAGE(V24,V34,V44,V54,V64)</f>
        <v>105579.42242597288</v>
      </c>
      <c r="W290" s="57">
        <f>AVERAGE(W24,W34,W44,W54,W64)</f>
        <v>38814.199305270449</v>
      </c>
      <c r="X290" s="57">
        <f>AVERAGE(X24,X34,X44,X54,X64)</f>
        <v>41413.663131973284</v>
      </c>
      <c r="Z290" t="s">
        <v>36</v>
      </c>
      <c r="AA290" s="24">
        <f>SUM(T290:X290)</f>
        <v>197364.89799999999</v>
      </c>
    </row>
    <row r="291" spans="1:40" x14ac:dyDescent="0.3">
      <c r="A291" t="s">
        <v>7</v>
      </c>
      <c r="B291" s="13">
        <v>4</v>
      </c>
      <c r="C291" s="35">
        <f t="shared" si="55"/>
        <v>0</v>
      </c>
      <c r="D291" s="36">
        <f t="shared" si="55"/>
        <v>0</v>
      </c>
      <c r="E291" s="21">
        <f t="shared" si="55"/>
        <v>1.3772872363644626</v>
      </c>
      <c r="F291" s="21">
        <f t="shared" si="55"/>
        <v>2.3719946848499074</v>
      </c>
      <c r="G291" s="37">
        <f t="shared" si="55"/>
        <v>14.691063854554267</v>
      </c>
      <c r="H291" s="17">
        <f>SUM(C291:G291)</f>
        <v>18.440345775768638</v>
      </c>
      <c r="I291" s="17">
        <f>G291/H291*100</f>
        <v>79.668049792531122</v>
      </c>
      <c r="J291" s="17">
        <f>SQRT(I291*(100-I291)/(L291-1))</f>
        <v>2.5979213016595066</v>
      </c>
      <c r="K291" s="18">
        <f>100-I291</f>
        <v>20.331950207468878</v>
      </c>
      <c r="L291" s="1">
        <f>H280</f>
        <v>241</v>
      </c>
      <c r="M291">
        <v>4</v>
      </c>
      <c r="N291" s="1">
        <v>36394.769999999997</v>
      </c>
      <c r="O291" s="17">
        <f>N291/N292*100</f>
        <v>18.440345775768638</v>
      </c>
      <c r="P291" s="52">
        <f>((O291*O291*(I291/100)*(K291/100))/(L291-1))</f>
        <v>0.22950391713869261</v>
      </c>
      <c r="S291" t="s">
        <v>29</v>
      </c>
      <c r="T291" s="57">
        <f>_xlfn.STDEV.S(T24,T34,T44,T54,T64)</f>
        <v>21.816377563656062</v>
      </c>
      <c r="U291" s="57">
        <f>_xlfn.STDEV.S(U24,U34,U44,U54,U64)</f>
        <v>457.09529973495535</v>
      </c>
      <c r="V291" s="57">
        <f>_xlfn.STDEV.S(V24,V34,V44,V54,V64)</f>
        <v>1329.3625905154954</v>
      </c>
      <c r="W291" s="57">
        <f>_xlfn.STDEV.S(W24,W34,W44,W54,W64)</f>
        <v>515.81755715381871</v>
      </c>
      <c r="X291" s="57">
        <f>_xlfn.STDEV.S(X24,X34,X44,X54,X64)</f>
        <v>1069.8695880334974</v>
      </c>
      <c r="AH291" s="78"/>
      <c r="AM291" s="78"/>
      <c r="AN291" s="78"/>
    </row>
    <row r="292" spans="1:40" x14ac:dyDescent="0.3">
      <c r="B292" t="s">
        <v>28</v>
      </c>
      <c r="C292" s="17">
        <f>SUM(C287:C291)</f>
        <v>1.1226058939558148</v>
      </c>
      <c r="D292" s="17">
        <f>SUM(D287:D291)</f>
        <v>4.7636649463579923</v>
      </c>
      <c r="E292" s="17">
        <f>SUM(E287:E291)</f>
        <v>53.539816352875334</v>
      </c>
      <c r="F292" s="17">
        <f>SUM(F287:F291)</f>
        <v>19.393576377974483</v>
      </c>
      <c r="G292" s="17">
        <f>SUM(G287:G291)</f>
        <v>21.180336428836373</v>
      </c>
      <c r="H292" s="1">
        <f>SUM(H286:H291)</f>
        <v>100.00000000000001</v>
      </c>
      <c r="I292" s="13" t="s">
        <v>24</v>
      </c>
      <c r="J292" s="12" t="s">
        <v>29</v>
      </c>
      <c r="N292" s="1">
        <f>SUM(N287:N291)</f>
        <v>197364.9</v>
      </c>
      <c r="O292" s="17">
        <f>SUM(O287:O291)</f>
        <v>100</v>
      </c>
      <c r="S292" s="66" t="s">
        <v>65</v>
      </c>
      <c r="T292" s="67">
        <f>1.96*T291</f>
        <v>42.760100024765883</v>
      </c>
      <c r="U292" s="67">
        <f>1.96*U291</f>
        <v>895.90678748051243</v>
      </c>
      <c r="V292" s="67">
        <f>1.96*V291</f>
        <v>2605.550677410371</v>
      </c>
      <c r="W292" s="67">
        <f>1.96*W291</f>
        <v>1011.0024120214847</v>
      </c>
      <c r="X292" s="67">
        <f>1.96*X291</f>
        <v>2096.9443925456549</v>
      </c>
    </row>
    <row r="293" spans="1:40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0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0.10075374394121508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0.50635320472217915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0.52701111010410684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0.63800026102842267</v>
      </c>
      <c r="H293" s="1"/>
      <c r="I293" s="56">
        <f>(C287+D288+E289+F290+G291)/H292</f>
        <v>0.87775450409335987</v>
      </c>
      <c r="J293" s="53">
        <f>SQRT(SUM(P287:P291))/100</f>
        <v>6.7652069017575386E-3</v>
      </c>
      <c r="M293" s="1"/>
      <c r="N293" s="9"/>
      <c r="AH293" s="78"/>
      <c r="AM293" s="78"/>
      <c r="AN293" s="78"/>
    </row>
    <row r="294" spans="1:40" x14ac:dyDescent="0.3">
      <c r="B294" s="1" t="s">
        <v>30</v>
      </c>
      <c r="C294" s="17">
        <f>C287/C292*100</f>
        <v>100</v>
      </c>
      <c r="D294" s="17">
        <f>D288/D292*100</f>
        <v>94.772616042858672</v>
      </c>
      <c r="E294" s="17">
        <f>E289/E292*100</f>
        <v>96.101816730674599</v>
      </c>
      <c r="F294" s="17">
        <f>F290/F292*100</f>
        <v>82.472640788580065</v>
      </c>
      <c r="G294" s="17">
        <f>G291/G292*100</f>
        <v>69.361805955796044</v>
      </c>
      <c r="H294" s="1"/>
    </row>
    <row r="295" spans="1:40" x14ac:dyDescent="0.3">
      <c r="B295" s="16" t="s">
        <v>39</v>
      </c>
      <c r="C295" s="18">
        <f>SQRT((C298+C299)/(C292*C292))</f>
        <v>0</v>
      </c>
      <c r="D295" s="18">
        <f>SQRT((D298+D299)/(D292*D292))</f>
        <v>1.8309617795640551</v>
      </c>
      <c r="E295" s="18">
        <f>SQRT((E298+E299)/(E292*E292))</f>
        <v>0.67676767454535947</v>
      </c>
      <c r="F295" s="18">
        <f>SQRT((F298+F299)/(F292*F292))</f>
        <v>3.2642474351498389</v>
      </c>
      <c r="G295" s="18">
        <f>SQRT((G298+G299)/(G292*G292))</f>
        <v>7.0667703123437668</v>
      </c>
      <c r="H295" s="1"/>
      <c r="AH295" s="78"/>
      <c r="AM295" s="78"/>
      <c r="AN295" s="78"/>
    </row>
    <row r="296" spans="1:40" x14ac:dyDescent="0.3">
      <c r="B296" s="1" t="s">
        <v>37</v>
      </c>
      <c r="C296" s="18">
        <f>100-C294</f>
        <v>0</v>
      </c>
      <c r="D296" s="18">
        <f>100-D294</f>
        <v>5.2273839571413276</v>
      </c>
      <c r="E296" s="18">
        <f>100-E294</f>
        <v>3.8981832693254006</v>
      </c>
      <c r="F296" s="18">
        <f>100-F294</f>
        <v>17.527359211419935</v>
      </c>
      <c r="G296" s="18">
        <f>100-G294</f>
        <v>30.638194044203956</v>
      </c>
    </row>
    <row r="297" spans="1:40" ht="15.6" x14ac:dyDescent="0.35">
      <c r="B297" s="1" t="s">
        <v>25</v>
      </c>
      <c r="C297" s="1">
        <f>C281</f>
        <v>56</v>
      </c>
      <c r="D297" s="1">
        <f>D281</f>
        <v>99</v>
      </c>
      <c r="E297" s="1">
        <f>E281</f>
        <v>1694</v>
      </c>
      <c r="F297" s="1">
        <f>F281</f>
        <v>597</v>
      </c>
      <c r="G297" s="1">
        <f>G281</f>
        <v>404</v>
      </c>
      <c r="AH297" s="78"/>
      <c r="AM297" s="78"/>
      <c r="AN297" s="78"/>
    </row>
    <row r="298" spans="1:40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6.7256485527030314</v>
      </c>
      <c r="E298" s="18">
        <f>(O289*O289*(100-E294)*(100-E294)*(I289)*(100-I289))/((L289-1)*100)</f>
        <v>208.7575293294081</v>
      </c>
      <c r="F298" s="18">
        <f>(O290*O290*(100-F294)*(100-F294)*(I290)*(100-I290))/((L290-1)*100)</f>
        <v>2713.7824382906088</v>
      </c>
      <c r="G298" s="18">
        <f>(O291*O291*(100-G294)*(100-G294)*(I291)*(100-I291))/((L291-1)*100)</f>
        <v>21543.508243353885</v>
      </c>
    </row>
    <row r="299" spans="1:40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69.349178332098234</v>
      </c>
      <c r="E299" s="18">
        <f>E294*E294*(SUM((H287*E287*(1-E276/H276))/(H276-1),(H288*E288*(1-E277/H277))/(H277-1), (H290*E290*(1-E279/H279))/(H279-1),(H291*E291*(1-E280/H280))/(H280-1)))</f>
        <v>1104.1464592588782</v>
      </c>
      <c r="F299" s="18">
        <f>F294*F294*(SUM((H287*F287*(1-F276/H276))/(H276-1),(H288*F288*(1-F277/H277))/(H277-1), (H289*F289*(1-F278/H278))/(H278-1),(H291*F291*(1-F280/H280))/(H280-1)))</f>
        <v>1293.7952761089848</v>
      </c>
      <c r="G299" s="18">
        <f>G294*G294*(SUM((H287*G287*(1-G276/H276))/(H276-1),(H288*G288*(1-G277/H277))/(H277-1), (H289*G289*(1-G278/H278))/(H278-1),(H290*G290*(1-G279/H279))/(H279-1)))</f>
        <v>859.56816610317367</v>
      </c>
      <c r="AH299" s="78"/>
      <c r="AM299" s="78"/>
      <c r="AN299" s="78"/>
    </row>
    <row r="300" spans="1:40" x14ac:dyDescent="0.3">
      <c r="A300" s="105" t="s">
        <v>390</v>
      </c>
      <c r="B300" s="69" t="s">
        <v>9</v>
      </c>
      <c r="C300" s="1">
        <v>262.17</v>
      </c>
      <c r="D300" s="1">
        <v>1794.46</v>
      </c>
      <c r="E300" s="1">
        <v>15063.78</v>
      </c>
      <c r="F300" s="1">
        <v>1650.75</v>
      </c>
      <c r="G300" s="1">
        <v>3319.5</v>
      </c>
      <c r="I300" t="s">
        <v>36</v>
      </c>
      <c r="J300" s="57">
        <f>SUM(C300:G300)</f>
        <v>22090.66</v>
      </c>
    </row>
    <row r="301" spans="1:40" x14ac:dyDescent="0.3">
      <c r="B301" t="s">
        <v>391</v>
      </c>
      <c r="C301" s="57">
        <f>(C300/$J300)*100</f>
        <v>1.1867911597027885</v>
      </c>
      <c r="D301" s="57">
        <f>(D300/$J300)*100</f>
        <v>8.1231615533442643</v>
      </c>
      <c r="E301" s="57">
        <f>(E300/$J300)*100</f>
        <v>68.190719516755053</v>
      </c>
      <c r="F301" s="57">
        <f>(F300/$J300)*100</f>
        <v>7.4726151233145588</v>
      </c>
      <c r="G301" s="57">
        <f>(G300/$J300)*100</f>
        <v>15.026712646883345</v>
      </c>
      <c r="AH301" s="78"/>
      <c r="AM301" s="78"/>
      <c r="AN301" s="78"/>
    </row>
    <row r="302" spans="1:40" x14ac:dyDescent="0.3">
      <c r="A302" s="361">
        <v>1988</v>
      </c>
      <c r="B302" s="361"/>
      <c r="C302" s="361"/>
      <c r="D302" s="361"/>
      <c r="E302" s="361"/>
      <c r="F302" s="361"/>
      <c r="G302" s="361"/>
      <c r="H302" s="361"/>
      <c r="I302" s="361"/>
      <c r="J302" s="361"/>
      <c r="K302" s="361"/>
      <c r="L302" s="361" t="s">
        <v>88</v>
      </c>
      <c r="M302" s="361"/>
      <c r="N302" s="361"/>
      <c r="O302" s="361"/>
      <c r="P302" s="361"/>
    </row>
    <row r="303" spans="1:40" x14ac:dyDescent="0.3">
      <c r="A303" t="s">
        <v>320</v>
      </c>
      <c r="B303" t="s">
        <v>21</v>
      </c>
      <c r="I303" s="1" t="s">
        <v>58</v>
      </c>
      <c r="O303" s="360" t="s">
        <v>411</v>
      </c>
      <c r="P303" s="360"/>
      <c r="AH303" s="78"/>
      <c r="AM303" s="78"/>
      <c r="AN303" s="78"/>
    </row>
    <row r="304" spans="1:40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56</v>
      </c>
      <c r="O304" s="13" t="s">
        <v>412</v>
      </c>
      <c r="P304" s="13" t="s">
        <v>41</v>
      </c>
    </row>
    <row r="305" spans="1:40" x14ac:dyDescent="0.3">
      <c r="A305" t="s">
        <v>3</v>
      </c>
      <c r="B305" s="13">
        <v>0</v>
      </c>
      <c r="C305" s="26">
        <v>56</v>
      </c>
      <c r="D305" s="3">
        <v>0</v>
      </c>
      <c r="E305" s="3">
        <v>0</v>
      </c>
      <c r="F305" s="3">
        <v>0</v>
      </c>
      <c r="G305" s="4">
        <v>0</v>
      </c>
      <c r="H305" s="1">
        <f>SUM(C305:G305)</f>
        <v>56</v>
      </c>
      <c r="I305" s="10">
        <f>C305/H305</f>
        <v>1</v>
      </c>
      <c r="J305" s="11">
        <f>1-I305</f>
        <v>0</v>
      </c>
      <c r="K305">
        <f>H305-C310</f>
        <v>0</v>
      </c>
      <c r="N305" s="10">
        <f>2*(C311*I305)/(C311+I305)</f>
        <v>1</v>
      </c>
      <c r="O305" s="1"/>
      <c r="P305" s="1"/>
      <c r="AH305" s="78"/>
      <c r="AM305" s="78"/>
      <c r="AN305" s="78"/>
    </row>
    <row r="306" spans="1:40" x14ac:dyDescent="0.3">
      <c r="A306" t="s">
        <v>4</v>
      </c>
      <c r="B306" s="13">
        <v>1</v>
      </c>
      <c r="C306" s="5">
        <v>0</v>
      </c>
      <c r="D306" s="27">
        <v>90</v>
      </c>
      <c r="E306" s="1">
        <v>2</v>
      </c>
      <c r="F306" s="1">
        <v>0</v>
      </c>
      <c r="G306" s="6">
        <v>0</v>
      </c>
      <c r="H306" s="1">
        <f>SUM(C306:G306)</f>
        <v>92</v>
      </c>
      <c r="I306" s="10">
        <f>D306/H306</f>
        <v>0.97826086956521741</v>
      </c>
      <c r="J306" s="11">
        <f>1-I306</f>
        <v>2.1739130434782594E-2</v>
      </c>
      <c r="K306">
        <f>H306-D310</f>
        <v>-8</v>
      </c>
      <c r="N306" s="10">
        <f>2*(D311*I306)/(D311+I306)</f>
        <v>0.9375</v>
      </c>
      <c r="O306" s="1"/>
      <c r="P306" s="1"/>
    </row>
    <row r="307" spans="1:40" x14ac:dyDescent="0.3">
      <c r="A307" t="s">
        <v>5</v>
      </c>
      <c r="B307" s="13">
        <v>2</v>
      </c>
      <c r="C307" s="5">
        <v>0</v>
      </c>
      <c r="D307" s="1">
        <v>10</v>
      </c>
      <c r="E307" s="27">
        <v>1645</v>
      </c>
      <c r="F307" s="1">
        <v>33</v>
      </c>
      <c r="G307" s="6">
        <v>120</v>
      </c>
      <c r="H307" s="1">
        <f>SUM(C307:G307)</f>
        <v>1808</v>
      </c>
      <c r="I307" s="10">
        <f>E307/H307</f>
        <v>0.90984513274336287</v>
      </c>
      <c r="J307" s="11">
        <f>1-I307</f>
        <v>9.0154867256637128E-2</v>
      </c>
      <c r="K307">
        <f>H307-E310</f>
        <v>131</v>
      </c>
      <c r="N307" s="10">
        <f>2*(E311*I307)/(E311+I307)</f>
        <v>0.9440459110473457</v>
      </c>
      <c r="O307" s="1"/>
      <c r="P307" s="1"/>
      <c r="AH307" s="78"/>
      <c r="AM307" s="78"/>
      <c r="AN307" s="78"/>
    </row>
    <row r="308" spans="1:40" x14ac:dyDescent="0.3">
      <c r="A308" t="s">
        <v>6</v>
      </c>
      <c r="B308" s="13">
        <v>3</v>
      </c>
      <c r="C308" s="5">
        <v>0</v>
      </c>
      <c r="D308" s="1">
        <v>0</v>
      </c>
      <c r="E308" s="1">
        <v>16</v>
      </c>
      <c r="F308" s="27">
        <v>541</v>
      </c>
      <c r="G308" s="6">
        <v>96</v>
      </c>
      <c r="H308" s="1">
        <f>SUM(C308:G308)</f>
        <v>653</v>
      </c>
      <c r="I308" s="10">
        <f>F308/H308</f>
        <v>0.82848392036753449</v>
      </c>
      <c r="J308" s="11">
        <f>1-I308</f>
        <v>0.17151607963246551</v>
      </c>
      <c r="K308">
        <f>H308-F310</f>
        <v>50</v>
      </c>
      <c r="N308" s="10">
        <f>2*(F311*I308)/(F311+I308)</f>
        <v>0.86146496815286622</v>
      </c>
      <c r="O308" s="1"/>
      <c r="P308" s="1"/>
    </row>
    <row r="309" spans="1:40" x14ac:dyDescent="0.3">
      <c r="A309" t="s">
        <v>7</v>
      </c>
      <c r="B309" s="13">
        <v>4</v>
      </c>
      <c r="C309" s="7">
        <v>0</v>
      </c>
      <c r="D309" s="8">
        <v>0</v>
      </c>
      <c r="E309" s="8">
        <v>14</v>
      </c>
      <c r="F309" s="8">
        <v>29</v>
      </c>
      <c r="G309" s="28">
        <v>198</v>
      </c>
      <c r="H309" s="1">
        <f>SUM(C309:G309)</f>
        <v>241</v>
      </c>
      <c r="I309" s="10">
        <f>G309/H309</f>
        <v>0.82157676348547715</v>
      </c>
      <c r="J309" s="11">
        <f>1-I309</f>
        <v>0.17842323651452285</v>
      </c>
      <c r="K309">
        <f>H309-G310</f>
        <v>-173</v>
      </c>
      <c r="N309" s="10">
        <f>2*(G311*I309)/(G311+I309)</f>
        <v>0.60458015267175569</v>
      </c>
      <c r="O309" s="1"/>
      <c r="P309" s="1"/>
      <c r="AH309" s="78"/>
      <c r="AM309" s="78"/>
      <c r="AN309" s="78"/>
    </row>
    <row r="310" spans="1:40" ht="15.6" x14ac:dyDescent="0.35">
      <c r="B310" s="1" t="s">
        <v>19</v>
      </c>
      <c r="C310" s="1">
        <f>SUM(C305:C309)</f>
        <v>56</v>
      </c>
      <c r="D310" s="1">
        <f>SUM(D305:D309)</f>
        <v>100</v>
      </c>
      <c r="E310" s="1">
        <f>SUM(E305:E309)</f>
        <v>1677</v>
      </c>
      <c r="F310" s="1">
        <f>SUM(F305:F309)</f>
        <v>603</v>
      </c>
      <c r="G310" s="1">
        <f>SUM(G305:G309)</f>
        <v>414</v>
      </c>
      <c r="H310" s="1">
        <f>SUM(H304:H309)</f>
        <v>2850</v>
      </c>
      <c r="I310" s="13" t="s">
        <v>12</v>
      </c>
      <c r="N310" s="16" t="s">
        <v>36</v>
      </c>
      <c r="O310" s="1">
        <f>SUM(O305:O309)</f>
        <v>0</v>
      </c>
      <c r="P310" s="1">
        <f>SUM(P305:P309)</f>
        <v>0</v>
      </c>
    </row>
    <row r="311" spans="1:40" x14ac:dyDescent="0.3">
      <c r="A311" s="1" t="s">
        <v>321</v>
      </c>
      <c r="B311" s="1" t="s">
        <v>2</v>
      </c>
      <c r="C311" s="10">
        <f>C305/C310</f>
        <v>1</v>
      </c>
      <c r="D311" s="10">
        <f>D306/D310</f>
        <v>0.9</v>
      </c>
      <c r="E311" s="10">
        <f>E307/E310</f>
        <v>0.9809183064997018</v>
      </c>
      <c r="F311" s="10">
        <f>F308/F310</f>
        <v>0.89718076285240467</v>
      </c>
      <c r="G311" s="10">
        <f>G309/G310</f>
        <v>0.47826086956521741</v>
      </c>
      <c r="H311" s="10"/>
      <c r="I311" s="14">
        <f>(C305+D306+E307+F308+G309)/H310</f>
        <v>0.88771929824561402</v>
      </c>
      <c r="AH311" s="78"/>
      <c r="AM311" s="78"/>
      <c r="AN311" s="78"/>
    </row>
    <row r="312" spans="1:40" x14ac:dyDescent="0.3">
      <c r="B312" s="1" t="s">
        <v>14</v>
      </c>
      <c r="C312" s="11">
        <f>1-C311</f>
        <v>0</v>
      </c>
      <c r="D312" s="11">
        <f>1-D311</f>
        <v>9.9999999999999978E-2</v>
      </c>
      <c r="E312" s="11">
        <f>1-E311</f>
        <v>1.9081693500298202E-2</v>
      </c>
      <c r="F312" s="11">
        <f>1-F311</f>
        <v>0.10281923714759533</v>
      </c>
      <c r="G312" s="11">
        <f>1-G311</f>
        <v>0.52173913043478259</v>
      </c>
      <c r="Q312" s="25"/>
    </row>
    <row r="313" spans="1:40" x14ac:dyDescent="0.3">
      <c r="C313" s="2"/>
      <c r="Q313" s="25"/>
      <c r="AH313" s="78"/>
      <c r="AM313" s="78"/>
      <c r="AN313" s="78"/>
    </row>
    <row r="314" spans="1:40" ht="15.6" x14ac:dyDescent="0.35">
      <c r="A314" t="s">
        <v>322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0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</row>
    <row r="316" spans="1:40" x14ac:dyDescent="0.3">
      <c r="A316" t="s">
        <v>3</v>
      </c>
      <c r="B316" s="13">
        <v>0</v>
      </c>
      <c r="C316" s="29">
        <f>(C305/$L316)*$O316</f>
        <v>1.0997954094064046</v>
      </c>
      <c r="D316" s="31">
        <f>(D305/$L316)*$O316</f>
        <v>0</v>
      </c>
      <c r="E316" s="31">
        <f>(E305/$L316)*$O316</f>
        <v>0</v>
      </c>
      <c r="F316" s="31">
        <f>(F305/$L316)*$O316</f>
        <v>0</v>
      </c>
      <c r="G316" s="32">
        <f>(G305/$L316)*$O316</f>
        <v>0</v>
      </c>
      <c r="H316" s="17">
        <f>SUM(C316:G316)</f>
        <v>1.0997954094064046</v>
      </c>
      <c r="I316" s="17">
        <f>C316/H316*100</f>
        <v>100</v>
      </c>
      <c r="J316" s="17">
        <f>SQRT(I316*(100-I316)/(L316-1))</f>
        <v>0</v>
      </c>
      <c r="K316" s="18">
        <f>100-I316</f>
        <v>0</v>
      </c>
      <c r="L316" s="1">
        <f>H305</f>
        <v>56</v>
      </c>
      <c r="M316">
        <v>0</v>
      </c>
      <c r="N316" s="1">
        <v>2170.61</v>
      </c>
      <c r="O316" s="17">
        <f>N316/N321*100</f>
        <v>1.0997954094064046</v>
      </c>
      <c r="P316" s="52">
        <f>((O316*O316*(I316/100)*(K316/100))/(L316-1))</f>
        <v>0</v>
      </c>
    </row>
    <row r="317" spans="1:40" x14ac:dyDescent="0.3">
      <c r="A317" t="s">
        <v>4</v>
      </c>
      <c r="B317" s="13">
        <v>1</v>
      </c>
      <c r="C317" s="33">
        <f t="shared" ref="C317:G320" si="56">(C306/$L317)*$O317</f>
        <v>0</v>
      </c>
      <c r="D317" s="34">
        <f t="shared" si="56"/>
        <v>4.5219850752406954</v>
      </c>
      <c r="E317" s="19">
        <f t="shared" si="56"/>
        <v>0.10048855722757101</v>
      </c>
      <c r="F317" s="18">
        <f t="shared" si="56"/>
        <v>0</v>
      </c>
      <c r="G317" s="20">
        <f t="shared" si="56"/>
        <v>0</v>
      </c>
      <c r="H317" s="17">
        <f>SUM(C317:G317)</f>
        <v>4.6224736324682665</v>
      </c>
      <c r="I317" s="17">
        <f>D317/H317*100</f>
        <v>97.826086956521735</v>
      </c>
      <c r="J317" s="17">
        <f>SQRT(I317*(100-I317)/(L317-1))</f>
        <v>1.5287192313211824</v>
      </c>
      <c r="K317" s="18">
        <f>100-I317</f>
        <v>2.1739130434782652</v>
      </c>
      <c r="L317" s="1">
        <f>H306</f>
        <v>92</v>
      </c>
      <c r="M317">
        <v>1</v>
      </c>
      <c r="N317" s="1">
        <v>9123.14</v>
      </c>
      <c r="O317" s="17">
        <f>N317/N321*100</f>
        <v>4.6224736324682665</v>
      </c>
      <c r="P317" s="52">
        <f>((O317*O317*(I317/100)*(K317/100))/(L317-1))</f>
        <v>4.9934918243466752E-3</v>
      </c>
      <c r="AM317" s="78"/>
      <c r="AN317" s="78"/>
    </row>
    <row r="318" spans="1:40" x14ac:dyDescent="0.3">
      <c r="A318" t="s">
        <v>5</v>
      </c>
      <c r="B318" s="13">
        <v>2</v>
      </c>
      <c r="C318" s="33">
        <f t="shared" si="56"/>
        <v>0</v>
      </c>
      <c r="D318" s="19">
        <f t="shared" si="56"/>
        <v>0.30707800120479145</v>
      </c>
      <c r="E318" s="34">
        <f t="shared" si="56"/>
        <v>50.514331198188202</v>
      </c>
      <c r="F318" s="19">
        <f t="shared" si="56"/>
        <v>1.013357403975812</v>
      </c>
      <c r="G318" s="20">
        <f t="shared" si="56"/>
        <v>3.6849360144574979</v>
      </c>
      <c r="H318" s="17">
        <f>SUM(C318:G318)</f>
        <v>55.519702617826304</v>
      </c>
      <c r="I318" s="17">
        <f>E318/H318*100</f>
        <v>90.984513274336294</v>
      </c>
      <c r="J318" s="17">
        <f>SQRT(I318*(100-I318)/(L318-1))</f>
        <v>0.67375073337855573</v>
      </c>
      <c r="K318" s="18">
        <f>100-I318</f>
        <v>9.0154867256637061</v>
      </c>
      <c r="L318" s="1">
        <f>H307</f>
        <v>1808</v>
      </c>
      <c r="M318">
        <v>2</v>
      </c>
      <c r="N318" s="1">
        <v>109576.4</v>
      </c>
      <c r="O318" s="17">
        <f>N318/N321*100</f>
        <v>55.519702617826297</v>
      </c>
      <c r="P318" s="52">
        <f>((O318*O318*(I318/100)*(K318/100))/(L318-1))</f>
        <v>0.13992417800860221</v>
      </c>
    </row>
    <row r="319" spans="1:40" x14ac:dyDescent="0.3">
      <c r="A319" t="s">
        <v>6</v>
      </c>
      <c r="B319" s="13">
        <v>3</v>
      </c>
      <c r="C319" s="33">
        <f t="shared" si="56"/>
        <v>0</v>
      </c>
      <c r="D319" s="19">
        <f t="shared" si="56"/>
        <v>0</v>
      </c>
      <c r="E319" s="19">
        <f t="shared" si="56"/>
        <v>0.49294256894357069</v>
      </c>
      <c r="F319" s="34">
        <f t="shared" si="56"/>
        <v>16.667620612404484</v>
      </c>
      <c r="G319" s="20">
        <f t="shared" si="56"/>
        <v>2.9576554136614241</v>
      </c>
      <c r="H319" s="17">
        <f>SUM(C319:G319)</f>
        <v>20.118218595009477</v>
      </c>
      <c r="I319" s="17">
        <f>F319/H319*100</f>
        <v>82.848392036753452</v>
      </c>
      <c r="J319" s="17">
        <f>SQRT(I319*(100-I319)/(L319-1))</f>
        <v>1.4762865557827505</v>
      </c>
      <c r="K319" s="18">
        <f>100-I319</f>
        <v>17.151607963246548</v>
      </c>
      <c r="L319" s="1">
        <f>H308</f>
        <v>653</v>
      </c>
      <c r="M319">
        <v>3</v>
      </c>
      <c r="N319" s="1">
        <v>39706.300000000003</v>
      </c>
      <c r="O319" s="17">
        <f>N319/N321*100</f>
        <v>20.118218595009477</v>
      </c>
      <c r="P319" s="52">
        <f>((O319*O319*(I319/100)*(K319/100))/(L319-1))</f>
        <v>8.8210518496914594E-2</v>
      </c>
      <c r="AM319" s="78"/>
      <c r="AN319" s="78"/>
    </row>
    <row r="320" spans="1:40" x14ac:dyDescent="0.3">
      <c r="A320" t="s">
        <v>7</v>
      </c>
      <c r="B320" s="13">
        <v>4</v>
      </c>
      <c r="C320" s="35">
        <f t="shared" si="56"/>
        <v>0</v>
      </c>
      <c r="D320" s="36">
        <f t="shared" si="56"/>
        <v>0</v>
      </c>
      <c r="E320" s="21">
        <f t="shared" si="56"/>
        <v>1.0828105246226294</v>
      </c>
      <c r="F320" s="21">
        <f t="shared" si="56"/>
        <v>2.242964658146875</v>
      </c>
      <c r="G320" s="37">
        <f t="shared" si="56"/>
        <v>15.314034562520042</v>
      </c>
      <c r="H320" s="17">
        <f>SUM(C320:G320)</f>
        <v>18.639809745289547</v>
      </c>
      <c r="I320" s="17">
        <f>G320/H320*100</f>
        <v>82.15767634854771</v>
      </c>
      <c r="J320" s="17">
        <f>SQRT(I320*(100-I320)/(L320-1))</f>
        <v>2.4714063572708076</v>
      </c>
      <c r="K320" s="18">
        <f>100-I320</f>
        <v>17.84232365145229</v>
      </c>
      <c r="L320" s="1">
        <f>H309</f>
        <v>241</v>
      </c>
      <c r="M320">
        <v>4</v>
      </c>
      <c r="N320" s="1">
        <v>36788.44</v>
      </c>
      <c r="O320" s="17">
        <f>N320/N321*100</f>
        <v>18.639809745289547</v>
      </c>
      <c r="P320" s="52">
        <f>((O320*O320*(I320/100)*(K320/100))/(L320-1))</f>
        <v>0.2122126504004318</v>
      </c>
    </row>
    <row r="321" spans="1:40" x14ac:dyDescent="0.3">
      <c r="B321" t="s">
        <v>28</v>
      </c>
      <c r="C321" s="17">
        <f t="shared" ref="C321:H321" si="57">SUM(C316:C320)</f>
        <v>1.0997954094064046</v>
      </c>
      <c r="D321" s="17">
        <f t="shared" si="57"/>
        <v>4.8290630764454869</v>
      </c>
      <c r="E321" s="17">
        <f t="shared" si="57"/>
        <v>52.190572848981972</v>
      </c>
      <c r="F321" s="17">
        <f t="shared" si="57"/>
        <v>19.923942674527169</v>
      </c>
      <c r="G321" s="17">
        <f t="shared" si="57"/>
        <v>21.956625990638965</v>
      </c>
      <c r="H321" s="18">
        <f t="shared" si="57"/>
        <v>100</v>
      </c>
      <c r="I321" s="13" t="s">
        <v>24</v>
      </c>
      <c r="J321" s="12" t="s">
        <v>29</v>
      </c>
      <c r="N321" s="1">
        <f>SUM(N316:N320)</f>
        <v>197364.89</v>
      </c>
      <c r="O321" s="17">
        <f>SUM(O316:O320)</f>
        <v>100</v>
      </c>
      <c r="AM321" s="78"/>
      <c r="AN321" s="78"/>
    </row>
    <row r="322" spans="1:40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0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0.11965261909920166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0.48834856893141548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0.52079684650536884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0.62825467492618303</v>
      </c>
      <c r="H322" s="1"/>
      <c r="I322" s="14">
        <f>(C316+D317+E318+F319+G320)/H321</f>
        <v>0.88117766857759849</v>
      </c>
      <c r="J322" s="53">
        <f>SQRT(SUM(P316:P320))/100</f>
        <v>6.6733862373632722E-3</v>
      </c>
      <c r="M322" s="1"/>
      <c r="N322" s="9"/>
    </row>
    <row r="323" spans="1:40" x14ac:dyDescent="0.3">
      <c r="B323" s="1" t="s">
        <v>30</v>
      </c>
      <c r="C323" s="17">
        <f>C316/C321*100</f>
        <v>100</v>
      </c>
      <c r="D323" s="17">
        <f>D317/D321*100</f>
        <v>93.641043897260062</v>
      </c>
      <c r="E323" s="17">
        <f>E318/E321*100</f>
        <v>96.788229062662097</v>
      </c>
      <c r="F323" s="17">
        <f>F319/F321*100</f>
        <v>83.656236542549863</v>
      </c>
      <c r="G323" s="17">
        <f>G320/G321*100</f>
        <v>69.746756942751858</v>
      </c>
      <c r="H323" s="1"/>
      <c r="AM323" s="78"/>
      <c r="AN323" s="78"/>
    </row>
    <row r="324" spans="1:40" x14ac:dyDescent="0.3">
      <c r="B324" s="16" t="s">
        <v>39</v>
      </c>
      <c r="C324" s="18">
        <f>SQRT((C327+C328)/(C321*C321))</f>
        <v>0</v>
      </c>
      <c r="D324" s="18">
        <f>SQRT((D327+D328)/(D321*D321))</f>
        <v>2.0961686077476345</v>
      </c>
      <c r="E324" s="18">
        <f>SQRT((E327+E328)/(E321*E321))</f>
        <v>0.62739355573853028</v>
      </c>
      <c r="F324" s="18">
        <f>SQRT((F327+F328)/(F321*F321))</f>
        <v>3.0292230976458043</v>
      </c>
      <c r="G324" s="18">
        <f>SQRT((G327+G328)/(G321*G321))</f>
        <v>6.4916012750093142</v>
      </c>
      <c r="H324" s="1"/>
      <c r="I324" s="14"/>
    </row>
    <row r="325" spans="1:40" x14ac:dyDescent="0.3">
      <c r="B325" s="1" t="s">
        <v>37</v>
      </c>
      <c r="C325" s="18">
        <f>100-C323</f>
        <v>0</v>
      </c>
      <c r="D325" s="18">
        <f>100-D323</f>
        <v>6.3589561027399384</v>
      </c>
      <c r="E325" s="18">
        <f>100-E323</f>
        <v>3.2117709373379029</v>
      </c>
      <c r="F325" s="18">
        <f>100-F323</f>
        <v>16.343763457450137</v>
      </c>
      <c r="G325" s="18">
        <f>100-G323</f>
        <v>30.253243057248142</v>
      </c>
      <c r="AM325" s="78"/>
      <c r="AN325" s="78"/>
    </row>
    <row r="326" spans="1:40" ht="15.6" x14ac:dyDescent="0.35">
      <c r="B326" s="1" t="s">
        <v>25</v>
      </c>
      <c r="C326" s="1">
        <f>C310</f>
        <v>56</v>
      </c>
      <c r="D326" s="1">
        <f>D310</f>
        <v>100</v>
      </c>
      <c r="E326" s="1">
        <f>E310</f>
        <v>1677</v>
      </c>
      <c r="F326" s="1">
        <f>F310</f>
        <v>603</v>
      </c>
      <c r="G326" s="1">
        <f>G310</f>
        <v>414</v>
      </c>
    </row>
    <row r="327" spans="1:40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20.191844689185352</v>
      </c>
      <c r="E327" s="18">
        <f>(O318*O318*(100-E323)*(100-E323)*(I318)*(100-I318))/((L318-1)*100)</f>
        <v>144.33840178787267</v>
      </c>
      <c r="F327" s="18">
        <f>(O319*O319*(100-F323)*(100-F323)*(I319)*(100-I319))/((L319-1)*100)</f>
        <v>2356.267055487338</v>
      </c>
      <c r="G327" s="18">
        <f>(O320*O320*(100-G323)*(100-G323)*(I320)*(100-I320))/((L320-1)*100)</f>
        <v>19422.947781430346</v>
      </c>
      <c r="AM327" s="78"/>
      <c r="AN327" s="78"/>
    </row>
    <row r="328" spans="1:40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82.273777529596416</v>
      </c>
      <c r="E328" s="18">
        <f>E323*E323*(SUM((H316*E316*(1-E305/H305))/(H305-1),(H317*E317*(1-E306/H306))/(H306-1), (H319*E319*(1-E308/H308))/(H308-1),(H320*E320*(1-E309/H309))/(H309-1)))</f>
        <v>927.83303832592401</v>
      </c>
      <c r="F328" s="18">
        <f>F323*F323*(SUM((H316*F316*(1-F305/H305))/(H305-1),(H317*F317*(1-F306/H306))/(H306-1), (H318*F318*(1-F307/H307))/(H307-1),(H320*F320*(1-F309/H309))/(H309-1)))</f>
        <v>1286.3463896998924</v>
      </c>
      <c r="G328" s="18">
        <f>G323*G323*(SUM((H316*G316*(1-G305/H305))/(H305-1),(H317*G317*(1-G306/H306))/(H306-1), (H318*G318*(1-G307/H307))/(H307-1),(H319*G319*(1-G308/H308))/(H308-1)))</f>
        <v>892.89681523548495</v>
      </c>
    </row>
    <row r="329" spans="1:40" x14ac:dyDescent="0.3">
      <c r="A329" s="105" t="s">
        <v>390</v>
      </c>
      <c r="B329" s="69" t="s">
        <v>9</v>
      </c>
      <c r="C329" s="1">
        <v>252.45</v>
      </c>
      <c r="D329" s="1">
        <v>1872.96</v>
      </c>
      <c r="E329" s="1">
        <v>14909.29</v>
      </c>
      <c r="F329" s="1">
        <v>1704.05</v>
      </c>
      <c r="G329" s="1">
        <v>3351.91</v>
      </c>
      <c r="I329" t="s">
        <v>36</v>
      </c>
      <c r="J329" s="57">
        <f>SUM(C329:G329)</f>
        <v>22090.66</v>
      </c>
      <c r="AM329" s="78"/>
      <c r="AN329" s="78"/>
    </row>
    <row r="330" spans="1:40" x14ac:dyDescent="0.3">
      <c r="B330" t="s">
        <v>391</v>
      </c>
      <c r="C330" s="57">
        <f>(C329/$J329)*100</f>
        <v>1.1427906635655067</v>
      </c>
      <c r="D330" s="57">
        <f>(D329/$J329)*100</f>
        <v>8.4785153544529681</v>
      </c>
      <c r="E330" s="57">
        <f>(E329/$J329)*100</f>
        <v>67.491374182573097</v>
      </c>
      <c r="F330" s="57">
        <f>(F329/$J329)*100</f>
        <v>7.7138935640673481</v>
      </c>
      <c r="G330" s="57">
        <f>(G329/$J329)*100</f>
        <v>15.17342623534109</v>
      </c>
    </row>
    <row r="331" spans="1:40" x14ac:dyDescent="0.3">
      <c r="A331" s="361">
        <v>1988</v>
      </c>
      <c r="B331" s="361"/>
      <c r="C331" s="361"/>
      <c r="D331" s="361"/>
      <c r="E331" s="361"/>
      <c r="F331" s="361"/>
      <c r="G331" s="361"/>
      <c r="H331" s="361"/>
      <c r="I331" s="361"/>
      <c r="J331" s="361"/>
      <c r="K331" s="361"/>
      <c r="L331" s="361" t="s">
        <v>89</v>
      </c>
      <c r="M331" s="361"/>
      <c r="N331" s="361"/>
      <c r="O331" s="361"/>
      <c r="P331" s="361"/>
      <c r="AM331" s="78"/>
      <c r="AN331" s="78"/>
    </row>
    <row r="332" spans="1:40" x14ac:dyDescent="0.3">
      <c r="A332" t="s">
        <v>320</v>
      </c>
      <c r="B332" t="s">
        <v>21</v>
      </c>
      <c r="I332" s="1" t="s">
        <v>58</v>
      </c>
      <c r="O332" s="360" t="s">
        <v>411</v>
      </c>
      <c r="P332" s="360"/>
    </row>
    <row r="333" spans="1:40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56</v>
      </c>
      <c r="O333" s="13" t="s">
        <v>412</v>
      </c>
      <c r="P333" s="13" t="s">
        <v>41</v>
      </c>
      <c r="AM333" s="78"/>
      <c r="AN333" s="78"/>
    </row>
    <row r="334" spans="1:40" x14ac:dyDescent="0.3">
      <c r="A334" t="s">
        <v>3</v>
      </c>
      <c r="B334" s="13">
        <v>0</v>
      </c>
      <c r="C334" s="26">
        <v>56</v>
      </c>
      <c r="D334" s="3">
        <v>0</v>
      </c>
      <c r="E334" s="3">
        <v>0</v>
      </c>
      <c r="F334" s="3">
        <v>0</v>
      </c>
      <c r="G334" s="4">
        <v>0</v>
      </c>
      <c r="H334" s="1">
        <f>SUM(C334:G334)</f>
        <v>56</v>
      </c>
      <c r="I334" s="10">
        <f>C334/H334</f>
        <v>1</v>
      </c>
      <c r="J334" s="11">
        <f>1-I334</f>
        <v>0</v>
      </c>
      <c r="K334">
        <f>H334-C339</f>
        <v>0</v>
      </c>
      <c r="N334" s="10">
        <f>2*(C340*I334)/(C340+I334)</f>
        <v>1</v>
      </c>
      <c r="O334" s="1"/>
      <c r="P334" s="1"/>
    </row>
    <row r="335" spans="1:40" x14ac:dyDescent="0.3">
      <c r="A335" t="s">
        <v>4</v>
      </c>
      <c r="B335" s="13">
        <v>1</v>
      </c>
      <c r="C335" s="5">
        <v>0</v>
      </c>
      <c r="D335" s="27">
        <v>90</v>
      </c>
      <c r="E335" s="1">
        <v>2</v>
      </c>
      <c r="F335" s="1">
        <v>0</v>
      </c>
      <c r="G335" s="6">
        <v>0</v>
      </c>
      <c r="H335" s="1">
        <f>SUM(C335:G335)</f>
        <v>92</v>
      </c>
      <c r="I335" s="10">
        <f>D335/H335</f>
        <v>0.97826086956521741</v>
      </c>
      <c r="J335" s="11">
        <f>1-I335</f>
        <v>2.1739130434782594E-2</v>
      </c>
      <c r="K335">
        <f>H335-D339</f>
        <v>-7</v>
      </c>
      <c r="N335" s="10">
        <f>2*(D340*I335)/(D340+I335)</f>
        <v>0.94240837696335078</v>
      </c>
      <c r="O335" s="1"/>
      <c r="P335" s="1"/>
      <c r="AM335" s="78"/>
      <c r="AN335" s="78"/>
    </row>
    <row r="336" spans="1:40" x14ac:dyDescent="0.3">
      <c r="A336" t="s">
        <v>5</v>
      </c>
      <c r="B336" s="13">
        <v>2</v>
      </c>
      <c r="C336" s="5">
        <v>0</v>
      </c>
      <c r="D336" s="1">
        <v>9</v>
      </c>
      <c r="E336" s="27">
        <v>1652</v>
      </c>
      <c r="F336" s="1">
        <v>31</v>
      </c>
      <c r="G336" s="6">
        <v>116</v>
      </c>
      <c r="H336" s="1">
        <f>SUM(C336:G336)</f>
        <v>1808</v>
      </c>
      <c r="I336" s="10">
        <f>E336/H336</f>
        <v>0.91371681415929207</v>
      </c>
      <c r="J336" s="11">
        <f>1-I336</f>
        <v>8.6283185840707932E-2</v>
      </c>
      <c r="K336">
        <f>H336-E339</f>
        <v>117</v>
      </c>
      <c r="N336" s="10">
        <f>2*(E340*I336)/(E340+I336)</f>
        <v>0.94426979136896261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0</v>
      </c>
      <c r="E337" s="1">
        <v>19</v>
      </c>
      <c r="F337" s="27">
        <v>535</v>
      </c>
      <c r="G337" s="6">
        <v>99</v>
      </c>
      <c r="H337" s="1">
        <f>SUM(C337:G337)</f>
        <v>653</v>
      </c>
      <c r="I337" s="10">
        <f>F337/H337</f>
        <v>0.81929555895865236</v>
      </c>
      <c r="J337" s="11">
        <f>1-I337</f>
        <v>0.18070444104134764</v>
      </c>
      <c r="K337">
        <f>H337-F339</f>
        <v>58</v>
      </c>
      <c r="N337" s="10">
        <f>2*(F340*I337)/(F340+I337)</f>
        <v>0.85737179487179482</v>
      </c>
      <c r="O337" s="1"/>
      <c r="P337" s="1"/>
      <c r="AM337" s="78"/>
      <c r="AN337" s="78"/>
    </row>
    <row r="338" spans="1:40" x14ac:dyDescent="0.3">
      <c r="A338" t="s">
        <v>7</v>
      </c>
      <c r="B338" s="13">
        <v>4</v>
      </c>
      <c r="C338" s="7">
        <v>0</v>
      </c>
      <c r="D338" s="8">
        <v>0</v>
      </c>
      <c r="E338" s="8">
        <v>18</v>
      </c>
      <c r="F338" s="8">
        <v>29</v>
      </c>
      <c r="G338" s="28">
        <v>194</v>
      </c>
      <c r="H338" s="1">
        <f>SUM(C338:G338)</f>
        <v>241</v>
      </c>
      <c r="I338" s="10">
        <f>G338/H338</f>
        <v>0.80497925311203322</v>
      </c>
      <c r="J338" s="11">
        <f>1-I338</f>
        <v>0.19502074688796678</v>
      </c>
      <c r="K338">
        <f>H338-G339</f>
        <v>-168</v>
      </c>
      <c r="N338" s="10">
        <f>2*(G340*I338)/(G340+I338)</f>
        <v>0.59692307692307689</v>
      </c>
      <c r="O338" s="1"/>
      <c r="P338" s="1"/>
    </row>
    <row r="339" spans="1:40" ht="15.6" x14ac:dyDescent="0.35">
      <c r="B339" s="1" t="s">
        <v>19</v>
      </c>
      <c r="C339" s="1">
        <f>SUM(C334:C338)</f>
        <v>56</v>
      </c>
      <c r="D339" s="1">
        <f>SUM(D334:D338)</f>
        <v>99</v>
      </c>
      <c r="E339" s="1">
        <f>SUM(E334:E338)</f>
        <v>1691</v>
      </c>
      <c r="F339" s="1">
        <f>SUM(F334:F338)</f>
        <v>595</v>
      </c>
      <c r="G339" s="1">
        <f>SUM(G334:G338)</f>
        <v>409</v>
      </c>
      <c r="H339" s="1">
        <f>SUM(H333:H338)</f>
        <v>2850</v>
      </c>
      <c r="I339" s="13" t="s">
        <v>12</v>
      </c>
      <c r="N339" s="16" t="s">
        <v>36</v>
      </c>
      <c r="O339" s="1">
        <f>SUM(O334:O338)</f>
        <v>0</v>
      </c>
      <c r="P339" s="1">
        <f>SUM(P334:P338)</f>
        <v>0</v>
      </c>
      <c r="AM339" s="78"/>
      <c r="AN339" s="78"/>
    </row>
    <row r="340" spans="1:40" x14ac:dyDescent="0.3">
      <c r="A340" s="1" t="s">
        <v>321</v>
      </c>
      <c r="B340" s="1" t="s">
        <v>2</v>
      </c>
      <c r="C340" s="10">
        <f>C334/C339</f>
        <v>1</v>
      </c>
      <c r="D340" s="10">
        <f>D335/D339</f>
        <v>0.90909090909090906</v>
      </c>
      <c r="E340" s="10">
        <f>E336/E339</f>
        <v>0.97693672383205199</v>
      </c>
      <c r="F340" s="10">
        <f>F337/F339</f>
        <v>0.89915966386554624</v>
      </c>
      <c r="G340" s="10">
        <f>G338/G339</f>
        <v>0.47432762836185821</v>
      </c>
      <c r="H340" s="10"/>
      <c r="I340" s="14">
        <f>(C334+D335+E336+F337+G338)/H339</f>
        <v>0.88666666666666671</v>
      </c>
    </row>
    <row r="341" spans="1:40" x14ac:dyDescent="0.3">
      <c r="B341" s="1" t="s">
        <v>14</v>
      </c>
      <c r="C341" s="11">
        <f>1-C340</f>
        <v>0</v>
      </c>
      <c r="D341" s="11">
        <f>1-D340</f>
        <v>9.0909090909090939E-2</v>
      </c>
      <c r="E341" s="11">
        <f>1-E340</f>
        <v>2.306327616794801E-2</v>
      </c>
      <c r="F341" s="11">
        <f>1-F340</f>
        <v>0.10084033613445376</v>
      </c>
      <c r="G341" s="11">
        <f>1-G340</f>
        <v>0.52567237163814173</v>
      </c>
      <c r="AM341" s="78"/>
      <c r="AN341" s="78"/>
    </row>
    <row r="342" spans="1:40" x14ac:dyDescent="0.3">
      <c r="C342" s="2"/>
    </row>
    <row r="343" spans="1:40" ht="15.6" x14ac:dyDescent="0.35">
      <c r="A343" t="s">
        <v>322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1.1114742287002399</v>
      </c>
      <c r="D345" s="31">
        <f>(D334/$L345)*$O345</f>
        <v>0</v>
      </c>
      <c r="E345" s="31">
        <f>(E334/$L345)*$O345</f>
        <v>0</v>
      </c>
      <c r="F345" s="31">
        <f>(F334/$L345)*$O345</f>
        <v>0</v>
      </c>
      <c r="G345" s="32">
        <f>(G334/$L345)*$O345</f>
        <v>0</v>
      </c>
      <c r="H345" s="17">
        <f>SUM(C345:G345)</f>
        <v>1.1114742287002399</v>
      </c>
      <c r="I345" s="17">
        <f>C345/H345*100</f>
        <v>100</v>
      </c>
      <c r="J345" s="17">
        <f>SQRT(I345*(100-I345)/(L345-1))</f>
        <v>0</v>
      </c>
      <c r="K345" s="18">
        <f>100-I345</f>
        <v>0</v>
      </c>
      <c r="L345" s="1">
        <f>H334</f>
        <v>56</v>
      </c>
      <c r="M345">
        <v>0</v>
      </c>
      <c r="N345" s="1">
        <v>2193.66</v>
      </c>
      <c r="O345" s="17">
        <f>N345/N350*100</f>
        <v>1.1114742287002399</v>
      </c>
      <c r="P345" s="52">
        <f>((O345*O345*(I345/100)*(K345/100))/(L345-1))</f>
        <v>0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58">(C335/$L346)*$O346</f>
        <v>0</v>
      </c>
      <c r="D346" s="34">
        <f t="shared" si="58"/>
        <v>4.2285138714700761</v>
      </c>
      <c r="E346" s="19">
        <f t="shared" si="58"/>
        <v>9.3966974921557228E-2</v>
      </c>
      <c r="F346" s="18">
        <f t="shared" si="58"/>
        <v>0</v>
      </c>
      <c r="G346" s="20">
        <f t="shared" si="58"/>
        <v>0</v>
      </c>
      <c r="H346" s="17">
        <f>SUM(C346:G346)</f>
        <v>4.3224808463916329</v>
      </c>
      <c r="I346" s="17">
        <f>D346/H346*100</f>
        <v>97.826086956521749</v>
      </c>
      <c r="J346" s="17">
        <f>SQRT(I346*(100-I346)/(L346-1))</f>
        <v>1.5287192313211773</v>
      </c>
      <c r="K346" s="18">
        <f>100-I346</f>
        <v>2.173913043478251</v>
      </c>
      <c r="L346" s="1">
        <f>H335</f>
        <v>92</v>
      </c>
      <c r="M346">
        <v>1</v>
      </c>
      <c r="N346" s="1">
        <v>8531.06</v>
      </c>
      <c r="O346" s="17">
        <f>N346/N350*100</f>
        <v>4.3224808463916329</v>
      </c>
      <c r="P346" s="52">
        <f>((O346*O346*(I346/100)*(K346/100))/(L346-1))</f>
        <v>4.366380845229491E-3</v>
      </c>
    </row>
    <row r="347" spans="1:40" x14ac:dyDescent="0.3">
      <c r="A347" t="s">
        <v>5</v>
      </c>
      <c r="B347" s="13">
        <v>2</v>
      </c>
      <c r="C347" s="33">
        <f t="shared" si="58"/>
        <v>0</v>
      </c>
      <c r="D347" s="19">
        <f t="shared" si="58"/>
        <v>0.27879283118623227</v>
      </c>
      <c r="E347" s="34">
        <f t="shared" si="58"/>
        <v>51.17397301329509</v>
      </c>
      <c r="F347" s="19">
        <f t="shared" si="58"/>
        <v>0.96028641853035568</v>
      </c>
      <c r="G347" s="20">
        <f t="shared" si="58"/>
        <v>3.5933298241781055</v>
      </c>
      <c r="H347" s="17">
        <f>SUM(C347:G347)</f>
        <v>56.006382087189785</v>
      </c>
      <c r="I347" s="17">
        <f>E347/H347*100</f>
        <v>91.371681415929203</v>
      </c>
      <c r="J347" s="17">
        <f>SQRT(I347*(100-I347)/(L347-1))</f>
        <v>0.6605258494539199</v>
      </c>
      <c r="K347" s="18">
        <f>100-I347</f>
        <v>8.6283185840707972</v>
      </c>
      <c r="L347" s="1">
        <f>H336</f>
        <v>1808</v>
      </c>
      <c r="M347">
        <v>2</v>
      </c>
      <c r="N347" s="1">
        <v>110536.94</v>
      </c>
      <c r="O347" s="17">
        <f>N347/N350*100</f>
        <v>56.006382087189778</v>
      </c>
      <c r="P347" s="52">
        <f>((O347*O347*(I347/100)*(K347/100))/(L347-1))</f>
        <v>0.13685311097769196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58"/>
        <v>0</v>
      </c>
      <c r="D348" s="19">
        <f t="shared" si="58"/>
        <v>0</v>
      </c>
      <c r="E348" s="19">
        <f t="shared" si="58"/>
        <v>0.58629863680096284</v>
      </c>
      <c r="F348" s="34">
        <f t="shared" si="58"/>
        <v>16.508935299395532</v>
      </c>
      <c r="G348" s="20">
        <f t="shared" si="58"/>
        <v>3.0549244759629115</v>
      </c>
      <c r="H348" s="17">
        <f>SUM(C348:G348)</f>
        <v>20.150158412159406</v>
      </c>
      <c r="I348" s="17">
        <f>F348/H348*100</f>
        <v>81.929555895865235</v>
      </c>
      <c r="J348" s="17">
        <f>SQRT(I348*(100-I348)/(L348-1))</f>
        <v>1.5068877956470301</v>
      </c>
      <c r="K348" s="18">
        <f>100-I348</f>
        <v>18.070444104134765</v>
      </c>
      <c r="L348" s="1">
        <f>H337</f>
        <v>653</v>
      </c>
      <c r="M348">
        <v>3</v>
      </c>
      <c r="N348" s="1">
        <v>39769.339999999997</v>
      </c>
      <c r="O348" s="17">
        <f>N348/N350*100</f>
        <v>20.150158412159406</v>
      </c>
      <c r="P348" s="52">
        <f>((O348*O348*(I348/100)*(K348/100))/(L348-1))</f>
        <v>9.2197418373132542E-2</v>
      </c>
    </row>
    <row r="349" spans="1:40" x14ac:dyDescent="0.3">
      <c r="A349" t="s">
        <v>7</v>
      </c>
      <c r="B349" s="13">
        <v>4</v>
      </c>
      <c r="C349" s="35">
        <f t="shared" si="58"/>
        <v>0</v>
      </c>
      <c r="D349" s="36">
        <f t="shared" si="58"/>
        <v>0</v>
      </c>
      <c r="E349" s="21">
        <f t="shared" si="58"/>
        <v>1.3749837330292993</v>
      </c>
      <c r="F349" s="21">
        <f t="shared" si="58"/>
        <v>2.2152515698805382</v>
      </c>
      <c r="G349" s="37">
        <f t="shared" si="58"/>
        <v>14.819269122649116</v>
      </c>
      <c r="H349" s="17">
        <f>SUM(C349:G349)</f>
        <v>18.409504425558953</v>
      </c>
      <c r="I349" s="17">
        <f>G349/H349*100</f>
        <v>80.497925311203318</v>
      </c>
      <c r="J349" s="17">
        <f>SQRT(I349*(100-I349)/(L349-1))</f>
        <v>2.5575676528297544</v>
      </c>
      <c r="K349" s="18">
        <f>100-I349</f>
        <v>19.502074688796682</v>
      </c>
      <c r="L349" s="1">
        <f>H338</f>
        <v>241</v>
      </c>
      <c r="M349">
        <v>4</v>
      </c>
      <c r="N349" s="1">
        <v>36333.9</v>
      </c>
      <c r="O349" s="17">
        <f>N349/N350*100</f>
        <v>18.409504425558953</v>
      </c>
      <c r="P349" s="52">
        <f>((O349*O349*(I349/100)*(K349/100))/(L349-1))</f>
        <v>0.22168609653106897</v>
      </c>
      <c r="AM349" s="78"/>
      <c r="AN349" s="78"/>
    </row>
    <row r="350" spans="1:40" x14ac:dyDescent="0.3">
      <c r="B350" t="s">
        <v>28</v>
      </c>
      <c r="C350" s="17">
        <f t="shared" ref="C350:H350" si="59">SUM(C345:C349)</f>
        <v>1.1114742287002399</v>
      </c>
      <c r="D350" s="17">
        <f t="shared" si="59"/>
        <v>4.5073067026563081</v>
      </c>
      <c r="E350" s="17">
        <f t="shared" si="59"/>
        <v>53.229222358046904</v>
      </c>
      <c r="F350" s="17">
        <f t="shared" si="59"/>
        <v>19.684473287806426</v>
      </c>
      <c r="G350" s="17">
        <f t="shared" si="59"/>
        <v>21.467523422790133</v>
      </c>
      <c r="H350" s="18">
        <f t="shared" si="59"/>
        <v>100.00000000000001</v>
      </c>
      <c r="I350" s="13" t="s">
        <v>24</v>
      </c>
      <c r="J350" s="12" t="s">
        <v>29</v>
      </c>
      <c r="N350" s="1">
        <f>SUM(N345:N349)</f>
        <v>197364.9</v>
      </c>
      <c r="O350" s="17">
        <f>SUM(O345:O349)</f>
        <v>100.00000000000001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0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0.11363138100967152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0.50581551249412049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0.51975875453908171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0.63632667329262727</v>
      </c>
      <c r="H351" s="1"/>
      <c r="I351" s="14">
        <f>(C345+D346+E347+F348+G349)/H350</f>
        <v>0.87842165535510053</v>
      </c>
      <c r="J351" s="53">
        <f>SQRT(SUM(P345:P349))/100</f>
        <v>6.7461322750678619E-3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93.814646981490526</v>
      </c>
      <c r="E352" s="17">
        <f>E347/E350*100</f>
        <v>96.13887024137388</v>
      </c>
      <c r="F352" s="17">
        <f>F348/F350*100</f>
        <v>83.86780310561835</v>
      </c>
      <c r="G352" s="17">
        <f>G349/G350*100</f>
        <v>69.031107272098453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2.1323824649069234</v>
      </c>
      <c r="E353" s="18">
        <f>SQRT((E356+E357)/(E350*E350))</f>
        <v>0.67970365071346373</v>
      </c>
      <c r="F353" s="18">
        <f>SQRT((F356+F357)/(F350*F350))</f>
        <v>3.0719409894439003</v>
      </c>
      <c r="G353" s="18">
        <f>SQRT((G356+G357)/(G350*G350))</f>
        <v>6.9311226932512735</v>
      </c>
      <c r="H353" s="1"/>
      <c r="I353" s="14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6.1853530185094741</v>
      </c>
      <c r="E354" s="18">
        <f>100-E352</f>
        <v>3.8611297586261202</v>
      </c>
      <c r="F354" s="18">
        <f>100-F352</f>
        <v>16.13219689438165</v>
      </c>
      <c r="G354" s="18">
        <f>100-G352</f>
        <v>30.968892727901547</v>
      </c>
    </row>
    <row r="355" spans="1:40" ht="15.6" x14ac:dyDescent="0.35">
      <c r="B355" s="1" t="s">
        <v>25</v>
      </c>
      <c r="C355" s="1">
        <f>C339</f>
        <v>56</v>
      </c>
      <c r="D355" s="1">
        <f>D339</f>
        <v>99</v>
      </c>
      <c r="E355" s="1">
        <f>E339</f>
        <v>1691</v>
      </c>
      <c r="F355" s="1">
        <f>F339</f>
        <v>595</v>
      </c>
      <c r="G355" s="1">
        <f>G339</f>
        <v>409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16.705158311524531</v>
      </c>
      <c r="E356" s="18">
        <f>(O347*O347*(100-E352)*(100-E352)*(I347)*(100-I347))/((L347-1)*100)</f>
        <v>204.02503837822786</v>
      </c>
      <c r="F356" s="18">
        <f>(O348*O348*(100-F352)*(100-F352)*(I348)*(100-I348))/((L348-1)*100)</f>
        <v>2399.4173143472367</v>
      </c>
      <c r="G356" s="18">
        <f>(O349*O349*(100-G352)*(100-G352)*(I349)*(100-I349))/((L349-1)*100)</f>
        <v>21261.299820068787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75.671963531305806</v>
      </c>
      <c r="E357" s="18">
        <f>E352*E352*(SUM((H345*E345*(1-E334/H334))/(H334-1),(H346*E346*(1-E335/H335))/(H335-1), (H348*E348*(1-E337/H337))/(H337-1),(H349*E349*(1-E338/H338))/(H338-1)))</f>
        <v>1104.974363286271</v>
      </c>
      <c r="F357" s="18">
        <f>F352*F352*(SUM((H345*F345*(1-F334/H334))/(H334-1),(H346*F346*(1-F335/H335))/(H335-1), (H347*F347*(1-F336/H336))/(H336-1),(H349*F349*(1-F338/H338))/(H338-1)))</f>
        <v>1257.1479956026949</v>
      </c>
      <c r="G357" s="18">
        <f>G352*G352*(SUM((H345*G345*(1-G334/H334))/(H334-1),(H346*G346*(1-G335/H335))/(H335-1), (H347*G347*(1-G336/H336))/(H336-1),(H348*G348*(1-G337/H337))/(H337-1)))</f>
        <v>878.36615151609021</v>
      </c>
      <c r="AM357" s="78"/>
      <c r="AN357" s="78"/>
    </row>
    <row r="358" spans="1:40" x14ac:dyDescent="0.3">
      <c r="A358" s="105" t="s">
        <v>390</v>
      </c>
      <c r="B358" s="69" t="s">
        <v>9</v>
      </c>
      <c r="C358" s="1">
        <v>256.05</v>
      </c>
      <c r="D358" s="1">
        <v>1713.43</v>
      </c>
      <c r="E358" s="1">
        <v>15053.7</v>
      </c>
      <c r="F358" s="1">
        <v>1708.01</v>
      </c>
      <c r="G358" s="1">
        <v>3359.47</v>
      </c>
      <c r="I358" t="s">
        <v>36</v>
      </c>
      <c r="J358" s="57">
        <f>SUM(C358:G358)</f>
        <v>22090.66</v>
      </c>
    </row>
    <row r="359" spans="1:40" x14ac:dyDescent="0.3">
      <c r="B359" t="s">
        <v>391</v>
      </c>
      <c r="C359" s="57">
        <f>(C358/$J358)*100</f>
        <v>1.1590871436163519</v>
      </c>
      <c r="D359" s="57">
        <f>(D358/$J358)*100</f>
        <v>7.756354948199828</v>
      </c>
      <c r="E359" s="57">
        <f>(E358/$J358)*100</f>
        <v>68.145089372612674</v>
      </c>
      <c r="F359" s="57">
        <f>(F358/$J358)*100</f>
        <v>7.7318196921232776</v>
      </c>
      <c r="G359" s="57">
        <f>(G358/$J358)*100</f>
        <v>15.207648843447863</v>
      </c>
      <c r="AM359" s="78"/>
      <c r="AN359" s="78"/>
    </row>
    <row r="360" spans="1:40" x14ac:dyDescent="0.3">
      <c r="A360" s="361">
        <v>1988</v>
      </c>
      <c r="B360" s="361"/>
      <c r="C360" s="361"/>
      <c r="D360" s="361"/>
      <c r="E360" s="361"/>
      <c r="F360" s="361"/>
      <c r="G360" s="361"/>
      <c r="H360" s="361"/>
      <c r="I360" s="361"/>
      <c r="J360" s="361"/>
      <c r="K360" s="361"/>
      <c r="L360" s="361" t="s">
        <v>90</v>
      </c>
      <c r="M360" s="361"/>
      <c r="N360" s="361"/>
      <c r="O360" s="361"/>
      <c r="P360" s="361"/>
    </row>
    <row r="361" spans="1:40" x14ac:dyDescent="0.3">
      <c r="A361" t="s">
        <v>15</v>
      </c>
      <c r="B361" t="s">
        <v>21</v>
      </c>
      <c r="I361" s="1" t="s">
        <v>58</v>
      </c>
      <c r="O361" s="360" t="s">
        <v>411</v>
      </c>
      <c r="P361" s="360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56</v>
      </c>
      <c r="O362" s="13" t="s">
        <v>412</v>
      </c>
      <c r="P362" s="13" t="s">
        <v>41</v>
      </c>
    </row>
    <row r="363" spans="1:40" x14ac:dyDescent="0.3">
      <c r="A363" t="s">
        <v>3</v>
      </c>
      <c r="B363" s="13">
        <v>0</v>
      </c>
      <c r="C363" s="26">
        <v>56</v>
      </c>
      <c r="D363" s="3">
        <v>0</v>
      </c>
      <c r="E363" s="3">
        <v>0</v>
      </c>
      <c r="F363" s="3">
        <v>0</v>
      </c>
      <c r="G363" s="4">
        <v>0</v>
      </c>
      <c r="H363" s="1">
        <f>SUM(C363:G363)</f>
        <v>56</v>
      </c>
      <c r="I363" s="10">
        <f>C363/H363</f>
        <v>1</v>
      </c>
      <c r="J363" s="11">
        <f>1-I363</f>
        <v>0</v>
      </c>
      <c r="K363">
        <f>H363-C368</f>
        <v>0</v>
      </c>
      <c r="N363" s="10">
        <f>2*(C369*I363)/(C369+I363)</f>
        <v>1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90</v>
      </c>
      <c r="E364" s="1">
        <v>2</v>
      </c>
      <c r="F364" s="1">
        <v>0</v>
      </c>
      <c r="G364" s="6">
        <v>0</v>
      </c>
      <c r="H364" s="1">
        <f>SUM(C364:G364)</f>
        <v>92</v>
      </c>
      <c r="I364" s="10">
        <f>D364/H364</f>
        <v>0.97826086956521741</v>
      </c>
      <c r="J364" s="11">
        <f>1-I364</f>
        <v>2.1739130434782594E-2</v>
      </c>
      <c r="K364">
        <f>H364-D368</f>
        <v>-6</v>
      </c>
      <c r="N364" s="10">
        <f>2*(D369*I364)/(D369+I364)</f>
        <v>0.94736842105263164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8</v>
      </c>
      <c r="E365" s="27">
        <v>1660</v>
      </c>
      <c r="F365" s="1">
        <v>34</v>
      </c>
      <c r="G365" s="6">
        <v>106</v>
      </c>
      <c r="H365" s="1">
        <f>SUM(C365:G365)</f>
        <v>1808</v>
      </c>
      <c r="I365" s="10">
        <f>E365/H365</f>
        <v>0.91814159292035402</v>
      </c>
      <c r="J365" s="11">
        <f>1-I365</f>
        <v>8.1858407079645978E-2</v>
      </c>
      <c r="K365">
        <f>H365-E368</f>
        <v>113</v>
      </c>
      <c r="N365" s="10">
        <f>2*(E369*I365)/(E369+I365)</f>
        <v>0.94775906365972029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0</v>
      </c>
      <c r="E366" s="1">
        <v>20</v>
      </c>
      <c r="F366" s="27">
        <v>531</v>
      </c>
      <c r="G366" s="6">
        <v>102</v>
      </c>
      <c r="H366" s="1">
        <f>SUM(C366:G366)</f>
        <v>653</v>
      </c>
      <c r="I366" s="10">
        <f>F366/H366</f>
        <v>0.81316998468606427</v>
      </c>
      <c r="J366" s="11">
        <f>1-I366</f>
        <v>0.18683001531393573</v>
      </c>
      <c r="K366">
        <f>H366-F368</f>
        <v>60</v>
      </c>
      <c r="N366" s="10">
        <f>2*(F369*I366)/(F369+I366)</f>
        <v>0.8523274478330658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0</v>
      </c>
      <c r="E367" s="8">
        <v>13</v>
      </c>
      <c r="F367" s="8">
        <v>28</v>
      </c>
      <c r="G367" s="28">
        <v>200</v>
      </c>
      <c r="H367" s="1">
        <f>SUM(C367:G367)</f>
        <v>241</v>
      </c>
      <c r="I367" s="10">
        <f>G367/H367</f>
        <v>0.82987551867219922</v>
      </c>
      <c r="J367" s="11">
        <f>1-I367</f>
        <v>0.17012448132780078</v>
      </c>
      <c r="K367">
        <f>H367-G368</f>
        <v>-167</v>
      </c>
      <c r="N367" s="10">
        <f>2*(G369*I367)/(G369+I367)</f>
        <v>0.61633281972265019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56</v>
      </c>
      <c r="D368" s="1">
        <f>SUM(D363:D367)</f>
        <v>98</v>
      </c>
      <c r="E368" s="1">
        <f>SUM(E363:E367)</f>
        <v>1695</v>
      </c>
      <c r="F368" s="1">
        <f>SUM(F363:F367)</f>
        <v>593</v>
      </c>
      <c r="G368" s="1">
        <f>SUM(G363:G367)</f>
        <v>408</v>
      </c>
      <c r="H368" s="1">
        <f>SUM(H362:H367)</f>
        <v>2850</v>
      </c>
      <c r="I368" s="13" t="s">
        <v>12</v>
      </c>
      <c r="N368" s="16" t="s">
        <v>36</v>
      </c>
      <c r="O368" s="1">
        <f>SUM(O363:O367)</f>
        <v>0</v>
      </c>
      <c r="P368" s="1">
        <f>SUM(P363:P367)</f>
        <v>0</v>
      </c>
    </row>
    <row r="369" spans="1:40" x14ac:dyDescent="0.3">
      <c r="A369" s="1" t="s">
        <v>57</v>
      </c>
      <c r="B369" s="1" t="s">
        <v>2</v>
      </c>
      <c r="C369" s="10">
        <f>C363/C368</f>
        <v>1</v>
      </c>
      <c r="D369" s="10">
        <f>D364/D368</f>
        <v>0.91836734693877553</v>
      </c>
      <c r="E369" s="10">
        <f>E365/E368</f>
        <v>0.97935103244837762</v>
      </c>
      <c r="F369" s="10">
        <f>F366/F368</f>
        <v>0.89544688026981445</v>
      </c>
      <c r="G369" s="10">
        <f>G367/G368</f>
        <v>0.49019607843137253</v>
      </c>
      <c r="H369" s="10"/>
      <c r="I369" s="14">
        <f>(C363+D364+E365+F366+G367)/H368</f>
        <v>0.89017543859649118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8.1632653061224469E-2</v>
      </c>
      <c r="E370" s="11">
        <f>1-E369</f>
        <v>2.0648967551622377E-2</v>
      </c>
      <c r="F370" s="11">
        <f>1-F369</f>
        <v>0.10455311973018555</v>
      </c>
      <c r="G370" s="11">
        <f>1-G369</f>
        <v>0.50980392156862742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1.1539944539277247</v>
      </c>
      <c r="D374" s="31">
        <f>(D363/$L374)*$O374</f>
        <v>0</v>
      </c>
      <c r="E374" s="31">
        <f>(E363/$L374)*$O374</f>
        <v>0</v>
      </c>
      <c r="F374" s="31">
        <f>(F363/$L374)*$O374</f>
        <v>0</v>
      </c>
      <c r="G374" s="32">
        <f>(G363/$L374)*$O374</f>
        <v>0</v>
      </c>
      <c r="H374" s="17">
        <f>SUM(C374:G374)</f>
        <v>1.1539944539277247</v>
      </c>
      <c r="I374" s="17">
        <f>C374/H374*100</f>
        <v>100</v>
      </c>
      <c r="J374" s="17">
        <f>SQRT(I374*(100-I374)/(L374-1))</f>
        <v>0</v>
      </c>
      <c r="K374" s="18">
        <f>100-I374</f>
        <v>0</v>
      </c>
      <c r="L374" s="1">
        <f>H363</f>
        <v>56</v>
      </c>
      <c r="M374">
        <v>0</v>
      </c>
      <c r="N374" s="1">
        <v>2277.58</v>
      </c>
      <c r="O374" s="17">
        <f>N374/N379*100</f>
        <v>1.1539944539277247</v>
      </c>
      <c r="P374" s="52">
        <f>((O374*O374*(I374/100)*(K374/100))/(L374-1))</f>
        <v>0</v>
      </c>
    </row>
    <row r="375" spans="1:40" x14ac:dyDescent="0.3">
      <c r="A375" t="s">
        <v>4</v>
      </c>
      <c r="B375" s="13">
        <v>1</v>
      </c>
      <c r="C375" s="33">
        <f t="shared" ref="C375:G378" si="60">(C364/$L375)*$O375</f>
        <v>0</v>
      </c>
      <c r="D375" s="34">
        <f t="shared" si="60"/>
        <v>4.3584662767775075</v>
      </c>
      <c r="E375" s="19">
        <f t="shared" si="60"/>
        <v>9.6854806150611289E-2</v>
      </c>
      <c r="F375" s="18">
        <f t="shared" si="60"/>
        <v>0</v>
      </c>
      <c r="G375" s="20">
        <f t="shared" si="60"/>
        <v>0</v>
      </c>
      <c r="H375" s="17">
        <f>SUM(C375:G375)</f>
        <v>4.4553210829281191</v>
      </c>
      <c r="I375" s="17">
        <f>D375/H375*100</f>
        <v>97.826086956521735</v>
      </c>
      <c r="J375" s="17">
        <f>SQRT(I375*(100-I375)/(L375-1))</f>
        <v>1.5287192313211824</v>
      </c>
      <c r="K375" s="18">
        <f>100-I375</f>
        <v>2.1739130434782652</v>
      </c>
      <c r="L375" s="1">
        <f>H364</f>
        <v>92</v>
      </c>
      <c r="M375">
        <v>1</v>
      </c>
      <c r="N375" s="1">
        <v>8793.24</v>
      </c>
      <c r="O375" s="17">
        <f>N375/N379*100</f>
        <v>4.4553210829281191</v>
      </c>
      <c r="P375" s="52">
        <f>((O375*O375*(I375/100)*(K375/100))/(L375-1))</f>
        <v>4.6388835862776132E-3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60"/>
        <v>0</v>
      </c>
      <c r="D376" s="19">
        <f t="shared" si="60"/>
        <v>0.25001867862231214</v>
      </c>
      <c r="E376" s="34">
        <f t="shared" si="60"/>
        <v>51.878875814129778</v>
      </c>
      <c r="F376" s="19">
        <f t="shared" si="60"/>
        <v>1.0625793841448268</v>
      </c>
      <c r="G376" s="20">
        <f t="shared" si="60"/>
        <v>3.3127474917456361</v>
      </c>
      <c r="H376" s="17">
        <f>SUM(C376:G376)</f>
        <v>56.504221368642547</v>
      </c>
      <c r="I376" s="17">
        <f>E376/H376*100</f>
        <v>91.814159292035413</v>
      </c>
      <c r="J376" s="17">
        <f>SQRT(I376*(100-I376)/(L376-1))</f>
        <v>0.64492230764642777</v>
      </c>
      <c r="K376" s="18">
        <f>100-I376</f>
        <v>8.1858407079645872</v>
      </c>
      <c r="L376" s="1">
        <f>H365</f>
        <v>1808</v>
      </c>
      <c r="M376">
        <v>2</v>
      </c>
      <c r="N376" s="1">
        <v>111519.5</v>
      </c>
      <c r="O376" s="17">
        <f>N376/N379*100</f>
        <v>56.504221368642547</v>
      </c>
      <c r="P376" s="52">
        <f>((O376*O376*(I376/100)*(K376/100))/(L376-1))</f>
        <v>0.13279342978417547</v>
      </c>
    </row>
    <row r="377" spans="1:40" x14ac:dyDescent="0.3">
      <c r="A377" t="s">
        <v>6</v>
      </c>
      <c r="B377" s="13">
        <v>3</v>
      </c>
      <c r="C377" s="33">
        <f t="shared" si="60"/>
        <v>0</v>
      </c>
      <c r="D377" s="19">
        <f t="shared" si="60"/>
        <v>0</v>
      </c>
      <c r="E377" s="19">
        <f t="shared" si="60"/>
        <v>0.60233933787263394</v>
      </c>
      <c r="F377" s="34">
        <f t="shared" si="60"/>
        <v>15.992109420518428</v>
      </c>
      <c r="G377" s="20">
        <f t="shared" si="60"/>
        <v>3.0719306231504326</v>
      </c>
      <c r="H377" s="17">
        <f>SUM(C377:G377)</f>
        <v>19.666379381541496</v>
      </c>
      <c r="I377" s="17">
        <f>F377/H377*100</f>
        <v>81.316998468606428</v>
      </c>
      <c r="J377" s="17">
        <f>SQRT(I377*(100-I377)/(L377-1))</f>
        <v>1.5264767600435056</v>
      </c>
      <c r="K377" s="18">
        <f>100-I377</f>
        <v>18.683001531393572</v>
      </c>
      <c r="L377" s="1">
        <f>H366</f>
        <v>653</v>
      </c>
      <c r="M377">
        <v>3</v>
      </c>
      <c r="N377" s="1">
        <v>38814.53</v>
      </c>
      <c r="O377" s="17">
        <f>N377/N379*100</f>
        <v>19.666379381541496</v>
      </c>
      <c r="P377" s="52">
        <f>((O377*O377*(I377/100)*(K377/100))/(L377-1))</f>
        <v>9.0121667572400116E-2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60"/>
        <v>0</v>
      </c>
      <c r="D378" s="36">
        <f t="shared" si="60"/>
        <v>0</v>
      </c>
      <c r="E378" s="21">
        <f t="shared" si="60"/>
        <v>0.98282609240033758</v>
      </c>
      <c r="F378" s="21">
        <f t="shared" si="60"/>
        <v>2.1168561990161119</v>
      </c>
      <c r="G378" s="37">
        <f t="shared" si="60"/>
        <v>15.120401421543656</v>
      </c>
      <c r="H378" s="17">
        <f>SUM(C378:G378)</f>
        <v>18.220083712960104</v>
      </c>
      <c r="I378" s="17">
        <f>G378/H378*100</f>
        <v>82.987551867219921</v>
      </c>
      <c r="J378" s="17">
        <f>SQRT(I378*(100-I378)/(L378-1))</f>
        <v>2.425404967738614</v>
      </c>
      <c r="K378" s="18">
        <f>100-I378</f>
        <v>17.012448132780079</v>
      </c>
      <c r="L378" s="1">
        <f>H367</f>
        <v>241</v>
      </c>
      <c r="M378">
        <v>4</v>
      </c>
      <c r="N378" s="1">
        <v>35960.050000000003</v>
      </c>
      <c r="O378" s="17">
        <f>N378/N379*100</f>
        <v>18.220083712960104</v>
      </c>
      <c r="P378" s="52">
        <f>((O378*O378*(I378/100)*(K378/100))/(L378-1))</f>
        <v>0.1952851688561123</v>
      </c>
    </row>
    <row r="379" spans="1:40" x14ac:dyDescent="0.3">
      <c r="B379" t="s">
        <v>28</v>
      </c>
      <c r="C379" s="17">
        <f t="shared" ref="C379:H379" si="61">SUM(C374:C378)</f>
        <v>1.1539944539277247</v>
      </c>
      <c r="D379" s="17">
        <f t="shared" si="61"/>
        <v>4.6084849553998195</v>
      </c>
      <c r="E379" s="17">
        <f t="shared" si="61"/>
        <v>53.56089605055336</v>
      </c>
      <c r="F379" s="17">
        <f t="shared" si="61"/>
        <v>19.171545003679366</v>
      </c>
      <c r="G379" s="17">
        <f t="shared" si="61"/>
        <v>21.505079536439723</v>
      </c>
      <c r="H379" s="18">
        <f t="shared" si="61"/>
        <v>100</v>
      </c>
      <c r="I379" s="13" t="s">
        <v>24</v>
      </c>
      <c r="J379" s="12" t="s">
        <v>29</v>
      </c>
      <c r="N379" s="1">
        <f>SUM(N374:N378)</f>
        <v>197364.90000000002</v>
      </c>
      <c r="O379" s="17">
        <f>SUM(O374:O378)</f>
        <v>100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0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0.1112095078952092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0.4745408452174692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0.51382111472036762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0.608277847337789</v>
      </c>
      <c r="H380" s="1"/>
      <c r="I380" s="14">
        <f>(C374+D375+E376+F377+G378)/H379</f>
        <v>0.88503847386897105</v>
      </c>
      <c r="J380" s="53">
        <f>SQRT(SUM(P374:P378))/100</f>
        <v>6.5026083212735911E-3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94.574818383005422</v>
      </c>
      <c r="E381" s="17">
        <f>E376/E379*100</f>
        <v>96.859611469464568</v>
      </c>
      <c r="F381" s="17">
        <f>F377/F379*100</f>
        <v>83.415861462648181</v>
      </c>
      <c r="G381" s="17">
        <f>G378/G379*100</f>
        <v>70.31083700910095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1.9801101205938565</v>
      </c>
      <c r="E382" s="18">
        <f>SQRT((E385+E386)/(E379*E379))</f>
        <v>0.59098620193513141</v>
      </c>
      <c r="F382" s="18">
        <f>SQRT((F385+F386)/(F379*F379))</f>
        <v>3.1701488973560208</v>
      </c>
      <c r="G382" s="18">
        <f>SQRT((G385+G386)/(G379*G379))</f>
        <v>6.2528992233501448</v>
      </c>
      <c r="H382" s="1"/>
      <c r="I382" s="14"/>
    </row>
    <row r="383" spans="1:40" x14ac:dyDescent="0.3">
      <c r="B383" s="1" t="s">
        <v>37</v>
      </c>
      <c r="C383" s="18">
        <f>100-C381</f>
        <v>0</v>
      </c>
      <c r="D383" s="18">
        <f>100-D381</f>
        <v>5.4251816169945783</v>
      </c>
      <c r="E383" s="18">
        <f>100-E381</f>
        <v>3.1403885305354322</v>
      </c>
      <c r="F383" s="18">
        <f>100-F381</f>
        <v>16.584138537351819</v>
      </c>
      <c r="G383" s="18">
        <f>100-G381</f>
        <v>29.68916299089905</v>
      </c>
      <c r="AM383" s="78"/>
      <c r="AN383" s="78"/>
    </row>
    <row r="384" spans="1:40" ht="15.6" x14ac:dyDescent="0.35">
      <c r="B384" s="1" t="s">
        <v>25</v>
      </c>
      <c r="C384" s="1">
        <f>C368</f>
        <v>56</v>
      </c>
      <c r="D384" s="1">
        <f>D368</f>
        <v>98</v>
      </c>
      <c r="E384" s="1">
        <f>E368</f>
        <v>1695</v>
      </c>
      <c r="F384" s="1">
        <f>F368</f>
        <v>593</v>
      </c>
      <c r="G384" s="1">
        <f>G368</f>
        <v>408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13.653438452543615</v>
      </c>
      <c r="E385" s="18">
        <f>(O376*O376*(100-E381)*(100-E381)*(I376)*(100-I376))/((L376-1)*100)</f>
        <v>130.96141325649393</v>
      </c>
      <c r="F385" s="18">
        <f>(O377*O377*(100-F381)*(100-F381)*(I377)*(100-I377))/((L377-1)*100)</f>
        <v>2478.6491268995683</v>
      </c>
      <c r="G385" s="18">
        <f>(O378*O378*(100-G381)*(100-G381)*(I378)*(100-I378))/((L378-1)*100)</f>
        <v>17213.340888588886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69.617802181584878</v>
      </c>
      <c r="E386" s="18">
        <f>E381*E381*(SUM((H374*E374*(1-E363/H363))/(H363-1),(H375*E375*(1-E364/H364))/(H364-1), (H377*E377*(1-E366/H366))/(H366-1),(H378*E378*(1-E367/H367))/(H367-1)))</f>
        <v>870.99850930573405</v>
      </c>
      <c r="F386" s="18">
        <f>F381*F381*(SUM((H374*F374*(1-F363/H363))/(H363-1),(H375*F375*(1-F364/H364))/(H364-1), (H376*F376*(1-F365/H365))/(H365-1),(H378*F378*(1-F367/H367))/(H367-1)))</f>
        <v>1215.152332307171</v>
      </c>
      <c r="G386" s="18">
        <f>G381*G381*(SUM((H374*G374*(1-G363/H363))/(H363-1),(H375*G375*(1-G364/H364))/(H364-1), (H376*G376*(1-G365/H365))/(H365-1),(H377*G377*(1-G366/H366))/(H366-1)))</f>
        <v>868.59665689202745</v>
      </c>
    </row>
    <row r="387" spans="1:40" x14ac:dyDescent="0.3">
      <c r="A387" s="105" t="s">
        <v>390</v>
      </c>
      <c r="B387" s="69" t="s">
        <v>9</v>
      </c>
      <c r="C387" s="1">
        <v>280.54000000000002</v>
      </c>
      <c r="D387" s="1">
        <v>1808.86</v>
      </c>
      <c r="E387" s="1">
        <v>15067.74</v>
      </c>
      <c r="F387" s="1">
        <v>1621.58</v>
      </c>
      <c r="G387" s="1">
        <v>3311.94</v>
      </c>
      <c r="I387" t="s">
        <v>36</v>
      </c>
      <c r="J387" s="57">
        <f>SUM(C387:G387)</f>
        <v>22090.66</v>
      </c>
      <c r="AM387" s="78"/>
      <c r="AN387" s="78"/>
    </row>
    <row r="388" spans="1:40" x14ac:dyDescent="0.3">
      <c r="B388" t="s">
        <v>391</v>
      </c>
      <c r="C388" s="57">
        <f>(C387/$J387)*100</f>
        <v>1.2699484759622393</v>
      </c>
      <c r="D388" s="57">
        <f>(D387/$J387)*100</f>
        <v>8.188347473547644</v>
      </c>
      <c r="E388" s="57">
        <f>(E387/$J387)*100</f>
        <v>68.208645644810971</v>
      </c>
      <c r="F388" s="57">
        <f>(F387/$J387)*100</f>
        <v>7.3405683669025734</v>
      </c>
      <c r="G388" s="57">
        <f>(G387/$J387)*100</f>
        <v>14.992490038776568</v>
      </c>
    </row>
    <row r="389" spans="1:40" x14ac:dyDescent="0.3">
      <c r="A389" s="361">
        <v>1988</v>
      </c>
      <c r="B389" s="361"/>
      <c r="C389" s="361"/>
      <c r="D389" s="361"/>
      <c r="E389" s="361"/>
      <c r="F389" s="361"/>
      <c r="G389" s="361"/>
      <c r="H389" s="361"/>
      <c r="I389" s="361"/>
      <c r="J389" s="361"/>
      <c r="K389" s="361"/>
      <c r="L389" s="361" t="s">
        <v>91</v>
      </c>
      <c r="M389" s="361"/>
      <c r="N389" s="361"/>
      <c r="O389" s="361"/>
      <c r="P389" s="361"/>
      <c r="AM389" s="78"/>
      <c r="AN389" s="78"/>
    </row>
    <row r="390" spans="1:40" x14ac:dyDescent="0.3">
      <c r="A390" t="s">
        <v>15</v>
      </c>
      <c r="B390" t="s">
        <v>21</v>
      </c>
      <c r="I390" s="1" t="s">
        <v>58</v>
      </c>
      <c r="O390" s="360" t="s">
        <v>411</v>
      </c>
      <c r="P390" s="360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56</v>
      </c>
      <c r="O391" s="13" t="s">
        <v>412</v>
      </c>
      <c r="P391" s="13" t="s">
        <v>41</v>
      </c>
      <c r="AM391" s="78"/>
      <c r="AN391" s="78"/>
    </row>
    <row r="392" spans="1:40" x14ac:dyDescent="0.3">
      <c r="A392" t="s">
        <v>3</v>
      </c>
      <c r="B392" s="13">
        <v>0</v>
      </c>
      <c r="C392" s="26">
        <v>56</v>
      </c>
      <c r="D392" s="3">
        <v>0</v>
      </c>
      <c r="E392" s="3">
        <v>0</v>
      </c>
      <c r="F392" s="3">
        <v>0</v>
      </c>
      <c r="G392" s="4">
        <v>0</v>
      </c>
      <c r="H392" s="1">
        <f>SUM(C392:G392)</f>
        <v>56</v>
      </c>
      <c r="I392" s="10">
        <f>C392/H392</f>
        <v>1</v>
      </c>
      <c r="J392" s="11">
        <f>1-I392</f>
        <v>0</v>
      </c>
      <c r="K392">
        <f>H392-C397</f>
        <v>0</v>
      </c>
      <c r="N392" s="10">
        <f>2*(C398*I392)/(C398+I392)</f>
        <v>1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90</v>
      </c>
      <c r="E393" s="1">
        <v>2</v>
      </c>
      <c r="F393" s="1">
        <v>0</v>
      </c>
      <c r="G393" s="6">
        <v>0</v>
      </c>
      <c r="H393" s="1">
        <f>SUM(C393:G393)</f>
        <v>92</v>
      </c>
      <c r="I393" s="10">
        <f>D393/H393</f>
        <v>0.97826086956521741</v>
      </c>
      <c r="J393" s="11">
        <f>1-I393</f>
        <v>2.1739130434782594E-2</v>
      </c>
      <c r="K393">
        <f>H393-D397</f>
        <v>-2</v>
      </c>
      <c r="N393" s="10">
        <f>2*(D398*I393)/(D398+I393)</f>
        <v>0.967741935483871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4</v>
      </c>
      <c r="E394" s="27">
        <v>1655</v>
      </c>
      <c r="F394" s="1">
        <v>34</v>
      </c>
      <c r="G394" s="6">
        <v>115</v>
      </c>
      <c r="H394" s="1">
        <f>SUM(C394:G394)</f>
        <v>1808</v>
      </c>
      <c r="I394" s="10">
        <f>E394/H394</f>
        <v>0.91537610619469023</v>
      </c>
      <c r="J394" s="11">
        <f>1-I394</f>
        <v>8.4623893805309769E-2</v>
      </c>
      <c r="K394">
        <f>H394-E397</f>
        <v>111</v>
      </c>
      <c r="N394" s="10">
        <f>2*(E398*I394)/(E398+I394)</f>
        <v>0.94436519258202578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0</v>
      </c>
      <c r="E395" s="1">
        <v>20</v>
      </c>
      <c r="F395" s="27">
        <v>533</v>
      </c>
      <c r="G395" s="6">
        <v>100</v>
      </c>
      <c r="H395" s="1">
        <f>SUM(C395:G395)</f>
        <v>653</v>
      </c>
      <c r="I395" s="10">
        <f>F395/H395</f>
        <v>0.81623277182235832</v>
      </c>
      <c r="J395" s="11">
        <f>1-I395</f>
        <v>0.18376722817764168</v>
      </c>
      <c r="K395">
        <f>H395-F397</f>
        <v>56</v>
      </c>
      <c r="N395" s="10">
        <f>2*(F398*I395)/(F398+I395)</f>
        <v>0.8528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0</v>
      </c>
      <c r="E396" s="8">
        <v>20</v>
      </c>
      <c r="F396" s="8">
        <v>30</v>
      </c>
      <c r="G396" s="28">
        <v>191</v>
      </c>
      <c r="H396" s="1">
        <f>SUM(C396:G396)</f>
        <v>241</v>
      </c>
      <c r="I396" s="10">
        <f>G396/H396</f>
        <v>0.79253112033195017</v>
      </c>
      <c r="J396" s="11">
        <f>1-I396</f>
        <v>0.20746887966804983</v>
      </c>
      <c r="K396">
        <f>H396-G397</f>
        <v>-165</v>
      </c>
      <c r="N396" s="10">
        <f>2*(G398*I396)/(G398+I396)</f>
        <v>0.5904173106646059</v>
      </c>
      <c r="O396" s="1"/>
      <c r="P396" s="1"/>
    </row>
    <row r="397" spans="1:40" ht="15.6" x14ac:dyDescent="0.35">
      <c r="B397" s="1" t="s">
        <v>19</v>
      </c>
      <c r="C397" s="1">
        <f>SUM(C392:C396)</f>
        <v>56</v>
      </c>
      <c r="D397" s="1">
        <f>SUM(D392:D396)</f>
        <v>94</v>
      </c>
      <c r="E397" s="1">
        <f>SUM(E392:E396)</f>
        <v>1697</v>
      </c>
      <c r="F397" s="1">
        <f>SUM(F392:F396)</f>
        <v>597</v>
      </c>
      <c r="G397" s="1">
        <f>SUM(G392:G396)</f>
        <v>406</v>
      </c>
      <c r="H397" s="1">
        <f>SUM(H391:H396)</f>
        <v>2850</v>
      </c>
      <c r="I397" s="13" t="s">
        <v>12</v>
      </c>
      <c r="N397" s="16" t="s">
        <v>36</v>
      </c>
      <c r="O397" s="1">
        <f>SUM(O392:O396)</f>
        <v>0</v>
      </c>
      <c r="P397" s="1">
        <f>SUM(P392:P396)</f>
        <v>0</v>
      </c>
      <c r="AM397" s="78"/>
      <c r="AN397" s="78"/>
    </row>
    <row r="398" spans="1:40" x14ac:dyDescent="0.3">
      <c r="A398" s="1" t="s">
        <v>57</v>
      </c>
      <c r="B398" s="1" t="s">
        <v>2</v>
      </c>
      <c r="C398" s="10">
        <f>C392/C397</f>
        <v>1</v>
      </c>
      <c r="D398" s="10">
        <f>D393/D397</f>
        <v>0.95744680851063835</v>
      </c>
      <c r="E398" s="10">
        <f>E394/E397</f>
        <v>0.97525044195639365</v>
      </c>
      <c r="F398" s="10">
        <f>F395/F397</f>
        <v>0.89279731993299838</v>
      </c>
      <c r="G398" s="10">
        <f>G396/G397</f>
        <v>0.47044334975369456</v>
      </c>
      <c r="H398" s="10"/>
      <c r="I398" s="14">
        <f>(C392+D393+E394+F395+G396)/H397</f>
        <v>0.88596491228070173</v>
      </c>
    </row>
    <row r="399" spans="1:40" x14ac:dyDescent="0.3">
      <c r="B399" s="1" t="s">
        <v>14</v>
      </c>
      <c r="C399" s="11">
        <f>1-C398</f>
        <v>0</v>
      </c>
      <c r="D399" s="11">
        <f>1-D398</f>
        <v>4.2553191489361653E-2</v>
      </c>
      <c r="E399" s="11">
        <f>1-E398</f>
        <v>2.4749558043606346E-2</v>
      </c>
      <c r="F399" s="11">
        <f>1-F398</f>
        <v>0.10720268006700162</v>
      </c>
      <c r="G399" s="11">
        <f>1-G398</f>
        <v>0.52955665024630538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1.1246123297506294</v>
      </c>
      <c r="D403" s="31">
        <f>(D392/$L403)*$O403</f>
        <v>0</v>
      </c>
      <c r="E403" s="31">
        <f>(E392/$L403)*$O403</f>
        <v>0</v>
      </c>
      <c r="F403" s="31">
        <f>(F392/$L403)*$O403</f>
        <v>0</v>
      </c>
      <c r="G403" s="32">
        <f>(G392/$L403)*$O403</f>
        <v>0</v>
      </c>
      <c r="H403" s="17">
        <f>SUM(C403:G403)</f>
        <v>1.1246123297506294</v>
      </c>
      <c r="I403" s="17">
        <f>C403/H403*100</f>
        <v>100</v>
      </c>
      <c r="J403" s="17">
        <f>SQRT(I403*(100-I403)/(L403-1))</f>
        <v>0</v>
      </c>
      <c r="K403" s="18">
        <f>100-I403</f>
        <v>0</v>
      </c>
      <c r="L403" s="1">
        <f>H392</f>
        <v>56</v>
      </c>
      <c r="M403">
        <v>0</v>
      </c>
      <c r="N403" s="1">
        <v>2219.59</v>
      </c>
      <c r="O403" s="17">
        <f>N403/N408*100</f>
        <v>1.1246123297506294</v>
      </c>
      <c r="P403" s="52">
        <f>((O403*O403*(I403/100)*(K403/100))/(L403-1))</f>
        <v>0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62">(C393/$L404)*$O404</f>
        <v>0</v>
      </c>
      <c r="D404" s="34">
        <f t="shared" si="62"/>
        <v>4.1330099068097796</v>
      </c>
      <c r="E404" s="19">
        <f t="shared" si="62"/>
        <v>9.1844664595772882E-2</v>
      </c>
      <c r="F404" s="18">
        <f t="shared" si="62"/>
        <v>0</v>
      </c>
      <c r="G404" s="20">
        <f t="shared" si="62"/>
        <v>0</v>
      </c>
      <c r="H404" s="17">
        <f>SUM(C404:G404)</f>
        <v>4.2248545714055528</v>
      </c>
      <c r="I404" s="17">
        <f>D404/H404*100</f>
        <v>97.826086956521735</v>
      </c>
      <c r="J404" s="17">
        <f>SQRT(I404*(100-I404)/(L404-1))</f>
        <v>1.5287192313211824</v>
      </c>
      <c r="K404" s="18">
        <f>100-I404</f>
        <v>2.1739130434782652</v>
      </c>
      <c r="L404" s="1">
        <f>H393</f>
        <v>92</v>
      </c>
      <c r="M404">
        <v>1</v>
      </c>
      <c r="N404" s="1">
        <v>8338.3799999999992</v>
      </c>
      <c r="O404" s="17">
        <f>N404/N408*100</f>
        <v>4.2248545714055528</v>
      </c>
      <c r="P404" s="52">
        <f>((O404*O404*(I404/100)*(K404/100))/(L404-1))</f>
        <v>4.1713726226588078E-3</v>
      </c>
    </row>
    <row r="405" spans="1:40" x14ac:dyDescent="0.3">
      <c r="A405" t="s">
        <v>5</v>
      </c>
      <c r="B405" s="13">
        <v>2</v>
      </c>
      <c r="C405" s="33">
        <f t="shared" si="62"/>
        <v>0</v>
      </c>
      <c r="D405" s="19">
        <f t="shared" si="62"/>
        <v>0.12564517248332843</v>
      </c>
      <c r="E405" s="34">
        <f t="shared" si="62"/>
        <v>51.985690114977139</v>
      </c>
      <c r="F405" s="19">
        <f t="shared" si="62"/>
        <v>1.0679839661082917</v>
      </c>
      <c r="G405" s="20">
        <f t="shared" si="62"/>
        <v>3.6122987088956924</v>
      </c>
      <c r="H405" s="17">
        <f>SUM(C405:G405)</f>
        <v>56.791617962464457</v>
      </c>
      <c r="I405" s="17">
        <f>E405/H405*100</f>
        <v>91.537610619469007</v>
      </c>
      <c r="J405" s="17">
        <f>SQRT(I405*(100-I405)/(L405-1))</f>
        <v>0.65473749435250705</v>
      </c>
      <c r="K405" s="18">
        <f>100-I405</f>
        <v>8.4623893805309933</v>
      </c>
      <c r="L405" s="1">
        <f>H394</f>
        <v>1808</v>
      </c>
      <c r="M405">
        <v>2</v>
      </c>
      <c r="N405" s="1">
        <v>112086.72</v>
      </c>
      <c r="O405" s="17">
        <f>N405/N408*100</f>
        <v>56.79161796246445</v>
      </c>
      <c r="P405" s="52">
        <f>((O405*O405*(I405/100)*(K405/100))/(L405-1))</f>
        <v>0.13826202312917271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62"/>
        <v>0</v>
      </c>
      <c r="D406" s="19">
        <f t="shared" si="62"/>
        <v>0</v>
      </c>
      <c r="E406" s="19">
        <f t="shared" si="62"/>
        <v>0.61375808573827706</v>
      </c>
      <c r="F406" s="34">
        <f t="shared" si="62"/>
        <v>16.356652984925084</v>
      </c>
      <c r="G406" s="20">
        <f t="shared" si="62"/>
        <v>3.068790428691385</v>
      </c>
      <c r="H406" s="17">
        <f>SUM(C406:G406)</f>
        <v>20.039201499354746</v>
      </c>
      <c r="I406" s="17">
        <f>F406/H406*100</f>
        <v>81.623277182235825</v>
      </c>
      <c r="J406" s="17">
        <f>SQRT(I406*(100-I406)/(L406-1))</f>
        <v>1.5167613322609963</v>
      </c>
      <c r="K406" s="18">
        <f>100-I406</f>
        <v>18.376722817764175</v>
      </c>
      <c r="L406" s="1">
        <f>H395</f>
        <v>653</v>
      </c>
      <c r="M406">
        <v>3</v>
      </c>
      <c r="N406" s="1">
        <v>39550.35</v>
      </c>
      <c r="O406" s="17">
        <f>N406/N408*100</f>
        <v>20.039201499354746</v>
      </c>
      <c r="P406" s="52">
        <f>((O406*O406*(I406/100)*(K406/100))/(L406-1))</f>
        <v>9.2383693482634047E-2</v>
      </c>
    </row>
    <row r="407" spans="1:40" x14ac:dyDescent="0.3">
      <c r="A407" t="s">
        <v>7</v>
      </c>
      <c r="B407" s="13">
        <v>4</v>
      </c>
      <c r="C407" s="35">
        <f t="shared" si="62"/>
        <v>0</v>
      </c>
      <c r="D407" s="36">
        <f t="shared" si="62"/>
        <v>0</v>
      </c>
      <c r="E407" s="21">
        <f t="shared" si="62"/>
        <v>1.4788144097115863</v>
      </c>
      <c r="F407" s="21">
        <f t="shared" si="62"/>
        <v>2.2182216145673799</v>
      </c>
      <c r="G407" s="37">
        <f t="shared" si="62"/>
        <v>14.122677612745649</v>
      </c>
      <c r="H407" s="17">
        <f>SUM(C407:G407)</f>
        <v>17.819713637024616</v>
      </c>
      <c r="I407" s="17">
        <f>G407/H407*100</f>
        <v>79.253112033195023</v>
      </c>
      <c r="J407" s="17">
        <f>SQRT(I407*(100-I407)/(L407-1))</f>
        <v>2.617453785307823</v>
      </c>
      <c r="K407" s="18">
        <f>100-I407</f>
        <v>20.746887966804977</v>
      </c>
      <c r="L407" s="1">
        <f>H396</f>
        <v>241</v>
      </c>
      <c r="M407">
        <v>4</v>
      </c>
      <c r="N407" s="1">
        <v>35169.86</v>
      </c>
      <c r="O407" s="17">
        <f>N407/N408*100</f>
        <v>17.819713637024616</v>
      </c>
      <c r="P407" s="52">
        <f>((O407*O407*(I407/100)*(K407/100))/(L407-1))</f>
        <v>0.21755019955666141</v>
      </c>
      <c r="AM407" s="78"/>
      <c r="AN407" s="78"/>
    </row>
    <row r="408" spans="1:40" x14ac:dyDescent="0.3">
      <c r="B408" t="s">
        <v>28</v>
      </c>
      <c r="C408" s="17">
        <f t="shared" ref="C408:H408" si="63">SUM(C403:C407)</f>
        <v>1.1246123297506294</v>
      </c>
      <c r="D408" s="17">
        <f t="shared" si="63"/>
        <v>4.2586550792931082</v>
      </c>
      <c r="E408" s="17">
        <f t="shared" si="63"/>
        <v>54.170107275022779</v>
      </c>
      <c r="F408" s="17">
        <f t="shared" si="63"/>
        <v>19.642858565600754</v>
      </c>
      <c r="G408" s="17">
        <f t="shared" si="63"/>
        <v>20.803766750332727</v>
      </c>
      <c r="H408" s="18">
        <f t="shared" si="63"/>
        <v>100</v>
      </c>
      <c r="I408" s="13" t="s">
        <v>24</v>
      </c>
      <c r="J408" s="12" t="s">
        <v>29</v>
      </c>
      <c r="N408" s="1">
        <f>SUM(N403:N407)</f>
        <v>197364.90000000002</v>
      </c>
      <c r="O408" s="17">
        <f>SUM(O403:O407)</f>
        <v>100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0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8.9799651285192086E-2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0.51072499388904413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0.51841873063367871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0.63454720831579148</v>
      </c>
      <c r="H409" s="1"/>
      <c r="I409" s="56">
        <f>(C403+D404+E405+F406+G407)/H408</f>
        <v>0.87722642949208274</v>
      </c>
      <c r="J409" s="53">
        <f>SQRT(SUM(P403:P407))/100</f>
        <v>6.7258255165527966E-3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97.049651353680787</v>
      </c>
      <c r="E410" s="17">
        <f>E405/E408*100</f>
        <v>95.967485999325589</v>
      </c>
      <c r="F410" s="17">
        <f>F406/F408*100</f>
        <v>83.27022734648925</v>
      </c>
      <c r="G410" s="17">
        <f>G407/G408*100</f>
        <v>67.885194937209036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1.4988098593454682</v>
      </c>
      <c r="E411" s="18">
        <f>SQRT((E414+E415)/(E408*E408))</f>
        <v>0.68052718278120383</v>
      </c>
      <c r="F411" s="18">
        <f>SQRT((F414+F415)/(F408*F408))</f>
        <v>3.143984191904063</v>
      </c>
      <c r="G411" s="18">
        <f>SQRT((G414+G415)/(G408*G408))</f>
        <v>7.3365521654109527</v>
      </c>
      <c r="H411" s="1"/>
      <c r="I411" s="14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2.9503486463192132</v>
      </c>
      <c r="E412" s="18">
        <f>100-E410</f>
        <v>4.0325140006744107</v>
      </c>
      <c r="F412" s="18">
        <f>100-F410</f>
        <v>16.72977265351075</v>
      </c>
      <c r="G412" s="18">
        <f>100-G410</f>
        <v>32.114805062790964</v>
      </c>
    </row>
    <row r="413" spans="1:40" ht="15.6" x14ac:dyDescent="0.35">
      <c r="B413" s="1" t="s">
        <v>25</v>
      </c>
      <c r="C413" s="1">
        <f>C397</f>
        <v>56</v>
      </c>
      <c r="D413" s="1">
        <f>D397</f>
        <v>94</v>
      </c>
      <c r="E413" s="1">
        <f>E397</f>
        <v>1697</v>
      </c>
      <c r="F413" s="1">
        <f>F397</f>
        <v>597</v>
      </c>
      <c r="G413" s="1">
        <f>G397</f>
        <v>406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3.6309951324631009</v>
      </c>
      <c r="E414" s="18">
        <f>(O405*O405*(100-E410)*(100-E410)*(I405)*(100-I405))/((L405-1)*100)</f>
        <v>224.83021472864357</v>
      </c>
      <c r="F414" s="18">
        <f>(O406*O406*(100-F410)*(100-F410)*(I406)*(100-I406))/((L406-1)*100)</f>
        <v>2585.6837122334223</v>
      </c>
      <c r="G414" s="18">
        <f>(O407*O407*(100-G410)*(100-G410)*(I407)*(100-I407))/((L407-1)*100)</f>
        <v>22437.272701819133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37.11059881247251</v>
      </c>
      <c r="E415" s="18">
        <f>E410*E410*(SUM((H403*E403*(1-E392/H392))/(H392-1),(H404*E404*(1-E393/H393))/(H393-1), (H406*E406*(1-E395/H395))/(H395-1),(H407*E407*(1-E396/H396))/(H396-1)))</f>
        <v>1134.1412752470781</v>
      </c>
      <c r="F415" s="18">
        <f>F410*F410*(SUM((H403*F403*(1-F392/H392))/(H392-1),(H404*F404*(1-F393/H393))/(H393-1), (H405*F405*(1-F394/H394))/(H394-1),(H407*F407*(1-F396/H396))/(H396-1)))</f>
        <v>1228.2231810445305</v>
      </c>
      <c r="G415" s="18">
        <f>G410*G410*(SUM((H403*G403*(1-G392/H392))/(H392-1),(H404*G404*(1-G393/H393))/(H393-1), (H405*G405*(1-G394/H394))/(H394-1),(H406*G406*(1-G395/H395))/(H395-1)))</f>
        <v>858.0092619691651</v>
      </c>
      <c r="AM415" s="78"/>
      <c r="AN415" s="78"/>
    </row>
    <row r="416" spans="1:40" x14ac:dyDescent="0.3">
      <c r="A416" s="105" t="s">
        <v>390</v>
      </c>
      <c r="B416" s="69" t="s">
        <v>9</v>
      </c>
      <c r="C416" s="1">
        <v>264.33</v>
      </c>
      <c r="D416" s="1">
        <v>1718.11</v>
      </c>
      <c r="E416" s="1">
        <v>15196.66</v>
      </c>
      <c r="F416" s="1">
        <v>1701.17</v>
      </c>
      <c r="G416" s="1">
        <v>3210.39</v>
      </c>
      <c r="I416" t="s">
        <v>36</v>
      </c>
      <c r="J416" s="57">
        <f>SUM(C416:G416)</f>
        <v>22090.659999999996</v>
      </c>
    </row>
    <row r="417" spans="1:40" x14ac:dyDescent="0.3">
      <c r="B417" t="s">
        <v>391</v>
      </c>
      <c r="C417" s="57">
        <f>(C416/$J416)*100</f>
        <v>1.1965690477332955</v>
      </c>
      <c r="D417" s="57">
        <f>(D416/$J416)*100</f>
        <v>7.7775403722659275</v>
      </c>
      <c r="E417" s="57">
        <f>(E416/$J416)*100</f>
        <v>68.792240702631801</v>
      </c>
      <c r="F417" s="57">
        <f>(F416/$J416)*100</f>
        <v>7.7008563800266732</v>
      </c>
      <c r="G417" s="57">
        <f>(G416/$J416)*100</f>
        <v>14.532793497342317</v>
      </c>
      <c r="AM417" s="78"/>
      <c r="AN417" s="78"/>
    </row>
    <row r="418" spans="1:40" x14ac:dyDescent="0.3">
      <c r="A418" s="361">
        <v>1988</v>
      </c>
      <c r="B418" s="361"/>
      <c r="C418" s="361"/>
      <c r="D418" s="361"/>
      <c r="E418" s="361"/>
      <c r="F418" s="361"/>
      <c r="G418" s="361"/>
      <c r="H418" s="361"/>
      <c r="I418" s="361"/>
      <c r="J418" s="361"/>
      <c r="K418" s="361"/>
      <c r="L418" s="361" t="s">
        <v>92</v>
      </c>
      <c r="M418" s="361"/>
      <c r="N418" s="361"/>
      <c r="O418" s="361"/>
      <c r="P418" s="361"/>
    </row>
    <row r="419" spans="1:40" x14ac:dyDescent="0.3">
      <c r="A419" t="s">
        <v>15</v>
      </c>
      <c r="B419" t="s">
        <v>21</v>
      </c>
      <c r="I419" s="1" t="s">
        <v>58</v>
      </c>
      <c r="O419" s="360" t="s">
        <v>411</v>
      </c>
      <c r="P419" s="360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56</v>
      </c>
      <c r="O420" s="13" t="s">
        <v>412</v>
      </c>
      <c r="P420" s="13" t="s">
        <v>41</v>
      </c>
    </row>
    <row r="421" spans="1:40" x14ac:dyDescent="0.3">
      <c r="A421" t="s">
        <v>3</v>
      </c>
      <c r="B421" s="13">
        <v>0</v>
      </c>
      <c r="C421" s="26">
        <v>56</v>
      </c>
      <c r="D421" s="3">
        <v>0</v>
      </c>
      <c r="E421" s="3">
        <v>0</v>
      </c>
      <c r="F421" s="3">
        <v>0</v>
      </c>
      <c r="G421" s="4">
        <v>0</v>
      </c>
      <c r="H421" s="1">
        <f>SUM(C421:G421)</f>
        <v>56</v>
      </c>
      <c r="I421" s="10">
        <f>C421/H421</f>
        <v>1</v>
      </c>
      <c r="J421" s="11">
        <f>1-I421</f>
        <v>0</v>
      </c>
      <c r="K421">
        <f>H421-C426</f>
        <v>0</v>
      </c>
      <c r="N421" s="10">
        <f>2*(C427*I421)/(C427+I421)</f>
        <v>1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89</v>
      </c>
      <c r="E422" s="1">
        <v>3</v>
      </c>
      <c r="F422" s="1">
        <v>0</v>
      </c>
      <c r="G422" s="6">
        <v>0</v>
      </c>
      <c r="H422" s="1">
        <f>SUM(C422:G422)</f>
        <v>92</v>
      </c>
      <c r="I422" s="10">
        <f>D422/H422</f>
        <v>0.96739130434782605</v>
      </c>
      <c r="J422" s="11">
        <f>1-I422</f>
        <v>3.2608695652173947E-2</v>
      </c>
      <c r="K422">
        <f>H422-D426</f>
        <v>-4</v>
      </c>
      <c r="N422" s="10">
        <f>2*(D427*I422)/(D427+I422)</f>
        <v>0.94680851063829785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7</v>
      </c>
      <c r="E423" s="27">
        <v>1656</v>
      </c>
      <c r="F423" s="1">
        <v>34</v>
      </c>
      <c r="G423" s="6">
        <v>111</v>
      </c>
      <c r="H423" s="1">
        <f>SUM(C423:G423)</f>
        <v>1808</v>
      </c>
      <c r="I423" s="10">
        <f>E423/H423</f>
        <v>0.91592920353982299</v>
      </c>
      <c r="J423" s="11">
        <f>1-I423</f>
        <v>8.4070796460177011E-2</v>
      </c>
      <c r="K423">
        <f>H423-E426</f>
        <v>119</v>
      </c>
      <c r="N423" s="10">
        <f>2*(E427*I423)/(E427+I423)</f>
        <v>0.9470975121532742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0</v>
      </c>
      <c r="E424" s="1">
        <v>14</v>
      </c>
      <c r="F424" s="27">
        <v>537</v>
      </c>
      <c r="G424" s="6">
        <v>102</v>
      </c>
      <c r="H424" s="1">
        <f>SUM(C424:G424)</f>
        <v>653</v>
      </c>
      <c r="I424" s="10">
        <f>F424/H424</f>
        <v>0.8223583460949464</v>
      </c>
      <c r="J424" s="11">
        <f>1-I424</f>
        <v>0.1776416539050536</v>
      </c>
      <c r="K424">
        <f>H424-F426</f>
        <v>53</v>
      </c>
      <c r="N424" s="10">
        <f>2*(F427*I424)/(F427+I424)</f>
        <v>0.8571428571428571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0</v>
      </c>
      <c r="E425" s="8">
        <v>16</v>
      </c>
      <c r="F425" s="8">
        <v>29</v>
      </c>
      <c r="G425" s="28">
        <v>196</v>
      </c>
      <c r="H425" s="1">
        <f>SUM(C425:G425)</f>
        <v>241</v>
      </c>
      <c r="I425" s="10">
        <f>G425/H425</f>
        <v>0.81327800829875518</v>
      </c>
      <c r="J425" s="11">
        <f>1-I425</f>
        <v>0.18672199170124482</v>
      </c>
      <c r="K425">
        <f>H425-G426</f>
        <v>-168</v>
      </c>
      <c r="N425" s="10">
        <f>2*(G427*I425)/(G427+I425)</f>
        <v>0.60307692307692307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56</v>
      </c>
      <c r="D426" s="1">
        <f>SUM(D421:D425)</f>
        <v>96</v>
      </c>
      <c r="E426" s="1">
        <f>SUM(E421:E425)</f>
        <v>1689</v>
      </c>
      <c r="F426" s="1">
        <f>SUM(F421:F425)</f>
        <v>600</v>
      </c>
      <c r="G426" s="1">
        <f>SUM(G421:G425)</f>
        <v>409</v>
      </c>
      <c r="H426" s="1">
        <f>SUM(H420:H425)</f>
        <v>2850</v>
      </c>
      <c r="I426" s="13" t="s">
        <v>12</v>
      </c>
      <c r="N426" s="16" t="s">
        <v>36</v>
      </c>
      <c r="O426" s="1">
        <f>SUM(O421:O425)</f>
        <v>0</v>
      </c>
      <c r="P426" s="1">
        <f>SUM(P421:P425)</f>
        <v>0</v>
      </c>
    </row>
    <row r="427" spans="1:40" x14ac:dyDescent="0.3">
      <c r="A427" s="1" t="s">
        <v>57</v>
      </c>
      <c r="B427" s="1" t="s">
        <v>2</v>
      </c>
      <c r="C427" s="10">
        <f>C421/C426</f>
        <v>1</v>
      </c>
      <c r="D427" s="10">
        <f>D422/D426</f>
        <v>0.92708333333333337</v>
      </c>
      <c r="E427" s="10">
        <f>E423/E426</f>
        <v>0.98046181172291291</v>
      </c>
      <c r="F427" s="10">
        <f>F424/F426</f>
        <v>0.89500000000000002</v>
      </c>
      <c r="G427" s="10">
        <f>G425/G426</f>
        <v>0.47921760391198043</v>
      </c>
      <c r="H427" s="10"/>
      <c r="I427" s="14">
        <f>(C421+D422+E423+F424+G425)/H426</f>
        <v>0.88912280701754387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7.291666666666663E-2</v>
      </c>
      <c r="E428" s="11">
        <f>1-E427</f>
        <v>1.9538188277087087E-2</v>
      </c>
      <c r="F428" s="11">
        <f>1-F427</f>
        <v>0.10499999999999998</v>
      </c>
      <c r="G428" s="11">
        <f>1-G427</f>
        <v>0.52078239608801957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1.1041730877259883</v>
      </c>
      <c r="D432" s="31">
        <f>(D421/$L432)*$O432</f>
        <v>0</v>
      </c>
      <c r="E432" s="31">
        <f>(E421/$L432)*$O432</f>
        <v>0</v>
      </c>
      <c r="F432" s="31">
        <f>(F421/$L432)*$O432</f>
        <v>0</v>
      </c>
      <c r="G432" s="32">
        <f>(G421/$L432)*$O432</f>
        <v>0</v>
      </c>
      <c r="H432" s="17">
        <f>SUM(C432:G432)</f>
        <v>1.1041730877259883</v>
      </c>
      <c r="I432" s="17">
        <f>C432/H432*100</f>
        <v>100</v>
      </c>
      <c r="J432" s="17">
        <f>SQRT(I432*(100-I432)/(L432-1))</f>
        <v>0</v>
      </c>
      <c r="K432" s="18">
        <f>100-I432</f>
        <v>0</v>
      </c>
      <c r="L432" s="1">
        <f>H421</f>
        <v>56</v>
      </c>
      <c r="M432">
        <v>0</v>
      </c>
      <c r="N432" s="1">
        <v>2179.25</v>
      </c>
      <c r="O432" s="17">
        <f>N432/N437*100</f>
        <v>1.1041730877259883</v>
      </c>
      <c r="P432" s="52">
        <f>((O432*O432*(I432/100)*(K432/100))/(L432-1))</f>
        <v>0</v>
      </c>
    </row>
    <row r="433" spans="1:40" x14ac:dyDescent="0.3">
      <c r="A433" t="s">
        <v>4</v>
      </c>
      <c r="B433" s="13">
        <v>1</v>
      </c>
      <c r="C433" s="33">
        <f t="shared" ref="C433:G436" si="64">(C422/$L433)*$O433</f>
        <v>0</v>
      </c>
      <c r="D433" s="34">
        <f t="shared" si="64"/>
        <v>4.3246946876131203</v>
      </c>
      <c r="E433" s="19">
        <f t="shared" si="64"/>
        <v>0.14577622542516136</v>
      </c>
      <c r="F433" s="18">
        <f t="shared" si="64"/>
        <v>0</v>
      </c>
      <c r="G433" s="20">
        <f t="shared" si="64"/>
        <v>0</v>
      </c>
      <c r="H433" s="17">
        <f>SUM(C433:G433)</f>
        <v>4.470470913038282</v>
      </c>
      <c r="I433" s="17">
        <f>D433/H433*100</f>
        <v>96.739130434782595</v>
      </c>
      <c r="J433" s="17">
        <f>SQRT(I433*(100-I433)/(L433-1))</f>
        <v>1.8618603664560864</v>
      </c>
      <c r="K433" s="18">
        <f>100-I433</f>
        <v>3.2608695652174049</v>
      </c>
      <c r="L433" s="1">
        <f>H422</f>
        <v>92</v>
      </c>
      <c r="M433">
        <v>1</v>
      </c>
      <c r="N433" s="1">
        <v>8823.14</v>
      </c>
      <c r="O433" s="17">
        <f>N433/N437*100</f>
        <v>4.470470913038282</v>
      </c>
      <c r="P433" s="52">
        <f>((O433*O433*(I433/100)*(K433/100))/(L433-1))</f>
        <v>6.9278864579834136E-3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64"/>
        <v>0</v>
      </c>
      <c r="D434" s="19">
        <f t="shared" si="64"/>
        <v>0.21838980905668137</v>
      </c>
      <c r="E434" s="34">
        <f t="shared" si="64"/>
        <v>51.664789113980618</v>
      </c>
      <c r="F434" s="19">
        <f t="shared" si="64"/>
        <v>1.0607505011324525</v>
      </c>
      <c r="G434" s="20">
        <f t="shared" si="64"/>
        <v>3.4630384007559472</v>
      </c>
      <c r="H434" s="17">
        <f>SUM(C434:G434)</f>
        <v>56.406967824925701</v>
      </c>
      <c r="I434" s="17">
        <f>E434/H434*100</f>
        <v>91.592920353982294</v>
      </c>
      <c r="J434" s="17">
        <f>SQRT(I434*(100-I434)/(L434-1))</f>
        <v>0.65279145031339136</v>
      </c>
      <c r="K434" s="18">
        <f>100-I434</f>
        <v>8.4070796460177064</v>
      </c>
      <c r="L434" s="1">
        <f>H423</f>
        <v>1808</v>
      </c>
      <c r="M434">
        <v>2</v>
      </c>
      <c r="N434" s="1">
        <v>111327.55</v>
      </c>
      <c r="O434" s="17">
        <f>N434/N437*100</f>
        <v>56.406967824925701</v>
      </c>
      <c r="P434" s="52">
        <f>((O434*O434*(I434/100)*(K434/100))/(L434-1))</f>
        <v>0.13558586775970463</v>
      </c>
    </row>
    <row r="435" spans="1:40" x14ac:dyDescent="0.3">
      <c r="A435" t="s">
        <v>6</v>
      </c>
      <c r="B435" s="13">
        <v>3</v>
      </c>
      <c r="C435" s="33">
        <f t="shared" si="64"/>
        <v>0</v>
      </c>
      <c r="D435" s="19">
        <f t="shared" si="64"/>
        <v>0</v>
      </c>
      <c r="E435" s="19">
        <f t="shared" si="64"/>
        <v>0.42311241100864133</v>
      </c>
      <c r="F435" s="34">
        <f t="shared" si="64"/>
        <v>16.229383193688601</v>
      </c>
      <c r="G435" s="20">
        <f t="shared" si="64"/>
        <v>3.0826761373486726</v>
      </c>
      <c r="H435" s="17">
        <f>SUM(C435:G435)</f>
        <v>19.735171742045917</v>
      </c>
      <c r="I435" s="17">
        <f>F435/H435*100</f>
        <v>82.235834609494631</v>
      </c>
      <c r="J435" s="17">
        <f>SQRT(I435*(100-I435)/(L435-1))</f>
        <v>1.4968530214541313</v>
      </c>
      <c r="K435" s="18">
        <f>100-I435</f>
        <v>17.764165390505369</v>
      </c>
      <c r="L435" s="1">
        <f>H424</f>
        <v>653</v>
      </c>
      <c r="M435">
        <v>3</v>
      </c>
      <c r="N435" s="1">
        <v>38950.300000000003</v>
      </c>
      <c r="O435" s="17">
        <f>N435/N437*100</f>
        <v>19.735171742045914</v>
      </c>
      <c r="P435" s="52">
        <f>((O435*O435*(I435/100)*(K435/100))/(L435-1))</f>
        <v>8.7265008814932765E-2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64"/>
        <v>0</v>
      </c>
      <c r="D436" s="36">
        <f t="shared" si="64"/>
        <v>0</v>
      </c>
      <c r="E436" s="21">
        <f t="shared" si="64"/>
        <v>1.2138234975777009</v>
      </c>
      <c r="F436" s="21">
        <f t="shared" si="64"/>
        <v>2.2000550893595827</v>
      </c>
      <c r="G436" s="37">
        <f t="shared" si="64"/>
        <v>14.869337845326836</v>
      </c>
      <c r="H436" s="17">
        <f>SUM(C436:G436)</f>
        <v>18.283216432264119</v>
      </c>
      <c r="I436" s="17">
        <f>G436/H436*100</f>
        <v>81.327800829875514</v>
      </c>
      <c r="J436" s="17">
        <f>SQRT(I436*(100-I436)/(L436-1))</f>
        <v>2.5154264840211913</v>
      </c>
      <c r="K436" s="18">
        <f>100-I436</f>
        <v>18.672199170124486</v>
      </c>
      <c r="L436" s="1">
        <f>H425</f>
        <v>241</v>
      </c>
      <c r="M436">
        <v>4</v>
      </c>
      <c r="N436" s="1">
        <v>36084.65</v>
      </c>
      <c r="O436" s="17">
        <f>N436/N437*100</f>
        <v>18.283216432264119</v>
      </c>
      <c r="P436" s="52">
        <f>((O436*O436*(I436/100)*(K436/100))/(L436-1))</f>
        <v>0.21150880863373947</v>
      </c>
    </row>
    <row r="437" spans="1:40" x14ac:dyDescent="0.3">
      <c r="B437" t="s">
        <v>28</v>
      </c>
      <c r="C437" s="17">
        <f t="shared" ref="C437:H437" si="65">SUM(C432:C436)</f>
        <v>1.1041730877259883</v>
      </c>
      <c r="D437" s="17">
        <f t="shared" si="65"/>
        <v>4.5430844966698016</v>
      </c>
      <c r="E437" s="17">
        <f t="shared" si="65"/>
        <v>53.447501247992115</v>
      </c>
      <c r="F437" s="17">
        <f t="shared" si="65"/>
        <v>19.490188784180638</v>
      </c>
      <c r="G437" s="17">
        <f t="shared" si="65"/>
        <v>21.415052383431455</v>
      </c>
      <c r="H437" s="18">
        <f t="shared" si="65"/>
        <v>100</v>
      </c>
      <c r="I437" s="13" t="s">
        <v>24</v>
      </c>
      <c r="J437" s="12" t="s">
        <v>29</v>
      </c>
      <c r="N437" s="1">
        <f>SUM(N432:N436)</f>
        <v>197364.88999999998</v>
      </c>
      <c r="O437" s="17">
        <f>SUM(O432:O436)</f>
        <v>100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0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0.11678890340859759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0.49076333280444884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0.51616259013280263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0.62502222532321206</v>
      </c>
      <c r="H438" s="1"/>
      <c r="I438" s="56">
        <f>(C432+D433+E434+F435+G436)/H437</f>
        <v>0.88192377928335164</v>
      </c>
      <c r="J438" s="53">
        <f>SQRT(SUM(P432:P436))/100</f>
        <v>6.6429479274367365E-3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95.192917736468104</v>
      </c>
      <c r="E439" s="17">
        <f>E434/E437*100</f>
        <v>96.664554764235177</v>
      </c>
      <c r="F439" s="17">
        <f>F435/F437*100</f>
        <v>83.269502278301715</v>
      </c>
      <c r="G439" s="17">
        <f>G436/G437*100</f>
        <v>69.434048439830335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1.9383265865822372</v>
      </c>
      <c r="E440" s="18">
        <f>SQRT((E443+E444)/(E437*E437))</f>
        <v>0.63154101396241336</v>
      </c>
      <c r="F440" s="18">
        <f>SQRT((F443+F444)/(F437*F437))</f>
        <v>3.1167901327663534</v>
      </c>
      <c r="G440" s="18">
        <f>SQRT((G443+G444)/(G437*G437))</f>
        <v>6.7069589347214364</v>
      </c>
      <c r="H440" s="1"/>
      <c r="I440" s="14"/>
    </row>
    <row r="441" spans="1:40" x14ac:dyDescent="0.3">
      <c r="B441" s="1" t="s">
        <v>37</v>
      </c>
      <c r="C441" s="18">
        <f>100-C439</f>
        <v>0</v>
      </c>
      <c r="D441" s="18">
        <f>100-D439</f>
        <v>4.8070822635318962</v>
      </c>
      <c r="E441" s="18">
        <f>100-E439</f>
        <v>3.3354452357648228</v>
      </c>
      <c r="F441" s="18">
        <f>100-F439</f>
        <v>16.730497721698285</v>
      </c>
      <c r="G441" s="18">
        <f>100-G439</f>
        <v>30.565951560169665</v>
      </c>
      <c r="AM441" s="78"/>
      <c r="AN441" s="78"/>
    </row>
    <row r="442" spans="1:40" ht="15.6" x14ac:dyDescent="0.35">
      <c r="B442" s="1" t="s">
        <v>25</v>
      </c>
      <c r="C442" s="1">
        <f>C426</f>
        <v>56</v>
      </c>
      <c r="D442" s="1">
        <f>D426</f>
        <v>96</v>
      </c>
      <c r="E442" s="1">
        <f>E426</f>
        <v>1689</v>
      </c>
      <c r="F442" s="1">
        <f>F426</f>
        <v>600</v>
      </c>
      <c r="G442" s="1">
        <f>G426</f>
        <v>409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16.008987661313014</v>
      </c>
      <c r="E443" s="18">
        <f>(O434*O434*(100-E439)*(100-E439)*(I434)*(100-I434))/((L434-1)*100)</f>
        <v>150.84192073306627</v>
      </c>
      <c r="F443" s="18">
        <f>(O435*O435*(100-F439)*(100-F439)*(I435)*(100-I435))/((L435-1)*100)</f>
        <v>2442.6309698568452</v>
      </c>
      <c r="G443" s="18">
        <f>(O436*O436*(100-G439)*(100-G439)*(I436)*(100-I436))/((L436-1)*100)</f>
        <v>19760.789870306362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61.536321900340326</v>
      </c>
      <c r="E444" s="18">
        <f>E439*E439*(SUM((H432*E432*(1-E421/H421))/(H421-1),(H433*E433*(1-E422/H422))/(H422-1), (H435*E435*(1-E424/H424))/(H424-1),(H436*E436*(1-E425/H425))/(H425-1)))</f>
        <v>988.5101140678014</v>
      </c>
      <c r="F444" s="18">
        <f>F439*F439*(SUM((H432*F432*(1-F421/H421))/(H421-1),(H433*F433*(1-F422/H422))/(H422-1), (H434*F434*(1-F423/H423))/(H423-1),(H436*F436*(1-F425/H425))/(H425-1)))</f>
        <v>1247.5461529311301</v>
      </c>
      <c r="G444" s="18">
        <f>G439*G439*(SUM((H432*G432*(1-G421/H421))/(H421-1),(H433*G433*(1-G422/H422))/(H422-1), (H434*G434*(1-G423/H423))/(H423-1),(H435*G435*(1-G424/H424))/(H424-1)))</f>
        <v>868.75167391551383</v>
      </c>
    </row>
    <row r="445" spans="1:40" x14ac:dyDescent="0.3">
      <c r="A445" s="105" t="s">
        <v>390</v>
      </c>
      <c r="B445" s="69" t="s">
        <v>9</v>
      </c>
      <c r="C445" s="1">
        <v>267.57</v>
      </c>
      <c r="D445" s="1">
        <v>1776.09</v>
      </c>
      <c r="E445" s="1">
        <v>15073.5</v>
      </c>
      <c r="F445" s="1">
        <v>1662.64</v>
      </c>
      <c r="G445" s="1">
        <v>3310.86</v>
      </c>
      <c r="I445" t="s">
        <v>36</v>
      </c>
      <c r="J445" s="57">
        <f>SUM(C445:G445)</f>
        <v>22090.66</v>
      </c>
      <c r="AM445" s="78"/>
      <c r="AN445" s="78"/>
    </row>
    <row r="446" spans="1:40" x14ac:dyDescent="0.3">
      <c r="B446" t="s">
        <v>391</v>
      </c>
      <c r="C446" s="57">
        <f>(C445/$J445)*100</f>
        <v>1.2112358797790559</v>
      </c>
      <c r="D446" s="57">
        <f>(D445/$J445)*100</f>
        <v>8.0400042370848137</v>
      </c>
      <c r="E446" s="57">
        <f>(E445/$J445)*100</f>
        <v>68.234720012892325</v>
      </c>
      <c r="F446" s="57">
        <f>(F445/$J445)*100</f>
        <v>7.5264387754824895</v>
      </c>
      <c r="G446" s="57">
        <f>(G445/$J445)*100</f>
        <v>14.987601094761317</v>
      </c>
    </row>
    <row r="447" spans="1:40" x14ac:dyDescent="0.3">
      <c r="A447" s="361">
        <v>1988</v>
      </c>
      <c r="B447" s="361"/>
      <c r="C447" s="361"/>
      <c r="D447" s="361"/>
      <c r="E447" s="361"/>
      <c r="F447" s="361"/>
      <c r="G447" s="361"/>
      <c r="H447" s="361"/>
      <c r="I447" s="361"/>
      <c r="J447" s="361"/>
      <c r="K447" s="361"/>
      <c r="L447" s="361" t="s">
        <v>93</v>
      </c>
      <c r="M447" s="361"/>
      <c r="N447" s="361"/>
      <c r="O447" s="361"/>
      <c r="P447" s="361"/>
      <c r="AM447" s="78"/>
      <c r="AN447" s="78"/>
    </row>
    <row r="448" spans="1:40" x14ac:dyDescent="0.3">
      <c r="A448" t="s">
        <v>15</v>
      </c>
      <c r="B448" t="s">
        <v>21</v>
      </c>
      <c r="I448" s="1" t="s">
        <v>58</v>
      </c>
      <c r="O448" s="360" t="s">
        <v>411</v>
      </c>
      <c r="P448" s="360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56</v>
      </c>
      <c r="O449" s="13" t="s">
        <v>412</v>
      </c>
      <c r="P449" s="13" t="s">
        <v>41</v>
      </c>
      <c r="AM449" s="78"/>
      <c r="AN449" s="78"/>
    </row>
    <row r="450" spans="1:40" x14ac:dyDescent="0.3">
      <c r="A450" t="s">
        <v>3</v>
      </c>
      <c r="B450" s="13">
        <v>0</v>
      </c>
      <c r="C450" s="26">
        <v>56</v>
      </c>
      <c r="D450" s="3">
        <v>0</v>
      </c>
      <c r="E450" s="3">
        <v>0</v>
      </c>
      <c r="F450" s="3">
        <v>0</v>
      </c>
      <c r="G450" s="4">
        <v>0</v>
      </c>
      <c r="H450" s="1">
        <f>SUM(C450:G450)</f>
        <v>56</v>
      </c>
      <c r="I450" s="10">
        <f>C450/H450</f>
        <v>1</v>
      </c>
      <c r="J450" s="11">
        <f>1-I450</f>
        <v>0</v>
      </c>
      <c r="K450">
        <f>H450-C455</f>
        <v>0</v>
      </c>
      <c r="N450" s="10">
        <f>2*(C456*I450)/(C456+I450)</f>
        <v>1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91</v>
      </c>
      <c r="E451" s="1">
        <v>1</v>
      </c>
      <c r="F451" s="1">
        <v>0</v>
      </c>
      <c r="G451" s="6">
        <v>0</v>
      </c>
      <c r="H451" s="1">
        <f>SUM(C451:G451)</f>
        <v>92</v>
      </c>
      <c r="I451" s="10">
        <f>D451/H451</f>
        <v>0.98913043478260865</v>
      </c>
      <c r="J451" s="11">
        <f>1-I451</f>
        <v>1.0869565217391353E-2</v>
      </c>
      <c r="K451">
        <f>H451-D455</f>
        <v>-2</v>
      </c>
      <c r="N451" s="10">
        <f>2*(D456*I451)/(D456+I451)</f>
        <v>0.97849462365591389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3</v>
      </c>
      <c r="E452" s="27">
        <v>1657</v>
      </c>
      <c r="F452" s="1">
        <v>34</v>
      </c>
      <c r="G452" s="6">
        <v>114</v>
      </c>
      <c r="H452" s="1">
        <f>SUM(C452:G452)</f>
        <v>1808</v>
      </c>
      <c r="I452" s="10">
        <f>E452/H452</f>
        <v>0.91648230088495575</v>
      </c>
      <c r="J452" s="11">
        <f>1-I452</f>
        <v>8.3517699115044253E-2</v>
      </c>
      <c r="K452">
        <f>H452-E455</f>
        <v>105</v>
      </c>
      <c r="N452" s="10">
        <f>2*(E456*I452)/(E456+I452)</f>
        <v>0.94389062945029911</v>
      </c>
      <c r="O452" s="1"/>
      <c r="P452" s="1"/>
    </row>
    <row r="453" spans="1:40" x14ac:dyDescent="0.3">
      <c r="A453" t="s">
        <v>6</v>
      </c>
      <c r="B453" s="13">
        <v>3</v>
      </c>
      <c r="C453" s="5">
        <v>0</v>
      </c>
      <c r="D453" s="1">
        <v>0</v>
      </c>
      <c r="E453" s="1">
        <v>25</v>
      </c>
      <c r="F453" s="27">
        <v>537</v>
      </c>
      <c r="G453" s="6">
        <v>91</v>
      </c>
      <c r="H453" s="1">
        <f>SUM(C453:G453)</f>
        <v>653</v>
      </c>
      <c r="I453" s="10">
        <f>F453/H453</f>
        <v>0.8223583460949464</v>
      </c>
      <c r="J453" s="11">
        <f>1-I453</f>
        <v>0.1776416539050536</v>
      </c>
      <c r="K453">
        <f>H453-F455</f>
        <v>52</v>
      </c>
      <c r="N453" s="10">
        <f>2*(F456*I453)/(F456+I453)</f>
        <v>0.85645933014354059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0</v>
      </c>
      <c r="E454" s="8">
        <v>20</v>
      </c>
      <c r="F454" s="8">
        <v>30</v>
      </c>
      <c r="G454" s="28">
        <v>191</v>
      </c>
      <c r="H454" s="1">
        <f>SUM(C454:G454)</f>
        <v>241</v>
      </c>
      <c r="I454" s="10">
        <f>G454/H454</f>
        <v>0.79253112033195017</v>
      </c>
      <c r="J454" s="11">
        <f>1-I454</f>
        <v>0.20746887966804983</v>
      </c>
      <c r="K454">
        <f>H454-G455</f>
        <v>-155</v>
      </c>
      <c r="N454" s="10">
        <f>2*(G456*I454)/(G456+I454)</f>
        <v>0.59968602825745676</v>
      </c>
      <c r="O454" s="1"/>
      <c r="P454" s="1"/>
    </row>
    <row r="455" spans="1:40" ht="15.6" x14ac:dyDescent="0.35">
      <c r="B455" s="1" t="s">
        <v>19</v>
      </c>
      <c r="C455" s="1">
        <f>SUM(C450:C454)</f>
        <v>56</v>
      </c>
      <c r="D455" s="1">
        <f>SUM(D450:D454)</f>
        <v>94</v>
      </c>
      <c r="E455" s="1">
        <f>SUM(E450:E454)</f>
        <v>1703</v>
      </c>
      <c r="F455" s="1">
        <f>SUM(F450:F454)</f>
        <v>601</v>
      </c>
      <c r="G455" s="1">
        <f>SUM(G450:G454)</f>
        <v>396</v>
      </c>
      <c r="H455" s="1">
        <f>SUM(H449:H454)</f>
        <v>2850</v>
      </c>
      <c r="I455" s="13" t="s">
        <v>12</v>
      </c>
      <c r="N455" s="16" t="s">
        <v>36</v>
      </c>
      <c r="O455" s="1">
        <f>SUM(O450:O454)</f>
        <v>0</v>
      </c>
      <c r="P455" s="1">
        <f>SUM(P450:P454)</f>
        <v>0</v>
      </c>
      <c r="AM455" s="78"/>
      <c r="AN455" s="78"/>
    </row>
    <row r="456" spans="1:40" x14ac:dyDescent="0.3">
      <c r="A456" s="1" t="s">
        <v>57</v>
      </c>
      <c r="B456" s="1" t="s">
        <v>2</v>
      </c>
      <c r="C456" s="10">
        <f>C450/C455</f>
        <v>1</v>
      </c>
      <c r="D456" s="10">
        <f>D451/D455</f>
        <v>0.96808510638297873</v>
      </c>
      <c r="E456" s="10">
        <f>E452/E455</f>
        <v>0.97298884321785084</v>
      </c>
      <c r="F456" s="10">
        <f>F453/F455</f>
        <v>0.89351081530782028</v>
      </c>
      <c r="G456" s="10">
        <f>G454/G455</f>
        <v>0.48232323232323232</v>
      </c>
      <c r="H456" s="10"/>
      <c r="I456" s="14">
        <f>(C450+D451+E452+F453+G454)/H455</f>
        <v>0.888421052631579</v>
      </c>
    </row>
    <row r="457" spans="1:40" x14ac:dyDescent="0.3">
      <c r="B457" s="1" t="s">
        <v>14</v>
      </c>
      <c r="C457" s="11">
        <f>1-C456</f>
        <v>0</v>
      </c>
      <c r="D457" s="11">
        <f>1-D456</f>
        <v>3.1914893617021267E-2</v>
      </c>
      <c r="E457" s="11">
        <f>1-E456</f>
        <v>2.7011156782149159E-2</v>
      </c>
      <c r="F457" s="11">
        <f>1-F456</f>
        <v>0.10648918469217972</v>
      </c>
      <c r="G457" s="11">
        <f>1-G456</f>
        <v>0.51767676767676774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1.1300894941299084</v>
      </c>
      <c r="D461" s="31">
        <f>(D450/$L461)*$O461</f>
        <v>0</v>
      </c>
      <c r="E461" s="31">
        <f>(E450/$L461)*$O461</f>
        <v>0</v>
      </c>
      <c r="F461" s="31">
        <f>(F450/$L461)*$O461</f>
        <v>0</v>
      </c>
      <c r="G461" s="32">
        <f>(G450/$L461)*$O461</f>
        <v>0</v>
      </c>
      <c r="H461" s="17">
        <f>SUM(C461:G461)</f>
        <v>1.1300894941299084</v>
      </c>
      <c r="I461" s="17">
        <f>C461/H461*100</f>
        <v>100</v>
      </c>
      <c r="J461" s="17">
        <f>SQRT(I461*(100-I461)/(L461-1))</f>
        <v>0</v>
      </c>
      <c r="K461" s="18">
        <f>100-I461</f>
        <v>0</v>
      </c>
      <c r="L461" s="1">
        <f>H450</f>
        <v>56</v>
      </c>
      <c r="M461">
        <v>0</v>
      </c>
      <c r="N461" s="1">
        <v>2230.4</v>
      </c>
      <c r="O461" s="17">
        <f>N461/N466*100</f>
        <v>1.1300894941299084</v>
      </c>
      <c r="P461" s="52">
        <f>((O461*O461*(I461/100)*(K461/100))/(L461-1))</f>
        <v>0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66">(C451/$L462)*$O462</f>
        <v>0</v>
      </c>
      <c r="D462" s="34">
        <f t="shared" si="66"/>
        <v>4.1305544572074577</v>
      </c>
      <c r="E462" s="19">
        <f t="shared" si="66"/>
        <v>4.5390708320961072E-2</v>
      </c>
      <c r="F462" s="18">
        <f t="shared" si="66"/>
        <v>0</v>
      </c>
      <c r="G462" s="20">
        <f t="shared" si="66"/>
        <v>0</v>
      </c>
      <c r="H462" s="17">
        <f>SUM(C462:G462)</f>
        <v>4.175945165528419</v>
      </c>
      <c r="I462" s="17">
        <f>D462/H462*100</f>
        <v>98.91304347826086</v>
      </c>
      <c r="J462" s="17">
        <f>SQRT(I462*(100-I462)/(L462-1))</f>
        <v>1.086956521739135</v>
      </c>
      <c r="K462" s="18">
        <f>100-I462</f>
        <v>1.0869565217391397</v>
      </c>
      <c r="L462" s="1">
        <f>H451</f>
        <v>92</v>
      </c>
      <c r="M462">
        <v>1</v>
      </c>
      <c r="N462" s="1">
        <v>8241.85</v>
      </c>
      <c r="O462" s="17">
        <f>N462/N466*100</f>
        <v>4.175945165528419</v>
      </c>
      <c r="P462" s="52">
        <f>((O462*O462*(I462/100)*(K462/100))/(L462-1))</f>
        <v>2.0603164018785825E-3</v>
      </c>
    </row>
    <row r="463" spans="1:40" x14ac:dyDescent="0.3">
      <c r="A463" t="s">
        <v>5</v>
      </c>
      <c r="B463" s="13">
        <v>2</v>
      </c>
      <c r="C463" s="33">
        <f t="shared" si="66"/>
        <v>0</v>
      </c>
      <c r="D463" s="19">
        <f t="shared" si="66"/>
        <v>9.3872032199178321E-2</v>
      </c>
      <c r="E463" s="34">
        <f t="shared" si="66"/>
        <v>51.848652451346162</v>
      </c>
      <c r="F463" s="19">
        <f t="shared" si="66"/>
        <v>1.0638830315906878</v>
      </c>
      <c r="G463" s="20">
        <f t="shared" si="66"/>
        <v>3.5671372235687766</v>
      </c>
      <c r="H463" s="17">
        <f>SUM(C463:G463)</f>
        <v>56.573544738704804</v>
      </c>
      <c r="I463" s="17">
        <f>E463/H463*100</f>
        <v>91.648230088495581</v>
      </c>
      <c r="J463" s="17">
        <f>SQRT(I463*(100-I463)/(L463-1))</f>
        <v>0.6508369863389688</v>
      </c>
      <c r="K463" s="18">
        <f>100-I463</f>
        <v>8.3517699115044195</v>
      </c>
      <c r="L463" s="1">
        <f>H452</f>
        <v>1808</v>
      </c>
      <c r="M463">
        <v>2</v>
      </c>
      <c r="N463" s="1">
        <v>111656.32000000001</v>
      </c>
      <c r="O463" s="17">
        <f>N463/N466*100</f>
        <v>56.573544738704804</v>
      </c>
      <c r="P463" s="52">
        <f>((O463*O463*(I463/100)*(K463/100))/(L463-1))</f>
        <v>0.13557238410476155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66"/>
        <v>0</v>
      </c>
      <c r="D464" s="19">
        <f t="shared" si="66"/>
        <v>0</v>
      </c>
      <c r="E464" s="19">
        <f t="shared" si="66"/>
        <v>0.76697414223676785</v>
      </c>
      <c r="F464" s="34">
        <f t="shared" si="66"/>
        <v>16.474604575245774</v>
      </c>
      <c r="G464" s="20">
        <f t="shared" si="66"/>
        <v>2.7917858777418352</v>
      </c>
      <c r="H464" s="17">
        <f>SUM(C464:G464)</f>
        <v>20.033364595224377</v>
      </c>
      <c r="I464" s="17">
        <f>F464/H464*100</f>
        <v>82.235834609494646</v>
      </c>
      <c r="J464" s="17">
        <f>SQRT(I464*(100-I464)/(L464-1))</f>
        <v>1.4968530214541307</v>
      </c>
      <c r="K464" s="18">
        <f>100-I464</f>
        <v>17.764165390505354</v>
      </c>
      <c r="L464" s="1">
        <f>H453</f>
        <v>653</v>
      </c>
      <c r="M464">
        <v>3</v>
      </c>
      <c r="N464" s="1">
        <v>39538.83</v>
      </c>
      <c r="O464" s="17">
        <f>N464/N466*100</f>
        <v>20.033364595224377</v>
      </c>
      <c r="P464" s="52">
        <f>((O464*O464*(I464/100)*(K464/100))/(L464-1))</f>
        <v>8.9922030839480402E-2</v>
      </c>
    </row>
    <row r="465" spans="1:40" x14ac:dyDescent="0.3">
      <c r="A465" t="s">
        <v>7</v>
      </c>
      <c r="B465" s="13">
        <v>4</v>
      </c>
      <c r="C465" s="35">
        <f t="shared" si="66"/>
        <v>0</v>
      </c>
      <c r="D465" s="36">
        <f t="shared" si="66"/>
        <v>0</v>
      </c>
      <c r="E465" s="21">
        <f t="shared" si="66"/>
        <v>1.5010004984574676</v>
      </c>
      <c r="F465" s="21">
        <f t="shared" si="66"/>
        <v>2.2515007476862015</v>
      </c>
      <c r="G465" s="37">
        <f t="shared" si="66"/>
        <v>14.334554760268816</v>
      </c>
      <c r="H465" s="17">
        <f>SUM(C465:G465)</f>
        <v>18.087056006412485</v>
      </c>
      <c r="I465" s="17">
        <f>G465/H465*100</f>
        <v>79.253112033195023</v>
      </c>
      <c r="J465" s="17">
        <f>SQRT(I465*(100-I465)/(L465-1))</f>
        <v>2.617453785307823</v>
      </c>
      <c r="K465" s="18">
        <f>100-I465</f>
        <v>20.746887966804977</v>
      </c>
      <c r="L465" s="1">
        <f>H454</f>
        <v>241</v>
      </c>
      <c r="M465">
        <v>4</v>
      </c>
      <c r="N465" s="1">
        <v>35697.5</v>
      </c>
      <c r="O465" s="17">
        <f>N465/N466*100</f>
        <v>18.087056006412485</v>
      </c>
      <c r="P465" s="52">
        <f>((O465*O465*(I465/100)*(K465/100))/(L465-1))</f>
        <v>0.22412681083676414</v>
      </c>
      <c r="AM465" s="78"/>
      <c r="AN465" s="78"/>
    </row>
    <row r="466" spans="1:40" x14ac:dyDescent="0.3">
      <c r="B466" t="s">
        <v>28</v>
      </c>
      <c r="C466" s="17">
        <f t="shared" ref="C466:H466" si="67">SUM(C461:C465)</f>
        <v>1.1300894941299084</v>
      </c>
      <c r="D466" s="17">
        <f t="shared" si="67"/>
        <v>4.2244264894066363</v>
      </c>
      <c r="E466" s="17">
        <f t="shared" si="67"/>
        <v>54.162017800361355</v>
      </c>
      <c r="F466" s="17">
        <f t="shared" si="67"/>
        <v>19.789988354522663</v>
      </c>
      <c r="G466" s="17">
        <f t="shared" si="67"/>
        <v>20.693477861579428</v>
      </c>
      <c r="H466" s="18">
        <f t="shared" si="67"/>
        <v>99.999999999999986</v>
      </c>
      <c r="I466" s="13" t="s">
        <v>24</v>
      </c>
      <c r="J466" s="12" t="s">
        <v>29</v>
      </c>
      <c r="N466" s="1">
        <f>SUM(N461:N465)</f>
        <v>197364.90000000002</v>
      </c>
      <c r="O466" s="17">
        <f>SUM(O461:O465)</f>
        <v>99.999999999999986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0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7.0500831654445553E-2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0.51328941146900531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0.5199892840047402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0.63363271039099389</v>
      </c>
      <c r="H467" s="1"/>
      <c r="I467" s="14">
        <f>(C461+D462+E463+F464+G465)/H466</f>
        <v>0.87918455738198131</v>
      </c>
      <c r="J467" s="53">
        <f>SQRT(SUM(P461:P465))/100</f>
        <v>6.7207257211024819E-3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100</v>
      </c>
      <c r="D468" s="17">
        <f>D462/D466*100</f>
        <v>97.777875116667872</v>
      </c>
      <c r="E468" s="17">
        <f>E463/E466*100</f>
        <v>95.728805087096006</v>
      </c>
      <c r="F468" s="17">
        <f>F464/F466*100</f>
        <v>83.24716659815914</v>
      </c>
      <c r="G468" s="17">
        <f>G465/G466*100</f>
        <v>69.270882623761793</v>
      </c>
      <c r="H468" s="1"/>
    </row>
    <row r="469" spans="1:40" x14ac:dyDescent="0.3">
      <c r="B469" s="16" t="s">
        <v>39</v>
      </c>
      <c r="C469" s="18">
        <f>SQRT((C472+C473)/(C466*C466))</f>
        <v>0</v>
      </c>
      <c r="D469" s="18">
        <f>SQRT((D472+D473)/(D466*D466))</f>
        <v>1.2762740162363204</v>
      </c>
      <c r="E469" s="18">
        <f>SQRT((E472+E473)/(E466*E466))</f>
        <v>0.69684502885109678</v>
      </c>
      <c r="F469" s="18">
        <f>SQRT((F472+F473)/(F466*F466))</f>
        <v>3.1065971223835702</v>
      </c>
      <c r="G469" s="18">
        <f>SQRT((G472+G473)/(G466*G466))</f>
        <v>7.170952575838875</v>
      </c>
      <c r="H469" s="1"/>
      <c r="I469" s="14"/>
      <c r="AM469" s="78"/>
      <c r="AN469" s="78"/>
    </row>
    <row r="470" spans="1:40" x14ac:dyDescent="0.3">
      <c r="B470" s="1" t="s">
        <v>37</v>
      </c>
      <c r="C470" s="18">
        <f>100-C468</f>
        <v>0</v>
      </c>
      <c r="D470" s="18">
        <f>100-D468</f>
        <v>2.2221248833321283</v>
      </c>
      <c r="E470" s="18">
        <f>100-E468</f>
        <v>4.2711949129039937</v>
      </c>
      <c r="F470" s="18">
        <f>100-F468</f>
        <v>16.75283340184086</v>
      </c>
      <c r="G470" s="18">
        <f>100-G468</f>
        <v>30.729117376238207</v>
      </c>
    </row>
    <row r="471" spans="1:40" ht="15.6" x14ac:dyDescent="0.35">
      <c r="B471" s="1" t="s">
        <v>25</v>
      </c>
      <c r="C471" s="1">
        <f>C455</f>
        <v>56</v>
      </c>
      <c r="D471" s="1">
        <f>D455</f>
        <v>94</v>
      </c>
      <c r="E471" s="1">
        <f>E455</f>
        <v>1703</v>
      </c>
      <c r="F471" s="1">
        <f>F455</f>
        <v>601</v>
      </c>
      <c r="G471" s="1">
        <f>G455</f>
        <v>396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1.0173510675609909</v>
      </c>
      <c r="E472" s="18">
        <f>(O463*O463*(100-E468)*(100-E468)*(I463)*(100-I463))/((L463-1)*100)</f>
        <v>247.32613717290198</v>
      </c>
      <c r="F472" s="18">
        <f>(O464*O464*(100-F468)*(100-F468)*(I464)*(100-I464))/((L464-1)*100)</f>
        <v>2523.7285805109145</v>
      </c>
      <c r="G472" s="18">
        <f>(O465*O465*(100-G468)*(100-G468)*(I465)*(100-I465))/((L465-1)*100)</f>
        <v>21163.816342421185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28.051198973995035</v>
      </c>
      <c r="E473" s="18">
        <f>E468*E468*(SUM((H461*E461*(1-E450/H450))/(H450-1),(H462*E462*(1-E451/H451))/(H451-1), (H464*E464*(1-E453/H453))/(H453-1),(H465*E465*(1-E454/H454))/(H454-1)))</f>
        <v>1177.1726492681719</v>
      </c>
      <c r="F473" s="18">
        <f>F468*F468*(SUM((H461*F461*(1-F450/H450))/(H450-1),(H462*F462*(1-F451/H451))/(H451-1), (H463*F463*(1-F452/H452))/(H452-1),(H465*F465*(1-F454/H454))/(H454-1)))</f>
        <v>1256.0029064059106</v>
      </c>
      <c r="G473" s="18">
        <f>G468*G468*(SUM((H461*G461*(1-G450/H450))/(H450-1),(H462*G462*(1-G451/H451))/(H451-1), (H463*G463*(1-G452/H452))/(H452-1),(H464*G464*(1-G453/H453))/(H453-1)))</f>
        <v>856.35399997622676</v>
      </c>
      <c r="AM473" s="78"/>
      <c r="AN473" s="78"/>
    </row>
    <row r="474" spans="1:40" x14ac:dyDescent="0.3">
      <c r="A474" s="105" t="s">
        <v>390</v>
      </c>
      <c r="B474" s="69" t="s">
        <v>9</v>
      </c>
      <c r="C474" s="1">
        <v>273.33</v>
      </c>
      <c r="D474" s="1">
        <v>1696.87</v>
      </c>
      <c r="E474" s="1">
        <v>15224.03</v>
      </c>
      <c r="F474" s="1">
        <v>1665.16</v>
      </c>
      <c r="G474" s="1">
        <v>3231.28</v>
      </c>
      <c r="I474" t="s">
        <v>36</v>
      </c>
      <c r="J474" s="57">
        <f>SUM(C474:G474)</f>
        <v>22090.67</v>
      </c>
    </row>
    <row r="475" spans="1:40" x14ac:dyDescent="0.3">
      <c r="B475" t="s">
        <v>391</v>
      </c>
      <c r="C475" s="57">
        <f>(C474/$J474)*100</f>
        <v>1.2373096877550569</v>
      </c>
      <c r="D475" s="57">
        <f>(D474/$J474)*100</f>
        <v>7.6813876627553626</v>
      </c>
      <c r="E475" s="57">
        <f>(E474/$J474)*100</f>
        <v>68.916108022074482</v>
      </c>
      <c r="F475" s="57">
        <f>(F474/$J474)*100</f>
        <v>7.5378428992873472</v>
      </c>
      <c r="G475" s="57">
        <f>(G474/$J474)*100</f>
        <v>14.62735172812776</v>
      </c>
      <c r="AM475" s="78"/>
      <c r="AN475" s="78"/>
    </row>
    <row r="476" spans="1:40" x14ac:dyDescent="0.3">
      <c r="A476" s="361">
        <v>1988</v>
      </c>
      <c r="B476" s="361"/>
      <c r="C476" s="361"/>
      <c r="D476" s="361"/>
      <c r="E476" s="361"/>
      <c r="F476" s="361"/>
      <c r="G476" s="361"/>
      <c r="H476" s="361"/>
      <c r="I476" s="361"/>
      <c r="J476" s="361"/>
      <c r="K476" s="361"/>
      <c r="L476" s="361" t="s">
        <v>94</v>
      </c>
      <c r="M476" s="361"/>
      <c r="N476" s="361"/>
      <c r="O476" s="361"/>
      <c r="P476" s="361"/>
    </row>
    <row r="477" spans="1:40" x14ac:dyDescent="0.3">
      <c r="A477" t="s">
        <v>15</v>
      </c>
      <c r="B477" t="s">
        <v>21</v>
      </c>
      <c r="I477" s="1" t="s">
        <v>58</v>
      </c>
      <c r="O477" s="360" t="s">
        <v>411</v>
      </c>
      <c r="P477" s="360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56</v>
      </c>
      <c r="O478" s="13" t="s">
        <v>412</v>
      </c>
      <c r="P478" s="13" t="s">
        <v>41</v>
      </c>
    </row>
    <row r="479" spans="1:40" x14ac:dyDescent="0.3">
      <c r="A479" t="s">
        <v>3</v>
      </c>
      <c r="B479" s="13">
        <v>0</v>
      </c>
      <c r="C479" s="26">
        <v>56</v>
      </c>
      <c r="D479" s="3">
        <v>0</v>
      </c>
      <c r="E479" s="3">
        <v>0</v>
      </c>
      <c r="F479" s="3">
        <v>0</v>
      </c>
      <c r="G479" s="4">
        <v>0</v>
      </c>
      <c r="H479" s="1">
        <f>SUM(C479:G479)</f>
        <v>56</v>
      </c>
      <c r="I479" s="10">
        <f>C479/H479</f>
        <v>1</v>
      </c>
      <c r="J479" s="11">
        <f>1-I479</f>
        <v>0</v>
      </c>
      <c r="K479">
        <f>H479-C484</f>
        <v>0</v>
      </c>
      <c r="N479" s="10">
        <f>2*(C485*I479)/(C485+I479)</f>
        <v>1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89</v>
      </c>
      <c r="E480" s="1">
        <v>3</v>
      </c>
      <c r="F480" s="1">
        <v>0</v>
      </c>
      <c r="G480" s="6">
        <v>0</v>
      </c>
      <c r="H480" s="1">
        <f>SUM(C480:G480)</f>
        <v>92</v>
      </c>
      <c r="I480" s="10">
        <f>D480/H480</f>
        <v>0.96739130434782605</v>
      </c>
      <c r="J480" s="11">
        <f>1-I480</f>
        <v>3.2608695652173947E-2</v>
      </c>
      <c r="K480">
        <f>H480-D484</f>
        <v>-4</v>
      </c>
      <c r="N480" s="10">
        <f>2*(D485*I480)/(D485+I480)</f>
        <v>0.94680851063829785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7</v>
      </c>
      <c r="E481" s="27">
        <v>1650</v>
      </c>
      <c r="F481" s="1">
        <v>34</v>
      </c>
      <c r="G481" s="6">
        <v>117</v>
      </c>
      <c r="H481" s="1">
        <f>SUM(C481:G481)</f>
        <v>1808</v>
      </c>
      <c r="I481" s="10">
        <f>E481/H481</f>
        <v>0.91261061946902655</v>
      </c>
      <c r="J481" s="11">
        <f>1-I481</f>
        <v>8.7389380530973448E-2</v>
      </c>
      <c r="K481">
        <f>H481-E484</f>
        <v>126</v>
      </c>
      <c r="N481" s="10">
        <f>2*(E485*I481)/(E485+I481)</f>
        <v>0.94555873925501444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0</v>
      </c>
      <c r="E482" s="1">
        <v>16</v>
      </c>
      <c r="F482" s="27">
        <v>541</v>
      </c>
      <c r="G482" s="6">
        <v>96</v>
      </c>
      <c r="H482" s="1">
        <f>SUM(C482:G482)</f>
        <v>653</v>
      </c>
      <c r="I482" s="10">
        <f>F482/H482</f>
        <v>0.82848392036753449</v>
      </c>
      <c r="J482" s="11">
        <f>1-I482</f>
        <v>0.17151607963246551</v>
      </c>
      <c r="K482">
        <f>H482-F484</f>
        <v>43</v>
      </c>
      <c r="N482" s="10">
        <f>2*(F485*I482)/(F485+I482)</f>
        <v>0.85669041963578774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0</v>
      </c>
      <c r="E483" s="8">
        <v>13</v>
      </c>
      <c r="F483" s="8">
        <v>35</v>
      </c>
      <c r="G483" s="28">
        <v>193</v>
      </c>
      <c r="H483" s="1">
        <f>SUM(C483:G483)</f>
        <v>241</v>
      </c>
      <c r="I483" s="10">
        <f>G483/H483</f>
        <v>0.80082987551867224</v>
      </c>
      <c r="J483" s="11">
        <f>1-I483</f>
        <v>0.19917012448132776</v>
      </c>
      <c r="K483">
        <f>H483-G484</f>
        <v>-165</v>
      </c>
      <c r="N483" s="10">
        <f>2*(G485*I483)/(G485+I483)</f>
        <v>0.59659969088098919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56</v>
      </c>
      <c r="D484" s="1">
        <f>SUM(D479:D483)</f>
        <v>96</v>
      </c>
      <c r="E484" s="1">
        <f>SUM(E479:E483)</f>
        <v>1682</v>
      </c>
      <c r="F484" s="1">
        <f>SUM(F479:F483)</f>
        <v>610</v>
      </c>
      <c r="G484" s="1">
        <f>SUM(G479:G483)</f>
        <v>406</v>
      </c>
      <c r="H484" s="1">
        <f>SUM(H478:H483)</f>
        <v>2850</v>
      </c>
      <c r="I484" s="13" t="s">
        <v>12</v>
      </c>
      <c r="N484" s="16" t="s">
        <v>36</v>
      </c>
      <c r="O484" s="1">
        <f>SUM(O479:O483)</f>
        <v>0</v>
      </c>
      <c r="P484" s="1">
        <f>SUM(P479:P483)</f>
        <v>0</v>
      </c>
    </row>
    <row r="485" spans="1:40" x14ac:dyDescent="0.3">
      <c r="A485" s="1" t="s">
        <v>57</v>
      </c>
      <c r="B485" s="1" t="s">
        <v>2</v>
      </c>
      <c r="C485" s="10">
        <f>C479/C484</f>
        <v>1</v>
      </c>
      <c r="D485" s="10">
        <f>D480/D484</f>
        <v>0.92708333333333337</v>
      </c>
      <c r="E485" s="10">
        <f>E481/E484</f>
        <v>0.98097502972651607</v>
      </c>
      <c r="F485" s="10">
        <f>F482/F484</f>
        <v>0.88688524590163931</v>
      </c>
      <c r="G485" s="10">
        <f>G483/G484</f>
        <v>0.47536945812807879</v>
      </c>
      <c r="H485" s="10"/>
      <c r="I485" s="14">
        <f>(C479+D480+E481+F482+G483)/H484</f>
        <v>0.88736842105263158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7.291666666666663E-2</v>
      </c>
      <c r="E486" s="11">
        <f>1-E485</f>
        <v>1.9024970273483932E-2</v>
      </c>
      <c r="F486" s="11">
        <f>1-F485</f>
        <v>0.11311475409836069</v>
      </c>
      <c r="G486" s="11">
        <f>1-G485</f>
        <v>0.52463054187192126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1.1056323138325159</v>
      </c>
      <c r="D490" s="31">
        <f>(D479/$L490)*$O490</f>
        <v>0</v>
      </c>
      <c r="E490" s="31">
        <f>(E479/$L490)*$O490</f>
        <v>0</v>
      </c>
      <c r="F490" s="31">
        <f>(F479/$L490)*$O490</f>
        <v>0</v>
      </c>
      <c r="G490" s="32">
        <f>(G479/$L490)*$O490</f>
        <v>0</v>
      </c>
      <c r="H490" s="17">
        <f>SUM(C490:G490)</f>
        <v>1.1056323138325159</v>
      </c>
      <c r="I490" s="17">
        <f>C490/H490*100</f>
        <v>100</v>
      </c>
      <c r="J490" s="17">
        <f>SQRT(I490*(100-I490)/(L490-1))</f>
        <v>0</v>
      </c>
      <c r="K490" s="18">
        <f>100-I490</f>
        <v>0</v>
      </c>
      <c r="L490" s="1">
        <f>H479</f>
        <v>56</v>
      </c>
      <c r="M490">
        <v>0</v>
      </c>
      <c r="N490" s="1">
        <v>2182.13</v>
      </c>
      <c r="O490" s="17">
        <f>N490/N495*100</f>
        <v>1.1056323138325159</v>
      </c>
      <c r="P490" s="52">
        <f>((O490*O490*(I490/100)*(K490/100))/(L490-1))</f>
        <v>0</v>
      </c>
    </row>
    <row r="491" spans="1:40" x14ac:dyDescent="0.3">
      <c r="A491" t="s">
        <v>4</v>
      </c>
      <c r="B491" s="13">
        <v>1</v>
      </c>
      <c r="C491" s="33">
        <f t="shared" ref="C491:G494" si="68">(C480/$L491)*$O491</f>
        <v>0</v>
      </c>
      <c r="D491" s="34">
        <f t="shared" si="68"/>
        <v>4.2646704659136905</v>
      </c>
      <c r="E491" s="19">
        <f t="shared" si="68"/>
        <v>0.14375293705327047</v>
      </c>
      <c r="F491" s="18">
        <f t="shared" si="68"/>
        <v>0</v>
      </c>
      <c r="G491" s="20">
        <f t="shared" si="68"/>
        <v>0</v>
      </c>
      <c r="H491" s="17">
        <f>SUM(C491:G491)</f>
        <v>4.4084234029669611</v>
      </c>
      <c r="I491" s="17">
        <f>D491/H491*100</f>
        <v>96.739130434782609</v>
      </c>
      <c r="J491" s="17">
        <f>SQRT(I491*(100-I491)/(L491-1))</f>
        <v>1.8618603664560827</v>
      </c>
      <c r="K491" s="18">
        <f>100-I491</f>
        <v>3.2608695652173907</v>
      </c>
      <c r="L491" s="1">
        <f>H480</f>
        <v>92</v>
      </c>
      <c r="M491">
        <v>1</v>
      </c>
      <c r="N491" s="1">
        <v>8700.68</v>
      </c>
      <c r="O491" s="17">
        <f>N491/N495*100</f>
        <v>4.4084234029669611</v>
      </c>
      <c r="P491" s="52">
        <f>((O491*O491*(I491/100)*(K491/100))/(L491-1))</f>
        <v>6.7369110443893645E-3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68"/>
        <v>0</v>
      </c>
      <c r="D492" s="19">
        <f t="shared" si="68"/>
        <v>0.21696538888258932</v>
      </c>
      <c r="E492" s="34">
        <f t="shared" si="68"/>
        <v>51.141841665181772</v>
      </c>
      <c r="F492" s="19">
        <f t="shared" si="68"/>
        <v>1.0538318888582912</v>
      </c>
      <c r="G492" s="20">
        <f t="shared" si="68"/>
        <v>3.6264214998947075</v>
      </c>
      <c r="H492" s="17">
        <f>SUM(C492:G492)</f>
        <v>56.039060442817359</v>
      </c>
      <c r="I492" s="17">
        <f>E492/H492*100</f>
        <v>91.261061946902657</v>
      </c>
      <c r="J492" s="17">
        <f>SQRT(I492*(100-I492)/(L492-1))</f>
        <v>0.66434399406761713</v>
      </c>
      <c r="K492" s="18">
        <f>100-I492</f>
        <v>8.7389380530973426</v>
      </c>
      <c r="L492" s="1">
        <f>H481</f>
        <v>1808</v>
      </c>
      <c r="M492">
        <v>2</v>
      </c>
      <c r="N492" s="1">
        <v>110601.43</v>
      </c>
      <c r="O492" s="17">
        <f>N492/N495*100</f>
        <v>56.039060442817359</v>
      </c>
      <c r="P492" s="52">
        <f>((O492*O492*(I492/100)*(K492/100))/(L492-1))</f>
        <v>0.13860143183486121</v>
      </c>
    </row>
    <row r="493" spans="1:40" x14ac:dyDescent="0.3">
      <c r="A493" t="s">
        <v>6</v>
      </c>
      <c r="B493" s="13">
        <v>3</v>
      </c>
      <c r="C493" s="33">
        <f t="shared" si="68"/>
        <v>0</v>
      </c>
      <c r="D493" s="19">
        <f t="shared" si="68"/>
        <v>0</v>
      </c>
      <c r="E493" s="19">
        <f t="shared" si="68"/>
        <v>0.49698467740047386</v>
      </c>
      <c r="F493" s="34">
        <f t="shared" si="68"/>
        <v>16.804294404603521</v>
      </c>
      <c r="G493" s="20">
        <f t="shared" si="68"/>
        <v>2.9819080644028433</v>
      </c>
      <c r="H493" s="17">
        <f>SUM(C493:G493)</f>
        <v>20.283187146406839</v>
      </c>
      <c r="I493" s="17">
        <f>F493/H493*100</f>
        <v>82.848392036753438</v>
      </c>
      <c r="J493" s="17">
        <f>SQRT(I493*(100-I493)/(L493-1))</f>
        <v>1.4762865557827509</v>
      </c>
      <c r="K493" s="18">
        <f>100-I493</f>
        <v>17.151607963246562</v>
      </c>
      <c r="L493" s="1">
        <f>H482</f>
        <v>653</v>
      </c>
      <c r="M493">
        <v>3</v>
      </c>
      <c r="N493" s="1">
        <v>40031.89</v>
      </c>
      <c r="O493" s="17">
        <f>N493/N495*100</f>
        <v>20.283187146406839</v>
      </c>
      <c r="P493" s="52">
        <f>((O493*O493*(I493/100)*(K493/100))/(L493-1))</f>
        <v>8.9663094839419172E-2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68"/>
        <v>0</v>
      </c>
      <c r="D494" s="36">
        <f t="shared" si="68"/>
        <v>0</v>
      </c>
      <c r="E494" s="21">
        <f t="shared" si="68"/>
        <v>0.97978446896967708</v>
      </c>
      <c r="F494" s="21">
        <f t="shared" si="68"/>
        <v>2.6378812626106689</v>
      </c>
      <c r="G494" s="37">
        <f t="shared" si="68"/>
        <v>14.546030962395974</v>
      </c>
      <c r="H494" s="17">
        <f>SUM(C494:G494)</f>
        <v>18.16369669397632</v>
      </c>
      <c r="I494" s="17">
        <f>G494/H494*100</f>
        <v>80.08298755186722</v>
      </c>
      <c r="J494" s="17">
        <f>SQRT(I494*(100-I494)/(L494-1))</f>
        <v>2.5779625837359448</v>
      </c>
      <c r="K494" s="18">
        <f>100-I494</f>
        <v>19.91701244813278</v>
      </c>
      <c r="L494" s="1">
        <f>H483</f>
        <v>241</v>
      </c>
      <c r="M494">
        <v>4</v>
      </c>
      <c r="N494" s="1">
        <v>35848.76</v>
      </c>
      <c r="O494" s="17">
        <f>N494/N495*100</f>
        <v>18.16369669397632</v>
      </c>
      <c r="P494" s="52">
        <f>((O494*O494*(I494/100)*(K494/100))/(L494-1))</f>
        <v>0.2192611572631942</v>
      </c>
    </row>
    <row r="495" spans="1:40" x14ac:dyDescent="0.3">
      <c r="B495" t="s">
        <v>28</v>
      </c>
      <c r="C495" s="17">
        <f t="shared" ref="C495:H495" si="69">SUM(C490:C494)</f>
        <v>1.1056323138325159</v>
      </c>
      <c r="D495" s="17">
        <f t="shared" si="69"/>
        <v>4.4816358547962798</v>
      </c>
      <c r="E495" s="17">
        <f t="shared" si="69"/>
        <v>52.762363748605196</v>
      </c>
      <c r="F495" s="17">
        <f t="shared" si="69"/>
        <v>20.496007556072481</v>
      </c>
      <c r="G495" s="17">
        <f t="shared" si="69"/>
        <v>21.154360526693523</v>
      </c>
      <c r="H495" s="18">
        <f t="shared" si="69"/>
        <v>99.999999999999986</v>
      </c>
      <c r="I495" s="13" t="s">
        <v>24</v>
      </c>
      <c r="J495" s="12" t="s">
        <v>29</v>
      </c>
      <c r="N495" s="1">
        <f>SUM(N490:N494)</f>
        <v>197364.89</v>
      </c>
      <c r="O495" s="17">
        <f>SUM(O490:O494)</f>
        <v>99.999999999999986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0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0.11559628687347208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0.47969619871860436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0.53992031158610931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0.63441674408823234</v>
      </c>
      <c r="H496" s="1"/>
      <c r="I496" s="14">
        <f>(C490+D491+E492+F493+G494)/H495</f>
        <v>0.87862469811927479</v>
      </c>
      <c r="J496" s="53">
        <f>SQRT(SUM(P490:P494))/100</f>
        <v>6.739900555511661E-3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95.158790318709379</v>
      </c>
      <c r="E497" s="17">
        <f>E492/E495*100</f>
        <v>96.928640098186918</v>
      </c>
      <c r="F497" s="17">
        <f>F493/F495*100</f>
        <v>81.988135292352609</v>
      </c>
      <c r="G497" s="17">
        <f>G494/G495*100</f>
        <v>68.761383470046937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1.9513877106786999</v>
      </c>
      <c r="E498" s="18">
        <f>SQRT((E501+E502)/(E495*E495))</f>
        <v>0.59779194222491472</v>
      </c>
      <c r="F498" s="18">
        <f>SQRT((F501+F502)/(F495*F495))</f>
        <v>3.1887793817017549</v>
      </c>
      <c r="G498" s="18">
        <f>SQRT((G501+G502)/(G495*G495))</f>
        <v>7.0540977842835826</v>
      </c>
      <c r="H498" s="1"/>
      <c r="I498" s="14"/>
    </row>
    <row r="499" spans="1:40" x14ac:dyDescent="0.3">
      <c r="B499" s="1" t="s">
        <v>37</v>
      </c>
      <c r="C499" s="18">
        <f>100-C497</f>
        <v>0</v>
      </c>
      <c r="D499" s="18">
        <f>100-D497</f>
        <v>4.8412096812906213</v>
      </c>
      <c r="E499" s="18">
        <f>100-E497</f>
        <v>3.0713599018130822</v>
      </c>
      <c r="F499" s="18">
        <f>100-F497</f>
        <v>18.011864707647391</v>
      </c>
      <c r="G499" s="18">
        <f>100-G497</f>
        <v>31.238616529953063</v>
      </c>
      <c r="AM499" s="78"/>
      <c r="AN499" s="78"/>
    </row>
    <row r="500" spans="1:40" ht="15.6" x14ac:dyDescent="0.35">
      <c r="B500" s="1" t="s">
        <v>25</v>
      </c>
      <c r="C500" s="1">
        <f>C484</f>
        <v>56</v>
      </c>
      <c r="D500" s="1">
        <f>D484</f>
        <v>96</v>
      </c>
      <c r="E500" s="1">
        <f>E484</f>
        <v>1682</v>
      </c>
      <c r="F500" s="1">
        <f>F484</f>
        <v>610</v>
      </c>
      <c r="G500" s="1">
        <f>G484</f>
        <v>406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15.789508052735441</v>
      </c>
      <c r="E501" s="18">
        <f>(O492*O492*(100-E497)*(100-E497)*(I492)*(100-I492))/((L492-1)*100)</f>
        <v>130.74621850586479</v>
      </c>
      <c r="F501" s="18">
        <f>(O493*O493*(100-F497)*(100-F497)*(I493)*(100-I493))/((L493-1)*100)</f>
        <v>2908.9153100614199</v>
      </c>
      <c r="G501" s="18">
        <f>(O494*O494*(100-G497)*(100-G497)*(I494)*(100-I494))/((L494-1)*100)</f>
        <v>21396.625525143198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60.69267281210827</v>
      </c>
      <c r="E502" s="18">
        <f>E497*E497*(SUM((H490*E490*(1-E479/H479))/(H479-1),(H491*E491*(1-E480/H480))/(H480-1), (H493*E493*(1-E482/H482))/(H482-1),(H494*E494*(1-E483/H483))/(H483-1)))</f>
        <v>864.0831574094799</v>
      </c>
      <c r="F502" s="18">
        <f>F497*F497*(SUM((H490*F490*(1-F479/H479))/(H479-1),(H491*F491*(1-F480/H480))/(H480-1), (H492*F492*(1-F481/H481))/(H481-1),(H494*F494*(1-F483/H483))/(H483-1)))</f>
        <v>1362.6543341198267</v>
      </c>
      <c r="G502" s="18">
        <f>G497*G497*(SUM((H490*G490*(1-G479/H479))/(H479-1),(H491*G491*(1-G480/H480))/(H480-1), (H492*G492*(1-G481/H481))/(H481-1),(H493*G493*(1-G482/H482))/(H482-1)))</f>
        <v>871.45352768259636</v>
      </c>
    </row>
    <row r="503" spans="1:40" x14ac:dyDescent="0.3">
      <c r="A503" s="105" t="s">
        <v>390</v>
      </c>
      <c r="B503" s="69" t="s">
        <v>9</v>
      </c>
      <c r="C503" s="1">
        <v>258.20999999999998</v>
      </c>
      <c r="D503" s="1">
        <v>1803.46</v>
      </c>
      <c r="E503" s="1">
        <v>15087.55</v>
      </c>
      <c r="F503" s="1">
        <v>1725.65</v>
      </c>
      <c r="G503" s="1">
        <v>3215.79</v>
      </c>
      <c r="I503" t="s">
        <v>36</v>
      </c>
      <c r="J503" s="57">
        <f>SUM(C503:G503)</f>
        <v>22090.660000000003</v>
      </c>
      <c r="AM503" s="78"/>
      <c r="AN503" s="78"/>
    </row>
    <row r="504" spans="1:40" x14ac:dyDescent="0.3">
      <c r="B504" t="s">
        <v>391</v>
      </c>
      <c r="C504" s="57">
        <f>(C503/$J503)*100</f>
        <v>1.1688650316468585</v>
      </c>
      <c r="D504" s="57">
        <f>(D503/$J503)*100</f>
        <v>8.1639027534713744</v>
      </c>
      <c r="E504" s="57">
        <f>(E503/$J503)*100</f>
        <v>68.298321553090744</v>
      </c>
      <c r="F504" s="57">
        <f>(F503/$J503)*100</f>
        <v>7.8116724443724168</v>
      </c>
      <c r="G504" s="57">
        <f>(G503/$J503)*100</f>
        <v>14.557238217418581</v>
      </c>
    </row>
    <row r="505" spans="1:40" x14ac:dyDescent="0.3">
      <c r="A505" s="361">
        <v>1988</v>
      </c>
      <c r="B505" s="361"/>
      <c r="C505" s="361"/>
      <c r="D505" s="361"/>
      <c r="E505" s="361"/>
      <c r="F505" s="361"/>
      <c r="G505" s="361"/>
      <c r="H505" s="361"/>
      <c r="I505" s="361"/>
      <c r="J505" s="361"/>
      <c r="K505" s="361"/>
      <c r="L505" s="361" t="s">
        <v>95</v>
      </c>
      <c r="M505" s="361"/>
      <c r="N505" s="361"/>
      <c r="O505" s="361"/>
      <c r="P505" s="361"/>
      <c r="AM505" s="78"/>
      <c r="AN505" s="78"/>
    </row>
    <row r="506" spans="1:40" x14ac:dyDescent="0.3">
      <c r="A506" t="s">
        <v>15</v>
      </c>
      <c r="B506" t="s">
        <v>21</v>
      </c>
      <c r="I506" s="1" t="s">
        <v>58</v>
      </c>
      <c r="O506" s="360" t="s">
        <v>411</v>
      </c>
      <c r="P506" s="360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56</v>
      </c>
      <c r="O507" s="13" t="s">
        <v>412</v>
      </c>
      <c r="P507" s="13" t="s">
        <v>41</v>
      </c>
      <c r="AM507" s="78"/>
      <c r="AN507" s="78"/>
    </row>
    <row r="508" spans="1:40" x14ac:dyDescent="0.3">
      <c r="A508" t="s">
        <v>3</v>
      </c>
      <c r="B508" s="13">
        <v>0</v>
      </c>
      <c r="C508" s="26">
        <v>56</v>
      </c>
      <c r="D508" s="3">
        <v>0</v>
      </c>
      <c r="E508" s="3">
        <v>0</v>
      </c>
      <c r="F508" s="3">
        <v>0</v>
      </c>
      <c r="G508" s="4">
        <v>0</v>
      </c>
      <c r="H508" s="1">
        <f>SUM(C508:G508)</f>
        <v>56</v>
      </c>
      <c r="I508" s="10">
        <f>C508/H508</f>
        <v>1</v>
      </c>
      <c r="J508" s="11">
        <f>1-I508</f>
        <v>0</v>
      </c>
      <c r="K508">
        <f>H508-C513</f>
        <v>0</v>
      </c>
      <c r="N508" s="10">
        <f>2*(C514*I508)/(C514+I508)</f>
        <v>1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91</v>
      </c>
      <c r="E509" s="1">
        <v>1</v>
      </c>
      <c r="F509" s="1">
        <v>0</v>
      </c>
      <c r="G509" s="6">
        <v>0</v>
      </c>
      <c r="H509" s="1">
        <f>SUM(C509:G509)</f>
        <v>92</v>
      </c>
      <c r="I509" s="10">
        <f>D509/H509</f>
        <v>0.98913043478260865</v>
      </c>
      <c r="J509" s="11">
        <f>1-I509</f>
        <v>1.0869565217391353E-2</v>
      </c>
      <c r="K509">
        <f>H509-D513</f>
        <v>-8</v>
      </c>
      <c r="N509" s="10">
        <f>2*(D514*I509)/(D514+I509)</f>
        <v>0.94791666666666674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9</v>
      </c>
      <c r="E510" s="27">
        <v>1651</v>
      </c>
      <c r="F510" s="1">
        <v>30</v>
      </c>
      <c r="G510" s="6">
        <v>118</v>
      </c>
      <c r="H510" s="1">
        <f>SUM(C510:G510)</f>
        <v>1808</v>
      </c>
      <c r="I510" s="10">
        <f>E510/H510</f>
        <v>0.91316371681415931</v>
      </c>
      <c r="J510" s="11">
        <f>1-I510</f>
        <v>8.683628318584069E-2</v>
      </c>
      <c r="K510">
        <f>H510-E513</f>
        <v>126</v>
      </c>
      <c r="N510" s="10">
        <f>2*(E514*I510)/(E514+I510)</f>
        <v>0.9461318051575931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0</v>
      </c>
      <c r="E511" s="1">
        <v>15</v>
      </c>
      <c r="F511" s="27">
        <v>540</v>
      </c>
      <c r="G511" s="6">
        <v>98</v>
      </c>
      <c r="H511" s="1">
        <f>SUM(C511:G511)</f>
        <v>653</v>
      </c>
      <c r="I511" s="10">
        <f>F511/H511</f>
        <v>0.82695252679938747</v>
      </c>
      <c r="J511" s="11">
        <f>1-I511</f>
        <v>0.17304747320061253</v>
      </c>
      <c r="K511">
        <f>H511-F513</f>
        <v>56</v>
      </c>
      <c r="N511" s="10">
        <f>2*(F514*I511)/(F514+I511)</f>
        <v>0.8640000000000001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0</v>
      </c>
      <c r="E512" s="8">
        <v>15</v>
      </c>
      <c r="F512" s="8">
        <v>27</v>
      </c>
      <c r="G512" s="28">
        <v>199</v>
      </c>
      <c r="H512" s="1">
        <f>SUM(C512:G512)</f>
        <v>241</v>
      </c>
      <c r="I512" s="10">
        <f>G512/H512</f>
        <v>0.82572614107883813</v>
      </c>
      <c r="J512" s="11">
        <f>1-I512</f>
        <v>0.17427385892116187</v>
      </c>
      <c r="K512">
        <f>H512-G513</f>
        <v>-174</v>
      </c>
      <c r="N512" s="10">
        <f>2*(G514*I512)/(G514+I512)</f>
        <v>0.60670731707317072</v>
      </c>
      <c r="O512" s="1"/>
      <c r="P512" s="1"/>
    </row>
    <row r="513" spans="1:40" ht="15.6" x14ac:dyDescent="0.35">
      <c r="B513" s="1" t="s">
        <v>19</v>
      </c>
      <c r="C513" s="1">
        <f>SUM(C508:C512)</f>
        <v>56</v>
      </c>
      <c r="D513" s="1">
        <f>SUM(D508:D512)</f>
        <v>100</v>
      </c>
      <c r="E513" s="1">
        <f>SUM(E508:E512)</f>
        <v>1682</v>
      </c>
      <c r="F513" s="1">
        <f>SUM(F508:F512)</f>
        <v>597</v>
      </c>
      <c r="G513" s="1">
        <f>SUM(G508:G512)</f>
        <v>415</v>
      </c>
      <c r="H513" s="1">
        <f>SUM(H507:H512)</f>
        <v>2850</v>
      </c>
      <c r="I513" s="13" t="s">
        <v>12</v>
      </c>
      <c r="N513" s="16" t="s">
        <v>36</v>
      </c>
      <c r="O513" s="1">
        <f>SUM(O508:O512)</f>
        <v>0</v>
      </c>
      <c r="P513" s="1">
        <f>SUM(P508:P512)</f>
        <v>0</v>
      </c>
      <c r="AM513" s="78"/>
      <c r="AN513" s="78"/>
    </row>
    <row r="514" spans="1:40" x14ac:dyDescent="0.3">
      <c r="A514" s="1" t="s">
        <v>57</v>
      </c>
      <c r="B514" s="1" t="s">
        <v>2</v>
      </c>
      <c r="C514" s="10">
        <f>C508/C513</f>
        <v>1</v>
      </c>
      <c r="D514" s="10">
        <f>D509/D513</f>
        <v>0.91</v>
      </c>
      <c r="E514" s="10">
        <f>E510/E513</f>
        <v>0.98156956004756246</v>
      </c>
      <c r="F514" s="10">
        <f>F511/F513</f>
        <v>0.90452261306532666</v>
      </c>
      <c r="G514" s="10">
        <f>G512/G513</f>
        <v>0.4795180722891566</v>
      </c>
      <c r="H514" s="10"/>
      <c r="I514" s="14">
        <f>(C508+D509+E510+F511+G512)/H513</f>
        <v>0.89017543859649118</v>
      </c>
    </row>
    <row r="515" spans="1:40" x14ac:dyDescent="0.3">
      <c r="B515" s="1" t="s">
        <v>14</v>
      </c>
      <c r="C515" s="11">
        <f>1-C514</f>
        <v>0</v>
      </c>
      <c r="D515" s="11">
        <f>1-D514</f>
        <v>8.9999999999999969E-2</v>
      </c>
      <c r="E515" s="11">
        <f>1-E514</f>
        <v>1.8430439952437538E-2</v>
      </c>
      <c r="F515" s="11">
        <f>1-F514</f>
        <v>9.5477386934673336E-2</v>
      </c>
      <c r="G515" s="11">
        <f>1-G514</f>
        <v>0.52048192771084345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1.1257068063119029</v>
      </c>
      <c r="D519" s="31">
        <f>(D508/$L519)*$O519</f>
        <v>0</v>
      </c>
      <c r="E519" s="31">
        <f>(E508/$L519)*$O519</f>
        <v>0</v>
      </c>
      <c r="F519" s="31">
        <f>(F508/$L519)*$O519</f>
        <v>0</v>
      </c>
      <c r="G519" s="32">
        <f>(G508/$L519)*$O519</f>
        <v>0</v>
      </c>
      <c r="H519" s="17">
        <f>SUM(C519:G519)</f>
        <v>1.1257068063119029</v>
      </c>
      <c r="I519" s="17">
        <f>C519/H519*100</f>
        <v>100</v>
      </c>
      <c r="J519" s="17">
        <f>SQRT(I519*(100-I519)/(L519-1))</f>
        <v>0</v>
      </c>
      <c r="K519" s="18">
        <f>100-I519</f>
        <v>0</v>
      </c>
      <c r="L519" s="1">
        <f>H508</f>
        <v>56</v>
      </c>
      <c r="M519">
        <v>0</v>
      </c>
      <c r="N519" s="1">
        <v>2221.75</v>
      </c>
      <c r="O519" s="17">
        <f>N519/N524*100</f>
        <v>1.1257068063119029</v>
      </c>
      <c r="P519" s="52">
        <f>((O519*O519*(I519/100)*(K519/100))/(L519-1))</f>
        <v>0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70">(C509/$L520)*$O520</f>
        <v>0</v>
      </c>
      <c r="D520" s="34">
        <f t="shared" si="70"/>
        <v>4.5765594487140708</v>
      </c>
      <c r="E520" s="19">
        <f t="shared" si="70"/>
        <v>5.0291862073780995E-2</v>
      </c>
      <c r="F520" s="18">
        <f t="shared" si="70"/>
        <v>0</v>
      </c>
      <c r="G520" s="20">
        <f t="shared" si="70"/>
        <v>0</v>
      </c>
      <c r="H520" s="17">
        <f>SUM(C520:G520)</f>
        <v>4.6268513107878517</v>
      </c>
      <c r="I520" s="17">
        <f>D520/H520*100</f>
        <v>98.913043478260875</v>
      </c>
      <c r="J520" s="17">
        <f>SQRT(I520*(100-I520)/(L520-1))</f>
        <v>1.0869565217391279</v>
      </c>
      <c r="K520" s="18">
        <f>100-I520</f>
        <v>1.0869565217391255</v>
      </c>
      <c r="L520" s="1">
        <f>H509</f>
        <v>92</v>
      </c>
      <c r="M520">
        <v>1</v>
      </c>
      <c r="N520" s="1">
        <v>9131.7800000000007</v>
      </c>
      <c r="O520" s="17">
        <f>N520/N524*100</f>
        <v>4.6268513107878517</v>
      </c>
      <c r="P520" s="52">
        <f>((O520*O520*(I520/100)*(K520/100))/(L520-1))</f>
        <v>2.5292713908482006E-3</v>
      </c>
    </row>
    <row r="521" spans="1:40" x14ac:dyDescent="0.3">
      <c r="A521" t="s">
        <v>5</v>
      </c>
      <c r="B521" s="13">
        <v>2</v>
      </c>
      <c r="C521" s="33">
        <f t="shared" si="70"/>
        <v>0</v>
      </c>
      <c r="D521" s="19">
        <f t="shared" si="70"/>
        <v>0.27812981752077565</v>
      </c>
      <c r="E521" s="34">
        <f t="shared" si="70"/>
        <v>51.021369858533404</v>
      </c>
      <c r="F521" s="19">
        <f t="shared" si="70"/>
        <v>0.92709939173591904</v>
      </c>
      <c r="G521" s="20">
        <f t="shared" si="70"/>
        <v>3.6465909408279478</v>
      </c>
      <c r="H521" s="17">
        <f>SUM(C521:G521)</f>
        <v>55.873190008618053</v>
      </c>
      <c r="I521" s="17">
        <f>E521/H521*100</f>
        <v>91.316371681415916</v>
      </c>
      <c r="J521" s="17">
        <f>SQRT(I521*(100-I521)/(L521-1))</f>
        <v>0.66243895045402845</v>
      </c>
      <c r="K521" s="18">
        <f>100-I521</f>
        <v>8.6836283185840841</v>
      </c>
      <c r="L521" s="1">
        <f>H510</f>
        <v>1808</v>
      </c>
      <c r="M521">
        <v>2</v>
      </c>
      <c r="N521" s="1">
        <v>110274.06</v>
      </c>
      <c r="O521" s="17">
        <f>N521/N524*100</f>
        <v>55.873190008618046</v>
      </c>
      <c r="P521" s="52">
        <f>((O521*O521*(I521/100)*(K521/100))/(L521-1))</f>
        <v>0.13699308819289094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70"/>
        <v>0</v>
      </c>
      <c r="D522" s="19">
        <f t="shared" si="70"/>
        <v>0</v>
      </c>
      <c r="E522" s="19">
        <f t="shared" si="70"/>
        <v>0.45169156038932995</v>
      </c>
      <c r="F522" s="34">
        <f t="shared" si="70"/>
        <v>16.26089617401588</v>
      </c>
      <c r="G522" s="20">
        <f t="shared" si="70"/>
        <v>2.9510515278769556</v>
      </c>
      <c r="H522" s="17">
        <f>SUM(C522:G522)</f>
        <v>19.663639262282167</v>
      </c>
      <c r="I522" s="17">
        <f>F522/H522*100</f>
        <v>82.695252679938733</v>
      </c>
      <c r="J522" s="17">
        <f>SQRT(I522*(100-I522)/(L522-1))</f>
        <v>1.4814913582167113</v>
      </c>
      <c r="K522" s="18">
        <f>100-I522</f>
        <v>17.304747320061267</v>
      </c>
      <c r="L522" s="1">
        <f>H511</f>
        <v>653</v>
      </c>
      <c r="M522">
        <v>3</v>
      </c>
      <c r="N522" s="1">
        <v>38809.120000000003</v>
      </c>
      <c r="O522" s="17">
        <f>N522/N524*100</f>
        <v>19.663639262282164</v>
      </c>
      <c r="P522" s="52">
        <f>((O522*O522*(I522/100)*(K522/100))/(L522-1))</f>
        <v>8.4864497032435968E-2</v>
      </c>
    </row>
    <row r="523" spans="1:40" x14ac:dyDescent="0.3">
      <c r="A523" t="s">
        <v>7</v>
      </c>
      <c r="B523" s="13">
        <v>4</v>
      </c>
      <c r="C523" s="35">
        <f t="shared" si="70"/>
        <v>0</v>
      </c>
      <c r="D523" s="36">
        <f t="shared" si="70"/>
        <v>0</v>
      </c>
      <c r="E523" s="21">
        <f t="shared" si="70"/>
        <v>1.1645609509543593</v>
      </c>
      <c r="F523" s="21">
        <f t="shared" si="70"/>
        <v>2.0962097117178464</v>
      </c>
      <c r="G523" s="37">
        <f t="shared" si="70"/>
        <v>15.449841949327832</v>
      </c>
      <c r="H523" s="17">
        <f>SUM(C523:G523)</f>
        <v>18.710612612000038</v>
      </c>
      <c r="I523" s="17">
        <f>G523/H523*100</f>
        <v>82.572614107883808</v>
      </c>
      <c r="J523" s="17">
        <f>SQRT(I523*(100-I523)/(L523-1))</f>
        <v>2.4486601865262365</v>
      </c>
      <c r="K523" s="18">
        <f>100-I523</f>
        <v>17.427385892116192</v>
      </c>
      <c r="L523" s="1">
        <f>H512</f>
        <v>241</v>
      </c>
      <c r="M523">
        <v>4</v>
      </c>
      <c r="N523" s="1">
        <v>36928.18</v>
      </c>
      <c r="O523" s="17">
        <f>N523/N524*100</f>
        <v>18.710612612000038</v>
      </c>
      <c r="P523" s="52">
        <f>((O523*O523*(I523/100)*(K523/100))/(L523-1))</f>
        <v>0.2099099640470441</v>
      </c>
      <c r="AM523" s="78"/>
      <c r="AN523" s="78"/>
    </row>
    <row r="524" spans="1:40" x14ac:dyDescent="0.3">
      <c r="B524" t="s">
        <v>28</v>
      </c>
      <c r="C524" s="17">
        <f>SUM(C519:C523)</f>
        <v>1.1257068063119029</v>
      </c>
      <c r="D524" s="17">
        <f>SUM(D519:D523)</f>
        <v>4.8546892662348462</v>
      </c>
      <c r="E524" s="17">
        <f>SUM(E519:E523)</f>
        <v>52.687914231950877</v>
      </c>
      <c r="F524" s="17">
        <f>SUM(F519:F523)</f>
        <v>19.284205277469646</v>
      </c>
      <c r="G524" s="17">
        <f>SUM(G519:G523)</f>
        <v>22.047484418032735</v>
      </c>
      <c r="H524" s="1">
        <f>SUM(H518:H523)</f>
        <v>100</v>
      </c>
      <c r="I524" s="13" t="s">
        <v>24</v>
      </c>
      <c r="J524" s="12" t="s">
        <v>29</v>
      </c>
      <c r="N524" s="1">
        <f>SUM(N519:N523)</f>
        <v>197364.88999999998</v>
      </c>
      <c r="O524" s="17">
        <f>SUM(O519:O523)</f>
        <v>100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0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0.10513860673312125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0.48733399625105966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0.50736681932189576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0.62442270248780429</v>
      </c>
      <c r="H525" s="1"/>
      <c r="I525" s="14">
        <f>(C519+D520+E521+F522+G523)/H524</f>
        <v>0.88434374236903102</v>
      </c>
      <c r="J525" s="53">
        <f>SQRT(SUM(P519:P523))/100</f>
        <v>6.5901200342878379E-3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100</v>
      </c>
      <c r="D526" s="17">
        <f>D520/D524*100</f>
        <v>94.270903815508575</v>
      </c>
      <c r="E526" s="17">
        <f>E521/E524*100</f>
        <v>96.836951324205472</v>
      </c>
      <c r="F526" s="17">
        <f>F522/F524*100</f>
        <v>84.322355731267834</v>
      </c>
      <c r="G526" s="17">
        <f>G523/G524*100</f>
        <v>70.075304993486412</v>
      </c>
      <c r="H526" s="1"/>
    </row>
    <row r="527" spans="1:40" x14ac:dyDescent="0.3">
      <c r="B527" s="16" t="s">
        <v>39</v>
      </c>
      <c r="C527" s="18">
        <f>SQRT((C530+C531)/(C524*C524))</f>
        <v>0</v>
      </c>
      <c r="D527" s="18">
        <f>SQRT((D530+D531)/(D524*D524))</f>
        <v>1.8918089497352948</v>
      </c>
      <c r="E527" s="18">
        <f>SQRT((E530+E531)/(E524*E524))</f>
        <v>0.62488227655502881</v>
      </c>
      <c r="F527" s="18">
        <f>SQRT((F530+F531)/(F524*F524))</f>
        <v>2.9870581033395753</v>
      </c>
      <c r="G527" s="18">
        <f>SQRT((G530+G531)/(G524*G524))</f>
        <v>6.3638743638987236</v>
      </c>
      <c r="H527" s="1"/>
      <c r="I527" s="14"/>
      <c r="AM527" s="78"/>
      <c r="AN527" s="78"/>
    </row>
    <row r="528" spans="1:40" x14ac:dyDescent="0.3">
      <c r="B528" s="1" t="s">
        <v>37</v>
      </c>
      <c r="C528" s="18">
        <f>100-C526</f>
        <v>0</v>
      </c>
      <c r="D528" s="18">
        <f>100-D526</f>
        <v>5.729096184491425</v>
      </c>
      <c r="E528" s="18">
        <f>100-E526</f>
        <v>3.1630486757945278</v>
      </c>
      <c r="F528" s="18">
        <f>100-F526</f>
        <v>15.677644268732166</v>
      </c>
      <c r="G528" s="18">
        <f>100-G526</f>
        <v>29.924695006513588</v>
      </c>
    </row>
    <row r="529" spans="1:40" ht="15.6" x14ac:dyDescent="0.35">
      <c r="B529" s="1" t="s">
        <v>25</v>
      </c>
      <c r="C529" s="1">
        <f>C513</f>
        <v>56</v>
      </c>
      <c r="D529" s="1">
        <f>D513</f>
        <v>100</v>
      </c>
      <c r="E529" s="1">
        <f>E513</f>
        <v>1682</v>
      </c>
      <c r="F529" s="1">
        <f>F513</f>
        <v>597</v>
      </c>
      <c r="G529" s="1">
        <f>G513</f>
        <v>415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8.3017119215338582</v>
      </c>
      <c r="E530" s="18">
        <f>(O521*O521*(100-E526)*(100-E526)*(I521)*(100-I521))/((L521-1)*100)</f>
        <v>137.0598987006577</v>
      </c>
      <c r="F530" s="18">
        <f>(O522*O522*(100-F526)*(100-F526)*(I522)*(100-I522))/((L522-1)*100)</f>
        <v>2085.8719959253999</v>
      </c>
      <c r="G530" s="18">
        <f>(O523*O523*(100-G526)*(100-G526)*(I523)*(100-I523))/((L523-1)*100)</f>
        <v>18797.172190007146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76.046800149774342</v>
      </c>
      <c r="E531" s="18">
        <f>E526*E526*(SUM((H519*E519*(1-E508/H508))/(H508-1),(H520*E520*(1-E509/H509))/(H509-1), (H522*E522*(1-E511/H511))/(H511-1),(H523*E523*(1-E512/H512))/(H512-1)))</f>
        <v>946.91300659360979</v>
      </c>
      <c r="F531" s="18">
        <f>F526*F526*(SUM((H519*F519*(1-F508/H508))/(H508-1),(H520*F520*(1-F509/H509))/(H509-1), (H521*F521*(1-F510/H510))/(H510-1),(H523*F523*(1-F512/H512))/(H512-1)))</f>
        <v>1232.2384103151762</v>
      </c>
      <c r="G531" s="18">
        <f>G526*G526*(SUM((H519*G519*(1-G508/H508))/(H508-1),(H520*G520*(1-G509/H509))/(H509-1), (H521*G521*(1-G510/H510))/(H510-1),(H522*G522*(1-G511/H511))/(H511-1)))</f>
        <v>889.00016297310742</v>
      </c>
      <c r="AM531" s="78"/>
      <c r="AN531" s="78"/>
    </row>
    <row r="532" spans="1:40" x14ac:dyDescent="0.3">
      <c r="A532" s="105" t="s">
        <v>390</v>
      </c>
      <c r="B532" s="69" t="s">
        <v>9</v>
      </c>
      <c r="C532" s="1">
        <v>266.13</v>
      </c>
      <c r="D532" s="1">
        <v>1858.92</v>
      </c>
      <c r="E532" s="1">
        <v>15010.48</v>
      </c>
      <c r="F532" s="1">
        <v>1620.14</v>
      </c>
      <c r="G532" s="1">
        <v>3334.99</v>
      </c>
      <c r="I532" t="s">
        <v>36</v>
      </c>
      <c r="J532" s="57">
        <f>SUM(C532:G532)</f>
        <v>22090.659999999996</v>
      </c>
    </row>
    <row r="533" spans="1:40" x14ac:dyDescent="0.3">
      <c r="B533" t="s">
        <v>391</v>
      </c>
      <c r="C533" s="57">
        <f>(C532/$J532)*100</f>
        <v>1.2047172877587182</v>
      </c>
      <c r="D533" s="57">
        <f>(D532/$J532)*100</f>
        <v>8.4149590822546738</v>
      </c>
      <c r="E533" s="57">
        <f>(E532/$J532)*100</f>
        <v>67.949441076002273</v>
      </c>
      <c r="F533" s="57">
        <f>(F532/$J532)*100</f>
        <v>7.3340497748822369</v>
      </c>
      <c r="G533" s="57">
        <f>(G532/$J532)*100</f>
        <v>15.096832779102121</v>
      </c>
      <c r="AM533" s="78"/>
      <c r="AN533" s="78"/>
    </row>
    <row r="534" spans="1:40" x14ac:dyDescent="0.3">
      <c r="A534" s="361">
        <v>1988</v>
      </c>
      <c r="B534" s="361"/>
      <c r="C534" s="361"/>
      <c r="D534" s="361"/>
      <c r="E534" s="361"/>
      <c r="F534" s="361"/>
      <c r="G534" s="361"/>
      <c r="H534" s="361"/>
      <c r="I534" s="361"/>
      <c r="J534" s="361"/>
      <c r="K534" s="361"/>
      <c r="L534" s="361" t="s">
        <v>96</v>
      </c>
      <c r="M534" s="361"/>
      <c r="N534" s="361"/>
      <c r="O534" s="361"/>
      <c r="P534" s="361"/>
    </row>
    <row r="535" spans="1:40" x14ac:dyDescent="0.3">
      <c r="A535" t="s">
        <v>15</v>
      </c>
      <c r="B535" t="s">
        <v>21</v>
      </c>
      <c r="I535" s="1" t="s">
        <v>58</v>
      </c>
      <c r="O535" s="360" t="s">
        <v>411</v>
      </c>
      <c r="P535" s="360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56</v>
      </c>
      <c r="O536" s="13" t="s">
        <v>412</v>
      </c>
      <c r="P536" s="13" t="s">
        <v>41</v>
      </c>
    </row>
    <row r="537" spans="1:40" x14ac:dyDescent="0.3">
      <c r="A537" t="s">
        <v>3</v>
      </c>
      <c r="B537" s="13">
        <v>0</v>
      </c>
      <c r="C537" s="26">
        <v>56</v>
      </c>
      <c r="D537" s="3">
        <v>0</v>
      </c>
      <c r="E537" s="3">
        <v>0</v>
      </c>
      <c r="F537" s="3">
        <v>0</v>
      </c>
      <c r="G537" s="4">
        <v>0</v>
      </c>
      <c r="H537" s="1">
        <f>SUM(C537:G537)</f>
        <v>56</v>
      </c>
      <c r="I537" s="10">
        <f>C537/H537</f>
        <v>1</v>
      </c>
      <c r="J537" s="11">
        <f>1-I537</f>
        <v>0</v>
      </c>
      <c r="K537">
        <f>H537-C542</f>
        <v>0</v>
      </c>
      <c r="N537" s="10">
        <f>2*(C543*I537)/(C543+I537)</f>
        <v>1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90</v>
      </c>
      <c r="E538" s="1">
        <v>2</v>
      </c>
      <c r="F538" s="1">
        <v>0</v>
      </c>
      <c r="G538" s="6">
        <v>0</v>
      </c>
      <c r="H538" s="1">
        <f>SUM(C538:G538)</f>
        <v>92</v>
      </c>
      <c r="I538" s="10">
        <f>D538/H538</f>
        <v>0.97826086956521741</v>
      </c>
      <c r="J538" s="11">
        <f>1-I538</f>
        <v>2.1739130434782594E-2</v>
      </c>
      <c r="K538">
        <f>H538-D542</f>
        <v>-4</v>
      </c>
      <c r="N538" s="10">
        <f>2*(D543*I538)/(D543+I538)</f>
        <v>0.95744680851063835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6</v>
      </c>
      <c r="E539" s="27">
        <v>1650</v>
      </c>
      <c r="F539" s="1">
        <v>32</v>
      </c>
      <c r="G539" s="6">
        <v>120</v>
      </c>
      <c r="H539" s="1">
        <f>SUM(C539:G539)</f>
        <v>1808</v>
      </c>
      <c r="I539" s="10">
        <f>E539/H539</f>
        <v>0.91261061946902655</v>
      </c>
      <c r="J539" s="11">
        <f>1-I539</f>
        <v>8.7389380530973448E-2</v>
      </c>
      <c r="K539">
        <f>H539-E542</f>
        <v>110</v>
      </c>
      <c r="N539" s="10">
        <f>2*(E543*I539)/(E543+I539)</f>
        <v>0.94124358243011985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0</v>
      </c>
      <c r="D540" s="1">
        <v>0</v>
      </c>
      <c r="E540" s="1">
        <v>27</v>
      </c>
      <c r="F540" s="27">
        <v>530</v>
      </c>
      <c r="G540" s="6">
        <v>96</v>
      </c>
      <c r="H540" s="1">
        <f>SUM(C540:G540)</f>
        <v>653</v>
      </c>
      <c r="I540" s="10">
        <f>F540/H540</f>
        <v>0.81163859111791725</v>
      </c>
      <c r="J540" s="11">
        <f>1-I540</f>
        <v>0.18836140888208275</v>
      </c>
      <c r="K540">
        <f>H540-F542</f>
        <v>64</v>
      </c>
      <c r="N540" s="10">
        <f>2*(F543*I540)/(F543+I540)</f>
        <v>0.85346215780998391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0</v>
      </c>
      <c r="E541" s="8">
        <v>19</v>
      </c>
      <c r="F541" s="8">
        <v>27</v>
      </c>
      <c r="G541" s="28">
        <v>195</v>
      </c>
      <c r="H541" s="1">
        <f>SUM(C541:G541)</f>
        <v>241</v>
      </c>
      <c r="I541" s="10">
        <f>G541/H541</f>
        <v>0.8091286307053942</v>
      </c>
      <c r="J541" s="11">
        <f>1-I541</f>
        <v>0.1908713692946058</v>
      </c>
      <c r="K541">
        <f>H541-G542</f>
        <v>-170</v>
      </c>
      <c r="N541" s="10">
        <f>2*(G543*I541)/(G543+I541)</f>
        <v>0.59815950920245398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56</v>
      </c>
      <c r="D542" s="1">
        <f>SUM(D537:D541)</f>
        <v>96</v>
      </c>
      <c r="E542" s="1">
        <f>SUM(E537:E541)</f>
        <v>1698</v>
      </c>
      <c r="F542" s="1">
        <f>SUM(F537:F541)</f>
        <v>589</v>
      </c>
      <c r="G542" s="1">
        <f>SUM(G537:G541)</f>
        <v>411</v>
      </c>
      <c r="H542" s="1">
        <f>SUM(H536:H541)</f>
        <v>2850</v>
      </c>
      <c r="I542" s="13" t="s">
        <v>12</v>
      </c>
      <c r="N542" s="16" t="s">
        <v>36</v>
      </c>
      <c r="O542" s="1">
        <f>SUM(O537:O541)</f>
        <v>0</v>
      </c>
      <c r="P542" s="1">
        <f>SUM(P537:P541)</f>
        <v>0</v>
      </c>
    </row>
    <row r="543" spans="1:40" x14ac:dyDescent="0.3">
      <c r="A543" s="1" t="s">
        <v>57</v>
      </c>
      <c r="B543" s="1" t="s">
        <v>2</v>
      </c>
      <c r="C543" s="10">
        <f>C537/C542</f>
        <v>1</v>
      </c>
      <c r="D543" s="10">
        <f>D538/D542</f>
        <v>0.9375</v>
      </c>
      <c r="E543" s="10">
        <f>E539/E542</f>
        <v>0.9717314487632509</v>
      </c>
      <c r="F543" s="10">
        <f>F540/F542</f>
        <v>0.89983022071307306</v>
      </c>
      <c r="G543" s="10">
        <f>G541/G542</f>
        <v>0.47445255474452552</v>
      </c>
      <c r="H543" s="10"/>
      <c r="I543" s="14">
        <f>(C537+D538+E539+F540+G541)/H542</f>
        <v>0.88456140350877188</v>
      </c>
    </row>
    <row r="544" spans="1:40" x14ac:dyDescent="0.3">
      <c r="B544" s="1" t="s">
        <v>14</v>
      </c>
      <c r="C544" s="11">
        <f>1-C543</f>
        <v>0</v>
      </c>
      <c r="D544" s="11">
        <f>1-D543</f>
        <v>6.25E-2</v>
      </c>
      <c r="E544" s="11">
        <f>1-E543</f>
        <v>2.8268551236749095E-2</v>
      </c>
      <c r="F544" s="11">
        <f>1-F543</f>
        <v>0.10016977928692694</v>
      </c>
      <c r="G544" s="11">
        <f>1-G543</f>
        <v>0.52554744525547448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1.1160343665988413</v>
      </c>
      <c r="D548" s="31">
        <f>(D537/$L548)*$O548</f>
        <v>0</v>
      </c>
      <c r="E548" s="31">
        <f>(E537/$L548)*$O548</f>
        <v>0</v>
      </c>
      <c r="F548" s="31">
        <f>(F537/$L548)*$O548</f>
        <v>0</v>
      </c>
      <c r="G548" s="32">
        <f>(G537/$L548)*$O548</f>
        <v>0</v>
      </c>
      <c r="H548" s="17">
        <f>SUM(C548:G548)</f>
        <v>1.1160343665988413</v>
      </c>
      <c r="I548" s="17">
        <f>C548/H548*100</f>
        <v>100</v>
      </c>
      <c r="J548" s="17">
        <f>SQRT(I548*(100-I548)/(L548-1))</f>
        <v>0</v>
      </c>
      <c r="K548" s="18">
        <f>100-I548</f>
        <v>0</v>
      </c>
      <c r="L548" s="1">
        <f>H537</f>
        <v>56</v>
      </c>
      <c r="M548">
        <v>0</v>
      </c>
      <c r="N548" s="1">
        <v>2202.66</v>
      </c>
      <c r="O548" s="17">
        <f>N548/N553*100</f>
        <v>1.1160343665988413</v>
      </c>
      <c r="P548" s="52">
        <f>((O548*O548*(I548/100)*(K548/100))/(L548-1))</f>
        <v>0</v>
      </c>
    </row>
    <row r="549" spans="1:16" x14ac:dyDescent="0.3">
      <c r="A549" t="s">
        <v>4</v>
      </c>
      <c r="B549" s="13">
        <v>1</v>
      </c>
      <c r="C549" s="33">
        <f t="shared" ref="C549:G552" si="71">(C538/$L549)*$O549</f>
        <v>0</v>
      </c>
      <c r="D549" s="34">
        <f t="shared" si="71"/>
        <v>4.1563904475525559</v>
      </c>
      <c r="E549" s="19">
        <f t="shared" si="71"/>
        <v>9.236423216783457E-2</v>
      </c>
      <c r="F549" s="18">
        <f t="shared" si="71"/>
        <v>0</v>
      </c>
      <c r="G549" s="20">
        <f t="shared" si="71"/>
        <v>0</v>
      </c>
      <c r="H549" s="17">
        <f>SUM(C549:G549)</f>
        <v>4.2487546797203901</v>
      </c>
      <c r="I549" s="17">
        <f>D549/H549*100</f>
        <v>97.826086956521749</v>
      </c>
      <c r="J549" s="17">
        <f>SQRT(I549*(100-I549)/(L549-1))</f>
        <v>1.5287192313211773</v>
      </c>
      <c r="K549" s="18">
        <f>100-I549</f>
        <v>2.173913043478251</v>
      </c>
      <c r="L549" s="1">
        <f>H538</f>
        <v>92</v>
      </c>
      <c r="M549">
        <v>1</v>
      </c>
      <c r="N549" s="1">
        <v>8385.5499999999993</v>
      </c>
      <c r="O549" s="17">
        <f>N549/N553*100</f>
        <v>4.2487546797203901</v>
      </c>
      <c r="P549" s="52">
        <f>((O549*O549*(I549/100)*(K549/100))/(L549-1))</f>
        <v>4.2187012338232134E-3</v>
      </c>
    </row>
    <row r="550" spans="1:16" x14ac:dyDescent="0.3">
      <c r="A550" t="s">
        <v>5</v>
      </c>
      <c r="B550" s="13">
        <v>2</v>
      </c>
      <c r="C550" s="33">
        <f t="shared" si="71"/>
        <v>0</v>
      </c>
      <c r="D550" s="19">
        <f t="shared" si="71"/>
        <v>0.18503225459817724</v>
      </c>
      <c r="E550" s="34">
        <f t="shared" si="71"/>
        <v>50.88387001449874</v>
      </c>
      <c r="F550" s="19">
        <f t="shared" si="71"/>
        <v>0.98683869119027856</v>
      </c>
      <c r="G550" s="20">
        <f t="shared" si="71"/>
        <v>3.700645091963545</v>
      </c>
      <c r="H550" s="17">
        <f>SUM(C550:G550)</f>
        <v>55.75638605225074</v>
      </c>
      <c r="I550" s="17">
        <f>E550/H550*100</f>
        <v>91.261061946902657</v>
      </c>
      <c r="J550" s="17">
        <f>SQRT(I550*(100-I550)/(L550-1))</f>
        <v>0.66434399406761713</v>
      </c>
      <c r="K550" s="18">
        <f>100-I550</f>
        <v>8.7389380530973426</v>
      </c>
      <c r="L550" s="1">
        <f>H539</f>
        <v>1808</v>
      </c>
      <c r="M550">
        <v>2</v>
      </c>
      <c r="N550" s="1">
        <v>110043.53</v>
      </c>
      <c r="O550" s="17">
        <f>N550/N553*100</f>
        <v>55.75638605225074</v>
      </c>
      <c r="P550" s="52">
        <f>((O550*O550*(I550/100)*(K550/100))/(L550-1))</f>
        <v>0.13720668107832493</v>
      </c>
    </row>
    <row r="551" spans="1:16" x14ac:dyDescent="0.3">
      <c r="A551" t="s">
        <v>6</v>
      </c>
      <c r="B551" s="13">
        <v>3</v>
      </c>
      <c r="C551" s="33">
        <f t="shared" si="71"/>
        <v>0</v>
      </c>
      <c r="D551" s="19">
        <f t="shared" si="71"/>
        <v>0</v>
      </c>
      <c r="E551" s="19">
        <f t="shared" si="71"/>
        <v>0.83648118388903536</v>
      </c>
      <c r="F551" s="34">
        <f t="shared" si="71"/>
        <v>16.419815831895878</v>
      </c>
      <c r="G551" s="20">
        <f t="shared" si="71"/>
        <v>2.9741553204943485</v>
      </c>
      <c r="H551" s="17">
        <f>SUM(C551:G551)</f>
        <v>20.23045233627926</v>
      </c>
      <c r="I551" s="17">
        <f>F551/H551*100</f>
        <v>81.163859111791737</v>
      </c>
      <c r="J551" s="17">
        <f>SQRT(I551*(100-I551)/(L551-1))</f>
        <v>1.531276125486605</v>
      </c>
      <c r="K551" s="18">
        <f>100-I551</f>
        <v>18.836140888208263</v>
      </c>
      <c r="L551" s="1">
        <f>H540</f>
        <v>653</v>
      </c>
      <c r="M551">
        <v>3</v>
      </c>
      <c r="N551" s="1">
        <v>39927.81</v>
      </c>
      <c r="O551" s="17">
        <f>N551/N553*100</f>
        <v>20.230452336279264</v>
      </c>
      <c r="P551" s="52">
        <f>((O551*O551*(I551/100)*(K551/100))/(L551-1))</f>
        <v>9.5966180374654347E-2</v>
      </c>
    </row>
    <row r="552" spans="1:16" x14ac:dyDescent="0.3">
      <c r="A552" t="s">
        <v>7</v>
      </c>
      <c r="B552" s="13">
        <v>4</v>
      </c>
      <c r="C552" s="35">
        <f t="shared" si="71"/>
        <v>0</v>
      </c>
      <c r="D552" s="36">
        <f t="shared" si="71"/>
        <v>0</v>
      </c>
      <c r="E552" s="21">
        <f t="shared" si="71"/>
        <v>1.4702036462152062</v>
      </c>
      <c r="F552" s="21">
        <f t="shared" si="71"/>
        <v>2.0892367604110826</v>
      </c>
      <c r="G552" s="37">
        <f t="shared" si="71"/>
        <v>15.088932158524484</v>
      </c>
      <c r="H552" s="17">
        <f>SUM(C552:G552)</f>
        <v>18.648372565150773</v>
      </c>
      <c r="I552" s="17">
        <f>G552/H552*100</f>
        <v>80.912863070539416</v>
      </c>
      <c r="J552" s="17">
        <f>SQRT(I552*(100-I552)/(L552-1))</f>
        <v>2.5367259876841253</v>
      </c>
      <c r="K552" s="18">
        <f>100-I552</f>
        <v>19.087136929460584</v>
      </c>
      <c r="L552" s="1">
        <f>H541</f>
        <v>241</v>
      </c>
      <c r="M552">
        <v>4</v>
      </c>
      <c r="N552" s="1">
        <v>36805.339999999997</v>
      </c>
      <c r="O552" s="17">
        <f>N552/N553*100</f>
        <v>18.648372565150773</v>
      </c>
      <c r="P552" s="52">
        <f>((O552*O552*(I552/100)*(K552/100))/(L552-1))</f>
        <v>0.22378397840789532</v>
      </c>
    </row>
    <row r="553" spans="1:16" x14ac:dyDescent="0.3">
      <c r="B553" t="s">
        <v>28</v>
      </c>
      <c r="C553" s="17">
        <f>SUM(C548:C552)</f>
        <v>1.1160343665988413</v>
      </c>
      <c r="D553" s="17">
        <f>SUM(D548:D552)</f>
        <v>4.3414227021507328</v>
      </c>
      <c r="E553" s="17">
        <f>SUM(E548:E552)</f>
        <v>53.28291907677081</v>
      </c>
      <c r="F553" s="17">
        <f>SUM(F548:F552)</f>
        <v>19.49589128349724</v>
      </c>
      <c r="G553" s="17">
        <f>SUM(G548:G552)</f>
        <v>21.763732570982377</v>
      </c>
      <c r="H553" s="1">
        <f>SUM(H547:H552)</f>
        <v>100</v>
      </c>
      <c r="I553" s="13" t="s">
        <v>24</v>
      </c>
      <c r="J553" s="12" t="s">
        <v>29</v>
      </c>
      <c r="N553" s="1">
        <f>SUM(N548:N552)</f>
        <v>197364.88999999998</v>
      </c>
      <c r="O553" s="17">
        <f>SUM(O548:O552)</f>
        <v>100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0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9.929786151401214E-2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0.52052010767779611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0.51890759970963596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0.63874843172277962</v>
      </c>
      <c r="H554" s="1"/>
      <c r="I554" s="56">
        <f>(C548+D549+E550+F551+G552)/H553</f>
        <v>0.87665042819070504</v>
      </c>
      <c r="J554" s="53">
        <f>SQRT(SUM(P548:P552))/100</f>
        <v>6.7909906574423872E-3</v>
      </c>
      <c r="M554" s="1"/>
      <c r="N554" s="9"/>
    </row>
    <row r="555" spans="1:16" x14ac:dyDescent="0.3">
      <c r="B555" s="1" t="s">
        <v>30</v>
      </c>
      <c r="C555" s="17">
        <f>C548/C553*100</f>
        <v>100</v>
      </c>
      <c r="D555" s="17">
        <f>D549/D553*100</f>
        <v>95.737981134467447</v>
      </c>
      <c r="E555" s="17">
        <f>E550/E553*100</f>
        <v>95.497526967665777</v>
      </c>
      <c r="F555" s="17">
        <f>F551/F553*100</f>
        <v>84.221929601109451</v>
      </c>
      <c r="G555" s="17">
        <f>G552/G553*100</f>
        <v>69.330626579388237</v>
      </c>
      <c r="H555" s="1"/>
    </row>
    <row r="556" spans="1:16" x14ac:dyDescent="0.3">
      <c r="B556" s="16" t="s">
        <v>39</v>
      </c>
      <c r="C556" s="18">
        <f>SQRT((C559+C560)/(C553*C553))</f>
        <v>0</v>
      </c>
      <c r="D556" s="18">
        <f>SQRT((D559+D560)/(D553*D553))</f>
        <v>1.7815177564126092</v>
      </c>
      <c r="E556" s="18">
        <f>SQRT((E559+E560)/(E553*E553))</f>
        <v>0.72765068303204206</v>
      </c>
      <c r="F556" s="18">
        <f>SQRT((F559+F560)/(F553*F553))</f>
        <v>3.0876953371341842</v>
      </c>
      <c r="G556" s="18">
        <f>SQRT((G559+G560)/(G553*G553))</f>
        <v>6.8059144445742605</v>
      </c>
      <c r="H556" s="1"/>
      <c r="I556" s="14"/>
    </row>
    <row r="557" spans="1:16" x14ac:dyDescent="0.3">
      <c r="B557" s="1" t="s">
        <v>37</v>
      </c>
      <c r="C557" s="18">
        <f>100-C555</f>
        <v>0</v>
      </c>
      <c r="D557" s="18">
        <f>100-D555</f>
        <v>4.2620188655325535</v>
      </c>
      <c r="E557" s="18">
        <f>100-E555</f>
        <v>4.5024730323342226</v>
      </c>
      <c r="F557" s="18">
        <f>100-F555</f>
        <v>15.778070398890549</v>
      </c>
      <c r="G557" s="18">
        <f>100-G555</f>
        <v>30.669373420611763</v>
      </c>
    </row>
    <row r="558" spans="1:16" ht="15.6" x14ac:dyDescent="0.35">
      <c r="B558" s="1" t="s">
        <v>25</v>
      </c>
      <c r="C558" s="1">
        <f>C542</f>
        <v>56</v>
      </c>
      <c r="D558" s="1">
        <f>D542</f>
        <v>96</v>
      </c>
      <c r="E558" s="1">
        <f>E542</f>
        <v>1698</v>
      </c>
      <c r="F558" s="1">
        <f>F542</f>
        <v>589</v>
      </c>
      <c r="G558" s="1">
        <f>G542</f>
        <v>411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7.6631884464760391</v>
      </c>
      <c r="E559" s="18">
        <f>(O550*O550*(100-E555)*(100-E555)*(I550)*(100-I550))/((L550-1)*100)</f>
        <v>278.14899800059038</v>
      </c>
      <c r="F559" s="18">
        <f>(O551*O551*(100-F555)*(100-F555)*(I551)*(100-I551))/((L551-1)*100)</f>
        <v>2389.0541217818077</v>
      </c>
      <c r="G559" s="18">
        <f>(O552*O552*(100-G555)*(100-G555)*(I552)*(100-I552))/((L552-1)*100)</f>
        <v>21049.355221647726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52.156542660350183</v>
      </c>
      <c r="E560" s="18">
        <f>E555*E555*(SUM((H548*E548*(1-E537/H537))/(H537-1),(H549*E549*(1-E538/H538))/(H538-1), (H551*E551*(1-E540/H540))/(H540-1),(H552*E552*(1-E541/H541))/(H541-1)))</f>
        <v>1225.0687735888453</v>
      </c>
      <c r="F560" s="18">
        <f>F555*F555*(SUM((H548*F548*(1-F537/H537))/(H537-1),(H549*F549*(1-F538/H538))/(H538-1), (H550*F550*(1-F539/H539))/(H539-1),(H552*F552*(1-F541/H541))/(H541-1)))</f>
        <v>1234.6695472846359</v>
      </c>
      <c r="G560" s="18">
        <f>G555*G555*(SUM((H548*G548*(1-G537/H537))/(H537-1),(H549*G549*(1-G538/H538))/(H538-1), (H550*G550*(1-G539/H539))/(H539-1),(H551*G551*(1-G540/H540))/(H540-1)))</f>
        <v>890.80184153886717</v>
      </c>
    </row>
    <row r="561" spans="1:16" x14ac:dyDescent="0.3">
      <c r="A561" s="105" t="s">
        <v>390</v>
      </c>
      <c r="B561" s="69" t="s">
        <v>9</v>
      </c>
      <c r="C561" s="1">
        <v>267.57</v>
      </c>
      <c r="D561" s="1">
        <v>1739.72</v>
      </c>
      <c r="E561" s="1">
        <v>14929.82</v>
      </c>
      <c r="F561" s="1">
        <v>1705.85</v>
      </c>
      <c r="G561" s="1">
        <v>3447.7</v>
      </c>
      <c r="I561" t="s">
        <v>36</v>
      </c>
      <c r="J561" s="57">
        <f>SUM(C561:G561)</f>
        <v>22090.66</v>
      </c>
    </row>
    <row r="562" spans="1:16" x14ac:dyDescent="0.3">
      <c r="B562" t="s">
        <v>391</v>
      </c>
      <c r="C562" s="57">
        <f>(C561/$J561)*100</f>
        <v>1.2112358797790559</v>
      </c>
      <c r="D562" s="57">
        <f>(D561/$J561)*100</f>
        <v>7.8753645205711376</v>
      </c>
      <c r="E562" s="57">
        <f>(E561/$J561)*100</f>
        <v>67.58430938686304</v>
      </c>
      <c r="F562" s="57">
        <f>(F561/$J561)*100</f>
        <v>7.7220418040927701</v>
      </c>
      <c r="G562" s="57">
        <f>(G561/$J561)*100</f>
        <v>15.607048408693991</v>
      </c>
    </row>
    <row r="563" spans="1:16" x14ac:dyDescent="0.3">
      <c r="A563" s="361">
        <v>1988</v>
      </c>
      <c r="B563" s="361"/>
      <c r="C563" s="361"/>
      <c r="D563" s="361"/>
      <c r="E563" s="361"/>
      <c r="F563" s="361"/>
      <c r="G563" s="361"/>
      <c r="H563" s="361"/>
      <c r="I563" s="361"/>
      <c r="J563" s="361"/>
      <c r="K563" s="361"/>
      <c r="L563" s="361" t="s">
        <v>97</v>
      </c>
      <c r="M563" s="361"/>
      <c r="N563" s="361"/>
      <c r="O563" s="361"/>
      <c r="P563" s="361"/>
    </row>
    <row r="564" spans="1:16" x14ac:dyDescent="0.3">
      <c r="A564" t="s">
        <v>15</v>
      </c>
      <c r="B564" t="s">
        <v>21</v>
      </c>
      <c r="I564" s="1" t="s">
        <v>58</v>
      </c>
      <c r="O564" s="360" t="s">
        <v>411</v>
      </c>
      <c r="P564" s="360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56</v>
      </c>
      <c r="O565" s="13" t="s">
        <v>412</v>
      </c>
      <c r="P565" s="13" t="s">
        <v>41</v>
      </c>
    </row>
    <row r="566" spans="1:16" x14ac:dyDescent="0.3">
      <c r="A566" t="s">
        <v>3</v>
      </c>
      <c r="B566" s="13">
        <v>0</v>
      </c>
      <c r="C566" s="26">
        <v>56</v>
      </c>
      <c r="D566" s="3">
        <v>0</v>
      </c>
      <c r="E566" s="3">
        <v>0</v>
      </c>
      <c r="F566" s="3">
        <v>0</v>
      </c>
      <c r="G566" s="4">
        <v>0</v>
      </c>
      <c r="H566" s="1">
        <f>SUM(C566:G566)</f>
        <v>56</v>
      </c>
      <c r="I566" s="10">
        <f>C566/H566</f>
        <v>1</v>
      </c>
      <c r="J566" s="11">
        <f>1-I566</f>
        <v>0</v>
      </c>
      <c r="K566">
        <f>H566-C571</f>
        <v>0</v>
      </c>
      <c r="N566" s="10">
        <f>2*(C572*I566)/(C572+I566)</f>
        <v>1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89</v>
      </c>
      <c r="E567" s="1">
        <v>3</v>
      </c>
      <c r="F567" s="1">
        <v>0</v>
      </c>
      <c r="G567" s="6">
        <v>0</v>
      </c>
      <c r="H567" s="1">
        <f>SUM(C567:G567)</f>
        <v>92</v>
      </c>
      <c r="I567" s="10">
        <f>D567/H567</f>
        <v>0.96739130434782605</v>
      </c>
      <c r="J567" s="11">
        <f>1-I567</f>
        <v>3.2608695652173947E-2</v>
      </c>
      <c r="K567">
        <f>H567-D571</f>
        <v>-4</v>
      </c>
      <c r="N567" s="10">
        <f>2*(D572*I567)/(D572+I567)</f>
        <v>0.94680851063829785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7</v>
      </c>
      <c r="E568" s="27">
        <v>1657</v>
      </c>
      <c r="F568" s="1">
        <v>34</v>
      </c>
      <c r="G568" s="6">
        <v>110</v>
      </c>
      <c r="H568" s="1">
        <f>SUM(C568:G568)</f>
        <v>1808</v>
      </c>
      <c r="I568" s="10">
        <f>E568/H568</f>
        <v>0.91648230088495575</v>
      </c>
      <c r="J568" s="11">
        <f>1-I568</f>
        <v>8.3517699115044253E-2</v>
      </c>
      <c r="K568">
        <f>H568-E571</f>
        <v>113</v>
      </c>
      <c r="N568" s="10">
        <f>2*(E572*I568)/(E572+I568)</f>
        <v>0.94604624607479304</v>
      </c>
      <c r="O568" s="1"/>
      <c r="P568" s="1"/>
    </row>
    <row r="569" spans="1:16" x14ac:dyDescent="0.3">
      <c r="A569" t="s">
        <v>6</v>
      </c>
      <c r="B569" s="13">
        <v>3</v>
      </c>
      <c r="C569" s="5">
        <v>0</v>
      </c>
      <c r="D569" s="1">
        <v>0</v>
      </c>
      <c r="E569" s="1">
        <v>19</v>
      </c>
      <c r="F569" s="27">
        <v>532</v>
      </c>
      <c r="G569" s="6">
        <v>102</v>
      </c>
      <c r="H569" s="1">
        <f>SUM(C569:G569)</f>
        <v>653</v>
      </c>
      <c r="I569" s="10">
        <f>F569/H569</f>
        <v>0.81470137825421129</v>
      </c>
      <c r="J569" s="11">
        <f>1-I569</f>
        <v>0.18529862174578871</v>
      </c>
      <c r="K569">
        <f>H569-F571</f>
        <v>56</v>
      </c>
      <c r="N569" s="10">
        <f>2*(F572*I569)/(F572+I569)</f>
        <v>0.85119999999999985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0</v>
      </c>
      <c r="E570" s="8">
        <v>16</v>
      </c>
      <c r="F570" s="8">
        <v>31</v>
      </c>
      <c r="G570" s="28">
        <v>194</v>
      </c>
      <c r="H570" s="1">
        <f>SUM(C570:G570)</f>
        <v>241</v>
      </c>
      <c r="I570" s="10">
        <f>G570/H570</f>
        <v>0.80497925311203322</v>
      </c>
      <c r="J570" s="11">
        <f>1-I570</f>
        <v>0.19502074688796678</v>
      </c>
      <c r="K570">
        <f>H570-G571</f>
        <v>-165</v>
      </c>
      <c r="N570" s="10">
        <f>2*(G572*I570)/(G572+I570)</f>
        <v>0.59969088098918089</v>
      </c>
      <c r="O570" s="1"/>
      <c r="P570" s="1"/>
    </row>
    <row r="571" spans="1:16" ht="15.6" x14ac:dyDescent="0.35">
      <c r="B571" s="1" t="s">
        <v>19</v>
      </c>
      <c r="C571" s="1">
        <f>SUM(C566:C570)</f>
        <v>56</v>
      </c>
      <c r="D571" s="1">
        <f>SUM(D566:D570)</f>
        <v>96</v>
      </c>
      <c r="E571" s="1">
        <f>SUM(E566:E570)</f>
        <v>1695</v>
      </c>
      <c r="F571" s="1">
        <f>SUM(F566:F570)</f>
        <v>597</v>
      </c>
      <c r="G571" s="1">
        <f>SUM(G566:G570)</f>
        <v>406</v>
      </c>
      <c r="H571" s="1">
        <f>SUM(H565:H570)</f>
        <v>2850</v>
      </c>
      <c r="I571" s="13" t="s">
        <v>12</v>
      </c>
      <c r="N571" s="16" t="s">
        <v>36</v>
      </c>
      <c r="O571" s="1">
        <f>SUM(O566:O570)</f>
        <v>0</v>
      </c>
      <c r="P571" s="1">
        <f>SUM(P566:P570)</f>
        <v>0</v>
      </c>
    </row>
    <row r="572" spans="1:16" x14ac:dyDescent="0.3">
      <c r="A572" s="1" t="s">
        <v>57</v>
      </c>
      <c r="B572" s="1" t="s">
        <v>2</v>
      </c>
      <c r="C572" s="10">
        <f>C566/C571</f>
        <v>1</v>
      </c>
      <c r="D572" s="10">
        <f>D567/D571</f>
        <v>0.92708333333333337</v>
      </c>
      <c r="E572" s="10">
        <f>E568/E571</f>
        <v>0.97758112094395277</v>
      </c>
      <c r="F572" s="10">
        <f>F569/F571</f>
        <v>0.89112227805695143</v>
      </c>
      <c r="G572" s="10">
        <f>G570/G571</f>
        <v>0.47783251231527096</v>
      </c>
      <c r="H572" s="10"/>
      <c r="I572" s="14">
        <f>(C566+D567+E568+F569+G570)/H571</f>
        <v>0.88701754385964915</v>
      </c>
    </row>
    <row r="573" spans="1:16" x14ac:dyDescent="0.3">
      <c r="B573" s="1" t="s">
        <v>14</v>
      </c>
      <c r="C573" s="11">
        <f>1-C572</f>
        <v>0</v>
      </c>
      <c r="D573" s="11">
        <f>1-D572</f>
        <v>7.291666666666663E-2</v>
      </c>
      <c r="E573" s="11">
        <f>1-E572</f>
        <v>2.2418879056047225E-2</v>
      </c>
      <c r="F573" s="11">
        <f>1-F572</f>
        <v>0.10887772194304857</v>
      </c>
      <c r="G573" s="11">
        <f>1-G572</f>
        <v>0.52216748768472909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1.1116566319543142</v>
      </c>
      <c r="D577" s="31">
        <f>(D566/$L577)*$O577</f>
        <v>0</v>
      </c>
      <c r="E577" s="31">
        <f>(E566/$L577)*$O577</f>
        <v>0</v>
      </c>
      <c r="F577" s="31">
        <f>(F566/$L577)*$O577</f>
        <v>0</v>
      </c>
      <c r="G577" s="32">
        <f>(G566/$L577)*$O577</f>
        <v>0</v>
      </c>
      <c r="H577" s="17">
        <f>SUM(C577:G577)</f>
        <v>1.1116566319543142</v>
      </c>
      <c r="I577" s="17">
        <f>C577/H577*100</f>
        <v>100</v>
      </c>
      <c r="J577" s="17">
        <f>SQRT(I577*(100-I577)/(L577-1))</f>
        <v>0</v>
      </c>
      <c r="K577" s="18">
        <f>100-I577</f>
        <v>0</v>
      </c>
      <c r="L577" s="1">
        <f>H566</f>
        <v>56</v>
      </c>
      <c r="M577">
        <v>0</v>
      </c>
      <c r="N577" s="1">
        <v>2194.02</v>
      </c>
      <c r="O577" s="17">
        <f>N577/N582*100</f>
        <v>1.1116566319543142</v>
      </c>
      <c r="P577" s="52">
        <f>((O577*O577*(I577/100)*(K577/100))/(L577-1))</f>
        <v>0</v>
      </c>
    </row>
    <row r="578" spans="1:16" x14ac:dyDescent="0.3">
      <c r="A578" t="s">
        <v>4</v>
      </c>
      <c r="B578" s="13">
        <v>1</v>
      </c>
      <c r="C578" s="33">
        <f t="shared" ref="C578:G581" si="72">(C567/$L578)*$O578</f>
        <v>0</v>
      </c>
      <c r="D578" s="34">
        <f t="shared" si="72"/>
        <v>4.2662583477300826</v>
      </c>
      <c r="E578" s="19">
        <f t="shared" si="72"/>
        <v>0.14380646115944098</v>
      </c>
      <c r="F578" s="18">
        <f t="shared" si="72"/>
        <v>0</v>
      </c>
      <c r="G578" s="20">
        <f t="shared" si="72"/>
        <v>0</v>
      </c>
      <c r="H578" s="17">
        <f>SUM(C578:G578)</f>
        <v>4.4100648088895236</v>
      </c>
      <c r="I578" s="17">
        <f>D578/H578*100</f>
        <v>96.739130434782609</v>
      </c>
      <c r="J578" s="17">
        <f>SQRT(I578*(100-I578)/(L578-1))</f>
        <v>1.8618603664560827</v>
      </c>
      <c r="K578" s="18">
        <f>100-I578</f>
        <v>3.2608695652173907</v>
      </c>
      <c r="L578" s="1">
        <f>H567</f>
        <v>92</v>
      </c>
      <c r="M578">
        <v>1</v>
      </c>
      <c r="N578" s="1">
        <v>8703.92</v>
      </c>
      <c r="O578" s="17">
        <f>N578/N582*100</f>
        <v>4.4100648088895236</v>
      </c>
      <c r="P578" s="52">
        <f>((O578*O578*(I578/100)*(K578/100))/(L578-1))</f>
        <v>6.7419287404284255E-3</v>
      </c>
    </row>
    <row r="579" spans="1:16" x14ac:dyDescent="0.3">
      <c r="A579" t="s">
        <v>5</v>
      </c>
      <c r="B579" s="13">
        <v>2</v>
      </c>
      <c r="C579" s="33">
        <f t="shared" si="72"/>
        <v>0</v>
      </c>
      <c r="D579" s="19">
        <f t="shared" si="72"/>
        <v>0.21862647551756217</v>
      </c>
      <c r="E579" s="34">
        <f t="shared" si="72"/>
        <v>51.752009990371505</v>
      </c>
      <c r="F579" s="19">
        <f t="shared" si="72"/>
        <v>1.061900023942445</v>
      </c>
      <c r="G579" s="20">
        <f t="shared" si="72"/>
        <v>3.4355589009902627</v>
      </c>
      <c r="H579" s="17">
        <f>SUM(C579:G579)</f>
        <v>56.468095390821773</v>
      </c>
      <c r="I579" s="17">
        <f>E579/H579*100</f>
        <v>91.648230088495581</v>
      </c>
      <c r="J579" s="17">
        <f>SQRT(I579*(100-I579)/(L579-1))</f>
        <v>0.6508369863389688</v>
      </c>
      <c r="K579" s="18">
        <f>100-I579</f>
        <v>8.3517699115044195</v>
      </c>
      <c r="L579" s="1">
        <f>H568</f>
        <v>1808</v>
      </c>
      <c r="M579">
        <v>2</v>
      </c>
      <c r="N579" s="1">
        <v>111448.2</v>
      </c>
      <c r="O579" s="17">
        <f>N579/N582*100</f>
        <v>56.468095390821773</v>
      </c>
      <c r="P579" s="52">
        <f>((O579*O579*(I579/100)*(K579/100))/(L579-1))</f>
        <v>0.13506745919178051</v>
      </c>
    </row>
    <row r="580" spans="1:16" x14ac:dyDescent="0.3">
      <c r="A580" t="s">
        <v>6</v>
      </c>
      <c r="B580" s="13">
        <v>3</v>
      </c>
      <c r="C580" s="33">
        <f t="shared" si="72"/>
        <v>0</v>
      </c>
      <c r="D580" s="19">
        <f t="shared" si="72"/>
        <v>0</v>
      </c>
      <c r="E580" s="19">
        <f t="shared" si="72"/>
        <v>0.57842408937671919</v>
      </c>
      <c r="F580" s="34">
        <f t="shared" si="72"/>
        <v>16.195874502548136</v>
      </c>
      <c r="G580" s="20">
        <f t="shared" si="72"/>
        <v>3.1052240587592297</v>
      </c>
      <c r="H580" s="17">
        <f>SUM(C580:G580)</f>
        <v>19.879522650684084</v>
      </c>
      <c r="I580" s="17">
        <f>F580/H580*100</f>
        <v>81.470137825421148</v>
      </c>
      <c r="J580" s="17">
        <f>SQRT(I580*(100-I580)/(L580-1))</f>
        <v>1.5216386193197156</v>
      </c>
      <c r="K580" s="18">
        <f>100-I580</f>
        <v>18.529862174578852</v>
      </c>
      <c r="L580" s="1">
        <f>H569</f>
        <v>653</v>
      </c>
      <c r="M580">
        <v>3</v>
      </c>
      <c r="N580" s="1">
        <v>39235.199999999997</v>
      </c>
      <c r="O580" s="17">
        <f>N580/N582*100</f>
        <v>19.879522650684088</v>
      </c>
      <c r="P580" s="52">
        <f>((O580*O580*(I580/100)*(K580/100))/(L580-1))</f>
        <v>9.150291889379393E-2</v>
      </c>
    </row>
    <row r="581" spans="1:16" x14ac:dyDescent="0.3">
      <c r="A581" t="s">
        <v>7</v>
      </c>
      <c r="B581" s="13">
        <v>4</v>
      </c>
      <c r="C581" s="35">
        <f t="shared" si="72"/>
        <v>0</v>
      </c>
      <c r="D581" s="36">
        <f t="shared" si="72"/>
        <v>0</v>
      </c>
      <c r="E581" s="21">
        <f t="shared" si="72"/>
        <v>1.2036953040763685</v>
      </c>
      <c r="F581" s="21">
        <f t="shared" si="72"/>
        <v>2.3321596516479639</v>
      </c>
      <c r="G581" s="37">
        <f t="shared" si="72"/>
        <v>14.59480556192597</v>
      </c>
      <c r="H581" s="17">
        <f>SUM(C581:G581)</f>
        <v>18.130660517650302</v>
      </c>
      <c r="I581" s="17">
        <f>G581/H581*100</f>
        <v>80.497925311203318</v>
      </c>
      <c r="J581" s="17">
        <f>SQRT(I581*(100-I581)/(L581-1))</f>
        <v>2.5575676528297544</v>
      </c>
      <c r="K581" s="18">
        <f>100-I581</f>
        <v>19.502074688796682</v>
      </c>
      <c r="L581" s="1">
        <f>H570</f>
        <v>241</v>
      </c>
      <c r="M581">
        <v>4</v>
      </c>
      <c r="N581" s="1">
        <v>35783.56</v>
      </c>
      <c r="O581" s="17">
        <f>N581/N582*100</f>
        <v>18.130660517650302</v>
      </c>
      <c r="P581" s="52">
        <f>((O581*O581*(I581/100)*(K581/100))/(L581-1))</f>
        <v>0.2150213148915375</v>
      </c>
    </row>
    <row r="582" spans="1:16" x14ac:dyDescent="0.3">
      <c r="B582" t="s">
        <v>28</v>
      </c>
      <c r="C582" s="17">
        <f t="shared" ref="C582:H582" si="73">SUM(C577:C581)</f>
        <v>1.1116566319543142</v>
      </c>
      <c r="D582" s="17">
        <f t="shared" si="73"/>
        <v>4.4848848232476444</v>
      </c>
      <c r="E582" s="17">
        <f t="shared" si="73"/>
        <v>53.677935844984034</v>
      </c>
      <c r="F582" s="17">
        <f t="shared" si="73"/>
        <v>19.589934178138545</v>
      </c>
      <c r="G582" s="17">
        <f t="shared" si="73"/>
        <v>21.135588521675462</v>
      </c>
      <c r="H582" s="18">
        <f t="shared" si="73"/>
        <v>99.999999999999986</v>
      </c>
      <c r="I582" s="13" t="s">
        <v>24</v>
      </c>
      <c r="J582" s="12" t="s">
        <v>29</v>
      </c>
      <c r="N582" s="1">
        <f>SUM(N577:N581)</f>
        <v>197364.9</v>
      </c>
      <c r="O582" s="17">
        <f>SUM(O577:O581)</f>
        <v>99.999999999999986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0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0.11606217995430064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0.49325592227421339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0.52610550807277634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0.62822656506448482</v>
      </c>
      <c r="H583" s="1"/>
      <c r="I583" s="56">
        <f>(C577+D578+E579+F580+G581)/H582</f>
        <v>0.87920605034530031</v>
      </c>
      <c r="J583" s="53">
        <f>SQRT(SUM(P577:P581))/100</f>
        <v>6.6957719623471365E-3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95.125259975812554</v>
      </c>
      <c r="E584" s="17">
        <f>E579/E582*100</f>
        <v>96.412071693340835</v>
      </c>
      <c r="F584" s="17">
        <f>F580/F582*100</f>
        <v>82.674471263012094</v>
      </c>
      <c r="G584" s="17">
        <f>G581/G582*100</f>
        <v>69.053225307439931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1.9642107150026973</v>
      </c>
      <c r="E585" s="18">
        <f>SQRT((E588+E589)/(E582*E582))</f>
        <v>0.64125844080531824</v>
      </c>
      <c r="F585" s="18">
        <f>SQRT((F588+F589)/(F582*F582))</f>
        <v>3.2359466895479163</v>
      </c>
      <c r="G585" s="18">
        <f>SQRT((G588+G589)/(G582*G582))</f>
        <v>6.9301656007490617</v>
      </c>
      <c r="H585" s="1"/>
      <c r="I585" s="14"/>
    </row>
    <row r="586" spans="1:16" x14ac:dyDescent="0.3">
      <c r="B586" s="1" t="s">
        <v>37</v>
      </c>
      <c r="C586" s="18">
        <f>100-C584</f>
        <v>0</v>
      </c>
      <c r="D586" s="18">
        <f>100-D584</f>
        <v>4.8747400241874459</v>
      </c>
      <c r="E586" s="18">
        <f>100-E584</f>
        <v>3.5879283066591654</v>
      </c>
      <c r="F586" s="18">
        <f>100-F584</f>
        <v>17.325528736987906</v>
      </c>
      <c r="G586" s="18">
        <f>100-G584</f>
        <v>30.946774692560069</v>
      </c>
    </row>
    <row r="587" spans="1:16" ht="15.6" x14ac:dyDescent="0.35">
      <c r="B587" s="1" t="s">
        <v>25</v>
      </c>
      <c r="C587" s="1">
        <f>C571</f>
        <v>56</v>
      </c>
      <c r="D587" s="1">
        <f>D571</f>
        <v>96</v>
      </c>
      <c r="E587" s="1">
        <f>E571</f>
        <v>1695</v>
      </c>
      <c r="F587" s="1">
        <f>F571</f>
        <v>597</v>
      </c>
      <c r="G587" s="1">
        <f>G571</f>
        <v>406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16.020906147798982</v>
      </c>
      <c r="E588" s="18">
        <f>(O579*O579*(100-E584)*(100-E584)*(I579)*(100-I579))/((L579-1)*100)</f>
        <v>173.87544047129748</v>
      </c>
      <c r="F588" s="18">
        <f>(O580*O580*(100-F584)*(100-F584)*(I580)*(100-I580))/((L580-1)*100)</f>
        <v>2746.6792236349852</v>
      </c>
      <c r="G588" s="18">
        <f>(O581*O581*(100-G584)*(100-G584)*(I581)*(100-I581))/((L581-1)*100)</f>
        <v>20592.652906516501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61.582134904665992</v>
      </c>
      <c r="E589" s="18">
        <f>E584*E584*(SUM((H577*E577*(1-E566/H566))/(H566-1),(H578*E578*(1-E567/H567))/(H567-1), (H580*E580*(1-E569/H569))/(H569-1),(H581*E581*(1-E570/H570))/(H570-1)))</f>
        <v>1010.9593646072839</v>
      </c>
      <c r="F589" s="18">
        <f>F584*F584*(SUM((H577*F577*(1-F566/H566))/(H566-1),(H578*F578*(1-F567/H567))/(H567-1), (H579*F579*(1-F568/H568))/(H568-1),(H581*F581*(1-F570/H570))/(H570-1)))</f>
        <v>1271.8642409429829</v>
      </c>
      <c r="G589" s="18">
        <f>G584*G584*(SUM((H577*G577*(1-G566/H566))/(H566-1),(H578*G578*(1-G567/H567))/(H567-1), (H579*G579*(1-G568/H568))/(H568-1),(H580*G580*(1-G569/H569))/(H569-1)))</f>
        <v>861.72447323878237</v>
      </c>
    </row>
    <row r="590" spans="1:16" x14ac:dyDescent="0.3">
      <c r="A590" s="105" t="s">
        <v>390</v>
      </c>
      <c r="B590" s="69" t="s">
        <v>9</v>
      </c>
      <c r="C590" s="1">
        <v>261.81</v>
      </c>
      <c r="D590" s="1">
        <v>1814.62</v>
      </c>
      <c r="E590" s="1">
        <v>15099.79</v>
      </c>
      <c r="F590" s="1">
        <v>1673.8</v>
      </c>
      <c r="G590" s="1">
        <v>3240.64</v>
      </c>
      <c r="I590" t="s">
        <v>36</v>
      </c>
      <c r="J590" s="57">
        <f>SUM(C590:G590)</f>
        <v>22090.66</v>
      </c>
    </row>
    <row r="591" spans="1:16" x14ac:dyDescent="0.3">
      <c r="B591" t="s">
        <v>391</v>
      </c>
      <c r="C591" s="57">
        <f>(C590/$J590)*100</f>
        <v>1.1851615116977039</v>
      </c>
      <c r="D591" s="57">
        <f>(D590/$J590)*100</f>
        <v>8.2144218416289956</v>
      </c>
      <c r="E591" s="57">
        <f>(E590/$J590)*100</f>
        <v>68.35372958526365</v>
      </c>
      <c r="F591" s="57">
        <f>(F590/$J590)*100</f>
        <v>7.5769578636401089</v>
      </c>
      <c r="G591" s="57">
        <f>(G590/$J590)*100</f>
        <v>14.669729197769554</v>
      </c>
    </row>
    <row r="592" spans="1:16" x14ac:dyDescent="0.3">
      <c r="A592" s="361"/>
      <c r="B592" s="361"/>
      <c r="C592" s="361"/>
      <c r="D592" s="361"/>
      <c r="E592" s="361"/>
      <c r="F592" s="361"/>
      <c r="G592" s="361"/>
      <c r="H592" s="361"/>
      <c r="I592" s="361"/>
      <c r="J592" s="361"/>
      <c r="K592" s="361"/>
      <c r="L592" s="361"/>
      <c r="M592" s="361"/>
      <c r="N592" s="361"/>
      <c r="O592" s="361"/>
      <c r="P592" s="361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61"/>
      <c r="B621" s="361"/>
      <c r="C621" s="361"/>
      <c r="D621" s="361"/>
      <c r="E621" s="361"/>
      <c r="F621" s="361"/>
      <c r="G621" s="361"/>
      <c r="H621" s="361"/>
      <c r="I621" s="361"/>
      <c r="J621" s="361"/>
      <c r="K621" s="361"/>
      <c r="L621" s="361"/>
      <c r="M621" s="361"/>
      <c r="N621" s="361"/>
      <c r="O621" s="361"/>
      <c r="P621" s="361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61"/>
      <c r="B650" s="361"/>
      <c r="C650" s="361"/>
      <c r="D650" s="361"/>
      <c r="E650" s="361"/>
      <c r="F650" s="361"/>
      <c r="G650" s="361"/>
      <c r="H650" s="361"/>
      <c r="I650" s="361"/>
      <c r="J650" s="361"/>
      <c r="K650" s="361"/>
      <c r="L650" s="361"/>
      <c r="M650" s="361"/>
      <c r="N650" s="361"/>
      <c r="O650" s="361"/>
      <c r="P650" s="361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61"/>
      <c r="B679" s="361"/>
      <c r="C679" s="361"/>
      <c r="D679" s="361"/>
      <c r="E679" s="361"/>
      <c r="F679" s="361"/>
      <c r="G679" s="361"/>
      <c r="H679" s="361"/>
      <c r="I679" s="361"/>
      <c r="J679" s="361"/>
      <c r="K679" s="361"/>
      <c r="L679" s="361"/>
      <c r="M679" s="361"/>
      <c r="N679" s="361"/>
      <c r="O679" s="361"/>
      <c r="P679" s="361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61"/>
      <c r="B708" s="361"/>
      <c r="C708" s="361"/>
      <c r="D708" s="361"/>
      <c r="E708" s="361"/>
      <c r="F708" s="361"/>
      <c r="G708" s="361"/>
      <c r="H708" s="361"/>
      <c r="I708" s="361"/>
      <c r="J708" s="361"/>
      <c r="K708" s="361"/>
      <c r="L708" s="361"/>
      <c r="M708" s="361"/>
      <c r="N708" s="361"/>
      <c r="O708" s="361"/>
      <c r="P708" s="361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61"/>
      <c r="B737" s="361"/>
      <c r="C737" s="361"/>
      <c r="D737" s="361"/>
      <c r="E737" s="361"/>
      <c r="F737" s="361"/>
      <c r="G737" s="361"/>
      <c r="H737" s="361"/>
      <c r="I737" s="361"/>
      <c r="J737" s="361"/>
      <c r="K737" s="361"/>
      <c r="L737" s="361"/>
      <c r="M737" s="361"/>
      <c r="N737" s="361"/>
      <c r="O737" s="361"/>
      <c r="P737" s="361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61"/>
      <c r="B766" s="361"/>
      <c r="C766" s="361"/>
      <c r="D766" s="361"/>
      <c r="E766" s="361"/>
      <c r="F766" s="361"/>
      <c r="G766" s="361"/>
      <c r="H766" s="361"/>
      <c r="I766" s="361"/>
      <c r="J766" s="361"/>
      <c r="K766" s="361"/>
      <c r="L766" s="361"/>
      <c r="M766" s="361"/>
      <c r="N766" s="361"/>
      <c r="O766" s="361"/>
      <c r="P766" s="361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61"/>
      <c r="B795" s="361"/>
      <c r="C795" s="361"/>
      <c r="D795" s="361"/>
      <c r="E795" s="361"/>
      <c r="F795" s="361"/>
      <c r="G795" s="361"/>
      <c r="H795" s="361"/>
      <c r="I795" s="361"/>
      <c r="J795" s="361"/>
      <c r="K795" s="361"/>
      <c r="L795" s="361"/>
      <c r="M795" s="361"/>
      <c r="N795" s="361"/>
      <c r="O795" s="361"/>
      <c r="P795" s="361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61"/>
      <c r="B824" s="361"/>
      <c r="C824" s="361"/>
      <c r="D824" s="361"/>
      <c r="E824" s="361"/>
      <c r="F824" s="361"/>
      <c r="G824" s="361"/>
      <c r="H824" s="361"/>
      <c r="I824" s="361"/>
      <c r="J824" s="361"/>
      <c r="K824" s="361"/>
      <c r="L824" s="361"/>
      <c r="M824" s="361"/>
      <c r="N824" s="361"/>
      <c r="O824" s="361"/>
      <c r="P824" s="361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61"/>
      <c r="B853" s="361"/>
      <c r="C853" s="361"/>
      <c r="D853" s="361"/>
      <c r="E853" s="361"/>
      <c r="F853" s="361"/>
      <c r="G853" s="361"/>
      <c r="H853" s="361"/>
      <c r="I853" s="361"/>
      <c r="J853" s="361"/>
      <c r="K853" s="361"/>
      <c r="L853" s="361"/>
      <c r="M853" s="361"/>
      <c r="N853" s="361"/>
      <c r="O853" s="361"/>
      <c r="P853" s="361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61"/>
      <c r="B882" s="361"/>
      <c r="C882" s="361"/>
      <c r="D882" s="361"/>
      <c r="E882" s="361"/>
      <c r="F882" s="361"/>
      <c r="G882" s="361"/>
      <c r="H882" s="361"/>
      <c r="I882" s="361"/>
      <c r="J882" s="361"/>
      <c r="K882" s="361"/>
      <c r="L882" s="361"/>
      <c r="M882" s="361"/>
      <c r="N882" s="361"/>
      <c r="O882" s="361"/>
      <c r="P882" s="361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61"/>
      <c r="B911" s="361"/>
      <c r="C911" s="361"/>
      <c r="D911" s="361"/>
      <c r="E911" s="361"/>
      <c r="F911" s="361"/>
      <c r="G911" s="361"/>
      <c r="H911" s="361"/>
      <c r="I911" s="361"/>
      <c r="J911" s="361"/>
      <c r="K911" s="361"/>
      <c r="L911" s="361"/>
      <c r="M911" s="361"/>
      <c r="N911" s="361"/>
      <c r="O911" s="361"/>
      <c r="P911" s="361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61"/>
      <c r="B940" s="361"/>
      <c r="C940" s="361"/>
      <c r="D940" s="361"/>
      <c r="E940" s="361"/>
      <c r="F940" s="361"/>
      <c r="G940" s="361"/>
      <c r="H940" s="361"/>
      <c r="I940" s="361"/>
      <c r="J940" s="361"/>
      <c r="K940" s="361"/>
      <c r="L940" s="361"/>
      <c r="M940" s="361"/>
      <c r="N940" s="361"/>
      <c r="O940" s="361"/>
      <c r="P940" s="361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61"/>
      <c r="B969" s="361"/>
      <c r="C969" s="361"/>
      <c r="D969" s="361"/>
      <c r="E969" s="361"/>
      <c r="F969" s="361"/>
      <c r="G969" s="361"/>
      <c r="H969" s="361"/>
      <c r="I969" s="361"/>
      <c r="J969" s="361"/>
      <c r="K969" s="361"/>
      <c r="L969" s="361"/>
      <c r="M969" s="361"/>
      <c r="N969" s="361"/>
      <c r="O969" s="361"/>
      <c r="P969" s="361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61"/>
      <c r="B998" s="361"/>
      <c r="C998" s="361"/>
      <c r="D998" s="361"/>
      <c r="E998" s="361"/>
      <c r="F998" s="361"/>
      <c r="G998" s="361"/>
      <c r="H998" s="361"/>
      <c r="I998" s="361"/>
      <c r="J998" s="361"/>
      <c r="K998" s="361"/>
      <c r="L998" s="361"/>
      <c r="M998" s="361"/>
      <c r="N998" s="361"/>
      <c r="O998" s="361"/>
      <c r="P998" s="361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61"/>
      <c r="B1027" s="361"/>
      <c r="C1027" s="361"/>
      <c r="D1027" s="361"/>
      <c r="E1027" s="361"/>
      <c r="F1027" s="361"/>
      <c r="G1027" s="361"/>
      <c r="H1027" s="361"/>
      <c r="I1027" s="361"/>
      <c r="J1027" s="361"/>
      <c r="K1027" s="361"/>
      <c r="L1027" s="361"/>
      <c r="M1027" s="361"/>
      <c r="N1027" s="361"/>
      <c r="O1027" s="361"/>
      <c r="P1027" s="361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61"/>
      <c r="B1056" s="361"/>
      <c r="C1056" s="361"/>
      <c r="D1056" s="361"/>
      <c r="E1056" s="361"/>
      <c r="F1056" s="361"/>
      <c r="G1056" s="361"/>
      <c r="H1056" s="361"/>
      <c r="I1056" s="361"/>
      <c r="J1056" s="361"/>
      <c r="K1056" s="361"/>
      <c r="L1056" s="361"/>
      <c r="M1056" s="361"/>
      <c r="N1056" s="361"/>
      <c r="O1056" s="361"/>
      <c r="P1056" s="361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61"/>
      <c r="B1085" s="361"/>
      <c r="C1085" s="361"/>
      <c r="D1085" s="361"/>
      <c r="E1085" s="361"/>
      <c r="F1085" s="361"/>
      <c r="G1085" s="361"/>
      <c r="H1085" s="361"/>
      <c r="I1085" s="361"/>
      <c r="J1085" s="361"/>
      <c r="K1085" s="361"/>
      <c r="L1085" s="361"/>
      <c r="M1085" s="361"/>
      <c r="N1085" s="361"/>
      <c r="O1085" s="361"/>
      <c r="P1085" s="361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61"/>
      <c r="B1114" s="361"/>
      <c r="C1114" s="361"/>
      <c r="D1114" s="361"/>
      <c r="E1114" s="361"/>
      <c r="F1114" s="361"/>
      <c r="G1114" s="361"/>
      <c r="H1114" s="361"/>
      <c r="I1114" s="361"/>
      <c r="J1114" s="361"/>
      <c r="K1114" s="361"/>
      <c r="L1114" s="361"/>
      <c r="M1114" s="361"/>
      <c r="N1114" s="361"/>
      <c r="O1114" s="361"/>
      <c r="P1114" s="361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61"/>
      <c r="B1143" s="361"/>
      <c r="C1143" s="361"/>
      <c r="D1143" s="361"/>
      <c r="E1143" s="361"/>
      <c r="F1143" s="361"/>
      <c r="G1143" s="361"/>
      <c r="H1143" s="361"/>
      <c r="I1143" s="361"/>
      <c r="J1143" s="361"/>
      <c r="K1143" s="361"/>
      <c r="L1143" s="361"/>
      <c r="M1143" s="361"/>
      <c r="N1143" s="361"/>
      <c r="O1143" s="361"/>
      <c r="P1143" s="361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61"/>
      <c r="B1172" s="361"/>
      <c r="C1172" s="361"/>
      <c r="D1172" s="361"/>
      <c r="E1172" s="361"/>
      <c r="F1172" s="361"/>
      <c r="G1172" s="361"/>
      <c r="H1172" s="361"/>
      <c r="I1172" s="361"/>
      <c r="J1172" s="361"/>
      <c r="K1172" s="361"/>
      <c r="L1172" s="361"/>
      <c r="M1172" s="361"/>
      <c r="N1172" s="361"/>
      <c r="O1172" s="361"/>
      <c r="P1172" s="361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61"/>
      <c r="B1201" s="361"/>
      <c r="C1201" s="361"/>
      <c r="D1201" s="361"/>
      <c r="E1201" s="361"/>
      <c r="F1201" s="361"/>
      <c r="G1201" s="361"/>
      <c r="H1201" s="361"/>
      <c r="I1201" s="361"/>
      <c r="J1201" s="361"/>
      <c r="K1201" s="361"/>
      <c r="L1201" s="361"/>
      <c r="M1201" s="361"/>
      <c r="N1201" s="361"/>
      <c r="O1201" s="361"/>
      <c r="P1201" s="361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61"/>
      <c r="B1230" s="361"/>
      <c r="C1230" s="361"/>
      <c r="D1230" s="361"/>
      <c r="E1230" s="361"/>
      <c r="F1230" s="361"/>
      <c r="G1230" s="361"/>
      <c r="H1230" s="361"/>
      <c r="I1230" s="361"/>
      <c r="J1230" s="361"/>
      <c r="K1230" s="361"/>
      <c r="L1230" s="361"/>
      <c r="M1230" s="361"/>
      <c r="N1230" s="361"/>
      <c r="O1230" s="361"/>
      <c r="P1230" s="361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61"/>
      <c r="B1259" s="361"/>
      <c r="C1259" s="361"/>
      <c r="D1259" s="361"/>
      <c r="E1259" s="361"/>
      <c r="F1259" s="361"/>
      <c r="G1259" s="361"/>
      <c r="H1259" s="361"/>
      <c r="I1259" s="361"/>
      <c r="J1259" s="361"/>
      <c r="K1259" s="361"/>
      <c r="L1259" s="361"/>
      <c r="M1259" s="361"/>
      <c r="N1259" s="361"/>
      <c r="O1259" s="361"/>
      <c r="P1259" s="361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61"/>
      <c r="B1288" s="361"/>
      <c r="C1288" s="361"/>
      <c r="D1288" s="361"/>
      <c r="E1288" s="361"/>
      <c r="F1288" s="361"/>
      <c r="G1288" s="361"/>
      <c r="H1288" s="361"/>
      <c r="I1288" s="361"/>
      <c r="J1288" s="361"/>
      <c r="K1288" s="361"/>
      <c r="L1288" s="361"/>
      <c r="M1288" s="361"/>
      <c r="N1288" s="361"/>
      <c r="O1288" s="361"/>
      <c r="P1288" s="361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61"/>
      <c r="B1317" s="361"/>
      <c r="C1317" s="361"/>
      <c r="D1317" s="361"/>
      <c r="E1317" s="361"/>
      <c r="F1317" s="361"/>
      <c r="G1317" s="361"/>
      <c r="H1317" s="361"/>
      <c r="I1317" s="361"/>
      <c r="J1317" s="361"/>
      <c r="K1317" s="361"/>
      <c r="L1317" s="361"/>
      <c r="M1317" s="361"/>
      <c r="N1317" s="361"/>
      <c r="O1317" s="361"/>
      <c r="P1317" s="361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61"/>
      <c r="B1346" s="361"/>
      <c r="C1346" s="361"/>
      <c r="D1346" s="361"/>
      <c r="E1346" s="361"/>
      <c r="F1346" s="361"/>
      <c r="G1346" s="361"/>
      <c r="H1346" s="361"/>
      <c r="I1346" s="361"/>
      <c r="J1346" s="361"/>
      <c r="K1346" s="361"/>
      <c r="L1346" s="361"/>
      <c r="M1346" s="361"/>
      <c r="N1346" s="361"/>
      <c r="O1346" s="361"/>
      <c r="P1346" s="361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61"/>
      <c r="B1375" s="361"/>
      <c r="C1375" s="361"/>
      <c r="D1375" s="361"/>
      <c r="E1375" s="361"/>
      <c r="F1375" s="361"/>
      <c r="G1375" s="361"/>
      <c r="H1375" s="361"/>
      <c r="I1375" s="361"/>
      <c r="J1375" s="361"/>
      <c r="K1375" s="361"/>
      <c r="L1375" s="361"/>
      <c r="M1375" s="361"/>
      <c r="N1375" s="361"/>
      <c r="O1375" s="361"/>
      <c r="P1375" s="361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61"/>
      <c r="B1404" s="361"/>
      <c r="C1404" s="361"/>
      <c r="D1404" s="361"/>
      <c r="E1404" s="361"/>
      <c r="F1404" s="361"/>
      <c r="G1404" s="361"/>
      <c r="H1404" s="361"/>
      <c r="I1404" s="361"/>
      <c r="J1404" s="361"/>
      <c r="K1404" s="361"/>
      <c r="L1404" s="361"/>
      <c r="M1404" s="361"/>
      <c r="N1404" s="361"/>
      <c r="O1404" s="361"/>
      <c r="P1404" s="361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61"/>
      <c r="B1433" s="361"/>
      <c r="C1433" s="361"/>
      <c r="D1433" s="361"/>
      <c r="E1433" s="361"/>
      <c r="F1433" s="361"/>
      <c r="G1433" s="361"/>
      <c r="H1433" s="361"/>
      <c r="I1433" s="361"/>
      <c r="J1433" s="361"/>
      <c r="K1433" s="361"/>
      <c r="L1433" s="361"/>
      <c r="M1433" s="361"/>
      <c r="N1433" s="361"/>
      <c r="O1433" s="361"/>
      <c r="P1433" s="361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mergeCells count="123"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534:K534"/>
    <mergeCell ref="L534:P534"/>
    <mergeCell ref="O535:P535"/>
    <mergeCell ref="A563:K563"/>
    <mergeCell ref="L563:P563"/>
    <mergeCell ref="O564:P564"/>
    <mergeCell ref="A476:K476"/>
    <mergeCell ref="L476:P476"/>
    <mergeCell ref="O477:P477"/>
    <mergeCell ref="A505:K505"/>
    <mergeCell ref="L505:P505"/>
    <mergeCell ref="O506:P506"/>
    <mergeCell ref="A418:K418"/>
    <mergeCell ref="L418:P418"/>
    <mergeCell ref="O419:P419"/>
    <mergeCell ref="A447:K447"/>
    <mergeCell ref="L447:P447"/>
    <mergeCell ref="O448:P448"/>
    <mergeCell ref="A360:K360"/>
    <mergeCell ref="L360:P360"/>
    <mergeCell ref="O361:P361"/>
    <mergeCell ref="A389:K389"/>
    <mergeCell ref="L389:P389"/>
    <mergeCell ref="O390:P390"/>
    <mergeCell ref="A302:K302"/>
    <mergeCell ref="L302:P302"/>
    <mergeCell ref="O303:P303"/>
    <mergeCell ref="A331:K331"/>
    <mergeCell ref="L331:P331"/>
    <mergeCell ref="O332:P332"/>
    <mergeCell ref="A244:K244"/>
    <mergeCell ref="L244:P244"/>
    <mergeCell ref="O245:P245"/>
    <mergeCell ref="A273:K273"/>
    <mergeCell ref="L273:P273"/>
    <mergeCell ref="O274:P274"/>
    <mergeCell ref="A215:K215"/>
    <mergeCell ref="L215:P215"/>
    <mergeCell ref="O216:P216"/>
    <mergeCell ref="A128:K128"/>
    <mergeCell ref="L128:P128"/>
    <mergeCell ref="O129:P129"/>
    <mergeCell ref="A157:K157"/>
    <mergeCell ref="L157:P157"/>
    <mergeCell ref="O158:P158"/>
    <mergeCell ref="O100:P100"/>
    <mergeCell ref="A41:K41"/>
    <mergeCell ref="L41:P41"/>
    <mergeCell ref="O42:P42"/>
    <mergeCell ref="A70:K70"/>
    <mergeCell ref="L70:P70"/>
    <mergeCell ref="A186:K186"/>
    <mergeCell ref="L186:P186"/>
    <mergeCell ref="O187:P187"/>
    <mergeCell ref="BF5:BN5"/>
    <mergeCell ref="A12:K12"/>
    <mergeCell ref="L12:P12"/>
    <mergeCell ref="O13:P13"/>
    <mergeCell ref="O71:P71"/>
    <mergeCell ref="AJ80:AT80"/>
    <mergeCell ref="AU80:AY80"/>
    <mergeCell ref="A99:K99"/>
    <mergeCell ref="L99:P9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EECFF-0BF2-472D-B4EA-234471205424}">
  <dimension ref="A1:BN1459"/>
  <sheetViews>
    <sheetView topLeftCell="AH87" zoomScale="80" zoomScaleNormal="80" workbookViewId="0">
      <selection activeCell="AL109" sqref="AL109:AS135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  <col min="63" max="64" width="12" bestFit="1" customWidth="1"/>
    <col min="65" max="65" width="9.109375" bestFit="1" customWidth="1"/>
  </cols>
  <sheetData>
    <row r="1" spans="1:66" x14ac:dyDescent="0.3">
      <c r="A1" s="12"/>
      <c r="B1" s="12" t="s">
        <v>10</v>
      </c>
      <c r="C1" s="12"/>
      <c r="D1" s="12"/>
      <c r="E1" s="12"/>
      <c r="F1" s="12"/>
      <c r="G1" t="s">
        <v>47</v>
      </c>
    </row>
    <row r="2" spans="1:66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G2" t="s">
        <v>46</v>
      </c>
      <c r="AG2" s="51" t="s">
        <v>127</v>
      </c>
      <c r="AH2" s="51" t="s">
        <v>131</v>
      </c>
    </row>
    <row r="3" spans="1:66" x14ac:dyDescent="0.3">
      <c r="A3" s="12" t="s">
        <v>3</v>
      </c>
      <c r="B3" s="103">
        <v>175.36</v>
      </c>
      <c r="C3" s="22">
        <f>B3/$B$8</f>
        <v>5.8291477331276827E-2</v>
      </c>
      <c r="D3" s="85">
        <v>0.02</v>
      </c>
      <c r="E3" s="86">
        <f>D3-C3</f>
        <v>-3.829147733127683E-2</v>
      </c>
      <c r="F3" s="12" t="s">
        <v>49</v>
      </c>
      <c r="G3" t="s">
        <v>50</v>
      </c>
      <c r="AG3" s="51" t="s">
        <v>128</v>
      </c>
      <c r="AH3" s="51" t="s">
        <v>134</v>
      </c>
    </row>
    <row r="4" spans="1:66" x14ac:dyDescent="0.3">
      <c r="A4" s="12" t="s">
        <v>4</v>
      </c>
      <c r="B4" s="103">
        <v>249.32</v>
      </c>
      <c r="C4" s="22">
        <f>B4/$B$8</f>
        <v>8.2876546123596809E-2</v>
      </c>
      <c r="D4" s="85">
        <v>7.0000000000000007E-2</v>
      </c>
      <c r="E4" s="86">
        <f>D4-C4</f>
        <v>-1.2876546123596802E-2</v>
      </c>
      <c r="F4" s="12" t="s">
        <v>49</v>
      </c>
      <c r="G4" t="s">
        <v>55</v>
      </c>
      <c r="AG4" s="51" t="s">
        <v>129</v>
      </c>
      <c r="AH4" s="51" t="s">
        <v>132</v>
      </c>
    </row>
    <row r="5" spans="1:66" ht="18" x14ac:dyDescent="0.35">
      <c r="A5" s="12" t="s">
        <v>5</v>
      </c>
      <c r="B5" s="103">
        <v>1402.65</v>
      </c>
      <c r="C5" s="22">
        <f>B5/$B$8</f>
        <v>0.46625536427187181</v>
      </c>
      <c r="D5" s="85">
        <v>0.48</v>
      </c>
      <c r="E5" s="86">
        <f>D5-C5</f>
        <v>1.3744635728128174E-2</v>
      </c>
      <c r="F5" s="12"/>
      <c r="AG5" s="51" t="s">
        <v>130</v>
      </c>
      <c r="AH5" s="51" t="s">
        <v>133</v>
      </c>
      <c r="BF5" s="362" t="s">
        <v>359</v>
      </c>
      <c r="BG5" s="362"/>
      <c r="BH5" s="362"/>
      <c r="BI5" s="362"/>
      <c r="BJ5" s="362"/>
      <c r="BK5" s="362"/>
      <c r="BL5" s="362"/>
      <c r="BM5" s="362"/>
      <c r="BN5" s="362"/>
    </row>
    <row r="6" spans="1:66" x14ac:dyDescent="0.3">
      <c r="A6" s="12" t="s">
        <v>6</v>
      </c>
      <c r="B6" s="103">
        <v>728.96</v>
      </c>
      <c r="C6" s="22">
        <f>B6/$B$8</f>
        <v>0.2423138418989938</v>
      </c>
      <c r="D6" s="85">
        <v>0.28000000000000003</v>
      </c>
      <c r="E6" s="86">
        <f>D6-C6</f>
        <v>3.7686158101006229E-2</v>
      </c>
      <c r="F6" s="12"/>
      <c r="I6" s="12"/>
      <c r="J6" s="12" t="s">
        <v>54</v>
      </c>
      <c r="K6" s="12"/>
      <c r="AG6" s="51" t="s">
        <v>155</v>
      </c>
      <c r="AH6" s="51" t="s">
        <v>157</v>
      </c>
      <c r="BF6" s="12" t="s">
        <v>376</v>
      </c>
    </row>
    <row r="7" spans="1:66" x14ac:dyDescent="0.3">
      <c r="A7" s="12" t="s">
        <v>7</v>
      </c>
      <c r="B7" s="103">
        <v>452.04</v>
      </c>
      <c r="C7" s="22">
        <f>B7/$B$8</f>
        <v>0.15026277037426081</v>
      </c>
      <c r="D7" s="85">
        <v>0.15</v>
      </c>
      <c r="E7" s="86">
        <f>D7-C7</f>
        <v>-2.6277037426081229E-4</v>
      </c>
      <c r="F7" s="12"/>
      <c r="I7" s="12"/>
      <c r="J7" s="12">
        <v>21517</v>
      </c>
      <c r="K7" s="12"/>
      <c r="AG7" s="51" t="s">
        <v>156</v>
      </c>
      <c r="AH7" s="51" t="s">
        <v>158</v>
      </c>
    </row>
    <row r="8" spans="1:66" ht="18" x14ac:dyDescent="0.35">
      <c r="A8" s="12"/>
      <c r="B8" s="103">
        <f>SUM(B3:B7)</f>
        <v>3008.33</v>
      </c>
      <c r="C8" s="61">
        <f>SUM(C3:C7)</f>
        <v>1</v>
      </c>
      <c r="D8" s="12"/>
      <c r="E8" s="12" t="s">
        <v>16</v>
      </c>
      <c r="F8" s="12">
        <v>198380</v>
      </c>
      <c r="I8" s="12" t="s">
        <v>60</v>
      </c>
      <c r="J8" s="12" t="s">
        <v>54</v>
      </c>
      <c r="K8" s="12" t="s">
        <v>59</v>
      </c>
      <c r="AG8" s="51" t="s">
        <v>210</v>
      </c>
      <c r="AH8" s="51" t="s">
        <v>215</v>
      </c>
      <c r="BF8" s="83" t="s">
        <v>360</v>
      </c>
    </row>
    <row r="9" spans="1:66" x14ac:dyDescent="0.3">
      <c r="A9" s="12"/>
      <c r="B9" s="87">
        <f>B8/0.09</f>
        <v>33425.888888888891</v>
      </c>
      <c r="C9" s="12" t="s">
        <v>48</v>
      </c>
      <c r="D9" s="12"/>
      <c r="E9" s="12" t="s">
        <v>51</v>
      </c>
      <c r="F9" s="88">
        <f>B8/F8</f>
        <v>1.5164482306684142E-2</v>
      </c>
      <c r="I9" s="12">
        <v>11560</v>
      </c>
      <c r="J9" s="12">
        <v>19694</v>
      </c>
      <c r="K9" s="89">
        <f>(J7-J9)/J7</f>
        <v>8.4723706836454901E-2</v>
      </c>
      <c r="AG9" s="51" t="s">
        <v>211</v>
      </c>
      <c r="AH9" s="51" t="s">
        <v>216</v>
      </c>
    </row>
    <row r="10" spans="1:66" x14ac:dyDescent="0.3">
      <c r="A10" s="130" t="s">
        <v>417</v>
      </c>
      <c r="B10" s="131">
        <v>43418</v>
      </c>
      <c r="F10" s="46"/>
      <c r="I10" s="89">
        <f>I9/(I9+J9)</f>
        <v>0.36987265629999361</v>
      </c>
      <c r="J10" s="89">
        <f>J9/(J9+I9)</f>
        <v>0.63012734370000645</v>
      </c>
      <c r="K10" s="12"/>
      <c r="AG10" s="51" t="s">
        <v>212</v>
      </c>
      <c r="AH10" s="51" t="s">
        <v>217</v>
      </c>
      <c r="BF10" s="82" t="s">
        <v>335</v>
      </c>
      <c r="BG10" s="1">
        <v>0.05</v>
      </c>
      <c r="BH10" s="59" t="s">
        <v>336</v>
      </c>
      <c r="BI10" s="1">
        <v>20</v>
      </c>
      <c r="BJ10" s="59" t="s">
        <v>347</v>
      </c>
      <c r="BK10" s="1">
        <f>_xlfn.VAR.S(BF13:BF32)*(BI10-1)</f>
        <v>2.5982909753884879E-5</v>
      </c>
    </row>
    <row r="11" spans="1:66" x14ac:dyDescent="0.3">
      <c r="B11" s="18"/>
      <c r="F11" s="46"/>
      <c r="I11" s="45"/>
      <c r="J11" s="45"/>
      <c r="AG11" s="51" t="s">
        <v>213</v>
      </c>
      <c r="AH11" s="51" t="s">
        <v>218</v>
      </c>
      <c r="BJ11" s="13" t="s">
        <v>353</v>
      </c>
      <c r="BK11" s="13" t="s">
        <v>348</v>
      </c>
    </row>
    <row r="12" spans="1:66" x14ac:dyDescent="0.3">
      <c r="A12" s="361" t="s">
        <v>397</v>
      </c>
      <c r="B12" s="361"/>
      <c r="C12" s="361"/>
      <c r="D12" s="361"/>
      <c r="E12" s="361"/>
      <c r="F12" s="361"/>
      <c r="G12" s="361"/>
      <c r="H12" s="361"/>
      <c r="I12" s="361"/>
      <c r="J12" s="361"/>
      <c r="K12" s="361"/>
      <c r="L12" s="361" t="s">
        <v>52</v>
      </c>
      <c r="M12" s="361"/>
      <c r="N12" s="361"/>
      <c r="O12" s="361"/>
      <c r="P12" s="361"/>
      <c r="R12" s="47" t="s">
        <v>397</v>
      </c>
      <c r="S12" s="47" t="s">
        <v>41</v>
      </c>
      <c r="T12" s="47"/>
      <c r="U12" s="47"/>
      <c r="V12" s="47"/>
      <c r="W12" s="47"/>
      <c r="X12" s="47"/>
      <c r="Y12" s="47"/>
      <c r="Z12" s="47"/>
      <c r="AA12" s="47"/>
      <c r="AB12" s="47" t="s">
        <v>63</v>
      </c>
      <c r="AC12" s="47"/>
      <c r="AD12" s="47"/>
      <c r="AE12" s="47"/>
      <c r="AF12" s="47"/>
      <c r="AG12" s="51" t="s">
        <v>214</v>
      </c>
      <c r="AH12" s="51" t="s">
        <v>219</v>
      </c>
      <c r="AW12" s="66"/>
      <c r="AX12" s="77" t="s">
        <v>328</v>
      </c>
      <c r="AY12" s="77" t="s">
        <v>331</v>
      </c>
      <c r="AZ12" s="77" t="s">
        <v>329</v>
      </c>
      <c r="BA12" s="77" t="s">
        <v>330</v>
      </c>
      <c r="BB12" s="77" t="s">
        <v>332</v>
      </c>
      <c r="BC12" s="77" t="s">
        <v>333</v>
      </c>
      <c r="BD12" s="77" t="s">
        <v>372</v>
      </c>
      <c r="BE12" s="13"/>
      <c r="BF12" s="12" t="s">
        <v>334</v>
      </c>
      <c r="BH12" s="59" t="s">
        <v>337</v>
      </c>
      <c r="BI12" s="49">
        <v>0.47339999999999999</v>
      </c>
      <c r="BJ12" s="1">
        <f>BF32-BF13</f>
        <v>4.7456302124759819E-3</v>
      </c>
      <c r="BK12" s="1">
        <f>BI12*BJ12</f>
        <v>2.2465813425861297E-3</v>
      </c>
    </row>
    <row r="13" spans="1:66" x14ac:dyDescent="0.3">
      <c r="A13" t="s">
        <v>320</v>
      </c>
      <c r="B13" t="s">
        <v>21</v>
      </c>
      <c r="I13" s="1" t="s">
        <v>58</v>
      </c>
      <c r="O13" s="360" t="s">
        <v>411</v>
      </c>
      <c r="P13" s="360"/>
      <c r="AG13" s="51" t="s">
        <v>324</v>
      </c>
      <c r="AH13" s="51" t="s">
        <v>326</v>
      </c>
      <c r="AW13" s="51" t="s">
        <v>131</v>
      </c>
      <c r="AX13" s="80">
        <f>MIN($AE$16:$AE$20)</f>
        <v>0.94091681880990952</v>
      </c>
      <c r="AY13" s="80">
        <f>_xlfn.QUARTILE.EXC($AE$16:$AE$20,1)</f>
        <v>0.94194236320024705</v>
      </c>
      <c r="AZ13" s="80">
        <f>MEDIAN($AE$16:$AE$20)</f>
        <v>0.94313776080508172</v>
      </c>
      <c r="BA13" s="80">
        <f>AVERAGE($AE$16:$AE$20)</f>
        <v>0.94305199299777254</v>
      </c>
      <c r="BB13" s="80">
        <f>_xlfn.QUARTILE.EXC(AE16:AE20,3)</f>
        <v>0.94411873889164344</v>
      </c>
      <c r="BC13" s="80">
        <f>MAX(AE16:AE20)</f>
        <v>0.94476029677779583</v>
      </c>
      <c r="BD13" s="80">
        <f>(BB13-AY13)/AZ13</f>
        <v>2.3075904516203379E-3</v>
      </c>
      <c r="BE13" s="80"/>
      <c r="BF13" s="51">
        <v>0.94001455968862724</v>
      </c>
      <c r="BH13" s="59" t="s">
        <v>338</v>
      </c>
      <c r="BI13" s="49">
        <v>0.3211</v>
      </c>
      <c r="BJ13" s="1">
        <f>BF31-BF14</f>
        <v>3.1080169891036791E-3</v>
      </c>
      <c r="BK13" s="1">
        <f t="shared" ref="BK13:BK21" si="0">BI13*BJ13</f>
        <v>9.9798425520119128E-4</v>
      </c>
    </row>
    <row r="14" spans="1:66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56</v>
      </c>
      <c r="O14" s="13" t="s">
        <v>412</v>
      </c>
      <c r="P14" s="13" t="s">
        <v>41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325</v>
      </c>
      <c r="AH14" s="51" t="s">
        <v>327</v>
      </c>
      <c r="AW14" s="51" t="s">
        <v>134</v>
      </c>
      <c r="AX14" s="80">
        <f>MIN($AE$16:$AE$25)</f>
        <v>0.94091681880990952</v>
      </c>
      <c r="AY14" s="80">
        <f>_xlfn.QUARTILE.EXC($AE$16:$AE$25,1)</f>
        <v>0.94237622865645854</v>
      </c>
      <c r="AZ14" s="80">
        <f>MEDIAN($AE$16:$AE$25)</f>
        <v>0.94305283419783326</v>
      </c>
      <c r="BA14" s="80">
        <f>AVERAGE($AE$16:$AE$25)</f>
        <v>0.942929731989952</v>
      </c>
      <c r="BB14" s="80">
        <f>_xlfn.QUARTILE.EXC($AE$16:$AE$25,3)</f>
        <v>0.94349038501192783</v>
      </c>
      <c r="BC14" s="80">
        <f>MAX($AE$16:$AE$25)</f>
        <v>0.94476029677779583</v>
      </c>
      <c r="BD14" s="80">
        <f t="shared" ref="BD14:BD23" si="1">(BB14-AY14)/AZ14</f>
        <v>1.1814357743985854E-3</v>
      </c>
      <c r="BE14" s="80"/>
      <c r="BF14" s="56">
        <v>0.94091692622885559</v>
      </c>
      <c r="BH14" s="59" t="s">
        <v>339</v>
      </c>
      <c r="BI14" s="49">
        <v>0.25650000000000001</v>
      </c>
      <c r="BJ14" s="1">
        <f>BF30-BF15</f>
        <v>2.7675701081385506E-3</v>
      </c>
      <c r="BK14" s="1">
        <f t="shared" si="0"/>
        <v>7.0988173273753828E-4</v>
      </c>
    </row>
    <row r="15" spans="1:66" x14ac:dyDescent="0.3">
      <c r="A15" t="s">
        <v>3</v>
      </c>
      <c r="B15" s="13">
        <v>0</v>
      </c>
      <c r="C15" s="26">
        <v>259</v>
      </c>
      <c r="D15" s="3">
        <v>0</v>
      </c>
      <c r="E15" s="3">
        <v>0</v>
      </c>
      <c r="F15" s="3">
        <v>0</v>
      </c>
      <c r="G15" s="4">
        <v>0</v>
      </c>
      <c r="H15" s="1">
        <f>SUM(C15:G15)</f>
        <v>259</v>
      </c>
      <c r="I15" s="10">
        <f>C15/H15</f>
        <v>1</v>
      </c>
      <c r="J15" s="11">
        <f>1-I15</f>
        <v>0</v>
      </c>
      <c r="K15">
        <f>H15-C20</f>
        <v>0</v>
      </c>
      <c r="N15" s="10">
        <f>2*(C21*I15)/(C21+I15)</f>
        <v>1</v>
      </c>
      <c r="O15" s="1"/>
      <c r="P15" s="1"/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77</v>
      </c>
      <c r="AF15" s="12" t="s">
        <v>29</v>
      </c>
      <c r="AH15" t="s">
        <v>125</v>
      </c>
      <c r="AI15" t="s">
        <v>126</v>
      </c>
      <c r="AW15" s="51" t="s">
        <v>132</v>
      </c>
      <c r="AX15" s="80">
        <f>MIN($AE$16:$AE$35)</f>
        <v>0.94001468171878155</v>
      </c>
      <c r="AY15" s="80">
        <f>_xlfn.QUARTILE.EXC($AE$16:$AE$35,1)</f>
        <v>0.94215802789340009</v>
      </c>
      <c r="AZ15" s="126">
        <f>MEDIAN($AE$16:$AE$35)</f>
        <v>0.94311806859713654</v>
      </c>
      <c r="BA15" s="126">
        <f>AVERAGE($AE$16:$AE$35)</f>
        <v>0.94282078463170649</v>
      </c>
      <c r="BB15" s="80">
        <f>_xlfn.QUARTILE.EXC($AE$16:$AE$35,3)</f>
        <v>0.94368988501480833</v>
      </c>
      <c r="BC15" s="80">
        <f>MAX($AE$16:$AE$35)</f>
        <v>0.94476029677779583</v>
      </c>
      <c r="BD15" s="80">
        <f t="shared" si="1"/>
        <v>1.6242474536479188E-3</v>
      </c>
      <c r="BE15" s="80"/>
      <c r="BF15" s="51">
        <v>0.94104689789469886</v>
      </c>
      <c r="BH15" s="59" t="s">
        <v>340</v>
      </c>
      <c r="BI15" s="49">
        <v>0.20849999999999999</v>
      </c>
      <c r="BJ15" s="1">
        <f>BF29-BF16</f>
        <v>1.975820030801545E-3</v>
      </c>
      <c r="BK15" s="1">
        <f t="shared" si="0"/>
        <v>4.1195847642212211E-4</v>
      </c>
    </row>
    <row r="16" spans="1:66" x14ac:dyDescent="0.3">
      <c r="A16" t="s">
        <v>4</v>
      </c>
      <c r="B16" s="13">
        <v>1</v>
      </c>
      <c r="C16" s="5">
        <v>0</v>
      </c>
      <c r="D16" s="27">
        <v>337</v>
      </c>
      <c r="E16" s="1">
        <v>2</v>
      </c>
      <c r="F16" s="1">
        <v>0</v>
      </c>
      <c r="G16" s="6">
        <v>0</v>
      </c>
      <c r="H16" s="1">
        <f>SUM(C16:G16)</f>
        <v>339</v>
      </c>
      <c r="I16" s="10">
        <f>D16/H16</f>
        <v>0.99410029498525077</v>
      </c>
      <c r="J16" s="11">
        <f>1-I16</f>
        <v>5.8997050147492347E-3</v>
      </c>
      <c r="K16">
        <f>H16-D20</f>
        <v>-86</v>
      </c>
      <c r="N16" s="10">
        <f>2*(D21*I16)/(D21+I16)</f>
        <v>0.88219895287958117</v>
      </c>
      <c r="O16" s="1"/>
      <c r="P16" s="1"/>
      <c r="R16" t="s">
        <v>70</v>
      </c>
      <c r="S16" t="s">
        <v>28</v>
      </c>
      <c r="T16" s="57">
        <f t="shared" ref="T16:X19" si="2">C31</f>
        <v>1.1518021788642248</v>
      </c>
      <c r="U16" s="57">
        <f t="shared" si="2"/>
        <v>6.6475709734838553</v>
      </c>
      <c r="V16" s="57">
        <f t="shared" si="2"/>
        <v>59.221257389884258</v>
      </c>
      <c r="W16" s="57">
        <f t="shared" si="2"/>
        <v>21.501638726711803</v>
      </c>
      <c r="X16" s="57">
        <f t="shared" si="2"/>
        <v>11.477730731055857</v>
      </c>
      <c r="AC16" t="s">
        <v>70</v>
      </c>
      <c r="AD16" s="51">
        <f>I21</f>
        <v>0.94558823529411762</v>
      </c>
      <c r="AE16" s="51">
        <f>I32</f>
        <v>0.94313776080508172</v>
      </c>
      <c r="AF16" s="55">
        <f>J32</f>
        <v>2.1761503071704327E-3</v>
      </c>
      <c r="AH16">
        <v>21</v>
      </c>
      <c r="AI16">
        <v>32</v>
      </c>
      <c r="AW16" s="51" t="s">
        <v>133</v>
      </c>
      <c r="AX16" s="80">
        <f>MIN($AE$16:$AE$45)</f>
        <v>0.938580400416137</v>
      </c>
      <c r="AY16" s="80">
        <f>_xlfn.QUARTILE.EXC($AE$16:$AE$45,1)</f>
        <v>0.9419999695158886</v>
      </c>
      <c r="AZ16" s="80">
        <f>MEDIAN($AE$16:$AE$45)</f>
        <v>0.94316784856406422</v>
      </c>
      <c r="BA16" s="80">
        <f>AVERAGE($AE$16:$AE$45)</f>
        <v>0.94288883255393641</v>
      </c>
      <c r="BB16" s="80">
        <f>_xlfn.QUARTILE.EXC($AE$16:$AE$45,3)</f>
        <v>0.94383384857246833</v>
      </c>
      <c r="BC16" s="80">
        <f>MAX($AE$16:$AE$45)</f>
        <v>0.94521124865647599</v>
      </c>
      <c r="BD16" s="80">
        <f t="shared" si="1"/>
        <v>1.9443824971045525E-3</v>
      </c>
      <c r="BE16" s="80"/>
      <c r="BF16" s="51">
        <v>0.94178385925081121</v>
      </c>
      <c r="BH16" s="59" t="s">
        <v>341</v>
      </c>
      <c r="BI16" s="49">
        <v>0.1686</v>
      </c>
      <c r="BJ16" s="1">
        <f>BF28-BF17</f>
        <v>1.6938180735492914E-3</v>
      </c>
      <c r="BK16" s="1">
        <f t="shared" si="0"/>
        <v>2.8557772720041053E-4</v>
      </c>
    </row>
    <row r="17" spans="1:66" x14ac:dyDescent="0.3">
      <c r="A17" t="s">
        <v>5</v>
      </c>
      <c r="B17" s="13">
        <v>2</v>
      </c>
      <c r="C17" s="5">
        <v>0</v>
      </c>
      <c r="D17" s="1">
        <v>88</v>
      </c>
      <c r="E17" s="27">
        <v>7174</v>
      </c>
      <c r="F17" s="1">
        <v>51</v>
      </c>
      <c r="G17" s="6">
        <v>86</v>
      </c>
      <c r="H17" s="1">
        <f>SUM(C17:G17)</f>
        <v>7399</v>
      </c>
      <c r="I17" s="10">
        <f>E17/H17</f>
        <v>0.96959048520070279</v>
      </c>
      <c r="J17" s="11">
        <f>1-I17</f>
        <v>3.040951479929721E-2</v>
      </c>
      <c r="K17">
        <f>H17-E20</f>
        <v>154</v>
      </c>
      <c r="N17" s="10">
        <f>2*(E21*I17)/(E21+I17)</f>
        <v>0.9797869434580716</v>
      </c>
      <c r="O17" s="1"/>
      <c r="P17" s="1"/>
      <c r="S17" s="66" t="s">
        <v>39</v>
      </c>
      <c r="T17" s="67">
        <f t="shared" si="2"/>
        <v>0</v>
      </c>
      <c r="U17" s="67">
        <f t="shared" si="2"/>
        <v>8.0026414446969132E-2</v>
      </c>
      <c r="V17" s="67">
        <f t="shared" si="2"/>
        <v>0.14597097464737094</v>
      </c>
      <c r="W17" s="67">
        <f t="shared" si="2"/>
        <v>0.18228075011976277</v>
      </c>
      <c r="X17" s="67">
        <f t="shared" si="2"/>
        <v>0.18811640242510091</v>
      </c>
      <c r="AC17" t="s">
        <v>71</v>
      </c>
      <c r="AD17" s="51">
        <f>I50</f>
        <v>0.94567474048442901</v>
      </c>
      <c r="AE17" s="51">
        <f>I61</f>
        <v>0.94296790759058469</v>
      </c>
      <c r="AF17" s="55">
        <f>J61</f>
        <v>2.1903859550797102E-3</v>
      </c>
      <c r="AH17">
        <v>50</v>
      </c>
      <c r="AI17">
        <v>61</v>
      </c>
      <c r="AW17" s="51" t="s">
        <v>157</v>
      </c>
      <c r="AX17" s="80">
        <f>MIN($AE$16:$AE$55)</f>
        <v>0.938580400416137</v>
      </c>
      <c r="AY17" s="80">
        <f>_xlfn.QUARTILE.EXC($AE$16:$AE$55,1)</f>
        <v>0.94192209263307491</v>
      </c>
      <c r="AZ17" s="80">
        <f>MEDIAN($AE$16:$AE$55)</f>
        <v>0.9430006808542859</v>
      </c>
      <c r="BA17" s="80">
        <f>AVERAGE($AE$16:$AE$55)</f>
        <v>0.94279226414529183</v>
      </c>
      <c r="BB17" s="80">
        <f>_xlfn.QUARTILE.EXC($AE$16:$AE$55,3)</f>
        <v>0.94375544373616937</v>
      </c>
      <c r="BC17" s="80">
        <f>MAX($AE$16:$AE$55)</f>
        <v>0.94521124865647599</v>
      </c>
      <c r="BD17" s="80">
        <f t="shared" si="1"/>
        <v>1.9441673164367027E-3</v>
      </c>
      <c r="BE17" s="80"/>
      <c r="BF17" s="51">
        <v>0.94204890901559157</v>
      </c>
      <c r="BH17" s="59" t="s">
        <v>342</v>
      </c>
      <c r="BI17" s="49">
        <v>0.13339999999999999</v>
      </c>
      <c r="BJ17" s="1">
        <f>BF27-BF18</f>
        <v>1.0444070247890291E-3</v>
      </c>
      <c r="BK17" s="1">
        <f t="shared" si="0"/>
        <v>1.3932389710685647E-4</v>
      </c>
    </row>
    <row r="18" spans="1:66" x14ac:dyDescent="0.3">
      <c r="A18" t="s">
        <v>6</v>
      </c>
      <c r="B18" s="13">
        <v>3</v>
      </c>
      <c r="C18" s="5">
        <v>0</v>
      </c>
      <c r="D18" s="1">
        <v>0</v>
      </c>
      <c r="E18" s="1">
        <v>43</v>
      </c>
      <c r="F18" s="27">
        <v>2358</v>
      </c>
      <c r="G18" s="6">
        <v>202</v>
      </c>
      <c r="H18" s="1">
        <f>SUM(C18:G18)</f>
        <v>2603</v>
      </c>
      <c r="I18" s="10">
        <f>F18/H18</f>
        <v>0.9058778332693046</v>
      </c>
      <c r="J18" s="11">
        <f>1-I18</f>
        <v>9.41221667306954E-2</v>
      </c>
      <c r="K18">
        <f>H18-F20</f>
        <v>63</v>
      </c>
      <c r="N18" s="10">
        <f>2*(F21*I18)/(F21+I18)</f>
        <v>0.91697452848531968</v>
      </c>
      <c r="O18" s="1"/>
      <c r="P18" s="1"/>
      <c r="S18" s="70" t="s">
        <v>30</v>
      </c>
      <c r="T18" s="64">
        <f t="shared" si="2"/>
        <v>100</v>
      </c>
      <c r="U18" s="64">
        <f t="shared" si="2"/>
        <v>89.198922606613834</v>
      </c>
      <c r="V18" s="64">
        <f t="shared" si="2"/>
        <v>98.83963588620837</v>
      </c>
      <c r="W18" s="64">
        <f t="shared" si="2"/>
        <v>91.162695652651948</v>
      </c>
      <c r="X18" s="64">
        <f t="shared" si="2"/>
        <v>79.256638640351113</v>
      </c>
      <c r="AC18" t="s">
        <v>72</v>
      </c>
      <c r="AD18" s="51">
        <f>I79</f>
        <v>0.94602076124567469</v>
      </c>
      <c r="AE18" s="51">
        <f>I90</f>
        <v>0.94347718100549116</v>
      </c>
      <c r="AF18" s="55">
        <f>J90</f>
        <v>2.1771862769300989E-3</v>
      </c>
      <c r="AH18">
        <v>79</v>
      </c>
      <c r="AI18">
        <v>90</v>
      </c>
      <c r="AW18" s="51" t="s">
        <v>158</v>
      </c>
      <c r="AX18" s="80">
        <f>MIN($AE$16:$AE$65)</f>
        <v>0.938580400416137</v>
      </c>
      <c r="AY18" s="80">
        <f>_xlfn.QUARTILE.EXC($AE$16:$AE$65,1)</f>
        <v>0.94183579639317494</v>
      </c>
      <c r="AZ18" s="80">
        <f>MEDIAN($AE$16:$AE$65)</f>
        <v>0.94291748919418494</v>
      </c>
      <c r="BA18" s="80">
        <f>AVERAGE($AE$16:$AE$65)</f>
        <v>0.94274502345564171</v>
      </c>
      <c r="BB18" s="80">
        <f>_xlfn.QUARTILE.EXC($AE$16:$AE$65,3)</f>
        <v>0.9437472685849444</v>
      </c>
      <c r="BC18" s="80">
        <f>MAX($AE$16:$AE$65)</f>
        <v>0.94631844427879697</v>
      </c>
      <c r="BD18" s="80">
        <f t="shared" si="1"/>
        <v>2.027189243677088E-3</v>
      </c>
      <c r="BE18" s="80"/>
      <c r="BF18" s="51">
        <v>0.94248569468298615</v>
      </c>
      <c r="BH18" s="59" t="s">
        <v>343</v>
      </c>
      <c r="BI18" s="49">
        <v>0.1013</v>
      </c>
      <c r="BJ18" s="1">
        <f>BF26-BF19</f>
        <v>9.6551835221136972E-4</v>
      </c>
      <c r="BK18" s="1">
        <f t="shared" si="0"/>
        <v>9.780700907901176E-5</v>
      </c>
    </row>
    <row r="19" spans="1:66" x14ac:dyDescent="0.3">
      <c r="A19" t="s">
        <v>7</v>
      </c>
      <c r="B19" s="13">
        <v>4</v>
      </c>
      <c r="C19" s="7">
        <v>0</v>
      </c>
      <c r="D19" s="8">
        <v>0</v>
      </c>
      <c r="E19" s="8">
        <v>26</v>
      </c>
      <c r="F19" s="8">
        <v>131</v>
      </c>
      <c r="G19" s="28">
        <v>803</v>
      </c>
      <c r="H19" s="1">
        <f>SUM(C19:G19)</f>
        <v>960</v>
      </c>
      <c r="I19" s="10">
        <f>G19/H19</f>
        <v>0.8364583333333333</v>
      </c>
      <c r="J19" s="11">
        <f>1-I19</f>
        <v>0.1635416666666667</v>
      </c>
      <c r="K19">
        <f>H19-G20</f>
        <v>-131</v>
      </c>
      <c r="N19" s="10">
        <f>2*(G21*I19)/(G21+I19)</f>
        <v>0.78303266699171137</v>
      </c>
      <c r="O19" s="1"/>
      <c r="P19" s="1"/>
      <c r="S19" s="66" t="s">
        <v>39</v>
      </c>
      <c r="T19" s="67">
        <f t="shared" si="2"/>
        <v>0</v>
      </c>
      <c r="U19" s="67">
        <f t="shared" si="2"/>
        <v>1.0978970507558583</v>
      </c>
      <c r="V19" s="67">
        <f t="shared" si="2"/>
        <v>0.13954523470944274</v>
      </c>
      <c r="W19" s="67">
        <f t="shared" si="2"/>
        <v>0.76225877526997465</v>
      </c>
      <c r="X19" s="67">
        <f t="shared" si="2"/>
        <v>2.5287494646561886</v>
      </c>
      <c r="AC19" t="s">
        <v>73</v>
      </c>
      <c r="AD19" s="51">
        <f>I108</f>
        <v>0.94377162629757783</v>
      </c>
      <c r="AE19" s="56">
        <f>I119</f>
        <v>0.94091681880990952</v>
      </c>
      <c r="AF19" s="73">
        <f>J119</f>
        <v>2.2286366965966649E-3</v>
      </c>
      <c r="AH19">
        <v>108</v>
      </c>
      <c r="AI19">
        <v>119</v>
      </c>
      <c r="AW19" s="51" t="s">
        <v>215</v>
      </c>
      <c r="AX19" s="80">
        <f>MIN($AE$16:$AE$75)</f>
        <v>0.938580400416137</v>
      </c>
      <c r="AY19" s="80">
        <f>_xlfn.QUARTILE.EXC($AE$16:$AE$75,1)</f>
        <v>0.94192209263307491</v>
      </c>
      <c r="AZ19" s="80">
        <f>MEDIAN($AE$16:$AE$75)</f>
        <v>0.94283928032935282</v>
      </c>
      <c r="BA19" s="80">
        <f>AVERAGE($AE$16:$AE$75)</f>
        <v>0.94278198156230231</v>
      </c>
      <c r="BB19" s="80">
        <f>_xlfn.QUARTILE.EXC($AE$16:$AE$75,3)</f>
        <v>0.94368988501480833</v>
      </c>
      <c r="BC19" s="80">
        <f>MAX($AE$16:$AE$75)</f>
        <v>0.94631844427879697</v>
      </c>
      <c r="BD19" s="80">
        <f t="shared" si="1"/>
        <v>1.8749668354036833E-3</v>
      </c>
      <c r="BE19" s="80"/>
      <c r="BF19" s="51">
        <v>0.94251165971430451</v>
      </c>
      <c r="BH19" s="59" t="s">
        <v>344</v>
      </c>
      <c r="BI19" s="49">
        <v>7.1099999999999997E-2</v>
      </c>
      <c r="BJ19" s="1">
        <f>BF25-BF20</f>
        <v>5.4619388984156192E-4</v>
      </c>
      <c r="BK19" s="1">
        <f t="shared" si="0"/>
        <v>3.8834385567735049E-5</v>
      </c>
    </row>
    <row r="20" spans="1:66" ht="15.6" x14ac:dyDescent="0.35">
      <c r="B20" s="1" t="s">
        <v>19</v>
      </c>
      <c r="C20" s="1">
        <f>SUM(C15:C19)</f>
        <v>259</v>
      </c>
      <c r="D20" s="1">
        <f>SUM(D15:D19)</f>
        <v>425</v>
      </c>
      <c r="E20" s="1">
        <f>SUM(E15:E19)</f>
        <v>7245</v>
      </c>
      <c r="F20" s="1">
        <f>SUM(F15:F19)</f>
        <v>2540</v>
      </c>
      <c r="G20" s="1">
        <f>SUM(G15:G19)</f>
        <v>1091</v>
      </c>
      <c r="H20" s="1">
        <f>SUM(H14:H19)</f>
        <v>11560</v>
      </c>
      <c r="I20" s="13" t="s">
        <v>12</v>
      </c>
      <c r="N20" s="16" t="s">
        <v>36</v>
      </c>
      <c r="O20" s="1">
        <f>SUM(O15:O19)</f>
        <v>0</v>
      </c>
      <c r="P20" s="1">
        <f>SUM(P15:P19)</f>
        <v>0</v>
      </c>
      <c r="S20" s="70" t="s">
        <v>31</v>
      </c>
      <c r="T20" s="64">
        <f>I26</f>
        <v>100</v>
      </c>
      <c r="U20" s="64">
        <f>I27</f>
        <v>99.410029498525077</v>
      </c>
      <c r="V20" s="64">
        <f>I28</f>
        <v>96.959048520070283</v>
      </c>
      <c r="W20" s="64">
        <f>I29</f>
        <v>90.587783326930449</v>
      </c>
      <c r="X20" s="64">
        <f>I30</f>
        <v>83.645833333333343</v>
      </c>
      <c r="AC20" t="s">
        <v>76</v>
      </c>
      <c r="AD20" s="51">
        <f>I137</f>
        <v>0.94705882352941173</v>
      </c>
      <c r="AE20" s="56">
        <f>I148</f>
        <v>0.94476029677779583</v>
      </c>
      <c r="AF20" s="73">
        <f>J148</f>
        <v>2.1453982459944602E-3</v>
      </c>
      <c r="AH20">
        <v>137</v>
      </c>
      <c r="AI20">
        <v>148</v>
      </c>
      <c r="AW20" s="51" t="s">
        <v>216</v>
      </c>
      <c r="AX20" s="80">
        <f>MIN($AE$16:$AE$85)</f>
        <v>0.938580400416137</v>
      </c>
      <c r="AY20" s="80">
        <f>_xlfn.QUARTILE.EXC($AE$16:$AE$85,1)</f>
        <v>0.94177311911524186</v>
      </c>
      <c r="AZ20" s="80">
        <f>MEDIAN($AE$16:$AE$85)</f>
        <v>0.94258327862187552</v>
      </c>
      <c r="BA20" s="80">
        <f>AVERAGE($AE$16:$AE$85)</f>
        <v>0.94267718496178665</v>
      </c>
      <c r="BB20" s="80">
        <f>_xlfn.QUARTILE.EXC($AE$16:$AE$85,3)</f>
        <v>0.94349038501192783</v>
      </c>
      <c r="BC20" s="80">
        <f>MAX($AE$16:$AE$85)</f>
        <v>0.94631844427879697</v>
      </c>
      <c r="BD20" s="80">
        <f t="shared" si="1"/>
        <v>1.8218718023480505E-3</v>
      </c>
      <c r="BE20" s="80"/>
      <c r="BF20" s="51">
        <v>0.94277506797027266</v>
      </c>
      <c r="BH20" s="59" t="s">
        <v>345</v>
      </c>
      <c r="BI20" s="49">
        <v>4.2200000000000001E-2</v>
      </c>
      <c r="BJ20" s="1">
        <f>BF24-BF21</f>
        <v>2.2957531711376156E-4</v>
      </c>
      <c r="BK20" s="1">
        <f t="shared" si="0"/>
        <v>9.6880783822007385E-6</v>
      </c>
    </row>
    <row r="21" spans="1:66" x14ac:dyDescent="0.3">
      <c r="A21" s="1" t="s">
        <v>321</v>
      </c>
      <c r="B21" s="1" t="s">
        <v>2</v>
      </c>
      <c r="C21" s="10">
        <f>C15/C20</f>
        <v>1</v>
      </c>
      <c r="D21" s="10">
        <f>D16/D20</f>
        <v>0.79294117647058826</v>
      </c>
      <c r="E21" s="10">
        <f>E17/E20</f>
        <v>0.99020013802622497</v>
      </c>
      <c r="F21" s="10">
        <f>F18/F20</f>
        <v>0.92834645669291338</v>
      </c>
      <c r="G21" s="10">
        <f>G19/G20</f>
        <v>0.73602199816681946</v>
      </c>
      <c r="H21" s="10"/>
      <c r="I21" s="14">
        <f>(C15+D16+E17+F18+G19)/H20</f>
        <v>0.94558823529411762</v>
      </c>
      <c r="S21" s="66" t="s">
        <v>39</v>
      </c>
      <c r="T21" s="67">
        <f>J26</f>
        <v>0</v>
      </c>
      <c r="U21" s="67">
        <f>J27</f>
        <v>0.41655456661415408</v>
      </c>
      <c r="V21" s="67">
        <f>J28</f>
        <v>0.19963733071034129</v>
      </c>
      <c r="W21" s="67">
        <f>J29</f>
        <v>0.57243625042597313</v>
      </c>
      <c r="X21" s="67">
        <f>J30</f>
        <v>1.194337482546884</v>
      </c>
      <c r="AC21" t="s">
        <v>98</v>
      </c>
      <c r="AD21" s="51">
        <f>I166</f>
        <v>0.94506920415224915</v>
      </c>
      <c r="AE21" s="51">
        <f>I177</f>
        <v>0.9427751650065137</v>
      </c>
      <c r="AF21" s="55">
        <f>J177</f>
        <v>2.1744358365930077E-3</v>
      </c>
      <c r="AH21">
        <v>166</v>
      </c>
      <c r="AI21">
        <v>177</v>
      </c>
      <c r="AW21" s="51" t="s">
        <v>217</v>
      </c>
      <c r="AX21" s="80">
        <f>MIN($AE$16:$AE$95)</f>
        <v>0.938580400416137</v>
      </c>
      <c r="AY21" s="80">
        <f>_xlfn.QUARTILE.EXC($AE$16:$AE$95,1)</f>
        <v>0.9418011981236406</v>
      </c>
      <c r="AZ21" s="80">
        <f>MEDIAN($AE$16:$AE$95)</f>
        <v>0.94255529906745106</v>
      </c>
      <c r="BA21" s="80">
        <f>AVERAGE($AE$16:$AE$95)</f>
        <v>0.94266574666277858</v>
      </c>
      <c r="BB21" s="80">
        <f>_xlfn.QUARTILE.EXC($AE$16:$AE$95,3)</f>
        <v>0.94347662125275689</v>
      </c>
      <c r="BC21" s="80">
        <f>MAX($AE$16:$AE$95)</f>
        <v>0.94631844427879697</v>
      </c>
      <c r="BD21" s="80">
        <f t="shared" si="1"/>
        <v>1.7775329795227069E-3</v>
      </c>
      <c r="BE21" s="80"/>
      <c r="BF21" s="51">
        <v>0.94296810389171559</v>
      </c>
      <c r="BH21" s="59" t="s">
        <v>346</v>
      </c>
      <c r="BI21" s="49">
        <v>1.4E-2</v>
      </c>
      <c r="BJ21" s="1">
        <f>BF23-BF22</f>
        <v>3.9490093592497999E-5</v>
      </c>
      <c r="BK21" s="1">
        <f t="shared" si="0"/>
        <v>5.52861310294972E-7</v>
      </c>
      <c r="BM21" s="1" t="s">
        <v>356</v>
      </c>
      <c r="BN21" s="1" t="s">
        <v>357</v>
      </c>
    </row>
    <row r="22" spans="1:66" x14ac:dyDescent="0.3">
      <c r="B22" s="1" t="s">
        <v>14</v>
      </c>
      <c r="C22" s="11">
        <f>1-C21</f>
        <v>0</v>
      </c>
      <c r="D22" s="11">
        <f>1-D21</f>
        <v>0.20705882352941174</v>
      </c>
      <c r="E22" s="11">
        <f>1-E21</f>
        <v>9.7998619737750259E-3</v>
      </c>
      <c r="F22" s="11">
        <f>1-F21</f>
        <v>7.165354330708662E-2</v>
      </c>
      <c r="G22" s="11">
        <f>1-G21</f>
        <v>0.26397800183318054</v>
      </c>
      <c r="S22" s="68" t="s">
        <v>56</v>
      </c>
      <c r="T22" s="65">
        <f>N15*100</f>
        <v>100</v>
      </c>
      <c r="U22" s="65">
        <f>N16*100</f>
        <v>88.21989528795811</v>
      </c>
      <c r="V22" s="65">
        <f>N17*100</f>
        <v>97.978694345807156</v>
      </c>
      <c r="W22" s="65">
        <f>N18*100</f>
        <v>91.697452848531967</v>
      </c>
      <c r="X22" s="65">
        <f>N19*100</f>
        <v>78.303266699171132</v>
      </c>
      <c r="Y22" s="46"/>
      <c r="Z22" s="46"/>
      <c r="AA22" s="46"/>
      <c r="AC22" t="s">
        <v>99</v>
      </c>
      <c r="AD22" s="51">
        <f>I195</f>
        <v>0.94619377162629759</v>
      </c>
      <c r="AE22" s="51">
        <f>I206</f>
        <v>0.94352999703123785</v>
      </c>
      <c r="AF22" s="55">
        <f>J206</f>
        <v>2.1778663508955566E-3</v>
      </c>
      <c r="AH22">
        <v>195</v>
      </c>
      <c r="AI22">
        <v>206</v>
      </c>
      <c r="AW22" s="51" t="s">
        <v>218</v>
      </c>
      <c r="AX22" s="80">
        <f>MIN($AE$16:$AE$105)</f>
        <v>0.938580400416137</v>
      </c>
      <c r="AY22" s="80">
        <f>_xlfn.QUARTILE.EXC($AE$16:$AE$105,1)</f>
        <v>0.94183579639317494</v>
      </c>
      <c r="AZ22" s="80">
        <f>MEDIAN($AE$16:$AE$105)</f>
        <v>0.94271546202226453</v>
      </c>
      <c r="BA22" s="80">
        <f>AVERAGE($AE$16:$AE$105)</f>
        <v>0.94277103377042648</v>
      </c>
      <c r="BB22" s="80">
        <f>_xlfn.QUARTILE.EXC($AE$16:$AE$105,3)</f>
        <v>0.94374094506489903</v>
      </c>
      <c r="BC22" s="80">
        <f>MAX($AE$16:$AE$105)</f>
        <v>0.94642726667515897</v>
      </c>
      <c r="BD22" s="80">
        <f t="shared" si="1"/>
        <v>2.0209159056723881E-3</v>
      </c>
      <c r="BE22" s="80"/>
      <c r="BF22" s="51">
        <v>0.94309813342757065</v>
      </c>
      <c r="BI22" s="1"/>
      <c r="BJ22" s="13" t="s">
        <v>349</v>
      </c>
      <c r="BK22" s="1">
        <f>SUM(BK12:BK21)</f>
        <v>4.9381897655934905E-3</v>
      </c>
      <c r="BM22" s="1" t="s">
        <v>350</v>
      </c>
      <c r="BN22" s="81" t="s">
        <v>352</v>
      </c>
    </row>
    <row r="23" spans="1:66" x14ac:dyDescent="0.3">
      <c r="C23" s="2"/>
      <c r="R23" s="16" t="s">
        <v>66</v>
      </c>
      <c r="S23" t="s">
        <v>9</v>
      </c>
      <c r="T23" s="30">
        <f>N26</f>
        <v>2284.9499999999998</v>
      </c>
      <c r="U23" s="30">
        <f>N27</f>
        <v>11832.9</v>
      </c>
      <c r="V23" s="30">
        <f>N28</f>
        <v>119762.05</v>
      </c>
      <c r="W23" s="30">
        <f>N29</f>
        <v>42925.75</v>
      </c>
      <c r="X23" s="30">
        <f>N30</f>
        <v>21574.77</v>
      </c>
      <c r="Z23" t="s">
        <v>36</v>
      </c>
      <c r="AA23" s="1">
        <f>N31</f>
        <v>198380.41999999998</v>
      </c>
      <c r="AC23" t="s">
        <v>100</v>
      </c>
      <c r="AD23" s="51">
        <f>I224</f>
        <v>0.94480968858131487</v>
      </c>
      <c r="AE23" s="51">
        <f>I235</f>
        <v>0.94204892751187075</v>
      </c>
      <c r="AF23" s="55">
        <f>J235</f>
        <v>2.1993695885731699E-3</v>
      </c>
      <c r="AH23">
        <v>224</v>
      </c>
      <c r="AI23">
        <v>235</v>
      </c>
      <c r="AW23" s="51" t="s">
        <v>219</v>
      </c>
      <c r="AX23" s="80">
        <f>MIN($AE$16:$AE$115)</f>
        <v>0.938580400416137</v>
      </c>
      <c r="AY23" s="80">
        <f>_xlfn.QUARTILE.EXC($AE$16:$AE$115,1)</f>
        <v>0.94185977523099229</v>
      </c>
      <c r="AZ23" s="126">
        <f>MEDIAN($AE$16:$AE$115)</f>
        <v>0.94278456875234484</v>
      </c>
      <c r="BA23" s="126">
        <f>AVERAGE($AE$16:$AE$115)</f>
        <v>0.94277073900132113</v>
      </c>
      <c r="BB23" s="80">
        <f>_xlfn.QUARTILE.EXC($AE$16:$AE$115,3)</f>
        <v>0.94374243569452088</v>
      </c>
      <c r="BC23" s="80">
        <f>MAX($AE$16:$AE$115)</f>
        <v>0.94642726667515897</v>
      </c>
      <c r="BD23" s="80">
        <f t="shared" si="1"/>
        <v>1.9969148052773559E-3</v>
      </c>
      <c r="BE23" s="80"/>
      <c r="BF23" s="51">
        <v>0.94313762352116315</v>
      </c>
      <c r="BI23" s="1"/>
      <c r="BJ23" s="1"/>
      <c r="BK23" s="1"/>
      <c r="BM23" s="23">
        <v>0.95899999999999996</v>
      </c>
      <c r="BN23" s="1">
        <v>0.5</v>
      </c>
    </row>
    <row r="24" spans="1:66" ht="15.6" x14ac:dyDescent="0.35">
      <c r="A24" t="s">
        <v>322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323</v>
      </c>
      <c r="S24" t="s">
        <v>68</v>
      </c>
      <c r="T24" s="57">
        <f>$AA23*T16/100</f>
        <v>2284.9499999999998</v>
      </c>
      <c r="U24" s="57">
        <f>$AA23*U16/100</f>
        <v>13187.47921699536</v>
      </c>
      <c r="V24" s="57">
        <f>$AA23*V16/100</f>
        <v>117483.37913933342</v>
      </c>
      <c r="W24" s="57">
        <f>$AA23*W16/100</f>
        <v>42655.041212933516</v>
      </c>
      <c r="X24" s="57">
        <f>$AA23*X16/100</f>
        <v>22769.570430737676</v>
      </c>
      <c r="Z24" t="s">
        <v>36</v>
      </c>
      <c r="AA24" s="25">
        <f>SUM(T24:X24)</f>
        <v>198380.41999999998</v>
      </c>
      <c r="AC24" t="s">
        <v>101</v>
      </c>
      <c r="AD24" s="51">
        <f>I253</f>
        <v>0.94524221453287194</v>
      </c>
      <c r="AE24" s="51">
        <f>I264</f>
        <v>0.94248532903798787</v>
      </c>
      <c r="AF24" s="55">
        <f>J264</f>
        <v>2.1887756562996045E-3</v>
      </c>
      <c r="AH24">
        <v>253</v>
      </c>
      <c r="AI24">
        <v>264</v>
      </c>
      <c r="BE24" s="80"/>
      <c r="BF24" s="51">
        <v>0.94319767920882935</v>
      </c>
      <c r="BI24" s="1"/>
      <c r="BJ24" s="13" t="s">
        <v>351</v>
      </c>
      <c r="BK24" s="1">
        <f>(BK22*BK22)/BK10</f>
        <v>0.93852914827471234</v>
      </c>
      <c r="BM24" s="23">
        <v>0.97899999999999998</v>
      </c>
      <c r="BN24" s="1">
        <v>0.9</v>
      </c>
    </row>
    <row r="25" spans="1:66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67</v>
      </c>
      <c r="T25" s="67">
        <f>$AA23*T17/100</f>
        <v>0</v>
      </c>
      <c r="U25" s="67">
        <f>$AA23*U17/100</f>
        <v>158.75673709083804</v>
      </c>
      <c r="V25" s="67">
        <f>$AA23*V17/100</f>
        <v>289.57783258354794</v>
      </c>
      <c r="W25" s="67">
        <f>$AA23*W17/100</f>
        <v>361.60931766673588</v>
      </c>
      <c r="X25" s="67">
        <f>$AA23*X17/100</f>
        <v>373.18610921980536</v>
      </c>
      <c r="AA25" s="1"/>
      <c r="AC25" t="s">
        <v>102</v>
      </c>
      <c r="AD25" s="51">
        <f>I282</f>
        <v>0.94619377162629759</v>
      </c>
      <c r="AE25" s="51">
        <f>I293</f>
        <v>0.94319793632304672</v>
      </c>
      <c r="AF25" s="55">
        <f>J293</f>
        <v>2.1684111190396226E-3</v>
      </c>
      <c r="AH25">
        <v>282</v>
      </c>
      <c r="AI25">
        <v>293</v>
      </c>
      <c r="BE25" s="80"/>
      <c r="BF25" s="51">
        <v>0.94332126186011422</v>
      </c>
      <c r="BJ25" s="12" t="s">
        <v>354</v>
      </c>
      <c r="BK25" t="e">
        <f>#REF!*BK24+#REF!</f>
        <v>#REF!</v>
      </c>
    </row>
    <row r="26" spans="1:66" x14ac:dyDescent="0.3">
      <c r="A26" t="s">
        <v>3</v>
      </c>
      <c r="B26" s="13">
        <v>0</v>
      </c>
      <c r="C26" s="29">
        <f>(C15/$L26)*$O26</f>
        <v>1.1518021788642248</v>
      </c>
      <c r="D26" s="31">
        <f t="shared" ref="C26:G30" si="3">(D15/$L26)*$O26</f>
        <v>0</v>
      </c>
      <c r="E26" s="31">
        <f t="shared" si="3"/>
        <v>0</v>
      </c>
      <c r="F26" s="31">
        <f t="shared" si="3"/>
        <v>0</v>
      </c>
      <c r="G26" s="32">
        <f t="shared" si="3"/>
        <v>0</v>
      </c>
      <c r="H26" s="17">
        <f>SUM(C26:G26)</f>
        <v>1.1518021788642248</v>
      </c>
      <c r="I26" s="17">
        <f>C26/H26*100</f>
        <v>100</v>
      </c>
      <c r="J26" s="17">
        <f>SQRT(I26*(100-I26)/(L26-1))</f>
        <v>0</v>
      </c>
      <c r="K26" s="18">
        <f>100-I26</f>
        <v>0</v>
      </c>
      <c r="L26" s="1">
        <f>H15</f>
        <v>259</v>
      </c>
      <c r="M26">
        <v>0</v>
      </c>
      <c r="N26" s="1">
        <v>2284.9499999999998</v>
      </c>
      <c r="O26" s="17">
        <f>N26/N31*100</f>
        <v>1.1518021788642248</v>
      </c>
      <c r="P26" s="52">
        <f>((O26*O26*(I26/100)*(K26/100))/(L26-1))</f>
        <v>0</v>
      </c>
      <c r="R26" t="s">
        <v>71</v>
      </c>
      <c r="S26" s="70" t="s">
        <v>28</v>
      </c>
      <c r="T26" s="64">
        <f t="shared" ref="T26:X29" si="4">C60</f>
        <v>1.1687343523486013</v>
      </c>
      <c r="U26" s="64">
        <f t="shared" si="4"/>
        <v>6.5503117817384471</v>
      </c>
      <c r="V26" s="64">
        <f t="shared" si="4"/>
        <v>59.05090008845886</v>
      </c>
      <c r="W26" s="64">
        <f t="shared" si="4"/>
        <v>21.665551403259087</v>
      </c>
      <c r="X26" s="64">
        <f t="shared" si="4"/>
        <v>11.564502374195005</v>
      </c>
      <c r="Y26" s="13"/>
      <c r="Z26" s="74"/>
      <c r="AA26" s="12"/>
      <c r="AC26" t="s">
        <v>103</v>
      </c>
      <c r="AD26" s="51">
        <f>I311</f>
        <v>0.94558823529411762</v>
      </c>
      <c r="AE26" s="51">
        <f>I322</f>
        <v>0.94309837638919125</v>
      </c>
      <c r="AF26" s="55">
        <f>J322</f>
        <v>2.1780301047614548E-3</v>
      </c>
      <c r="AH26">
        <v>311</v>
      </c>
      <c r="AI26">
        <v>322</v>
      </c>
      <c r="BF26" s="51">
        <v>0.94347717806651588</v>
      </c>
      <c r="BJ26" s="13" t="s">
        <v>358</v>
      </c>
      <c r="BK26" s="13" t="e">
        <f>IF(GESTEP(BK25,BG10)=0,"YES","NO")</f>
        <v>#REF!</v>
      </c>
    </row>
    <row r="27" spans="1:66" x14ac:dyDescent="0.3">
      <c r="A27" t="s">
        <v>4</v>
      </c>
      <c r="B27" s="13">
        <v>1</v>
      </c>
      <c r="C27" s="33">
        <f t="shared" si="3"/>
        <v>0</v>
      </c>
      <c r="D27" s="34">
        <f t="shared" si="3"/>
        <v>5.9295616878575892</v>
      </c>
      <c r="E27" s="19">
        <f t="shared" si="3"/>
        <v>3.5190277079273524E-2</v>
      </c>
      <c r="F27" s="18">
        <f t="shared" si="3"/>
        <v>0</v>
      </c>
      <c r="G27" s="20">
        <f t="shared" si="3"/>
        <v>0</v>
      </c>
      <c r="H27" s="17">
        <f>SUM(C27:G27)</f>
        <v>5.9647519649368625</v>
      </c>
      <c r="I27" s="17">
        <f>D27/H27*100</f>
        <v>99.410029498525077</v>
      </c>
      <c r="J27" s="17">
        <f>SQRT(I27*(100-I27)/(L27-1))</f>
        <v>0.41655456661415408</v>
      </c>
      <c r="K27" s="18">
        <f>100-I27</f>
        <v>0.58997050147492303</v>
      </c>
      <c r="L27" s="1">
        <f>H16</f>
        <v>339</v>
      </c>
      <c r="M27">
        <v>1</v>
      </c>
      <c r="N27" s="1">
        <v>11832.9</v>
      </c>
      <c r="O27" s="17">
        <f>N27/N31*100</f>
        <v>5.9647519649368625</v>
      </c>
      <c r="P27" s="52">
        <f>((O27*O27*(I27/100)*(K27/100))/(L27-1))</f>
        <v>6.1734591347441486E-4</v>
      </c>
      <c r="S27" s="66" t="s">
        <v>39</v>
      </c>
      <c r="T27" s="67">
        <f t="shared" si="4"/>
        <v>0</v>
      </c>
      <c r="U27" s="67">
        <f t="shared" si="4"/>
        <v>8.0067091090444631E-2</v>
      </c>
      <c r="V27" s="67">
        <f t="shared" si="4"/>
        <v>0.14571973408078165</v>
      </c>
      <c r="W27" s="67">
        <f t="shared" si="4"/>
        <v>0.18448419908626895</v>
      </c>
      <c r="X27" s="67">
        <f t="shared" si="4"/>
        <v>0.18890643507578955</v>
      </c>
      <c r="AC27" t="s">
        <v>104</v>
      </c>
      <c r="AD27" s="51">
        <f>I340</f>
        <v>0.94602076124567469</v>
      </c>
      <c r="AE27" s="51">
        <f>I351</f>
        <v>0.94332122953589004</v>
      </c>
      <c r="AF27" s="55">
        <f>J351</f>
        <v>2.1832897157180158E-3</v>
      </c>
      <c r="AH27">
        <v>340</v>
      </c>
      <c r="AI27">
        <v>351</v>
      </c>
      <c r="BF27" s="51">
        <v>0.94353010170777518</v>
      </c>
    </row>
    <row r="28" spans="1:66" x14ac:dyDescent="0.3">
      <c r="A28" t="s">
        <v>5</v>
      </c>
      <c r="B28" s="13">
        <v>2</v>
      </c>
      <c r="C28" s="33">
        <f t="shared" si="3"/>
        <v>0</v>
      </c>
      <c r="D28" s="19">
        <f t="shared" si="3"/>
        <v>0.71800928562626642</v>
      </c>
      <c r="E28" s="34">
        <f t="shared" si="3"/>
        <v>58.534075171395862</v>
      </c>
      <c r="F28" s="19">
        <f t="shared" si="3"/>
        <v>0.4161190178061317</v>
      </c>
      <c r="G28" s="20">
        <f t="shared" si="3"/>
        <v>0.70169089277112418</v>
      </c>
      <c r="H28" s="17">
        <f>SUM(C28:G28)</f>
        <v>60.369894367599386</v>
      </c>
      <c r="I28" s="17">
        <f>E28/H28*100</f>
        <v>96.959048520070283</v>
      </c>
      <c r="J28" s="17">
        <f>SQRT(I28*(100-I28)/(L28-1))</f>
        <v>0.19963733071034129</v>
      </c>
      <c r="K28" s="18">
        <f>100-I28</f>
        <v>3.040951479929717</v>
      </c>
      <c r="L28" s="1">
        <f>H17</f>
        <v>7399</v>
      </c>
      <c r="M28">
        <v>2</v>
      </c>
      <c r="N28" s="1">
        <v>119762.05</v>
      </c>
      <c r="O28" s="17">
        <f>N28/N31*100</f>
        <v>60.369894367599386</v>
      </c>
      <c r="P28" s="52">
        <f>((O28*O28*(I28/100)*(K28/100))/(L28-1))</f>
        <v>1.4525274240560746E-2</v>
      </c>
      <c r="S28" t="s">
        <v>30</v>
      </c>
      <c r="T28" s="57">
        <f t="shared" si="4"/>
        <v>100</v>
      </c>
      <c r="U28" s="57">
        <f t="shared" si="4"/>
        <v>90.179817110987301</v>
      </c>
      <c r="V28" s="57">
        <f t="shared" si="4"/>
        <v>98.89360665708179</v>
      </c>
      <c r="W28" s="57">
        <f t="shared" si="4"/>
        <v>90.722472768906798</v>
      </c>
      <c r="X28" s="57">
        <f t="shared" si="4"/>
        <v>79.276289563430012</v>
      </c>
      <c r="AC28" t="s">
        <v>105</v>
      </c>
      <c r="AD28" s="51">
        <f>I369</f>
        <v>0.94619377162629759</v>
      </c>
      <c r="AE28" s="51">
        <f>I380</f>
        <v>0.94375953131178192</v>
      </c>
      <c r="AF28" s="55">
        <f>J380</f>
        <v>2.1635787167437566E-3</v>
      </c>
      <c r="AH28">
        <v>369</v>
      </c>
      <c r="AI28">
        <v>380</v>
      </c>
      <c r="BF28" s="51">
        <v>0.94374272708914086</v>
      </c>
    </row>
    <row r="29" spans="1:66" x14ac:dyDescent="0.3">
      <c r="A29" t="s">
        <v>6</v>
      </c>
      <c r="B29" s="13">
        <v>3</v>
      </c>
      <c r="C29" s="33">
        <f t="shared" si="3"/>
        <v>0</v>
      </c>
      <c r="D29" s="19">
        <f t="shared" si="3"/>
        <v>0</v>
      </c>
      <c r="E29" s="19">
        <f t="shared" si="3"/>
        <v>0.35744841362548618</v>
      </c>
      <c r="F29" s="34">
        <f t="shared" si="3"/>
        <v>19.601473472765029</v>
      </c>
      <c r="G29" s="20">
        <f t="shared" si="3"/>
        <v>1.6791762686592606</v>
      </c>
      <c r="H29" s="17">
        <f>SUM(C29:G29)</f>
        <v>21.638098155049779</v>
      </c>
      <c r="I29" s="17">
        <f>F29/H29*100</f>
        <v>90.587783326930449</v>
      </c>
      <c r="J29" s="17">
        <f>SQRT(I29*(100-I29)/(L29-1))</f>
        <v>0.57243625042597313</v>
      </c>
      <c r="K29" s="18">
        <f>100-I29</f>
        <v>9.4122166730695511</v>
      </c>
      <c r="L29" s="1">
        <f>H18</f>
        <v>2603</v>
      </c>
      <c r="M29">
        <v>3</v>
      </c>
      <c r="N29" s="1">
        <v>42925.75</v>
      </c>
      <c r="O29" s="17">
        <f>N29/N31*100</f>
        <v>21.638098155049779</v>
      </c>
      <c r="P29" s="52">
        <f>((O29*O29*(I29/100)*(K29/100))/(L29-1))</f>
        <v>1.5342369209755201E-2</v>
      </c>
      <c r="S29" s="66" t="s">
        <v>39</v>
      </c>
      <c r="T29" s="67">
        <f t="shared" si="4"/>
        <v>0</v>
      </c>
      <c r="U29" s="67">
        <f t="shared" si="4"/>
        <v>1.1221903714125572</v>
      </c>
      <c r="V29" s="67">
        <f t="shared" si="4"/>
        <v>0.13846546625140826</v>
      </c>
      <c r="W29" s="67">
        <f t="shared" si="4"/>
        <v>0.78058912807574021</v>
      </c>
      <c r="X29" s="67">
        <f t="shared" si="4"/>
        <v>2.517920703225426</v>
      </c>
      <c r="AC29" t="s">
        <v>106</v>
      </c>
      <c r="AD29" s="51">
        <f>I398</f>
        <v>0.94628027681660898</v>
      </c>
      <c r="AE29" s="51">
        <f>I409</f>
        <v>0.9440247405286476</v>
      </c>
      <c r="AF29" s="55">
        <f>J409</f>
        <v>2.1534238726271522E-3</v>
      </c>
      <c r="AH29">
        <v>398</v>
      </c>
      <c r="AI29">
        <v>409</v>
      </c>
      <c r="BF29" s="51">
        <v>0.94375967928161275</v>
      </c>
    </row>
    <row r="30" spans="1:66" x14ac:dyDescent="0.3">
      <c r="A30" t="s">
        <v>7</v>
      </c>
      <c r="B30" s="13">
        <v>4</v>
      </c>
      <c r="C30" s="35">
        <f t="shared" si="3"/>
        <v>0</v>
      </c>
      <c r="D30" s="36">
        <f t="shared" si="3"/>
        <v>0</v>
      </c>
      <c r="E30" s="21">
        <f t="shared" si="3"/>
        <v>0.29454352778363918</v>
      </c>
      <c r="F30" s="21">
        <f t="shared" si="3"/>
        <v>1.4840462361406432</v>
      </c>
      <c r="G30" s="37">
        <f t="shared" si="3"/>
        <v>9.0968635696254712</v>
      </c>
      <c r="H30" s="17">
        <f>SUM(C30:G30)</f>
        <v>10.875453333549753</v>
      </c>
      <c r="I30" s="17">
        <f>G30/H30*100</f>
        <v>83.645833333333343</v>
      </c>
      <c r="J30" s="17">
        <f>SQRT(I30*(100-I30)/(L30-1))</f>
        <v>1.194337482546884</v>
      </c>
      <c r="K30" s="18">
        <f>100-I30</f>
        <v>16.354166666666657</v>
      </c>
      <c r="L30" s="1">
        <f>H19</f>
        <v>960</v>
      </c>
      <c r="M30">
        <v>4</v>
      </c>
      <c r="N30" s="1">
        <v>21574.77</v>
      </c>
      <c r="O30" s="17">
        <f>N30/N31*100</f>
        <v>10.875453333549753</v>
      </c>
      <c r="P30" s="52">
        <f>((O30*O30*(I30/100)*(K30/100))/(L30-1))</f>
        <v>1.6871312230189329E-2</v>
      </c>
      <c r="S30" t="s">
        <v>31</v>
      </c>
      <c r="T30" s="57">
        <f>I55</f>
        <v>100</v>
      </c>
      <c r="U30" s="57">
        <f>I56</f>
        <v>98.82005899705014</v>
      </c>
      <c r="V30" s="57">
        <f>I57</f>
        <v>96.93201784024869</v>
      </c>
      <c r="W30" s="57">
        <f>I58</f>
        <v>90.74145217057243</v>
      </c>
      <c r="X30" s="57">
        <f>I59</f>
        <v>83.750000000000014</v>
      </c>
      <c r="AC30" t="s">
        <v>107</v>
      </c>
      <c r="AD30" s="51">
        <f>I427</f>
        <v>0.9442041522491349</v>
      </c>
      <c r="AE30" s="51">
        <f>I438</f>
        <v>0.94178389898887349</v>
      </c>
      <c r="AF30" s="55">
        <f>J438</f>
        <v>2.2030868364631855E-3</v>
      </c>
      <c r="AH30">
        <v>427</v>
      </c>
      <c r="AI30">
        <v>438</v>
      </c>
      <c r="BF30" s="51">
        <v>0.94381446800283741</v>
      </c>
    </row>
    <row r="31" spans="1:66" x14ac:dyDescent="0.3">
      <c r="B31" t="s">
        <v>28</v>
      </c>
      <c r="C31" s="17">
        <f>SUM(C26:C30)</f>
        <v>1.1518021788642248</v>
      </c>
      <c r="D31" s="17">
        <f>SUM(D26:D30)</f>
        <v>6.6475709734838553</v>
      </c>
      <c r="E31" s="17">
        <f>SUM(E26:E30)</f>
        <v>59.221257389884258</v>
      </c>
      <c r="F31" s="17">
        <f>SUM(F26:F30)</f>
        <v>21.501638726711803</v>
      </c>
      <c r="G31" s="17">
        <f>SUM(G26:G30)</f>
        <v>11.477730731055857</v>
      </c>
      <c r="H31" s="1">
        <f>SUM(H25:H30)</f>
        <v>100</v>
      </c>
      <c r="I31" s="13" t="s">
        <v>24</v>
      </c>
      <c r="J31" s="12" t="s">
        <v>29</v>
      </c>
      <c r="N31" s="1">
        <f>SUM(N26:N30)</f>
        <v>198380.41999999998</v>
      </c>
      <c r="O31" s="17">
        <f>SUM(O26:O30)</f>
        <v>100</v>
      </c>
      <c r="S31" s="66" t="s">
        <v>39</v>
      </c>
      <c r="T31" s="67">
        <f>J55</f>
        <v>0</v>
      </c>
      <c r="U31" s="67">
        <f>J56</f>
        <v>0.58734645362127647</v>
      </c>
      <c r="V31" s="67">
        <f>J57</f>
        <v>0.20049469147289239</v>
      </c>
      <c r="W31" s="67">
        <f>J58</f>
        <v>0.56822541396297066</v>
      </c>
      <c r="X31" s="67">
        <f>J59</f>
        <v>1.1912688532439144</v>
      </c>
      <c r="AC31" t="s">
        <v>108</v>
      </c>
      <c r="AD31" s="51">
        <f>I456</f>
        <v>0.94316608996539797</v>
      </c>
      <c r="AE31" s="51">
        <f>I467</f>
        <v>0.94001468171878155</v>
      </c>
      <c r="AF31" s="55">
        <f>J467</f>
        <v>2.2368011319605038E-3</v>
      </c>
      <c r="AH31">
        <v>456</v>
      </c>
      <c r="AI31">
        <v>467</v>
      </c>
      <c r="BF31" s="51">
        <v>0.94402494321795927</v>
      </c>
    </row>
    <row r="32" spans="1:66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0</v>
      </c>
      <c r="D32" s="18">
        <f>SQRT(SUM((O26*O26*(D26/O26)*(1-D26/O26))/L26,(O27*O27*(D27/O27)*(1-D27/O27))/L27,(O28*O28*(D28/O28)*(1-D28/O28))/L28,(O29*O29*(D29/O29)*(1-D29/O29))/L29,(O30*O30*(D30/O30)*(1-D30/O30))/L30))</f>
        <v>8.0026414446969132E-2</v>
      </c>
      <c r="E32" s="18">
        <f>SQRT(SUM((O26*O26*(E26/O26)*(1-E26/O26))/L26,(O27*O27*(E27/O27)*(1-E27/O27))/L27,(O28*O28*(E28/O28)*(1-E28/O28))/L28,(O29*O29*(E29/O29)*(1-E29/O29))/L29,(O30*O30*(E30/O30)*(1-E30/O30))/L30))</f>
        <v>0.14597097464737094</v>
      </c>
      <c r="F32" s="18">
        <f>SQRT(SUM((O26*O26*(F26/O26)*(1-F26/O26))/L26,(O27*O27*(F27/O27)*(1-F27/O27))/L27,(O28*O28*(F28/O28)*(1-F28/O28))/L28,(O29*O29*(F29/O29)*(1-F29/O29))/L29,(O30*O30*(F30/O30)*(1-F30/O30))/L30))</f>
        <v>0.18228075011976277</v>
      </c>
      <c r="G32" s="18">
        <f>SQRT(SUM((O26*O26*(G26/O26)*(1-G26/O26))/L26,(O27*O27*(G27/O27)*(1-G27/O27))/L27,(O28*O28*(G28/O28)*(1-G28/O28))/L28,(O29*O29*(G29/O29)*(1-G29/O29))/L29,(O30*O30*(G30/O30)*(1-G30/O30))/L30))</f>
        <v>0.18811640242510091</v>
      </c>
      <c r="H32" s="1"/>
      <c r="I32" s="14">
        <f>(C26+D27+E28+F29+G30)/H31</f>
        <v>0.94313776080508172</v>
      </c>
      <c r="J32" s="53">
        <f>SQRT(SUM(P26:P30))/100</f>
        <v>2.1761503071704327E-3</v>
      </c>
      <c r="M32" s="1"/>
      <c r="N32" s="9"/>
      <c r="S32" s="66" t="s">
        <v>56</v>
      </c>
      <c r="T32" s="67">
        <f>N44*100</f>
        <v>100</v>
      </c>
      <c r="U32" s="67">
        <f>N45*100</f>
        <v>88.97742363877822</v>
      </c>
      <c r="V32" s="67">
        <f>N46*100</f>
        <v>97.991528897390353</v>
      </c>
      <c r="W32" s="67">
        <f>N47*100</f>
        <v>91.603645530347094</v>
      </c>
      <c r="X32" s="67">
        <f>N48*100</f>
        <v>78.286270691333996</v>
      </c>
      <c r="AC32" t="s">
        <v>109</v>
      </c>
      <c r="AD32" s="51">
        <f>I485</f>
        <v>0.94671280276816605</v>
      </c>
      <c r="AE32" s="51">
        <f>I496</f>
        <v>0.9438145181444858</v>
      </c>
      <c r="AF32" s="55">
        <f>J496</f>
        <v>2.1690996613499404E-3</v>
      </c>
      <c r="AH32">
        <v>485</v>
      </c>
      <c r="AI32">
        <v>496</v>
      </c>
      <c r="BF32" s="127">
        <v>0.94476018990110322</v>
      </c>
    </row>
    <row r="33" spans="1:65" x14ac:dyDescent="0.3">
      <c r="B33" s="1" t="s">
        <v>30</v>
      </c>
      <c r="C33" s="17">
        <f>C26/C31*100</f>
        <v>100</v>
      </c>
      <c r="D33" s="17">
        <f>D27/D31*100</f>
        <v>89.198922606613834</v>
      </c>
      <c r="E33" s="17">
        <f>E28/E31*100</f>
        <v>98.83963588620837</v>
      </c>
      <c r="F33" s="17">
        <f>F29/F31*100</f>
        <v>91.162695652651948</v>
      </c>
      <c r="G33" s="17">
        <f>G30/G31*100</f>
        <v>79.256638640351113</v>
      </c>
      <c r="H33" s="1"/>
      <c r="R33" s="16" t="s">
        <v>66</v>
      </c>
      <c r="S33" t="s">
        <v>9</v>
      </c>
      <c r="T33" s="30">
        <f>N55</f>
        <v>2318.54</v>
      </c>
      <c r="U33" s="30">
        <f>N56</f>
        <v>11858.37</v>
      </c>
      <c r="V33" s="30">
        <f>N57</f>
        <v>119516.06</v>
      </c>
      <c r="W33" s="30">
        <f>N58</f>
        <v>42971.22</v>
      </c>
      <c r="X33" s="30">
        <f>N59</f>
        <v>21716.22</v>
      </c>
      <c r="Z33" t="s">
        <v>36</v>
      </c>
      <c r="AA33" s="1">
        <f>N60</f>
        <v>198380.41</v>
      </c>
      <c r="AC33" t="s">
        <v>110</v>
      </c>
      <c r="AD33" s="51">
        <f>I514</f>
        <v>0.94628027681660898</v>
      </c>
      <c r="AE33" s="51">
        <f>I525</f>
        <v>0.94374318100933186</v>
      </c>
      <c r="AF33" s="55">
        <f>J525</f>
        <v>2.1669588468847208E-3</v>
      </c>
      <c r="AH33">
        <v>514</v>
      </c>
      <c r="AI33">
        <v>525</v>
      </c>
    </row>
    <row r="34" spans="1:65" ht="18" x14ac:dyDescent="0.35">
      <c r="B34" s="16" t="s">
        <v>39</v>
      </c>
      <c r="C34" s="18">
        <f>SQRT((C37+C38)/(C31*C31))</f>
        <v>0</v>
      </c>
      <c r="D34" s="18">
        <f>SQRT((D37+D38)/(D31*D31))</f>
        <v>1.0978970507558583</v>
      </c>
      <c r="E34" s="18">
        <f>SQRT((E37+E38)/(E31*E31))</f>
        <v>0.13954523470944274</v>
      </c>
      <c r="F34" s="18">
        <f>SQRT((F37+F38)/(F31*F31))</f>
        <v>0.76225877526997465</v>
      </c>
      <c r="G34" s="18">
        <f>SQRT((G37+G38)/(G31*G31))</f>
        <v>2.5287494646561886</v>
      </c>
      <c r="H34" s="1"/>
      <c r="I34" s="14"/>
      <c r="R34" s="16" t="s">
        <v>323</v>
      </c>
      <c r="S34" t="s">
        <v>68</v>
      </c>
      <c r="T34" s="57">
        <f>$AA33*T26/100</f>
        <v>2318.54</v>
      </c>
      <c r="U34" s="57">
        <f>$AA33*U26/100</f>
        <v>12994.535368891036</v>
      </c>
      <c r="V34" s="57">
        <f>$AA33*V26/100</f>
        <v>117145.41770417505</v>
      </c>
      <c r="W34" s="57">
        <f>$AA33*W26/100</f>
        <v>42980.209702546133</v>
      </c>
      <c r="X34" s="57">
        <f>$AA33*X26/100</f>
        <v>22941.707224387788</v>
      </c>
      <c r="Z34" t="s">
        <v>36</v>
      </c>
      <c r="AA34" s="25">
        <f>SUM(T34:X34)</f>
        <v>198380.41</v>
      </c>
      <c r="AB34" s="25"/>
      <c r="AC34" t="s">
        <v>111</v>
      </c>
      <c r="AD34" s="51">
        <f>I543</f>
        <v>0.94532871972318344</v>
      </c>
      <c r="AE34" s="51">
        <f>I554</f>
        <v>0.94251157118839335</v>
      </c>
      <c r="AF34" s="55">
        <f>J554</f>
        <v>2.1977447036761449E-3</v>
      </c>
      <c r="AH34">
        <v>543</v>
      </c>
      <c r="AI34">
        <v>554</v>
      </c>
      <c r="BF34" s="83" t="s">
        <v>361</v>
      </c>
    </row>
    <row r="35" spans="1:65" x14ac:dyDescent="0.3">
      <c r="B35" s="1" t="s">
        <v>37</v>
      </c>
      <c r="C35" s="18">
        <f>100-C33</f>
        <v>0</v>
      </c>
      <c r="D35" s="18">
        <f>100-D33</f>
        <v>10.801077393386166</v>
      </c>
      <c r="E35" s="18">
        <f>100-E33</f>
        <v>1.1603641137916298</v>
      </c>
      <c r="F35" s="18">
        <f>100-F33</f>
        <v>8.8373043473480521</v>
      </c>
      <c r="G35" s="18">
        <f>100-G33</f>
        <v>20.743361359648887</v>
      </c>
      <c r="R35" s="66"/>
      <c r="S35" s="66" t="s">
        <v>67</v>
      </c>
      <c r="T35" s="67">
        <f>$AA33*T27/100</f>
        <v>0</v>
      </c>
      <c r="U35" s="67">
        <f>$AA33*U27/100</f>
        <v>158.83742358029752</v>
      </c>
      <c r="V35" s="67">
        <f>$AA33*V27/100</f>
        <v>289.07940592036437</v>
      </c>
      <c r="W35" s="67">
        <f>$AA33*W27/100</f>
        <v>365.98051053255659</v>
      </c>
      <c r="X35" s="67">
        <f>$AA33*X27/100</f>
        <v>374.75336041973509</v>
      </c>
      <c r="AA35" s="1"/>
      <c r="AB35" s="25"/>
      <c r="AC35" s="58" t="s">
        <v>112</v>
      </c>
      <c r="AD35" s="120">
        <f>I572</f>
        <v>0.94385813148788922</v>
      </c>
      <c r="AE35" s="120">
        <f>I583</f>
        <v>0.94104664391923365</v>
      </c>
      <c r="AF35" s="121">
        <f>J583</f>
        <v>2.212346411089053E-3</v>
      </c>
      <c r="AH35">
        <v>572</v>
      </c>
      <c r="AI35">
        <v>583</v>
      </c>
    </row>
    <row r="36" spans="1:65" ht="15.6" x14ac:dyDescent="0.35">
      <c r="B36" s="1" t="s">
        <v>25</v>
      </c>
      <c r="C36" s="1">
        <f>C20</f>
        <v>259</v>
      </c>
      <c r="D36" s="1">
        <f>D20</f>
        <v>425</v>
      </c>
      <c r="E36" s="1">
        <f>E20</f>
        <v>7245</v>
      </c>
      <c r="F36" s="1">
        <f>F20</f>
        <v>2540</v>
      </c>
      <c r="G36" s="1">
        <f>G20</f>
        <v>1091</v>
      </c>
      <c r="R36" t="s">
        <v>72</v>
      </c>
      <c r="S36" t="s">
        <v>28</v>
      </c>
      <c r="T36" s="57">
        <f t="shared" ref="T36:X39" si="5">C89</f>
        <v>1.1811245695959018</v>
      </c>
      <c r="U36" s="57">
        <f t="shared" si="5"/>
        <v>6.7549662423848273</v>
      </c>
      <c r="V36" s="57">
        <f t="shared" si="5"/>
        <v>58.411561947134842</v>
      </c>
      <c r="W36" s="57">
        <f t="shared" si="5"/>
        <v>21.961207978626291</v>
      </c>
      <c r="X36" s="57">
        <f t="shared" si="5"/>
        <v>11.691139262258114</v>
      </c>
      <c r="Y36" s="13"/>
      <c r="Z36" s="74"/>
      <c r="AA36" s="12"/>
      <c r="AC36" t="s">
        <v>113</v>
      </c>
      <c r="AD36" s="51">
        <v>0.94783737024221404</v>
      </c>
      <c r="AE36" s="51">
        <v>0.94521124865647599</v>
      </c>
      <c r="AH36">
        <v>601</v>
      </c>
      <c r="AI36">
        <v>612</v>
      </c>
      <c r="BF36" s="82" t="s">
        <v>335</v>
      </c>
      <c r="BG36" s="1">
        <v>0.05</v>
      </c>
      <c r="BH36" s="59" t="s">
        <v>336</v>
      </c>
      <c r="BI36" s="1">
        <v>20</v>
      </c>
      <c r="BJ36" s="59" t="s">
        <v>347</v>
      </c>
      <c r="BK36" s="1">
        <f>_xlfn.VAR.S(BF39:BF58)*(BI36-1)</f>
        <v>2.5982909753884879E-5</v>
      </c>
    </row>
    <row r="37" spans="1:6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7.2021594751386093</v>
      </c>
      <c r="E37" s="18">
        <f>(O28*O28*(100-E33)*(100-E33)*(I28)*(100-I28))/((L28-1)*100)</f>
        <v>1.955748108205615</v>
      </c>
      <c r="F37" s="18">
        <f>(O29*O29*(100-F33)*(100-F33)*(I29)*(100-I29))/((L29-1)*100)</f>
        <v>119.82075546988204</v>
      </c>
      <c r="G37" s="18">
        <f>(O30*O30*(100-G33)*(100-G33)*(I30)*(100-I30))/((L30-1)*100)</f>
        <v>725.95070088285775</v>
      </c>
      <c r="S37" s="66" t="s">
        <v>39</v>
      </c>
      <c r="T37" s="67">
        <f t="shared" si="5"/>
        <v>0</v>
      </c>
      <c r="U37" s="67">
        <f t="shared" si="5"/>
        <v>7.6293923555371901E-2</v>
      </c>
      <c r="V37" s="67">
        <f t="shared" si="5"/>
        <v>0.14314834535552187</v>
      </c>
      <c r="W37" s="67">
        <f t="shared" si="5"/>
        <v>0.1836669903194344</v>
      </c>
      <c r="X37" s="67">
        <f t="shared" si="5"/>
        <v>0.18978879828721584</v>
      </c>
      <c r="AC37" t="s">
        <v>114</v>
      </c>
      <c r="AD37" s="51">
        <v>0.946799307958477</v>
      </c>
      <c r="AE37" s="51">
        <v>0.94424760416846998</v>
      </c>
      <c r="AH37">
        <v>630</v>
      </c>
      <c r="AI37">
        <v>641</v>
      </c>
    </row>
    <row r="38" spans="1:65" ht="15.6" x14ac:dyDescent="0.35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46.063732322675428</v>
      </c>
      <c r="E38" s="18">
        <f>E33*E33*(SUM((H26*E26*(1-E15/H15))/(H15-1),(H27*E27*(1-E16/H16))/(H16-1), (H29*E29*(1-E18/H18))/(H18-1),(H30*E30*(1-E19/H19))/(H19-1)))</f>
        <v>66.338679460382167</v>
      </c>
      <c r="F38" s="18">
        <f>F33*F33*(SUM((H26*F26*(1-F15/H15))/(H15-1),(H27*F27*(1-F16/H16))/(H16-1), (H28*F28*(1-F17/H17))/(H17-1),(H30*F30*(1-F19/H19))/(H19-1)))</f>
        <v>148.80520821868069</v>
      </c>
      <c r="G38" s="18">
        <f>G33*G33*(SUM((H26*G26*(1-G15/H15))/(H15-1),(H27*G27*(1-G16/H16))/(H16-1), (H28*G28*(1-G17/H17))/(H17-1),(H29*G29*(1-G18/H18))/(H18-1)))</f>
        <v>116.4596054859071</v>
      </c>
      <c r="S38" t="s">
        <v>30</v>
      </c>
      <c r="T38" s="57">
        <f t="shared" si="5"/>
        <v>100</v>
      </c>
      <c r="U38" s="57">
        <f t="shared" si="5"/>
        <v>89.819795107108831</v>
      </c>
      <c r="V38" s="57">
        <f t="shared" si="5"/>
        <v>99.099529997031283</v>
      </c>
      <c r="W38" s="57">
        <f t="shared" si="5"/>
        <v>90.714051977402633</v>
      </c>
      <c r="X38" s="57">
        <f t="shared" si="5"/>
        <v>79.477384623696096</v>
      </c>
      <c r="Z38" s="50"/>
      <c r="AA38" s="54"/>
      <c r="AC38" t="s">
        <v>115</v>
      </c>
      <c r="AD38" s="51">
        <v>0.94662629757785399</v>
      </c>
      <c r="AE38" s="51">
        <v>0.94379219288247695</v>
      </c>
      <c r="AH38">
        <v>659</v>
      </c>
      <c r="AI38">
        <v>670</v>
      </c>
      <c r="BF38" s="12" t="s">
        <v>334</v>
      </c>
      <c r="BG38" s="13" t="s">
        <v>362</v>
      </c>
      <c r="BH38" s="13" t="s">
        <v>367</v>
      </c>
      <c r="BI38" s="13" t="s">
        <v>368</v>
      </c>
      <c r="BJ38" s="13" t="s">
        <v>369</v>
      </c>
      <c r="BK38" s="13" t="s">
        <v>363</v>
      </c>
      <c r="BL38">
        <f>1/(SQRT(BI36))</f>
        <v>0.22360679774997896</v>
      </c>
    </row>
    <row r="39" spans="1:65" x14ac:dyDescent="0.3">
      <c r="A39" s="105" t="s">
        <v>390</v>
      </c>
      <c r="B39" s="69" t="s">
        <v>9</v>
      </c>
      <c r="C39" s="1">
        <v>294.04000000000002</v>
      </c>
      <c r="D39" s="1">
        <v>2353.17</v>
      </c>
      <c r="E39" s="1">
        <v>16252.3</v>
      </c>
      <c r="F39">
        <v>2051.11</v>
      </c>
      <c r="G39">
        <v>1194.32</v>
      </c>
      <c r="I39" t="s">
        <v>36</v>
      </c>
      <c r="J39" s="57">
        <f>SUM(C39:G39)</f>
        <v>22144.94</v>
      </c>
      <c r="S39" s="66" t="s">
        <v>39</v>
      </c>
      <c r="T39" s="67">
        <f t="shared" si="5"/>
        <v>0</v>
      </c>
      <c r="U39" s="67">
        <f t="shared" si="5"/>
        <v>1.0225757743399373</v>
      </c>
      <c r="V39" s="67">
        <f t="shared" si="5"/>
        <v>0.12209975443864041</v>
      </c>
      <c r="W39" s="67">
        <f t="shared" si="5"/>
        <v>0.7666420032722937</v>
      </c>
      <c r="X39" s="67">
        <f t="shared" si="5"/>
        <v>2.4842068889123428</v>
      </c>
      <c r="AC39" t="s">
        <v>116</v>
      </c>
      <c r="AD39" s="51">
        <v>0.94688581314878895</v>
      </c>
      <c r="AE39" s="51">
        <v>0.943891839856416</v>
      </c>
      <c r="AH39">
        <v>688</v>
      </c>
      <c r="AI39">
        <v>699</v>
      </c>
      <c r="BF39" s="51">
        <v>0.94001455968862724</v>
      </c>
      <c r="BG39" s="27">
        <v>1</v>
      </c>
      <c r="BH39" s="84">
        <f>_xlfn.NORM.S.INV((BG39-0.375)/($BI$36+0.25))</f>
        <v>-1.8682416548639302</v>
      </c>
      <c r="BI39" s="84">
        <f>-BI58</f>
        <v>-0.47336806621893501</v>
      </c>
      <c r="BJ39">
        <f>BI39*BF39</f>
        <v>-0.44497287433744914</v>
      </c>
      <c r="BK39" s="13" t="s">
        <v>355</v>
      </c>
      <c r="BL39">
        <f>SUMSQ(BH39:BH58)</f>
        <v>17.633567020527028</v>
      </c>
    </row>
    <row r="40" spans="1:65" x14ac:dyDescent="0.3">
      <c r="B40" t="s">
        <v>391</v>
      </c>
      <c r="C40" s="57">
        <f>(C39/$J39)*100</f>
        <v>1.327797681998687</v>
      </c>
      <c r="D40" s="57">
        <f>(D39/$J39)*100</f>
        <v>10.626219804614509</v>
      </c>
      <c r="E40" s="57">
        <f>(E39/$J39)*100</f>
        <v>73.390580421531965</v>
      </c>
      <c r="F40" s="57">
        <f>(F39/$J39)*100</f>
        <v>9.2622061744127553</v>
      </c>
      <c r="G40" s="57">
        <f>(G39/$J39)*100</f>
        <v>5.393195917442088</v>
      </c>
      <c r="S40" t="s">
        <v>31</v>
      </c>
      <c r="T40" s="57">
        <f>I84</f>
        <v>100</v>
      </c>
      <c r="U40" s="57">
        <f>I85</f>
        <v>99.705014749262531</v>
      </c>
      <c r="V40" s="57">
        <f>I86</f>
        <v>96.702257061765096</v>
      </c>
      <c r="W40" s="57">
        <f>I87</f>
        <v>91.356127545140225</v>
      </c>
      <c r="X40" s="57">
        <f>I88</f>
        <v>83.958333333333329</v>
      </c>
      <c r="AC40" t="s">
        <v>117</v>
      </c>
      <c r="AD40" s="51">
        <v>0.94662629757785399</v>
      </c>
      <c r="AE40" s="51">
        <v>0.94421745446591898</v>
      </c>
      <c r="AH40">
        <v>717</v>
      </c>
      <c r="AI40">
        <v>728</v>
      </c>
      <c r="BF40" s="56">
        <v>0.94091692622885559</v>
      </c>
      <c r="BG40" s="27">
        <v>2</v>
      </c>
      <c r="BH40" s="84">
        <f t="shared" ref="BH40:BH58" si="6">_xlfn.NORM.S.INV((BG40-0.375)/($BI$36+0.25))</f>
        <v>-1.4034126358514019</v>
      </c>
      <c r="BI40" s="84">
        <f>-BI57</f>
        <v>-0.32175145499838514</v>
      </c>
      <c r="BJ40">
        <f t="shared" ref="BJ40:BJ58" si="7">BI40*BF40</f>
        <v>-0.3027413900467425</v>
      </c>
      <c r="BK40" s="74" t="s">
        <v>364</v>
      </c>
      <c r="BL40">
        <f>(BL39-2*(BH58^2)-2*(BH57^2))/(1-2*(BI58^2)-2*(BI57^2))</f>
        <v>19.471667059296756</v>
      </c>
    </row>
    <row r="41" spans="1:65" x14ac:dyDescent="0.3">
      <c r="A41" s="361" t="s">
        <v>397</v>
      </c>
      <c r="B41" s="361"/>
      <c r="C41" s="361"/>
      <c r="D41" s="361"/>
      <c r="E41" s="361"/>
      <c r="F41" s="361"/>
      <c r="G41" s="361"/>
      <c r="H41" s="361"/>
      <c r="I41" s="361"/>
      <c r="J41" s="361"/>
      <c r="K41" s="361"/>
      <c r="L41" s="361" t="s">
        <v>53</v>
      </c>
      <c r="M41" s="361"/>
      <c r="N41" s="361"/>
      <c r="O41" s="361"/>
      <c r="P41" s="361"/>
      <c r="S41" s="66" t="s">
        <v>39</v>
      </c>
      <c r="T41" s="67">
        <f>J84</f>
        <v>0</v>
      </c>
      <c r="U41" s="67">
        <f>J85</f>
        <v>0.2949852507374659</v>
      </c>
      <c r="V41" s="67">
        <f>J86</f>
        <v>0.20762016956856694</v>
      </c>
      <c r="W41" s="67">
        <f>J87</f>
        <v>0.55089568409461287</v>
      </c>
      <c r="X41" s="67">
        <f>J88</f>
        <v>1.1850791155605922</v>
      </c>
      <c r="AC41" t="s">
        <v>118</v>
      </c>
      <c r="AD41" s="51">
        <v>0.94506920415224904</v>
      </c>
      <c r="AE41" s="51">
        <v>0.94185309552794205</v>
      </c>
      <c r="AH41">
        <v>746</v>
      </c>
      <c r="AI41">
        <v>757</v>
      </c>
      <c r="BF41" s="51">
        <v>0.94104689789469886</v>
      </c>
      <c r="BG41" s="1">
        <v>3</v>
      </c>
      <c r="BH41">
        <f t="shared" si="6"/>
        <v>-1.1281436452787641</v>
      </c>
      <c r="BI41">
        <f t="shared" ref="BI41:BI56" si="8">BH41/SQRT($BL$40)</f>
        <v>-0.25566002901309814</v>
      </c>
      <c r="BJ41">
        <f t="shared" si="7"/>
        <v>-0.24058807721844472</v>
      </c>
      <c r="BK41" s="74" t="s">
        <v>350</v>
      </c>
      <c r="BL41" s="48">
        <f>CORREL(BF39:BF58,BI39:BI58)^2</f>
        <v>0.93841388623453292</v>
      </c>
      <c r="BM41" s="48">
        <f>(BJ59^2)/BK36</f>
        <v>0.93841388623443678</v>
      </c>
    </row>
    <row r="42" spans="1:65" x14ac:dyDescent="0.3">
      <c r="A42" t="s">
        <v>320</v>
      </c>
      <c r="B42" t="s">
        <v>21</v>
      </c>
      <c r="I42" s="1" t="s">
        <v>58</v>
      </c>
      <c r="O42" s="360" t="s">
        <v>411</v>
      </c>
      <c r="P42" s="360"/>
      <c r="S42" s="66" t="s">
        <v>56</v>
      </c>
      <c r="T42" s="67">
        <f>N73*100</f>
        <v>100</v>
      </c>
      <c r="U42" s="67">
        <f>N74*100</f>
        <v>88.713910761154864</v>
      </c>
      <c r="V42" s="67">
        <f>N75*100</f>
        <v>97.946611909650926</v>
      </c>
      <c r="W42" s="67">
        <f>N76*100</f>
        <v>91.921144182450703</v>
      </c>
      <c r="X42" s="67">
        <f>N77*100</f>
        <v>78.404669260700388</v>
      </c>
      <c r="AC42" t="s">
        <v>119</v>
      </c>
      <c r="AD42" s="51">
        <v>0.94610726643598597</v>
      </c>
      <c r="AE42" s="51">
        <v>0.94277482475072705</v>
      </c>
      <c r="AH42">
        <v>775</v>
      </c>
      <c r="AI42">
        <v>786</v>
      </c>
      <c r="BF42" s="51">
        <v>0.94178385925081121</v>
      </c>
      <c r="BG42" s="1">
        <v>4</v>
      </c>
      <c r="BH42">
        <f t="shared" si="6"/>
        <v>-0.91913552204621074</v>
      </c>
      <c r="BI42">
        <f t="shared" si="8"/>
        <v>-0.20829458661289388</v>
      </c>
      <c r="BJ42">
        <f t="shared" si="7"/>
        <v>-0.19616847964134354</v>
      </c>
      <c r="BK42" s="74" t="s">
        <v>78</v>
      </c>
      <c r="BL42">
        <f>0.0038915*(LN(BI36)^3)-0.083751*(LN(BI36)^2)-0.31082*LN(BI36)-1.5861</f>
        <v>-3.1642267470723917</v>
      </c>
    </row>
    <row r="43" spans="1:6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56</v>
      </c>
      <c r="O43" s="13" t="s">
        <v>412</v>
      </c>
      <c r="P43" s="13" t="s">
        <v>41</v>
      </c>
      <c r="R43" s="16" t="s">
        <v>66</v>
      </c>
      <c r="S43" t="s">
        <v>9</v>
      </c>
      <c r="T43" s="30">
        <f>N84</f>
        <v>2343.12</v>
      </c>
      <c r="U43" s="30">
        <f>N85</f>
        <v>12071.94</v>
      </c>
      <c r="V43" s="30">
        <f>N86</f>
        <v>118749.73</v>
      </c>
      <c r="W43" s="30">
        <f>N87</f>
        <v>43260.54</v>
      </c>
      <c r="X43" s="30">
        <f>N88</f>
        <v>21955.1</v>
      </c>
      <c r="Z43" t="s">
        <v>36</v>
      </c>
      <c r="AA43" s="1">
        <f>N89</f>
        <v>198380.43000000002</v>
      </c>
      <c r="AC43" t="s">
        <v>120</v>
      </c>
      <c r="AD43" s="51">
        <v>0.94645328719723099</v>
      </c>
      <c r="AE43" s="51">
        <v>0.94411981082234298</v>
      </c>
      <c r="AH43">
        <v>804</v>
      </c>
      <c r="AI43">
        <v>815</v>
      </c>
      <c r="BF43" s="51">
        <v>0.94204890901559157</v>
      </c>
      <c r="BG43" s="1">
        <v>5</v>
      </c>
      <c r="BH43">
        <f t="shared" si="6"/>
        <v>-0.74414274222016763</v>
      </c>
      <c r="BI43">
        <f t="shared" si="8"/>
        <v>-0.16863770483667825</v>
      </c>
      <c r="BJ43">
        <f t="shared" si="7"/>
        <v>-0.15886496586028609</v>
      </c>
      <c r="BK43" s="74" t="s">
        <v>370</v>
      </c>
      <c r="BL43">
        <f>EXP(0.0030301*(LN(BI36)^2)-0.082676*LN(BI36)-0.4803)</f>
        <v>0.49619722706220387</v>
      </c>
    </row>
    <row r="44" spans="1:65" ht="15.6" x14ac:dyDescent="0.35">
      <c r="A44" t="s">
        <v>3</v>
      </c>
      <c r="B44" s="13">
        <v>0</v>
      </c>
      <c r="C44" s="26">
        <v>259</v>
      </c>
      <c r="D44" s="3">
        <v>0</v>
      </c>
      <c r="E44" s="3">
        <v>0</v>
      </c>
      <c r="F44" s="3">
        <v>0</v>
      </c>
      <c r="G44" s="4">
        <v>0</v>
      </c>
      <c r="H44" s="1">
        <f>SUM(C44:G44)</f>
        <v>259</v>
      </c>
      <c r="I44" s="10">
        <f>C44/H44</f>
        <v>1</v>
      </c>
      <c r="J44" s="11">
        <f>1-I44</f>
        <v>0</v>
      </c>
      <c r="K44">
        <f>H44-C49</f>
        <v>0</v>
      </c>
      <c r="N44" s="10">
        <f>2*(C50*I44)/(C50+I44)</f>
        <v>1</v>
      </c>
      <c r="O44" s="1"/>
      <c r="P44" s="1"/>
      <c r="R44" s="16" t="s">
        <v>323</v>
      </c>
      <c r="S44" t="s">
        <v>68</v>
      </c>
      <c r="T44" s="57">
        <f>$AA43*T36/100</f>
        <v>2343.12</v>
      </c>
      <c r="U44" s="57">
        <f>$AA43*U36/100</f>
        <v>13400.531077997864</v>
      </c>
      <c r="V44" s="57">
        <f>$AA43*V36/100</f>
        <v>115877.10776044248</v>
      </c>
      <c r="W44" s="57">
        <f>$AA43*W36/100</f>
        <v>43566.738821193147</v>
      </c>
      <c r="X44" s="57">
        <f>$AA43*X36/100</f>
        <v>23192.932340366478</v>
      </c>
      <c r="Z44" t="s">
        <v>36</v>
      </c>
      <c r="AA44" s="25">
        <f>SUM(T44:X44)</f>
        <v>198380.42999999996</v>
      </c>
      <c r="AC44" t="s">
        <v>121</v>
      </c>
      <c r="AD44" s="51">
        <v>0.94420415224913401</v>
      </c>
      <c r="AE44" s="51">
        <v>0.94156081243705203</v>
      </c>
      <c r="AH44">
        <v>833</v>
      </c>
      <c r="AI44">
        <v>844</v>
      </c>
      <c r="BF44" s="51">
        <v>0.94248569468298615</v>
      </c>
      <c r="BG44" s="1">
        <v>6</v>
      </c>
      <c r="BH44">
        <f t="shared" si="6"/>
        <v>-0.58945579784977842</v>
      </c>
      <c r="BI44">
        <f t="shared" si="8"/>
        <v>-0.13358253358150615</v>
      </c>
      <c r="BJ44">
        <f t="shared" si="7"/>
        <v>-0.12589962696007914</v>
      </c>
      <c r="BK44" s="74" t="s">
        <v>366</v>
      </c>
      <c r="BL44">
        <f>(LN(1-BL41)-BL42)/BL43</f>
        <v>0.75959289326090929</v>
      </c>
    </row>
    <row r="45" spans="1:65" x14ac:dyDescent="0.3">
      <c r="A45" t="s">
        <v>4</v>
      </c>
      <c r="B45" s="13">
        <v>1</v>
      </c>
      <c r="C45" s="5">
        <v>0</v>
      </c>
      <c r="D45" s="27">
        <v>335</v>
      </c>
      <c r="E45" s="1">
        <v>4</v>
      </c>
      <c r="F45" s="1">
        <v>0</v>
      </c>
      <c r="G45" s="6">
        <v>0</v>
      </c>
      <c r="H45" s="1">
        <f>SUM(C45:G45)</f>
        <v>339</v>
      </c>
      <c r="I45" s="10">
        <f>D45/H45</f>
        <v>0.98820058997050142</v>
      </c>
      <c r="J45" s="11">
        <f>1-I45</f>
        <v>1.179941002949858E-2</v>
      </c>
      <c r="K45">
        <f>H45-D49</f>
        <v>-75</v>
      </c>
      <c r="N45" s="10">
        <f>2*(D50*I45)/(D50+I45)</f>
        <v>0.88977423638778219</v>
      </c>
      <c r="O45" s="1"/>
      <c r="P45" s="1"/>
      <c r="R45" s="66"/>
      <c r="S45" s="66" t="s">
        <v>67</v>
      </c>
      <c r="T45" s="67">
        <f>$AA43*T37/100</f>
        <v>0</v>
      </c>
      <c r="U45" s="67">
        <f>$AA43*U37/100</f>
        <v>151.35221361301808</v>
      </c>
      <c r="V45" s="67">
        <f>$AA43*V37/100</f>
        <v>283.97830305416932</v>
      </c>
      <c r="W45" s="67">
        <f>$AA43*W37/100</f>
        <v>364.35936516375239</v>
      </c>
      <c r="X45" s="67">
        <f>$AA43*X37/100</f>
        <v>376.50383413401147</v>
      </c>
      <c r="AA45" s="1"/>
      <c r="AC45" t="s">
        <v>122</v>
      </c>
      <c r="AD45" s="51">
        <v>0.94169550173010297</v>
      </c>
      <c r="AE45" s="51">
        <v>0.938580400416137</v>
      </c>
      <c r="AH45">
        <v>862</v>
      </c>
      <c r="AI45">
        <v>873</v>
      </c>
      <c r="BF45" s="51">
        <v>0.94251165971430451</v>
      </c>
      <c r="BG45" s="1">
        <v>7</v>
      </c>
      <c r="BH45">
        <f t="shared" si="6"/>
        <v>-0.44776751848294888</v>
      </c>
      <c r="BI45">
        <f t="shared" si="8"/>
        <v>-0.10147312112739562</v>
      </c>
      <c r="BJ45">
        <f t="shared" si="7"/>
        <v>-9.563959981017231E-2</v>
      </c>
      <c r="BK45" s="74" t="s">
        <v>354</v>
      </c>
      <c r="BL45">
        <f>1-NORMSDIST(BL44)</f>
        <v>0.22374898422957545</v>
      </c>
    </row>
    <row r="46" spans="1:65" x14ac:dyDescent="0.3">
      <c r="A46" t="s">
        <v>5</v>
      </c>
      <c r="B46" s="13">
        <v>2</v>
      </c>
      <c r="C46" s="5">
        <v>0</v>
      </c>
      <c r="D46" s="1">
        <v>79</v>
      </c>
      <c r="E46" s="27">
        <v>7172</v>
      </c>
      <c r="F46" s="1">
        <v>55</v>
      </c>
      <c r="G46" s="6">
        <v>93</v>
      </c>
      <c r="H46" s="1">
        <f>SUM(C46:G46)</f>
        <v>7399</v>
      </c>
      <c r="I46" s="10">
        <f>E46/H46</f>
        <v>0.96932017840248685</v>
      </c>
      <c r="J46" s="11">
        <f>1-I46</f>
        <v>3.0679821597513146E-2</v>
      </c>
      <c r="K46">
        <f>H46-E49</f>
        <v>160</v>
      </c>
      <c r="N46" s="10">
        <f>2*(E50*I46)/(E50+I46)</f>
        <v>0.97991528897390356</v>
      </c>
      <c r="O46" s="1"/>
      <c r="P46" s="1"/>
      <c r="R46" t="s">
        <v>73</v>
      </c>
      <c r="S46" t="s">
        <v>28</v>
      </c>
      <c r="T46" s="57">
        <f t="shared" ref="T46:X49" si="9">C118</f>
        <v>1.1957379664787482</v>
      </c>
      <c r="U46" s="57">
        <f t="shared" si="9"/>
        <v>7.050411299096405</v>
      </c>
      <c r="V46" s="57">
        <f t="shared" si="9"/>
        <v>58.088154782906003</v>
      </c>
      <c r="W46" s="57">
        <f t="shared" si="9"/>
        <v>22.007212324940909</v>
      </c>
      <c r="X46" s="57">
        <f t="shared" si="9"/>
        <v>11.658483626577926</v>
      </c>
      <c r="Y46" s="60"/>
      <c r="Z46" s="74"/>
      <c r="AA46" s="12"/>
      <c r="AC46" t="s">
        <v>135</v>
      </c>
      <c r="AD46" s="51">
        <v>0.94498269896193698</v>
      </c>
      <c r="AE46" s="51">
        <v>0.94174077949434698</v>
      </c>
      <c r="AH46">
        <v>891</v>
      </c>
      <c r="AI46">
        <v>902</v>
      </c>
      <c r="BF46" s="51">
        <v>0.94277506797027266</v>
      </c>
      <c r="BG46" s="1">
        <v>8</v>
      </c>
      <c r="BH46">
        <f t="shared" si="6"/>
        <v>-0.31457229183888502</v>
      </c>
      <c r="BI46">
        <f t="shared" si="8"/>
        <v>-7.1288405155509674E-2</v>
      </c>
      <c r="BJ46">
        <f t="shared" si="7"/>
        <v>-6.7208931015977968E-2</v>
      </c>
      <c r="BK46" s="13" t="s">
        <v>358</v>
      </c>
      <c r="BL46" s="13" t="str">
        <f>IF(GESTEP(BL45,BG36)=0,"YES","NO")</f>
        <v>NO</v>
      </c>
    </row>
    <row r="47" spans="1:65" x14ac:dyDescent="0.3">
      <c r="A47" t="s">
        <v>6</v>
      </c>
      <c r="B47" s="13">
        <v>3</v>
      </c>
      <c r="C47" s="5">
        <v>0</v>
      </c>
      <c r="D47" s="1">
        <v>0</v>
      </c>
      <c r="E47" s="1">
        <v>44</v>
      </c>
      <c r="F47" s="27">
        <v>2362</v>
      </c>
      <c r="G47" s="6">
        <v>197</v>
      </c>
      <c r="H47" s="1">
        <f>SUM(C47:G47)</f>
        <v>2603</v>
      </c>
      <c r="I47" s="10">
        <f>F47/H47</f>
        <v>0.90741452170572412</v>
      </c>
      <c r="J47" s="11">
        <f>1-I47</f>
        <v>9.258547829427588E-2</v>
      </c>
      <c r="K47">
        <f>H47-F49</f>
        <v>49</v>
      </c>
      <c r="N47" s="10">
        <f>2*(F50*I47)/(F50+I47)</f>
        <v>0.916036455303471</v>
      </c>
      <c r="O47" s="1"/>
      <c r="P47" s="1"/>
      <c r="S47" s="66" t="s">
        <v>39</v>
      </c>
      <c r="T47" s="67">
        <f t="shared" si="9"/>
        <v>0</v>
      </c>
      <c r="U47" s="67">
        <f t="shared" si="9"/>
        <v>8.1885328655891113E-2</v>
      </c>
      <c r="V47" s="67">
        <f t="shared" si="9"/>
        <v>0.14589325156738442</v>
      </c>
      <c r="W47" s="67">
        <f t="shared" si="9"/>
        <v>0.18721192749427576</v>
      </c>
      <c r="X47" s="67">
        <f t="shared" si="9"/>
        <v>0.19385834001212335</v>
      </c>
      <c r="AC47" t="s">
        <v>136</v>
      </c>
      <c r="AD47" s="51">
        <v>0.94576124567473996</v>
      </c>
      <c r="AE47" s="51">
        <v>0.94265609929380201</v>
      </c>
      <c r="AH47">
        <v>920</v>
      </c>
      <c r="AI47">
        <v>931</v>
      </c>
      <c r="BF47" s="51">
        <v>0.94296810389171559</v>
      </c>
      <c r="BG47" s="1">
        <v>9</v>
      </c>
      <c r="BH47">
        <f t="shared" si="6"/>
        <v>-0.18675612106373712</v>
      </c>
      <c r="BI47">
        <f t="shared" si="8"/>
        <v>-4.2322691378304626E-2</v>
      </c>
      <c r="BJ47">
        <f t="shared" si="7"/>
        <v>-3.9908948040594174E-2</v>
      </c>
    </row>
    <row r="48" spans="1:65" x14ac:dyDescent="0.3">
      <c r="A48" t="s">
        <v>7</v>
      </c>
      <c r="B48" s="13">
        <v>4</v>
      </c>
      <c r="C48" s="7">
        <v>0</v>
      </c>
      <c r="D48" s="8">
        <v>0</v>
      </c>
      <c r="E48" s="8">
        <v>19</v>
      </c>
      <c r="F48" s="8">
        <v>137</v>
      </c>
      <c r="G48" s="28">
        <v>804</v>
      </c>
      <c r="H48" s="1">
        <f>SUM(C48:G48)</f>
        <v>960</v>
      </c>
      <c r="I48" s="10">
        <f>G48/H48</f>
        <v>0.83750000000000002</v>
      </c>
      <c r="J48" s="11">
        <f>1-I48</f>
        <v>0.16249999999999998</v>
      </c>
      <c r="K48">
        <f>H48-G49</f>
        <v>-134</v>
      </c>
      <c r="N48" s="10">
        <f>2*(G50*I48)/(G50+I48)</f>
        <v>0.78286270691333992</v>
      </c>
      <c r="O48" s="1"/>
      <c r="P48" s="1"/>
      <c r="S48" t="s">
        <v>30</v>
      </c>
      <c r="T48" s="57">
        <f t="shared" si="9"/>
        <v>100</v>
      </c>
      <c r="U48" s="57">
        <f t="shared" si="9"/>
        <v>89.94228402439019</v>
      </c>
      <c r="V48" s="57">
        <f t="shared" si="9"/>
        <v>99.116464054071272</v>
      </c>
      <c r="W48" s="57">
        <f t="shared" si="9"/>
        <v>90.014312814642167</v>
      </c>
      <c r="X48" s="57">
        <f t="shared" si="9"/>
        <v>78.655829125659224</v>
      </c>
      <c r="AC48" t="s">
        <v>137</v>
      </c>
      <c r="AD48" s="51">
        <v>0.94472318339100303</v>
      </c>
      <c r="AE48" s="51">
        <v>0.94187981434014301</v>
      </c>
      <c r="AH48">
        <v>949</v>
      </c>
      <c r="AI48">
        <v>960</v>
      </c>
      <c r="BF48" s="51">
        <v>0.94309813342757065</v>
      </c>
      <c r="BG48" s="1">
        <v>10</v>
      </c>
      <c r="BH48">
        <f t="shared" si="6"/>
        <v>-6.1931623455317261E-2</v>
      </c>
      <c r="BI48">
        <f t="shared" si="8"/>
        <v>-1.4034950882076937E-2</v>
      </c>
      <c r="BJ48">
        <f t="shared" si="7"/>
        <v>-1.3236335979634395E-2</v>
      </c>
    </row>
    <row r="49" spans="1:64" ht="15.6" x14ac:dyDescent="0.35">
      <c r="B49" s="1" t="s">
        <v>19</v>
      </c>
      <c r="C49" s="1">
        <f>SUM(C44:C48)</f>
        <v>259</v>
      </c>
      <c r="D49" s="1">
        <f>SUM(D44:D48)</f>
        <v>414</v>
      </c>
      <c r="E49" s="1">
        <f>SUM(E44:E48)</f>
        <v>7239</v>
      </c>
      <c r="F49" s="1">
        <f>SUM(F44:F48)</f>
        <v>2554</v>
      </c>
      <c r="G49" s="1">
        <f>SUM(G44:G48)</f>
        <v>1094</v>
      </c>
      <c r="H49" s="1">
        <f>SUM(H43:H48)</f>
        <v>11560</v>
      </c>
      <c r="I49" s="13" t="s">
        <v>12</v>
      </c>
      <c r="N49" s="16" t="s">
        <v>36</v>
      </c>
      <c r="O49" s="1">
        <f>SUM(O44:O48)</f>
        <v>0</v>
      </c>
      <c r="P49" s="1">
        <f>SUM(P44:P48)</f>
        <v>0</v>
      </c>
      <c r="S49" s="66" t="s">
        <v>39</v>
      </c>
      <c r="T49" s="67">
        <f t="shared" si="9"/>
        <v>0</v>
      </c>
      <c r="U49" s="67">
        <f t="shared" si="9"/>
        <v>1.0654336272893425</v>
      </c>
      <c r="V49" s="67">
        <f t="shared" si="9"/>
        <v>0.12643770241061175</v>
      </c>
      <c r="W49" s="67">
        <f t="shared" si="9"/>
        <v>0.80163357960542014</v>
      </c>
      <c r="X49" s="67">
        <f t="shared" si="9"/>
        <v>2.6425733636201776</v>
      </c>
      <c r="AC49" t="s">
        <v>138</v>
      </c>
      <c r="AD49" s="51">
        <v>0.94524221453287105</v>
      </c>
      <c r="AE49" s="51">
        <v>0.94235352283293305</v>
      </c>
      <c r="AH49">
        <v>978</v>
      </c>
      <c r="AI49">
        <v>989</v>
      </c>
      <c r="BF49" s="51">
        <v>0.94313762352116315</v>
      </c>
      <c r="BG49" s="1">
        <v>11</v>
      </c>
      <c r="BH49">
        <f t="shared" si="6"/>
        <v>6.1931623455317261E-2</v>
      </c>
      <c r="BI49">
        <f t="shared" si="8"/>
        <v>1.4034950882076937E-2</v>
      </c>
      <c r="BJ49">
        <f t="shared" si="7"/>
        <v>1.3236890221158294E-2</v>
      </c>
    </row>
    <row r="50" spans="1:64" x14ac:dyDescent="0.3">
      <c r="A50" s="1" t="s">
        <v>321</v>
      </c>
      <c r="B50" s="1" t="s">
        <v>2</v>
      </c>
      <c r="C50" s="10">
        <f>C44/C49</f>
        <v>1</v>
      </c>
      <c r="D50" s="10">
        <f>D45/D49</f>
        <v>0.8091787439613527</v>
      </c>
      <c r="E50" s="10">
        <f>E46/E49</f>
        <v>0.99074457798038407</v>
      </c>
      <c r="F50" s="10">
        <f>F47/F49</f>
        <v>0.92482380579483159</v>
      </c>
      <c r="G50" s="10">
        <f>G48/G49</f>
        <v>0.73491773308957953</v>
      </c>
      <c r="H50" s="10"/>
      <c r="I50" s="14">
        <f>(C44+D45+E46+F47+G48)/H49</f>
        <v>0.94567474048442901</v>
      </c>
      <c r="S50" s="15" t="s">
        <v>31</v>
      </c>
      <c r="T50" s="71">
        <f>I113</f>
        <v>100</v>
      </c>
      <c r="U50" s="71">
        <f>I114</f>
        <v>99.115044247787623</v>
      </c>
      <c r="V50" s="71">
        <f>I115</f>
        <v>96.567103662657104</v>
      </c>
      <c r="W50" s="71">
        <f>I116</f>
        <v>91.240875912408754</v>
      </c>
      <c r="X50" s="71">
        <f>I117</f>
        <v>82.8125</v>
      </c>
      <c r="AC50" t="s">
        <v>139</v>
      </c>
      <c r="AD50" s="51">
        <v>0.94446366782006896</v>
      </c>
      <c r="AE50" s="51">
        <v>0.942114541913599</v>
      </c>
      <c r="AH50">
        <v>1007</v>
      </c>
      <c r="AI50">
        <v>1018</v>
      </c>
      <c r="BF50" s="51">
        <v>0.94319767920882935</v>
      </c>
      <c r="BG50" s="1">
        <v>12</v>
      </c>
      <c r="BH50">
        <f t="shared" si="6"/>
        <v>0.18675612106373712</v>
      </c>
      <c r="BI50">
        <f t="shared" si="8"/>
        <v>4.2322691378304626E-2</v>
      </c>
      <c r="BJ50">
        <f t="shared" si="7"/>
        <v>3.9918664285888451E-2</v>
      </c>
    </row>
    <row r="51" spans="1:64" x14ac:dyDescent="0.3">
      <c r="B51" s="1" t="s">
        <v>14</v>
      </c>
      <c r="C51" s="11">
        <f>1-C50</f>
        <v>0</v>
      </c>
      <c r="D51" s="11">
        <f>1-D50</f>
        <v>0.1908212560386473</v>
      </c>
      <c r="E51" s="11">
        <f>1-E50</f>
        <v>9.2554220196159331E-3</v>
      </c>
      <c r="F51" s="11">
        <f>1-F50</f>
        <v>7.5176194205168412E-2</v>
      </c>
      <c r="G51" s="11">
        <f>1-G50</f>
        <v>0.26508226691042047</v>
      </c>
      <c r="S51" s="75" t="s">
        <v>39</v>
      </c>
      <c r="T51" s="76">
        <f>J113</f>
        <v>0</v>
      </c>
      <c r="U51" s="76">
        <f>J114</f>
        <v>0.50941557342054689</v>
      </c>
      <c r="V51" s="76">
        <f>J115</f>
        <v>0.21168387847312981</v>
      </c>
      <c r="W51" s="76">
        <f>J116</f>
        <v>0.55420624626941606</v>
      </c>
      <c r="X51" s="76">
        <f>J117</f>
        <v>1.2182740675223689</v>
      </c>
      <c r="AC51" t="s">
        <v>140</v>
      </c>
      <c r="AD51" s="51">
        <v>0.94584775086505102</v>
      </c>
      <c r="AE51" s="51">
        <v>0.94293158273617805</v>
      </c>
      <c r="AH51">
        <v>1036</v>
      </c>
      <c r="AI51">
        <v>1047</v>
      </c>
      <c r="BF51" s="51">
        <v>0.94332126186011422</v>
      </c>
      <c r="BG51" s="1">
        <v>13</v>
      </c>
      <c r="BH51">
        <f t="shared" si="6"/>
        <v>0.31457229183888502</v>
      </c>
      <c r="BI51">
        <f t="shared" si="8"/>
        <v>7.1288405155509674E-2</v>
      </c>
      <c r="BJ51">
        <f t="shared" si="7"/>
        <v>6.7247868307290459E-2</v>
      </c>
    </row>
    <row r="52" spans="1:64" x14ac:dyDescent="0.3">
      <c r="C52" s="2"/>
      <c r="S52" s="66" t="s">
        <v>56</v>
      </c>
      <c r="T52" s="67">
        <f>N102*100</f>
        <v>100</v>
      </c>
      <c r="U52" s="67">
        <f>N103*100</f>
        <v>88.073394495412856</v>
      </c>
      <c r="V52" s="67">
        <f>N104*100</f>
        <v>97.903535215127434</v>
      </c>
      <c r="W52" s="67">
        <f>N105*100</f>
        <v>91.592749710759733</v>
      </c>
      <c r="X52" s="67">
        <f>N106*100</f>
        <v>77.297034516285862</v>
      </c>
      <c r="AC52" t="s">
        <v>141</v>
      </c>
      <c r="AD52" s="51">
        <v>0.94628027681660898</v>
      </c>
      <c r="AE52" s="51">
        <v>0.94338038950082603</v>
      </c>
      <c r="AH52">
        <v>1065</v>
      </c>
      <c r="AI52">
        <v>1076</v>
      </c>
      <c r="BF52" s="51">
        <v>0.94347717806651588</v>
      </c>
      <c r="BG52" s="1">
        <v>14</v>
      </c>
      <c r="BH52">
        <f t="shared" si="6"/>
        <v>0.44776751848294888</v>
      </c>
      <c r="BI52">
        <f t="shared" si="8"/>
        <v>0.10147312112739562</v>
      </c>
      <c r="BJ52">
        <f t="shared" si="7"/>
        <v>9.5737573970876969E-2</v>
      </c>
    </row>
    <row r="53" spans="1:64" ht="15.6" x14ac:dyDescent="0.35">
      <c r="A53" t="s">
        <v>322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66</v>
      </c>
      <c r="S53" t="s">
        <v>9</v>
      </c>
      <c r="T53" s="30">
        <f>N113</f>
        <v>2372.11</v>
      </c>
      <c r="U53" s="30">
        <f>N114</f>
        <v>12692.22</v>
      </c>
      <c r="V53" s="30">
        <f>N115</f>
        <v>118277.73</v>
      </c>
      <c r="W53" s="30">
        <f>N116</f>
        <v>43071.1</v>
      </c>
      <c r="X53" s="30">
        <f>N117</f>
        <v>21967.26</v>
      </c>
      <c r="Z53" t="s">
        <v>36</v>
      </c>
      <c r="AA53" s="1">
        <f>N118</f>
        <v>198380.42</v>
      </c>
      <c r="AC53" t="s">
        <v>142</v>
      </c>
      <c r="AD53" s="51">
        <v>0.94429065743944596</v>
      </c>
      <c r="AE53" s="51">
        <v>0.94155317488279699</v>
      </c>
      <c r="AH53">
        <v>1094</v>
      </c>
      <c r="AI53">
        <v>1105</v>
      </c>
      <c r="BF53" s="51">
        <v>0.94353010170777518</v>
      </c>
      <c r="BG53" s="1">
        <v>15</v>
      </c>
      <c r="BH53">
        <f t="shared" si="6"/>
        <v>0.58945579784977842</v>
      </c>
      <c r="BI53">
        <f t="shared" si="8"/>
        <v>0.13358253358150615</v>
      </c>
      <c r="BJ53">
        <f t="shared" si="7"/>
        <v>0.1260391414965408</v>
      </c>
    </row>
    <row r="54" spans="1:64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323</v>
      </c>
      <c r="S54" t="s">
        <v>68</v>
      </c>
      <c r="T54" s="57">
        <f>$AA53*T46/100</f>
        <v>2372.11</v>
      </c>
      <c r="U54" s="57">
        <f>$AA53*U46/100</f>
        <v>13986.635546874904</v>
      </c>
      <c r="V54" s="57">
        <f>$AA53*V46/100</f>
        <v>115235.52542857901</v>
      </c>
      <c r="W54" s="57">
        <f>$AA53*W46/100</f>
        <v>43658.000240509537</v>
      </c>
      <c r="X54" s="57">
        <f>$AA53*X46/100</f>
        <v>23128.148784036526</v>
      </c>
      <c r="Z54" t="s">
        <v>36</v>
      </c>
      <c r="AA54" s="25">
        <f>SUM(T54:X54)</f>
        <v>198380.41999999998</v>
      </c>
      <c r="AC54" t="s">
        <v>143</v>
      </c>
      <c r="AD54" s="51">
        <v>0.94610726643598597</v>
      </c>
      <c r="AE54" s="51">
        <v>0.943382230080968</v>
      </c>
      <c r="AH54">
        <v>1123</v>
      </c>
      <c r="AI54">
        <v>1134</v>
      </c>
      <c r="BF54" s="51">
        <v>0.94374272708914086</v>
      </c>
      <c r="BG54" s="1">
        <v>16</v>
      </c>
      <c r="BH54">
        <f t="shared" si="6"/>
        <v>0.74414274222016763</v>
      </c>
      <c r="BI54">
        <f t="shared" si="8"/>
        <v>0.16863770483667825</v>
      </c>
      <c r="BJ54">
        <f t="shared" si="7"/>
        <v>0.15915060745262033</v>
      </c>
    </row>
    <row r="55" spans="1:64" x14ac:dyDescent="0.3">
      <c r="A55" t="s">
        <v>3</v>
      </c>
      <c r="B55" s="13">
        <v>0</v>
      </c>
      <c r="C55" s="29">
        <f>(C44/$L55)*$O55</f>
        <v>1.1687343523486013</v>
      </c>
      <c r="D55" s="31">
        <f>(D44/$L55)*$O55</f>
        <v>0</v>
      </c>
      <c r="E55" s="31">
        <f>(E44/$L55)*$O55</f>
        <v>0</v>
      </c>
      <c r="F55" s="31">
        <f>(F44/$L55)*$O55</f>
        <v>0</v>
      </c>
      <c r="G55" s="32">
        <f>(G44/$L55)*$O55</f>
        <v>0</v>
      </c>
      <c r="H55" s="17">
        <f>SUM(C55:G55)</f>
        <v>1.1687343523486013</v>
      </c>
      <c r="I55" s="17">
        <f>C55/H55*100</f>
        <v>100</v>
      </c>
      <c r="J55" s="17">
        <f>SQRT(I55*(100-I55)/(L55-1))</f>
        <v>0</v>
      </c>
      <c r="K55" s="18">
        <f>100-I55</f>
        <v>0</v>
      </c>
      <c r="L55" s="1">
        <f>H44</f>
        <v>259</v>
      </c>
      <c r="M55">
        <v>0</v>
      </c>
      <c r="N55" s="1">
        <v>2318.54</v>
      </c>
      <c r="O55" s="17">
        <f>N55/N60*100</f>
        <v>1.1687343523486013</v>
      </c>
      <c r="P55" s="52">
        <f>((O55*O55*(I55/100)*(K55/100))/(L55-1))</f>
        <v>0</v>
      </c>
      <c r="R55" s="66"/>
      <c r="S55" s="66" t="s">
        <v>67</v>
      </c>
      <c r="T55" s="67">
        <f>$AA53*T47/100</f>
        <v>0</v>
      </c>
      <c r="U55" s="67">
        <f>$AA53*U47/100</f>
        <v>162.44445890593715</v>
      </c>
      <c r="V55" s="67">
        <f>$AA53*V47/100</f>
        <v>289.42364521103377</v>
      </c>
      <c r="W55" s="67">
        <f>$AA53*W47/100</f>
        <v>371.39180805323974</v>
      </c>
      <c r="X55" s="67">
        <f>$AA53*X47/100</f>
        <v>384.57698912107838</v>
      </c>
      <c r="AA55" s="1"/>
      <c r="AC55" t="s">
        <v>144</v>
      </c>
      <c r="AD55" s="51">
        <v>0.94558823529411695</v>
      </c>
      <c r="AE55" s="51">
        <v>0.943033454117987</v>
      </c>
      <c r="AH55">
        <v>1152</v>
      </c>
      <c r="AI55">
        <v>1163</v>
      </c>
      <c r="BF55" s="51">
        <v>0.94375967928161275</v>
      </c>
      <c r="BG55" s="1">
        <v>17</v>
      </c>
      <c r="BH55">
        <f t="shared" si="6"/>
        <v>0.91913552204621074</v>
      </c>
      <c r="BI55">
        <f t="shared" si="8"/>
        <v>0.20829458661289388</v>
      </c>
      <c r="BJ55">
        <f t="shared" si="7"/>
        <v>0.19658003225788084</v>
      </c>
    </row>
    <row r="56" spans="1:64" x14ac:dyDescent="0.3">
      <c r="A56" t="s">
        <v>4</v>
      </c>
      <c r="B56" s="13">
        <v>1</v>
      </c>
      <c r="C56" s="33">
        <f t="shared" ref="C56:G59" si="10">(C45/$L56)*$O56</f>
        <v>0</v>
      </c>
      <c r="D56" s="34">
        <f t="shared" si="10"/>
        <v>5.9070591849711853</v>
      </c>
      <c r="E56" s="19">
        <f t="shared" si="10"/>
        <v>7.0532049969805194E-2</v>
      </c>
      <c r="F56" s="18">
        <f t="shared" si="10"/>
        <v>0</v>
      </c>
      <c r="G56" s="20">
        <f t="shared" si="10"/>
        <v>0</v>
      </c>
      <c r="H56" s="17">
        <f>SUM(C56:G56)</f>
        <v>5.9775912349409905</v>
      </c>
      <c r="I56" s="17">
        <f>D56/H56*100</f>
        <v>98.82005899705014</v>
      </c>
      <c r="J56" s="17">
        <f>SQRT(I56*(100-I56)/(L56-1))</f>
        <v>0.58734645362127647</v>
      </c>
      <c r="K56" s="18">
        <f>100-I56</f>
        <v>1.1799410029498603</v>
      </c>
      <c r="L56" s="1">
        <f>H45</f>
        <v>339</v>
      </c>
      <c r="M56">
        <v>1</v>
      </c>
      <c r="N56" s="1">
        <v>11858.37</v>
      </c>
      <c r="O56" s="17">
        <f>N56/N60*100</f>
        <v>5.9775912349409905</v>
      </c>
      <c r="P56" s="52">
        <f>((O56*O56*(I56/100)*(K56/100))/(L56-1))</f>
        <v>1.232653827245524E-3</v>
      </c>
      <c r="R56" t="s">
        <v>76</v>
      </c>
      <c r="S56" t="s">
        <v>28</v>
      </c>
      <c r="T56" s="57">
        <f t="shared" ref="T56:X59" si="11">C147</f>
        <v>1.1656038854235773</v>
      </c>
      <c r="U56" s="57">
        <f t="shared" si="11"/>
        <v>6.7333617155260566</v>
      </c>
      <c r="V56" s="57">
        <f t="shared" si="11"/>
        <v>58.841490847704009</v>
      </c>
      <c r="W56" s="57">
        <f t="shared" si="11"/>
        <v>21.714748071087964</v>
      </c>
      <c r="X56" s="57">
        <f t="shared" si="11"/>
        <v>11.544795480258403</v>
      </c>
      <c r="Y56" s="13"/>
      <c r="Z56" s="74"/>
      <c r="AA56" s="12"/>
      <c r="AC56" t="s">
        <v>145</v>
      </c>
      <c r="AD56" s="51">
        <v>0.94420415224913401</v>
      </c>
      <c r="AE56" s="51">
        <v>0.94131173228938403</v>
      </c>
      <c r="AH56">
        <v>1181</v>
      </c>
      <c r="AI56">
        <v>1192</v>
      </c>
      <c r="BF56" s="51">
        <v>0.94381446800283741</v>
      </c>
      <c r="BG56" s="1">
        <v>18</v>
      </c>
      <c r="BH56">
        <f t="shared" si="6"/>
        <v>1.1281436452787641</v>
      </c>
      <c r="BI56">
        <f t="shared" si="8"/>
        <v>0.25566002901309814</v>
      </c>
      <c r="BJ56">
        <f t="shared" si="7"/>
        <v>0.24129563427258721</v>
      </c>
    </row>
    <row r="57" spans="1:64" x14ac:dyDescent="0.3">
      <c r="A57" t="s">
        <v>5</v>
      </c>
      <c r="B57" s="13">
        <v>2</v>
      </c>
      <c r="C57" s="33">
        <f t="shared" si="10"/>
        <v>0</v>
      </c>
      <c r="D57" s="19">
        <f t="shared" si="10"/>
        <v>0.64325259676726187</v>
      </c>
      <c r="E57" s="34">
        <f t="shared" si="10"/>
        <v>58.397564860946865</v>
      </c>
      <c r="F57" s="19">
        <f t="shared" si="10"/>
        <v>0.44783408635695449</v>
      </c>
      <c r="G57" s="20">
        <f t="shared" si="10"/>
        <v>0.75724672783994118</v>
      </c>
      <c r="H57" s="17">
        <f>SUM(C57:G57)</f>
        <v>60.245898271911024</v>
      </c>
      <c r="I57" s="17">
        <f>E57/H57*100</f>
        <v>96.93201784024869</v>
      </c>
      <c r="J57" s="17">
        <f>SQRT(I57*(100-I57)/(L57-1))</f>
        <v>0.20049469147289239</v>
      </c>
      <c r="K57" s="18">
        <f>100-I57</f>
        <v>3.0679821597513097</v>
      </c>
      <c r="L57" s="1">
        <f>H46</f>
        <v>7399</v>
      </c>
      <c r="M57">
        <v>2</v>
      </c>
      <c r="N57" s="1">
        <v>119516.06</v>
      </c>
      <c r="O57" s="17">
        <f>N57/N60*100</f>
        <v>60.245898271911024</v>
      </c>
      <c r="P57" s="52">
        <f>((O57*O57*(I57/100)*(K57/100))/(L57-1))</f>
        <v>1.4590182515738615E-2</v>
      </c>
      <c r="S57" s="66" t="s">
        <v>39</v>
      </c>
      <c r="T57" s="67">
        <f t="shared" si="11"/>
        <v>0</v>
      </c>
      <c r="U57" s="67">
        <f t="shared" si="11"/>
        <v>7.1835226453059564E-2</v>
      </c>
      <c r="V57" s="67">
        <f t="shared" si="11"/>
        <v>0.137639116974895</v>
      </c>
      <c r="W57" s="67">
        <f t="shared" si="11"/>
        <v>0.18486862266953749</v>
      </c>
      <c r="X57" s="67">
        <f t="shared" si="11"/>
        <v>0.18687262111830863</v>
      </c>
      <c r="AC57" t="s">
        <v>146</v>
      </c>
      <c r="AD57" s="51">
        <v>0.94351211072664298</v>
      </c>
      <c r="AE57" s="51">
        <v>0.94065044734480197</v>
      </c>
      <c r="AH57">
        <v>1210</v>
      </c>
      <c r="AI57">
        <v>1221</v>
      </c>
      <c r="BF57" s="51">
        <v>0.94402494321795927</v>
      </c>
      <c r="BG57" s="27">
        <v>19</v>
      </c>
      <c r="BH57" s="84">
        <f t="shared" si="6"/>
        <v>1.4034126358514019</v>
      </c>
      <c r="BI57" s="84">
        <f>-3.562633*($BL$38)^5+5.682633*($BL$38)^4-1.752461*($BL$38)^3-0.293762*($BL$38)^2+0.042981*$BL$38+BH57*($BL$39^-0.5)</f>
        <v>0.32175145499838514</v>
      </c>
      <c r="BJ57">
        <f t="shared" si="7"/>
        <v>0.3037413990351463</v>
      </c>
    </row>
    <row r="58" spans="1:64" x14ac:dyDescent="0.3">
      <c r="A58" t="s">
        <v>6</v>
      </c>
      <c r="B58" s="13">
        <v>3</v>
      </c>
      <c r="C58" s="33">
        <f t="shared" si="10"/>
        <v>0</v>
      </c>
      <c r="D58" s="19">
        <f t="shared" si="10"/>
        <v>0</v>
      </c>
      <c r="E58" s="19">
        <f t="shared" si="10"/>
        <v>0.36614862606707455</v>
      </c>
      <c r="F58" s="34">
        <f t="shared" si="10"/>
        <v>19.655523972055228</v>
      </c>
      <c r="G58" s="20">
        <f t="shared" si="10"/>
        <v>1.6393472576184929</v>
      </c>
      <c r="H58" s="17">
        <f>SUM(C58:G58)</f>
        <v>21.661019855740793</v>
      </c>
      <c r="I58" s="17">
        <f>F58/H58*100</f>
        <v>90.74145217057243</v>
      </c>
      <c r="J58" s="17">
        <f>SQRT(I58*(100-I58)/(L58-1))</f>
        <v>0.56822541396297066</v>
      </c>
      <c r="K58" s="18">
        <f>100-I58</f>
        <v>9.2585478294275703</v>
      </c>
      <c r="L58" s="1">
        <f>H47</f>
        <v>2603</v>
      </c>
      <c r="M58">
        <v>3</v>
      </c>
      <c r="N58" s="1">
        <v>42971.22</v>
      </c>
      <c r="O58" s="17">
        <f>N58/N60*100</f>
        <v>21.661019855740797</v>
      </c>
      <c r="P58" s="52">
        <f>((O58*O58*(I58/100)*(K58/100))/(L58-1))</f>
        <v>1.5149528215849233E-2</v>
      </c>
      <c r="S58" t="s">
        <v>30</v>
      </c>
      <c r="T58" s="57">
        <f t="shared" si="11"/>
        <v>100</v>
      </c>
      <c r="U58" s="57">
        <f t="shared" si="11"/>
        <v>91.074460274095614</v>
      </c>
      <c r="V58" s="57">
        <f t="shared" si="11"/>
        <v>99.100418699239754</v>
      </c>
      <c r="W58" s="57">
        <f t="shared" si="11"/>
        <v>90.609889562545774</v>
      </c>
      <c r="X58" s="57">
        <f t="shared" si="11"/>
        <v>79.604527619444923</v>
      </c>
      <c r="AC58" t="s">
        <v>147</v>
      </c>
      <c r="AD58" s="51">
        <v>0.945501730103806</v>
      </c>
      <c r="AE58" s="51">
        <v>0.94302563620414703</v>
      </c>
      <c r="AH58">
        <v>1239</v>
      </c>
      <c r="AI58">
        <v>1250</v>
      </c>
      <c r="BF58" s="127">
        <v>0.94476018990110322</v>
      </c>
      <c r="BG58" s="27">
        <v>20</v>
      </c>
      <c r="BH58" s="84">
        <f t="shared" si="6"/>
        <v>1.8682416548639302</v>
      </c>
      <c r="BI58" s="84">
        <f>-2.70605*($BL$38)^5+4.4334685*($BL$38)^4-2.07119*($BL$38)^3-0.147981*($BL$38)^2+0.221157*$BL$38+BH58*($BL$39^-0.5)</f>
        <v>0.47336806621893501</v>
      </c>
      <c r="BJ58">
        <f t="shared" si="7"/>
        <v>0.44721930413411903</v>
      </c>
    </row>
    <row r="59" spans="1:64" x14ac:dyDescent="0.3">
      <c r="A59" t="s">
        <v>7</v>
      </c>
      <c r="B59" s="13">
        <v>4</v>
      </c>
      <c r="C59" s="35">
        <f t="shared" si="10"/>
        <v>0</v>
      </c>
      <c r="D59" s="36">
        <f t="shared" si="10"/>
        <v>0</v>
      </c>
      <c r="E59" s="21">
        <f t="shared" si="10"/>
        <v>0.21665455147511792</v>
      </c>
      <c r="F59" s="21">
        <f t="shared" si="10"/>
        <v>1.562193344846903</v>
      </c>
      <c r="G59" s="37">
        <f t="shared" si="10"/>
        <v>9.1679083887365707</v>
      </c>
      <c r="H59" s="17">
        <f>SUM(C59:G59)</f>
        <v>10.946756285058591</v>
      </c>
      <c r="I59" s="17">
        <f>G59/H59*100</f>
        <v>83.750000000000014</v>
      </c>
      <c r="J59" s="17">
        <f>SQRT(I59*(100-I59)/(L59-1))</f>
        <v>1.1912688532439144</v>
      </c>
      <c r="K59" s="18">
        <f>100-I59</f>
        <v>16.249999999999986</v>
      </c>
      <c r="L59" s="1">
        <f>H48</f>
        <v>960</v>
      </c>
      <c r="M59">
        <v>4</v>
      </c>
      <c r="N59" s="1">
        <v>21716.22</v>
      </c>
      <c r="O59" s="17">
        <f>N59/N60*100</f>
        <v>10.946756285058591</v>
      </c>
      <c r="P59" s="52">
        <f>((O59*O59*(I59/100)*(K59/100))/(L59-1))</f>
        <v>1.7005541763271161E-2</v>
      </c>
      <c r="S59" s="66" t="s">
        <v>39</v>
      </c>
      <c r="T59" s="67">
        <f t="shared" si="11"/>
        <v>0</v>
      </c>
      <c r="U59" s="67">
        <f t="shared" si="11"/>
        <v>0.97055943908604547</v>
      </c>
      <c r="V59" s="67">
        <f t="shared" si="11"/>
        <v>0.11964260465178117</v>
      </c>
      <c r="W59" s="67">
        <f t="shared" si="11"/>
        <v>0.78416937060175307</v>
      </c>
      <c r="X59" s="67">
        <f t="shared" si="11"/>
        <v>2.4585559364871288</v>
      </c>
      <c r="AC59" t="s">
        <v>148</v>
      </c>
      <c r="AD59" s="51">
        <v>0.94844290657439401</v>
      </c>
      <c r="AE59" s="51">
        <v>0.94631844427879697</v>
      </c>
      <c r="AH59">
        <v>1268</v>
      </c>
      <c r="AI59">
        <v>1279</v>
      </c>
      <c r="BI59" t="s">
        <v>365</v>
      </c>
      <c r="BJ59">
        <f>SUM(BJ39:BJ58)</f>
        <v>4.9378865233844493E-3</v>
      </c>
    </row>
    <row r="60" spans="1:64" x14ac:dyDescent="0.3">
      <c r="B60" t="s">
        <v>28</v>
      </c>
      <c r="C60" s="17">
        <f>SUM(C55:C59)</f>
        <v>1.1687343523486013</v>
      </c>
      <c r="D60" s="17">
        <f>SUM(D55:D59)</f>
        <v>6.5503117817384471</v>
      </c>
      <c r="E60" s="17">
        <f>SUM(E55:E59)</f>
        <v>59.05090008845886</v>
      </c>
      <c r="F60" s="17">
        <f>SUM(F55:F59)</f>
        <v>21.665551403259087</v>
      </c>
      <c r="G60" s="17">
        <f>SUM(G55:G59)</f>
        <v>11.564502374195005</v>
      </c>
      <c r="H60" s="1">
        <f>SUM(H54:H59)</f>
        <v>100</v>
      </c>
      <c r="I60" s="13" t="s">
        <v>24</v>
      </c>
      <c r="J60" s="12" t="s">
        <v>29</v>
      </c>
      <c r="N60" s="1">
        <f>SUM(N55:N59)</f>
        <v>198380.41</v>
      </c>
      <c r="O60" s="17">
        <f>SUM(O55:O59)</f>
        <v>100</v>
      </c>
      <c r="S60" s="15" t="s">
        <v>31</v>
      </c>
      <c r="T60" s="71">
        <f>I142</f>
        <v>100</v>
      </c>
      <c r="U60" s="71">
        <f>I143</f>
        <v>99.705014749262531</v>
      </c>
      <c r="V60" s="71">
        <f>I144</f>
        <v>97.040140559535075</v>
      </c>
      <c r="W60" s="71">
        <f>I145</f>
        <v>90.779869381482897</v>
      </c>
      <c r="X60" s="71">
        <f>I146</f>
        <v>84.166666666666671</v>
      </c>
      <c r="AC60" t="s">
        <v>149</v>
      </c>
      <c r="AD60" s="51">
        <v>0.94645328719723099</v>
      </c>
      <c r="AE60" s="51">
        <v>0.94412614216873103</v>
      </c>
      <c r="AH60">
        <v>1297</v>
      </c>
      <c r="AI60">
        <v>1308</v>
      </c>
    </row>
    <row r="61" spans="1:64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0</v>
      </c>
      <c r="D61" s="18">
        <f>SQRT(SUM((O55*O55*(D55/O55)*(1-D55/O55))/L55,(O56*O56*(D56/O56)*(1-D56/O56))/L56,(O57*O57*(D57/O57)*(1-D57/O57))/L57,(O58*O58*(D58/O58)*(1-D58/O58))/L58,(O59*O59*(D59/O59)*(1-D59/O59))/L59))</f>
        <v>8.0067091090444631E-2</v>
      </c>
      <c r="E61" s="18">
        <f>SQRT(SUM((O55*O55*(E55/O55)*(1-E55/O55))/L55,(O56*O56*(E56/O56)*(1-E56/O56))/L56,(O57*O57*(E57/O57)*(1-E57/O57))/L57,(O58*O58*(E58/O58)*(1-E58/O58))/L58,(O59*O59*(E59/O59)*(1-E59/O59))/L59))</f>
        <v>0.14571973408078165</v>
      </c>
      <c r="F61" s="18">
        <f>SQRT(SUM((O55*O55*(F55/O55)*(1-F55/O55))/L55,(O56*O56*(F56/O56)*(1-F56/O56))/L56,(O57*O57*(F57/O57)*(1-F57/O57))/L57,(O58*O58*(F58/O58)*(1-F58/O58))/L58,(O59*O59*(F59/O59)*(1-F59/O59))/L59))</f>
        <v>0.18448419908626895</v>
      </c>
      <c r="G61" s="18">
        <f>SQRT(SUM((O55*O55*(G55/O55)*(1-G55/O55))/L55,(O56*O56*(G56/O56)*(1-G56/O56))/L56,(O57*O57*(G57/O57)*(1-G57/O57))/L57,(O58*O58*(G58/O58)*(1-G58/O58))/L58,(O59*O59*(G59/O59)*(1-G59/O59))/L59))</f>
        <v>0.18890643507578955</v>
      </c>
      <c r="H61" s="1"/>
      <c r="I61" s="14">
        <f>(C55+D56+E57+F58+G59)/H60</f>
        <v>0.94296790759058469</v>
      </c>
      <c r="J61" s="53">
        <f>SQRT(SUM(P55:P59))/100</f>
        <v>2.1903859550797102E-3</v>
      </c>
      <c r="M61" s="1"/>
      <c r="N61" s="9"/>
      <c r="S61" s="75" t="s">
        <v>39</v>
      </c>
      <c r="T61" s="76">
        <f>J142</f>
        <v>0</v>
      </c>
      <c r="U61" s="76">
        <f>J143</f>
        <v>0.2949852507374659</v>
      </c>
      <c r="V61" s="76">
        <f>J144</f>
        <v>0.19703985930670817</v>
      </c>
      <c r="W61" s="76">
        <f>J145</f>
        <v>0.56716531989190211</v>
      </c>
      <c r="X61" s="76">
        <f>J146</f>
        <v>1.1788184859530755</v>
      </c>
      <c r="AC61" t="s">
        <v>150</v>
      </c>
      <c r="AD61" s="51">
        <v>0.94506920415224904</v>
      </c>
      <c r="AE61" s="51">
        <v>0.94234748085226705</v>
      </c>
      <c r="AH61">
        <v>1326</v>
      </c>
      <c r="AI61">
        <v>1337</v>
      </c>
      <c r="BF61" s="82" t="s">
        <v>335</v>
      </c>
      <c r="BG61" s="1">
        <v>0.05</v>
      </c>
      <c r="BH61" s="59" t="s">
        <v>336</v>
      </c>
      <c r="BI61" s="1">
        <v>100</v>
      </c>
      <c r="BJ61" s="59" t="s">
        <v>347</v>
      </c>
      <c r="BK61" s="1">
        <f>_xlfn.VAR.S(BF64:BF163)*(BI61-1)</f>
        <v>1.6622579676268105E-4</v>
      </c>
    </row>
    <row r="62" spans="1:64" x14ac:dyDescent="0.3">
      <c r="B62" s="1" t="s">
        <v>30</v>
      </c>
      <c r="C62" s="17">
        <f>C55/C60*100</f>
        <v>100</v>
      </c>
      <c r="D62" s="17">
        <f>D56/D60*100</f>
        <v>90.179817110987301</v>
      </c>
      <c r="E62" s="17">
        <f>E57/E60*100</f>
        <v>98.89360665708179</v>
      </c>
      <c r="F62" s="17">
        <f>F58/F60*100</f>
        <v>90.722472768906798</v>
      </c>
      <c r="G62" s="17">
        <f>G59/G60*100</f>
        <v>79.276289563430012</v>
      </c>
      <c r="H62" s="1"/>
      <c r="S62" s="66" t="s">
        <v>56</v>
      </c>
      <c r="T62" s="67">
        <f>N131*100</f>
        <v>100</v>
      </c>
      <c r="U62" s="67">
        <f>N132*100</f>
        <v>90.013315579227694</v>
      </c>
      <c r="V62" s="67">
        <f>N133*100</f>
        <v>98.107535697205705</v>
      </c>
      <c r="W62" s="67">
        <f>N134*100</f>
        <v>91.571400891300129</v>
      </c>
      <c r="X62" s="67">
        <f>N135*100</f>
        <v>78.714076960545526</v>
      </c>
      <c r="AC62" t="s">
        <v>151</v>
      </c>
      <c r="AD62" s="51">
        <v>0.94429065743944596</v>
      </c>
      <c r="AE62" s="51">
        <v>0.94150955827919003</v>
      </c>
      <c r="AH62">
        <v>1355</v>
      </c>
      <c r="AI62">
        <v>1366</v>
      </c>
    </row>
    <row r="63" spans="1:64" ht="15.6" x14ac:dyDescent="0.35">
      <c r="B63" s="16" t="s">
        <v>39</v>
      </c>
      <c r="C63" s="18">
        <f>SQRT((C66+C67)/(C60*C60))</f>
        <v>0</v>
      </c>
      <c r="D63" s="18">
        <f>SQRT((D66+D67)/(D60*D60))</f>
        <v>1.1221903714125572</v>
      </c>
      <c r="E63" s="18">
        <f>SQRT((E66+E67)/(E60*E60))</f>
        <v>0.13846546625140826</v>
      </c>
      <c r="F63" s="18">
        <f>SQRT((F66+F67)/(F60*F60))</f>
        <v>0.78058912807574021</v>
      </c>
      <c r="G63" s="18">
        <f>SQRT((G66+G67)/(G60*G60))</f>
        <v>2.517920703225426</v>
      </c>
      <c r="H63" s="1"/>
      <c r="I63" s="14"/>
      <c r="R63" s="16" t="s">
        <v>66</v>
      </c>
      <c r="S63" t="s">
        <v>9</v>
      </c>
      <c r="T63" s="30">
        <f>N142</f>
        <v>2312.33</v>
      </c>
      <c r="U63" s="30">
        <f>N143</f>
        <v>12201.42</v>
      </c>
      <c r="V63" s="30">
        <f>N144</f>
        <v>119208.32000000001</v>
      </c>
      <c r="W63" s="30">
        <f>N145</f>
        <v>42997.15</v>
      </c>
      <c r="X63" s="30">
        <f>N146</f>
        <v>21661.21</v>
      </c>
      <c r="Z63" t="s">
        <v>36</v>
      </c>
      <c r="AA63" s="1">
        <f>N147</f>
        <v>198380.43</v>
      </c>
      <c r="AC63" t="s">
        <v>152</v>
      </c>
      <c r="AD63" s="51">
        <v>0.94576124567473996</v>
      </c>
      <c r="AE63" s="51">
        <v>0.94290339565219194</v>
      </c>
      <c r="AH63">
        <v>1384</v>
      </c>
      <c r="AI63">
        <v>1395</v>
      </c>
      <c r="BF63" s="12" t="s">
        <v>334</v>
      </c>
      <c r="BG63" s="13" t="s">
        <v>362</v>
      </c>
      <c r="BH63" s="13" t="s">
        <v>367</v>
      </c>
      <c r="BI63" s="13" t="s">
        <v>368</v>
      </c>
      <c r="BJ63" s="13" t="s">
        <v>369</v>
      </c>
      <c r="BK63" s="13" t="s">
        <v>363</v>
      </c>
      <c r="BL63">
        <f>1/(SQRT(BI61))</f>
        <v>0.1</v>
      </c>
    </row>
    <row r="64" spans="1:64" ht="15.6" x14ac:dyDescent="0.35">
      <c r="B64" s="1" t="s">
        <v>37</v>
      </c>
      <c r="C64" s="18">
        <f>100-C62</f>
        <v>0</v>
      </c>
      <c r="D64" s="18">
        <f>100-D62</f>
        <v>9.820182889012699</v>
      </c>
      <c r="E64" s="18">
        <f>100-E62</f>
        <v>1.10639334291821</v>
      </c>
      <c r="F64" s="18">
        <f>100-F62</f>
        <v>9.2775272310932024</v>
      </c>
      <c r="G64" s="18">
        <f>100-G62</f>
        <v>20.723710436569988</v>
      </c>
      <c r="R64" s="16" t="s">
        <v>323</v>
      </c>
      <c r="S64" t="s">
        <v>68</v>
      </c>
      <c r="T64" s="57">
        <f>$AA63*T56/100</f>
        <v>2312.33</v>
      </c>
      <c r="U64" s="57">
        <f>$AA63*U56/100</f>
        <v>13357.671924715967</v>
      </c>
      <c r="V64" s="57">
        <f>$AA63*V56/100</f>
        <v>116730.00256208585</v>
      </c>
      <c r="W64" s="57">
        <f>$AA63*W56/100</f>
        <v>43077.810596841009</v>
      </c>
      <c r="X64" s="57">
        <f>$AA63*X56/100</f>
        <v>22902.614916357183</v>
      </c>
      <c r="Z64" t="s">
        <v>36</v>
      </c>
      <c r="AA64" s="25">
        <f>SUM(T64:X64)</f>
        <v>198380.43000000002</v>
      </c>
      <c r="AC64" t="s">
        <v>153</v>
      </c>
      <c r="AD64" s="51">
        <v>0.94515570934255999</v>
      </c>
      <c r="AE64" s="51">
        <v>0.94232460958600495</v>
      </c>
      <c r="AH64">
        <v>1413</v>
      </c>
      <c r="AI64">
        <v>1424</v>
      </c>
      <c r="BF64" s="51">
        <v>0.938580400416137</v>
      </c>
      <c r="BG64" s="27">
        <v>1</v>
      </c>
      <c r="BH64" s="84">
        <f>_xlfn.NORM.S.INV((BG64-0.375)/($BI$61+0.25))</f>
        <v>-2.4985905609622558</v>
      </c>
      <c r="BI64" s="84">
        <f>-BI163</f>
        <v>-0.27283801696664034</v>
      </c>
      <c r="BJ64">
        <f>BI64*BF64</f>
        <v>-0.25608041521329405</v>
      </c>
      <c r="BK64" s="13" t="s">
        <v>355</v>
      </c>
      <c r="BL64">
        <f>SUMSQ(BH64:BH163)</f>
        <v>96.875018496226488</v>
      </c>
    </row>
    <row r="65" spans="1:65" ht="15.6" x14ac:dyDescent="0.35">
      <c r="B65" s="1" t="s">
        <v>25</v>
      </c>
      <c r="C65" s="1">
        <f>C49</f>
        <v>259</v>
      </c>
      <c r="D65" s="1">
        <f>D49</f>
        <v>414</v>
      </c>
      <c r="E65" s="1">
        <f>E49</f>
        <v>7239</v>
      </c>
      <c r="F65" s="1">
        <f>F49</f>
        <v>2554</v>
      </c>
      <c r="G65" s="1">
        <f>G49</f>
        <v>1094</v>
      </c>
      <c r="R65" s="66"/>
      <c r="S65" s="66" t="s">
        <v>67</v>
      </c>
      <c r="T65" s="67">
        <f>$AA63*T57/100</f>
        <v>0</v>
      </c>
      <c r="U65" s="67">
        <f>$AA63*U57/100</f>
        <v>142.5070311290533</v>
      </c>
      <c r="V65" s="67">
        <f>$AA63*V57/100</f>
        <v>273.04907210299973</v>
      </c>
      <c r="W65" s="67">
        <f>$AA63*W57/100</f>
        <v>366.74316858690594</v>
      </c>
      <c r="X65" s="67">
        <f>$AA63*X57/100</f>
        <v>370.71870932677143</v>
      </c>
      <c r="AA65" s="1"/>
      <c r="AC65" t="s">
        <v>154</v>
      </c>
      <c r="AD65" s="51">
        <v>0.94359861591695504</v>
      </c>
      <c r="AE65" s="51">
        <v>0.94104316031489199</v>
      </c>
      <c r="AH65">
        <v>1442</v>
      </c>
      <c r="AI65">
        <v>1453</v>
      </c>
      <c r="BF65" s="51">
        <v>0.94001455968862724</v>
      </c>
      <c r="BG65" s="27">
        <v>2</v>
      </c>
      <c r="BH65" s="84">
        <f>_xlfn.NORM.S.INV((BG65-0.375)/($BI$61+0.25))</f>
        <v>-2.1392064429859778</v>
      </c>
      <c r="BI65" s="84">
        <f>-BI162</f>
        <v>-0.21748422717250435</v>
      </c>
      <c r="BJ65">
        <f t="shared" ref="BJ65:BJ128" si="12">BI65*BF65</f>
        <v>-0.20443834004478306</v>
      </c>
      <c r="BK65" s="74" t="s">
        <v>364</v>
      </c>
      <c r="BL65">
        <f>(BL64-2*(BH163^2)-2*(BH162^2))/(1-2*(BI163^2)-2*(BI162^2))</f>
        <v>99.451032420132819</v>
      </c>
    </row>
    <row r="66" spans="1:65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11.887219459054792</v>
      </c>
      <c r="E66" s="18">
        <f>(O57*O57*(100-E62)*(100-E62)*(I57)*(100-I57))/((L57-1)*100)</f>
        <v>1.7859933303464524</v>
      </c>
      <c r="F66" s="18">
        <f>(O58*O58*(100-F62)*(100-F62)*(I58)*(100-I58))/((L58-1)*100)</f>
        <v>130.39579419369363</v>
      </c>
      <c r="G66" s="18">
        <f>(O59*O59*(100-G62)*(100-G62)*(I59)*(100-I59))/((L59-1)*100)</f>
        <v>730.34069955208906</v>
      </c>
      <c r="R66" t="s">
        <v>98</v>
      </c>
      <c r="S66" t="s">
        <v>28</v>
      </c>
      <c r="T66" s="57">
        <f>C176</f>
        <v>1.1546654228610576</v>
      </c>
      <c r="U66" s="57">
        <f t="shared" ref="U66:X69" si="13">D176</f>
        <v>6.9470802075089289</v>
      </c>
      <c r="V66" s="57">
        <f t="shared" si="13"/>
        <v>59.008121874997151</v>
      </c>
      <c r="W66" s="57">
        <f t="shared" si="13"/>
        <v>21.539444243634527</v>
      </c>
      <c r="X66" s="57">
        <f t="shared" si="13"/>
        <v>11.350688250998315</v>
      </c>
      <c r="Y66" s="13"/>
      <c r="Z66" s="74"/>
      <c r="AA66" s="12"/>
      <c r="AC66" t="s">
        <v>163</v>
      </c>
      <c r="AD66" s="51">
        <v>0.94498269896193698</v>
      </c>
      <c r="AE66" s="51">
        <v>0.94226997449205696</v>
      </c>
      <c r="AH66" s="78"/>
      <c r="BF66" s="51">
        <v>0.94012548661967099</v>
      </c>
      <c r="BG66" s="1">
        <v>3</v>
      </c>
      <c r="BH66">
        <f>_xlfn.NORM.S.INV((BG66-0.375)/($BI$61+0.25))</f>
        <v>-1.9400873318827652</v>
      </c>
      <c r="BI66">
        <f>BH66/SQRT($BL$65)</f>
        <v>-0.19454345832260236</v>
      </c>
      <c r="BJ66">
        <f t="shared" si="12"/>
        <v>-0.18289526342421022</v>
      </c>
      <c r="BK66" s="74" t="s">
        <v>350</v>
      </c>
      <c r="BL66" s="48">
        <f>CORREL(BF64:BF163,BI64:BI163)^2</f>
        <v>0.98891368263079904</v>
      </c>
      <c r="BM66" s="48">
        <f>(BJ164^2)/BK61</f>
        <v>0.98891368263073187</v>
      </c>
    </row>
    <row r="67" spans="1:65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42.145524151382702</v>
      </c>
      <c r="E67" s="18">
        <f>E62*E62*(SUM((H55*E55*(1-E44/H44))/(H44-1),(H56*E56*(1-E45/H45))/(H45-1), (H58*E58*(1-E47/H47))/(H47-1),(H59*E59*(1-E48/H48))/(H48-1)))</f>
        <v>65.069329208682248</v>
      </c>
      <c r="F67" s="18">
        <f>F62*F62*(SUM((H55*F55*(1-F44/H44))/(H44-1),(H56*F56*(1-F45/H45))/(H45-1), (H57*F57*(1-F46/H46))/(H46-1),(H59*F59*(1-F48/H48))/(H48-1)))</f>
        <v>155.61636038594236</v>
      </c>
      <c r="G67" s="18">
        <f>G62*G62*(SUM((H55*G55*(1-G44/H44))/(H44-1),(H56*G56*(1-G45/H45))/(H45-1), (H57*G57*(1-G46/H46))/(H46-1),(H58*G58*(1-G47/H47))/(H47-1)))</f>
        <v>117.54633981431718</v>
      </c>
      <c r="S67" s="66" t="s">
        <v>39</v>
      </c>
      <c r="T67" s="67">
        <f>C177</f>
        <v>0</v>
      </c>
      <c r="U67" s="67">
        <f t="shared" si="13"/>
        <v>7.7764911963685415E-2</v>
      </c>
      <c r="V67" s="67">
        <f t="shared" si="13"/>
        <v>0.13973796625846993</v>
      </c>
      <c r="W67" s="67">
        <f t="shared" si="13"/>
        <v>0.18683902624653914</v>
      </c>
      <c r="X67" s="67">
        <f t="shared" si="13"/>
        <v>0.18802109281776402</v>
      </c>
      <c r="AC67" t="s">
        <v>164</v>
      </c>
      <c r="AD67" s="51">
        <v>0.94688581314878895</v>
      </c>
      <c r="AE67" s="51">
        <v>0.94445369604291296</v>
      </c>
      <c r="AI67" s="78"/>
      <c r="BF67" s="51">
        <v>0.94065044734480197</v>
      </c>
      <c r="BG67" s="1">
        <v>4</v>
      </c>
      <c r="BH67">
        <f t="shared" ref="BH67:BH130" si="14">_xlfn.NORM.S.INV((BG67-0.375)/($BI$61+0.25))</f>
        <v>-1.7971034256260587</v>
      </c>
      <c r="BI67">
        <f t="shared" ref="BI67:BI130" si="15">BH67/SQRT($BL$65)</f>
        <v>-0.18020565860063845</v>
      </c>
      <c r="BJ67">
        <f t="shared" si="12"/>
        <v>-0.1695105333767552</v>
      </c>
      <c r="BK67" s="74" t="s">
        <v>78</v>
      </c>
      <c r="BL67">
        <f>0.0038915*(LN(BI61)^3)-0.083751*(LN(BI61)^2)-0.31082*LN(BI61)-1.5861</f>
        <v>-4.4135743881998408</v>
      </c>
    </row>
    <row r="68" spans="1:65" x14ac:dyDescent="0.3">
      <c r="A68" s="105" t="s">
        <v>390</v>
      </c>
      <c r="B68" s="69" t="s">
        <v>9</v>
      </c>
      <c r="C68" s="1">
        <v>290.26</v>
      </c>
      <c r="D68" s="1">
        <v>2346.33</v>
      </c>
      <c r="E68" s="1">
        <v>16254.91</v>
      </c>
      <c r="F68">
        <v>2051.38</v>
      </c>
      <c r="G68">
        <v>1202.06</v>
      </c>
      <c r="I68" t="s">
        <v>36</v>
      </c>
      <c r="J68" s="57">
        <f>SUM(C68:G68)</f>
        <v>22144.940000000002</v>
      </c>
      <c r="S68" t="s">
        <v>30</v>
      </c>
      <c r="T68" s="57">
        <f>C178</f>
        <v>100</v>
      </c>
      <c r="U68" s="57">
        <f t="shared" si="13"/>
        <v>89.796285532726699</v>
      </c>
      <c r="V68" s="57">
        <f t="shared" si="13"/>
        <v>99.072123329829367</v>
      </c>
      <c r="W68" s="57">
        <f t="shared" si="13"/>
        <v>90.091655023422192</v>
      </c>
      <c r="X68" s="57">
        <f t="shared" si="13"/>
        <v>79.455886889713838</v>
      </c>
      <c r="AC68" t="s">
        <v>165</v>
      </c>
      <c r="AD68" s="51">
        <v>0.94757785467127997</v>
      </c>
      <c r="AE68" s="51">
        <v>0.94489562535354499</v>
      </c>
      <c r="AH68" s="2"/>
      <c r="AI68" s="2"/>
      <c r="BF68" s="51">
        <v>0.94091692622885559</v>
      </c>
      <c r="BG68" s="1">
        <v>5</v>
      </c>
      <c r="BH68">
        <f t="shared" si="14"/>
        <v>-1.68354659767802</v>
      </c>
      <c r="BI68">
        <f t="shared" si="15"/>
        <v>-0.16881867737453188</v>
      </c>
      <c r="BJ68">
        <f t="shared" si="12"/>
        <v>-0.15884435100526539</v>
      </c>
      <c r="BK68" s="74" t="s">
        <v>370</v>
      </c>
      <c r="BL68">
        <f>EXP(0.0030301*(LN(BI61)^2)-0.082676*LN(BI61)-0.4803)</f>
        <v>0.45077997247289642</v>
      </c>
    </row>
    <row r="69" spans="1:65" x14ac:dyDescent="0.3">
      <c r="B69" t="s">
        <v>391</v>
      </c>
      <c r="C69" s="57">
        <f>(C68/$J68)*100</f>
        <v>1.3107283198780397</v>
      </c>
      <c r="D69" s="57">
        <f>(D68/$J68)*100</f>
        <v>10.595332387443811</v>
      </c>
      <c r="E69" s="57">
        <f>(E68/$J68)*100</f>
        <v>73.402366409662875</v>
      </c>
      <c r="F69" s="57">
        <f>(F68/$J68)*100</f>
        <v>9.2634254145642281</v>
      </c>
      <c r="G69" s="57">
        <f>(G68/$J68)*100</f>
        <v>5.4281474684510309</v>
      </c>
      <c r="S69" s="66" t="s">
        <v>39</v>
      </c>
      <c r="T69" s="67">
        <f>C179</f>
        <v>0</v>
      </c>
      <c r="U69" s="67">
        <f t="shared" si="13"/>
        <v>1.0135276337625501</v>
      </c>
      <c r="V69" s="67">
        <f t="shared" si="13"/>
        <v>0.12149817895957234</v>
      </c>
      <c r="W69" s="67">
        <f t="shared" si="13"/>
        <v>0.81654335788930876</v>
      </c>
      <c r="X69" s="67">
        <f t="shared" si="13"/>
        <v>2.5624079143356671</v>
      </c>
      <c r="AC69" t="s">
        <v>166</v>
      </c>
      <c r="AD69" s="51">
        <v>0.94524221453287105</v>
      </c>
      <c r="AE69" s="51">
        <v>0.942370204247582</v>
      </c>
      <c r="BF69" s="51">
        <v>0.94097609515874703</v>
      </c>
      <c r="BG69" s="1">
        <v>6</v>
      </c>
      <c r="BH69">
        <f t="shared" si="14"/>
        <v>-1.5882958682169486</v>
      </c>
      <c r="BI69">
        <f t="shared" si="15"/>
        <v>-0.15926735150760582</v>
      </c>
      <c r="BJ69">
        <f t="shared" si="12"/>
        <v>-0.14986677050790251</v>
      </c>
      <c r="BK69" s="74" t="s">
        <v>366</v>
      </c>
      <c r="BL69">
        <f>(LN(1-BL66)-BL67)/BL68</f>
        <v>-0.19625808081474133</v>
      </c>
    </row>
    <row r="70" spans="1:65" x14ac:dyDescent="0.3">
      <c r="A70" s="361" t="s">
        <v>397</v>
      </c>
      <c r="B70" s="361"/>
      <c r="C70" s="361"/>
      <c r="D70" s="361"/>
      <c r="E70" s="361"/>
      <c r="F70" s="361"/>
      <c r="G70" s="361"/>
      <c r="H70" s="361"/>
      <c r="I70" s="361"/>
      <c r="J70" s="361"/>
      <c r="K70" s="361"/>
      <c r="L70" s="361" t="s">
        <v>61</v>
      </c>
      <c r="M70" s="361"/>
      <c r="N70" s="361"/>
      <c r="O70" s="361"/>
      <c r="P70" s="361"/>
      <c r="S70" s="15" t="s">
        <v>31</v>
      </c>
      <c r="T70" s="71">
        <f>I171</f>
        <v>100</v>
      </c>
      <c r="U70" s="71">
        <f>I172</f>
        <v>99.705014749262546</v>
      </c>
      <c r="V70" s="71">
        <f>I173</f>
        <v>96.972563859981079</v>
      </c>
      <c r="W70" s="71">
        <f>I174</f>
        <v>90.510948905109473</v>
      </c>
      <c r="X70" s="71">
        <f>I175</f>
        <v>83.020833333333329</v>
      </c>
      <c r="AC70" t="s">
        <v>167</v>
      </c>
      <c r="AD70" s="51">
        <v>0.945501730103806</v>
      </c>
      <c r="AE70" s="51">
        <v>0.94264508361421095</v>
      </c>
      <c r="AH70" s="2"/>
      <c r="AI70" s="2"/>
      <c r="BF70" s="51">
        <v>0.94104316031489199</v>
      </c>
      <c r="BG70" s="1">
        <v>7</v>
      </c>
      <c r="BH70">
        <f t="shared" si="14"/>
        <v>-1.505601216304423</v>
      </c>
      <c r="BI70">
        <f t="shared" si="15"/>
        <v>-0.15097509409039248</v>
      </c>
      <c r="BJ70">
        <f t="shared" si="12"/>
        <v>-0.14207407967166111</v>
      </c>
      <c r="BK70" s="74" t="s">
        <v>354</v>
      </c>
      <c r="BL70">
        <f>1-NORMSDIST(BL69)</f>
        <v>0.57779591502390037</v>
      </c>
    </row>
    <row r="71" spans="1:65" x14ac:dyDescent="0.3">
      <c r="A71" t="s">
        <v>320</v>
      </c>
      <c r="B71" t="s">
        <v>21</v>
      </c>
      <c r="I71" s="1" t="s">
        <v>58</v>
      </c>
      <c r="O71" s="360" t="s">
        <v>411</v>
      </c>
      <c r="P71" s="360"/>
      <c r="S71" s="75" t="s">
        <v>39</v>
      </c>
      <c r="T71" s="76">
        <f>J171</f>
        <v>0</v>
      </c>
      <c r="U71" s="76">
        <f>J172</f>
        <v>0.29498525073745879</v>
      </c>
      <c r="V71" s="76">
        <f>J173</f>
        <v>0.19920708067777099</v>
      </c>
      <c r="W71" s="76">
        <f>J174</f>
        <v>0.57452417193552885</v>
      </c>
      <c r="X71" s="76">
        <f>J175</f>
        <v>1.2123902252844154</v>
      </c>
      <c r="AC71" t="s">
        <v>168</v>
      </c>
      <c r="AD71" s="51">
        <v>0.94584775086505102</v>
      </c>
      <c r="AE71" s="51">
        <v>0.94315868967955696</v>
      </c>
      <c r="BF71" s="51">
        <v>0.94104689789469886</v>
      </c>
      <c r="BG71" s="1">
        <v>8</v>
      </c>
      <c r="BH71">
        <f t="shared" si="14"/>
        <v>-1.43208428708654</v>
      </c>
      <c r="BI71">
        <f t="shared" si="15"/>
        <v>-0.14360313849835979</v>
      </c>
      <c r="BJ71">
        <f t="shared" si="12"/>
        <v>-0.13513728801182429</v>
      </c>
      <c r="BK71" s="13" t="s">
        <v>358</v>
      </c>
      <c r="BL71" s="13" t="str">
        <f>IF(GESTEP(BL70,BG61)=0,"YES","NO")</f>
        <v>NO</v>
      </c>
    </row>
    <row r="72" spans="1:65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56</v>
      </c>
      <c r="O72" s="13" t="s">
        <v>412</v>
      </c>
      <c r="P72" s="13" t="s">
        <v>41</v>
      </c>
      <c r="S72" s="66" t="s">
        <v>56</v>
      </c>
      <c r="T72" s="67">
        <f>N160*100</f>
        <v>100</v>
      </c>
      <c r="U72" s="67">
        <f>N161*100</f>
        <v>88.481675392670155</v>
      </c>
      <c r="V72" s="67">
        <f>N162*100</f>
        <v>98.059313926472598</v>
      </c>
      <c r="W72" s="67">
        <f>N163*100</f>
        <v>91.264768545419344</v>
      </c>
      <c r="X72" s="67">
        <f>N164*100</f>
        <v>78.098971092601658</v>
      </c>
      <c r="AC72" t="s">
        <v>159</v>
      </c>
      <c r="AD72" s="51">
        <v>0.94506920415224904</v>
      </c>
      <c r="AE72" s="51">
        <v>0.94228320616746097</v>
      </c>
      <c r="AH72" s="2"/>
      <c r="AI72" s="2"/>
      <c r="BF72" s="51">
        <v>0.94115299004888897</v>
      </c>
      <c r="BG72" s="1">
        <v>9</v>
      </c>
      <c r="BH72">
        <f t="shared" si="14"/>
        <v>-1.3655831908785105</v>
      </c>
      <c r="BI72">
        <f t="shared" si="15"/>
        <v>-0.13693469990492851</v>
      </c>
      <c r="BJ72">
        <f t="shared" si="12"/>
        <v>-0.12887650225697078</v>
      </c>
    </row>
    <row r="73" spans="1:65" x14ac:dyDescent="0.3">
      <c r="A73" t="s">
        <v>3</v>
      </c>
      <c r="B73" s="13">
        <v>0</v>
      </c>
      <c r="C73" s="26">
        <v>259</v>
      </c>
      <c r="D73" s="3">
        <v>0</v>
      </c>
      <c r="E73" s="3">
        <v>0</v>
      </c>
      <c r="F73" s="3">
        <v>0</v>
      </c>
      <c r="G73" s="4">
        <v>0</v>
      </c>
      <c r="H73" s="1">
        <f>SUM(C73:G73)</f>
        <v>259</v>
      </c>
      <c r="I73" s="10">
        <f>C73/H73</f>
        <v>1</v>
      </c>
      <c r="J73" s="11">
        <f>1-I73</f>
        <v>0</v>
      </c>
      <c r="K73">
        <f>H73-C78</f>
        <v>0</v>
      </c>
      <c r="N73" s="10">
        <f>2*(C79*I73)/(C79+I73)</f>
        <v>1</v>
      </c>
      <c r="O73" s="1"/>
      <c r="P73" s="1"/>
      <c r="R73" s="16" t="s">
        <v>66</v>
      </c>
      <c r="S73" t="s">
        <v>9</v>
      </c>
      <c r="T73" s="1">
        <f>N171</f>
        <v>2290.63</v>
      </c>
      <c r="U73" s="1">
        <f>N172</f>
        <v>12412.02</v>
      </c>
      <c r="V73" s="1">
        <f>N173</f>
        <v>119595.04</v>
      </c>
      <c r="W73" s="1">
        <f>N174</f>
        <v>42532.09</v>
      </c>
      <c r="X73" s="1">
        <f>N175</f>
        <v>21550.63</v>
      </c>
      <c r="Z73" t="s">
        <v>36</v>
      </c>
      <c r="AA73" s="1">
        <f>N176</f>
        <v>198380.41</v>
      </c>
      <c r="AC73" t="s">
        <v>169</v>
      </c>
      <c r="AD73" s="51">
        <v>0.94602076124567402</v>
      </c>
      <c r="AE73" s="51">
        <v>0.94347494199455395</v>
      </c>
      <c r="BF73" s="51">
        <v>0.941266308801888</v>
      </c>
      <c r="BG73" s="1">
        <v>10</v>
      </c>
      <c r="BH73">
        <f t="shared" si="14"/>
        <v>-1.3046268229653299</v>
      </c>
      <c r="BI73">
        <f t="shared" si="15"/>
        <v>-0.13082226237403305</v>
      </c>
      <c r="BJ73">
        <f t="shared" si="12"/>
        <v>-0.12313858801391821</v>
      </c>
    </row>
    <row r="74" spans="1:65" ht="15.6" x14ac:dyDescent="0.35">
      <c r="A74" t="s">
        <v>4</v>
      </c>
      <c r="B74" s="13">
        <v>1</v>
      </c>
      <c r="C74" s="5">
        <v>0</v>
      </c>
      <c r="D74" s="27">
        <v>338</v>
      </c>
      <c r="E74" s="1">
        <v>1</v>
      </c>
      <c r="F74" s="1">
        <v>0</v>
      </c>
      <c r="G74" s="6">
        <v>0</v>
      </c>
      <c r="H74" s="1">
        <f>SUM(C74:G74)</f>
        <v>339</v>
      </c>
      <c r="I74" s="10">
        <f>D74/H74</f>
        <v>0.99705014749262533</v>
      </c>
      <c r="J74" s="11">
        <f>1-I74</f>
        <v>2.9498525073746729E-3</v>
      </c>
      <c r="K74">
        <f>H74-D78</f>
        <v>-84</v>
      </c>
      <c r="N74" s="10">
        <f>2*(D79*I74)/(D79+I74)</f>
        <v>0.88713910761154857</v>
      </c>
      <c r="O74" s="1"/>
      <c r="P74" s="1"/>
      <c r="R74" s="16" t="s">
        <v>323</v>
      </c>
      <c r="S74" t="s">
        <v>68</v>
      </c>
      <c r="T74" s="57">
        <f>$AA73*T66/100</f>
        <v>2290.6299999999997</v>
      </c>
      <c r="U74" s="57">
        <f>$AA73*U66/100</f>
        <v>13781.646198685065</v>
      </c>
      <c r="V74" s="57">
        <f>$AA73*V66/100</f>
        <v>117060.55410891904</v>
      </c>
      <c r="W74" s="57">
        <f>$AA73*W66/100</f>
        <v>42730.037802243576</v>
      </c>
      <c r="X74" s="57">
        <f>$AA73*X66/100</f>
        <v>22517.541890152286</v>
      </c>
      <c r="Z74" t="s">
        <v>36</v>
      </c>
      <c r="AA74" s="25">
        <f>SUM(T74:X74)</f>
        <v>198380.40999999997</v>
      </c>
      <c r="AC74" t="s">
        <v>170</v>
      </c>
      <c r="AD74" s="51">
        <v>0.94437716262975702</v>
      </c>
      <c r="AE74" s="51">
        <v>0.94163015237783199</v>
      </c>
      <c r="AH74" s="2"/>
      <c r="AI74" s="2"/>
      <c r="BF74" s="51">
        <v>0.94127649561793303</v>
      </c>
      <c r="BG74" s="1">
        <v>11</v>
      </c>
      <c r="BH74">
        <f t="shared" si="14"/>
        <v>-1.248166539458073</v>
      </c>
      <c r="BI74">
        <f t="shared" si="15"/>
        <v>-0.12516067249049057</v>
      </c>
      <c r="BJ74">
        <f t="shared" si="12"/>
        <v>-0.11781079919103279</v>
      </c>
    </row>
    <row r="75" spans="1:65" x14ac:dyDescent="0.3">
      <c r="A75" t="s">
        <v>5</v>
      </c>
      <c r="B75" s="13">
        <v>2</v>
      </c>
      <c r="C75" s="5">
        <v>0</v>
      </c>
      <c r="D75" s="1">
        <v>85</v>
      </c>
      <c r="E75" s="27">
        <v>7155</v>
      </c>
      <c r="F75" s="1">
        <v>54</v>
      </c>
      <c r="G75" s="6">
        <v>105</v>
      </c>
      <c r="H75" s="1">
        <f>SUM(C75:G75)</f>
        <v>7399</v>
      </c>
      <c r="I75" s="10">
        <f>E75/H75</f>
        <v>0.96702257061765107</v>
      </c>
      <c r="J75" s="11">
        <f>1-I75</f>
        <v>3.2977429382348933E-2</v>
      </c>
      <c r="K75">
        <f>H75-E78</f>
        <v>188</v>
      </c>
      <c r="N75" s="10">
        <f>2*(E79*I75)/(E79+I75)</f>
        <v>0.97946611909650927</v>
      </c>
      <c r="O75" s="1"/>
      <c r="P75" s="1"/>
      <c r="R75" s="66"/>
      <c r="S75" s="66" t="s">
        <v>67</v>
      </c>
      <c r="T75" s="67">
        <f>$AA73*T67/100</f>
        <v>0</v>
      </c>
      <c r="U75" s="67">
        <f>$AA73*U67/100</f>
        <v>154.27035118969818</v>
      </c>
      <c r="V75" s="67">
        <f>$AA73*V67/100</f>
        <v>277.21275038921431</v>
      </c>
      <c r="W75" s="67">
        <f>$AA73*W67/100</f>
        <v>370.65202630789196</v>
      </c>
      <c r="X75" s="67">
        <f>$AA73*X67/100</f>
        <v>372.99701481836087</v>
      </c>
      <c r="AA75" s="1"/>
      <c r="AC75" t="s">
        <v>171</v>
      </c>
      <c r="AD75" s="51">
        <v>0.94506920415224904</v>
      </c>
      <c r="AE75" s="51">
        <v>0.94248614698634803</v>
      </c>
      <c r="BF75" s="51">
        <v>0.94131173228938403</v>
      </c>
      <c r="BG75" s="1">
        <v>12</v>
      </c>
      <c r="BH75">
        <f t="shared" si="14"/>
        <v>-1.1954271085021433</v>
      </c>
      <c r="BI75">
        <f t="shared" si="15"/>
        <v>-0.11987219340013142</v>
      </c>
      <c r="BJ75">
        <f t="shared" si="12"/>
        <v>-0.11283710202280577</v>
      </c>
    </row>
    <row r="76" spans="1:65" x14ac:dyDescent="0.3">
      <c r="A76" t="s">
        <v>6</v>
      </c>
      <c r="B76" s="13">
        <v>3</v>
      </c>
      <c r="C76" s="5">
        <v>0</v>
      </c>
      <c r="D76" s="1">
        <v>0</v>
      </c>
      <c r="E76" s="1">
        <v>40</v>
      </c>
      <c r="F76" s="27">
        <v>2378</v>
      </c>
      <c r="G76" s="6">
        <v>185</v>
      </c>
      <c r="H76" s="1">
        <f>SUM(C76:G76)</f>
        <v>2603</v>
      </c>
      <c r="I76" s="10">
        <f>F76/H76</f>
        <v>0.9135612754514022</v>
      </c>
      <c r="J76" s="11">
        <f>1-I76</f>
        <v>8.6438724548597801E-2</v>
      </c>
      <c r="K76">
        <f>H76-F78</f>
        <v>32</v>
      </c>
      <c r="N76" s="10">
        <f>2*(F79*I76)/(F79+I76)</f>
        <v>0.91921144182450709</v>
      </c>
      <c r="O76" s="1"/>
      <c r="P76" s="1"/>
      <c r="R76" t="s">
        <v>99</v>
      </c>
      <c r="S76" t="s">
        <v>28</v>
      </c>
      <c r="T76" s="57">
        <f>C205</f>
        <v>1.1615612650462814</v>
      </c>
      <c r="U76" s="57">
        <f t="shared" ref="U76:X79" si="16">D205</f>
        <v>6.6602641347786422</v>
      </c>
      <c r="V76" s="57">
        <f t="shared" si="16"/>
        <v>59.148616413294562</v>
      </c>
      <c r="W76" s="57">
        <f t="shared" si="16"/>
        <v>21.881624253824448</v>
      </c>
      <c r="X76" s="57">
        <f t="shared" si="16"/>
        <v>11.147933933056066</v>
      </c>
      <c r="AC76" t="s">
        <v>172</v>
      </c>
      <c r="AD76" s="51">
        <v>0.94437716262975702</v>
      </c>
      <c r="AE76" s="51">
        <v>0.94147572957098102</v>
      </c>
      <c r="AH76" s="78"/>
      <c r="AI76" s="78"/>
      <c r="BF76" s="51">
        <v>0.94136927555188699</v>
      </c>
      <c r="BG76" s="1">
        <v>13</v>
      </c>
      <c r="BH76">
        <f t="shared" si="14"/>
        <v>-1.1458183419972177</v>
      </c>
      <c r="BI76">
        <f t="shared" si="15"/>
        <v>-0.11489764362580719</v>
      </c>
      <c r="BJ76">
        <f t="shared" si="12"/>
        <v>-0.108161111542645</v>
      </c>
    </row>
    <row r="77" spans="1:65" x14ac:dyDescent="0.3">
      <c r="A77" t="s">
        <v>7</v>
      </c>
      <c r="B77" s="13">
        <v>4</v>
      </c>
      <c r="C77" s="7">
        <v>0</v>
      </c>
      <c r="D77" s="8">
        <v>0</v>
      </c>
      <c r="E77" s="8">
        <v>15</v>
      </c>
      <c r="F77" s="8">
        <v>139</v>
      </c>
      <c r="G77" s="28">
        <v>806</v>
      </c>
      <c r="H77" s="1">
        <f>SUM(C77:G77)</f>
        <v>960</v>
      </c>
      <c r="I77" s="10">
        <f>G77/H77</f>
        <v>0.83958333333333335</v>
      </c>
      <c r="J77" s="11">
        <f>1-I77</f>
        <v>0.16041666666666665</v>
      </c>
      <c r="K77">
        <f>H77-G78</f>
        <v>-136</v>
      </c>
      <c r="N77" s="10">
        <f>2*(G79*I77)/(G79+I77)</f>
        <v>0.78404669260700388</v>
      </c>
      <c r="O77" s="1"/>
      <c r="P77" s="1"/>
      <c r="S77" s="66" t="s">
        <v>39</v>
      </c>
      <c r="T77" s="67">
        <f>C206</f>
        <v>0</v>
      </c>
      <c r="U77" s="67">
        <f t="shared" si="16"/>
        <v>8.3497128023625522E-2</v>
      </c>
      <c r="V77" s="67">
        <f t="shared" si="16"/>
        <v>0.14716430470666245</v>
      </c>
      <c r="W77" s="67">
        <f t="shared" si="16"/>
        <v>0.18254381993866495</v>
      </c>
      <c r="X77" s="67">
        <f t="shared" si="16"/>
        <v>0.1852770158363829</v>
      </c>
      <c r="AC77" t="s">
        <v>173</v>
      </c>
      <c r="AD77" s="51">
        <v>0.94576124567473996</v>
      </c>
      <c r="AE77" s="51">
        <v>0.94252147362953997</v>
      </c>
      <c r="BF77" s="51">
        <v>0.94141050739350396</v>
      </c>
      <c r="BG77" s="1">
        <v>14</v>
      </c>
      <c r="BH77">
        <f t="shared" si="14"/>
        <v>-1.0988799140705434</v>
      </c>
      <c r="BI77">
        <f t="shared" si="15"/>
        <v>-0.11019086370563748</v>
      </c>
      <c r="BJ77">
        <f t="shared" si="12"/>
        <v>-0.10373483691125263</v>
      </c>
    </row>
    <row r="78" spans="1:65" ht="15.6" x14ac:dyDescent="0.35">
      <c r="B78" s="1" t="s">
        <v>19</v>
      </c>
      <c r="C78" s="1">
        <f>SUM(C73:C77)</f>
        <v>259</v>
      </c>
      <c r="D78" s="1">
        <f>SUM(D73:D77)</f>
        <v>423</v>
      </c>
      <c r="E78" s="1">
        <f>SUM(E73:E77)</f>
        <v>7211</v>
      </c>
      <c r="F78" s="1">
        <f>SUM(F73:F77)</f>
        <v>2571</v>
      </c>
      <c r="G78" s="1">
        <f>SUM(G73:G77)</f>
        <v>1096</v>
      </c>
      <c r="H78" s="1">
        <f>SUM(H72:H77)</f>
        <v>11560</v>
      </c>
      <c r="I78" s="13" t="s">
        <v>12</v>
      </c>
      <c r="N78" s="16" t="s">
        <v>36</v>
      </c>
      <c r="O78" s="1">
        <f>SUM(O73:O77)</f>
        <v>0</v>
      </c>
      <c r="P78" s="1">
        <f>SUM(P73:P77)</f>
        <v>0</v>
      </c>
      <c r="S78" s="70" t="s">
        <v>30</v>
      </c>
      <c r="T78" s="64">
        <f>C207</f>
        <v>100</v>
      </c>
      <c r="U78" s="64">
        <f t="shared" si="16"/>
        <v>89.965860672539378</v>
      </c>
      <c r="V78" s="64">
        <f t="shared" si="16"/>
        <v>98.835728611736158</v>
      </c>
      <c r="W78" s="64">
        <f t="shared" si="16"/>
        <v>90.706159737340926</v>
      </c>
      <c r="X78" s="64">
        <f t="shared" si="16"/>
        <v>79.759419950944704</v>
      </c>
      <c r="AC78" t="s">
        <v>174</v>
      </c>
      <c r="AD78" s="51">
        <v>0.94446366782006896</v>
      </c>
      <c r="AE78" s="51">
        <v>0.94141050739350396</v>
      </c>
      <c r="AH78" s="78"/>
      <c r="AI78" s="78"/>
      <c r="BF78" s="51">
        <v>0.94147572957098102</v>
      </c>
      <c r="BG78" s="1">
        <v>15</v>
      </c>
      <c r="BH78">
        <f t="shared" si="14"/>
        <v>-1.0542454124924514</v>
      </c>
      <c r="BI78">
        <f t="shared" si="15"/>
        <v>-0.10571511142644452</v>
      </c>
      <c r="BJ78">
        <f t="shared" si="12"/>
        <v>-9.9528211656889409E-2</v>
      </c>
    </row>
    <row r="79" spans="1:65" x14ac:dyDescent="0.3">
      <c r="A79" s="1" t="s">
        <v>321</v>
      </c>
      <c r="B79" s="1" t="s">
        <v>2</v>
      </c>
      <c r="C79" s="10">
        <f>C73/C78</f>
        <v>1</v>
      </c>
      <c r="D79" s="10">
        <f>D74/D78</f>
        <v>0.79905437352245867</v>
      </c>
      <c r="E79" s="10">
        <f>E75/E78</f>
        <v>0.99223408681181524</v>
      </c>
      <c r="F79" s="10">
        <f>F76/F78</f>
        <v>0.92493193309996113</v>
      </c>
      <c r="G79" s="10">
        <f>G77/G78</f>
        <v>0.73540145985401462</v>
      </c>
      <c r="H79" s="10"/>
      <c r="I79" s="14">
        <f>(C73+D74+E75+F76+G77)/H78</f>
        <v>0.94602076124567469</v>
      </c>
      <c r="S79" s="66" t="s">
        <v>39</v>
      </c>
      <c r="T79" s="67">
        <f>C208</f>
        <v>0</v>
      </c>
      <c r="U79" s="67">
        <f t="shared" si="16"/>
        <v>1.1592476744530054</v>
      </c>
      <c r="V79" s="67">
        <f t="shared" si="16"/>
        <v>0.14291205135984858</v>
      </c>
      <c r="W79" s="67">
        <f t="shared" si="16"/>
        <v>0.76520109139764092</v>
      </c>
      <c r="X79" s="67">
        <f t="shared" si="16"/>
        <v>2.526678776852314</v>
      </c>
      <c r="AC79" t="s">
        <v>175</v>
      </c>
      <c r="AD79" s="51">
        <v>0.94437716262975702</v>
      </c>
      <c r="AE79" s="51">
        <v>0.941266308801888</v>
      </c>
      <c r="BF79" s="51">
        <v>0.94149269559014004</v>
      </c>
      <c r="BG79" s="1">
        <v>16</v>
      </c>
      <c r="BH79">
        <f t="shared" si="14"/>
        <v>-1.0116180790824523</v>
      </c>
      <c r="BI79">
        <f t="shared" si="15"/>
        <v>-0.10144062917795522</v>
      </c>
      <c r="BJ79">
        <f t="shared" si="12"/>
        <v>-9.5505611407112875E-2</v>
      </c>
    </row>
    <row r="80" spans="1:65" x14ac:dyDescent="0.3">
      <c r="B80" s="1" t="s">
        <v>14</v>
      </c>
      <c r="C80" s="11">
        <f>1-C79</f>
        <v>0</v>
      </c>
      <c r="D80" s="11">
        <f>1-D79</f>
        <v>0.20094562647754133</v>
      </c>
      <c r="E80" s="11">
        <f>1-E79</f>
        <v>7.7659131881847587E-3</v>
      </c>
      <c r="F80" s="11">
        <f>1-F79</f>
        <v>7.5068066900038866E-2</v>
      </c>
      <c r="G80" s="11">
        <f>1-G79</f>
        <v>0.26459854014598538</v>
      </c>
      <c r="S80" s="70" t="s">
        <v>31</v>
      </c>
      <c r="T80" s="64">
        <f>I200</f>
        <v>100</v>
      </c>
      <c r="U80" s="64">
        <f>I201</f>
        <v>98.525073746312671</v>
      </c>
      <c r="V80" s="64">
        <f>I202</f>
        <v>96.945533180159487</v>
      </c>
      <c r="W80" s="64">
        <f>I203</f>
        <v>91.164041490587778</v>
      </c>
      <c r="X80" s="64">
        <f>I204</f>
        <v>83.229166666666671</v>
      </c>
      <c r="AC80" t="s">
        <v>176</v>
      </c>
      <c r="AD80" s="51">
        <v>0.94446366782006896</v>
      </c>
      <c r="AE80" s="51">
        <v>0.94115299004888897</v>
      </c>
      <c r="AH80" s="78"/>
      <c r="AI80" s="78"/>
      <c r="AJ80" s="361" t="s">
        <v>398</v>
      </c>
      <c r="AK80" s="361"/>
      <c r="AL80" s="361"/>
      <c r="AM80" s="361"/>
      <c r="AN80" s="361"/>
      <c r="AO80" s="361"/>
      <c r="AP80" s="361"/>
      <c r="AQ80" s="361"/>
      <c r="AR80" s="361"/>
      <c r="AS80" s="361"/>
      <c r="AT80" s="361"/>
      <c r="AU80" s="361" t="s">
        <v>374</v>
      </c>
      <c r="AV80" s="361"/>
      <c r="AW80" s="361"/>
      <c r="AX80" s="361"/>
      <c r="AY80" s="361"/>
      <c r="BF80" s="51">
        <v>0.94150955827919003</v>
      </c>
      <c r="BG80" s="1">
        <v>17</v>
      </c>
      <c r="BH80">
        <f t="shared" si="14"/>
        <v>-0.97075394243172186</v>
      </c>
      <c r="BI80">
        <f t="shared" si="15"/>
        <v>-9.7342952576105798E-2</v>
      </c>
      <c r="BJ80">
        <f t="shared" si="12"/>
        <v>-9.1649320281521507E-2</v>
      </c>
    </row>
    <row r="81" spans="1:62" x14ac:dyDescent="0.3">
      <c r="C81" s="2"/>
      <c r="S81" s="66" t="s">
        <v>39</v>
      </c>
      <c r="T81" s="67">
        <f>J200</f>
        <v>0</v>
      </c>
      <c r="U81" s="67">
        <f>J201</f>
        <v>0.65569245640117779</v>
      </c>
      <c r="V81" s="67">
        <f>J202</f>
        <v>0.20006653206379527</v>
      </c>
      <c r="W81" s="67">
        <f>J203</f>
        <v>0.55639724753475006</v>
      </c>
      <c r="X81" s="67">
        <f>J204</f>
        <v>1.2064401752225082</v>
      </c>
      <c r="AC81" t="s">
        <v>177</v>
      </c>
      <c r="AD81" s="51">
        <v>0.94411764705882295</v>
      </c>
      <c r="AE81" s="51">
        <v>0.94127649561793303</v>
      </c>
      <c r="AJ81" t="s">
        <v>320</v>
      </c>
      <c r="AK81" t="s">
        <v>21</v>
      </c>
      <c r="AR81" s="1" t="s">
        <v>58</v>
      </c>
      <c r="BF81" s="51">
        <v>0.94155317488279699</v>
      </c>
      <c r="BG81" s="1">
        <v>18</v>
      </c>
      <c r="BH81">
        <f t="shared" si="14"/>
        <v>-0.93144978630264041</v>
      </c>
      <c r="BI81">
        <f t="shared" si="15"/>
        <v>-9.3401703986856682E-2</v>
      </c>
      <c r="BJ81">
        <f t="shared" si="12"/>
        <v>-8.7942670928288114E-2</v>
      </c>
    </row>
    <row r="82" spans="1:62" ht="15.6" x14ac:dyDescent="0.35">
      <c r="A82" t="s">
        <v>322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56</v>
      </c>
      <c r="T82" s="65">
        <f>N189*100</f>
        <v>100</v>
      </c>
      <c r="U82" s="65">
        <f>N190*100</f>
        <v>88.476821192052995</v>
      </c>
      <c r="V82" s="65">
        <f>N191*100</f>
        <v>97.978418248873098</v>
      </c>
      <c r="W82" s="65">
        <f>N192*100</f>
        <v>91.727870119829916</v>
      </c>
      <c r="X82" s="65">
        <f>N193*100</f>
        <v>78.680452978828157</v>
      </c>
      <c r="Z82" s="46"/>
      <c r="AA82" s="46"/>
      <c r="AC82" t="s">
        <v>178</v>
      </c>
      <c r="AD82" s="51">
        <v>0.94506920415224904</v>
      </c>
      <c r="AE82" s="51">
        <v>0.942240510166655</v>
      </c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56</v>
      </c>
      <c r="BF82" s="51">
        <v>0.94156081243705203</v>
      </c>
      <c r="BG82" s="1">
        <v>19</v>
      </c>
      <c r="BH82">
        <f t="shared" si="14"/>
        <v>-0.89353437460601337</v>
      </c>
      <c r="BI82">
        <f t="shared" si="15"/>
        <v>-8.9599712605350768E-2</v>
      </c>
      <c r="BJ82">
        <f t="shared" si="12"/>
        <v>-8.4363578194820446E-2</v>
      </c>
    </row>
    <row r="83" spans="1:62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66</v>
      </c>
      <c r="S83" t="s">
        <v>9</v>
      </c>
      <c r="T83" s="30">
        <f>N200</f>
        <v>2304.31</v>
      </c>
      <c r="U83" s="30">
        <f>N201</f>
        <v>12064.83</v>
      </c>
      <c r="V83" s="30">
        <f>N202</f>
        <v>119627.09</v>
      </c>
      <c r="W83" s="30">
        <f>N203</f>
        <v>43190.83</v>
      </c>
      <c r="X83" s="30">
        <f>N204</f>
        <v>21193.35</v>
      </c>
      <c r="Z83" t="s">
        <v>36</v>
      </c>
      <c r="AA83" s="1">
        <f>N205</f>
        <v>198380.41</v>
      </c>
      <c r="AC83" t="s">
        <v>179</v>
      </c>
      <c r="AD83" s="51">
        <v>0.94567474048442901</v>
      </c>
      <c r="AE83" s="51">
        <v>0.94246352133235001</v>
      </c>
      <c r="AJ83" t="s">
        <v>3</v>
      </c>
      <c r="AK83" s="13">
        <v>0</v>
      </c>
      <c r="AL83" s="26">
        <v>259</v>
      </c>
      <c r="AM83" s="3">
        <v>0</v>
      </c>
      <c r="AN83" s="3">
        <v>0</v>
      </c>
      <c r="AO83" s="3">
        <v>0</v>
      </c>
      <c r="AP83" s="4">
        <v>0</v>
      </c>
      <c r="AQ83" s="1">
        <f>SUM(AL83:AP83)</f>
        <v>259</v>
      </c>
      <c r="AR83" s="10">
        <f>AL83/AQ83</f>
        <v>1</v>
      </c>
      <c r="AS83" s="11">
        <f>1-AR83</f>
        <v>0</v>
      </c>
      <c r="AT83">
        <f>AQ83-AL88</f>
        <v>0</v>
      </c>
      <c r="AW83" s="10">
        <f>2*(AL89*AR83)/(AL89+AR83)</f>
        <v>1</v>
      </c>
      <c r="BF83" s="120">
        <v>0.94163015237783199</v>
      </c>
      <c r="BG83" s="1">
        <v>20</v>
      </c>
      <c r="BH83">
        <f t="shared" si="14"/>
        <v>-0.8568619257010005</v>
      </c>
      <c r="BI83">
        <f t="shared" si="15"/>
        <v>-8.5922360087298644E-2</v>
      </c>
      <c r="BJ83">
        <f t="shared" si="12"/>
        <v>-8.0907085021665964E-2</v>
      </c>
    </row>
    <row r="84" spans="1:62" ht="15.6" x14ac:dyDescent="0.35">
      <c r="A84" t="s">
        <v>3</v>
      </c>
      <c r="B84" s="13">
        <v>0</v>
      </c>
      <c r="C84" s="29">
        <f>(C73/$L84)*$O84</f>
        <v>1.1811245695959018</v>
      </c>
      <c r="D84" s="31">
        <f>(D73/$L84)*$O84</f>
        <v>0</v>
      </c>
      <c r="E84" s="31">
        <f>(E73/$L84)*$O84</f>
        <v>0</v>
      </c>
      <c r="F84" s="31">
        <f>(F73/$L84)*$O84</f>
        <v>0</v>
      </c>
      <c r="G84" s="32">
        <f>(G73/$L84)*$O84</f>
        <v>0</v>
      </c>
      <c r="H84" s="17">
        <f>SUM(C84:G84)</f>
        <v>1.1811245695959018</v>
      </c>
      <c r="I84" s="17">
        <f>C84/H84*100</f>
        <v>100</v>
      </c>
      <c r="J84" s="17">
        <f>SQRT(I84*(100-I84)/(L84-1))</f>
        <v>0</v>
      </c>
      <c r="K84" s="18">
        <f>100-I84</f>
        <v>0</v>
      </c>
      <c r="L84" s="1">
        <f>H73</f>
        <v>259</v>
      </c>
      <c r="M84">
        <v>0</v>
      </c>
      <c r="N84" s="1">
        <v>2343.12</v>
      </c>
      <c r="O84" s="17">
        <f>N84/N89*100</f>
        <v>1.1811245695959018</v>
      </c>
      <c r="P84" s="52">
        <f>((O84*O84*(I84/100)*(K84/100))/(L84-1))</f>
        <v>0</v>
      </c>
      <c r="R84" s="16" t="s">
        <v>323</v>
      </c>
      <c r="S84" t="s">
        <v>68</v>
      </c>
      <c r="T84" s="57">
        <f>$AA83*T76/100</f>
        <v>2304.3099999999995</v>
      </c>
      <c r="U84" s="57">
        <f>$AA83*U76/100</f>
        <v>13212.659297656824</v>
      </c>
      <c r="V84" s="57">
        <f>$AA83*V76/100</f>
        <v>117339.26775002106</v>
      </c>
      <c r="W84" s="57">
        <f>$AA83*W76/100</f>
        <v>43408.855909396385</v>
      </c>
      <c r="X84" s="57">
        <f>$AA83*X76/100</f>
        <v>22115.317042925748</v>
      </c>
      <c r="Z84" t="s">
        <v>36</v>
      </c>
      <c r="AA84" s="25">
        <f>SUM(T84:X84)</f>
        <v>198380.41000000003</v>
      </c>
      <c r="AC84" t="s">
        <v>180</v>
      </c>
      <c r="AD84" s="51">
        <v>0.94472318339100303</v>
      </c>
      <c r="AE84" s="51">
        <v>0.94201917896352005</v>
      </c>
      <c r="AH84" s="78"/>
      <c r="AI84" s="78"/>
      <c r="AJ84" t="s">
        <v>4</v>
      </c>
      <c r="AK84" s="13">
        <v>1</v>
      </c>
      <c r="AL84" s="5">
        <v>0</v>
      </c>
      <c r="AM84" s="27">
        <v>338</v>
      </c>
      <c r="AN84" s="1">
        <v>1</v>
      </c>
      <c r="AO84" s="1">
        <v>0</v>
      </c>
      <c r="AP84" s="6">
        <v>0</v>
      </c>
      <c r="AQ84" s="1">
        <f>SUM(AL84:AP84)</f>
        <v>339</v>
      </c>
      <c r="AR84" s="10">
        <f>AM84/AQ84</f>
        <v>0.99705014749262533</v>
      </c>
      <c r="AS84" s="11">
        <f>1-AR84</f>
        <v>2.9498525073746729E-3</v>
      </c>
      <c r="AT84">
        <f>AQ84-AM88</f>
        <v>-83</v>
      </c>
      <c r="AW84" s="10">
        <f>2*(AM89*AR84)/(AM89+AR84)</f>
        <v>0.88830486202365311</v>
      </c>
      <c r="BF84" s="51">
        <v>0.94165878159846494</v>
      </c>
      <c r="BG84" s="1">
        <v>21</v>
      </c>
      <c r="BH84">
        <f t="shared" si="14"/>
        <v>-0.82130717520561125</v>
      </c>
      <c r="BI84">
        <f t="shared" si="15"/>
        <v>-8.2357085469244348E-2</v>
      </c>
      <c r="BJ84">
        <f t="shared" si="12"/>
        <v>-7.7552272758969268E-2</v>
      </c>
    </row>
    <row r="85" spans="1:62" x14ac:dyDescent="0.3">
      <c r="A85" t="s">
        <v>4</v>
      </c>
      <c r="B85" s="13">
        <v>1</v>
      </c>
      <c r="C85" s="33">
        <f t="shared" ref="C85:G88" si="17">(C74/$L85)*$O85</f>
        <v>0</v>
      </c>
      <c r="D85" s="34">
        <f t="shared" si="17"/>
        <v>6.0672968384644204</v>
      </c>
      <c r="E85" s="19">
        <f t="shared" si="17"/>
        <v>1.795058236232077E-2</v>
      </c>
      <c r="F85" s="18">
        <f t="shared" si="17"/>
        <v>0</v>
      </c>
      <c r="G85" s="20">
        <f t="shared" si="17"/>
        <v>0</v>
      </c>
      <c r="H85" s="17">
        <f>SUM(C85:G85)</f>
        <v>6.0852474208267413</v>
      </c>
      <c r="I85" s="17">
        <f>D85/H85*100</f>
        <v>99.705014749262531</v>
      </c>
      <c r="J85" s="17">
        <f>SQRT(I85*(100-I85)/(L85-1))</f>
        <v>0.2949852507374659</v>
      </c>
      <c r="K85" s="18">
        <f>100-I85</f>
        <v>0.29498525073746862</v>
      </c>
      <c r="L85" s="1">
        <f>H74</f>
        <v>339</v>
      </c>
      <c r="M85">
        <v>1</v>
      </c>
      <c r="N85" s="1">
        <v>12071.94</v>
      </c>
      <c r="O85" s="17">
        <f>N85/N89*100</f>
        <v>6.0852474208267413</v>
      </c>
      <c r="P85" s="52">
        <f>((O85*O85*(I85/100)*(K85/100))/(L85-1))</f>
        <v>3.2222340714646759E-4</v>
      </c>
      <c r="R85" s="66"/>
      <c r="S85" s="66" t="s">
        <v>67</v>
      </c>
      <c r="T85" s="67">
        <f>$AA83*T77/100</f>
        <v>0</v>
      </c>
      <c r="U85" s="67">
        <f>$AA83*U77/100</f>
        <v>165.6419449114932</v>
      </c>
      <c r="V85" s="67">
        <f>$AA83*V77/100</f>
        <v>291.94515105072628</v>
      </c>
      <c r="W85" s="67">
        <f>$AA83*W77/100</f>
        <v>362.13117842398526</v>
      </c>
      <c r="X85" s="67">
        <f>$AA83*X77/100</f>
        <v>367.55330365198131</v>
      </c>
      <c r="AA85" s="1"/>
      <c r="AC85" t="s">
        <v>181</v>
      </c>
      <c r="AD85" s="51">
        <v>0.94775086505190298</v>
      </c>
      <c r="AE85" s="51">
        <v>0.94465733806166197</v>
      </c>
      <c r="AJ85" t="s">
        <v>5</v>
      </c>
      <c r="AK85" s="13">
        <v>2</v>
      </c>
      <c r="AL85" s="5">
        <v>0</v>
      </c>
      <c r="AM85" s="1">
        <v>84</v>
      </c>
      <c r="AN85" s="27">
        <v>7171</v>
      </c>
      <c r="AO85" s="1">
        <v>54</v>
      </c>
      <c r="AP85" s="6">
        <v>90</v>
      </c>
      <c r="AQ85" s="1">
        <f>SUM(AL85:AP85)</f>
        <v>7399</v>
      </c>
      <c r="AR85" s="10">
        <f>AN85/AQ85</f>
        <v>0.96918502500337889</v>
      </c>
      <c r="AS85" s="11">
        <f>1-AR85</f>
        <v>3.0814974996621114E-2</v>
      </c>
      <c r="AT85">
        <f>AQ85-AN88</f>
        <v>169</v>
      </c>
      <c r="AW85" s="10">
        <f>2*(AN89*AR85)/(AN89+AR85)</f>
        <v>0.98038143413767176</v>
      </c>
      <c r="BF85" s="51">
        <v>0.94167760737015305</v>
      </c>
      <c r="BG85" s="1">
        <v>22</v>
      </c>
      <c r="BH85">
        <f t="shared" si="14"/>
        <v>-0.78676158292306686</v>
      </c>
      <c r="BI85">
        <f t="shared" si="15"/>
        <v>-7.889300481575813E-2</v>
      </c>
      <c r="BJ85">
        <f t="shared" si="12"/>
        <v>-7.4291776013145072E-2</v>
      </c>
    </row>
    <row r="86" spans="1:62" x14ac:dyDescent="0.3">
      <c r="A86" t="s">
        <v>5</v>
      </c>
      <c r="B86" s="13">
        <v>2</v>
      </c>
      <c r="C86" s="33">
        <f t="shared" si="17"/>
        <v>0</v>
      </c>
      <c r="D86" s="19">
        <f t="shared" si="17"/>
        <v>0.68766940392040665</v>
      </c>
      <c r="E86" s="34">
        <f t="shared" si="17"/>
        <v>57.885583353535409</v>
      </c>
      <c r="F86" s="19">
        <f t="shared" si="17"/>
        <v>0.43687232719649366</v>
      </c>
      <c r="G86" s="20">
        <f t="shared" si="17"/>
        <v>0.84947396954873777</v>
      </c>
      <c r="H86" s="17">
        <f>SUM(C86:G86)</f>
        <v>59.859599054201055</v>
      </c>
      <c r="I86" s="17">
        <f>E86/H86*100</f>
        <v>96.702257061765096</v>
      </c>
      <c r="J86" s="17">
        <f>SQRT(I86*(100-I86)/(L86-1))</f>
        <v>0.20762016956856694</v>
      </c>
      <c r="K86" s="18">
        <f>100-I86</f>
        <v>3.2977429382349044</v>
      </c>
      <c r="L86" s="1">
        <f>H75</f>
        <v>7399</v>
      </c>
      <c r="M86">
        <v>2</v>
      </c>
      <c r="N86" s="1">
        <v>118749.73</v>
      </c>
      <c r="O86" s="17">
        <f>N86/N89*100</f>
        <v>59.859599054201048</v>
      </c>
      <c r="P86" s="52">
        <f>((O86*O86*(I86/100)*(K86/100))/(L86-1))</f>
        <v>1.5445667799684868E-2</v>
      </c>
      <c r="R86" t="s">
        <v>100</v>
      </c>
      <c r="S86" s="70" t="s">
        <v>28</v>
      </c>
      <c r="T86" s="64">
        <f>C234</f>
        <v>1.1571152615321241</v>
      </c>
      <c r="U86" s="64">
        <f t="shared" ref="U86:X89" si="18">D234</f>
        <v>6.7168218605958385</v>
      </c>
      <c r="V86" s="64">
        <f t="shared" si="18"/>
        <v>59.046050832495268</v>
      </c>
      <c r="W86" s="64">
        <f t="shared" si="18"/>
        <v>22.010232032492343</v>
      </c>
      <c r="X86" s="64">
        <f t="shared" si="18"/>
        <v>11.069780012884419</v>
      </c>
      <c r="AA86" s="12"/>
      <c r="AC86" t="s">
        <v>182</v>
      </c>
      <c r="AD86" s="51">
        <v>0.945328719723183</v>
      </c>
      <c r="AE86" s="51">
        <v>0.94258912450536203</v>
      </c>
      <c r="AH86" s="78"/>
      <c r="AI86" s="78"/>
      <c r="AJ86" t="s">
        <v>6</v>
      </c>
      <c r="AK86" s="13">
        <v>3</v>
      </c>
      <c r="AL86" s="5">
        <v>0</v>
      </c>
      <c r="AM86" s="1">
        <v>0</v>
      </c>
      <c r="AN86" s="1">
        <v>42</v>
      </c>
      <c r="AO86" s="27">
        <v>2378</v>
      </c>
      <c r="AP86" s="6">
        <v>183</v>
      </c>
      <c r="AQ86" s="1">
        <f>SUM(AL86:AP86)</f>
        <v>2603</v>
      </c>
      <c r="AR86" s="10">
        <f>AO86/AQ86</f>
        <v>0.9135612754514022</v>
      </c>
      <c r="AS86" s="11">
        <f>1-AR86</f>
        <v>8.6438724548597801E-2</v>
      </c>
      <c r="AT86">
        <f>AQ86-AO88</f>
        <v>31</v>
      </c>
      <c r="AW86" s="10">
        <f>2*(AO89*AR86)/(AO89+AR86)</f>
        <v>0.91903381642512072</v>
      </c>
      <c r="BF86" s="51">
        <v>0.94174077949434698</v>
      </c>
      <c r="BG86" s="1">
        <v>23</v>
      </c>
      <c r="BH86">
        <f t="shared" si="14"/>
        <v>-0.75313037838845598</v>
      </c>
      <c r="BI86">
        <f t="shared" si="15"/>
        <v>-7.5520614959798102E-2</v>
      </c>
      <c r="BJ86">
        <f t="shared" si="12"/>
        <v>-7.11208428001327E-2</v>
      </c>
    </row>
    <row r="87" spans="1:62" x14ac:dyDescent="0.3">
      <c r="A87" t="s">
        <v>6</v>
      </c>
      <c r="B87" s="13">
        <v>3</v>
      </c>
      <c r="C87" s="33">
        <f t="shared" si="17"/>
        <v>0</v>
      </c>
      <c r="D87" s="19">
        <f t="shared" si="17"/>
        <v>0</v>
      </c>
      <c r="E87" s="19">
        <f t="shared" si="17"/>
        <v>0.33510347553568626</v>
      </c>
      <c r="F87" s="34">
        <f t="shared" si="17"/>
        <v>19.921901620596547</v>
      </c>
      <c r="G87" s="20">
        <f t="shared" si="17"/>
        <v>1.549853574352549</v>
      </c>
      <c r="H87" s="17">
        <f>SUM(C87:G87)</f>
        <v>21.806858670484782</v>
      </c>
      <c r="I87" s="17">
        <f>F87/H87*100</f>
        <v>91.356127545140225</v>
      </c>
      <c r="J87" s="17">
        <f>SQRT(I87*(100-I87)/(L87-1))</f>
        <v>0.55089568409461287</v>
      </c>
      <c r="K87" s="18">
        <f>100-I87</f>
        <v>8.6438724548597747</v>
      </c>
      <c r="L87" s="1">
        <f>H76</f>
        <v>2603</v>
      </c>
      <c r="M87">
        <v>3</v>
      </c>
      <c r="N87" s="1">
        <v>43260.54</v>
      </c>
      <c r="O87" s="17">
        <f>N87/N89*100</f>
        <v>21.806858670484782</v>
      </c>
      <c r="P87" s="52">
        <f>((O87*O87*(I87/100)*(K87/100))/(L87-1))</f>
        <v>1.4431948081061994E-2</v>
      </c>
      <c r="S87" s="66" t="s">
        <v>39</v>
      </c>
      <c r="T87" s="67">
        <f>C235</f>
        <v>0</v>
      </c>
      <c r="U87" s="67">
        <f t="shared" si="18"/>
        <v>8.7625796402583403E-2</v>
      </c>
      <c r="V87" s="67">
        <f t="shared" si="18"/>
        <v>0.1486743321543646</v>
      </c>
      <c r="W87" s="67">
        <f t="shared" si="18"/>
        <v>0.18151278340377935</v>
      </c>
      <c r="X87" s="67">
        <f t="shared" si="18"/>
        <v>0.18842815010259956</v>
      </c>
      <c r="AC87" t="s">
        <v>183</v>
      </c>
      <c r="AD87" s="51">
        <v>0.94688581314878895</v>
      </c>
      <c r="AE87" s="51">
        <v>0.94399324573729204</v>
      </c>
      <c r="AJ87" t="s">
        <v>7</v>
      </c>
      <c r="AK87" s="13">
        <v>4</v>
      </c>
      <c r="AL87" s="7">
        <v>0</v>
      </c>
      <c r="AM87" s="8">
        <v>0</v>
      </c>
      <c r="AN87" s="8">
        <v>16</v>
      </c>
      <c r="AO87" s="8">
        <v>140</v>
      </c>
      <c r="AP87" s="28">
        <v>804</v>
      </c>
      <c r="AQ87" s="1">
        <f>SUM(AL87:AP87)</f>
        <v>960</v>
      </c>
      <c r="AR87" s="10">
        <f>AP87/AQ87</f>
        <v>0.83750000000000002</v>
      </c>
      <c r="AS87" s="11">
        <f>1-AR87</f>
        <v>0.16249999999999998</v>
      </c>
      <c r="AT87">
        <f>AQ87-AP88</f>
        <v>-117</v>
      </c>
      <c r="AW87" s="10">
        <f>2*(AP89*AR87)/(AP89+AR87)</f>
        <v>0.78939617083946978</v>
      </c>
      <c r="BF87" s="51">
        <v>0.94178385925081121</v>
      </c>
      <c r="BG87" s="1">
        <v>24</v>
      </c>
      <c r="BH87">
        <f t="shared" si="14"/>
        <v>-0.72033023085752279</v>
      </c>
      <c r="BI87">
        <f t="shared" si="15"/>
        <v>-7.2231559859393529E-2</v>
      </c>
      <c r="BJ87">
        <f t="shared" si="12"/>
        <v>-6.8026517204085618E-2</v>
      </c>
    </row>
    <row r="88" spans="1:62" ht="15.6" x14ac:dyDescent="0.35">
      <c r="A88" t="s">
        <v>7</v>
      </c>
      <c r="B88" s="13">
        <v>4</v>
      </c>
      <c r="C88" s="35">
        <f t="shared" si="17"/>
        <v>0</v>
      </c>
      <c r="D88" s="36">
        <f t="shared" si="17"/>
        <v>0</v>
      </c>
      <c r="E88" s="21">
        <f t="shared" si="17"/>
        <v>0.17292453570142979</v>
      </c>
      <c r="F88" s="21">
        <f t="shared" si="17"/>
        <v>1.6024340308332496</v>
      </c>
      <c r="G88" s="37">
        <f t="shared" si="17"/>
        <v>9.2918117183568274</v>
      </c>
      <c r="H88" s="17">
        <f>SUM(C88:G88)</f>
        <v>11.067170284891507</v>
      </c>
      <c r="I88" s="17">
        <f>G88/H88*100</f>
        <v>83.958333333333329</v>
      </c>
      <c r="J88" s="17">
        <f>SQRT(I88*(100-I88)/(L88-1))</f>
        <v>1.1850791155605922</v>
      </c>
      <c r="K88" s="18">
        <f>100-I88</f>
        <v>16.041666666666671</v>
      </c>
      <c r="L88" s="1">
        <f>H77</f>
        <v>960</v>
      </c>
      <c r="M88">
        <v>4</v>
      </c>
      <c r="N88" s="1">
        <v>21955.1</v>
      </c>
      <c r="O88" s="17">
        <f>N88/N89*100</f>
        <v>11.067170284891507</v>
      </c>
      <c r="P88" s="52">
        <f>((O88*O88*(I88/100)*(K88/100))/(L88-1))</f>
        <v>1.7201561556634114E-2</v>
      </c>
      <c r="S88" t="s">
        <v>30</v>
      </c>
      <c r="T88" s="57">
        <f>C236</f>
        <v>100</v>
      </c>
      <c r="U88" s="57">
        <f t="shared" si="18"/>
        <v>88.088578177802844</v>
      </c>
      <c r="V88" s="57">
        <f t="shared" si="18"/>
        <v>98.942034242156211</v>
      </c>
      <c r="W88" s="57">
        <f t="shared" si="18"/>
        <v>90.627345870813798</v>
      </c>
      <c r="X88" s="57">
        <f t="shared" si="18"/>
        <v>79.155788636608492</v>
      </c>
      <c r="AC88" t="s">
        <v>184</v>
      </c>
      <c r="AD88" s="51">
        <v>0.94567474048442901</v>
      </c>
      <c r="AE88" s="51">
        <v>0.94298869188002898</v>
      </c>
      <c r="AH88" s="78"/>
      <c r="AI88" s="78"/>
      <c r="AK88" s="1" t="s">
        <v>19</v>
      </c>
      <c r="AL88" s="1">
        <f>SUM(AL83:AL87)</f>
        <v>259</v>
      </c>
      <c r="AM88" s="1">
        <f>SUM(AM83:AM87)</f>
        <v>422</v>
      </c>
      <c r="AN88" s="1">
        <f>SUM(AN83:AN87)</f>
        <v>7230</v>
      </c>
      <c r="AO88" s="1">
        <f>SUM(AO83:AO87)</f>
        <v>2572</v>
      </c>
      <c r="AP88" s="1">
        <f>SUM(AP83:AP87)</f>
        <v>1077</v>
      </c>
      <c r="AQ88" s="1">
        <f>SUM(AQ82:AQ87)</f>
        <v>11560</v>
      </c>
      <c r="AR88" s="13" t="s">
        <v>12</v>
      </c>
      <c r="BF88" s="51">
        <v>0.94185309552794205</v>
      </c>
      <c r="BG88" s="1">
        <v>25</v>
      </c>
      <c r="BH88">
        <f t="shared" si="14"/>
        <v>-0.68828739090267188</v>
      </c>
      <c r="BI88">
        <f t="shared" si="15"/>
        <v>-6.9018444245033631E-2</v>
      </c>
      <c r="BJ88">
        <f t="shared" si="12"/>
        <v>-6.5005235360707597E-2</v>
      </c>
    </row>
    <row r="89" spans="1:62" x14ac:dyDescent="0.3">
      <c r="B89" t="s">
        <v>28</v>
      </c>
      <c r="C89" s="17">
        <f>SUM(C84:C88)</f>
        <v>1.1811245695959018</v>
      </c>
      <c r="D89" s="17">
        <f>SUM(D84:D88)</f>
        <v>6.7549662423848273</v>
      </c>
      <c r="E89" s="17">
        <f>SUM(E84:E88)</f>
        <v>58.411561947134842</v>
      </c>
      <c r="F89" s="17">
        <f>SUM(F84:F88)</f>
        <v>21.961207978626291</v>
      </c>
      <c r="G89" s="17">
        <f>SUM(G84:G88)</f>
        <v>11.691139262258114</v>
      </c>
      <c r="H89" s="1">
        <f>SUM(H83:H88)</f>
        <v>99.999999999999986</v>
      </c>
      <c r="I89" s="13" t="s">
        <v>24</v>
      </c>
      <c r="J89" s="12" t="s">
        <v>29</v>
      </c>
      <c r="N89" s="1">
        <f>SUM(N84:N88)</f>
        <v>198380.43000000002</v>
      </c>
      <c r="O89" s="17">
        <f>SUM(O84:O88)</f>
        <v>99.999999999999986</v>
      </c>
      <c r="S89" s="66" t="s">
        <v>39</v>
      </c>
      <c r="T89" s="67">
        <f>C237</f>
        <v>0</v>
      </c>
      <c r="U89" s="67">
        <f t="shared" si="18"/>
        <v>1.2237686069757281</v>
      </c>
      <c r="V89" s="67">
        <f t="shared" si="18"/>
        <v>0.13640496786341338</v>
      </c>
      <c r="W89" s="67">
        <f t="shared" si="18"/>
        <v>0.75868420950920845</v>
      </c>
      <c r="X89" s="67">
        <f t="shared" si="18"/>
        <v>2.6611462743665264</v>
      </c>
      <c r="AC89" t="s">
        <v>185</v>
      </c>
      <c r="AD89" s="51">
        <v>0.94480968858131398</v>
      </c>
      <c r="AE89" s="51">
        <v>0.941976037798262</v>
      </c>
      <c r="AJ89" s="1" t="s">
        <v>321</v>
      </c>
      <c r="AK89" s="1" t="s">
        <v>2</v>
      </c>
      <c r="AL89" s="10">
        <f>AL83/AL88</f>
        <v>1</v>
      </c>
      <c r="AM89" s="10">
        <f>AM84/AM88</f>
        <v>0.80094786729857825</v>
      </c>
      <c r="AN89" s="10">
        <f>AN85/AN88</f>
        <v>0.9918395573997234</v>
      </c>
      <c r="AO89" s="10">
        <f>AO86/AO88</f>
        <v>0.92457231726283051</v>
      </c>
      <c r="AP89" s="10">
        <f>AP87/AP88</f>
        <v>0.74651810584958223</v>
      </c>
      <c r="AQ89" s="10"/>
      <c r="AR89" s="14">
        <f>(AL83+AM84+AN85+AO86+AP87)/AQ88</f>
        <v>0.94723183391003463</v>
      </c>
      <c r="BF89" s="51">
        <v>0.94187981434014301</v>
      </c>
      <c r="BG89" s="1">
        <v>26</v>
      </c>
      <c r="BH89">
        <f t="shared" si="14"/>
        <v>-0.65693619279658544</v>
      </c>
      <c r="BI89">
        <f t="shared" si="15"/>
        <v>-6.5874683445257612E-2</v>
      </c>
      <c r="BJ89">
        <f t="shared" si="12"/>
        <v>-6.2046034613134932E-2</v>
      </c>
    </row>
    <row r="90" spans="1:62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0</v>
      </c>
      <c r="D90" s="18">
        <f>SQRT(SUM((O84*O84*(D84/O84)*(1-D84/O84))/L84,(O85*O85*(D85/O85)*(1-D85/O85))/L85,(O86*O86*(D86/O86)*(1-D86/O86))/L86,(O87*O87*(D87/O87)*(1-D87/O87))/L87,(O88*O88*(D88/O88)*(1-D88/O88))/L88))</f>
        <v>7.6293923555371901E-2</v>
      </c>
      <c r="E90" s="18">
        <f>SQRT(SUM((O84*O84*(E84/O84)*(1-E84/O84))/L84,(O85*O85*(E85/O85)*(1-E85/O85))/L85,(O86*O86*(E86/O86)*(1-E86/O86))/L86,(O87*O87*(E87/O87)*(1-E87/O87))/L87,(O88*O88*(E88/O88)*(1-E88/O88))/L88))</f>
        <v>0.14314834535552187</v>
      </c>
      <c r="F90" s="18">
        <f>SQRT(SUM((O84*O84*(F84/O84)*(1-F84/O84))/L84,(O85*O85*(F85/O85)*(1-F85/O85))/L85,(O86*O86*(F86/O86)*(1-F86/O86))/L86,(O87*O87*(F87/O87)*(1-F87/O87))/L87,(O88*O88*(F88/O88)*(1-F88/O88))/L88))</f>
        <v>0.1836669903194344</v>
      </c>
      <c r="G90" s="18">
        <f>SQRT(SUM((O84*O84*(G84/O84)*(1-G84/O84))/L84,(O85*O85*(G85/O85)*(1-G85/O85))/L85,(O86*O86*(G86/O86)*(1-G86/O86))/L86,(O87*O87*(G87/O87)*(1-G87/O87))/L87,(O88*O88*(G88/O88)*(1-G88/O88))/L88))</f>
        <v>0.18978879828721584</v>
      </c>
      <c r="H90" s="1"/>
      <c r="I90" s="14">
        <f>(C84+D85+E86+F87+G88)/H89</f>
        <v>0.94347718100549116</v>
      </c>
      <c r="J90" s="53">
        <f>SQRT(SUM(P84:P88))/100</f>
        <v>2.1771862769300989E-3</v>
      </c>
      <c r="M90" s="1"/>
      <c r="N90" s="9"/>
      <c r="S90" t="s">
        <v>31</v>
      </c>
      <c r="T90" s="57">
        <f>I229</f>
        <v>100</v>
      </c>
      <c r="U90" s="57">
        <f>I230</f>
        <v>98.82005899705014</v>
      </c>
      <c r="V90" s="57">
        <f>I231</f>
        <v>96.715772401675906</v>
      </c>
      <c r="W90" s="57">
        <f>I232</f>
        <v>91.548213599692659</v>
      </c>
      <c r="X90" s="57">
        <f>I233</f>
        <v>82.187500000000014</v>
      </c>
      <c r="AC90" t="s">
        <v>186</v>
      </c>
      <c r="AD90" s="51">
        <v>0.94472318339100303</v>
      </c>
      <c r="AE90" s="51">
        <v>0.94165878159846494</v>
      </c>
      <c r="AH90" s="78"/>
      <c r="AI90" s="78"/>
      <c r="AK90" s="1" t="s">
        <v>14</v>
      </c>
      <c r="AL90" s="11">
        <f>1-AL89</f>
        <v>0</v>
      </c>
      <c r="AM90" s="11">
        <f>1-AM89</f>
        <v>0.19905213270142175</v>
      </c>
      <c r="AN90" s="11">
        <f>1-AN89</f>
        <v>8.1604426002765962E-3</v>
      </c>
      <c r="AO90" s="11">
        <f>1-AO89</f>
        <v>7.5427682737169488E-2</v>
      </c>
      <c r="AP90" s="11">
        <f>1-AP89</f>
        <v>0.25348189415041777</v>
      </c>
      <c r="BF90" s="51">
        <v>0.941976037798262</v>
      </c>
      <c r="BG90" s="1">
        <v>27</v>
      </c>
      <c r="BH90">
        <f t="shared" si="14"/>
        <v>-0.62621783615158122</v>
      </c>
      <c r="BI90">
        <f t="shared" si="15"/>
        <v>-6.2794381214787018E-2</v>
      </c>
      <c r="BJ90">
        <f t="shared" si="12"/>
        <v>-5.915080241269869E-2</v>
      </c>
    </row>
    <row r="91" spans="1:62" x14ac:dyDescent="0.3">
      <c r="B91" s="1" t="s">
        <v>30</v>
      </c>
      <c r="C91" s="17">
        <f>C84/C89*100</f>
        <v>100</v>
      </c>
      <c r="D91" s="17">
        <f>D85/D89*100</f>
        <v>89.819795107108831</v>
      </c>
      <c r="E91" s="17">
        <f>E86/E89*100</f>
        <v>99.099529997031283</v>
      </c>
      <c r="F91" s="17">
        <f>F87/F89*100</f>
        <v>90.714051977402633</v>
      </c>
      <c r="G91" s="17">
        <f>G88/G89*100</f>
        <v>79.477384623696096</v>
      </c>
      <c r="H91" s="1"/>
      <c r="S91" s="66" t="s">
        <v>39</v>
      </c>
      <c r="T91" s="67">
        <f>J229</f>
        <v>0</v>
      </c>
      <c r="U91" s="67">
        <f>J230</f>
        <v>0.58734645362127647</v>
      </c>
      <c r="V91" s="67">
        <f>J231</f>
        <v>0.20720876007234476</v>
      </c>
      <c r="W91" s="67">
        <f>J232</f>
        <v>0.54531261851503776</v>
      </c>
      <c r="X91" s="67">
        <f>J233</f>
        <v>1.2355377529005511</v>
      </c>
      <c r="AC91" t="s">
        <v>187</v>
      </c>
      <c r="AD91" s="51">
        <v>0.94645328719723099</v>
      </c>
      <c r="AE91" s="51">
        <v>0.94346692237830299</v>
      </c>
      <c r="AL91" s="2"/>
      <c r="BF91" s="51">
        <v>0.94198005796003903</v>
      </c>
      <c r="BG91" s="1">
        <v>28</v>
      </c>
      <c r="BH91">
        <f t="shared" si="14"/>
        <v>-0.59607938602766308</v>
      </c>
      <c r="BI91">
        <f t="shared" si="15"/>
        <v>-5.9772229469741457E-2</v>
      </c>
      <c r="BJ91">
        <f t="shared" si="12"/>
        <v>-5.6304248180307812E-2</v>
      </c>
    </row>
    <row r="92" spans="1:62" ht="15.6" x14ac:dyDescent="0.35">
      <c r="B92" s="16" t="s">
        <v>39</v>
      </c>
      <c r="C92" s="18">
        <f>SQRT((C95+C96)/(C89*C89))</f>
        <v>0</v>
      </c>
      <c r="D92" s="18">
        <f>SQRT((D95+D96)/(D89*D89))</f>
        <v>1.0225757743399373</v>
      </c>
      <c r="E92" s="18">
        <f>SQRT((E95+E96)/(E89*E89))</f>
        <v>0.12209975443864041</v>
      </c>
      <c r="F92" s="18">
        <f>SQRT((F95+F96)/(F89*F89))</f>
        <v>0.7666420032722937</v>
      </c>
      <c r="G92" s="18">
        <f>SQRT((G95+G96)/(G89*G89))</f>
        <v>2.4842068889123428</v>
      </c>
      <c r="H92" s="1"/>
      <c r="I92" s="14"/>
      <c r="S92" s="66" t="s">
        <v>56</v>
      </c>
      <c r="T92" s="67">
        <f>N218*100</f>
        <v>100</v>
      </c>
      <c r="U92" s="67">
        <f>N219*100</f>
        <v>86.787564766839381</v>
      </c>
      <c r="V92" s="67">
        <f>N220*100</f>
        <v>97.906690381721177</v>
      </c>
      <c r="W92" s="67">
        <f>N221*100</f>
        <v>91.918997107039544</v>
      </c>
      <c r="X92" s="67">
        <f>N222*100</f>
        <v>77.849037987173162</v>
      </c>
      <c r="AC92" t="s">
        <v>188</v>
      </c>
      <c r="AD92" s="51">
        <v>0.94472318339100303</v>
      </c>
      <c r="AE92" s="51">
        <v>0.94136927555188699</v>
      </c>
      <c r="AH92" s="78"/>
      <c r="AI92" s="78"/>
      <c r="AJ92" t="s">
        <v>322</v>
      </c>
      <c r="AK92" s="15" t="s">
        <v>23</v>
      </c>
      <c r="AW92" s="12" t="s">
        <v>17</v>
      </c>
      <c r="AX92" s="1" t="s">
        <v>27</v>
      </c>
      <c r="AY92" s="1" t="s">
        <v>33</v>
      </c>
      <c r="BF92" s="51">
        <v>0.94201917896352005</v>
      </c>
      <c r="BG92" s="1">
        <v>29</v>
      </c>
      <c r="BH92">
        <f t="shared" si="14"/>
        <v>-0.56647294563250528</v>
      </c>
      <c r="BI92">
        <f t="shared" si="15"/>
        <v>-5.6803425329617289E-2</v>
      </c>
      <c r="BJ92">
        <f t="shared" si="12"/>
        <v>-5.3509916091321698E-2</v>
      </c>
    </row>
    <row r="93" spans="1:62" ht="15.6" x14ac:dyDescent="0.35">
      <c r="B93" s="1" t="s">
        <v>37</v>
      </c>
      <c r="C93" s="18">
        <f>100-C91</f>
        <v>0</v>
      </c>
      <c r="D93" s="18">
        <f>100-D91</f>
        <v>10.180204892891169</v>
      </c>
      <c r="E93" s="18">
        <f>100-E91</f>
        <v>0.90047000296871715</v>
      </c>
      <c r="F93" s="18">
        <f>100-F91</f>
        <v>9.285948022597367</v>
      </c>
      <c r="G93" s="18">
        <f>100-G91</f>
        <v>20.522615376303904</v>
      </c>
      <c r="R93" s="16" t="s">
        <v>66</v>
      </c>
      <c r="S93" t="s">
        <v>9</v>
      </c>
      <c r="T93" s="30">
        <f>N229</f>
        <v>2295.4899999999998</v>
      </c>
      <c r="U93" s="30">
        <f>N230</f>
        <v>11877.83</v>
      </c>
      <c r="V93" s="30">
        <f>N231</f>
        <v>119832.1</v>
      </c>
      <c r="W93" s="30">
        <f>N232</f>
        <v>43224.78</v>
      </c>
      <c r="X93" s="30">
        <f>N233</f>
        <v>21150.21</v>
      </c>
      <c r="Z93" t="s">
        <v>36</v>
      </c>
      <c r="AA93" s="1">
        <f>N234</f>
        <v>198380.41</v>
      </c>
      <c r="AC93" t="s">
        <v>189</v>
      </c>
      <c r="AD93" s="51">
        <v>0.94628027681660898</v>
      </c>
      <c r="AE93" s="51">
        <v>0.94374019975008805</v>
      </c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  <c r="BF93" s="51">
        <v>0.94204890901559157</v>
      </c>
      <c r="BG93" s="1">
        <v>30</v>
      </c>
      <c r="BH93">
        <f t="shared" si="14"/>
        <v>-0.53735496659792503</v>
      </c>
      <c r="BI93">
        <f t="shared" si="15"/>
        <v>-5.3883601954833986E-2</v>
      </c>
      <c r="BJ93">
        <f t="shared" si="12"/>
        <v>-5.0760988435381751E-2</v>
      </c>
    </row>
    <row r="94" spans="1:62" ht="15.6" x14ac:dyDescent="0.35">
      <c r="B94" s="1" t="s">
        <v>25</v>
      </c>
      <c r="C94" s="1">
        <f>C78</f>
        <v>259</v>
      </c>
      <c r="D94" s="1">
        <f>D78</f>
        <v>423</v>
      </c>
      <c r="E94" s="1">
        <f>E78</f>
        <v>7211</v>
      </c>
      <c r="F94" s="1">
        <f>F78</f>
        <v>2571</v>
      </c>
      <c r="G94" s="1">
        <f>G78</f>
        <v>1096</v>
      </c>
      <c r="R94" s="16" t="s">
        <v>323</v>
      </c>
      <c r="S94" t="s">
        <v>68</v>
      </c>
      <c r="T94" s="57">
        <f>$AA93*T86/100</f>
        <v>2295.4899999999998</v>
      </c>
      <c r="U94" s="57">
        <f>$AA93*U86/100</f>
        <v>13324.858746019652</v>
      </c>
      <c r="V94" s="57">
        <f>$AA93*V86/100</f>
        <v>117135.79773031254</v>
      </c>
      <c r="W94" s="57">
        <f>$AA93*W86/100</f>
        <v>43663.988548009649</v>
      </c>
      <c r="X94" s="57">
        <f>$AA93*X86/100</f>
        <v>21960.274975658162</v>
      </c>
      <c r="Z94" t="s">
        <v>36</v>
      </c>
      <c r="AA94" s="25">
        <f>SUM(T94:X94)</f>
        <v>198380.41</v>
      </c>
      <c r="AC94" t="s">
        <v>190</v>
      </c>
      <c r="AD94" s="51">
        <v>0.94506920415224904</v>
      </c>
      <c r="AE94" s="51">
        <v>0.94209444853750601</v>
      </c>
      <c r="AH94" s="78"/>
      <c r="AI94" s="78"/>
      <c r="AJ94" t="s">
        <v>3</v>
      </c>
      <c r="AK94" s="13">
        <v>0</v>
      </c>
      <c r="AL94" s="29">
        <f>(AL83/$AU94)*$AX94</f>
        <v>1.1686435586737847</v>
      </c>
      <c r="AM94" s="31">
        <f t="shared" ref="AM94:AO95" si="19">(AM83/$AU94)*$AX94</f>
        <v>0</v>
      </c>
      <c r="AN94" s="31">
        <f t="shared" si="19"/>
        <v>0</v>
      </c>
      <c r="AO94" s="31">
        <f t="shared" si="19"/>
        <v>0</v>
      </c>
      <c r="AP94" s="32">
        <f>(AP83/$AU94)*$AX94</f>
        <v>0</v>
      </c>
      <c r="AQ94" s="17">
        <f>SUM(AL94:AP94)</f>
        <v>1.1686435586737847</v>
      </c>
      <c r="AR94" s="17">
        <f>AL94/AQ94*100</f>
        <v>100</v>
      </c>
      <c r="AS94" s="17">
        <f>SQRT(AR94*(100-AR94)/(AU94-1))</f>
        <v>0</v>
      </c>
      <c r="AT94" s="18">
        <f>100-AR94</f>
        <v>0</v>
      </c>
      <c r="AU94" s="1">
        <f>AQ83</f>
        <v>259</v>
      </c>
      <c r="AV94">
        <v>0</v>
      </c>
      <c r="AW94" s="1">
        <v>2318.36</v>
      </c>
      <c r="AX94" s="17">
        <f>AW94/AW99*100</f>
        <v>1.1686435586737847</v>
      </c>
      <c r="AY94" s="52">
        <f>((AX94*AX94*(AR94/100)*(AT94/100))/(AU94-1))</f>
        <v>0</v>
      </c>
      <c r="BF94" s="51">
        <v>0.94209444853750601</v>
      </c>
      <c r="BG94" s="1">
        <v>31</v>
      </c>
      <c r="BH94">
        <f t="shared" si="14"/>
        <v>-0.50868566982760044</v>
      </c>
      <c r="BI94">
        <f t="shared" si="15"/>
        <v>-5.1008770471880419E-2</v>
      </c>
      <c r="BJ94">
        <f t="shared" si="12"/>
        <v>-4.8055079488282401E-2</v>
      </c>
    </row>
    <row r="95" spans="1:62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3.3394129225665496</v>
      </c>
      <c r="E95" s="18">
        <f>(O86*O86*(100-E91)*(100-E91)*(I86)*(100-I86))/((L86-1)*100)</f>
        <v>1.2524061447231272</v>
      </c>
      <c r="F95" s="18">
        <f>(O87*O87*(100-F91)*(100-F91)*(I87)*(100-I87))/((L87-1)*100)</f>
        <v>124.44500074410651</v>
      </c>
      <c r="G95" s="18">
        <f>(O88*O88*(100-G91)*(100-G91)*(I88)*(100-I88))/((L88-1)*100)</f>
        <v>724.49148532967138</v>
      </c>
      <c r="R95" s="66"/>
      <c r="S95" s="66" t="s">
        <v>67</v>
      </c>
      <c r="T95" s="67">
        <f>$AA93*T87/100</f>
        <v>0</v>
      </c>
      <c r="U95" s="67">
        <f>$AA93*U87/100</f>
        <v>173.83241416921021</v>
      </c>
      <c r="V95" s="67">
        <f>$AA93*V87/100</f>
        <v>294.94074969259032</v>
      </c>
      <c r="W95" s="67">
        <f>$AA93*W87/100</f>
        <v>360.08580391882947</v>
      </c>
      <c r="X95" s="67">
        <f>$AA93*X87/100</f>
        <v>373.80453672895243</v>
      </c>
      <c r="AA95" s="1"/>
      <c r="AC95" t="s">
        <v>191</v>
      </c>
      <c r="AD95" s="51">
        <v>0.94437716262975702</v>
      </c>
      <c r="AE95" s="51">
        <v>0.94198005796003903</v>
      </c>
      <c r="AJ95" t="s">
        <v>4</v>
      </c>
      <c r="AK95" s="13">
        <v>1</v>
      </c>
      <c r="AL95" s="33">
        <f t="shared" ref="AL95:AO98" si="20">(AL84/$AU95)*$AX95</f>
        <v>0</v>
      </c>
      <c r="AM95" s="34">
        <f>(AM84/$AU95)*$AX95</f>
        <v>6.0736348677364456</v>
      </c>
      <c r="AN95" s="19">
        <f t="shared" si="19"/>
        <v>1.7969333928214336E-2</v>
      </c>
      <c r="AO95" s="18">
        <f t="shared" si="19"/>
        <v>0</v>
      </c>
      <c r="AP95" s="20">
        <f>(AP84/$AU95)*$AX95</f>
        <v>0</v>
      </c>
      <c r="AQ95" s="17">
        <f>SUM(AL95:AP95)</f>
        <v>6.0916042016646603</v>
      </c>
      <c r="AR95" s="17">
        <f>AM95/AQ95*100</f>
        <v>99.705014749262531</v>
      </c>
      <c r="AS95" s="17">
        <f>SQRT(AR95*(100-AR95)/(AU95-1))</f>
        <v>0.2949852507374659</v>
      </c>
      <c r="AT95" s="18">
        <f>100-AR95</f>
        <v>0.29498525073746862</v>
      </c>
      <c r="AU95" s="1">
        <f>AQ84</f>
        <v>339</v>
      </c>
      <c r="AV95">
        <v>1</v>
      </c>
      <c r="AW95" s="1">
        <v>12084.55</v>
      </c>
      <c r="AX95" s="17">
        <f>AW95/AW99*100</f>
        <v>6.0916042016646603</v>
      </c>
      <c r="AY95" s="52">
        <f>((AX95*AX95*(AR95/100)*(AT95/100))/(AU95-1))</f>
        <v>3.228969618236809E-4</v>
      </c>
      <c r="BF95" s="51">
        <v>0.942114541913599</v>
      </c>
      <c r="BG95" s="1">
        <v>32</v>
      </c>
      <c r="BH95">
        <f t="shared" si="14"/>
        <v>-0.48042855588587818</v>
      </c>
      <c r="BI95">
        <f t="shared" si="15"/>
        <v>-4.817527087724946E-2</v>
      </c>
      <c r="BJ95">
        <f t="shared" si="12"/>
        <v>-4.5386623254083422E-2</v>
      </c>
    </row>
    <row r="96" spans="1:62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44.373657537275015</v>
      </c>
      <c r="E96" s="18">
        <f>E91*E91*(SUM((H84*E84*(1-E73/H73))/(H73-1),(H85*E85*(1-E74/H74))/(H74-1), (H87*E87*(1-E76/H76))/(H76-1),(H88*E88*(1-E77/H77))/(H77-1)))</f>
        <v>49.613550904102112</v>
      </c>
      <c r="F96" s="18">
        <f>F91*F91*(SUM((H84*F84*(1-F73/H73))/(H73-1),(H85*F85*(1-F74/H74))/(H74-1), (H86*F86*(1-F75/H75))/(H75-1),(H88*F88*(1-F77/H77))/(H77-1)))</f>
        <v>159.01884158106154</v>
      </c>
      <c r="G96" s="18">
        <f>G91*G91*(SUM((H84*G84*(1-G73/H73))/(H73-1),(H85*G85*(1-G74/H74))/(H74-1), (H86*G86*(1-G75/H75))/(H75-1),(H87*G87*(1-G76/H76))/(H76-1)))</f>
        <v>119.01648594465205</v>
      </c>
      <c r="R96" t="s">
        <v>101</v>
      </c>
      <c r="S96" t="s">
        <v>28</v>
      </c>
      <c r="T96" s="57">
        <f>C263</f>
        <v>1.1652410051354867</v>
      </c>
      <c r="U96" s="57">
        <f t="shared" ref="U96:X99" si="21">D263</f>
        <v>6.7168771218786709</v>
      </c>
      <c r="V96" s="57">
        <f t="shared" si="21"/>
        <v>58.875293049076873</v>
      </c>
      <c r="W96" s="57">
        <f t="shared" si="21"/>
        <v>21.788667936633725</v>
      </c>
      <c r="X96" s="57">
        <f t="shared" si="21"/>
        <v>11.453920887275238</v>
      </c>
      <c r="Y96" s="13"/>
      <c r="Z96" s="74"/>
      <c r="AA96" s="12"/>
      <c r="AC96" t="s">
        <v>192</v>
      </c>
      <c r="AD96" s="51">
        <v>0.94584775086505102</v>
      </c>
      <c r="AE96" s="51">
        <v>0.94350282143629005</v>
      </c>
      <c r="AH96" s="78"/>
      <c r="AI96" s="78"/>
      <c r="AJ96" t="s">
        <v>5</v>
      </c>
      <c r="AK96" s="13">
        <v>2</v>
      </c>
      <c r="AL96" s="33">
        <f t="shared" si="20"/>
        <v>0</v>
      </c>
      <c r="AM96" s="19">
        <f t="shared" si="20"/>
        <v>0.68401476910221348</v>
      </c>
      <c r="AN96" s="34">
        <f t="shared" si="20"/>
        <v>58.393689395618722</v>
      </c>
      <c r="AO96" s="19">
        <f t="shared" si="20"/>
        <v>0.43972378013713725</v>
      </c>
      <c r="AP96" s="20">
        <f>(AP85/$AU96)*$AX96</f>
        <v>0.73287296689522863</v>
      </c>
      <c r="AQ96" s="17">
        <f>SUM(AL96:AP96)</f>
        <v>60.2503009117533</v>
      </c>
      <c r="AR96" s="17">
        <f>AN96/AQ96*100</f>
        <v>96.918502500337894</v>
      </c>
      <c r="AS96" s="17">
        <f>SQRT(AR96*(100-AR96)/(AU96-1))</f>
        <v>0.20092181559870553</v>
      </c>
      <c r="AT96" s="18">
        <f>100-AR96</f>
        <v>3.0814974996621061</v>
      </c>
      <c r="AU96" s="1">
        <f>AQ85</f>
        <v>7399</v>
      </c>
      <c r="AV96">
        <v>2</v>
      </c>
      <c r="AW96" s="1">
        <v>119524.8</v>
      </c>
      <c r="AX96" s="17">
        <f>AW96/AW99*100</f>
        <v>60.2503009117533</v>
      </c>
      <c r="AY96" s="52">
        <f>((AX96*AX96*(AR96/100)*(AT96/100))/(AU96-1))</f>
        <v>1.4654554771761426E-2</v>
      </c>
      <c r="BF96" s="51">
        <v>0.942240510166655</v>
      </c>
      <c r="BG96" s="1">
        <v>33</v>
      </c>
      <c r="BH96">
        <f t="shared" si="14"/>
        <v>-0.4525499884018015</v>
      </c>
      <c r="BI96">
        <f t="shared" si="15"/>
        <v>-4.5379730263018975E-2</v>
      </c>
      <c r="BJ96">
        <f t="shared" si="12"/>
        <v>-4.2758620194252195E-2</v>
      </c>
    </row>
    <row r="97" spans="1:62" x14ac:dyDescent="0.3">
      <c r="A97" s="105" t="s">
        <v>390</v>
      </c>
      <c r="B97" s="69" t="s">
        <v>9</v>
      </c>
      <c r="C97" s="1">
        <v>287.2</v>
      </c>
      <c r="D97" s="1">
        <v>2441.31</v>
      </c>
      <c r="E97" s="1">
        <v>16087.64</v>
      </c>
      <c r="F97">
        <v>2070.65</v>
      </c>
      <c r="G97">
        <v>1258.1500000000001</v>
      </c>
      <c r="I97" t="s">
        <v>36</v>
      </c>
      <c r="J97" s="57">
        <f>SUM(C97:G97)</f>
        <v>22144.95</v>
      </c>
      <c r="S97" s="66" t="s">
        <v>39</v>
      </c>
      <c r="T97" s="67">
        <f>C264</f>
        <v>0</v>
      </c>
      <c r="U97" s="67">
        <f t="shared" si="21"/>
        <v>7.6164380381479518E-2</v>
      </c>
      <c r="V97" s="67">
        <f t="shared" si="21"/>
        <v>0.14159219435753248</v>
      </c>
      <c r="W97" s="67">
        <f t="shared" si="21"/>
        <v>0.18610601109051175</v>
      </c>
      <c r="X97" s="67">
        <f t="shared" si="21"/>
        <v>0.19174852969791492</v>
      </c>
      <c r="AC97" t="s">
        <v>193</v>
      </c>
      <c r="AD97" s="51">
        <v>0.94697231833910001</v>
      </c>
      <c r="AE97" s="51">
        <v>0.94461033773282799</v>
      </c>
      <c r="AJ97" t="s">
        <v>6</v>
      </c>
      <c r="AK97" s="13">
        <v>3</v>
      </c>
      <c r="AL97" s="33">
        <f t="shared" si="20"/>
        <v>0</v>
      </c>
      <c r="AM97" s="19">
        <f t="shared" si="20"/>
        <v>0</v>
      </c>
      <c r="AN97" s="19">
        <f t="shared" si="20"/>
        <v>0.35044880990563343</v>
      </c>
      <c r="AO97" s="34">
        <f t="shared" si="20"/>
        <v>19.842077856085623</v>
      </c>
      <c r="AP97" s="20">
        <f>(AP86/$AU97)*$AX97</f>
        <v>1.5269555288745456</v>
      </c>
      <c r="AQ97" s="17">
        <f>SUM(AL97:AP97)</f>
        <v>21.719482194865801</v>
      </c>
      <c r="AR97" s="17">
        <f>AO97/AQ97*100</f>
        <v>91.356127545140225</v>
      </c>
      <c r="AS97" s="17">
        <f>SQRT(AR97*(100-AR97)/(AU97-1))</f>
        <v>0.55089568409461287</v>
      </c>
      <c r="AT97" s="18">
        <f>100-AR97</f>
        <v>8.6438724548597747</v>
      </c>
      <c r="AU97" s="1">
        <f>AQ86</f>
        <v>2603</v>
      </c>
      <c r="AV97">
        <v>3</v>
      </c>
      <c r="AW97" s="1">
        <v>43087.199999999997</v>
      </c>
      <c r="AX97" s="17">
        <f>AW97/AW99*100</f>
        <v>21.719482194865805</v>
      </c>
      <c r="AY97" s="52">
        <f>((AX97*AX97*(AR97/100)*(AT97/100))/(AU97-1))</f>
        <v>1.4316526924453978E-2</v>
      </c>
      <c r="BF97" s="51">
        <v>0.94226997449205696</v>
      </c>
      <c r="BG97" s="1">
        <v>34</v>
      </c>
      <c r="BH97">
        <f t="shared" si="14"/>
        <v>-0.42501883739125579</v>
      </c>
      <c r="BI97">
        <f t="shared" si="15"/>
        <v>-4.2619027050759137E-2</v>
      </c>
      <c r="BJ97">
        <f t="shared" si="12"/>
        <v>-4.0158629531995095E-2</v>
      </c>
    </row>
    <row r="98" spans="1:62" x14ac:dyDescent="0.3">
      <c r="B98" t="s">
        <v>391</v>
      </c>
      <c r="C98" s="57">
        <f>(C97/$J97)*100</f>
        <v>1.2969096791819352</v>
      </c>
      <c r="D98" s="57">
        <f>(D97/$J97)*100</f>
        <v>11.024229000291262</v>
      </c>
      <c r="E98" s="57">
        <f>(E97/$J97)*100</f>
        <v>72.64699175206988</v>
      </c>
      <c r="F98" s="57">
        <f>(F97/$J97)*100</f>
        <v>9.3504388133637697</v>
      </c>
      <c r="G98" s="57">
        <f>(G97/$J97)*100</f>
        <v>5.6814307550931478</v>
      </c>
      <c r="S98" t="s">
        <v>30</v>
      </c>
      <c r="T98" s="57">
        <f>C265</f>
        <v>100</v>
      </c>
      <c r="U98" s="57">
        <f t="shared" si="21"/>
        <v>90.448192317562345</v>
      </c>
      <c r="V98" s="57">
        <f t="shared" si="21"/>
        <v>99.00012575389448</v>
      </c>
      <c r="W98" s="57">
        <f t="shared" si="21"/>
        <v>90.501910259307323</v>
      </c>
      <c r="X98" s="57">
        <f t="shared" si="21"/>
        <v>78.595122063942853</v>
      </c>
      <c r="AA98" s="54"/>
      <c r="AC98" t="s">
        <v>194</v>
      </c>
      <c r="AD98" s="51">
        <v>0.94489619377162604</v>
      </c>
      <c r="AE98" s="51">
        <v>0.94167760737015305</v>
      </c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20"/>
        <v>0</v>
      </c>
      <c r="AN98" s="21">
        <f t="shared" si="20"/>
        <v>0.17949948555070772</v>
      </c>
      <c r="AO98" s="21">
        <f t="shared" si="20"/>
        <v>1.5706204985686927</v>
      </c>
      <c r="AP98" s="37">
        <f>(AP87/$AU98)*$AX98</f>
        <v>9.019849148923063</v>
      </c>
      <c r="AQ98" s="17">
        <f>SUM(AL98:AP98)</f>
        <v>10.769969133042464</v>
      </c>
      <c r="AR98" s="17">
        <f>AP98/AQ98*100</f>
        <v>83.749999999999986</v>
      </c>
      <c r="AS98" s="17">
        <f>SQRT(AR98*(100-AR98)/(AU98-1))</f>
        <v>1.1912688532439153</v>
      </c>
      <c r="AT98" s="18">
        <f>100-AR98</f>
        <v>16.250000000000014</v>
      </c>
      <c r="AU98" s="1">
        <f>AQ87</f>
        <v>960</v>
      </c>
      <c r="AV98">
        <v>4</v>
      </c>
      <c r="AW98" s="1">
        <v>21365.51</v>
      </c>
      <c r="AX98" s="17">
        <f>AW98/AW99*100</f>
        <v>10.769969133042464</v>
      </c>
      <c r="AY98" s="52">
        <f>((AX98*AX98*(AR98/100)*(AT98/100))/(AU98-1))</f>
        <v>1.6460707246373968E-2</v>
      </c>
      <c r="BF98" s="51">
        <v>0.94228320616746097</v>
      </c>
      <c r="BG98" s="1">
        <v>35</v>
      </c>
      <c r="BH98">
        <f t="shared" si="14"/>
        <v>-0.39780617203394542</v>
      </c>
      <c r="BI98">
        <f t="shared" si="15"/>
        <v>-3.9890260184553578E-2</v>
      </c>
      <c r="BJ98">
        <f t="shared" si="12"/>
        <v>-3.7587922261555357E-2</v>
      </c>
    </row>
    <row r="99" spans="1:62" x14ac:dyDescent="0.3">
      <c r="A99" s="361" t="s">
        <v>397</v>
      </c>
      <c r="B99" s="361"/>
      <c r="C99" s="361"/>
      <c r="D99" s="361"/>
      <c r="E99" s="361"/>
      <c r="F99" s="361"/>
      <c r="G99" s="361"/>
      <c r="H99" s="361"/>
      <c r="I99" s="361"/>
      <c r="J99" s="361"/>
      <c r="K99" s="361"/>
      <c r="L99" s="361" t="s">
        <v>62</v>
      </c>
      <c r="M99" s="361"/>
      <c r="N99" s="361"/>
      <c r="O99" s="361"/>
      <c r="P99" s="361"/>
      <c r="S99" s="66" t="s">
        <v>39</v>
      </c>
      <c r="T99" s="67">
        <f>C266</f>
        <v>0</v>
      </c>
      <c r="U99" s="67">
        <f t="shared" si="21"/>
        <v>1.0324254541349704</v>
      </c>
      <c r="V99" s="67">
        <f t="shared" si="21"/>
        <v>0.1302066266078101</v>
      </c>
      <c r="W99" s="67">
        <f t="shared" si="21"/>
        <v>0.79048964380692344</v>
      </c>
      <c r="X99" s="67">
        <f t="shared" si="21"/>
        <v>2.6590385498953708</v>
      </c>
      <c r="AC99" t="s">
        <v>195</v>
      </c>
      <c r="AD99" s="51">
        <v>0.94394463667820006</v>
      </c>
      <c r="AE99" s="51">
        <v>0.94149269559014004</v>
      </c>
      <c r="AK99" t="s">
        <v>28</v>
      </c>
      <c r="AL99" s="17">
        <f t="shared" ref="AL99:AQ99" si="22">SUM(AL94:AL98)</f>
        <v>1.1686435586737847</v>
      </c>
      <c r="AM99" s="17">
        <f t="shared" si="22"/>
        <v>6.7576496368386589</v>
      </c>
      <c r="AN99" s="17">
        <f t="shared" si="22"/>
        <v>58.941607025003279</v>
      </c>
      <c r="AO99" s="17">
        <f t="shared" si="22"/>
        <v>21.852422134791453</v>
      </c>
      <c r="AP99" s="17">
        <f t="shared" si="22"/>
        <v>11.279677644692837</v>
      </c>
      <c r="AQ99" s="18">
        <f t="shared" si="22"/>
        <v>100.00000000000001</v>
      </c>
      <c r="AR99" s="13" t="s">
        <v>24</v>
      </c>
      <c r="AS99" s="12" t="s">
        <v>29</v>
      </c>
      <c r="AW99" s="1">
        <f>SUM(AW94:AW98)</f>
        <v>198380.41999999998</v>
      </c>
      <c r="AX99" s="17">
        <f>SUM(AX94:AX98)</f>
        <v>100.00000000000001</v>
      </c>
      <c r="BF99" s="51">
        <v>0.94232460958600495</v>
      </c>
      <c r="BG99" s="1">
        <v>36</v>
      </c>
      <c r="BH99">
        <f t="shared" si="14"/>
        <v>-0.37088499448209117</v>
      </c>
      <c r="BI99">
        <f t="shared" si="15"/>
        <v>-3.7190722438501737E-2</v>
      </c>
      <c r="BJ99">
        <f t="shared" si="12"/>
        <v>-3.5045733002082621E-2</v>
      </c>
    </row>
    <row r="100" spans="1:62" x14ac:dyDescent="0.3">
      <c r="A100" t="s">
        <v>320</v>
      </c>
      <c r="B100" t="s">
        <v>21</v>
      </c>
      <c r="I100" s="1" t="s">
        <v>58</v>
      </c>
      <c r="O100" s="360" t="s">
        <v>411</v>
      </c>
      <c r="P100" s="360"/>
      <c r="S100" t="s">
        <v>31</v>
      </c>
      <c r="T100" s="57">
        <f>I258</f>
        <v>100</v>
      </c>
      <c r="U100" s="57">
        <f>I259</f>
        <v>99.410029498525077</v>
      </c>
      <c r="V100" s="57">
        <f>I260</f>
        <v>96.999594539802672</v>
      </c>
      <c r="W100" s="57">
        <f>I261</f>
        <v>90.664617748751439</v>
      </c>
      <c r="X100" s="57">
        <f>I262</f>
        <v>82.708333333333343</v>
      </c>
      <c r="AC100" t="s">
        <v>196</v>
      </c>
      <c r="AD100" s="51">
        <v>0.94645328719723099</v>
      </c>
      <c r="AE100" s="51">
        <v>0.94420057224804599</v>
      </c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0</v>
      </c>
      <c r="AM100" s="18">
        <f>SQRT(SUM((AX94*AM94-AM94*AM94)/AU94,(AX95*AM95-AM95*AM95)/AU95,(AX96*AM96-AM96*AM96)/AU96,(AX97*AM97-AM97*AM97)/AU97,(AX98*AM98-AM98*AM98)/AU98))</f>
        <v>7.6345688926890351E-2</v>
      </c>
      <c r="AN100" s="18">
        <f>SQRT(SUM((AX94*AN94-AN94*AN94)/AU94,(AX95*AN95-AN95*AN95)/AU95,(AX96*AN96-AN96*AN96)/AU96,(AX97*AN97-AN97*AN97)/AU97,(AX98*AN98-AN98*AN98)/AU98))</f>
        <v>0.14082499745821769</v>
      </c>
      <c r="AO100" s="18">
        <f>SQRT(SUM((AX94*AO94-AO94*AO94)/AU94,(AX95*AO95-AO95*AO95)/AU95,(AX96*AO96-AO96*AO96)/AU96,(AX97*AO97-AO97*AO97)/AU97,(AX98*AO98-AO98*AO98)/AU98))</f>
        <v>0.18142848011878043</v>
      </c>
      <c r="AP100" s="18">
        <f>SQRT(SUM((AX94*AP94-AP94*AP94)/AU94,(AX95*AP95-AP95*AP95)/AU95,(AX96*AP96-AP96*AP96)/AU96,(AX97*AP97-AP97*AP97)/AU97,(AX98*AP98-AP98*AP98)/AU98))</f>
        <v>0.18488913284391428</v>
      </c>
      <c r="AQ100" s="1"/>
      <c r="AR100" s="56">
        <f>(AL94+AM95+AN96+AO97+AP98)/AQ99</f>
        <v>0.94497894827037632</v>
      </c>
      <c r="AS100" s="53">
        <f>SQRT(SUM(AY94:AY98))/100</f>
        <v>2.1390344995911837E-3</v>
      </c>
      <c r="AV100" s="1"/>
      <c r="AW100" s="9"/>
      <c r="BF100" s="51">
        <v>0.94234748085226705</v>
      </c>
      <c r="BG100" s="1">
        <v>37</v>
      </c>
      <c r="BH100">
        <f t="shared" si="14"/>
        <v>-0.34423000787040897</v>
      </c>
      <c r="BI100">
        <f t="shared" si="15"/>
        <v>-3.4517877153775828E-2</v>
      </c>
      <c r="BJ100">
        <f t="shared" si="12"/>
        <v>-3.2527834580228676E-2</v>
      </c>
    </row>
    <row r="101" spans="1:62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56</v>
      </c>
      <c r="O101" s="13" t="s">
        <v>412</v>
      </c>
      <c r="P101" s="13" t="s">
        <v>41</v>
      </c>
      <c r="S101" s="66" t="s">
        <v>39</v>
      </c>
      <c r="T101" s="67">
        <f>J258</f>
        <v>0</v>
      </c>
      <c r="U101" s="67">
        <f>J259</f>
        <v>0.41655456661415408</v>
      </c>
      <c r="V101" s="67">
        <f>J260</f>
        <v>0.19834340726088998</v>
      </c>
      <c r="W101" s="67">
        <f>J261</f>
        <v>0.57033670737568876</v>
      </c>
      <c r="X101" s="67">
        <f>J262</f>
        <v>1.2211914601877163</v>
      </c>
      <c r="AC101" t="s">
        <v>197</v>
      </c>
      <c r="AD101" s="51">
        <v>0.946799307958477</v>
      </c>
      <c r="AE101" s="51">
        <v>0.94396383070435097</v>
      </c>
      <c r="AK101" s="1" t="s">
        <v>30</v>
      </c>
      <c r="AL101" s="17">
        <f>AL94/AL99*100</f>
        <v>100</v>
      </c>
      <c r="AM101" s="17">
        <f>AM95/AM99*100</f>
        <v>89.877919012353431</v>
      </c>
      <c r="AN101" s="17">
        <f>AN96/AN99*100</f>
        <v>99.070406022095511</v>
      </c>
      <c r="AO101" s="17">
        <f>AO97/AO99*100</f>
        <v>90.800359491934117</v>
      </c>
      <c r="AP101" s="17">
        <f>AP98/AP99*100</f>
        <v>79.965486896400463</v>
      </c>
      <c r="AQ101" s="1"/>
      <c r="BF101" s="51">
        <v>0.94235352283293305</v>
      </c>
      <c r="BG101" s="1">
        <v>38</v>
      </c>
      <c r="BH101">
        <f t="shared" si="14"/>
        <v>-0.31781741294915428</v>
      </c>
      <c r="BI101">
        <f t="shared" si="15"/>
        <v>-3.186933784587348E-2</v>
      </c>
      <c r="BJ101">
        <f t="shared" si="12"/>
        <v>-3.003218278941179E-2</v>
      </c>
    </row>
    <row r="102" spans="1:62" x14ac:dyDescent="0.3">
      <c r="A102" t="s">
        <v>3</v>
      </c>
      <c r="B102" s="13">
        <v>0</v>
      </c>
      <c r="C102" s="26">
        <v>259</v>
      </c>
      <c r="D102" s="3">
        <v>0</v>
      </c>
      <c r="E102" s="3">
        <v>0</v>
      </c>
      <c r="F102" s="3">
        <v>0</v>
      </c>
      <c r="G102" s="4">
        <v>0</v>
      </c>
      <c r="H102" s="1">
        <f>SUM(C102:G102)</f>
        <v>259</v>
      </c>
      <c r="I102" s="10">
        <f>C102/H102</f>
        <v>1</v>
      </c>
      <c r="J102" s="11">
        <f>1-I102</f>
        <v>0</v>
      </c>
      <c r="K102">
        <f>H102-C107</f>
        <v>0</v>
      </c>
      <c r="N102" s="10">
        <f>2*(C108*I102)/(C108+I102)</f>
        <v>1</v>
      </c>
      <c r="O102" s="1"/>
      <c r="P102" s="1"/>
      <c r="S102" s="66" t="s">
        <v>56</v>
      </c>
      <c r="T102" s="67">
        <f>N247*100</f>
        <v>100</v>
      </c>
      <c r="U102" s="67">
        <f>N248*100</f>
        <v>89.271523178807939</v>
      </c>
      <c r="V102" s="67">
        <f>N249*100</f>
        <v>98.066543690646995</v>
      </c>
      <c r="W102" s="67">
        <f>N250*100</f>
        <v>91.472868217054256</v>
      </c>
      <c r="X102" s="67">
        <f>N251*100</f>
        <v>77.463414634146346</v>
      </c>
      <c r="AC102" t="s">
        <v>198</v>
      </c>
      <c r="AD102" s="51">
        <v>0.946799307958477</v>
      </c>
      <c r="AE102" s="51">
        <v>0.94422168971389098</v>
      </c>
      <c r="AH102" s="78"/>
      <c r="AI102" s="78"/>
      <c r="AK102" s="16" t="s">
        <v>39</v>
      </c>
      <c r="AL102" s="18">
        <f>SQRT((AL105+AL106)/(AL99*AL99))</f>
        <v>0</v>
      </c>
      <c r="AM102" s="18">
        <f>SQRT((AM105+AM106)/(AM99*AM99))</f>
        <v>1.0230769856004167</v>
      </c>
      <c r="AN102" s="18">
        <f>SQRT((AN105+AN106)/(AN99*AN99))</f>
        <v>0.12250712461439517</v>
      </c>
      <c r="AO102" s="18">
        <f>SQRT((AO105+AO106)/(AO99*AO99))</f>
        <v>0.75844646730943432</v>
      </c>
      <c r="AP102" s="18">
        <f>SQRT((AP105+AP106)/(AP99*AP99))</f>
        <v>2.4667415158523145</v>
      </c>
      <c r="AQ102" s="1"/>
      <c r="AR102" s="14"/>
      <c r="BF102" s="51">
        <v>0.942370204247582</v>
      </c>
      <c r="BG102" s="1">
        <v>39</v>
      </c>
      <c r="BH102">
        <f t="shared" si="14"/>
        <v>-0.29162472875305201</v>
      </c>
      <c r="BI102">
        <f t="shared" si="15"/>
        <v>-2.9242850222083651E-2</v>
      </c>
      <c r="BJ102">
        <f t="shared" si="12"/>
        <v>-2.7557590736566419E-2</v>
      </c>
    </row>
    <row r="103" spans="1:62" x14ac:dyDescent="0.3">
      <c r="A103" t="s">
        <v>4</v>
      </c>
      <c r="B103" s="13">
        <v>1</v>
      </c>
      <c r="C103" s="5">
        <v>0</v>
      </c>
      <c r="D103" s="27">
        <v>336</v>
      </c>
      <c r="E103" s="1">
        <v>3</v>
      </c>
      <c r="F103" s="1">
        <v>0</v>
      </c>
      <c r="G103" s="6">
        <v>0</v>
      </c>
      <c r="H103" s="1">
        <f>SUM(C103:G103)</f>
        <v>339</v>
      </c>
      <c r="I103" s="10">
        <f>D103/H103</f>
        <v>0.99115044247787609</v>
      </c>
      <c r="J103" s="11">
        <f>1-I103</f>
        <v>8.8495575221239076E-3</v>
      </c>
      <c r="K103">
        <f>H103-D107</f>
        <v>-85</v>
      </c>
      <c r="N103" s="10">
        <f>2*(D108*I103)/(D108+I103)</f>
        <v>0.88073394495412849</v>
      </c>
      <c r="O103" s="1"/>
      <c r="P103" s="1"/>
      <c r="R103" s="16" t="s">
        <v>66</v>
      </c>
      <c r="S103" t="s">
        <v>9</v>
      </c>
      <c r="T103" s="30">
        <f>N258</f>
        <v>2311.61</v>
      </c>
      <c r="U103" s="30">
        <f>N259</f>
        <v>12123.72</v>
      </c>
      <c r="V103" s="30">
        <f>N260</f>
        <v>119205.89</v>
      </c>
      <c r="W103" s="30">
        <f>N261</f>
        <v>43146.879999999997</v>
      </c>
      <c r="X103" s="30">
        <f>N262</f>
        <v>21592.32</v>
      </c>
      <c r="Z103" t="s">
        <v>36</v>
      </c>
      <c r="AA103" s="1">
        <f>N263</f>
        <v>198380.42</v>
      </c>
      <c r="AC103" t="s">
        <v>199</v>
      </c>
      <c r="AD103" s="51">
        <v>0.94922145328719698</v>
      </c>
      <c r="AE103" s="51">
        <v>0.94642726667515897</v>
      </c>
      <c r="AK103" s="1" t="s">
        <v>37</v>
      </c>
      <c r="AL103" s="18">
        <f>100-AL101</f>
        <v>0</v>
      </c>
      <c r="AM103" s="18">
        <f>100-AM101</f>
        <v>10.122080987646569</v>
      </c>
      <c r="AN103" s="18">
        <f>100-AN101</f>
        <v>0.92959397790448861</v>
      </c>
      <c r="AO103" s="18">
        <f>100-AO101</f>
        <v>9.1996405080658832</v>
      </c>
      <c r="AP103" s="18">
        <f>100-AP101</f>
        <v>20.034513103599537</v>
      </c>
      <c r="BF103" s="51">
        <v>0.94238757316477695</v>
      </c>
      <c r="BG103" s="1">
        <v>40</v>
      </c>
      <c r="BH103">
        <f t="shared" si="14"/>
        <v>-0.26563063350790211</v>
      </c>
      <c r="BI103">
        <f t="shared" si="15"/>
        <v>-2.6636276228298016E-2</v>
      </c>
      <c r="BJ103">
        <f t="shared" si="12"/>
        <v>-2.5101695712932404E-2</v>
      </c>
    </row>
    <row r="104" spans="1:62" ht="15.6" x14ac:dyDescent="0.35">
      <c r="A104" t="s">
        <v>5</v>
      </c>
      <c r="B104" s="13">
        <v>2</v>
      </c>
      <c r="C104" s="5">
        <v>0</v>
      </c>
      <c r="D104" s="1">
        <v>88</v>
      </c>
      <c r="E104" s="27">
        <v>7145</v>
      </c>
      <c r="F104" s="1">
        <v>58</v>
      </c>
      <c r="G104" s="6">
        <v>108</v>
      </c>
      <c r="H104" s="1">
        <f>SUM(C104:G104)</f>
        <v>7399</v>
      </c>
      <c r="I104" s="10">
        <f>E104/H104</f>
        <v>0.96567103662657117</v>
      </c>
      <c r="J104" s="11">
        <f>1-I104</f>
        <v>3.4328963373428834E-2</v>
      </c>
      <c r="K104">
        <f>H104-E107</f>
        <v>202</v>
      </c>
      <c r="N104" s="10">
        <f>2*(E108*I104)/(E108+I104)</f>
        <v>0.97903535215127435</v>
      </c>
      <c r="O104" s="1"/>
      <c r="P104" s="1"/>
      <c r="R104" s="16" t="s">
        <v>323</v>
      </c>
      <c r="S104" t="s">
        <v>68</v>
      </c>
      <c r="T104" s="57">
        <f>$AA103*T96/100</f>
        <v>2311.61</v>
      </c>
      <c r="U104" s="57">
        <f>$AA103*U96/100</f>
        <v>13324.969045266822</v>
      </c>
      <c r="V104" s="57">
        <f>$AA103*V96/100</f>
        <v>116797.05362698952</v>
      </c>
      <c r="W104" s="57">
        <f>$AA103*W96/100</f>
        <v>43224.450965099328</v>
      </c>
      <c r="X104" s="57">
        <f>$AA103*X96/100</f>
        <v>22722.336362644346</v>
      </c>
      <c r="Z104" t="s">
        <v>36</v>
      </c>
      <c r="AA104" s="25">
        <f>SUM(T104:X104)</f>
        <v>198380.42000000004</v>
      </c>
      <c r="AC104" t="s">
        <v>200</v>
      </c>
      <c r="AD104" s="51">
        <v>0.94576124567473996</v>
      </c>
      <c r="AE104" s="51">
        <v>0.94311968432933302</v>
      </c>
      <c r="AH104" s="78"/>
      <c r="AI104" s="78"/>
      <c r="AK104" s="1" t="s">
        <v>25</v>
      </c>
      <c r="AL104" s="1">
        <f>AL88</f>
        <v>259</v>
      </c>
      <c r="AM104" s="1">
        <f>AM88</f>
        <v>422</v>
      </c>
      <c r="AN104" s="1">
        <f>AN88</f>
        <v>7230</v>
      </c>
      <c r="AO104" s="1">
        <f>AO88</f>
        <v>2572</v>
      </c>
      <c r="AP104" s="1">
        <f>AP88</f>
        <v>1077</v>
      </c>
      <c r="BF104" s="51">
        <v>0.94246352133235001</v>
      </c>
      <c r="BG104" s="1">
        <v>41</v>
      </c>
      <c r="BH104">
        <f t="shared" si="14"/>
        <v>-0.23981482260806397</v>
      </c>
      <c r="BI104">
        <f t="shared" si="15"/>
        <v>-2.4047579807615273E-2</v>
      </c>
      <c r="BJ104">
        <f t="shared" si="12"/>
        <v>-2.2663966745005804E-2</v>
      </c>
    </row>
    <row r="105" spans="1:62" x14ac:dyDescent="0.3">
      <c r="A105" t="s">
        <v>6</v>
      </c>
      <c r="B105" s="13">
        <v>3</v>
      </c>
      <c r="C105" s="5">
        <v>0</v>
      </c>
      <c r="D105" s="1">
        <v>0</v>
      </c>
      <c r="E105" s="1">
        <v>34</v>
      </c>
      <c r="F105" s="27">
        <v>2375</v>
      </c>
      <c r="G105" s="6">
        <v>194</v>
      </c>
      <c r="H105" s="1">
        <f>SUM(C105:G105)</f>
        <v>2603</v>
      </c>
      <c r="I105" s="10">
        <f>F105/H105</f>
        <v>0.91240875912408759</v>
      </c>
      <c r="J105" s="11">
        <f>1-I105</f>
        <v>8.7591240875912413E-2</v>
      </c>
      <c r="K105">
        <f>H105-F107</f>
        <v>20</v>
      </c>
      <c r="N105" s="10">
        <f>2*(F108*I105)/(F108+I105)</f>
        <v>0.91592749710759735</v>
      </c>
      <c r="O105" s="1"/>
      <c r="P105" s="1"/>
      <c r="R105" s="66"/>
      <c r="S105" s="66" t="s">
        <v>67</v>
      </c>
      <c r="T105" s="67">
        <f>$AA103*T97/100</f>
        <v>0</v>
      </c>
      <c r="U105" s="67">
        <f>$AA103*U97/100</f>
        <v>151.09521769117669</v>
      </c>
      <c r="V105" s="67">
        <f>$AA103*V97/100</f>
        <v>280.89118985368924</v>
      </c>
      <c r="W105" s="67">
        <f>$AA103*W97/100</f>
        <v>369.19788644660383</v>
      </c>
      <c r="X105" s="67">
        <f>$AA103*X97/100</f>
        <v>380.39153855854835</v>
      </c>
      <c r="AA105" s="1"/>
      <c r="AC105" t="s">
        <v>201</v>
      </c>
      <c r="AD105" s="51">
        <v>0.945328719723183</v>
      </c>
      <c r="AE105" s="51">
        <v>0.94291680051591698</v>
      </c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3.3082900163778253</v>
      </c>
      <c r="AN105" s="18">
        <f>(AX96*AX96*(100-AN101)*(100-AN101)*(AR96)*(100-AR96))/((AU96-1)*100)</f>
        <v>1.2663659702108356</v>
      </c>
      <c r="AO105" s="18">
        <f>(AX97*AX97*(100-AO101)*(100-AO101)*(AR97)*(100-AR97))/((AU97-1)*100)</f>
        <v>121.16561418984216</v>
      </c>
      <c r="AP105" s="18">
        <f>(AX98*AX98*(100-AP101)*(100-AP101)*(AR98)*(100-AR98))/((AU98-1)*100)</f>
        <v>660.70269095727645</v>
      </c>
      <c r="BF105" s="51">
        <v>0.94248569468298615</v>
      </c>
      <c r="BG105" s="1">
        <v>42</v>
      </c>
      <c r="BH105">
        <f t="shared" si="14"/>
        <v>-0.21415788100561844</v>
      </c>
      <c r="BI105">
        <f t="shared" si="15"/>
        <v>-2.1474814104085378E-2</v>
      </c>
      <c r="BJ105">
        <f t="shared" si="12"/>
        <v>-2.0239705089076895E-2</v>
      </c>
    </row>
    <row r="106" spans="1:62" x14ac:dyDescent="0.3">
      <c r="A106" t="s">
        <v>7</v>
      </c>
      <c r="B106" s="13">
        <v>4</v>
      </c>
      <c r="C106" s="7">
        <v>0</v>
      </c>
      <c r="D106" s="8">
        <v>0</v>
      </c>
      <c r="E106" s="8">
        <v>15</v>
      </c>
      <c r="F106" s="8">
        <v>150</v>
      </c>
      <c r="G106" s="28">
        <v>795</v>
      </c>
      <c r="H106" s="1">
        <f>SUM(C106:G106)</f>
        <v>960</v>
      </c>
      <c r="I106" s="10">
        <f>G106/H106</f>
        <v>0.828125</v>
      </c>
      <c r="J106" s="11">
        <f>1-I106</f>
        <v>0.171875</v>
      </c>
      <c r="K106">
        <f>H106-G107</f>
        <v>-137</v>
      </c>
      <c r="N106" s="10">
        <f>2*(G108*I106)/(G108+I106)</f>
        <v>0.77297034516285856</v>
      </c>
      <c r="O106" s="1"/>
      <c r="P106" s="1"/>
      <c r="R106" t="s">
        <v>102</v>
      </c>
      <c r="S106" t="s">
        <v>28</v>
      </c>
      <c r="T106" s="57">
        <f>C292</f>
        <v>1.166964965594891</v>
      </c>
      <c r="U106" s="57">
        <f t="shared" ref="U106:X109" si="23">D292</f>
        <v>6.7866488763914301</v>
      </c>
      <c r="V106" s="57">
        <f t="shared" si="23"/>
        <v>59.188553674228167</v>
      </c>
      <c r="W106" s="57">
        <f t="shared" si="23"/>
        <v>22.085107355308168</v>
      </c>
      <c r="X106" s="57">
        <f t="shared" si="23"/>
        <v>10.772725128477358</v>
      </c>
      <c r="Y106" s="60"/>
      <c r="Z106" s="74"/>
      <c r="AA106" s="12"/>
      <c r="AC106" t="s">
        <v>202</v>
      </c>
      <c r="AD106" s="51">
        <v>0.94593425605536297</v>
      </c>
      <c r="AE106" s="51">
        <v>0.94279397249817598</v>
      </c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44.489517148718015</v>
      </c>
      <c r="AN106" s="18">
        <f>AN101*AN101*(SUM((AQ94*AN94*(1-AN83/AQ83))/(AQ83-1),(AQ95*AN95*(1-AN84/AQ84))/(AQ84-1), (AQ97*AN97*(1-AN86/AQ86))/(AQ86-1),(AQ98*AN98*(1-AN87/AQ87))/(AQ87-1)))</f>
        <v>50.873107163338787</v>
      </c>
      <c r="AO106" s="18">
        <f>AO101*AO101*(SUM((AQ94*AO94*(1-AO83/AQ83))/(AQ83-1),(AQ95*AO95*(1-AO84/AQ84))/(AQ84-1), (AQ96*AO96*(1-AO85/AQ85))/(AQ85-1),(AQ98*AO98*(1-AO87/AQ87))/(AQ87-1)))</f>
        <v>153.52829411201759</v>
      </c>
      <c r="AP106" s="18">
        <f>AP101*AP101*(SUM((AQ94*AP94*(1-AP83/AQ83))/(AQ83-1),(AQ95*AP95*(1-AP84/AQ84))/(AQ84-1), (AQ96*AP96*(1-AP85/AQ85))/(AQ85-1),(AQ97*AP97*(1-AP86/AQ86))/(AQ86-1)))</f>
        <v>113.4750191201401</v>
      </c>
      <c r="BF106" s="51">
        <v>0.94248614698634803</v>
      </c>
      <c r="BG106" s="1">
        <v>43</v>
      </c>
      <c r="BH106">
        <f t="shared" si="14"/>
        <v>-0.18864116776152437</v>
      </c>
      <c r="BI106">
        <f t="shared" si="15"/>
        <v>-1.891610988600527E-2</v>
      </c>
      <c r="BJ106">
        <f t="shared" si="12"/>
        <v>-1.7828171522431473E-2</v>
      </c>
    </row>
    <row r="107" spans="1:62" ht="15.6" x14ac:dyDescent="0.35">
      <c r="B107" s="1" t="s">
        <v>19</v>
      </c>
      <c r="C107" s="1">
        <f>SUM(C102:C106)</f>
        <v>259</v>
      </c>
      <c r="D107" s="1">
        <f>SUM(D102:D106)</f>
        <v>424</v>
      </c>
      <c r="E107" s="1">
        <f>SUM(E102:E106)</f>
        <v>7197</v>
      </c>
      <c r="F107" s="1">
        <f>SUM(F102:F106)</f>
        <v>2583</v>
      </c>
      <c r="G107" s="1">
        <f>SUM(G102:G106)</f>
        <v>1097</v>
      </c>
      <c r="H107" s="1">
        <f>SUM(H101:H106)</f>
        <v>11560</v>
      </c>
      <c r="I107" s="13" t="s">
        <v>12</v>
      </c>
      <c r="N107" s="16" t="s">
        <v>36</v>
      </c>
      <c r="O107" s="1">
        <f>SUM(O102:O106)</f>
        <v>0</v>
      </c>
      <c r="P107" s="1">
        <f>SUM(P102:P106)</f>
        <v>0</v>
      </c>
      <c r="S107" s="66" t="s">
        <v>39</v>
      </c>
      <c r="T107" s="67">
        <f>C293</f>
        <v>0</v>
      </c>
      <c r="U107" s="67">
        <f t="shared" si="23"/>
        <v>7.7180190083278505E-2</v>
      </c>
      <c r="V107" s="67">
        <f t="shared" si="23"/>
        <v>0.14351552153990121</v>
      </c>
      <c r="W107" s="67">
        <f t="shared" si="23"/>
        <v>0.18473780023833847</v>
      </c>
      <c r="X107" s="67">
        <f t="shared" si="23"/>
        <v>0.18744639572361346</v>
      </c>
      <c r="AC107" t="s">
        <v>203</v>
      </c>
      <c r="AD107" s="51">
        <v>0.945501730103806</v>
      </c>
      <c r="AE107" s="51">
        <v>0.94287005484292097</v>
      </c>
      <c r="BF107" s="51">
        <v>0.94251165971430451</v>
      </c>
      <c r="BG107" s="1">
        <v>44</v>
      </c>
      <c r="BH107">
        <f t="shared" si="14"/>
        <v>-0.16324671084032114</v>
      </c>
      <c r="BI107">
        <f t="shared" si="15"/>
        <v>-1.6369664996392561E-2</v>
      </c>
      <c r="BJ107">
        <f t="shared" si="12"/>
        <v>-1.5428600124717107E-2</v>
      </c>
    </row>
    <row r="108" spans="1:62" x14ac:dyDescent="0.3">
      <c r="A108" s="1" t="s">
        <v>321</v>
      </c>
      <c r="B108" s="1" t="s">
        <v>2</v>
      </c>
      <c r="C108" s="10">
        <f>C102/C107</f>
        <v>1</v>
      </c>
      <c r="D108" s="10">
        <f>D103/D107</f>
        <v>0.79245283018867929</v>
      </c>
      <c r="E108" s="10">
        <f>E104/E107</f>
        <v>0.99277476726413783</v>
      </c>
      <c r="F108" s="10">
        <f>F105/F107</f>
        <v>0.91947348044909016</v>
      </c>
      <c r="G108" s="10">
        <f>G106/G107</f>
        <v>0.72470373746581584</v>
      </c>
      <c r="H108" s="10"/>
      <c r="I108" s="14">
        <f>(C102+D103+E104+F105+G106)/H107</f>
        <v>0.94377162629757783</v>
      </c>
      <c r="S108" t="s">
        <v>30</v>
      </c>
      <c r="T108" s="57">
        <f>C294</f>
        <v>100</v>
      </c>
      <c r="U108" s="57">
        <f t="shared" si="23"/>
        <v>90.292871859738582</v>
      </c>
      <c r="V108" s="57">
        <f t="shared" si="23"/>
        <v>98.785199245089387</v>
      </c>
      <c r="W108" s="57">
        <f t="shared" si="23"/>
        <v>90.231842480363937</v>
      </c>
      <c r="X108" s="57">
        <f t="shared" si="23"/>
        <v>80.087799813424027</v>
      </c>
      <c r="AC108" t="s">
        <v>204</v>
      </c>
      <c r="AD108" s="51">
        <v>0.94653979238754304</v>
      </c>
      <c r="AE108" s="51">
        <v>0.944155707548467</v>
      </c>
      <c r="AH108" s="78"/>
      <c r="AI108" s="78"/>
      <c r="AJ108" s="118" t="s">
        <v>375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  <c r="BF108" s="51">
        <v>0.94252147362953997</v>
      </c>
      <c r="BG108" s="1">
        <v>45</v>
      </c>
      <c r="BH108">
        <f t="shared" si="14"/>
        <v>-0.13795711049811366</v>
      </c>
      <c r="BI108">
        <f t="shared" si="15"/>
        <v>-1.3833734665155898E-2</v>
      </c>
      <c r="BJ108">
        <f t="shared" si="12"/>
        <v>-1.3038591982402788E-2</v>
      </c>
    </row>
    <row r="109" spans="1:62" x14ac:dyDescent="0.3">
      <c r="B109" s="1" t="s">
        <v>14</v>
      </c>
      <c r="C109" s="11">
        <f>1-C108</f>
        <v>0</v>
      </c>
      <c r="D109" s="11">
        <f>1-D108</f>
        <v>0.20754716981132071</v>
      </c>
      <c r="E109" s="11">
        <f>1-E108</f>
        <v>7.2252327358621748E-3</v>
      </c>
      <c r="F109" s="11">
        <f>1-F108</f>
        <v>8.0526519550909836E-2</v>
      </c>
      <c r="G109" s="11">
        <f>1-G108</f>
        <v>0.27529626253418416</v>
      </c>
      <c r="S109" s="66" t="s">
        <v>39</v>
      </c>
      <c r="T109" s="67">
        <f>C295</f>
        <v>0</v>
      </c>
      <c r="U109" s="67">
        <f t="shared" si="23"/>
        <v>1.035884884536499</v>
      </c>
      <c r="V109" s="67">
        <f t="shared" si="23"/>
        <v>0.14270174693034771</v>
      </c>
      <c r="W109" s="67">
        <f t="shared" si="23"/>
        <v>0.78224688201024917</v>
      </c>
      <c r="X109" s="67">
        <f t="shared" si="23"/>
        <v>2.679299292863337</v>
      </c>
      <c r="AC109" t="s">
        <v>205</v>
      </c>
      <c r="AD109" s="51">
        <v>0.94307958477508602</v>
      </c>
      <c r="AE109" s="51">
        <v>0.94012548661967099</v>
      </c>
      <c r="AJ109" s="106" t="s">
        <v>399</v>
      </c>
      <c r="AK109" s="107" t="s">
        <v>28</v>
      </c>
      <c r="AL109" s="108">
        <f t="shared" ref="AL109:AP112" si="24">AL99</f>
        <v>1.1686435586737847</v>
      </c>
      <c r="AM109" s="108">
        <f t="shared" si="24"/>
        <v>6.7576496368386589</v>
      </c>
      <c r="AN109" s="108">
        <f t="shared" si="24"/>
        <v>58.941607025003279</v>
      </c>
      <c r="AO109" s="108">
        <f t="shared" si="24"/>
        <v>21.852422134791453</v>
      </c>
      <c r="AP109" s="108">
        <f t="shared" si="24"/>
        <v>11.279677644692837</v>
      </c>
      <c r="AQ109" s="107"/>
      <c r="AR109" s="232" t="s">
        <v>77</v>
      </c>
      <c r="AS109" s="233">
        <f>AR100</f>
        <v>0.94497894827037632</v>
      </c>
      <c r="BF109" s="51">
        <v>0.94258912450536203</v>
      </c>
      <c r="BG109" s="1">
        <v>46</v>
      </c>
      <c r="BH109">
        <f t="shared" si="14"/>
        <v>-0.1127554498305592</v>
      </c>
      <c r="BI109">
        <f t="shared" si="15"/>
        <v>-1.1306622539238973E-2</v>
      </c>
      <c r="BJ109">
        <f t="shared" si="12"/>
        <v>-1.0657499440373858E-2</v>
      </c>
    </row>
    <row r="110" spans="1:62" x14ac:dyDescent="0.3">
      <c r="C110" s="2"/>
      <c r="S110" s="15" t="s">
        <v>31</v>
      </c>
      <c r="T110" s="71">
        <f>I287</f>
        <v>100</v>
      </c>
      <c r="U110" s="71">
        <f>I288</f>
        <v>99.410029498525077</v>
      </c>
      <c r="V110" s="71">
        <f>I289</f>
        <v>97.161778618732271</v>
      </c>
      <c r="W110" s="71">
        <f>I290</f>
        <v>91.279293123319249</v>
      </c>
      <c r="X110" s="71">
        <f>I291</f>
        <v>80.9375</v>
      </c>
      <c r="AC110" t="s">
        <v>206</v>
      </c>
      <c r="AD110" s="51">
        <v>0.94628027681660898</v>
      </c>
      <c r="AE110" s="51">
        <v>0.94392767507581099</v>
      </c>
      <c r="AH110" s="78"/>
      <c r="AI110" s="78"/>
      <c r="AJ110" s="107"/>
      <c r="AK110" s="109" t="s">
        <v>39</v>
      </c>
      <c r="AL110" s="110">
        <f t="shared" si="24"/>
        <v>0</v>
      </c>
      <c r="AM110" s="110">
        <f t="shared" si="24"/>
        <v>7.6345688926890351E-2</v>
      </c>
      <c r="AN110" s="110">
        <f t="shared" si="24"/>
        <v>0.14082499745821769</v>
      </c>
      <c r="AO110" s="110">
        <f t="shared" si="24"/>
        <v>0.18142848011878043</v>
      </c>
      <c r="AP110" s="110">
        <f t="shared" si="24"/>
        <v>0.18488913284391428</v>
      </c>
      <c r="AQ110" s="107"/>
      <c r="AR110" s="232" t="s">
        <v>29</v>
      </c>
      <c r="AS110" s="234">
        <f>AS100</f>
        <v>2.1390344995911837E-3</v>
      </c>
      <c r="AX110" s="103" t="s">
        <v>386</v>
      </c>
      <c r="BF110" s="51">
        <v>0.94264508361421095</v>
      </c>
      <c r="BG110" s="1">
        <v>47</v>
      </c>
      <c r="BH110">
        <f t="shared" si="14"/>
        <v>-8.7625211222515251E-2</v>
      </c>
      <c r="BI110">
        <f t="shared" si="15"/>
        <v>-8.7866723045572307E-3</v>
      </c>
      <c r="BJ110">
        <f t="shared" si="12"/>
        <v>-8.2827134492200229E-3</v>
      </c>
    </row>
    <row r="111" spans="1:62" ht="15.6" x14ac:dyDescent="0.35">
      <c r="A111" t="s">
        <v>322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</v>
      </c>
      <c r="U111" s="76">
        <f>J288</f>
        <v>0.41655456661415408</v>
      </c>
      <c r="V111" s="76">
        <f>J289</f>
        <v>0.19306951177512913</v>
      </c>
      <c r="W111" s="76">
        <f>J290</f>
        <v>0.55310595272696317</v>
      </c>
      <c r="X111" s="76">
        <f>J291</f>
        <v>1.2683979096873623</v>
      </c>
      <c r="AC111" t="s">
        <v>160</v>
      </c>
      <c r="AD111" s="51">
        <v>0.94653979238754304</v>
      </c>
      <c r="AE111" s="51">
        <v>0.944229557595891</v>
      </c>
      <c r="AJ111" s="107"/>
      <c r="AK111" s="107" t="s">
        <v>30</v>
      </c>
      <c r="AL111" s="108">
        <f t="shared" si="24"/>
        <v>100</v>
      </c>
      <c r="AM111" s="108">
        <f t="shared" si="24"/>
        <v>89.877919012353431</v>
      </c>
      <c r="AN111" s="108">
        <f t="shared" si="24"/>
        <v>99.070406022095511</v>
      </c>
      <c r="AO111" s="108">
        <f t="shared" si="24"/>
        <v>90.800359491934117</v>
      </c>
      <c r="AP111" s="108">
        <f t="shared" si="24"/>
        <v>79.965486896400463</v>
      </c>
      <c r="AQ111" s="107"/>
      <c r="AR111" s="107"/>
      <c r="AS111" s="107"/>
      <c r="AU111" s="103" t="s">
        <v>386</v>
      </c>
      <c r="AW111" s="101"/>
      <c r="AX111" s="1" t="s">
        <v>380</v>
      </c>
      <c r="AY111" s="96"/>
      <c r="BF111" s="51">
        <v>0.94265609929380201</v>
      </c>
      <c r="BG111" s="1">
        <v>48</v>
      </c>
      <c r="BH111">
        <f t="shared" si="14"/>
        <v>-6.2550197581039788E-2</v>
      </c>
      <c r="BI111">
        <f t="shared" si="15"/>
        <v>-6.2722597875882035E-3</v>
      </c>
      <c r="BJ111">
        <f t="shared" si="12"/>
        <v>-5.912583945125267E-3</v>
      </c>
    </row>
    <row r="112" spans="1:62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56</v>
      </c>
      <c r="T112" s="67">
        <f>N276*100</f>
        <v>100</v>
      </c>
      <c r="U112" s="67">
        <f>N277*100</f>
        <v>89.035667107001331</v>
      </c>
      <c r="V112" s="67">
        <f>N278*100</f>
        <v>98.063020051834656</v>
      </c>
      <c r="W112" s="67">
        <f>N279*100</f>
        <v>91.595990747879725</v>
      </c>
      <c r="X112" s="67">
        <f>N280*100</f>
        <v>77.89473684210526</v>
      </c>
      <c r="AC112" t="s">
        <v>207</v>
      </c>
      <c r="AD112" s="51">
        <v>0.943858131487889</v>
      </c>
      <c r="AE112" s="51">
        <v>0.94097609515874703</v>
      </c>
      <c r="AH112" s="78"/>
      <c r="AI112" s="78"/>
      <c r="AJ112" s="107"/>
      <c r="AK112" s="109" t="s">
        <v>39</v>
      </c>
      <c r="AL112" s="110">
        <f t="shared" si="24"/>
        <v>0</v>
      </c>
      <c r="AM112" s="110">
        <f t="shared" si="24"/>
        <v>1.0230769856004167</v>
      </c>
      <c r="AN112" s="110">
        <f t="shared" si="24"/>
        <v>0.12250712461439517</v>
      </c>
      <c r="AO112" s="110">
        <f t="shared" si="24"/>
        <v>0.75844646730943432</v>
      </c>
      <c r="AP112" s="110">
        <f t="shared" si="24"/>
        <v>2.4667415158523145</v>
      </c>
      <c r="AQ112" s="107"/>
      <c r="AR112" s="107"/>
      <c r="AS112" s="107"/>
      <c r="AU112" s="93"/>
      <c r="AV112" s="1" t="s">
        <v>380</v>
      </c>
      <c r="AW112" s="97"/>
      <c r="AX112" s="71" t="s">
        <v>381</v>
      </c>
      <c r="AY112" s="95"/>
      <c r="BF112" s="51">
        <v>0.94277482475072705</v>
      </c>
      <c r="BG112" s="1">
        <v>49</v>
      </c>
      <c r="BH112">
        <f t="shared" si="14"/>
        <v>-3.7514457344072563E-2</v>
      </c>
      <c r="BI112">
        <f t="shared" si="15"/>
        <v>-3.7617854355706075E-3</v>
      </c>
      <c r="BJ112">
        <f t="shared" si="12"/>
        <v>-3.5465166047699169E-3</v>
      </c>
    </row>
    <row r="113" spans="1:62" x14ac:dyDescent="0.3">
      <c r="A113" t="s">
        <v>3</v>
      </c>
      <c r="B113" s="13">
        <v>0</v>
      </c>
      <c r="C113" s="29">
        <f>(C102/$L113)*$O113</f>
        <v>1.1957379664787482</v>
      </c>
      <c r="D113" s="31">
        <f>(D102/$L113)*$O113</f>
        <v>0</v>
      </c>
      <c r="E113" s="31">
        <f>(E102/$L113)*$O113</f>
        <v>0</v>
      </c>
      <c r="F113" s="31">
        <f>(F102/$L113)*$O113</f>
        <v>0</v>
      </c>
      <c r="G113" s="32">
        <f>(G102/$L113)*$O113</f>
        <v>0</v>
      </c>
      <c r="H113" s="17">
        <f>SUM(C113:G113)</f>
        <v>1.1957379664787482</v>
      </c>
      <c r="I113" s="17">
        <f>C113/H113*100</f>
        <v>100</v>
      </c>
      <c r="J113" s="17">
        <f>SQRT(I113*(100-I113)/(L113-1))</f>
        <v>0</v>
      </c>
      <c r="K113" s="18">
        <f>100-I113</f>
        <v>0</v>
      </c>
      <c r="L113" s="1">
        <f>H102</f>
        <v>259</v>
      </c>
      <c r="M113">
        <v>0</v>
      </c>
      <c r="N113" s="1">
        <v>2372.11</v>
      </c>
      <c r="O113" s="17">
        <f>N113/N118*100</f>
        <v>1.1957379664787482</v>
      </c>
      <c r="P113" s="52">
        <f>((O113*O113*(I113/100)*(K113/100))/(L113-1))</f>
        <v>0</v>
      </c>
      <c r="R113" s="16" t="s">
        <v>66</v>
      </c>
      <c r="S113" t="s">
        <v>9</v>
      </c>
      <c r="T113" s="30">
        <f>N287</f>
        <v>2315.0300000000002</v>
      </c>
      <c r="U113" s="30">
        <f>N288</f>
        <v>12228.62</v>
      </c>
      <c r="V113" s="30">
        <f>N289</f>
        <v>119380.38</v>
      </c>
      <c r="W113" s="30">
        <f>N290</f>
        <v>43309.77</v>
      </c>
      <c r="X113" s="30">
        <f>N291</f>
        <v>21146.62</v>
      </c>
      <c r="Z113" t="s">
        <v>36</v>
      </c>
      <c r="AA113" s="1">
        <f>N292</f>
        <v>198380.41999999998</v>
      </c>
      <c r="AC113" t="s">
        <v>161</v>
      </c>
      <c r="AD113" s="51">
        <v>0.94541522491349395</v>
      </c>
      <c r="AE113" s="51">
        <v>0.94335240645733398</v>
      </c>
      <c r="AJ113" s="107"/>
      <c r="AK113" s="111" t="s">
        <v>31</v>
      </c>
      <c r="AL113" s="112">
        <f>AR94</f>
        <v>100</v>
      </c>
      <c r="AM113" s="112">
        <f>AR95</f>
        <v>99.705014749262531</v>
      </c>
      <c r="AN113" s="112">
        <f>AR96</f>
        <v>96.918502500337894</v>
      </c>
      <c r="AO113" s="112">
        <f>AR97</f>
        <v>91.356127545140225</v>
      </c>
      <c r="AP113" s="112">
        <f>AR98</f>
        <v>83.749999999999986</v>
      </c>
      <c r="AQ113" s="107"/>
      <c r="AR113" s="107"/>
      <c r="AS113" s="107"/>
      <c r="AU113" s="94"/>
      <c r="AV113" s="71" t="s">
        <v>383</v>
      </c>
      <c r="AW113" s="98"/>
      <c r="AX113" s="71" t="s">
        <v>382</v>
      </c>
      <c r="AY113" s="93"/>
      <c r="BF113" s="79">
        <v>0.94277506797027266</v>
      </c>
      <c r="BG113" s="1">
        <v>50</v>
      </c>
      <c r="BH113">
        <f t="shared" si="14"/>
        <v>-1.2502212342580959E-2</v>
      </c>
      <c r="BI113">
        <f t="shared" si="15"/>
        <v>-1.25366708283635E-3</v>
      </c>
      <c r="BJ113">
        <f t="shared" si="12"/>
        <v>-1.1819260692331334E-3</v>
      </c>
    </row>
    <row r="114" spans="1:62" ht="15.6" x14ac:dyDescent="0.35">
      <c r="A114" t="s">
        <v>4</v>
      </c>
      <c r="B114" s="13">
        <v>1</v>
      </c>
      <c r="C114" s="33">
        <f t="shared" ref="C114:G117" si="25">(C103/$L114)*$O114</f>
        <v>0</v>
      </c>
      <c r="D114" s="34">
        <f t="shared" si="25"/>
        <v>6.3413009555209872</v>
      </c>
      <c r="E114" s="19">
        <f t="shared" si="25"/>
        <v>5.6618758531437378E-2</v>
      </c>
      <c r="F114" s="18">
        <f t="shared" si="25"/>
        <v>0</v>
      </c>
      <c r="G114" s="20">
        <f t="shared" si="25"/>
        <v>0</v>
      </c>
      <c r="H114" s="17">
        <f>SUM(C114:G114)</f>
        <v>6.3979197140524242</v>
      </c>
      <c r="I114" s="17">
        <f>D114/H114*100</f>
        <v>99.115044247787623</v>
      </c>
      <c r="J114" s="17">
        <f>SQRT(I114*(100-I114)/(L114-1))</f>
        <v>0.50941557342054689</v>
      </c>
      <c r="K114" s="18">
        <f>100-I114</f>
        <v>0.88495575221237743</v>
      </c>
      <c r="L114" s="1">
        <f>H103</f>
        <v>339</v>
      </c>
      <c r="M114">
        <v>1</v>
      </c>
      <c r="N114" s="1">
        <v>12692.22</v>
      </c>
      <c r="O114" s="17">
        <f>N114/N118*100</f>
        <v>6.3979197140524242</v>
      </c>
      <c r="P114" s="52">
        <f>((O114*O114*(I114/100)*(K114/100))/(L114-1))</f>
        <v>1.0622384247805062E-3</v>
      </c>
      <c r="R114" s="16" t="s">
        <v>323</v>
      </c>
      <c r="S114" t="s">
        <v>68</v>
      </c>
      <c r="T114" s="57">
        <f>$AA113*T106/100</f>
        <v>2315.0300000000002</v>
      </c>
      <c r="U114" s="57">
        <f>$AA113*U106/100</f>
        <v>13463.382544910599</v>
      </c>
      <c r="V114" s="57">
        <f>$AA113*V106/100</f>
        <v>117418.50137085926</v>
      </c>
      <c r="W114" s="57">
        <f>$AA113*W106/100</f>
        <v>43812.528728911231</v>
      </c>
      <c r="X114" s="57">
        <f>$AA113*X106/100</f>
        <v>21370.977355318922</v>
      </c>
      <c r="Z114" t="s">
        <v>36</v>
      </c>
      <c r="AA114" s="25">
        <f>SUM(T114:X114)</f>
        <v>198380.42</v>
      </c>
      <c r="AC114" t="s">
        <v>208</v>
      </c>
      <c r="AD114" s="51">
        <v>0.94567474048442901</v>
      </c>
      <c r="AE114" s="51">
        <v>0.94286233183191603</v>
      </c>
      <c r="AH114" s="78"/>
      <c r="AI114" s="78"/>
      <c r="AJ114" s="107"/>
      <c r="AK114" s="113" t="s">
        <v>39</v>
      </c>
      <c r="AL114" s="114">
        <f>AS94</f>
        <v>0</v>
      </c>
      <c r="AM114" s="114">
        <f>AS95</f>
        <v>0.2949852507374659</v>
      </c>
      <c r="AN114" s="114">
        <f>AS96</f>
        <v>0.20092181559870553</v>
      </c>
      <c r="AO114" s="114">
        <f>AS97</f>
        <v>0.55089568409461287</v>
      </c>
      <c r="AP114" s="114">
        <f>AS98</f>
        <v>1.1912688532439153</v>
      </c>
      <c r="AQ114" s="107"/>
      <c r="AR114" s="107"/>
      <c r="AS114" s="107"/>
      <c r="AU114" s="95"/>
      <c r="AV114" s="1" t="s">
        <v>384</v>
      </c>
      <c r="AW114" s="99"/>
      <c r="AX114" s="1" t="s">
        <v>387</v>
      </c>
      <c r="AY114" s="99"/>
      <c r="BF114" s="51">
        <v>0.94279397249817598</v>
      </c>
      <c r="BG114" s="1">
        <v>51</v>
      </c>
      <c r="BH114">
        <f t="shared" si="14"/>
        <v>1.2502212342580959E-2</v>
      </c>
      <c r="BI114">
        <f t="shared" si="15"/>
        <v>1.25366708283635E-3</v>
      </c>
      <c r="BJ114">
        <f t="shared" si="12"/>
        <v>1.1819497692174823E-3</v>
      </c>
    </row>
    <row r="115" spans="1:62" x14ac:dyDescent="0.3">
      <c r="A115" t="s">
        <v>5</v>
      </c>
      <c r="B115" s="13">
        <v>2</v>
      </c>
      <c r="C115" s="33">
        <f t="shared" si="25"/>
        <v>0</v>
      </c>
      <c r="D115" s="19">
        <f t="shared" si="25"/>
        <v>0.70911034357541824</v>
      </c>
      <c r="E115" s="34">
        <f t="shared" si="25"/>
        <v>57.574925055072313</v>
      </c>
      <c r="F115" s="19">
        <f t="shared" si="25"/>
        <v>0.46736818099288935</v>
      </c>
      <c r="G115" s="20">
        <f t="shared" si="25"/>
        <v>0.87027178529710425</v>
      </c>
      <c r="H115" s="17">
        <f>SUM(C115:G115)</f>
        <v>59.62167536493773</v>
      </c>
      <c r="I115" s="17">
        <f>E115/H115*100</f>
        <v>96.567103662657104</v>
      </c>
      <c r="J115" s="17">
        <f>SQRT(I115*(100-I115)/(L115-1))</f>
        <v>0.21168387847312981</v>
      </c>
      <c r="K115" s="18">
        <f>100-I115</f>
        <v>3.4328963373428962</v>
      </c>
      <c r="L115" s="1">
        <f>H104</f>
        <v>7399</v>
      </c>
      <c r="M115">
        <v>2</v>
      </c>
      <c r="N115" s="1">
        <v>118277.73</v>
      </c>
      <c r="O115" s="17">
        <f>N115/N118*100</f>
        <v>59.621675364937722</v>
      </c>
      <c r="P115" s="52">
        <f>((O115*O115*(I115/100)*(K115/100))/(L115-1))</f>
        <v>1.5928831535137539E-2</v>
      </c>
      <c r="R115" s="66"/>
      <c r="S115" s="66" t="s">
        <v>67</v>
      </c>
      <c r="T115" s="67">
        <f>$AA113*T107/100</f>
        <v>0</v>
      </c>
      <c r="U115" s="67">
        <f>$AA113*U107/100</f>
        <v>153.11038524400624</v>
      </c>
      <c r="V115" s="67">
        <f>$AA113*V107/100</f>
        <v>284.70669439604649</v>
      </c>
      <c r="W115" s="67">
        <f>$AA113*W107/100</f>
        <v>366.48362401157681</v>
      </c>
      <c r="X115" s="67">
        <f>$AA113*X107/100</f>
        <v>371.85694711136637</v>
      </c>
      <c r="AA115" s="1"/>
      <c r="AC115" t="s">
        <v>209</v>
      </c>
      <c r="AD115" s="51">
        <v>0.945328719723183</v>
      </c>
      <c r="AE115" s="51">
        <v>0.94238757316477695</v>
      </c>
      <c r="AJ115" s="107"/>
      <c r="AK115" s="109" t="s">
        <v>56</v>
      </c>
      <c r="AL115" s="110">
        <f>AW83*100</f>
        <v>100</v>
      </c>
      <c r="AM115" s="110">
        <f>AW84*100</f>
        <v>88.830486202365307</v>
      </c>
      <c r="AN115" s="110">
        <f>AW85*100</f>
        <v>98.038143413767173</v>
      </c>
      <c r="AO115" s="110">
        <f>AW86*100</f>
        <v>91.903381642512073</v>
      </c>
      <c r="AP115" s="110">
        <f>AW87*100</f>
        <v>78.939617083946985</v>
      </c>
      <c r="AQ115" s="107"/>
      <c r="AR115" s="107"/>
      <c r="AS115" s="107"/>
      <c r="AU115" s="96"/>
      <c r="AV115" s="1" t="s">
        <v>385</v>
      </c>
      <c r="AW115" s="100"/>
      <c r="AX115" s="71" t="s">
        <v>388</v>
      </c>
      <c r="AY115" s="102"/>
      <c r="BF115" s="51">
        <v>0.94286233183191603</v>
      </c>
      <c r="BG115" s="1">
        <v>52</v>
      </c>
      <c r="BH115">
        <f t="shared" si="14"/>
        <v>3.7514457344072417E-2</v>
      </c>
      <c r="BI115">
        <f t="shared" si="15"/>
        <v>3.7617854355705927E-3</v>
      </c>
      <c r="BJ115">
        <f t="shared" si="12"/>
        <v>3.5468457876334288E-3</v>
      </c>
    </row>
    <row r="116" spans="1:62" x14ac:dyDescent="0.3">
      <c r="A116" t="s">
        <v>6</v>
      </c>
      <c r="B116" s="13">
        <v>3</v>
      </c>
      <c r="C116" s="33">
        <f t="shared" si="25"/>
        <v>0</v>
      </c>
      <c r="D116" s="19">
        <f t="shared" si="25"/>
        <v>0</v>
      </c>
      <c r="E116" s="19">
        <f t="shared" si="25"/>
        <v>0.28359064930293182</v>
      </c>
      <c r="F116" s="34">
        <f t="shared" si="25"/>
        <v>19.809640943954793</v>
      </c>
      <c r="G116" s="20">
        <f t="shared" si="25"/>
        <v>1.6181348813167284</v>
      </c>
      <c r="H116" s="17">
        <f>SUM(C116:G116)</f>
        <v>21.711366474574454</v>
      </c>
      <c r="I116" s="17">
        <f>F116/H116*100</f>
        <v>91.240875912408754</v>
      </c>
      <c r="J116" s="17">
        <f>SQRT(I116*(100-I116)/(L116-1))</f>
        <v>0.55420624626941606</v>
      </c>
      <c r="K116" s="18">
        <f>100-I116</f>
        <v>8.7591240875912462</v>
      </c>
      <c r="L116" s="1">
        <f>H105</f>
        <v>2603</v>
      </c>
      <c r="M116">
        <v>3</v>
      </c>
      <c r="N116" s="1">
        <v>43071.1</v>
      </c>
      <c r="O116" s="17">
        <f>N116/N118*100</f>
        <v>21.711366474574454</v>
      </c>
      <c r="P116" s="52">
        <f>((O116*O116*(I116/100)*(K116/100))/(L116-1))</f>
        <v>1.4478285909118907E-2</v>
      </c>
      <c r="R116" t="s">
        <v>103</v>
      </c>
      <c r="S116" t="s">
        <v>28</v>
      </c>
      <c r="T116" s="57">
        <f>C321</f>
        <v>1.1776767082154582</v>
      </c>
      <c r="U116" s="57">
        <f t="shared" ref="U116:X119" si="26">D321</f>
        <v>6.8333881467701403</v>
      </c>
      <c r="V116" s="57">
        <f t="shared" si="26"/>
        <v>58.799811521951874</v>
      </c>
      <c r="W116" s="57">
        <f t="shared" si="26"/>
        <v>21.819679566513834</v>
      </c>
      <c r="X116" s="57">
        <f t="shared" si="26"/>
        <v>11.369444056548703</v>
      </c>
      <c r="Z116" s="74"/>
      <c r="AA116" s="12"/>
      <c r="AD116" s="51"/>
      <c r="AE116" s="51"/>
      <c r="AH116" s="78"/>
      <c r="AI116" s="78"/>
      <c r="AJ116" s="115" t="s">
        <v>379</v>
      </c>
      <c r="AK116" s="107" t="s">
        <v>9</v>
      </c>
      <c r="AL116" s="116">
        <f>AW94</f>
        <v>2318.36</v>
      </c>
      <c r="AM116" s="116">
        <f>AW95</f>
        <v>12084.55</v>
      </c>
      <c r="AN116" s="116">
        <f>AW96</f>
        <v>119524.8</v>
      </c>
      <c r="AO116" s="116">
        <f>AW97</f>
        <v>43087.199999999997</v>
      </c>
      <c r="AP116" s="116">
        <f>AW98</f>
        <v>21365.51</v>
      </c>
      <c r="AQ116" s="107"/>
      <c r="AR116" s="115" t="s">
        <v>36</v>
      </c>
      <c r="AS116" s="111">
        <f>AW99</f>
        <v>198380.41999999998</v>
      </c>
      <c r="AW116" s="102"/>
      <c r="AX116" s="1" t="s">
        <v>385</v>
      </c>
      <c r="AY116" s="104"/>
      <c r="BF116" s="51">
        <v>0.94287005484292097</v>
      </c>
      <c r="BG116" s="1">
        <v>53</v>
      </c>
      <c r="BH116">
        <f t="shared" si="14"/>
        <v>6.2550197581039788E-2</v>
      </c>
      <c r="BI116">
        <f t="shared" si="15"/>
        <v>6.2722597875882035E-3</v>
      </c>
      <c r="BJ116">
        <f t="shared" si="12"/>
        <v>5.9139259299123377E-3</v>
      </c>
    </row>
    <row r="117" spans="1:62" ht="15.6" x14ac:dyDescent="0.35">
      <c r="A117" t="s">
        <v>7</v>
      </c>
      <c r="B117" s="13">
        <v>4</v>
      </c>
      <c r="C117" s="35">
        <f t="shared" si="25"/>
        <v>0</v>
      </c>
      <c r="D117" s="36">
        <f t="shared" si="25"/>
        <v>0</v>
      </c>
      <c r="E117" s="21">
        <f t="shared" si="25"/>
        <v>0.17302031999932249</v>
      </c>
      <c r="F117" s="21">
        <f t="shared" si="25"/>
        <v>1.730203199993225</v>
      </c>
      <c r="G117" s="37">
        <f t="shared" si="25"/>
        <v>9.1700769599640921</v>
      </c>
      <c r="H117" s="17">
        <f>SUM(C117:G117)</f>
        <v>11.073300479956639</v>
      </c>
      <c r="I117" s="17">
        <f>G117/H117*100</f>
        <v>82.8125</v>
      </c>
      <c r="J117" s="17">
        <f>SQRT(I117*(100-I117)/(L117-1))</f>
        <v>1.2182740675223689</v>
      </c>
      <c r="K117" s="18">
        <f>100-I117</f>
        <v>17.1875</v>
      </c>
      <c r="L117" s="1">
        <f>H106</f>
        <v>960</v>
      </c>
      <c r="M117">
        <v>4</v>
      </c>
      <c r="N117" s="1">
        <v>21967.26</v>
      </c>
      <c r="O117" s="17">
        <f>N117/N118*100</f>
        <v>11.073300479956639</v>
      </c>
      <c r="P117" s="52">
        <f>((O117*O117*(I117/100)*(K117/100))/(L117-1))</f>
        <v>1.8198859385135994E-2</v>
      </c>
      <c r="S117" s="66" t="s">
        <v>39</v>
      </c>
      <c r="T117" s="67">
        <f>C322</f>
        <v>0</v>
      </c>
      <c r="U117" s="67">
        <f t="shared" si="26"/>
        <v>7.9991455175586354E-2</v>
      </c>
      <c r="V117" s="67">
        <f t="shared" si="26"/>
        <v>0.14166299063684509</v>
      </c>
      <c r="W117" s="67">
        <f t="shared" si="26"/>
        <v>0.18587753377016114</v>
      </c>
      <c r="X117" s="67">
        <f t="shared" si="26"/>
        <v>0.18734086741702313</v>
      </c>
      <c r="AD117" s="51"/>
      <c r="AE117" s="51"/>
      <c r="AJ117" s="115" t="s">
        <v>378</v>
      </c>
      <c r="AK117" s="107" t="s">
        <v>68</v>
      </c>
      <c r="AL117" s="108">
        <f>$AS116*AL109/100</f>
        <v>2318.36</v>
      </c>
      <c r="AM117" s="108">
        <f>$AS116*AM109/100</f>
        <v>13405.853731689007</v>
      </c>
      <c r="AN117" s="108">
        <f>$AS116*AN109/100</f>
        <v>116928.607570951</v>
      </c>
      <c r="AO117" s="108">
        <f>$AS116*AO109/100</f>
        <v>43350.926811172249</v>
      </c>
      <c r="AP117" s="108">
        <f>$AS116*AP109/100</f>
        <v>22376.671886187756</v>
      </c>
      <c r="AQ117" s="107"/>
      <c r="AR117" s="115" t="s">
        <v>36</v>
      </c>
      <c r="AS117" s="137">
        <f>SUM(AL117:AP117)</f>
        <v>198380.42</v>
      </c>
      <c r="BF117" s="51">
        <v>0.94290339565219194</v>
      </c>
      <c r="BG117" s="1">
        <v>54</v>
      </c>
      <c r="BH117">
        <f t="shared" si="14"/>
        <v>8.762521122251539E-2</v>
      </c>
      <c r="BI117">
        <f t="shared" si="15"/>
        <v>8.7866723045572446E-3</v>
      </c>
      <c r="BJ117">
        <f t="shared" si="12"/>
        <v>8.2849831524500969E-3</v>
      </c>
    </row>
    <row r="118" spans="1:62" x14ac:dyDescent="0.3">
      <c r="B118" t="s">
        <v>28</v>
      </c>
      <c r="C118" s="17">
        <f t="shared" ref="C118:H118" si="27">SUM(C113:C117)</f>
        <v>1.1957379664787482</v>
      </c>
      <c r="D118" s="17">
        <f t="shared" si="27"/>
        <v>7.050411299096405</v>
      </c>
      <c r="E118" s="17">
        <f t="shared" si="27"/>
        <v>58.088154782906003</v>
      </c>
      <c r="F118" s="17">
        <f t="shared" si="27"/>
        <v>22.007212324940909</v>
      </c>
      <c r="G118" s="17">
        <f t="shared" si="27"/>
        <v>11.658483626577926</v>
      </c>
      <c r="H118" s="18">
        <f t="shared" si="27"/>
        <v>99.999999999999986</v>
      </c>
      <c r="I118" s="13" t="s">
        <v>24</v>
      </c>
      <c r="J118" s="12" t="s">
        <v>29</v>
      </c>
      <c r="N118" s="1">
        <f>SUM(N113:N117)</f>
        <v>198380.42</v>
      </c>
      <c r="O118" s="17">
        <f>SUM(O113:O117)</f>
        <v>99.999999999999986</v>
      </c>
      <c r="S118" t="s">
        <v>30</v>
      </c>
      <c r="T118" s="57">
        <f>C323</f>
        <v>100</v>
      </c>
      <c r="U118" s="57">
        <f t="shared" si="26"/>
        <v>89.533898536443701</v>
      </c>
      <c r="V118" s="57">
        <f t="shared" si="26"/>
        <v>99.074165100781187</v>
      </c>
      <c r="W118" s="57">
        <f t="shared" si="26"/>
        <v>90.258118004998323</v>
      </c>
      <c r="X118" s="57">
        <f t="shared" si="26"/>
        <v>79.72692066582384</v>
      </c>
      <c r="AD118" s="51"/>
      <c r="AE118" s="51"/>
      <c r="AH118" s="78"/>
      <c r="AI118" s="78"/>
      <c r="AJ118" s="109"/>
      <c r="AK118" s="109" t="s">
        <v>377</v>
      </c>
      <c r="AL118" s="110">
        <f>$AS116*AL110/100</f>
        <v>0</v>
      </c>
      <c r="AM118" s="110">
        <f>$AS116*AM110/100</f>
        <v>151.45489834505855</v>
      </c>
      <c r="AN118" s="110">
        <f>$AS116*AN110/100</f>
        <v>279.36922142260153</v>
      </c>
      <c r="AO118" s="110">
        <f>$AS116*AO110/100</f>
        <v>359.9185808592531</v>
      </c>
      <c r="AP118" s="110">
        <f>$AS116*AP110/100</f>
        <v>366.7838382701151</v>
      </c>
      <c r="AQ118" s="107"/>
      <c r="AR118" s="107"/>
      <c r="AS118" s="107"/>
      <c r="BF118" s="51">
        <v>0.94291680051591698</v>
      </c>
      <c r="BG118" s="1">
        <v>55</v>
      </c>
      <c r="BH118">
        <f t="shared" si="14"/>
        <v>0.1127554498305592</v>
      </c>
      <c r="BI118">
        <f t="shared" si="15"/>
        <v>1.1306622539238973E-2</v>
      </c>
      <c r="BJ118">
        <f t="shared" si="12"/>
        <v>1.0661204349340366E-2</v>
      </c>
    </row>
    <row r="119" spans="1:62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0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8.1885328655891113E-2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0.14589325156738442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0.18721192749427576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0.19385834001212335</v>
      </c>
      <c r="H119" s="1"/>
      <c r="I119" s="56">
        <f>(C113+D114+E115+F116+G117)/H118</f>
        <v>0.94091681880990952</v>
      </c>
      <c r="J119" s="53">
        <f>SQRT(SUM(P113:P117))/100</f>
        <v>2.2286366965966649E-3</v>
      </c>
      <c r="M119" s="1"/>
      <c r="N119" s="9"/>
      <c r="S119" s="66" t="s">
        <v>39</v>
      </c>
      <c r="T119" s="67">
        <f>C324</f>
        <v>0</v>
      </c>
      <c r="U119" s="67">
        <f t="shared" si="26"/>
        <v>1.0678429079039877</v>
      </c>
      <c r="V119" s="67">
        <f t="shared" si="26"/>
        <v>0.12405841065719489</v>
      </c>
      <c r="W119" s="67">
        <f t="shared" si="26"/>
        <v>0.7959490076308201</v>
      </c>
      <c r="X119" s="67">
        <f t="shared" si="26"/>
        <v>2.5164761143133307</v>
      </c>
      <c r="AD119" s="51"/>
      <c r="AE119" s="51"/>
      <c r="AJ119" s="115" t="s">
        <v>410</v>
      </c>
      <c r="AK119" s="122" t="s">
        <v>9</v>
      </c>
      <c r="AL119" s="136">
        <f>AVERAGE(AR195:AR214)</f>
        <v>2316.54</v>
      </c>
      <c r="AM119" s="136">
        <f>AVERAGE(AS195:AS214)</f>
        <v>12090.2605</v>
      </c>
      <c r="AN119" s="140">
        <f>AVERAGE(AT195:AT214)</f>
        <v>119374.80349999999</v>
      </c>
      <c r="AO119" s="136">
        <f>AVERAGE(AU195:AU214)</f>
        <v>43041.758499999996</v>
      </c>
      <c r="AP119" s="136">
        <f>AVERAGE(AV195:AV214)</f>
        <v>21557.055499999999</v>
      </c>
      <c r="AQ119" s="107"/>
      <c r="AR119" s="115" t="s">
        <v>36</v>
      </c>
      <c r="AS119" s="137">
        <f>SUM(AL119:AP119)</f>
        <v>198380.41799999998</v>
      </c>
      <c r="BF119" s="51">
        <v>0.94293158273617805</v>
      </c>
      <c r="BG119" s="1">
        <v>56</v>
      </c>
      <c r="BH119">
        <f t="shared" si="14"/>
        <v>0.13795711049811366</v>
      </c>
      <c r="BI119">
        <f t="shared" si="15"/>
        <v>1.3833734665155898E-2</v>
      </c>
      <c r="BJ119">
        <f t="shared" si="12"/>
        <v>1.3044265322967782E-2</v>
      </c>
    </row>
    <row r="120" spans="1:62" x14ac:dyDescent="0.3">
      <c r="B120" s="1" t="s">
        <v>30</v>
      </c>
      <c r="C120" s="17">
        <f>C113/C118*100</f>
        <v>100</v>
      </c>
      <c r="D120" s="17">
        <f>D114/D118*100</f>
        <v>89.94228402439019</v>
      </c>
      <c r="E120" s="17">
        <f>E115/E118*100</f>
        <v>99.116464054071272</v>
      </c>
      <c r="F120" s="17">
        <f>F116/F118*100</f>
        <v>90.014312814642167</v>
      </c>
      <c r="G120" s="17">
        <f>G117/G118*100</f>
        <v>78.655829125659224</v>
      </c>
      <c r="H120" s="1"/>
      <c r="S120" s="15" t="s">
        <v>31</v>
      </c>
      <c r="T120" s="71">
        <f>I316</f>
        <v>100</v>
      </c>
      <c r="U120" s="71">
        <f>I317</f>
        <v>99.410029498525077</v>
      </c>
      <c r="V120" s="71">
        <f>I318</f>
        <v>96.877956480605505</v>
      </c>
      <c r="W120" s="71">
        <f>I319</f>
        <v>90.933538225124849</v>
      </c>
      <c r="X120" s="71">
        <f>I320</f>
        <v>83.333333333333343</v>
      </c>
      <c r="AD120" s="51"/>
      <c r="AE120" s="51"/>
      <c r="AH120" s="78"/>
      <c r="AI120" s="78"/>
      <c r="AJ120" s="141"/>
      <c r="AK120" s="129" t="s">
        <v>394</v>
      </c>
      <c r="AL120" s="125">
        <f>_xlfn.STDEV.S(AR195:AR214)/SQRT($AK$108)</f>
        <v>5.0196240685407663</v>
      </c>
      <c r="AM120" s="125">
        <f>_xlfn.STDEV.S(AS195:AS214)/SQRT($AK$108)</f>
        <v>48.504249924891269</v>
      </c>
      <c r="AN120" s="125">
        <f>_xlfn.STDEV.S(AT195:AT214)/SQRT($AK$108)</f>
        <v>85.010288554649634</v>
      </c>
      <c r="AO120" s="125">
        <f>_xlfn.STDEV.S(AU195:AU214)/SQRT($AK$108)</f>
        <v>47.774415302682165</v>
      </c>
      <c r="AP120" s="125">
        <f>_xlfn.STDEV.S(AV195:AV214)/SQRT($AK$108)</f>
        <v>65.725971612905951</v>
      </c>
      <c r="AQ120" s="107"/>
      <c r="AR120" s="107"/>
      <c r="AS120" s="107"/>
      <c r="BF120" s="51">
        <v>0.94296810389171559</v>
      </c>
      <c r="BG120" s="1">
        <v>57</v>
      </c>
      <c r="BH120">
        <f t="shared" si="14"/>
        <v>0.163246710840321</v>
      </c>
      <c r="BI120">
        <f t="shared" si="15"/>
        <v>1.6369664996392547E-2</v>
      </c>
      <c r="BJ120">
        <f t="shared" si="12"/>
        <v>1.5436071962990868E-2</v>
      </c>
    </row>
    <row r="121" spans="1:62" x14ac:dyDescent="0.3">
      <c r="B121" s="16" t="s">
        <v>39</v>
      </c>
      <c r="C121" s="18">
        <f>SQRT((C124+C125)/(C118*C118))</f>
        <v>0</v>
      </c>
      <c r="D121" s="18">
        <f>SQRT((D124+D125)/(D118*D118))</f>
        <v>1.0654336272893425</v>
      </c>
      <c r="E121" s="18">
        <f>SQRT((E124+E125)/(E118*E118))</f>
        <v>0.12643770241061175</v>
      </c>
      <c r="F121" s="18">
        <f>SQRT((F124+F125)/(F118*F118))</f>
        <v>0.80163357960542014</v>
      </c>
      <c r="G121" s="18">
        <f>SQRT((G124+G125)/(G118*G118))</f>
        <v>2.6425733636201776</v>
      </c>
      <c r="H121" s="1"/>
      <c r="I121" s="14"/>
      <c r="S121" s="75" t="s">
        <v>39</v>
      </c>
      <c r="T121" s="76">
        <f>J316</f>
        <v>0</v>
      </c>
      <c r="U121" s="76">
        <f>J317</f>
        <v>0.41655456661415408</v>
      </c>
      <c r="V121" s="76">
        <f>J318</f>
        <v>0.20219704180538711</v>
      </c>
      <c r="W121" s="76">
        <f>J319</f>
        <v>0.56289490309825185</v>
      </c>
      <c r="X121" s="76">
        <f>J320</f>
        <v>1.2034400157986833</v>
      </c>
      <c r="AD121" s="51"/>
      <c r="AE121" s="51"/>
      <c r="AJ121" s="119" t="s">
        <v>400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  <c r="BF121" s="51">
        <v>0.94298869188002898</v>
      </c>
      <c r="BG121" s="1">
        <v>58</v>
      </c>
      <c r="BH121">
        <f t="shared" si="14"/>
        <v>0.18864116776152437</v>
      </c>
      <c r="BI121">
        <f t="shared" si="15"/>
        <v>1.891610988600527E-2</v>
      </c>
      <c r="BJ121">
        <f t="shared" si="12"/>
        <v>1.7837677716862992E-2</v>
      </c>
    </row>
    <row r="122" spans="1:62" x14ac:dyDescent="0.3">
      <c r="B122" s="1" t="s">
        <v>37</v>
      </c>
      <c r="C122" s="18">
        <f>100-C120</f>
        <v>0</v>
      </c>
      <c r="D122" s="18">
        <f>100-D120</f>
        <v>10.05771597560981</v>
      </c>
      <c r="E122" s="18">
        <f>100-E120</f>
        <v>0.88353594592872753</v>
      </c>
      <c r="F122" s="18">
        <f>100-F120</f>
        <v>9.9856871853578326</v>
      </c>
      <c r="G122" s="18">
        <f>100-G120</f>
        <v>21.344170874340776</v>
      </c>
      <c r="S122" s="66" t="s">
        <v>56</v>
      </c>
      <c r="T122" s="67">
        <f>N305*100</f>
        <v>100</v>
      </c>
      <c r="U122" s="67">
        <f>N306*100</f>
        <v>88.21989528795811</v>
      </c>
      <c r="V122" s="67">
        <f>N307*100</f>
        <v>98.023931623931631</v>
      </c>
      <c r="W122" s="67">
        <f>N308*100</f>
        <v>91.495941244684957</v>
      </c>
      <c r="X122" s="67">
        <f>N309*100</f>
        <v>78.469838155958797</v>
      </c>
      <c r="AD122" s="51"/>
      <c r="AE122" s="51"/>
      <c r="AH122" s="78"/>
      <c r="AI122" s="78"/>
      <c r="AJ122" s="115" t="s">
        <v>409</v>
      </c>
      <c r="AK122" s="122" t="s">
        <v>9</v>
      </c>
      <c r="AL122" s="136">
        <v>289.81</v>
      </c>
      <c r="AM122" s="136">
        <v>2354.4299999999998</v>
      </c>
      <c r="AN122" s="136">
        <v>16262.74</v>
      </c>
      <c r="AO122" s="136">
        <v>2055.6999999999998</v>
      </c>
      <c r="AP122" s="136">
        <v>1182.26</v>
      </c>
      <c r="AQ122" s="107"/>
      <c r="AR122" s="115" t="s">
        <v>36</v>
      </c>
      <c r="AS122" s="137">
        <f>SUM(AL122:AP122)</f>
        <v>22144.94</v>
      </c>
      <c r="AU122">
        <v>1</v>
      </c>
      <c r="AV122">
        <v>68</v>
      </c>
      <c r="BF122" s="51">
        <v>0.94302563620414703</v>
      </c>
      <c r="BG122" s="1">
        <v>59</v>
      </c>
      <c r="BH122">
        <f t="shared" si="14"/>
        <v>0.21415788100561858</v>
      </c>
      <c r="BI122">
        <f t="shared" si="15"/>
        <v>2.1474814104085391E-2</v>
      </c>
      <c r="BJ122">
        <f t="shared" si="12"/>
        <v>2.0251300232870917E-2</v>
      </c>
    </row>
    <row r="123" spans="1:62" ht="15.6" x14ac:dyDescent="0.35">
      <c r="B123" s="1" t="s">
        <v>25</v>
      </c>
      <c r="C123" s="1">
        <f>C107</f>
        <v>259</v>
      </c>
      <c r="D123" s="1">
        <f>D107</f>
        <v>424</v>
      </c>
      <c r="E123" s="1">
        <f>E107</f>
        <v>7197</v>
      </c>
      <c r="F123" s="1">
        <f>F107</f>
        <v>2583</v>
      </c>
      <c r="G123" s="1">
        <f>G107</f>
        <v>1097</v>
      </c>
      <c r="R123" s="16" t="s">
        <v>66</v>
      </c>
      <c r="S123" t="s">
        <v>9</v>
      </c>
      <c r="T123" s="30">
        <f>N316</f>
        <v>2336.2800000000002</v>
      </c>
      <c r="U123" s="30">
        <f>N317</f>
        <v>12209.34</v>
      </c>
      <c r="V123" s="30">
        <f>N318</f>
        <v>119291.69</v>
      </c>
      <c r="W123" s="30">
        <f>N319</f>
        <v>42964.46</v>
      </c>
      <c r="X123" s="30">
        <f>N320</f>
        <v>21578.65</v>
      </c>
      <c r="Z123" t="s">
        <v>36</v>
      </c>
      <c r="AA123" s="1">
        <f>N321</f>
        <v>198380.41999999998</v>
      </c>
      <c r="AD123" s="51"/>
      <c r="AE123" s="51"/>
      <c r="AJ123" s="107"/>
      <c r="AK123" s="107" t="s">
        <v>391</v>
      </c>
      <c r="AL123" s="108">
        <f>(AL122/$AS122)*100</f>
        <v>1.3086962529589152</v>
      </c>
      <c r="AM123" s="108">
        <f>(AM122/$AS122)*100</f>
        <v>10.631909591988057</v>
      </c>
      <c r="AN123" s="108">
        <f>(AN122/$AS122)*100</f>
        <v>73.437724374055662</v>
      </c>
      <c r="AO123" s="108">
        <f>(AO122/$AS122)*100</f>
        <v>9.2829332569878265</v>
      </c>
      <c r="AP123" s="108">
        <f>(AP122/$AS122)*100</f>
        <v>5.3387365240095486</v>
      </c>
      <c r="AQ123" s="107"/>
      <c r="AR123" s="107"/>
      <c r="AS123" s="107"/>
      <c r="AU123">
        <v>2</v>
      </c>
      <c r="AV123">
        <v>97</v>
      </c>
      <c r="BF123" s="51">
        <v>0.943033454117987</v>
      </c>
      <c r="BG123" s="1">
        <v>60</v>
      </c>
      <c r="BH123">
        <f t="shared" si="14"/>
        <v>0.23981482260806397</v>
      </c>
      <c r="BI123">
        <f t="shared" si="15"/>
        <v>2.4047579807615273E-2</v>
      </c>
      <c r="BJ123">
        <f t="shared" si="12"/>
        <v>2.2677672249153388E-2</v>
      </c>
    </row>
    <row r="124" spans="1:62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10.745354347674287</v>
      </c>
      <c r="E124" s="18">
        <f>(O115*O115*(100-E120)*(100-E120)*(I115)*(100-I115))/((L115-1)*100)</f>
        <v>1.2434615634763375</v>
      </c>
      <c r="F124" s="18">
        <f>(O116*O116*(100-F120)*(100-F120)*(I116)*(100-I116))/((L116-1)*100)</f>
        <v>144.36870564341575</v>
      </c>
      <c r="G124" s="18">
        <f>(O117*O117*(100-G120)*(100-G120)*(I117)*(100-I117))/((L117-1)*100)</f>
        <v>829.09204376432535</v>
      </c>
      <c r="R124" s="16" t="s">
        <v>323</v>
      </c>
      <c r="S124" t="s">
        <v>68</v>
      </c>
      <c r="T124" s="57">
        <f>$AA123*T116/100</f>
        <v>2336.2800000000002</v>
      </c>
      <c r="U124" s="57">
        <f>$AA123*U116/100</f>
        <v>13556.104105792818</v>
      </c>
      <c r="V124" s="57">
        <f>$AA123*V116/100</f>
        <v>116647.31305645651</v>
      </c>
      <c r="W124" s="57">
        <f>$AA123*W116/100</f>
        <v>43285.971966704317</v>
      </c>
      <c r="X124" s="57">
        <f>$AA123*X116/100</f>
        <v>22554.750871046352</v>
      </c>
      <c r="Z124" t="s">
        <v>36</v>
      </c>
      <c r="AA124" s="25">
        <f>SUM(T124:X124)</f>
        <v>198380.42</v>
      </c>
      <c r="AD124" s="51"/>
      <c r="AE124" s="51"/>
      <c r="AH124" s="78"/>
      <c r="AI124" s="78"/>
      <c r="AJ124" s="115" t="s">
        <v>410</v>
      </c>
      <c r="AK124" s="122" t="s">
        <v>9</v>
      </c>
      <c r="AL124" s="140">
        <f>AVERAGE(AR216:AR235)</f>
        <v>288.91899999999998</v>
      </c>
      <c r="AM124" s="140">
        <f>AVERAGE(AS216:AS235)</f>
        <v>2409.4080000000004</v>
      </c>
      <c r="AN124" s="136">
        <f>AVERAGE(AT216:AT235)</f>
        <v>16188.861500000003</v>
      </c>
      <c r="AO124" s="136">
        <f>AVERAGE(AU216:AU235)</f>
        <v>2052.3989999999999</v>
      </c>
      <c r="AP124" s="136">
        <f>AVERAGE(AV216:AV235)</f>
        <v>1205.3570000000002</v>
      </c>
      <c r="AQ124" s="107"/>
      <c r="AR124" s="115" t="s">
        <v>36</v>
      </c>
      <c r="AS124" s="137">
        <f>SUM(AL124:AP124)</f>
        <v>22144.944500000005</v>
      </c>
      <c r="AU124">
        <v>3</v>
      </c>
      <c r="AV124">
        <v>126</v>
      </c>
      <c r="BF124" s="51">
        <v>0.94309813342757065</v>
      </c>
      <c r="BG124" s="1">
        <v>61</v>
      </c>
      <c r="BH124">
        <f t="shared" si="14"/>
        <v>0.26563063350790211</v>
      </c>
      <c r="BI124">
        <f t="shared" si="15"/>
        <v>2.6636276228298016E-2</v>
      </c>
      <c r="BJ124">
        <f t="shared" si="12"/>
        <v>2.5120622392369032E-2</v>
      </c>
    </row>
    <row r="125" spans="1:62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45.680962868199217</v>
      </c>
      <c r="E125" s="18">
        <f>E120*E120*(SUM((H113*E113*(1-E102/H102))/(H102-1),(H114*E114*(1-E103/H103))/(H103-1), (H116*E116*(1-E105/H105))/(H105-1),(H117*E117*(1-E106/H106))/(H106-1)))</f>
        <v>52.698700898425649</v>
      </c>
      <c r="F125" s="18">
        <f>F120*F120*(SUM((H113*F113*(1-F102/H102))/(H102-1),(H114*F114*(1-F103/H103))/(H103-1), (H115*F115*(1-F104/H104))/(H104-1),(H117*F117*(1-F106/H106))/(H106-1)))</f>
        <v>166.86159278768858</v>
      </c>
      <c r="G125" s="18">
        <f>G120*G120*(SUM((H113*G113*(1-G102/H102))/(H102-1),(H114*G114*(1-G103/H103))/(H103-1), (H115*G115*(1-G104/H104))/(H104-1),(H116*G116*(1-G105/H105))/(H105-1)))</f>
        <v>120.06536154166253</v>
      </c>
      <c r="R125" s="66"/>
      <c r="S125" s="66" t="s">
        <v>67</v>
      </c>
      <c r="T125" s="67">
        <f>$AA123*T117/100</f>
        <v>0</v>
      </c>
      <c r="U125" s="67">
        <f>$AA123*U117/100</f>
        <v>158.68738474143993</v>
      </c>
      <c r="V125" s="67">
        <f>$AA123*V117/100</f>
        <v>281.03163580993396</v>
      </c>
      <c r="W125" s="67">
        <f>$AA123*W117/100</f>
        <v>368.74463217888746</v>
      </c>
      <c r="X125" s="67">
        <f>$AA123*X117/100</f>
        <v>371.6475996135336</v>
      </c>
      <c r="AA125" s="1"/>
      <c r="AD125" s="51"/>
      <c r="AE125" s="51"/>
      <c r="AJ125" s="107"/>
      <c r="AK125" s="129" t="s">
        <v>394</v>
      </c>
      <c r="AL125" s="125">
        <f>_xlfn.STDEV.S(AR216:AR235)/SQRT($AK$108)</f>
        <v>0.98656845469002963</v>
      </c>
      <c r="AM125" s="125">
        <f>_xlfn.STDEV.S(AS216:AS235)/SQRT($AK$108)</f>
        <v>18.643322165548199</v>
      </c>
      <c r="AN125" s="125">
        <f>_xlfn.STDEV.S(AT216:AT235)/SQRT($AK$108)</f>
        <v>20.081416078645542</v>
      </c>
      <c r="AO125" s="125">
        <f>_xlfn.STDEV.S(AU216:AU235)/SQRT($AK$108)</f>
        <v>5.7374672066486232</v>
      </c>
      <c r="AP125" s="125">
        <f>_xlfn.STDEV.S(AV216:AV235)/SQRT($AK$108)</f>
        <v>7.2552982128851671</v>
      </c>
      <c r="AQ125" s="107"/>
      <c r="AR125" s="107"/>
      <c r="AS125" s="107"/>
      <c r="AU125">
        <v>4</v>
      </c>
      <c r="AV125">
        <v>155</v>
      </c>
      <c r="BF125" s="51">
        <v>0.94311968432933302</v>
      </c>
      <c r="BG125" s="1">
        <v>62</v>
      </c>
      <c r="BH125">
        <f t="shared" si="14"/>
        <v>0.29162472875305195</v>
      </c>
      <c r="BI125">
        <f t="shared" si="15"/>
        <v>2.9242850222083644E-2</v>
      </c>
      <c r="BJ125">
        <f t="shared" si="12"/>
        <v>2.7579507670341494E-2</v>
      </c>
    </row>
    <row r="126" spans="1:62" x14ac:dyDescent="0.3">
      <c r="A126" s="105" t="s">
        <v>390</v>
      </c>
      <c r="B126" s="69" t="s">
        <v>9</v>
      </c>
      <c r="C126" s="1">
        <v>294.31</v>
      </c>
      <c r="D126" s="1">
        <v>2647.29</v>
      </c>
      <c r="E126" s="1">
        <v>15963.67</v>
      </c>
      <c r="F126">
        <v>2020.5</v>
      </c>
      <c r="G126">
        <v>1219.17</v>
      </c>
      <c r="I126" t="s">
        <v>36</v>
      </c>
      <c r="J126" s="57">
        <f>SUM(C126:G126)</f>
        <v>22144.940000000002</v>
      </c>
      <c r="R126" t="s">
        <v>104</v>
      </c>
      <c r="S126" t="s">
        <v>28</v>
      </c>
      <c r="T126" s="57">
        <f>C350</f>
        <v>1.17544866575038</v>
      </c>
      <c r="U126" s="57">
        <f t="shared" ref="U126:X129" si="28">D350</f>
        <v>6.7058096082658833</v>
      </c>
      <c r="V126" s="57">
        <f t="shared" si="28"/>
        <v>58.650737057861932</v>
      </c>
      <c r="W126" s="57">
        <f t="shared" si="28"/>
        <v>21.828647732390312</v>
      </c>
      <c r="X126" s="57">
        <f t="shared" si="28"/>
        <v>11.639356935731488</v>
      </c>
      <c r="Y126" s="13"/>
      <c r="Z126" s="74"/>
      <c r="AA126" s="12"/>
      <c r="AD126" s="51"/>
      <c r="AE126" s="51"/>
      <c r="AH126" s="78"/>
      <c r="AI126" s="78"/>
      <c r="AJ126" s="119" t="s">
        <v>425</v>
      </c>
      <c r="AK126" s="107"/>
      <c r="AL126" s="116"/>
      <c r="AM126" s="116"/>
      <c r="AN126" s="116"/>
      <c r="AO126" s="116"/>
      <c r="AP126" s="116"/>
      <c r="AQ126" s="107"/>
      <c r="AR126" s="107"/>
      <c r="AS126" s="107"/>
      <c r="AU126">
        <v>5</v>
      </c>
      <c r="AV126">
        <v>184</v>
      </c>
      <c r="BF126" s="51">
        <v>0.94313762352116315</v>
      </c>
      <c r="BG126" s="1">
        <v>63</v>
      </c>
      <c r="BH126">
        <f t="shared" si="14"/>
        <v>0.31781741294915428</v>
      </c>
      <c r="BI126">
        <f t="shared" si="15"/>
        <v>3.186933784587348E-2</v>
      </c>
      <c r="BJ126">
        <f t="shared" si="12"/>
        <v>3.0057171559150178E-2</v>
      </c>
    </row>
    <row r="127" spans="1:62" x14ac:dyDescent="0.3">
      <c r="B127" t="s">
        <v>391</v>
      </c>
      <c r="C127" s="57">
        <f>(C126/$J126)*100</f>
        <v>1.3290169221501615</v>
      </c>
      <c r="D127" s="57">
        <f>(D126/$J126)*100</f>
        <v>11.95437874295437</v>
      </c>
      <c r="E127" s="57">
        <f>(E126/$J126)*100</f>
        <v>72.087212699605402</v>
      </c>
      <c r="F127" s="57">
        <f>(F126/$J126)*100</f>
        <v>9.1239804668696323</v>
      </c>
      <c r="G127" s="57">
        <f>(G126/$J126)*100</f>
        <v>5.5054111684204159</v>
      </c>
      <c r="S127" s="66" t="s">
        <v>39</v>
      </c>
      <c r="T127" s="67">
        <f>C351</f>
        <v>0</v>
      </c>
      <c r="U127" s="67">
        <f t="shared" si="28"/>
        <v>7.6067757694956953E-2</v>
      </c>
      <c r="V127" s="67">
        <f t="shared" si="28"/>
        <v>0.14447059895703054</v>
      </c>
      <c r="W127" s="67">
        <f t="shared" si="28"/>
        <v>0.18387590230767281</v>
      </c>
      <c r="X127" s="67">
        <f t="shared" si="28"/>
        <v>0.19027423358979489</v>
      </c>
      <c r="AD127" s="51"/>
      <c r="AE127" s="51"/>
      <c r="AJ127" s="115" t="s">
        <v>409</v>
      </c>
      <c r="AK127" s="122" t="s">
        <v>9</v>
      </c>
      <c r="AL127" s="136">
        <v>31.34</v>
      </c>
      <c r="AM127" s="140">
        <v>90.99</v>
      </c>
      <c r="AN127" s="136">
        <v>16323.8</v>
      </c>
      <c r="AO127" s="136">
        <v>15088.63</v>
      </c>
      <c r="AP127" s="136">
        <v>11691.88</v>
      </c>
      <c r="AQ127" s="107"/>
      <c r="AR127" s="115" t="s">
        <v>36</v>
      </c>
      <c r="AS127" s="137">
        <f>SUM(AL127:AP127)</f>
        <v>43226.64</v>
      </c>
      <c r="AU127">
        <v>6</v>
      </c>
      <c r="AV127">
        <v>213</v>
      </c>
      <c r="BF127" s="51">
        <v>0.94315868967955696</v>
      </c>
      <c r="BG127" s="1">
        <v>64</v>
      </c>
      <c r="BH127">
        <f t="shared" si="14"/>
        <v>0.34423000787040914</v>
      </c>
      <c r="BI127">
        <f t="shared" si="15"/>
        <v>3.4517877153775842E-2</v>
      </c>
      <c r="BJ127">
        <f t="shared" si="12"/>
        <v>3.255583578687514E-2</v>
      </c>
    </row>
    <row r="128" spans="1:62" x14ac:dyDescent="0.3">
      <c r="A128" s="361" t="s">
        <v>397</v>
      </c>
      <c r="B128" s="361"/>
      <c r="C128" s="361"/>
      <c r="D128" s="361"/>
      <c r="E128" s="361"/>
      <c r="F128" s="361"/>
      <c r="G128" s="361"/>
      <c r="H128" s="361"/>
      <c r="I128" s="361"/>
      <c r="J128" s="361"/>
      <c r="K128" s="361"/>
      <c r="L128" s="361" t="s">
        <v>64</v>
      </c>
      <c r="M128" s="361"/>
      <c r="N128" s="361"/>
      <c r="O128" s="361"/>
      <c r="P128" s="361"/>
      <c r="S128" t="s">
        <v>30</v>
      </c>
      <c r="T128" s="57">
        <f>C352</f>
        <v>100</v>
      </c>
      <c r="U128" s="57">
        <f t="shared" si="28"/>
        <v>90.444055864142669</v>
      </c>
      <c r="V128" s="57">
        <f t="shared" si="28"/>
        <v>99.02327319362341</v>
      </c>
      <c r="W128" s="57">
        <f t="shared" si="28"/>
        <v>90.498819409816448</v>
      </c>
      <c r="X128" s="57">
        <f t="shared" si="28"/>
        <v>79.550099484876966</v>
      </c>
      <c r="AD128" s="51"/>
      <c r="AE128" s="51"/>
      <c r="AH128" s="78"/>
      <c r="AI128" s="78"/>
      <c r="AJ128" s="107"/>
      <c r="AK128" s="107" t="s">
        <v>391</v>
      </c>
      <c r="AL128" s="108">
        <f>(AL127/$AS127)*100</f>
        <v>7.250158698432263E-2</v>
      </c>
      <c r="AM128" s="108">
        <f>(AM127/$AS127)*100</f>
        <v>0.21049519462997818</v>
      </c>
      <c r="AN128" s="108">
        <f>(AN127/$AS127)*100</f>
        <v>37.763286713933816</v>
      </c>
      <c r="AO128" s="108">
        <f>(AO127/$AS127)*100</f>
        <v>34.905858979555198</v>
      </c>
      <c r="AP128" s="108">
        <f>(AP127/$AS127)*100</f>
        <v>27.047857524896685</v>
      </c>
      <c r="AQ128" s="107"/>
      <c r="AR128" s="107"/>
      <c r="AS128" s="107"/>
      <c r="AU128">
        <v>7</v>
      </c>
      <c r="AV128">
        <v>242</v>
      </c>
      <c r="BF128" s="51">
        <v>0.94319767920882935</v>
      </c>
      <c r="BG128" s="1">
        <v>65</v>
      </c>
      <c r="BH128">
        <f t="shared" si="14"/>
        <v>0.37088499448209117</v>
      </c>
      <c r="BI128">
        <f t="shared" si="15"/>
        <v>3.7190722438501737E-2</v>
      </c>
      <c r="BJ128">
        <f t="shared" si="12"/>
        <v>3.507820309209457E-2</v>
      </c>
    </row>
    <row r="129" spans="1:62" x14ac:dyDescent="0.3">
      <c r="A129" t="s">
        <v>320</v>
      </c>
      <c r="B129" t="s">
        <v>21</v>
      </c>
      <c r="I129" s="1" t="s">
        <v>58</v>
      </c>
      <c r="O129" s="360" t="s">
        <v>411</v>
      </c>
      <c r="P129" s="360"/>
      <c r="S129" s="66" t="s">
        <v>39</v>
      </c>
      <c r="T129" s="67">
        <f>C353</f>
        <v>0</v>
      </c>
      <c r="U129" s="67">
        <f t="shared" si="28"/>
        <v>1.0328253144335029</v>
      </c>
      <c r="V129" s="67">
        <f t="shared" si="28"/>
        <v>0.12866958894928257</v>
      </c>
      <c r="W129" s="67">
        <f t="shared" si="28"/>
        <v>0.77875812742184058</v>
      </c>
      <c r="X129" s="67">
        <f t="shared" si="28"/>
        <v>2.5112151732459282</v>
      </c>
      <c r="AD129" s="51"/>
      <c r="AE129" s="51"/>
      <c r="AJ129" s="115" t="s">
        <v>410</v>
      </c>
      <c r="AK129" s="122" t="s">
        <v>9</v>
      </c>
      <c r="AL129" s="136">
        <f>AVERAGE(AL195:AL214)</f>
        <v>32.717500000000001</v>
      </c>
      <c r="AM129" s="136">
        <f>AVERAGE(AM195:AM214)</f>
        <v>96.595500000000015</v>
      </c>
      <c r="AN129" s="136">
        <f>AVERAGE(AN195:AN214)</f>
        <v>16288.934999999998</v>
      </c>
      <c r="AO129" s="136">
        <f>AVERAGE(AO195:AO214)</f>
        <v>15071.924499999999</v>
      </c>
      <c r="AP129" s="136">
        <f>AVERAGE(AP195:AP214)</f>
        <v>11736.458500000001</v>
      </c>
      <c r="AQ129" s="107"/>
      <c r="AR129" s="115" t="s">
        <v>36</v>
      </c>
      <c r="AS129" s="137">
        <f>SUM(AL129:AP129)</f>
        <v>43226.630999999994</v>
      </c>
      <c r="AU129">
        <v>8</v>
      </c>
      <c r="AV129">
        <v>271</v>
      </c>
      <c r="BF129" s="51">
        <v>0.94332126186011422</v>
      </c>
      <c r="BG129" s="1">
        <v>66</v>
      </c>
      <c r="BH129">
        <f t="shared" si="14"/>
        <v>0.39780617203394558</v>
      </c>
      <c r="BI129">
        <f t="shared" si="15"/>
        <v>3.9890260184553598E-2</v>
      </c>
      <c r="BJ129">
        <f t="shared" ref="BJ129:BJ160" si="29">BI129*BF129</f>
        <v>3.7629330573221376E-2</v>
      </c>
    </row>
    <row r="130" spans="1:62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56</v>
      </c>
      <c r="O130" s="13" t="s">
        <v>412</v>
      </c>
      <c r="P130" s="13" t="s">
        <v>41</v>
      </c>
      <c r="S130" s="15" t="s">
        <v>31</v>
      </c>
      <c r="T130" s="71">
        <f>I345</f>
        <v>100</v>
      </c>
      <c r="U130" s="71">
        <f>I346</f>
        <v>99.410029498525063</v>
      </c>
      <c r="V130" s="71">
        <f>I347</f>
        <v>96.769833761319106</v>
      </c>
      <c r="W130" s="71">
        <f>I348</f>
        <v>91.356127545140225</v>
      </c>
      <c r="X130" s="71">
        <f>I349</f>
        <v>83.541666666666671</v>
      </c>
      <c r="AD130" s="51"/>
      <c r="AE130" s="51"/>
      <c r="AH130" s="78"/>
      <c r="AI130" s="78"/>
      <c r="AJ130" s="107"/>
      <c r="AK130" s="129" t="s">
        <v>394</v>
      </c>
      <c r="AL130" s="125">
        <f>_xlfn.STDEV.S(AL195:AL214)/SQRT($AK$108)</f>
        <v>2.1386196821166767</v>
      </c>
      <c r="AM130" s="125">
        <f>_xlfn.STDEV.S(AM195:AM214)/SQRT($AK$108)</f>
        <v>1.3248573855722219</v>
      </c>
      <c r="AN130" s="125">
        <f>_xlfn.STDEV.S(AN195:AN214)/SQRT($AK$108)</f>
        <v>17.0732866675277</v>
      </c>
      <c r="AO130" s="125">
        <f>_xlfn.STDEV.S(AO195:AO214)/SQRT($AK$108)</f>
        <v>21.794939254150393</v>
      </c>
      <c r="AP130" s="125">
        <f>_xlfn.STDEV.S(AP195:AP214)/SQRT($AK$108)</f>
        <v>22.419840617244201</v>
      </c>
      <c r="AQ130" s="107"/>
      <c r="AR130" s="107"/>
      <c r="AS130" s="107"/>
      <c r="AU130">
        <v>9</v>
      </c>
      <c r="AV130">
        <v>300</v>
      </c>
      <c r="BF130" s="51">
        <v>0.94335240645733398</v>
      </c>
      <c r="BG130" s="1">
        <v>67</v>
      </c>
      <c r="BH130">
        <f t="shared" si="14"/>
        <v>0.42501883739125573</v>
      </c>
      <c r="BI130">
        <f t="shared" si="15"/>
        <v>4.261902705075913E-2</v>
      </c>
      <c r="BJ130">
        <f t="shared" si="29"/>
        <v>4.0204761729203842E-2</v>
      </c>
    </row>
    <row r="131" spans="1:62" x14ac:dyDescent="0.3">
      <c r="A131" t="s">
        <v>3</v>
      </c>
      <c r="B131" s="13">
        <v>0</v>
      </c>
      <c r="C131" s="26">
        <v>259</v>
      </c>
      <c r="D131" s="3">
        <v>0</v>
      </c>
      <c r="E131" s="3">
        <v>0</v>
      </c>
      <c r="F131" s="3">
        <v>0</v>
      </c>
      <c r="G131" s="4">
        <v>0</v>
      </c>
      <c r="H131" s="1">
        <f>SUM(C131:G131)</f>
        <v>259</v>
      </c>
      <c r="I131" s="10">
        <f>C131/H131</f>
        <v>1</v>
      </c>
      <c r="J131" s="11">
        <f>1-I131</f>
        <v>0</v>
      </c>
      <c r="K131">
        <f>H131-C136</f>
        <v>0</v>
      </c>
      <c r="N131" s="10">
        <f>2*(C137*I131)/(C137+I131)</f>
        <v>1</v>
      </c>
      <c r="O131" s="1"/>
      <c r="P131" s="1"/>
      <c r="S131" s="75" t="s">
        <v>39</v>
      </c>
      <c r="T131" s="76">
        <f>J345</f>
        <v>0</v>
      </c>
      <c r="U131" s="76">
        <f>J346</f>
        <v>0.41655456661415902</v>
      </c>
      <c r="V131" s="76">
        <f>J347</f>
        <v>0.20555368686988729</v>
      </c>
      <c r="W131" s="76">
        <f>J348</f>
        <v>0.55089568409461287</v>
      </c>
      <c r="X131" s="76">
        <f>J349</f>
        <v>1.1973887984018774</v>
      </c>
      <c r="AD131" s="51"/>
      <c r="AE131" s="51"/>
      <c r="AJ131" s="119" t="s">
        <v>426</v>
      </c>
      <c r="AK131" s="107"/>
      <c r="AL131" s="116"/>
      <c r="AM131" s="116"/>
      <c r="AN131" s="116"/>
      <c r="AO131" s="116"/>
      <c r="AP131" s="116"/>
      <c r="AQ131" s="107"/>
      <c r="AR131" s="107"/>
      <c r="AS131" s="107"/>
      <c r="AU131">
        <v>10</v>
      </c>
      <c r="AV131">
        <v>329</v>
      </c>
      <c r="BF131" s="51">
        <v>0.94338038950082603</v>
      </c>
      <c r="BG131" s="1">
        <v>68</v>
      </c>
      <c r="BH131">
        <f t="shared" ref="BH131:BH160" si="30">_xlfn.NORM.S.INV((BG131-0.375)/($BI$61+0.25))</f>
        <v>0.4525499884018015</v>
      </c>
      <c r="BI131">
        <f t="shared" ref="BI131:BI160" si="31">BH131/SQRT($BL$65)</f>
        <v>4.5379730263018975E-2</v>
      </c>
      <c r="BJ131">
        <f t="shared" si="29"/>
        <v>4.281034761096926E-2</v>
      </c>
    </row>
    <row r="132" spans="1:62" x14ac:dyDescent="0.3">
      <c r="A132" t="s">
        <v>4</v>
      </c>
      <c r="B132" s="13">
        <v>1</v>
      </c>
      <c r="C132" s="5">
        <v>0</v>
      </c>
      <c r="D132" s="27">
        <v>338</v>
      </c>
      <c r="E132" s="1">
        <v>1</v>
      </c>
      <c r="F132" s="1">
        <v>0</v>
      </c>
      <c r="G132" s="6">
        <v>0</v>
      </c>
      <c r="H132" s="1">
        <f>SUM(C132:G132)</f>
        <v>339</v>
      </c>
      <c r="I132" s="10">
        <f>D132/H132</f>
        <v>0.99705014749262533</v>
      </c>
      <c r="J132" s="11">
        <f>1-I132</f>
        <v>2.9498525073746729E-3</v>
      </c>
      <c r="K132">
        <f>H132-D136</f>
        <v>-73</v>
      </c>
      <c r="N132" s="10">
        <f>2*(D137*I132)/(D137+I132)</f>
        <v>0.90013315579227693</v>
      </c>
      <c r="O132" s="1"/>
      <c r="P132" s="1"/>
      <c r="S132" s="66" t="s">
        <v>56</v>
      </c>
      <c r="T132" s="67">
        <f>N334*100</f>
        <v>100</v>
      </c>
      <c r="U132" s="67">
        <f>N335*100</f>
        <v>89.271523178807939</v>
      </c>
      <c r="V132" s="67">
        <f>N336*100</f>
        <v>97.95471646487448</v>
      </c>
      <c r="W132" s="67">
        <f>N337*100</f>
        <v>91.867877148927946</v>
      </c>
      <c r="X132" s="67">
        <f>N338*100</f>
        <v>78.205753291077514</v>
      </c>
      <c r="AD132" s="51"/>
      <c r="AE132" s="51"/>
      <c r="AH132" s="78"/>
      <c r="AI132" s="78"/>
      <c r="AJ132" s="115" t="s">
        <v>409</v>
      </c>
      <c r="AK132" s="122" t="s">
        <v>9</v>
      </c>
      <c r="AL132" s="136">
        <v>0</v>
      </c>
      <c r="AM132" s="136">
        <v>2.08</v>
      </c>
      <c r="AN132" s="136">
        <v>1351.07</v>
      </c>
      <c r="AO132" s="136">
        <v>438.75</v>
      </c>
      <c r="AP132" s="136">
        <v>61.32</v>
      </c>
      <c r="AQ132" s="107"/>
      <c r="AR132" s="115" t="s">
        <v>36</v>
      </c>
      <c r="AS132" s="137">
        <f>SUM(AL132:AP132)</f>
        <v>1853.2199999999998</v>
      </c>
      <c r="AU132">
        <v>11</v>
      </c>
      <c r="AV132">
        <v>358</v>
      </c>
      <c r="BF132" s="51">
        <v>0.943382230080968</v>
      </c>
      <c r="BG132" s="1">
        <v>69</v>
      </c>
      <c r="BH132">
        <f t="shared" si="30"/>
        <v>0.48042855588587835</v>
      </c>
      <c r="BI132">
        <f t="shared" si="31"/>
        <v>4.8175270877249481E-2</v>
      </c>
      <c r="BJ132">
        <f t="shared" si="29"/>
        <v>4.5447694474934325E-2</v>
      </c>
    </row>
    <row r="133" spans="1:62" x14ac:dyDescent="0.3">
      <c r="A133" t="s">
        <v>5</v>
      </c>
      <c r="B133" s="13">
        <v>2</v>
      </c>
      <c r="C133" s="5">
        <v>0</v>
      </c>
      <c r="D133" s="1">
        <v>74</v>
      </c>
      <c r="E133" s="27">
        <v>7180</v>
      </c>
      <c r="F133" s="1">
        <v>55</v>
      </c>
      <c r="G133" s="6">
        <v>90</v>
      </c>
      <c r="H133" s="1">
        <f>SUM(C133:G133)</f>
        <v>7399</v>
      </c>
      <c r="I133" s="10">
        <f>E133/H133</f>
        <v>0.97040140559535071</v>
      </c>
      <c r="J133" s="11">
        <f>1-I133</f>
        <v>2.9598594404649292E-2</v>
      </c>
      <c r="K133">
        <f>H133-E136</f>
        <v>161</v>
      </c>
      <c r="N133" s="10">
        <f>2*(E137*I133)/(E137+I133)</f>
        <v>0.98107535697205706</v>
      </c>
      <c r="O133" s="1"/>
      <c r="P133" s="1"/>
      <c r="R133" s="16" t="s">
        <v>66</v>
      </c>
      <c r="S133" t="s">
        <v>9</v>
      </c>
      <c r="T133" s="30">
        <f>N345</f>
        <v>2331.86</v>
      </c>
      <c r="U133" s="30">
        <f>N346</f>
        <v>12103.19</v>
      </c>
      <c r="V133" s="30">
        <f>N347</f>
        <v>119061.01</v>
      </c>
      <c r="W133" s="30">
        <f>N348</f>
        <v>42897.39</v>
      </c>
      <c r="X133" s="30">
        <f>N349</f>
        <v>21986.97</v>
      </c>
      <c r="Z133" t="s">
        <v>36</v>
      </c>
      <c r="AA133" s="1">
        <f>N350</f>
        <v>198380.42</v>
      </c>
      <c r="AD133" s="51"/>
      <c r="AE133" s="51"/>
      <c r="AJ133" s="107"/>
      <c r="AK133" s="107" t="s">
        <v>391</v>
      </c>
      <c r="AL133" s="108">
        <f>(AL132/$AS132)*100</f>
        <v>0</v>
      </c>
      <c r="AM133" s="108">
        <f>(AM132/$AS132)*100</f>
        <v>0.11223707924585319</v>
      </c>
      <c r="AN133" s="108">
        <f>(AN132/$AS132)*100</f>
        <v>72.903918584949452</v>
      </c>
      <c r="AO133" s="108">
        <f>(AO132/$AS132)*100</f>
        <v>23.675008903422153</v>
      </c>
      <c r="AP133" s="108">
        <f>(AP132/$AS132)*100</f>
        <v>3.3088354323825566</v>
      </c>
      <c r="AQ133" s="107"/>
      <c r="AR133" s="107"/>
      <c r="AS133" s="107"/>
      <c r="AU133">
        <v>12</v>
      </c>
      <c r="AV133">
        <v>387</v>
      </c>
      <c r="BF133" s="51">
        <v>0.94346692237830299</v>
      </c>
      <c r="BG133" s="1">
        <v>70</v>
      </c>
      <c r="BH133">
        <f t="shared" si="30"/>
        <v>0.50868566982760044</v>
      </c>
      <c r="BI133">
        <f t="shared" si="31"/>
        <v>5.1008770471880419E-2</v>
      </c>
      <c r="BJ133">
        <f t="shared" si="29"/>
        <v>4.8125087691406276E-2</v>
      </c>
    </row>
    <row r="134" spans="1:62" ht="15.6" x14ac:dyDescent="0.35">
      <c r="A134" t="s">
        <v>6</v>
      </c>
      <c r="B134" s="13">
        <v>3</v>
      </c>
      <c r="C134" s="5">
        <v>0</v>
      </c>
      <c r="D134" s="1">
        <v>0</v>
      </c>
      <c r="E134" s="1">
        <v>45</v>
      </c>
      <c r="F134" s="27">
        <v>2363</v>
      </c>
      <c r="G134" s="6">
        <v>195</v>
      </c>
      <c r="H134" s="1">
        <f>SUM(C134:G134)</f>
        <v>2603</v>
      </c>
      <c r="I134" s="10">
        <f>F134/H134</f>
        <v>0.90779869381482903</v>
      </c>
      <c r="J134" s="11">
        <f>1-I134</f>
        <v>9.2201306185170973E-2</v>
      </c>
      <c r="K134">
        <f>H134-F136</f>
        <v>45</v>
      </c>
      <c r="N134" s="10">
        <f>2*(F137*I134)/(F137+I134)</f>
        <v>0.91571400891300136</v>
      </c>
      <c r="O134" s="1"/>
      <c r="P134" s="1"/>
      <c r="R134" s="16" t="s">
        <v>323</v>
      </c>
      <c r="S134" t="s">
        <v>68</v>
      </c>
      <c r="T134" s="57">
        <f>$AA133*T126/100</f>
        <v>2331.86</v>
      </c>
      <c r="U134" s="57">
        <f>$AA133*U126/100</f>
        <v>13303.013265278216</v>
      </c>
      <c r="V134" s="57">
        <f>$AA133*V126/100</f>
        <v>116351.57850848214</v>
      </c>
      <c r="W134" s="57">
        <f>$AA133*W126/100</f>
        <v>43303.76305183638</v>
      </c>
      <c r="X134" s="57">
        <f>$AA133*X126/100</f>
        <v>23090.205174403254</v>
      </c>
      <c r="Z134" t="s">
        <v>36</v>
      </c>
      <c r="AA134" s="25">
        <f>SUM(T134:X134)</f>
        <v>198380.41999999998</v>
      </c>
      <c r="AD134" s="51"/>
      <c r="AE134" s="51"/>
      <c r="AH134" s="78"/>
      <c r="AI134" s="78"/>
      <c r="AJ134" s="115" t="s">
        <v>410</v>
      </c>
      <c r="AK134" s="122" t="s">
        <v>9</v>
      </c>
      <c r="AL134" s="136">
        <f>AVERAGE(AL216:AL235)</f>
        <v>0</v>
      </c>
      <c r="AM134" s="136">
        <f>AVERAGE(AM216:AM235)</f>
        <v>2.4165000000000001</v>
      </c>
      <c r="AN134" s="136">
        <f>AVERAGE(AN216:AN235)</f>
        <v>1347.154</v>
      </c>
      <c r="AO134" s="136">
        <f>AVERAGE(AO216:AO235)</f>
        <v>439.12699999999995</v>
      </c>
      <c r="AP134" s="136">
        <f>AVERAGE(AP216:AP235)</f>
        <v>64.524000000000001</v>
      </c>
      <c r="AQ134" s="107"/>
      <c r="AR134" s="115" t="s">
        <v>36</v>
      </c>
      <c r="AS134" s="137">
        <f>SUM(AL134:AP134)</f>
        <v>1853.2215000000001</v>
      </c>
      <c r="AU134">
        <v>13</v>
      </c>
      <c r="AV134">
        <v>416</v>
      </c>
      <c r="BF134" s="51">
        <v>0.94347494199455395</v>
      </c>
      <c r="BG134" s="1">
        <v>71</v>
      </c>
      <c r="BH134">
        <f t="shared" si="30"/>
        <v>0.53735496659792537</v>
      </c>
      <c r="BI134">
        <f t="shared" si="31"/>
        <v>5.3883601954834021E-2</v>
      </c>
      <c r="BJ134">
        <f t="shared" si="29"/>
        <v>5.0837828228794658E-2</v>
      </c>
    </row>
    <row r="135" spans="1:62" x14ac:dyDescent="0.3">
      <c r="A135" t="s">
        <v>7</v>
      </c>
      <c r="B135" s="13">
        <v>4</v>
      </c>
      <c r="C135" s="7">
        <v>0</v>
      </c>
      <c r="D135" s="8">
        <v>0</v>
      </c>
      <c r="E135" s="8">
        <v>12</v>
      </c>
      <c r="F135" s="8">
        <v>140</v>
      </c>
      <c r="G135" s="28">
        <v>808</v>
      </c>
      <c r="H135" s="1">
        <f>SUM(C135:G135)</f>
        <v>960</v>
      </c>
      <c r="I135" s="10">
        <f>G135/H135</f>
        <v>0.84166666666666667</v>
      </c>
      <c r="J135" s="11">
        <f>1-I135</f>
        <v>0.15833333333333333</v>
      </c>
      <c r="K135">
        <f>H135-G136</f>
        <v>-133</v>
      </c>
      <c r="N135" s="10">
        <f>2*(G137*I135)/(G137+I135)</f>
        <v>0.78714076960545531</v>
      </c>
      <c r="O135" s="1"/>
      <c r="P135" s="1"/>
      <c r="R135" s="66"/>
      <c r="S135" s="66" t="s">
        <v>67</v>
      </c>
      <c r="T135" s="67">
        <f>$AA133*T127/100</f>
        <v>0</v>
      </c>
      <c r="U135" s="67">
        <f>$AA133*U127/100</f>
        <v>150.90353719983793</v>
      </c>
      <c r="V135" s="67">
        <f>$AA133*V127/100</f>
        <v>286.60138098747285</v>
      </c>
      <c r="W135" s="67">
        <f>$AA133*W127/100</f>
        <v>364.77378727675102</v>
      </c>
      <c r="X135" s="67">
        <f>$AA133*X127/100</f>
        <v>377.46682374721621</v>
      </c>
      <c r="AA135" s="1"/>
      <c r="AD135" s="51"/>
      <c r="AE135" s="51"/>
      <c r="AJ135" s="141"/>
      <c r="AK135" s="129" t="s">
        <v>394</v>
      </c>
      <c r="AL135" s="125">
        <f>_xlfn.STDEV.S(AL216:AL235)/SQRT($AK$108)</f>
        <v>0</v>
      </c>
      <c r="AM135" s="125">
        <f>_xlfn.STDEV.S(AM216:AM235)/SQRT($AK$108)</f>
        <v>9.4491088413001162E-2</v>
      </c>
      <c r="AN135" s="125">
        <f>_xlfn.STDEV.S(AN216:AN235)/SQRT($AK$108)</f>
        <v>1.1122469907448884</v>
      </c>
      <c r="AO135" s="125">
        <f>_xlfn.STDEV.S(AO216:AO235)/SQRT($AK$108)</f>
        <v>0.93749136136370881</v>
      </c>
      <c r="AP135" s="125">
        <f>_xlfn.STDEV.S(AP216:AP235)/SQRT($AK$108)</f>
        <v>0.66632155979874408</v>
      </c>
      <c r="AQ135" s="107"/>
      <c r="AR135" s="107"/>
      <c r="AS135" s="107"/>
      <c r="AU135">
        <v>14</v>
      </c>
      <c r="AV135">
        <v>445</v>
      </c>
      <c r="BF135" s="51">
        <v>0.94347717806651588</v>
      </c>
      <c r="BG135" s="1">
        <v>72</v>
      </c>
      <c r="BH135">
        <f t="shared" si="30"/>
        <v>0.56647294563250516</v>
      </c>
      <c r="BI135">
        <f t="shared" si="31"/>
        <v>5.6803425329617283E-2</v>
      </c>
      <c r="BJ135">
        <f t="shared" si="29"/>
        <v>5.3592735434499363E-2</v>
      </c>
    </row>
    <row r="136" spans="1:62" ht="15.6" x14ac:dyDescent="0.35">
      <c r="B136" s="1" t="s">
        <v>19</v>
      </c>
      <c r="C136" s="1">
        <f>SUM(C131:C135)</f>
        <v>259</v>
      </c>
      <c r="D136" s="1">
        <f>SUM(D131:D135)</f>
        <v>412</v>
      </c>
      <c r="E136" s="1">
        <f>SUM(E131:E135)</f>
        <v>7238</v>
      </c>
      <c r="F136" s="1">
        <f>SUM(F131:F135)</f>
        <v>2558</v>
      </c>
      <c r="G136" s="1">
        <f>SUM(G131:G135)</f>
        <v>1093</v>
      </c>
      <c r="H136" s="1">
        <f>SUM(H130:H135)</f>
        <v>11560</v>
      </c>
      <c r="I136" s="13" t="s">
        <v>12</v>
      </c>
      <c r="N136" s="16" t="s">
        <v>36</v>
      </c>
      <c r="O136" s="1">
        <f>SUM(O131:O135)</f>
        <v>0</v>
      </c>
      <c r="P136" s="1">
        <f>SUM(P131:P135)</f>
        <v>0</v>
      </c>
      <c r="R136" t="s">
        <v>105</v>
      </c>
      <c r="S136" t="s">
        <v>28</v>
      </c>
      <c r="T136" s="57">
        <f>C379</f>
        <v>1.1540302213293026</v>
      </c>
      <c r="U136" s="57">
        <f t="shared" ref="U136:X139" si="32">D379</f>
        <v>6.5834525504433152</v>
      </c>
      <c r="V136" s="57">
        <f t="shared" si="32"/>
        <v>59.22068168913087</v>
      </c>
      <c r="W136" s="57">
        <f t="shared" si="32"/>
        <v>21.760680198271658</v>
      </c>
      <c r="X136" s="57">
        <f t="shared" si="32"/>
        <v>11.281155340824863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  <c r="BF136" s="51">
        <v>0.94350282143629005</v>
      </c>
      <c r="BG136" s="1">
        <v>73</v>
      </c>
      <c r="BH136">
        <f t="shared" si="30"/>
        <v>0.59607938602766308</v>
      </c>
      <c r="BI136">
        <f t="shared" si="31"/>
        <v>5.9772229469741457E-2</v>
      </c>
      <c r="BJ136">
        <f t="shared" si="29"/>
        <v>5.6395267148238427E-2</v>
      </c>
    </row>
    <row r="137" spans="1:62" x14ac:dyDescent="0.3">
      <c r="A137" s="1" t="s">
        <v>321</v>
      </c>
      <c r="B137" s="1" t="s">
        <v>2</v>
      </c>
      <c r="C137" s="10">
        <f>C131/C136</f>
        <v>1</v>
      </c>
      <c r="D137" s="10">
        <f>D132/D136</f>
        <v>0.82038834951456308</v>
      </c>
      <c r="E137" s="10">
        <f>E133/E136</f>
        <v>0.99198673666758774</v>
      </c>
      <c r="F137" s="10">
        <f>F134/F136</f>
        <v>0.92376856919468331</v>
      </c>
      <c r="G137" s="10">
        <f>G135/G136</f>
        <v>0.73924977127172919</v>
      </c>
      <c r="H137" s="10"/>
      <c r="I137" s="14">
        <f>(C131+D132+E133+F134+G135)/H136</f>
        <v>0.94705882352941173</v>
      </c>
      <c r="S137" s="66" t="s">
        <v>39</v>
      </c>
      <c r="T137" s="67">
        <f>C380</f>
        <v>0</v>
      </c>
      <c r="U137" s="67">
        <f t="shared" si="32"/>
        <v>7.8454246907828151E-2</v>
      </c>
      <c r="V137" s="67">
        <f t="shared" si="32"/>
        <v>0.14453867561343731</v>
      </c>
      <c r="W137" s="67">
        <f t="shared" si="32"/>
        <v>0.18187118228300397</v>
      </c>
      <c r="X137" s="67">
        <f t="shared" si="32"/>
        <v>0.18687562753062001</v>
      </c>
      <c r="AD137" s="51"/>
      <c r="AE137" s="51"/>
      <c r="AU137">
        <v>16</v>
      </c>
      <c r="AV137">
        <v>503</v>
      </c>
      <c r="BF137" s="51">
        <v>0.94353010170777518</v>
      </c>
      <c r="BG137" s="1">
        <v>74</v>
      </c>
      <c r="BH137">
        <f t="shared" si="30"/>
        <v>0.62621783615158144</v>
      </c>
      <c r="BI137">
        <f t="shared" si="31"/>
        <v>6.2794381214787046E-2</v>
      </c>
      <c r="BJ137">
        <f t="shared" si="29"/>
        <v>5.9248388894264828E-2</v>
      </c>
    </row>
    <row r="138" spans="1:62" x14ac:dyDescent="0.3">
      <c r="B138" s="1" t="s">
        <v>14</v>
      </c>
      <c r="C138" s="11">
        <f>1-C137</f>
        <v>0</v>
      </c>
      <c r="D138" s="11">
        <f>1-D137</f>
        <v>0.17961165048543692</v>
      </c>
      <c r="E138" s="11">
        <f>1-E137</f>
        <v>8.0132633324122571E-3</v>
      </c>
      <c r="F138" s="11">
        <f>1-F137</f>
        <v>7.6231430805316691E-2</v>
      </c>
      <c r="G138" s="11">
        <f>1-G137</f>
        <v>0.26075022872827081</v>
      </c>
      <c r="S138" t="s">
        <v>30</v>
      </c>
      <c r="T138" s="57">
        <f>C381</f>
        <v>100</v>
      </c>
      <c r="U138" s="57">
        <f t="shared" si="32"/>
        <v>89.57282834513461</v>
      </c>
      <c r="V138" s="57">
        <f t="shared" si="32"/>
        <v>98.943370435123498</v>
      </c>
      <c r="W138" s="57">
        <f t="shared" si="32"/>
        <v>90.839261132472586</v>
      </c>
      <c r="X138" s="57">
        <f t="shared" si="32"/>
        <v>79.448943122249531</v>
      </c>
      <c r="AA138" s="54"/>
      <c r="AD138" s="51"/>
      <c r="AE138" s="51"/>
      <c r="AH138" s="78"/>
      <c r="AI138" s="78"/>
      <c r="AU138">
        <v>17</v>
      </c>
      <c r="AV138">
        <v>532</v>
      </c>
      <c r="BF138" s="51">
        <v>0.94374019975008805</v>
      </c>
      <c r="BG138" s="1">
        <v>75</v>
      </c>
      <c r="BH138">
        <f t="shared" si="30"/>
        <v>0.65693619279658544</v>
      </c>
      <c r="BI138">
        <f t="shared" si="31"/>
        <v>6.5874683445257612E-2</v>
      </c>
      <c r="BJ138">
        <f t="shared" si="29"/>
        <v>6.2168586913101238E-2</v>
      </c>
    </row>
    <row r="139" spans="1:62" x14ac:dyDescent="0.3">
      <c r="C139" s="2"/>
      <c r="S139" s="66" t="s">
        <v>39</v>
      </c>
      <c r="T139" s="67">
        <f>C382</f>
        <v>0</v>
      </c>
      <c r="U139" s="67">
        <f t="shared" si="32"/>
        <v>1.0862857648997051</v>
      </c>
      <c r="V139" s="67">
        <f t="shared" si="32"/>
        <v>0.13203703607116551</v>
      </c>
      <c r="W139" s="67">
        <f t="shared" si="32"/>
        <v>0.76230899912743111</v>
      </c>
      <c r="X139" s="67">
        <f t="shared" si="32"/>
        <v>2.542060623420102</v>
      </c>
      <c r="AD139" s="51"/>
      <c r="AE139" s="51"/>
      <c r="AU139">
        <v>18</v>
      </c>
      <c r="AV139">
        <v>561</v>
      </c>
      <c r="BF139" s="51">
        <v>0.94374272708914086</v>
      </c>
      <c r="BG139" s="1">
        <v>76</v>
      </c>
      <c r="BH139">
        <f t="shared" si="30"/>
        <v>0.68828739090267188</v>
      </c>
      <c r="BI139">
        <f t="shared" si="31"/>
        <v>6.9018444245033631E-2</v>
      </c>
      <c r="BJ139">
        <f t="shared" si="29"/>
        <v>6.5135654791257852E-2</v>
      </c>
    </row>
    <row r="140" spans="1:62" ht="15.6" x14ac:dyDescent="0.35">
      <c r="A140" t="s">
        <v>322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100</v>
      </c>
      <c r="U140" s="57">
        <f>I375</f>
        <v>99.410029498525077</v>
      </c>
      <c r="V140" s="57">
        <f>I376</f>
        <v>96.904987160427098</v>
      </c>
      <c r="W140" s="57">
        <f>I377</f>
        <v>91.125624279677297</v>
      </c>
      <c r="X140" s="57">
        <f>I378</f>
        <v>83.333333333333329</v>
      </c>
      <c r="AD140" s="51"/>
      <c r="AE140" s="51"/>
      <c r="AH140" s="78"/>
      <c r="AI140" s="78"/>
      <c r="AU140">
        <v>19</v>
      </c>
      <c r="AV140">
        <v>590</v>
      </c>
      <c r="BF140" s="51">
        <v>0.94375967928161275</v>
      </c>
      <c r="BG140" s="1">
        <v>77</v>
      </c>
      <c r="BH140">
        <f t="shared" si="30"/>
        <v>0.72033023085752279</v>
      </c>
      <c r="BI140">
        <f t="shared" si="31"/>
        <v>7.2231559859393529E-2</v>
      </c>
      <c r="BJ140">
        <f t="shared" si="29"/>
        <v>6.8169233766911849E-2</v>
      </c>
    </row>
    <row r="141" spans="1:62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</v>
      </c>
      <c r="U141" s="67">
        <f>J375</f>
        <v>0.41655456661415408</v>
      </c>
      <c r="V141" s="67">
        <f>J376</f>
        <v>0.20134791102974822</v>
      </c>
      <c r="W141" s="67">
        <f>J377</f>
        <v>0.55748799293116635</v>
      </c>
      <c r="X141" s="67">
        <f>J378</f>
        <v>1.2034400157986838</v>
      </c>
      <c r="AD141" s="51"/>
      <c r="AE141" s="51"/>
      <c r="BF141" s="51">
        <v>0.94379219288247695</v>
      </c>
      <c r="BG141" s="1">
        <v>78</v>
      </c>
      <c r="BH141">
        <f t="shared" si="30"/>
        <v>0.75313037838845598</v>
      </c>
      <c r="BI141">
        <f t="shared" si="31"/>
        <v>7.5520614959798102E-2</v>
      </c>
      <c r="BJ141">
        <f t="shared" si="29"/>
        <v>7.1275766800741047E-2</v>
      </c>
    </row>
    <row r="142" spans="1:62" x14ac:dyDescent="0.3">
      <c r="A142" t="s">
        <v>3</v>
      </c>
      <c r="B142" s="13">
        <v>0</v>
      </c>
      <c r="C142" s="29">
        <f>(C131/$L142)*$O142</f>
        <v>1.1656038854235773</v>
      </c>
      <c r="D142" s="31">
        <f>(D131/$L142)*$O142</f>
        <v>0</v>
      </c>
      <c r="E142" s="31">
        <f>(E131/$L142)*$O142</f>
        <v>0</v>
      </c>
      <c r="F142" s="31">
        <f>(F131/$L142)*$O142</f>
        <v>0</v>
      </c>
      <c r="G142" s="32">
        <f>(G131/$L142)*$O142</f>
        <v>0</v>
      </c>
      <c r="H142" s="17">
        <f>SUM(C142:G142)</f>
        <v>1.1656038854235773</v>
      </c>
      <c r="I142" s="17">
        <f>C142/H142*100</f>
        <v>100</v>
      </c>
      <c r="J142" s="17">
        <f>SQRT(I142*(100-I142)/(L142-1))</f>
        <v>0</v>
      </c>
      <c r="K142" s="18">
        <f>100-I142</f>
        <v>0</v>
      </c>
      <c r="L142" s="1">
        <f>H131</f>
        <v>259</v>
      </c>
      <c r="M142">
        <v>0</v>
      </c>
      <c r="N142" s="1">
        <v>2312.33</v>
      </c>
      <c r="O142" s="17">
        <f>N142/N147*100</f>
        <v>1.1656038854235773</v>
      </c>
      <c r="P142" s="52">
        <f>((O142*O142*(I142/100)*(K142/100))/(L142-1))</f>
        <v>0</v>
      </c>
      <c r="S142" s="66" t="s">
        <v>56</v>
      </c>
      <c r="T142" s="67">
        <f>N363*100</f>
        <v>100</v>
      </c>
      <c r="U142" s="67">
        <f>N364*100</f>
        <v>88.68421052631578</v>
      </c>
      <c r="V142" s="67">
        <f>N365*100</f>
        <v>97.984284250085409</v>
      </c>
      <c r="W142" s="67">
        <f>N366*100</f>
        <v>91.813431391523125</v>
      </c>
      <c r="X142" s="67">
        <f>N367*100</f>
        <v>78.431372549019613</v>
      </c>
      <c r="AD142" s="51"/>
      <c r="AE142" s="51"/>
      <c r="AH142" s="78"/>
      <c r="AI142" s="78"/>
      <c r="BF142" s="51">
        <v>0.94381446800283741</v>
      </c>
      <c r="BG142" s="1">
        <v>79</v>
      </c>
      <c r="BH142">
        <f t="shared" si="30"/>
        <v>0.78676158292306597</v>
      </c>
      <c r="BI142">
        <f t="shared" si="31"/>
        <v>7.8893004815758033E-2</v>
      </c>
      <c r="BJ142">
        <f t="shared" si="29"/>
        <v>7.4460359369329959E-2</v>
      </c>
    </row>
    <row r="143" spans="1:62" x14ac:dyDescent="0.3">
      <c r="A143" t="s">
        <v>4</v>
      </c>
      <c r="B143" s="13">
        <v>1</v>
      </c>
      <c r="C143" s="33">
        <f t="shared" ref="C143:G146" si="33">(C132/$L143)*$O143</f>
        <v>0</v>
      </c>
      <c r="D143" s="34">
        <f t="shared" si="33"/>
        <v>6.1323728407179416</v>
      </c>
      <c r="E143" s="19">
        <f t="shared" si="33"/>
        <v>1.8143114913366693E-2</v>
      </c>
      <c r="F143" s="18">
        <f t="shared" si="33"/>
        <v>0</v>
      </c>
      <c r="G143" s="20">
        <f t="shared" si="33"/>
        <v>0</v>
      </c>
      <c r="H143" s="17">
        <f>SUM(C143:G143)</f>
        <v>6.1505159556313087</v>
      </c>
      <c r="I143" s="17">
        <f>D143/H143*100</f>
        <v>99.705014749262531</v>
      </c>
      <c r="J143" s="17">
        <f>SQRT(I143*(100-I143)/(L143-1))</f>
        <v>0.2949852507374659</v>
      </c>
      <c r="K143" s="18">
        <f>100-I143</f>
        <v>0.29498525073746862</v>
      </c>
      <c r="L143" s="1">
        <f>H132</f>
        <v>339</v>
      </c>
      <c r="M143">
        <v>1</v>
      </c>
      <c r="N143" s="1">
        <v>12201.42</v>
      </c>
      <c r="O143" s="17">
        <f>N143/N147*100</f>
        <v>6.1505159556313087</v>
      </c>
      <c r="P143" s="52">
        <f>((O143*O143*(I143/100)*(K143/100))/(L143-1))</f>
        <v>3.2917261875963497E-4</v>
      </c>
      <c r="R143" s="16" t="s">
        <v>66</v>
      </c>
      <c r="S143" t="s">
        <v>9</v>
      </c>
      <c r="T143" s="30">
        <f>N374</f>
        <v>2289.37</v>
      </c>
      <c r="U143" s="30">
        <f>N375</f>
        <v>11767.89</v>
      </c>
      <c r="V143" s="30">
        <f>N376</f>
        <v>119953.46</v>
      </c>
      <c r="W143" s="30">
        <f>N377</f>
        <v>43033.27</v>
      </c>
      <c r="X143" s="30">
        <f>N378</f>
        <v>21336.43</v>
      </c>
      <c r="Z143" t="s">
        <v>36</v>
      </c>
      <c r="AA143" s="1">
        <f>N379</f>
        <v>198380.41999999998</v>
      </c>
      <c r="AD143" s="51"/>
      <c r="AE143" s="51"/>
      <c r="BF143" s="51">
        <v>0.943891839856416</v>
      </c>
      <c r="BG143" s="1">
        <v>80</v>
      </c>
      <c r="BH143">
        <f t="shared" si="30"/>
        <v>0.82130717520561125</v>
      </c>
      <c r="BI143">
        <f t="shared" si="31"/>
        <v>8.2357085469244348E-2</v>
      </c>
      <c r="BJ143">
        <f t="shared" si="29"/>
        <v>7.7736180928777154E-2</v>
      </c>
    </row>
    <row r="144" spans="1:62" ht="15.6" x14ac:dyDescent="0.35">
      <c r="A144" t="s">
        <v>5</v>
      </c>
      <c r="B144" s="13">
        <v>2</v>
      </c>
      <c r="C144" s="33">
        <f t="shared" si="33"/>
        <v>0</v>
      </c>
      <c r="D144" s="19">
        <f t="shared" si="33"/>
        <v>0.60098887480811469</v>
      </c>
      <c r="E144" s="34">
        <f t="shared" si="33"/>
        <v>58.312163798949513</v>
      </c>
      <c r="F144" s="19">
        <f t="shared" si="33"/>
        <v>0.44668092046549068</v>
      </c>
      <c r="G144" s="20">
        <f t="shared" si="33"/>
        <v>0.73093241530716657</v>
      </c>
      <c r="H144" s="17">
        <f>SUM(C144:G144)</f>
        <v>60.090766009530284</v>
      </c>
      <c r="I144" s="17">
        <f>E144/H144*100</f>
        <v>97.040140559535075</v>
      </c>
      <c r="J144" s="17">
        <f>SQRT(I144*(100-I144)/(L144-1))</f>
        <v>0.19703985930670817</v>
      </c>
      <c r="K144" s="18">
        <f>100-I144</f>
        <v>2.9598594404649248</v>
      </c>
      <c r="L144" s="1">
        <f>H133</f>
        <v>7399</v>
      </c>
      <c r="M144">
        <v>2</v>
      </c>
      <c r="N144" s="1">
        <v>119208.32000000001</v>
      </c>
      <c r="O144" s="17">
        <f>N144/N147*100</f>
        <v>60.090766009530284</v>
      </c>
      <c r="P144" s="52">
        <f>((O144*O144*(I144/100)*(K144/100))/(L144-1))</f>
        <v>1.4019213765417622E-2</v>
      </c>
      <c r="R144" s="16" t="s">
        <v>323</v>
      </c>
      <c r="S144" t="s">
        <v>68</v>
      </c>
      <c r="T144" s="57">
        <f>$AA143*T136/100</f>
        <v>2289.37</v>
      </c>
      <c r="U144" s="57">
        <f>$AA143*U136/100</f>
        <v>13060.28082007016</v>
      </c>
      <c r="V144" s="57">
        <f>$AA143*V136/100</f>
        <v>117482.23706176091</v>
      </c>
      <c r="W144" s="57">
        <f>$AA143*W136/100</f>
        <v>43168.928772188148</v>
      </c>
      <c r="X144" s="57">
        <f>$AA143*X136/100</f>
        <v>22379.603345980795</v>
      </c>
      <c r="Z144" t="s">
        <v>36</v>
      </c>
      <c r="AA144" s="25">
        <f>SUM(T144:X144)</f>
        <v>198380.41999999998</v>
      </c>
      <c r="AD144" s="51"/>
      <c r="AE144" s="51"/>
      <c r="AH144" s="78"/>
      <c r="AI144" s="78"/>
      <c r="BF144" s="51">
        <v>0.94392767507581099</v>
      </c>
      <c r="BG144" s="1">
        <v>81</v>
      </c>
      <c r="BH144">
        <f t="shared" si="30"/>
        <v>0.8568619257010005</v>
      </c>
      <c r="BI144">
        <f t="shared" si="31"/>
        <v>8.5922360087298644E-2</v>
      </c>
      <c r="BJ144">
        <f t="shared" si="29"/>
        <v>8.110449359423047E-2</v>
      </c>
    </row>
    <row r="145" spans="1:62" x14ac:dyDescent="0.3">
      <c r="A145" t="s">
        <v>6</v>
      </c>
      <c r="B145" s="13">
        <v>3</v>
      </c>
      <c r="C145" s="33">
        <f t="shared" si="33"/>
        <v>0</v>
      </c>
      <c r="D145" s="19">
        <f t="shared" si="33"/>
        <v>0</v>
      </c>
      <c r="E145" s="19">
        <f t="shared" si="33"/>
        <v>0.37469611344473253</v>
      </c>
      <c r="F145" s="34">
        <f t="shared" si="33"/>
        <v>19.675709245997844</v>
      </c>
      <c r="G145" s="20">
        <f t="shared" si="33"/>
        <v>1.6236831582605076</v>
      </c>
      <c r="H145" s="17">
        <f>SUM(C145:G145)</f>
        <v>21.674088517703083</v>
      </c>
      <c r="I145" s="17">
        <f>F145/H145*100</f>
        <v>90.779869381482897</v>
      </c>
      <c r="J145" s="17">
        <f>SQRT(I145*(100-I145)/(L145-1))</f>
        <v>0.56716531989190211</v>
      </c>
      <c r="K145" s="18">
        <f>100-I145</f>
        <v>9.2201306185171035</v>
      </c>
      <c r="L145" s="1">
        <f>H134</f>
        <v>2603</v>
      </c>
      <c r="M145">
        <v>3</v>
      </c>
      <c r="N145" s="1">
        <v>42997.15</v>
      </c>
      <c r="O145" s="17">
        <f>N145/N147*100</f>
        <v>21.674088517703083</v>
      </c>
      <c r="P145" s="52">
        <f>((O145*O145*(I145/100)*(K145/100))/(L145-1))</f>
        <v>1.5111271911337916E-2</v>
      </c>
      <c r="R145" s="66"/>
      <c r="S145" s="66" t="s">
        <v>67</v>
      </c>
      <c r="T145" s="67">
        <f>$AA143*T137/100</f>
        <v>0</v>
      </c>
      <c r="U145" s="67">
        <f>$AA143*U137/100</f>
        <v>155.63786452358647</v>
      </c>
      <c r="V145" s="67">
        <f>$AA143*V137/100</f>
        <v>286.7364317443745</v>
      </c>
      <c r="W145" s="67">
        <f>$AA143*W137/100</f>
        <v>360.79681527198881</v>
      </c>
      <c r="X145" s="67">
        <f>$AA143*X137/100</f>
        <v>370.7246547728796</v>
      </c>
      <c r="AA145" s="1"/>
      <c r="AD145" s="51"/>
      <c r="AE145" s="51"/>
      <c r="BF145" s="51">
        <v>0.94396383070435097</v>
      </c>
      <c r="BG145" s="1">
        <v>82</v>
      </c>
      <c r="BH145">
        <f t="shared" si="30"/>
        <v>0.89353437460601337</v>
      </c>
      <c r="BI145">
        <f t="shared" si="31"/>
        <v>8.9599712605350768E-2</v>
      </c>
      <c r="BJ145">
        <f t="shared" si="29"/>
        <v>8.4578887940955833E-2</v>
      </c>
    </row>
    <row r="146" spans="1:62" x14ac:dyDescent="0.3">
      <c r="A146" t="s">
        <v>7</v>
      </c>
      <c r="B146" s="13">
        <v>4</v>
      </c>
      <c r="C146" s="35">
        <f t="shared" si="33"/>
        <v>0</v>
      </c>
      <c r="D146" s="36">
        <f t="shared" si="33"/>
        <v>0</v>
      </c>
      <c r="E146" s="21">
        <f t="shared" si="33"/>
        <v>0.13648782039639695</v>
      </c>
      <c r="F146" s="21">
        <f t="shared" si="33"/>
        <v>1.5923579046246312</v>
      </c>
      <c r="G146" s="37">
        <f t="shared" si="33"/>
        <v>9.1901799066907284</v>
      </c>
      <c r="H146" s="17">
        <f>SUM(C146:G146)</f>
        <v>10.919025631711756</v>
      </c>
      <c r="I146" s="17">
        <f>G146/H146*100</f>
        <v>84.166666666666671</v>
      </c>
      <c r="J146" s="17">
        <f>SQRT(I146*(100-I146)/(L146-1))</f>
        <v>1.1788184859530755</v>
      </c>
      <c r="K146" s="18">
        <f>100-I146</f>
        <v>15.833333333333329</v>
      </c>
      <c r="L146" s="1">
        <f>H135</f>
        <v>960</v>
      </c>
      <c r="M146">
        <v>4</v>
      </c>
      <c r="N146" s="1">
        <v>21661.21</v>
      </c>
      <c r="O146" s="17">
        <f>N146/N147*100</f>
        <v>10.919025631711756</v>
      </c>
      <c r="P146" s="52">
        <f>((O146*O146*(I146/100)*(K146/100))/(L146-1))</f>
        <v>1.6567678043645895E-2</v>
      </c>
      <c r="R146" t="s">
        <v>106</v>
      </c>
      <c r="S146" t="s">
        <v>28</v>
      </c>
      <c r="T146" s="57">
        <f>C408</f>
        <v>1.164283308014133</v>
      </c>
      <c r="U146" s="57">
        <f t="shared" ref="U146:X149" si="34">D408</f>
        <v>6.7911359401142075</v>
      </c>
      <c r="V146" s="57">
        <f t="shared" si="34"/>
        <v>59.094138838280458</v>
      </c>
      <c r="W146" s="57">
        <f t="shared" si="34"/>
        <v>21.871190232402824</v>
      </c>
      <c r="X146" s="57">
        <f t="shared" si="34"/>
        <v>11.079251681188371</v>
      </c>
      <c r="Y146" s="60"/>
      <c r="Z146" s="74"/>
      <c r="AA146" s="12"/>
      <c r="AD146" s="51"/>
      <c r="AE146" s="51"/>
      <c r="AH146" s="78"/>
      <c r="AI146" s="78"/>
      <c r="BF146" s="51">
        <v>0.94399324573729204</v>
      </c>
      <c r="BG146" s="1">
        <v>83</v>
      </c>
      <c r="BH146">
        <f t="shared" si="30"/>
        <v>0.93144978630264041</v>
      </c>
      <c r="BI146">
        <f t="shared" si="31"/>
        <v>9.3401703986856682E-2</v>
      </c>
      <c r="BJ146">
        <f t="shared" si="29"/>
        <v>8.8170577703946609E-2</v>
      </c>
    </row>
    <row r="147" spans="1:62" x14ac:dyDescent="0.3">
      <c r="B147" t="s">
        <v>28</v>
      </c>
      <c r="C147" s="17">
        <f t="shared" ref="C147:H147" si="35">SUM(C142:C146)</f>
        <v>1.1656038854235773</v>
      </c>
      <c r="D147" s="17">
        <f t="shared" si="35"/>
        <v>6.7333617155260566</v>
      </c>
      <c r="E147" s="17">
        <f t="shared" si="35"/>
        <v>58.841490847704009</v>
      </c>
      <c r="F147" s="17">
        <f t="shared" si="35"/>
        <v>21.714748071087964</v>
      </c>
      <c r="G147" s="17">
        <f t="shared" si="35"/>
        <v>11.544795480258403</v>
      </c>
      <c r="H147" s="18">
        <f t="shared" si="35"/>
        <v>100.00000000000001</v>
      </c>
      <c r="I147" s="13" t="s">
        <v>24</v>
      </c>
      <c r="J147" s="12" t="s">
        <v>29</v>
      </c>
      <c r="N147" s="1">
        <f>SUM(N142:N146)</f>
        <v>198380.43</v>
      </c>
      <c r="O147" s="17">
        <f>SUM(O142:O146)</f>
        <v>100.00000000000001</v>
      </c>
      <c r="S147" s="66" t="s">
        <v>39</v>
      </c>
      <c r="T147" s="67">
        <f>C409</f>
        <v>0</v>
      </c>
      <c r="U147" s="67">
        <f t="shared" si="34"/>
        <v>7.7705019354566668E-2</v>
      </c>
      <c r="V147" s="67">
        <f t="shared" si="34"/>
        <v>0.14681704127407477</v>
      </c>
      <c r="W147" s="67">
        <f t="shared" si="34"/>
        <v>0.17985787831642591</v>
      </c>
      <c r="X147" s="67">
        <f t="shared" si="34"/>
        <v>0.18543769444446032</v>
      </c>
      <c r="AD147" s="51"/>
      <c r="AE147" s="51"/>
      <c r="BF147" s="51">
        <v>0.94402494321795927</v>
      </c>
      <c r="BG147" s="1">
        <v>84</v>
      </c>
      <c r="BH147">
        <f t="shared" si="30"/>
        <v>0.97075394243172153</v>
      </c>
      <c r="BI147">
        <f t="shared" si="31"/>
        <v>9.7342952576105757E-2</v>
      </c>
      <c r="BJ147">
        <f t="shared" si="29"/>
        <v>9.1894175278326745E-2</v>
      </c>
    </row>
    <row r="148" spans="1:62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0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7.1835226453059564E-2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0.137639116974895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0.18486862266953749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0.18687262111830863</v>
      </c>
      <c r="H148" s="1"/>
      <c r="I148" s="56">
        <f>(C142+D143+E144+F145+G146)/H147</f>
        <v>0.94476029677779583</v>
      </c>
      <c r="J148" s="53">
        <f>SQRT(SUM(P142:P146))/100</f>
        <v>2.1453982459944602E-3</v>
      </c>
      <c r="M148" s="1"/>
      <c r="N148" s="9"/>
      <c r="S148" t="s">
        <v>30</v>
      </c>
      <c r="T148" s="57">
        <f>C410</f>
        <v>100</v>
      </c>
      <c r="U148" s="57">
        <f t="shared" si="34"/>
        <v>90.163413806375786</v>
      </c>
      <c r="V148" s="57">
        <f t="shared" si="34"/>
        <v>98.829624573755495</v>
      </c>
      <c r="W148" s="57">
        <f t="shared" si="34"/>
        <v>91.104349095138971</v>
      </c>
      <c r="X148" s="57">
        <f t="shared" si="34"/>
        <v>79.309956469125325</v>
      </c>
      <c r="AD148" s="51"/>
      <c r="AE148" s="51"/>
      <c r="AH148" s="78"/>
      <c r="AI148" s="78"/>
      <c r="BF148" s="51">
        <v>0.94411981082234298</v>
      </c>
      <c r="BG148" s="1">
        <v>85</v>
      </c>
      <c r="BH148">
        <f t="shared" si="30"/>
        <v>1.0116180790824523</v>
      </c>
      <c r="BI148">
        <f t="shared" si="31"/>
        <v>0.10144062917795522</v>
      </c>
      <c r="BJ148">
        <f t="shared" si="29"/>
        <v>9.5772107629190528E-2</v>
      </c>
    </row>
    <row r="149" spans="1:62" x14ac:dyDescent="0.3">
      <c r="B149" s="1" t="s">
        <v>30</v>
      </c>
      <c r="C149" s="17">
        <f>C142/C147*100</f>
        <v>100</v>
      </c>
      <c r="D149" s="17">
        <f>D143/D147*100</f>
        <v>91.074460274095614</v>
      </c>
      <c r="E149" s="17">
        <f>E144/E147*100</f>
        <v>99.100418699239754</v>
      </c>
      <c r="F149" s="17">
        <f>F145/F147*100</f>
        <v>90.609889562545774</v>
      </c>
      <c r="G149" s="17">
        <f>G146/G147*100</f>
        <v>79.604527619444923</v>
      </c>
      <c r="H149" s="1"/>
      <c r="S149" s="66" t="s">
        <v>39</v>
      </c>
      <c r="T149" s="67">
        <f>C411</f>
        <v>0</v>
      </c>
      <c r="U149" s="67">
        <f t="shared" si="34"/>
        <v>1.0425296709813059</v>
      </c>
      <c r="V149" s="67">
        <f t="shared" si="34"/>
        <v>0.13971675894587079</v>
      </c>
      <c r="W149" s="67">
        <f t="shared" si="34"/>
        <v>0.74153360700971727</v>
      </c>
      <c r="X149" s="67">
        <f t="shared" si="34"/>
        <v>2.5740380773521481</v>
      </c>
      <c r="AD149" s="51"/>
      <c r="AE149" s="51"/>
      <c r="BF149" s="51">
        <v>0.94412614216873103</v>
      </c>
      <c r="BG149" s="1">
        <v>86</v>
      </c>
      <c r="BH149">
        <f t="shared" si="30"/>
        <v>1.0542454124924514</v>
      </c>
      <c r="BI149">
        <f t="shared" si="31"/>
        <v>0.10571511142644452</v>
      </c>
      <c r="BJ149">
        <f t="shared" si="29"/>
        <v>9.9808400319986598E-2</v>
      </c>
    </row>
    <row r="150" spans="1:62" x14ac:dyDescent="0.3">
      <c r="B150" s="16" t="s">
        <v>39</v>
      </c>
      <c r="C150" s="18">
        <f>SQRT((C153+C154)/(C147*C147))</f>
        <v>0</v>
      </c>
      <c r="D150" s="18">
        <f>SQRT((D153+D154)/(D147*D147))</f>
        <v>0.97055943908604547</v>
      </c>
      <c r="E150" s="18">
        <f>SQRT((E153+E154)/(E147*E147))</f>
        <v>0.11964260465178117</v>
      </c>
      <c r="F150" s="18">
        <f>SQRT((F153+F154)/(F147*F147))</f>
        <v>0.78416937060175307</v>
      </c>
      <c r="G150" s="18">
        <f>SQRT((G153+G154)/(G147*G147))</f>
        <v>2.4585559364871288</v>
      </c>
      <c r="H150" s="1"/>
      <c r="S150" s="15" t="s">
        <v>31</v>
      </c>
      <c r="T150" s="71">
        <f>I403</f>
        <v>100</v>
      </c>
      <c r="U150" s="71">
        <f>I404</f>
        <v>99.410029498525077</v>
      </c>
      <c r="V150" s="71">
        <f>I405</f>
        <v>96.891471820516287</v>
      </c>
      <c r="W150" s="71">
        <f>I406</f>
        <v>91.279293123319235</v>
      </c>
      <c r="X150" s="71">
        <f>I407</f>
        <v>83.125</v>
      </c>
      <c r="AD150" s="51"/>
      <c r="AE150" s="51"/>
      <c r="AH150" s="78"/>
      <c r="AI150" s="78"/>
      <c r="BF150" s="51">
        <v>0.944155707548467</v>
      </c>
      <c r="BG150" s="1">
        <v>87</v>
      </c>
      <c r="BH150">
        <f t="shared" si="30"/>
        <v>1.0988799140705434</v>
      </c>
      <c r="BI150">
        <f t="shared" si="31"/>
        <v>0.11019086370563748</v>
      </c>
      <c r="BJ150">
        <f t="shared" si="29"/>
        <v>0.10403733288737285</v>
      </c>
    </row>
    <row r="151" spans="1:62" x14ac:dyDescent="0.3">
      <c r="B151" s="1" t="s">
        <v>37</v>
      </c>
      <c r="C151" s="18">
        <f>100-C149</f>
        <v>0</v>
      </c>
      <c r="D151" s="18">
        <f>100-D149</f>
        <v>8.925539725904386</v>
      </c>
      <c r="E151" s="18">
        <f>100-E149</f>
        <v>0.89958130076024645</v>
      </c>
      <c r="F151" s="18">
        <f>100-F149</f>
        <v>9.3901104374542257</v>
      </c>
      <c r="G151" s="18">
        <f>100-G149</f>
        <v>20.395472380555077</v>
      </c>
      <c r="S151" s="75" t="s">
        <v>39</v>
      </c>
      <c r="T151" s="76">
        <f>J403</f>
        <v>0</v>
      </c>
      <c r="U151" s="76">
        <f>J404</f>
        <v>0.41655456661415408</v>
      </c>
      <c r="V151" s="76">
        <f>J405</f>
        <v>0.20177298428307988</v>
      </c>
      <c r="W151" s="76">
        <f>J406</f>
        <v>0.5531059527269635</v>
      </c>
      <c r="X151" s="76">
        <f>J407</f>
        <v>1.2094235370501119</v>
      </c>
      <c r="AD151" s="51"/>
      <c r="AE151" s="51"/>
      <c r="BF151" s="51">
        <v>0.94420057224804599</v>
      </c>
      <c r="BG151" s="1">
        <v>88</v>
      </c>
      <c r="BH151">
        <f t="shared" si="30"/>
        <v>1.1458183419972177</v>
      </c>
      <c r="BI151">
        <f t="shared" si="31"/>
        <v>0.11489764362580719</v>
      </c>
      <c r="BJ151">
        <f t="shared" si="29"/>
        <v>0.1084864208614392</v>
      </c>
    </row>
    <row r="152" spans="1:62" ht="15.6" x14ac:dyDescent="0.35">
      <c r="B152" s="1" t="s">
        <v>25</v>
      </c>
      <c r="C152" s="1">
        <f>C136</f>
        <v>259</v>
      </c>
      <c r="D152" s="1">
        <f>D136</f>
        <v>412</v>
      </c>
      <c r="E152" s="1">
        <f>E136</f>
        <v>7238</v>
      </c>
      <c r="F152" s="1">
        <f>F136</f>
        <v>2558</v>
      </c>
      <c r="G152" s="1">
        <f>G136</f>
        <v>1093</v>
      </c>
      <c r="S152" s="66" t="s">
        <v>56</v>
      </c>
      <c r="T152" s="67">
        <f>N392*100</f>
        <v>100</v>
      </c>
      <c r="U152" s="67">
        <f>N393*100</f>
        <v>88.918205804749334</v>
      </c>
      <c r="V152" s="67">
        <f>N394*100</f>
        <v>97.937158469945359</v>
      </c>
      <c r="W152" s="67">
        <f>N395*100</f>
        <v>91.914893617021292</v>
      </c>
      <c r="X152" s="67">
        <f>N396*100</f>
        <v>78.466076696165189</v>
      </c>
      <c r="AD152" s="51"/>
      <c r="AE152" s="51"/>
      <c r="AH152" s="78"/>
      <c r="AI152" s="78"/>
      <c r="BF152" s="51">
        <v>0.94421745446591898</v>
      </c>
      <c r="BG152" s="1">
        <v>89</v>
      </c>
      <c r="BH152">
        <f t="shared" si="30"/>
        <v>1.1954271085021428</v>
      </c>
      <c r="BI152">
        <f t="shared" si="31"/>
        <v>0.11987219340013137</v>
      </c>
      <c r="BJ152">
        <f t="shared" si="29"/>
        <v>0.11318541731351837</v>
      </c>
    </row>
    <row r="153" spans="1:62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2.622362206043483</v>
      </c>
      <c r="E153" s="18">
        <f>(O144*O144*(100-E149)*(100-E149)*(I144)*(100-I144))/((L144-1)*100)</f>
        <v>1.1344999906221427</v>
      </c>
      <c r="F153" s="18">
        <f>(O145*O145*(100-F149)*(100-F149)*(I145)*(100-I145))/((L145-1)*100)</f>
        <v>133.24239192884937</v>
      </c>
      <c r="G153" s="18">
        <f>(O146*O146*(100-G149)*(100-G149)*(I146)*(100-I146))/((L146-1)*100)</f>
        <v>689.17447389063841</v>
      </c>
      <c r="R153" s="16" t="s">
        <v>66</v>
      </c>
      <c r="S153" t="s">
        <v>9</v>
      </c>
      <c r="T153" s="30">
        <f>N403</f>
        <v>2309.71</v>
      </c>
      <c r="U153" s="30">
        <f>N404</f>
        <v>12219.16</v>
      </c>
      <c r="V153" s="30">
        <f>N405</f>
        <v>119576.21</v>
      </c>
      <c r="W153" s="30">
        <f>N406</f>
        <v>43305</v>
      </c>
      <c r="X153" s="30">
        <f>N407</f>
        <v>20970.330000000002</v>
      </c>
      <c r="Z153" t="s">
        <v>36</v>
      </c>
      <c r="AA153" s="1">
        <f>N408</f>
        <v>198380.41000000003</v>
      </c>
      <c r="AD153" s="51"/>
      <c r="AE153" s="51"/>
      <c r="BF153" s="51">
        <v>0.94422168971389098</v>
      </c>
      <c r="BG153" s="1">
        <v>90</v>
      </c>
      <c r="BH153">
        <f t="shared" si="30"/>
        <v>1.248166539458073</v>
      </c>
      <c r="BI153">
        <f t="shared" si="31"/>
        <v>0.12516067249049057</v>
      </c>
      <c r="BJ153">
        <f t="shared" si="29"/>
        <v>0.11817942166469791</v>
      </c>
    </row>
    <row r="154" spans="1:62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40.085532761364036</v>
      </c>
      <c r="E154" s="18">
        <f>E149*E149*(SUM((H142*E142*(1-E131/H131))/(H131-1),(H143*E143*(1-E132/H132))/(H132-1), (H145*E145*(1-E134/H134))/(H134-1),(H146*E146*(1-E135/H135))/(H135-1)))</f>
        <v>48.426385122670361</v>
      </c>
      <c r="F154" s="18">
        <f>F149*F149*(SUM((H142*F142*(1-F131/H131))/(H131-1),(H143*F143*(1-F132/H132))/(H132-1), (H144*F144*(1-F133/H133))/(H133-1),(H146*F146*(1-F135/H135))/(H135-1)))</f>
        <v>156.71176547227014</v>
      </c>
      <c r="G154" s="18">
        <f>G149*G149*(SUM((H142*G142*(1-G131/H131))/(H131-1),(H143*G143*(1-G132/H132))/(H132-1), (H144*G144*(1-G133/H133))/(H133-1),(H145*G145*(1-G134/H134))/(H134-1)))</f>
        <v>116.45004384759706</v>
      </c>
      <c r="R154" s="16" t="s">
        <v>323</v>
      </c>
      <c r="S154" t="s">
        <v>68</v>
      </c>
      <c r="T154" s="57">
        <f>$AA153*T146/100</f>
        <v>2309.7100000000005</v>
      </c>
      <c r="U154" s="57">
        <f>$AA153*U146/100</f>
        <v>13472.283321655921</v>
      </c>
      <c r="V154" s="57">
        <f>$AA153*V146/100</f>
        <v>117231.19491335003</v>
      </c>
      <c r="W154" s="57">
        <f>$AA153*W146/100</f>
        <v>43388.156854920686</v>
      </c>
      <c r="X154" s="57">
        <f>$AA153*X146/100</f>
        <v>21979.064910073386</v>
      </c>
      <c r="Z154" t="s">
        <v>36</v>
      </c>
      <c r="AA154" s="25">
        <f>SUM(T154:X154)</f>
        <v>198380.41</v>
      </c>
      <c r="AD154" s="51"/>
      <c r="AE154" s="51"/>
      <c r="AH154" s="78"/>
      <c r="AI154" s="78"/>
      <c r="BF154" s="51">
        <v>0.944229557595891</v>
      </c>
      <c r="BG154" s="1">
        <v>91</v>
      </c>
      <c r="BH154">
        <f t="shared" si="30"/>
        <v>1.3046268229653302</v>
      </c>
      <c r="BI154">
        <f t="shared" si="31"/>
        <v>0.13082226237403305</v>
      </c>
      <c r="BJ154">
        <f t="shared" si="29"/>
        <v>0.1235262469251268</v>
      </c>
    </row>
    <row r="155" spans="1:62" x14ac:dyDescent="0.3">
      <c r="A155" s="105" t="s">
        <v>390</v>
      </c>
      <c r="B155" s="69" t="s">
        <v>9</v>
      </c>
      <c r="C155" s="1">
        <v>291.33999999999997</v>
      </c>
      <c r="D155" s="1">
        <v>2441.85</v>
      </c>
      <c r="E155" s="1">
        <v>16140.12</v>
      </c>
      <c r="F155">
        <v>2060.02</v>
      </c>
      <c r="G155">
        <v>1211.5999999999999</v>
      </c>
      <c r="I155" t="s">
        <v>36</v>
      </c>
      <c r="J155" s="57">
        <f>SUM(C155:G155)</f>
        <v>22144.93</v>
      </c>
      <c r="R155" s="66"/>
      <c r="S155" s="66" t="s">
        <v>67</v>
      </c>
      <c r="T155" s="67">
        <f>$AA153*T147/100</f>
        <v>0</v>
      </c>
      <c r="U155" s="67">
        <f>$AA153*U147/100</f>
        <v>154.15153598616874</v>
      </c>
      <c r="V155" s="67">
        <f>$AA153*V147/100</f>
        <v>291.25624842937879</v>
      </c>
      <c r="W155" s="67">
        <f>$AA153*W147/100</f>
        <v>356.80279642142688</v>
      </c>
      <c r="X155" s="67">
        <f>$AA153*X147/100</f>
        <v>367.87205853346762</v>
      </c>
      <c r="AA155" s="1"/>
      <c r="AD155" s="51"/>
      <c r="AE155" s="51"/>
      <c r="BF155" s="51">
        <v>0.94424760416846998</v>
      </c>
      <c r="BG155" s="1">
        <v>92</v>
      </c>
      <c r="BH155">
        <f t="shared" si="30"/>
        <v>1.3655831908785105</v>
      </c>
      <c r="BI155">
        <f t="shared" si="31"/>
        <v>0.13693469990492851</v>
      </c>
      <c r="BJ155">
        <f t="shared" si="29"/>
        <v>0.12930026231275715</v>
      </c>
    </row>
    <row r="156" spans="1:62" x14ac:dyDescent="0.3">
      <c r="B156" t="s">
        <v>391</v>
      </c>
      <c r="C156" s="57">
        <f>(C155/$J155)*100</f>
        <v>1.3156058745726447</v>
      </c>
      <c r="D156" s="57">
        <f>(D155/$J155)*100</f>
        <v>11.026677438131436</v>
      </c>
      <c r="E156" s="57">
        <f>(E155/$J155)*100</f>
        <v>72.88404162939328</v>
      </c>
      <c r="F156" s="57">
        <f>(F155/$J155)*100</f>
        <v>9.3024453001206133</v>
      </c>
      <c r="G156" s="57">
        <f>(G155/$J155)*100</f>
        <v>5.4712297577820292</v>
      </c>
      <c r="R156" t="s">
        <v>107</v>
      </c>
      <c r="S156" t="s">
        <v>28</v>
      </c>
      <c r="T156" s="57">
        <f>C437</f>
        <v>1.1778128103569898</v>
      </c>
      <c r="U156" s="57">
        <f t="shared" ref="U156:X159" si="36">D437</f>
        <v>6.6271631214414848</v>
      </c>
      <c r="V156" s="57">
        <f t="shared" si="36"/>
        <v>58.886664232565387</v>
      </c>
      <c r="W156" s="57">
        <f t="shared" si="36"/>
        <v>21.503168271437143</v>
      </c>
      <c r="X156" s="57">
        <f t="shared" si="36"/>
        <v>11.805191564198987</v>
      </c>
      <c r="Z156" s="74"/>
      <c r="AA156" s="12"/>
      <c r="AD156" s="51"/>
      <c r="AE156" s="51"/>
      <c r="AH156" s="78"/>
      <c r="AI156" s="78"/>
      <c r="BF156" s="51">
        <v>0.94445369604291296</v>
      </c>
      <c r="BG156" s="1">
        <v>93</v>
      </c>
      <c r="BH156">
        <f t="shared" si="30"/>
        <v>1.43208428708654</v>
      </c>
      <c r="BI156">
        <f t="shared" si="31"/>
        <v>0.14360313849835979</v>
      </c>
      <c r="BJ156">
        <f t="shared" si="29"/>
        <v>0.13562651491813824</v>
      </c>
    </row>
    <row r="157" spans="1:62" x14ac:dyDescent="0.3">
      <c r="A157" s="361" t="s">
        <v>397</v>
      </c>
      <c r="B157" s="361"/>
      <c r="C157" s="361"/>
      <c r="D157" s="361"/>
      <c r="E157" s="361"/>
      <c r="F157" s="361"/>
      <c r="G157" s="361"/>
      <c r="H157" s="361"/>
      <c r="I157" s="361"/>
      <c r="J157" s="361"/>
      <c r="K157" s="361"/>
      <c r="L157" s="361" t="s">
        <v>83</v>
      </c>
      <c r="M157" s="361"/>
      <c r="N157" s="361"/>
      <c r="O157" s="361"/>
      <c r="P157" s="361"/>
      <c r="S157" s="66" t="s">
        <v>39</v>
      </c>
      <c r="T157" s="67">
        <f>C438</f>
        <v>0</v>
      </c>
      <c r="U157" s="67">
        <f t="shared" si="36"/>
        <v>7.868634033813432E-2</v>
      </c>
      <c r="V157" s="67">
        <f t="shared" si="36"/>
        <v>0.14377002005009853</v>
      </c>
      <c r="W157" s="67">
        <f t="shared" si="36"/>
        <v>0.18662990576534724</v>
      </c>
      <c r="X157" s="67">
        <f t="shared" si="36"/>
        <v>0.19169265480181599</v>
      </c>
      <c r="AD157" s="51"/>
      <c r="AE157" s="51"/>
      <c r="BF157" s="51">
        <v>0.94461033773282799</v>
      </c>
      <c r="BG157" s="1">
        <v>94</v>
      </c>
      <c r="BH157">
        <f t="shared" si="30"/>
        <v>1.5056012163044223</v>
      </c>
      <c r="BI157">
        <f t="shared" si="31"/>
        <v>0.15097509409039242</v>
      </c>
      <c r="BJ157">
        <f t="shared" si="29"/>
        <v>0.14261263461797108</v>
      </c>
    </row>
    <row r="158" spans="1:62" x14ac:dyDescent="0.3">
      <c r="A158" t="s">
        <v>320</v>
      </c>
      <c r="B158" t="s">
        <v>21</v>
      </c>
      <c r="I158" s="1" t="s">
        <v>58</v>
      </c>
      <c r="O158" s="360" t="s">
        <v>411</v>
      </c>
      <c r="P158" s="360"/>
      <c r="S158" t="s">
        <v>30</v>
      </c>
      <c r="T158" s="57">
        <f>C439</f>
        <v>100</v>
      </c>
      <c r="U158" s="57">
        <f t="shared" si="36"/>
        <v>89.552545295174639</v>
      </c>
      <c r="V158" s="57">
        <f t="shared" si="36"/>
        <v>99.06872983891887</v>
      </c>
      <c r="W158" s="57">
        <f t="shared" si="36"/>
        <v>90.537332714980408</v>
      </c>
      <c r="X158" s="57">
        <f t="shared" si="36"/>
        <v>78.432598744194792</v>
      </c>
      <c r="AD158" s="51"/>
      <c r="AE158" s="51"/>
      <c r="AH158" s="78"/>
      <c r="AI158" s="78"/>
      <c r="BF158" s="51">
        <v>0.94465733806166197</v>
      </c>
      <c r="BG158" s="1">
        <v>95</v>
      </c>
      <c r="BH158">
        <f t="shared" si="30"/>
        <v>1.5882958682169486</v>
      </c>
      <c r="BI158">
        <f t="shared" si="31"/>
        <v>0.15926735150760582</v>
      </c>
      <c r="BJ158">
        <f t="shared" si="29"/>
        <v>0.15045307231530594</v>
      </c>
    </row>
    <row r="159" spans="1:62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56</v>
      </c>
      <c r="O159" s="13" t="s">
        <v>412</v>
      </c>
      <c r="P159" s="13" t="s">
        <v>41</v>
      </c>
      <c r="S159" s="66" t="s">
        <v>39</v>
      </c>
      <c r="T159" s="67">
        <f>C440</f>
        <v>0</v>
      </c>
      <c r="U159" s="67">
        <f t="shared" si="36"/>
        <v>1.0825036890773572</v>
      </c>
      <c r="V159" s="67">
        <f t="shared" si="36"/>
        <v>0.12576583633015925</v>
      </c>
      <c r="W159" s="67">
        <f t="shared" si="36"/>
        <v>0.80214379009140002</v>
      </c>
      <c r="X159" s="67">
        <f t="shared" si="36"/>
        <v>2.5632349854991849</v>
      </c>
      <c r="AD159" s="51"/>
      <c r="AE159" s="51"/>
      <c r="BF159" s="51">
        <v>0.94476018990110322</v>
      </c>
      <c r="BG159" s="1">
        <v>96</v>
      </c>
      <c r="BH159">
        <f t="shared" si="30"/>
        <v>1.6835465976780204</v>
      </c>
      <c r="BI159">
        <f t="shared" si="31"/>
        <v>0.16881867737453193</v>
      </c>
      <c r="BJ159">
        <f t="shared" si="29"/>
        <v>0.15949316569521588</v>
      </c>
    </row>
    <row r="160" spans="1:62" x14ac:dyDescent="0.3">
      <c r="A160" t="s">
        <v>3</v>
      </c>
      <c r="B160" s="13">
        <v>0</v>
      </c>
      <c r="C160" s="26">
        <v>259</v>
      </c>
      <c r="D160" s="3">
        <v>0</v>
      </c>
      <c r="E160" s="3">
        <v>0</v>
      </c>
      <c r="F160" s="3">
        <v>0</v>
      </c>
      <c r="G160" s="4">
        <v>0</v>
      </c>
      <c r="H160" s="1">
        <f>SUM(C160:G160)</f>
        <v>259</v>
      </c>
      <c r="I160" s="10">
        <f>C160/H160</f>
        <v>1</v>
      </c>
      <c r="J160" s="11">
        <f>1-I160</f>
        <v>0</v>
      </c>
      <c r="K160">
        <f>H160-C165</f>
        <v>0</v>
      </c>
      <c r="N160" s="10">
        <f>2*(C166*I160)/(C166+I160)</f>
        <v>1</v>
      </c>
      <c r="O160" s="1"/>
      <c r="P160" s="1"/>
      <c r="S160" s="15" t="s">
        <v>31</v>
      </c>
      <c r="T160" s="71">
        <f>I432</f>
        <v>100</v>
      </c>
      <c r="U160" s="71">
        <f>I433</f>
        <v>99.410029498525077</v>
      </c>
      <c r="V160" s="71">
        <f>I434</f>
        <v>96.796864441140713</v>
      </c>
      <c r="W160" s="71">
        <f>I435</f>
        <v>90.318862850557053</v>
      </c>
      <c r="X160" s="71">
        <f>I436</f>
        <v>83.958333333333329</v>
      </c>
      <c r="AD160" s="51"/>
      <c r="AE160" s="51"/>
      <c r="AH160" s="78"/>
      <c r="AI160" s="78"/>
      <c r="BF160" s="51">
        <v>0.94489562535354499</v>
      </c>
      <c r="BG160" s="1">
        <v>97</v>
      </c>
      <c r="BH160">
        <f t="shared" si="30"/>
        <v>1.7971034256260585</v>
      </c>
      <c r="BI160">
        <f t="shared" si="31"/>
        <v>0.18020565860063842</v>
      </c>
      <c r="BJ160">
        <f t="shared" si="29"/>
        <v>0.17027553847569768</v>
      </c>
    </row>
    <row r="161" spans="1:62" x14ac:dyDescent="0.3">
      <c r="A161" t="s">
        <v>4</v>
      </c>
      <c r="B161" s="13">
        <v>1</v>
      </c>
      <c r="C161" s="5">
        <v>0</v>
      </c>
      <c r="D161" s="27">
        <v>338</v>
      </c>
      <c r="E161" s="1">
        <v>1</v>
      </c>
      <c r="F161" s="1">
        <v>0</v>
      </c>
      <c r="G161" s="6">
        <v>0</v>
      </c>
      <c r="H161" s="1">
        <f>SUM(C161:G161)</f>
        <v>339</v>
      </c>
      <c r="I161" s="10">
        <f>D161/H161</f>
        <v>0.99705014749262533</v>
      </c>
      <c r="J161" s="11">
        <f>1-I161</f>
        <v>2.9498525073746729E-3</v>
      </c>
      <c r="K161">
        <f>H161-D165</f>
        <v>-86</v>
      </c>
      <c r="N161" s="10">
        <f>2*(D166*I161)/(D166+I161)</f>
        <v>0.88481675392670156</v>
      </c>
      <c r="O161" s="1"/>
      <c r="P161" s="1"/>
      <c r="S161" s="75" t="s">
        <v>39</v>
      </c>
      <c r="T161" s="76">
        <f>J432</f>
        <v>0</v>
      </c>
      <c r="U161" s="76">
        <f>J433</f>
        <v>0.41655456661415408</v>
      </c>
      <c r="V161" s="76">
        <f>J434</f>
        <v>0.20472040899897007</v>
      </c>
      <c r="W161" s="76">
        <f>J435</f>
        <v>0.57969395382980282</v>
      </c>
      <c r="X161" s="76">
        <f>J436</f>
        <v>1.1850791155605922</v>
      </c>
      <c r="AD161" s="51"/>
      <c r="AE161" s="51"/>
      <c r="BF161" s="51">
        <v>0.94521124865647599</v>
      </c>
      <c r="BG161" s="1">
        <v>98</v>
      </c>
      <c r="BH161">
        <f>_xlfn.NORM.S.INV((BG161-0.375)/($BI$61+0.25))</f>
        <v>1.9400873318827654</v>
      </c>
      <c r="BI161">
        <f>BH161/SQRT($BL$65)</f>
        <v>0.19454345832260239</v>
      </c>
      <c r="BJ161">
        <f>BI161*BF161</f>
        <v>0.1838846651590561</v>
      </c>
    </row>
    <row r="162" spans="1:62" x14ac:dyDescent="0.3">
      <c r="A162" t="s">
        <v>5</v>
      </c>
      <c r="B162" s="13">
        <v>2</v>
      </c>
      <c r="C162" s="5">
        <v>0</v>
      </c>
      <c r="D162" s="1">
        <v>87</v>
      </c>
      <c r="E162" s="27">
        <v>7175</v>
      </c>
      <c r="F162" s="1">
        <v>55</v>
      </c>
      <c r="G162" s="6">
        <v>82</v>
      </c>
      <c r="H162" s="1">
        <f>SUM(C162:G162)</f>
        <v>7399</v>
      </c>
      <c r="I162" s="10">
        <f>E162/H162</f>
        <v>0.96972563859981076</v>
      </c>
      <c r="J162" s="11">
        <f>1-I162</f>
        <v>3.0274361400189242E-2</v>
      </c>
      <c r="K162">
        <f>H162-E165</f>
        <v>164</v>
      </c>
      <c r="N162" s="10">
        <f>2*(E166*I162)/(E166+I162)</f>
        <v>0.98059313926472591</v>
      </c>
      <c r="O162" s="1"/>
      <c r="P162" s="1"/>
      <c r="S162" s="66" t="s">
        <v>56</v>
      </c>
      <c r="T162" s="67">
        <f>N421*100</f>
        <v>100</v>
      </c>
      <c r="U162" s="67">
        <f>N422*100</f>
        <v>88.567674113009204</v>
      </c>
      <c r="V162" s="67">
        <f>N423*100</f>
        <v>97.988780954987007</v>
      </c>
      <c r="W162" s="67">
        <f>N424*100</f>
        <v>91.336441336441325</v>
      </c>
      <c r="X162" s="67">
        <f>N425*100</f>
        <v>77.686746987951821</v>
      </c>
      <c r="AD162" s="51"/>
      <c r="AE162" s="51"/>
      <c r="AH162" s="78"/>
      <c r="AI162" s="78"/>
      <c r="BF162" s="51">
        <v>0.94631844427879697</v>
      </c>
      <c r="BG162" s="27">
        <v>99</v>
      </c>
      <c r="BH162" s="84">
        <f>_xlfn.NORM.S.INV((BG162-0.375)/($BI$61+0.25))</f>
        <v>2.139206442985977</v>
      </c>
      <c r="BI162" s="84">
        <f>-3.562633*($BL$63)^5+5.682633*($BL$63)^4-1.752461*($BL$63)^3-0.293762*($BL$63)^2+0.042981*$BL$63+BH162*($BL$64^-0.5)</f>
        <v>0.21748422717250435</v>
      </c>
      <c r="BJ162">
        <f>BI162*BF162</f>
        <v>0.20580933551306077</v>
      </c>
    </row>
    <row r="163" spans="1:62" x14ac:dyDescent="0.3">
      <c r="A163" t="s">
        <v>6</v>
      </c>
      <c r="B163" s="13">
        <v>3</v>
      </c>
      <c r="C163" s="5">
        <v>0</v>
      </c>
      <c r="D163" s="1">
        <v>0</v>
      </c>
      <c r="E163" s="1">
        <v>45</v>
      </c>
      <c r="F163" s="27">
        <v>2356</v>
      </c>
      <c r="G163" s="6">
        <v>202</v>
      </c>
      <c r="H163" s="1">
        <f>SUM(C163:G163)</f>
        <v>2603</v>
      </c>
      <c r="I163" s="10">
        <f>F163/H163</f>
        <v>0.9051094890510949</v>
      </c>
      <c r="J163" s="11">
        <f>1-I163</f>
        <v>9.4890510948905105E-2</v>
      </c>
      <c r="K163">
        <f>H163-F165</f>
        <v>43</v>
      </c>
      <c r="N163" s="10">
        <f>2*(F166*I163)/(F166+I163)</f>
        <v>0.91264768545419339</v>
      </c>
      <c r="O163" s="1"/>
      <c r="P163" s="1"/>
      <c r="R163" s="16" t="s">
        <v>66</v>
      </c>
      <c r="S163" t="s">
        <v>9</v>
      </c>
      <c r="T163" s="30">
        <f>N432</f>
        <v>2336.5500000000002</v>
      </c>
      <c r="U163" s="30">
        <f>N433</f>
        <v>11843.34</v>
      </c>
      <c r="V163" s="30">
        <f>N434</f>
        <v>119561.42</v>
      </c>
      <c r="W163" s="30">
        <f>N435</f>
        <v>42761.26</v>
      </c>
      <c r="X163" s="30">
        <f>N436</f>
        <v>21877.85</v>
      </c>
      <c r="Z163" t="s">
        <v>36</v>
      </c>
      <c r="AA163" s="1">
        <f>N437</f>
        <v>198380.42</v>
      </c>
      <c r="AD163" s="51"/>
      <c r="AE163" s="51"/>
      <c r="BF163" s="51">
        <v>0.94642726667515897</v>
      </c>
      <c r="BG163" s="27">
        <v>100</v>
      </c>
      <c r="BH163" s="84">
        <f>_xlfn.NORM.S.INV((BG163-0.375)/($BI$61+0.25))</f>
        <v>2.4985905609622558</v>
      </c>
      <c r="BI163" s="84">
        <f>-2.70605*($BL$63)^5+4.4334685*($BL$63)^4-2.07119*($BL$63)^3-0.147981*($BL$63)^2+0.221157*$BL$63+BH163*($BL$64^-0.5)</f>
        <v>0.27283801696664034</v>
      </c>
      <c r="BJ163">
        <f>BI163*BF163</f>
        <v>0.25822133864280805</v>
      </c>
    </row>
    <row r="164" spans="1:62" ht="15.6" x14ac:dyDescent="0.35">
      <c r="A164" t="s">
        <v>7</v>
      </c>
      <c r="B164" s="13">
        <v>4</v>
      </c>
      <c r="C164" s="7">
        <v>0</v>
      </c>
      <c r="D164" s="8">
        <v>0</v>
      </c>
      <c r="E164" s="8">
        <v>14</v>
      </c>
      <c r="F164" s="8">
        <v>149</v>
      </c>
      <c r="G164" s="28">
        <v>797</v>
      </c>
      <c r="H164" s="1">
        <f>SUM(C164:G164)</f>
        <v>960</v>
      </c>
      <c r="I164" s="10">
        <f>G164/H164</f>
        <v>0.83020833333333333</v>
      </c>
      <c r="J164" s="11">
        <f>1-I164</f>
        <v>0.16979166666666667</v>
      </c>
      <c r="K164">
        <f>H164-G165</f>
        <v>-121</v>
      </c>
      <c r="N164" s="10">
        <f>2*(G166*I164)/(G166+I164)</f>
        <v>0.78098971092601666</v>
      </c>
      <c r="O164" s="1"/>
      <c r="P164" s="1"/>
      <c r="R164" s="16" t="s">
        <v>323</v>
      </c>
      <c r="S164" t="s">
        <v>68</v>
      </c>
      <c r="T164" s="57">
        <f>$AA163*T156/100</f>
        <v>2336.5500000000002</v>
      </c>
      <c r="U164" s="57">
        <f>$AA163*U156/100</f>
        <v>13146.994034400728</v>
      </c>
      <c r="V164" s="57">
        <f>$AA163*V156/100</f>
        <v>116819.61182855301</v>
      </c>
      <c r="W164" s="57">
        <f>$AA163*W156/100</f>
        <v>42658.075530183742</v>
      </c>
      <c r="X164" s="57">
        <f>$AA163*X156/100</f>
        <v>23419.188606862524</v>
      </c>
      <c r="Z164" t="s">
        <v>36</v>
      </c>
      <c r="AA164" s="25">
        <f>SUM(T164:X164)</f>
        <v>198380.42</v>
      </c>
      <c r="AD164" s="51"/>
      <c r="AE164" s="51"/>
      <c r="AH164" s="78"/>
      <c r="AI164" s="78"/>
      <c r="BI164" t="s">
        <v>365</v>
      </c>
      <c r="BJ164">
        <f>SUM(BJ64:BJ163)</f>
        <v>1.2821192020432831E-2</v>
      </c>
    </row>
    <row r="165" spans="1:62" ht="15.6" x14ac:dyDescent="0.35">
      <c r="B165" s="1" t="s">
        <v>19</v>
      </c>
      <c r="C165" s="1">
        <f>SUM(C160:C164)</f>
        <v>259</v>
      </c>
      <c r="D165" s="1">
        <f>SUM(D160:D164)</f>
        <v>425</v>
      </c>
      <c r="E165" s="1">
        <f>SUM(E160:E164)</f>
        <v>7235</v>
      </c>
      <c r="F165" s="1">
        <f>SUM(F160:F164)</f>
        <v>2560</v>
      </c>
      <c r="G165" s="1">
        <f>SUM(G160:G164)</f>
        <v>1081</v>
      </c>
      <c r="H165" s="1">
        <f>SUM(H159:H164)</f>
        <v>11560</v>
      </c>
      <c r="I165" s="13" t="s">
        <v>12</v>
      </c>
      <c r="N165" s="16" t="s">
        <v>36</v>
      </c>
      <c r="O165" s="1">
        <f>SUM(O160:O164)</f>
        <v>0</v>
      </c>
      <c r="P165" s="1">
        <f>SUM(P160:P164)</f>
        <v>0</v>
      </c>
      <c r="R165" s="66"/>
      <c r="S165" s="66" t="s">
        <v>67</v>
      </c>
      <c r="T165" s="67">
        <f>$AA163*T157/100</f>
        <v>0</v>
      </c>
      <c r="U165" s="67">
        <f>$AA163*U157/100</f>
        <v>156.0982924454203</v>
      </c>
      <c r="V165" s="67">
        <f>$AA163*V157/100</f>
        <v>285.21156960946968</v>
      </c>
      <c r="W165" s="67">
        <f>$AA163*W157/100</f>
        <v>370.23719090290012</v>
      </c>
      <c r="X165" s="67">
        <f>$AA163*X157/100</f>
        <v>380.28069370499276</v>
      </c>
      <c r="AA165" s="1"/>
      <c r="AD165" s="51"/>
      <c r="AE165" s="51"/>
      <c r="BF165" s="51"/>
      <c r="BG165" s="1"/>
    </row>
    <row r="166" spans="1:62" x14ac:dyDescent="0.3">
      <c r="A166" s="1" t="s">
        <v>321</v>
      </c>
      <c r="B166" s="1" t="s">
        <v>2</v>
      </c>
      <c r="C166" s="10">
        <f>C160/C165</f>
        <v>1</v>
      </c>
      <c r="D166" s="10">
        <f>D161/D165</f>
        <v>0.79529411764705882</v>
      </c>
      <c r="E166" s="10">
        <f>E162/E165</f>
        <v>0.99170697995853485</v>
      </c>
      <c r="F166" s="10">
        <f>F163/F165</f>
        <v>0.92031249999999998</v>
      </c>
      <c r="G166" s="10">
        <f>G164/G165</f>
        <v>0.73728029602220169</v>
      </c>
      <c r="H166" s="10"/>
      <c r="I166" s="14">
        <f>(C160+D161+E162+F163+G164)/H165</f>
        <v>0.94506920415224915</v>
      </c>
      <c r="R166" t="s">
        <v>108</v>
      </c>
      <c r="S166" t="s">
        <v>28</v>
      </c>
      <c r="T166" s="57">
        <f>C466</f>
        <v>1.1494884424581822</v>
      </c>
      <c r="U166" s="57">
        <f t="shared" ref="U166:X169" si="37">D466</f>
        <v>6.7833216595454759</v>
      </c>
      <c r="V166" s="57">
        <f t="shared" si="37"/>
        <v>59.018431819277083</v>
      </c>
      <c r="W166" s="57">
        <f t="shared" si="37"/>
        <v>21.745123445471663</v>
      </c>
      <c r="X166" s="57">
        <f t="shared" si="37"/>
        <v>11.303634633247597</v>
      </c>
      <c r="Z166" s="74"/>
      <c r="AA166" s="12"/>
      <c r="AD166" s="51"/>
      <c r="AE166" s="51"/>
      <c r="AH166" s="78"/>
      <c r="AI166" s="78"/>
      <c r="BF166" s="51"/>
      <c r="BG166" s="1"/>
    </row>
    <row r="167" spans="1:62" x14ac:dyDescent="0.3">
      <c r="B167" s="1" t="s">
        <v>14</v>
      </c>
      <c r="C167" s="11">
        <f>1-C166</f>
        <v>0</v>
      </c>
      <c r="D167" s="11">
        <f>1-D166</f>
        <v>0.20470588235294118</v>
      </c>
      <c r="E167" s="11">
        <f>1-E166</f>
        <v>8.2930200414651489E-3</v>
      </c>
      <c r="F167" s="11">
        <f>1-F166</f>
        <v>7.9687500000000022E-2</v>
      </c>
      <c r="G167" s="11">
        <f>1-G166</f>
        <v>0.26271970397779831</v>
      </c>
      <c r="S167" s="66" t="s">
        <v>39</v>
      </c>
      <c r="T167" s="67">
        <f>C467</f>
        <v>0</v>
      </c>
      <c r="U167" s="67">
        <f t="shared" si="37"/>
        <v>8.4285634918279756E-2</v>
      </c>
      <c r="V167" s="67">
        <f t="shared" si="37"/>
        <v>0.14739561869519163</v>
      </c>
      <c r="W167" s="67">
        <f t="shared" si="37"/>
        <v>0.18827220972856773</v>
      </c>
      <c r="X167" s="67">
        <f t="shared" si="37"/>
        <v>0.19354862491190436</v>
      </c>
      <c r="AD167" s="51"/>
      <c r="AE167" s="51"/>
      <c r="BF167" s="51"/>
      <c r="BG167" s="1"/>
    </row>
    <row r="168" spans="1:62" x14ac:dyDescent="0.3">
      <c r="C168" s="2"/>
      <c r="S168" t="s">
        <v>30</v>
      </c>
      <c r="T168" s="57">
        <f>C468</f>
        <v>100</v>
      </c>
      <c r="U168" s="57">
        <f t="shared" si="37"/>
        <v>89.334207752394448</v>
      </c>
      <c r="V168" s="57">
        <f t="shared" si="37"/>
        <v>98.800397083720128</v>
      </c>
      <c r="W168" s="57">
        <f t="shared" si="37"/>
        <v>90.181375647164487</v>
      </c>
      <c r="X168" s="57">
        <f t="shared" si="37"/>
        <v>78.484990926221698</v>
      </c>
      <c r="AD168" s="51"/>
      <c r="AE168" s="51"/>
      <c r="AH168" s="78"/>
      <c r="AI168" s="78"/>
      <c r="BF168" s="51"/>
      <c r="BG168" s="1"/>
    </row>
    <row r="169" spans="1:62" ht="15.6" x14ac:dyDescent="0.35">
      <c r="A169" t="s">
        <v>322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0</v>
      </c>
      <c r="U169" s="67">
        <f t="shared" si="37"/>
        <v>1.1526734959451734</v>
      </c>
      <c r="V169" s="67">
        <f t="shared" si="37"/>
        <v>0.14467142896201263</v>
      </c>
      <c r="W169" s="67">
        <f t="shared" si="37"/>
        <v>0.81248659801948686</v>
      </c>
      <c r="X169" s="67">
        <f t="shared" si="37"/>
        <v>2.7629750930082539</v>
      </c>
      <c r="AD169" s="51"/>
      <c r="AE169" s="51"/>
      <c r="BF169" s="51"/>
      <c r="BG169" s="1"/>
    </row>
    <row r="170" spans="1:62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100</v>
      </c>
      <c r="U170" s="71">
        <f>I462</f>
        <v>98.820058997050154</v>
      </c>
      <c r="V170" s="71">
        <f>I463</f>
        <v>96.945533180159487</v>
      </c>
      <c r="W170" s="71">
        <f>I464</f>
        <v>90.39569727237803</v>
      </c>
      <c r="X170" s="71">
        <f>I465</f>
        <v>81.5625</v>
      </c>
      <c r="AD170" s="51"/>
      <c r="AE170" s="51"/>
      <c r="AH170" s="78"/>
      <c r="AI170" s="78"/>
      <c r="BF170" s="51"/>
      <c r="BG170" s="1"/>
    </row>
    <row r="171" spans="1:62" x14ac:dyDescent="0.3">
      <c r="A171" t="s">
        <v>3</v>
      </c>
      <c r="B171" s="13">
        <v>0</v>
      </c>
      <c r="C171" s="29">
        <f>(C160/$L171)*$O171</f>
        <v>1.1546654228610576</v>
      </c>
      <c r="D171" s="31">
        <f>(D160/$L171)*$O171</f>
        <v>0</v>
      </c>
      <c r="E171" s="31">
        <f>(E160/$L171)*$O171</f>
        <v>0</v>
      </c>
      <c r="F171" s="31">
        <f>(F160/$L171)*$O171</f>
        <v>0</v>
      </c>
      <c r="G171" s="32">
        <f>(G160/$L171)*$O171</f>
        <v>0</v>
      </c>
      <c r="H171" s="17">
        <f>SUM(C171:G171)</f>
        <v>1.1546654228610576</v>
      </c>
      <c r="I171" s="17">
        <f>C171/H171*100</f>
        <v>100</v>
      </c>
      <c r="J171" s="17">
        <f>SQRT(I171*(100-I171)/(L171-1))</f>
        <v>0</v>
      </c>
      <c r="K171" s="18">
        <f>100-I171</f>
        <v>0</v>
      </c>
      <c r="L171" s="1">
        <f>H160</f>
        <v>259</v>
      </c>
      <c r="M171">
        <v>0</v>
      </c>
      <c r="N171" s="1">
        <v>2290.63</v>
      </c>
      <c r="O171" s="17">
        <f>N171/N176*100</f>
        <v>1.1546654228610576</v>
      </c>
      <c r="P171" s="52">
        <f>((O171*O171*(I171/100)*(K171/100))/(L171-1))</f>
        <v>0</v>
      </c>
      <c r="S171" s="75" t="s">
        <v>39</v>
      </c>
      <c r="T171" s="76">
        <f>J461</f>
        <v>0</v>
      </c>
      <c r="U171" s="76">
        <f>J462</f>
        <v>0.58734645362127302</v>
      </c>
      <c r="V171" s="76">
        <f>J463</f>
        <v>0.20006653206379527</v>
      </c>
      <c r="W171" s="76">
        <f>J464</f>
        <v>0.57763453929213748</v>
      </c>
      <c r="X171" s="76">
        <f>J465</f>
        <v>1.2522382853953165</v>
      </c>
      <c r="AD171" s="51"/>
      <c r="AE171" s="51"/>
      <c r="BF171" s="51"/>
      <c r="BG171" s="1"/>
    </row>
    <row r="172" spans="1:62" x14ac:dyDescent="0.3">
      <c r="A172" t="s">
        <v>4</v>
      </c>
      <c r="B172" s="13">
        <v>1</v>
      </c>
      <c r="C172" s="33">
        <f t="shared" ref="C172:G175" si="38">(C161/$L172)*$O172</f>
        <v>0</v>
      </c>
      <c r="D172" s="34">
        <f t="shared" si="38"/>
        <v>6.2382199793222597</v>
      </c>
      <c r="E172" s="19">
        <f t="shared" si="38"/>
        <v>1.8456272128172368E-2</v>
      </c>
      <c r="F172" s="18">
        <f t="shared" si="38"/>
        <v>0</v>
      </c>
      <c r="G172" s="20">
        <f t="shared" si="38"/>
        <v>0</v>
      </c>
      <c r="H172" s="17">
        <f>SUM(C172:G172)</f>
        <v>6.2566762514504317</v>
      </c>
      <c r="I172" s="17">
        <f>D172/H172*100</f>
        <v>99.705014749262546</v>
      </c>
      <c r="J172" s="17">
        <f>SQRT(I172*(100-I172)/(L172-1))</f>
        <v>0.29498525073745879</v>
      </c>
      <c r="K172" s="18">
        <f>100-I172</f>
        <v>0.29498525073745441</v>
      </c>
      <c r="L172" s="1">
        <f>H161</f>
        <v>339</v>
      </c>
      <c r="M172">
        <v>1</v>
      </c>
      <c r="N172" s="1">
        <v>12412.02</v>
      </c>
      <c r="O172" s="17">
        <f>N172/N176*100</f>
        <v>6.2566762514504326</v>
      </c>
      <c r="P172" s="52">
        <f>((O172*O172*(I172/100)*(K172/100))/(L172-1))</f>
        <v>3.4063398086914211E-4</v>
      </c>
      <c r="S172" s="66" t="s">
        <v>56</v>
      </c>
      <c r="T172" s="67">
        <f>N450*100</f>
        <v>100</v>
      </c>
      <c r="U172" s="67">
        <f>N451*100</f>
        <v>87.811271297509833</v>
      </c>
      <c r="V172" s="67">
        <f>N452*100</f>
        <v>97.965036875170725</v>
      </c>
      <c r="W172" s="67">
        <f>N453*100</f>
        <v>91.236913532376889</v>
      </c>
      <c r="X172" s="67">
        <f>N454*100</f>
        <v>76.877761413843899</v>
      </c>
      <c r="AD172" s="51"/>
      <c r="AE172" s="51"/>
      <c r="AH172" s="78"/>
      <c r="AI172" s="78"/>
      <c r="BF172" s="51"/>
      <c r="BG172" s="1"/>
    </row>
    <row r="173" spans="1:62" x14ac:dyDescent="0.3">
      <c r="A173" t="s">
        <v>5</v>
      </c>
      <c r="B173" s="13">
        <v>2</v>
      </c>
      <c r="C173" s="33">
        <f t="shared" si="38"/>
        <v>0</v>
      </c>
      <c r="D173" s="19">
        <f t="shared" si="38"/>
        <v>0.70886022818666872</v>
      </c>
      <c r="E173" s="34">
        <f t="shared" si="38"/>
        <v>58.460599278613195</v>
      </c>
      <c r="F173" s="19">
        <f t="shared" si="38"/>
        <v>0.44813002931341123</v>
      </c>
      <c r="G173" s="20">
        <f t="shared" si="38"/>
        <v>0.66812113461272216</v>
      </c>
      <c r="H173" s="17">
        <f>SUM(C173:G173)</f>
        <v>60.285710670725997</v>
      </c>
      <c r="I173" s="17">
        <f>E173/H173*100</f>
        <v>96.972563859981079</v>
      </c>
      <c r="J173" s="17">
        <f>SQRT(I173*(100-I173)/(L173-1))</f>
        <v>0.19920708067777099</v>
      </c>
      <c r="K173" s="18">
        <f>100-I173</f>
        <v>3.0274361400189207</v>
      </c>
      <c r="L173" s="1">
        <f>H162</f>
        <v>7399</v>
      </c>
      <c r="M173">
        <v>2</v>
      </c>
      <c r="N173" s="1">
        <v>119595.04</v>
      </c>
      <c r="O173" s="17">
        <f>N173/N176*100</f>
        <v>60.285710670725997</v>
      </c>
      <c r="P173" s="52">
        <f>((O173*O173*(I173/100)*(K173/100))/(L173-1))</f>
        <v>1.4422425754682127E-2</v>
      </c>
      <c r="R173" s="16" t="s">
        <v>66</v>
      </c>
      <c r="S173" t="s">
        <v>9</v>
      </c>
      <c r="T173" s="1">
        <f>N461</f>
        <v>2280.36</v>
      </c>
      <c r="U173" s="1">
        <f>N462</f>
        <v>12165.05</v>
      </c>
      <c r="V173" s="1">
        <f>N463</f>
        <v>119321.13</v>
      </c>
      <c r="W173" s="1">
        <f>N464</f>
        <v>43035.79</v>
      </c>
      <c r="X173" s="1">
        <f>N465</f>
        <v>21578.09</v>
      </c>
      <c r="Z173" t="s">
        <v>36</v>
      </c>
      <c r="AA173" s="1">
        <f>N466</f>
        <v>198380.42</v>
      </c>
      <c r="AD173" s="51"/>
      <c r="AE173" s="51"/>
      <c r="BF173" s="51"/>
      <c r="BG173" s="1"/>
    </row>
    <row r="174" spans="1:62" ht="15.6" x14ac:dyDescent="0.35">
      <c r="A174" t="s">
        <v>6</v>
      </c>
      <c r="B174" s="13">
        <v>3</v>
      </c>
      <c r="C174" s="33">
        <f t="shared" si="38"/>
        <v>0</v>
      </c>
      <c r="D174" s="19">
        <f t="shared" si="38"/>
        <v>0</v>
      </c>
      <c r="E174" s="19">
        <f t="shared" si="38"/>
        <v>0.37064341302512371</v>
      </c>
      <c r="F174" s="34">
        <f t="shared" si="38"/>
        <v>19.405241801937589</v>
      </c>
      <c r="G174" s="20">
        <f t="shared" si="38"/>
        <v>1.6637770984683333</v>
      </c>
      <c r="H174" s="17">
        <f>SUM(C174:G174)</f>
        <v>21.439662313431047</v>
      </c>
      <c r="I174" s="17">
        <f>F174/H174*100</f>
        <v>90.510948905109473</v>
      </c>
      <c r="J174" s="17">
        <f>SQRT(I174*(100-I174)/(L174-1))</f>
        <v>0.57452417193552885</v>
      </c>
      <c r="K174" s="18">
        <f>100-I174</f>
        <v>9.4890510948905273</v>
      </c>
      <c r="L174" s="1">
        <f>H163</f>
        <v>2603</v>
      </c>
      <c r="M174">
        <v>3</v>
      </c>
      <c r="N174" s="1">
        <v>42532.09</v>
      </c>
      <c r="O174" s="17">
        <f>N174/N176*100</f>
        <v>21.439662313431047</v>
      </c>
      <c r="P174" s="52">
        <f>((O174*O174*(I174/100)*(K174/100))/(L174-1))</f>
        <v>1.517233741443203E-2</v>
      </c>
      <c r="R174" s="16" t="s">
        <v>323</v>
      </c>
      <c r="S174" t="s">
        <v>68</v>
      </c>
      <c r="T174" s="57">
        <f>$AA173*T166/100</f>
        <v>2280.36</v>
      </c>
      <c r="U174" s="57">
        <f>$AA173*U166/100</f>
        <v>13456.781998157287</v>
      </c>
      <c r="V174" s="57">
        <f>$AA173*V166/100</f>
        <v>117081.01292049553</v>
      </c>
      <c r="W174" s="57">
        <f>$AA173*W166/100</f>
        <v>43138.067220645156</v>
      </c>
      <c r="X174" s="57">
        <f>$AA173*X166/100</f>
        <v>22424.197860702043</v>
      </c>
      <c r="Z174" t="s">
        <v>36</v>
      </c>
      <c r="AA174" s="25">
        <f>SUM(T174:X174)</f>
        <v>198380.42000000004</v>
      </c>
      <c r="AD174" s="51"/>
      <c r="AE174" s="51"/>
      <c r="AH174" s="78"/>
      <c r="AI174" s="78"/>
      <c r="BF174" s="51"/>
      <c r="BG174" s="1"/>
    </row>
    <row r="175" spans="1:62" x14ac:dyDescent="0.3">
      <c r="A175" t="s">
        <v>7</v>
      </c>
      <c r="B175" s="13">
        <v>4</v>
      </c>
      <c r="C175" s="35">
        <f t="shared" si="38"/>
        <v>0</v>
      </c>
      <c r="D175" s="36">
        <f t="shared" si="38"/>
        <v>0</v>
      </c>
      <c r="E175" s="21">
        <f t="shared" si="38"/>
        <v>0.15842291123066704</v>
      </c>
      <c r="F175" s="21">
        <f t="shared" si="38"/>
        <v>1.686072412383528</v>
      </c>
      <c r="G175" s="37">
        <f t="shared" si="38"/>
        <v>9.0187900179172598</v>
      </c>
      <c r="H175" s="17">
        <f>SUM(C175:G175)</f>
        <v>10.863285341531455</v>
      </c>
      <c r="I175" s="17">
        <f>G175/H175*100</f>
        <v>83.020833333333329</v>
      </c>
      <c r="J175" s="17">
        <f>SQRT(I175*(100-I175)/(L175-1))</f>
        <v>1.2123902252844154</v>
      </c>
      <c r="K175" s="18">
        <f>100-I175</f>
        <v>16.979166666666671</v>
      </c>
      <c r="L175" s="1">
        <f>H164</f>
        <v>960</v>
      </c>
      <c r="M175">
        <v>4</v>
      </c>
      <c r="N175" s="1">
        <v>21550.63</v>
      </c>
      <c r="O175" s="17">
        <f>N175/N176*100</f>
        <v>10.863285341531455</v>
      </c>
      <c r="P175" s="52">
        <f>((O175*O175*(I175/100)*(K175/100))/(L175-1))</f>
        <v>1.7346314924616028E-2</v>
      </c>
      <c r="R175" s="66"/>
      <c r="S175" s="66" t="s">
        <v>67</v>
      </c>
      <c r="T175" s="67">
        <f>$AA173*T167/100</f>
        <v>0</v>
      </c>
      <c r="U175" s="67">
        <f>$AA173*U167/100</f>
        <v>167.20619655055006</v>
      </c>
      <c r="V175" s="67">
        <f>$AA173*V167/100</f>
        <v>292.40404742911971</v>
      </c>
      <c r="W175" s="67">
        <f>$AA173*W167/100</f>
        <v>373.49520040281357</v>
      </c>
      <c r="X175" s="67">
        <f>$AA173*X167/100</f>
        <v>383.96257500446052</v>
      </c>
      <c r="AA175" s="1"/>
      <c r="AD175" s="51"/>
      <c r="AE175" s="51"/>
      <c r="BF175" s="51"/>
      <c r="BG175" s="1"/>
    </row>
    <row r="176" spans="1:62" x14ac:dyDescent="0.3">
      <c r="B176" t="s">
        <v>28</v>
      </c>
      <c r="C176" s="17">
        <f t="shared" ref="C176:H176" si="39">SUM(C171:C175)</f>
        <v>1.1546654228610576</v>
      </c>
      <c r="D176" s="17">
        <f t="shared" si="39"/>
        <v>6.9470802075089289</v>
      </c>
      <c r="E176" s="17">
        <f t="shared" si="39"/>
        <v>59.008121874997151</v>
      </c>
      <c r="F176" s="17">
        <f t="shared" si="39"/>
        <v>21.539444243634527</v>
      </c>
      <c r="G176" s="17">
        <f t="shared" si="39"/>
        <v>11.350688250998315</v>
      </c>
      <c r="H176" s="18">
        <f t="shared" si="39"/>
        <v>99.999999999999986</v>
      </c>
      <c r="I176" s="13" t="s">
        <v>24</v>
      </c>
      <c r="J176" s="12" t="s">
        <v>29</v>
      </c>
      <c r="N176" s="1">
        <f>SUM(N171:N175)</f>
        <v>198380.41</v>
      </c>
      <c r="O176" s="17">
        <f>SUM(O171:O175)</f>
        <v>99.999999999999986</v>
      </c>
      <c r="R176" t="s">
        <v>109</v>
      </c>
      <c r="S176" t="s">
        <v>28</v>
      </c>
      <c r="T176" s="57">
        <f>C495</f>
        <v>1.1678270046926504</v>
      </c>
      <c r="U176" s="57">
        <f t="shared" ref="U176:X179" si="40">D495</f>
        <v>6.6528163418121737</v>
      </c>
      <c r="V176" s="57">
        <f t="shared" si="40"/>
        <v>58.783110364769698</v>
      </c>
      <c r="W176" s="57">
        <f t="shared" si="40"/>
        <v>22.186196244759984</v>
      </c>
      <c r="X176" s="57">
        <f t="shared" si="40"/>
        <v>11.210050043965479</v>
      </c>
      <c r="AD176" s="51"/>
      <c r="AE176" s="51"/>
      <c r="AH176" s="78"/>
      <c r="AI176" s="78"/>
      <c r="BF176" s="51"/>
      <c r="BG176" s="1"/>
    </row>
    <row r="177" spans="1:59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0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7.7764911963685415E-2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0.13973796625846993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0.18683902624653914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0.18802109281776402</v>
      </c>
      <c r="H177" s="1"/>
      <c r="I177" s="14">
        <f>(C171+D172+E173+F174+G175)/H176</f>
        <v>0.9427751650065137</v>
      </c>
      <c r="J177" s="53">
        <f>SQRT(SUM(P171:P175))/100</f>
        <v>2.1744358365930077E-3</v>
      </c>
      <c r="M177" s="1"/>
      <c r="N177" s="9"/>
      <c r="S177" s="66" t="s">
        <v>39</v>
      </c>
      <c r="T177" s="67">
        <f>C496</f>
        <v>0</v>
      </c>
      <c r="U177" s="67">
        <f t="shared" si="40"/>
        <v>7.6534677757058314E-2</v>
      </c>
      <c r="V177" s="67">
        <f t="shared" si="40"/>
        <v>0.14028888224504957</v>
      </c>
      <c r="W177" s="67">
        <f t="shared" si="40"/>
        <v>0.18479991575087179</v>
      </c>
      <c r="X177" s="67">
        <f t="shared" si="40"/>
        <v>0.18868933329541118</v>
      </c>
      <c r="AD177" s="51"/>
      <c r="AE177" s="51"/>
      <c r="BF177" s="51"/>
      <c r="BG177" s="1"/>
    </row>
    <row r="178" spans="1:59" x14ac:dyDescent="0.3">
      <c r="B178" s="1" t="s">
        <v>30</v>
      </c>
      <c r="C178" s="17">
        <f>C171/C176*100</f>
        <v>100</v>
      </c>
      <c r="D178" s="17">
        <f>D172/D176*100</f>
        <v>89.796285532726699</v>
      </c>
      <c r="E178" s="17">
        <f>E173/E176*100</f>
        <v>99.072123329829367</v>
      </c>
      <c r="F178" s="17">
        <f>F174/F176*100</f>
        <v>90.091655023422192</v>
      </c>
      <c r="G178" s="17">
        <f>G175/G176*100</f>
        <v>79.455886889713838</v>
      </c>
      <c r="H178" s="1"/>
      <c r="S178" s="70" t="s">
        <v>30</v>
      </c>
      <c r="T178" s="64">
        <f>C497</f>
        <v>100</v>
      </c>
      <c r="U178" s="64">
        <f t="shared" si="40"/>
        <v>90.227255724513384</v>
      </c>
      <c r="V178" s="64">
        <f t="shared" si="40"/>
        <v>99.128532249502996</v>
      </c>
      <c r="W178" s="64">
        <f t="shared" si="40"/>
        <v>90.075225927481313</v>
      </c>
      <c r="X178" s="64">
        <f t="shared" si="40"/>
        <v>79.891438964487833</v>
      </c>
      <c r="AD178" s="51"/>
      <c r="AE178" s="51"/>
      <c r="AH178" s="78"/>
      <c r="AI178" s="78"/>
      <c r="BF178" s="51"/>
      <c r="BG178" s="1"/>
    </row>
    <row r="179" spans="1:59" x14ac:dyDescent="0.3">
      <c r="B179" s="16" t="s">
        <v>39</v>
      </c>
      <c r="C179" s="18">
        <f>SQRT((C182+C183)/(C176*C176))</f>
        <v>0</v>
      </c>
      <c r="D179" s="18">
        <f>SQRT((D182+D183)/(D176*D176))</f>
        <v>1.0135276337625501</v>
      </c>
      <c r="E179" s="18">
        <f>SQRT((E182+E183)/(E176*E176))</f>
        <v>0.12149817895957234</v>
      </c>
      <c r="F179" s="18">
        <f>SQRT((F182+F183)/(F176*F176))</f>
        <v>0.81654335788930876</v>
      </c>
      <c r="G179" s="18">
        <f>SQRT((G182+G183)/(G176*G176))</f>
        <v>2.5624079143356671</v>
      </c>
      <c r="H179" s="1"/>
      <c r="S179" s="66" t="s">
        <v>39</v>
      </c>
      <c r="T179" s="67">
        <f>C498</f>
        <v>0</v>
      </c>
      <c r="U179" s="67">
        <f t="shared" si="40"/>
        <v>1.0478709366631362</v>
      </c>
      <c r="V179" s="67">
        <f t="shared" si="40"/>
        <v>0.12092344407552451</v>
      </c>
      <c r="W179" s="67">
        <f t="shared" si="40"/>
        <v>0.78249910356767893</v>
      </c>
      <c r="X179" s="67">
        <f t="shared" si="40"/>
        <v>2.5791037594797652</v>
      </c>
      <c r="AD179" s="51"/>
      <c r="AE179" s="51"/>
      <c r="BF179" s="51"/>
      <c r="BG179" s="1"/>
    </row>
    <row r="180" spans="1:59" x14ac:dyDescent="0.3">
      <c r="B180" s="1" t="s">
        <v>37</v>
      </c>
      <c r="C180" s="18">
        <f>100-C178</f>
        <v>0</v>
      </c>
      <c r="D180" s="18">
        <f>100-D178</f>
        <v>10.203714467273301</v>
      </c>
      <c r="E180" s="18">
        <f>100-E178</f>
        <v>0.92787667017063313</v>
      </c>
      <c r="F180" s="18">
        <f>100-F178</f>
        <v>9.9083449765778084</v>
      </c>
      <c r="G180" s="18">
        <f>100-G178</f>
        <v>20.544113110286162</v>
      </c>
      <c r="S180" s="70" t="s">
        <v>31</v>
      </c>
      <c r="T180" s="64">
        <f>I490</f>
        <v>100</v>
      </c>
      <c r="U180" s="64">
        <f>I491</f>
        <v>99.410029498525077</v>
      </c>
      <c r="V180" s="64">
        <f>I492</f>
        <v>96.904987160427083</v>
      </c>
      <c r="W180" s="64">
        <f>I493</f>
        <v>91.701882443334625</v>
      </c>
      <c r="X180" s="64">
        <f>I494</f>
        <v>82.395833333333329</v>
      </c>
      <c r="AD180" s="51"/>
      <c r="AE180" s="51"/>
      <c r="AH180" s="78"/>
      <c r="AI180" s="78"/>
      <c r="BF180" s="51"/>
      <c r="BG180" s="1"/>
    </row>
    <row r="181" spans="1:59" ht="15.6" x14ac:dyDescent="0.35">
      <c r="B181" s="1" t="s">
        <v>25</v>
      </c>
      <c r="C181" s="1">
        <f>C165</f>
        <v>259</v>
      </c>
      <c r="D181" s="1">
        <f>D165</f>
        <v>425</v>
      </c>
      <c r="E181" s="1">
        <f>E165</f>
        <v>7235</v>
      </c>
      <c r="F181" s="1">
        <f>F165</f>
        <v>2560</v>
      </c>
      <c r="G181" s="1">
        <f>G165</f>
        <v>1081</v>
      </c>
      <c r="S181" s="66" t="s">
        <v>39</v>
      </c>
      <c r="T181" s="67">
        <f>J490</f>
        <v>0</v>
      </c>
      <c r="U181" s="67">
        <f>J491</f>
        <v>0.41655456661415408</v>
      </c>
      <c r="V181" s="67">
        <f>J492</f>
        <v>0.20134791102974867</v>
      </c>
      <c r="W181" s="67">
        <f>J493</f>
        <v>0.54078578943486344</v>
      </c>
      <c r="X181" s="67">
        <f>J494</f>
        <v>1.2298469188627388</v>
      </c>
      <c r="AD181" s="51"/>
      <c r="AE181" s="51"/>
      <c r="BF181" s="51"/>
      <c r="BG181" s="1"/>
    </row>
    <row r="182" spans="1:59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3.5465375654435469</v>
      </c>
      <c r="E182" s="18">
        <f>(O173*O173*(100-E178)*(100-E178)*(I173)*(100-I173))/((L173-1)*100)</f>
        <v>1.241706122487833</v>
      </c>
      <c r="F182" s="18">
        <f>(O174*O174*(100-F178)*(100-F178)*(I174)*(100-I174))/((L174-1)*100)</f>
        <v>148.95487800163468</v>
      </c>
      <c r="G182" s="18">
        <f>(O175*O175*(100-G178)*(100-G178)*(I175)*(100-I175))/((L175-1)*100)</f>
        <v>732.11957984540629</v>
      </c>
      <c r="S182" s="68" t="s">
        <v>56</v>
      </c>
      <c r="T182" s="65">
        <f>N479*100</f>
        <v>100</v>
      </c>
      <c r="U182" s="65">
        <f>N480*100</f>
        <v>89.153439153439152</v>
      </c>
      <c r="V182" s="65">
        <f>N481*100</f>
        <v>98.06469260753606</v>
      </c>
      <c r="W182" s="65">
        <f>N482*100</f>
        <v>91.807692307692307</v>
      </c>
      <c r="X182" s="65">
        <f>N483*100</f>
        <v>78.200692041522487</v>
      </c>
      <c r="AD182" s="51"/>
      <c r="AE182" s="51"/>
      <c r="AH182" s="78"/>
      <c r="AI182" s="78"/>
      <c r="BF182" s="51"/>
      <c r="BG182" s="1"/>
    </row>
    <row r="183" spans="1:59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46.029956874416108</v>
      </c>
      <c r="E183" s="18">
        <f>E178*E178*(SUM((H171*E171*(1-E160/H160))/(H160-1),(H172*E172*(1-E161/H161))/(H161-1), (H174*E174*(1-E163/H163))/(H163-1),(H175*E175*(1-E164/H164))/(H164-1)))</f>
        <v>50.158294165186248</v>
      </c>
      <c r="F183" s="18">
        <f>F178*F178*(SUM((H171*F171*(1-F160/H160))/(H160-1),(H172*F172*(1-F161/H161))/(H161-1), (H173*F173*(1-F162/H162))/(H162-1),(H175*F175*(1-F164/H164))/(H164-1)))</f>
        <v>160.37900121511657</v>
      </c>
      <c r="G183" s="18">
        <f>G178*G178*(SUM((H171*G171*(1-G160/H160))/(H160-1),(H172*G172*(1-G161/H161))/(H161-1), (H173*G173*(1-G162/H162))/(H162-1),(H174*G174*(1-G163/H163))/(H163-1)))</f>
        <v>113.8230786784635</v>
      </c>
      <c r="R183" s="16" t="s">
        <v>66</v>
      </c>
      <c r="S183" t="s">
        <v>9</v>
      </c>
      <c r="T183" s="1">
        <f>N490</f>
        <v>2316.7399999999998</v>
      </c>
      <c r="U183" s="1">
        <f>N491</f>
        <v>11978.76</v>
      </c>
      <c r="V183" s="1">
        <f>N492</f>
        <v>119289.96</v>
      </c>
      <c r="W183" s="1">
        <f>N493</f>
        <v>43232.34</v>
      </c>
      <c r="X183" s="1">
        <f>N494</f>
        <v>21562.61</v>
      </c>
      <c r="Z183" t="s">
        <v>36</v>
      </c>
      <c r="AA183" s="1">
        <f>N495</f>
        <v>198380.41000000003</v>
      </c>
      <c r="AD183" s="51"/>
      <c r="AE183" s="51"/>
      <c r="AK183" s="2"/>
      <c r="AL183" s="2"/>
      <c r="BF183" s="51"/>
      <c r="BG183" s="1"/>
    </row>
    <row r="184" spans="1:59" ht="15.6" x14ac:dyDescent="0.35">
      <c r="A184" s="105" t="s">
        <v>390</v>
      </c>
      <c r="B184" s="69" t="s">
        <v>9</v>
      </c>
      <c r="C184" s="1">
        <v>279.01</v>
      </c>
      <c r="D184" s="1">
        <v>2417.9</v>
      </c>
      <c r="E184" s="1">
        <v>16230.69</v>
      </c>
      <c r="F184">
        <v>2014.02</v>
      </c>
      <c r="G184">
        <v>1203.32</v>
      </c>
      <c r="I184" t="s">
        <v>36</v>
      </c>
      <c r="J184" s="57">
        <f>SUM(C184:G184)</f>
        <v>22144.94</v>
      </c>
      <c r="R184" s="16" t="s">
        <v>323</v>
      </c>
      <c r="S184" t="s">
        <v>68</v>
      </c>
      <c r="T184" s="57">
        <f>$AA183*T176/100</f>
        <v>2316.7399999999993</v>
      </c>
      <c r="U184" s="57">
        <f>$AA183*U176/100</f>
        <v>13197.884335433995</v>
      </c>
      <c r="V184" s="57">
        <f>$AA183*V176/100</f>
        <v>116614.17535238265</v>
      </c>
      <c r="W184" s="57">
        <f>$AA183*W176/100</f>
        <v>44013.067073759463</v>
      </c>
      <c r="X184" s="57">
        <f>$AA183*X176/100</f>
        <v>22238.543238423899</v>
      </c>
      <c r="Z184" t="s">
        <v>36</v>
      </c>
      <c r="AA184" s="25">
        <f>SUM(T184:X184)</f>
        <v>198380.41</v>
      </c>
      <c r="AD184" s="51"/>
      <c r="AE184" s="51"/>
      <c r="AH184" s="78"/>
      <c r="AI184" s="78"/>
      <c r="BF184" s="51"/>
      <c r="BG184" s="1"/>
    </row>
    <row r="185" spans="1:59" x14ac:dyDescent="0.3">
      <c r="B185" t="s">
        <v>391</v>
      </c>
      <c r="C185" s="57">
        <f>(C184/$J184)*100</f>
        <v>1.2599266468999237</v>
      </c>
      <c r="D185" s="57">
        <f>(D184/$J184)*100</f>
        <v>10.918521341669926</v>
      </c>
      <c r="E185" s="57">
        <f>(E184/$J184)*100</f>
        <v>73.292996052371336</v>
      </c>
      <c r="F185" s="57">
        <f>(F184/$J184)*100</f>
        <v>9.0947187032342374</v>
      </c>
      <c r="G185" s="57">
        <f>(G184/$J184)*100</f>
        <v>5.4338372558245815</v>
      </c>
      <c r="R185" s="66"/>
      <c r="S185" s="66" t="s">
        <v>67</v>
      </c>
      <c r="T185" s="67">
        <f>$AA183*T177/100</f>
        <v>0</v>
      </c>
      <c r="U185" s="67">
        <f>$AA183*U177/100</f>
        <v>151.82980752663113</v>
      </c>
      <c r="V185" s="67">
        <f>$AA183*V177/100</f>
        <v>278.30565978214656</v>
      </c>
      <c r="W185" s="67">
        <f>$AA183*W177/100</f>
        <v>366.60683054623411</v>
      </c>
      <c r="X185" s="67">
        <f>$AA183*X177/100</f>
        <v>374.32267301770327</v>
      </c>
      <c r="AA185" s="1"/>
      <c r="AD185" s="51"/>
      <c r="AE185" s="51"/>
      <c r="AM185" s="2"/>
      <c r="AN185" s="2"/>
      <c r="BF185" s="51"/>
      <c r="BG185" s="1"/>
    </row>
    <row r="186" spans="1:59" x14ac:dyDescent="0.3">
      <c r="A186" s="361" t="s">
        <v>397</v>
      </c>
      <c r="B186" s="361"/>
      <c r="C186" s="361"/>
      <c r="D186" s="361"/>
      <c r="E186" s="361"/>
      <c r="F186" s="361"/>
      <c r="G186" s="361"/>
      <c r="H186" s="361"/>
      <c r="I186" s="361"/>
      <c r="J186" s="361"/>
      <c r="K186" s="361"/>
      <c r="L186" s="361" t="s">
        <v>84</v>
      </c>
      <c r="M186" s="361"/>
      <c r="N186" s="361"/>
      <c r="O186" s="361"/>
      <c r="P186" s="361"/>
      <c r="R186" t="s">
        <v>110</v>
      </c>
      <c r="S186" s="70" t="s">
        <v>28</v>
      </c>
      <c r="T186" s="64">
        <f>C524</f>
        <v>1.1732256641053589</v>
      </c>
      <c r="U186" s="64">
        <f t="shared" ref="U186:X189" si="41">D524</f>
        <v>6.8039597133599443</v>
      </c>
      <c r="V186" s="64">
        <f t="shared" si="41"/>
        <v>58.708918386929874</v>
      </c>
      <c r="W186" s="64">
        <f t="shared" si="41"/>
        <v>21.970053643105768</v>
      </c>
      <c r="X186" s="64">
        <f t="shared" si="41"/>
        <v>11.343842592499058</v>
      </c>
      <c r="AA186" s="12"/>
      <c r="AD186" s="51"/>
      <c r="AE186" s="51"/>
      <c r="AH186" s="78"/>
      <c r="AI186" s="78"/>
      <c r="BF186" s="51"/>
      <c r="BG186" s="1"/>
    </row>
    <row r="187" spans="1:59" x14ac:dyDescent="0.3">
      <c r="A187" t="s">
        <v>320</v>
      </c>
      <c r="B187" t="s">
        <v>21</v>
      </c>
      <c r="I187" s="1" t="s">
        <v>58</v>
      </c>
      <c r="O187" s="360" t="s">
        <v>411</v>
      </c>
      <c r="P187" s="360"/>
      <c r="S187" s="66" t="s">
        <v>39</v>
      </c>
      <c r="T187" s="67">
        <f>C525</f>
        <v>0</v>
      </c>
      <c r="U187" s="67">
        <f t="shared" si="41"/>
        <v>7.8694472297750562E-2</v>
      </c>
      <c r="V187" s="67">
        <f t="shared" si="41"/>
        <v>0.14202069006317303</v>
      </c>
      <c r="W187" s="67">
        <f t="shared" si="41"/>
        <v>0.18398357436301044</v>
      </c>
      <c r="X187" s="67">
        <f t="shared" si="41"/>
        <v>0.18702180648880534</v>
      </c>
      <c r="AD187" s="51"/>
      <c r="AE187" s="51"/>
      <c r="AM187" s="2"/>
      <c r="AN187" s="2"/>
      <c r="BF187" s="51"/>
      <c r="BG187" s="1"/>
    </row>
    <row r="188" spans="1:59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56</v>
      </c>
      <c r="O188" s="13" t="s">
        <v>412</v>
      </c>
      <c r="P188" s="13" t="s">
        <v>41</v>
      </c>
      <c r="S188" t="s">
        <v>30</v>
      </c>
      <c r="T188" s="57">
        <f>C526</f>
        <v>100</v>
      </c>
      <c r="U188" s="57">
        <f t="shared" si="41"/>
        <v>89.250888480184543</v>
      </c>
      <c r="V188" s="57">
        <f t="shared" si="41"/>
        <v>99.120021386096312</v>
      </c>
      <c r="W188" s="57">
        <f t="shared" si="41"/>
        <v>90.303920210181701</v>
      </c>
      <c r="X188" s="57">
        <f t="shared" si="41"/>
        <v>80.187870150455382</v>
      </c>
      <c r="AD188" s="51"/>
      <c r="AE188" s="51"/>
      <c r="AH188" s="78"/>
      <c r="AI188" s="78"/>
      <c r="BF188" s="51"/>
      <c r="BG188" s="1"/>
    </row>
    <row r="189" spans="1:59" x14ac:dyDescent="0.3">
      <c r="A189" t="s">
        <v>3</v>
      </c>
      <c r="B189" s="13">
        <v>0</v>
      </c>
      <c r="C189" s="26">
        <v>259</v>
      </c>
      <c r="D189" s="3">
        <v>0</v>
      </c>
      <c r="E189" s="3">
        <v>0</v>
      </c>
      <c r="F189" s="3">
        <v>0</v>
      </c>
      <c r="G189" s="4">
        <v>0</v>
      </c>
      <c r="H189" s="1">
        <f>SUM(C189:G189)</f>
        <v>259</v>
      </c>
      <c r="I189" s="10">
        <f>C189/H189</f>
        <v>1</v>
      </c>
      <c r="J189" s="11">
        <f>1-I189</f>
        <v>0</v>
      </c>
      <c r="K189">
        <f>H189-C194</f>
        <v>0</v>
      </c>
      <c r="N189" s="10">
        <f>2*(C195*I189)/(C195+I189)</f>
        <v>1</v>
      </c>
      <c r="O189" s="1"/>
      <c r="P189" s="1"/>
      <c r="S189" s="66" t="s">
        <v>39</v>
      </c>
      <c r="T189" s="67">
        <f>C527</f>
        <v>0</v>
      </c>
      <c r="U189" s="67">
        <f t="shared" si="41"/>
        <v>1.044467371757162</v>
      </c>
      <c r="V189" s="67">
        <f t="shared" si="41"/>
        <v>0.12036666763341516</v>
      </c>
      <c r="W189" s="67">
        <f t="shared" si="41"/>
        <v>0.7800733310786846</v>
      </c>
      <c r="X189" s="67">
        <f t="shared" si="41"/>
        <v>2.4866453831805386</v>
      </c>
      <c r="AD189" s="51"/>
      <c r="AE189" s="51"/>
      <c r="AM189" s="2"/>
      <c r="AN189" s="2"/>
      <c r="BF189" s="51"/>
      <c r="BG189" s="1"/>
    </row>
    <row r="190" spans="1:59" x14ac:dyDescent="0.3">
      <c r="A190" t="s">
        <v>4</v>
      </c>
      <c r="B190" s="13">
        <v>1</v>
      </c>
      <c r="C190" s="5">
        <v>0</v>
      </c>
      <c r="D190" s="27">
        <v>334</v>
      </c>
      <c r="E190" s="1">
        <v>5</v>
      </c>
      <c r="F190" s="1">
        <v>0</v>
      </c>
      <c r="G190" s="6">
        <v>0</v>
      </c>
      <c r="H190" s="1">
        <f>SUM(C190:G190)</f>
        <v>339</v>
      </c>
      <c r="I190" s="10">
        <f>D190/H190</f>
        <v>0.98525073746312686</v>
      </c>
      <c r="J190" s="11">
        <f>1-I190</f>
        <v>1.4749262536873142E-2</v>
      </c>
      <c r="K190">
        <f>H190-D194</f>
        <v>-77</v>
      </c>
      <c r="N190" s="10">
        <f>2*(D195*I190)/(D195+I190)</f>
        <v>0.8847682119205299</v>
      </c>
      <c r="O190" s="1"/>
      <c r="P190" s="1"/>
      <c r="S190" t="s">
        <v>31</v>
      </c>
      <c r="T190" s="57">
        <f>I519</f>
        <v>100</v>
      </c>
      <c r="U190" s="57">
        <f>I520</f>
        <v>99.705014749262531</v>
      </c>
      <c r="V190" s="57">
        <f>I521</f>
        <v>96.783349101229888</v>
      </c>
      <c r="W190" s="57">
        <f>I522</f>
        <v>91.509796388782163</v>
      </c>
      <c r="X190" s="57">
        <f>I523</f>
        <v>83.229166666666671</v>
      </c>
      <c r="AD190" s="51"/>
      <c r="AE190" s="51"/>
      <c r="AH190" s="78"/>
      <c r="AI190" s="78"/>
      <c r="BF190" s="51"/>
      <c r="BG190" s="1"/>
    </row>
    <row r="191" spans="1:59" x14ac:dyDescent="0.3">
      <c r="A191" t="s">
        <v>5</v>
      </c>
      <c r="B191" s="13">
        <v>2</v>
      </c>
      <c r="C191" s="5">
        <v>0</v>
      </c>
      <c r="D191" s="1">
        <v>82</v>
      </c>
      <c r="E191" s="27">
        <v>7173</v>
      </c>
      <c r="F191" s="1">
        <v>57</v>
      </c>
      <c r="G191" s="6">
        <v>87</v>
      </c>
      <c r="H191" s="1">
        <f>SUM(C191:G191)</f>
        <v>7399</v>
      </c>
      <c r="I191" s="10">
        <f>E191/H191</f>
        <v>0.96945533180159482</v>
      </c>
      <c r="J191" s="11">
        <f>1-I191</f>
        <v>3.0544668198405178E-2</v>
      </c>
      <c r="K191">
        <f>H191-E194</f>
        <v>156</v>
      </c>
      <c r="N191" s="10">
        <f>2*(E195*I191)/(E195+I191)</f>
        <v>0.979784182488731</v>
      </c>
      <c r="O191" s="1"/>
      <c r="P191" s="1"/>
      <c r="S191" s="66" t="s">
        <v>39</v>
      </c>
      <c r="T191" s="67">
        <f>J519</f>
        <v>0</v>
      </c>
      <c r="U191" s="67">
        <f>J520</f>
        <v>0.2949852507374659</v>
      </c>
      <c r="V191" s="67">
        <f>J521</f>
        <v>0.20513753121822509</v>
      </c>
      <c r="W191" s="67">
        <f>J522</f>
        <v>0.54643587118963</v>
      </c>
      <c r="X191" s="67">
        <f>J523</f>
        <v>1.2064401752225082</v>
      </c>
      <c r="AD191" s="51"/>
      <c r="AE191" s="51"/>
      <c r="AM191" s="78"/>
      <c r="AN191" s="78"/>
      <c r="BF191" s="51"/>
      <c r="BG191" s="1"/>
    </row>
    <row r="192" spans="1:59" x14ac:dyDescent="0.3">
      <c r="A192" t="s">
        <v>6</v>
      </c>
      <c r="B192" s="13">
        <v>3</v>
      </c>
      <c r="C192" s="5">
        <v>0</v>
      </c>
      <c r="D192" s="1">
        <v>0</v>
      </c>
      <c r="E192" s="1">
        <v>45</v>
      </c>
      <c r="F192" s="27">
        <v>2373</v>
      </c>
      <c r="G192" s="6">
        <v>185</v>
      </c>
      <c r="H192" s="1">
        <f>SUM(C192:G192)</f>
        <v>2603</v>
      </c>
      <c r="I192" s="10">
        <f>F192/H192</f>
        <v>0.91164041490587788</v>
      </c>
      <c r="J192" s="11">
        <f>1-I192</f>
        <v>8.8359585094122117E-2</v>
      </c>
      <c r="K192">
        <f>H192-F194</f>
        <v>32</v>
      </c>
      <c r="N192" s="10">
        <f>2*(F195*I192)/(F195+I192)</f>
        <v>0.91727870119829913</v>
      </c>
      <c r="O192" s="1"/>
      <c r="P192" s="1"/>
      <c r="S192" s="66" t="s">
        <v>56</v>
      </c>
      <c r="T192" s="67">
        <f>N508*100</f>
        <v>100</v>
      </c>
      <c r="U192" s="67">
        <f>N509*100</f>
        <v>88.135593220338976</v>
      </c>
      <c r="V192" s="67">
        <f>N510*100</f>
        <v>97.995210400273692</v>
      </c>
      <c r="W192" s="67">
        <f>N511*100</f>
        <v>91.809597224898823</v>
      </c>
      <c r="X192" s="67">
        <f>N512*100</f>
        <v>78.680452978828157</v>
      </c>
      <c r="AD192" s="51"/>
      <c r="AE192" s="51"/>
      <c r="AH192" s="78"/>
      <c r="AI192" s="78"/>
      <c r="BF192" s="51"/>
      <c r="BG192" s="1"/>
    </row>
    <row r="193" spans="1:59" x14ac:dyDescent="0.3">
      <c r="A193" t="s">
        <v>7</v>
      </c>
      <c r="B193" s="13">
        <v>4</v>
      </c>
      <c r="C193" s="7">
        <v>0</v>
      </c>
      <c r="D193" s="8">
        <v>0</v>
      </c>
      <c r="E193" s="8">
        <v>20</v>
      </c>
      <c r="F193" s="8">
        <v>141</v>
      </c>
      <c r="G193" s="28">
        <v>799</v>
      </c>
      <c r="H193" s="1">
        <f>SUM(C193:G193)</f>
        <v>960</v>
      </c>
      <c r="I193" s="10">
        <f>G193/H193</f>
        <v>0.83229166666666665</v>
      </c>
      <c r="J193" s="11">
        <f>1-I193</f>
        <v>0.16770833333333335</v>
      </c>
      <c r="K193">
        <f>H193-G194</f>
        <v>-111</v>
      </c>
      <c r="N193" s="10">
        <f>2*(G195*I193)/(G195+I193)</f>
        <v>0.78680452978828164</v>
      </c>
      <c r="O193" s="1"/>
      <c r="P193" s="1"/>
      <c r="R193" s="16" t="s">
        <v>66</v>
      </c>
      <c r="S193" t="s">
        <v>9</v>
      </c>
      <c r="T193" s="1">
        <f>N519</f>
        <v>2327.4499999999998</v>
      </c>
      <c r="U193" s="1">
        <f>N520</f>
        <v>12082.48</v>
      </c>
      <c r="V193" s="1">
        <f>N521</f>
        <v>119278.9</v>
      </c>
      <c r="W193" s="1">
        <f>N522</f>
        <v>43009.95</v>
      </c>
      <c r="X193" s="1">
        <f>N523</f>
        <v>21681.64</v>
      </c>
      <c r="Z193" t="s">
        <v>36</v>
      </c>
      <c r="AA193" s="1">
        <f>N524</f>
        <v>198380.41999999998</v>
      </c>
      <c r="AD193" s="51"/>
      <c r="AE193" s="51"/>
      <c r="AL193" s="132">
        <v>0</v>
      </c>
      <c r="AM193" s="133">
        <v>1</v>
      </c>
      <c r="AN193" s="133">
        <v>2</v>
      </c>
      <c r="AO193" s="133">
        <v>3</v>
      </c>
      <c r="AP193" s="134">
        <v>4</v>
      </c>
      <c r="BF193" s="51"/>
      <c r="BG193" s="1"/>
    </row>
    <row r="194" spans="1:59" ht="15.6" x14ac:dyDescent="0.35">
      <c r="B194" s="1" t="s">
        <v>19</v>
      </c>
      <c r="C194" s="1">
        <f>SUM(C189:C193)</f>
        <v>259</v>
      </c>
      <c r="D194" s="1">
        <f>SUM(D189:D193)</f>
        <v>416</v>
      </c>
      <c r="E194" s="1">
        <f>SUM(E189:E193)</f>
        <v>7243</v>
      </c>
      <c r="F194" s="1">
        <f>SUM(F189:F193)</f>
        <v>2571</v>
      </c>
      <c r="G194" s="1">
        <f>SUM(G189:G193)</f>
        <v>1071</v>
      </c>
      <c r="H194" s="1">
        <f>SUM(H188:H193)</f>
        <v>11560</v>
      </c>
      <c r="I194" s="13" t="s">
        <v>12</v>
      </c>
      <c r="N194" s="16" t="s">
        <v>36</v>
      </c>
      <c r="O194" s="1">
        <f>SUM(O189:O193)</f>
        <v>0</v>
      </c>
      <c r="P194" s="1">
        <f>SUM(P189:P193)</f>
        <v>0</v>
      </c>
      <c r="R194" s="16" t="s">
        <v>323</v>
      </c>
      <c r="S194" t="s">
        <v>68</v>
      </c>
      <c r="T194" s="57">
        <f>$AA193*T186/100</f>
        <v>2327.4499999999998</v>
      </c>
      <c r="U194" s="57">
        <f>$AA193*U186/100</f>
        <v>13497.723855994253</v>
      </c>
      <c r="V194" s="57">
        <f>$AA193*V186/100</f>
        <v>116466.99887344871</v>
      </c>
      <c r="W194" s="57">
        <f>$AA193*W186/100</f>
        <v>43584.284691418521</v>
      </c>
      <c r="X194" s="57">
        <f>$AA193*X186/100</f>
        <v>22503.962579138515</v>
      </c>
      <c r="Z194" t="s">
        <v>36</v>
      </c>
      <c r="AA194" s="25">
        <f>SUM(T194:X194)</f>
        <v>198380.42</v>
      </c>
      <c r="AD194" s="51"/>
      <c r="AE194" s="51"/>
      <c r="AH194" s="78"/>
      <c r="AI194" s="78"/>
      <c r="AJ194" t="s">
        <v>2</v>
      </c>
      <c r="AQ194" t="s">
        <v>41</v>
      </c>
      <c r="BF194" s="51"/>
      <c r="BG194" s="1"/>
    </row>
    <row r="195" spans="1:59" x14ac:dyDescent="0.3">
      <c r="A195" s="1" t="s">
        <v>321</v>
      </c>
      <c r="B195" s="1" t="s">
        <v>2</v>
      </c>
      <c r="C195" s="10">
        <f>C189/C194</f>
        <v>1</v>
      </c>
      <c r="D195" s="10">
        <f>D190/D194</f>
        <v>0.80288461538461542</v>
      </c>
      <c r="E195" s="10">
        <f>E191/E194</f>
        <v>0.99033549634129503</v>
      </c>
      <c r="F195" s="10">
        <f>F192/F194</f>
        <v>0.92298716452742124</v>
      </c>
      <c r="G195" s="10">
        <f>G193/G194</f>
        <v>0.74603174603174605</v>
      </c>
      <c r="H195" s="10"/>
      <c r="I195" s="14">
        <f>(C189+D190+E191+F192+G193)/H194</f>
        <v>0.94619377162629759</v>
      </c>
      <c r="R195" s="66"/>
      <c r="S195" s="66" t="s">
        <v>67</v>
      </c>
      <c r="T195" s="67">
        <f>$AA193*T187/100</f>
        <v>0</v>
      </c>
      <c r="U195" s="67">
        <f>$AA193*U187/100</f>
        <v>156.11442466106121</v>
      </c>
      <c r="V195" s="67">
        <f>$AA193*V187/100</f>
        <v>281.74124143422091</v>
      </c>
      <c r="W195" s="67">
        <f>$AA193*W187/100</f>
        <v>364.9873875523524</v>
      </c>
      <c r="X195" s="67">
        <f>$AA193*X187/100</f>
        <v>371.01464520407927</v>
      </c>
      <c r="AA195" s="1"/>
      <c r="AD195" s="51"/>
      <c r="AE195" s="51"/>
      <c r="AJ195" t="s">
        <v>415</v>
      </c>
      <c r="AK195">
        <v>0</v>
      </c>
      <c r="AL195" s="1">
        <v>22.69</v>
      </c>
      <c r="AM195" s="1">
        <v>95.16</v>
      </c>
      <c r="AN195" s="1">
        <v>16338.33</v>
      </c>
      <c r="AO195">
        <v>15025.75</v>
      </c>
      <c r="AP195">
        <v>11744.69</v>
      </c>
      <c r="AR195" s="1">
        <v>2284.9499999999998</v>
      </c>
      <c r="AS195" s="1">
        <v>11832.9</v>
      </c>
      <c r="AT195" s="1">
        <v>119762.05</v>
      </c>
      <c r="AU195" s="1">
        <v>42925.75</v>
      </c>
      <c r="AV195" s="1">
        <v>21574.77</v>
      </c>
      <c r="BF195" s="51"/>
      <c r="BG195" s="1"/>
    </row>
    <row r="196" spans="1:59" x14ac:dyDescent="0.3">
      <c r="B196" s="1" t="s">
        <v>14</v>
      </c>
      <c r="C196" s="11">
        <f>1-C195</f>
        <v>0</v>
      </c>
      <c r="D196" s="11">
        <f>1-D195</f>
        <v>0.19711538461538458</v>
      </c>
      <c r="E196" s="11">
        <f>1-E195</f>
        <v>9.6645036587049704E-3</v>
      </c>
      <c r="F196" s="11">
        <f>1-F195</f>
        <v>7.7012835472578756E-2</v>
      </c>
      <c r="G196" s="11">
        <f>1-G195</f>
        <v>0.25396825396825395</v>
      </c>
      <c r="R196" t="s">
        <v>111</v>
      </c>
      <c r="S196" t="s">
        <v>28</v>
      </c>
      <c r="T196" s="57">
        <f>C553</f>
        <v>1.1722275817341248</v>
      </c>
      <c r="U196" s="57">
        <f t="shared" ref="U196:X199" si="42">D553</f>
        <v>6.6702238132799803</v>
      </c>
      <c r="V196" s="57">
        <f t="shared" si="42"/>
        <v>59.12556951084337</v>
      </c>
      <c r="W196" s="57">
        <f t="shared" si="42"/>
        <v>21.581539010910674</v>
      </c>
      <c r="X196" s="57">
        <f t="shared" si="42"/>
        <v>11.450440083231857</v>
      </c>
      <c r="Y196" s="13"/>
      <c r="Z196" s="74"/>
      <c r="AA196" s="12"/>
      <c r="AD196" s="51"/>
      <c r="AE196" s="51"/>
      <c r="AH196" s="78"/>
      <c r="AI196" s="78"/>
      <c r="AJ196" t="s">
        <v>415</v>
      </c>
      <c r="AK196">
        <v>1</v>
      </c>
      <c r="AL196" s="1">
        <v>27.32</v>
      </c>
      <c r="AM196" s="1">
        <v>89.91</v>
      </c>
      <c r="AN196" s="1">
        <v>16318.53</v>
      </c>
      <c r="AO196">
        <v>15004.33</v>
      </c>
      <c r="AP196">
        <v>11786.54</v>
      </c>
      <c r="AR196" s="1">
        <v>2318.54</v>
      </c>
      <c r="AS196" s="1">
        <v>11858.37</v>
      </c>
      <c r="AT196" s="1">
        <v>119516.06</v>
      </c>
      <c r="AU196" s="1">
        <v>42971.22</v>
      </c>
      <c r="AV196" s="1">
        <v>21716.22</v>
      </c>
      <c r="BF196" s="51"/>
      <c r="BG196" s="1"/>
    </row>
    <row r="197" spans="1:59" x14ac:dyDescent="0.3">
      <c r="C197" s="2"/>
      <c r="S197" s="66" t="s">
        <v>39</v>
      </c>
      <c r="T197" s="67">
        <f>C554</f>
        <v>0</v>
      </c>
      <c r="U197" s="67">
        <f t="shared" si="42"/>
        <v>8.3447617099920574E-2</v>
      </c>
      <c r="V197" s="67">
        <f t="shared" si="42"/>
        <v>0.14493032623847255</v>
      </c>
      <c r="W197" s="67">
        <f t="shared" si="42"/>
        <v>0.18544758373038692</v>
      </c>
      <c r="X197" s="67">
        <f t="shared" si="42"/>
        <v>0.18885350447624294</v>
      </c>
      <c r="AD197" s="51"/>
      <c r="AE197" s="51"/>
      <c r="AJ197" t="s">
        <v>415</v>
      </c>
      <c r="AK197">
        <v>2</v>
      </c>
      <c r="AL197" s="1">
        <v>36.32</v>
      </c>
      <c r="AM197" s="1">
        <v>90.72</v>
      </c>
      <c r="AN197" s="1">
        <v>16093.28</v>
      </c>
      <c r="AO197">
        <v>15179.87</v>
      </c>
      <c r="AP197">
        <v>11826.44</v>
      </c>
      <c r="AR197" s="1">
        <v>2343.12</v>
      </c>
      <c r="AS197" s="1">
        <v>12071.94</v>
      </c>
      <c r="AT197" s="1">
        <v>118749.73</v>
      </c>
      <c r="AU197" s="1">
        <v>43260.54</v>
      </c>
      <c r="AV197" s="1">
        <v>21955.1</v>
      </c>
      <c r="BF197" s="51"/>
      <c r="BG197" s="1"/>
    </row>
    <row r="198" spans="1:59" ht="15.6" x14ac:dyDescent="0.35">
      <c r="A198" t="s">
        <v>322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100</v>
      </c>
      <c r="U198" s="57">
        <f t="shared" si="42"/>
        <v>89.368911865141925</v>
      </c>
      <c r="V198" s="57">
        <f t="shared" si="42"/>
        <v>98.911193193342001</v>
      </c>
      <c r="W198" s="57">
        <f t="shared" si="42"/>
        <v>90.424957684759661</v>
      </c>
      <c r="X198" s="57">
        <f t="shared" si="42"/>
        <v>79.655622194767773</v>
      </c>
      <c r="AD198" s="51"/>
      <c r="AE198" s="51"/>
      <c r="AH198" s="78"/>
      <c r="AI198" s="78"/>
      <c r="AJ198" t="s">
        <v>415</v>
      </c>
      <c r="AK198">
        <v>3</v>
      </c>
      <c r="AL198" s="1">
        <v>28.77</v>
      </c>
      <c r="AM198" s="1">
        <v>113.12</v>
      </c>
      <c r="AN198" s="1">
        <v>16167.88</v>
      </c>
      <c r="AO198">
        <v>15078.77</v>
      </c>
      <c r="AP198">
        <v>11838.1</v>
      </c>
      <c r="AR198" s="1">
        <v>2372.11</v>
      </c>
      <c r="AS198" s="1">
        <v>12692.22</v>
      </c>
      <c r="AT198" s="1">
        <v>118277.73</v>
      </c>
      <c r="AU198" s="1">
        <v>43071.1</v>
      </c>
      <c r="AV198" s="1">
        <v>21967.26</v>
      </c>
      <c r="BF198" s="51"/>
      <c r="BG198" s="1"/>
    </row>
    <row r="199" spans="1:59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</v>
      </c>
      <c r="U199" s="67">
        <f t="shared" si="42"/>
        <v>1.15946911598791</v>
      </c>
      <c r="V199" s="67">
        <f t="shared" si="42"/>
        <v>0.1375048768332584</v>
      </c>
      <c r="W199" s="67">
        <f t="shared" si="42"/>
        <v>0.7975471708599704</v>
      </c>
      <c r="X199" s="67">
        <f t="shared" si="42"/>
        <v>2.5365628646134519</v>
      </c>
      <c r="AD199" s="51"/>
      <c r="AE199" s="51"/>
      <c r="AJ199" t="s">
        <v>415</v>
      </c>
      <c r="AK199">
        <v>4</v>
      </c>
      <c r="AL199" s="1">
        <v>31.23</v>
      </c>
      <c r="AM199" s="1">
        <v>92.41</v>
      </c>
      <c r="AN199" s="1">
        <v>16262.42</v>
      </c>
      <c r="AO199">
        <v>15051.59</v>
      </c>
      <c r="AP199">
        <v>11788.98</v>
      </c>
      <c r="AR199" s="1">
        <v>2312.33</v>
      </c>
      <c r="AS199" s="1">
        <v>12201.42</v>
      </c>
      <c r="AT199" s="1">
        <v>119208.32000000001</v>
      </c>
      <c r="AU199" s="1">
        <v>42997.15</v>
      </c>
      <c r="AV199" s="1">
        <v>21661.21</v>
      </c>
      <c r="BF199" s="51"/>
      <c r="BG199" s="1"/>
    </row>
    <row r="200" spans="1:59" x14ac:dyDescent="0.3">
      <c r="A200" t="s">
        <v>3</v>
      </c>
      <c r="B200" s="13">
        <v>0</v>
      </c>
      <c r="C200" s="29">
        <f>(C189/$L200)*$O200</f>
        <v>1.1615612650462814</v>
      </c>
      <c r="D200" s="31">
        <f>(D189/$L200)*$O200</f>
        <v>0</v>
      </c>
      <c r="E200" s="31">
        <f>(E189/$L200)*$O200</f>
        <v>0</v>
      </c>
      <c r="F200" s="31">
        <f>(F189/$L200)*$O200</f>
        <v>0</v>
      </c>
      <c r="G200" s="32">
        <f>(G189/$L200)*$O200</f>
        <v>0</v>
      </c>
      <c r="H200" s="17">
        <f>SUM(C200:G200)</f>
        <v>1.1615612650462814</v>
      </c>
      <c r="I200" s="17">
        <f>C200/H200*100</f>
        <v>100</v>
      </c>
      <c r="J200" s="17">
        <f>SQRT(I200*(100-I200)/(L200-1))</f>
        <v>0</v>
      </c>
      <c r="K200" s="18">
        <f>100-I200</f>
        <v>0</v>
      </c>
      <c r="L200" s="1">
        <f>H189</f>
        <v>259</v>
      </c>
      <c r="M200">
        <v>0</v>
      </c>
      <c r="N200" s="1">
        <v>2304.31</v>
      </c>
      <c r="O200" s="17">
        <f>N200/N205*100</f>
        <v>1.1615612650462814</v>
      </c>
      <c r="P200" s="52">
        <f>((O200*O200*(I200/100)*(K200/100))/(L200-1))</f>
        <v>0</v>
      </c>
      <c r="S200" t="s">
        <v>31</v>
      </c>
      <c r="T200" s="57">
        <f>I548</f>
        <v>100</v>
      </c>
      <c r="U200" s="57">
        <f>I549</f>
        <v>98.82005899705014</v>
      </c>
      <c r="V200" s="57">
        <f>I550</f>
        <v>96.972563859981094</v>
      </c>
      <c r="W200" s="57">
        <f>I551</f>
        <v>90.70303495966192</v>
      </c>
      <c r="X200" s="57">
        <f>I552</f>
        <v>83.125</v>
      </c>
      <c r="AD200" s="51"/>
      <c r="AE200" s="51"/>
      <c r="AH200" s="78"/>
      <c r="AI200" s="78"/>
      <c r="AJ200" t="s">
        <v>415</v>
      </c>
      <c r="AK200">
        <v>5</v>
      </c>
      <c r="AL200" s="1">
        <v>36.03</v>
      </c>
      <c r="AM200" s="1">
        <v>97.08</v>
      </c>
      <c r="AN200" s="1">
        <v>16358.09</v>
      </c>
      <c r="AO200">
        <v>14986.17</v>
      </c>
      <c r="AP200">
        <v>11749.28</v>
      </c>
      <c r="AR200" s="1">
        <v>2290.63</v>
      </c>
      <c r="AS200" s="1">
        <v>12412.02</v>
      </c>
      <c r="AT200" s="1">
        <v>119595.04</v>
      </c>
      <c r="AU200" s="1">
        <v>42532.09</v>
      </c>
      <c r="AV200" s="1">
        <v>21550.63</v>
      </c>
      <c r="BF200" s="51"/>
      <c r="BG200" s="1"/>
    </row>
    <row r="201" spans="1:59" x14ac:dyDescent="0.3">
      <c r="A201" t="s">
        <v>4</v>
      </c>
      <c r="B201" s="13">
        <v>1</v>
      </c>
      <c r="C201" s="33">
        <f t="shared" ref="C201:G204" si="43">(C190/$L201)*$O201</f>
        <v>0</v>
      </c>
      <c r="D201" s="34">
        <f t="shared" si="43"/>
        <v>5.9919639519180636</v>
      </c>
      <c r="E201" s="19">
        <f t="shared" si="43"/>
        <v>8.9700059160450041E-2</v>
      </c>
      <c r="F201" s="18">
        <f t="shared" si="43"/>
        <v>0</v>
      </c>
      <c r="G201" s="20">
        <f t="shared" si="43"/>
        <v>0</v>
      </c>
      <c r="H201" s="17">
        <f>SUM(C201:G201)</f>
        <v>6.0816640110785141</v>
      </c>
      <c r="I201" s="17">
        <f>D201/H201*100</f>
        <v>98.525073746312671</v>
      </c>
      <c r="J201" s="17">
        <f>SQRT(I201*(100-I201)/(L201-1))</f>
        <v>0.65569245640117779</v>
      </c>
      <c r="K201" s="18">
        <f>100-I201</f>
        <v>1.4749262536873289</v>
      </c>
      <c r="L201" s="1">
        <f>H190</f>
        <v>339</v>
      </c>
      <c r="M201">
        <v>1</v>
      </c>
      <c r="N201" s="1">
        <v>12064.83</v>
      </c>
      <c r="O201" s="17">
        <f>N201/N205*100</f>
        <v>6.0816640110785132</v>
      </c>
      <c r="P201" s="52">
        <f>((O201*O201*(I201/100)*(K201/100))/(L201-1))</f>
        <v>1.590176097557216E-3</v>
      </c>
      <c r="S201" s="66" t="s">
        <v>39</v>
      </c>
      <c r="T201" s="67">
        <f>J548</f>
        <v>0</v>
      </c>
      <c r="U201" s="67">
        <f>J549</f>
        <v>0.58734645362127647</v>
      </c>
      <c r="V201" s="67">
        <f>J550</f>
        <v>0.19920708067777057</v>
      </c>
      <c r="W201" s="67">
        <f>J551</f>
        <v>0.56928253761854442</v>
      </c>
      <c r="X201" s="67">
        <f>J552</f>
        <v>1.2094235370501119</v>
      </c>
      <c r="AD201" s="51"/>
      <c r="AE201" s="51"/>
      <c r="AJ201" t="s">
        <v>415</v>
      </c>
      <c r="AK201">
        <v>6</v>
      </c>
      <c r="AL201" s="1">
        <v>25.66</v>
      </c>
      <c r="AM201" s="1">
        <v>95.13</v>
      </c>
      <c r="AN201" s="1">
        <v>16335.14</v>
      </c>
      <c r="AO201">
        <v>15129.69</v>
      </c>
      <c r="AP201">
        <v>11641</v>
      </c>
      <c r="AR201" s="1">
        <v>2304.31</v>
      </c>
      <c r="AS201" s="1">
        <v>12064.83</v>
      </c>
      <c r="AT201" s="1">
        <v>119627.09</v>
      </c>
      <c r="AU201" s="1">
        <v>43190.83</v>
      </c>
      <c r="AV201" s="1">
        <v>21193.35</v>
      </c>
      <c r="BF201" s="51"/>
      <c r="BG201" s="1"/>
    </row>
    <row r="202" spans="1:59" x14ac:dyDescent="0.3">
      <c r="A202" t="s">
        <v>5</v>
      </c>
      <c r="B202" s="13">
        <v>2</v>
      </c>
      <c r="C202" s="33">
        <f t="shared" si="43"/>
        <v>0</v>
      </c>
      <c r="D202" s="19">
        <f t="shared" si="43"/>
        <v>0.6683001828605788</v>
      </c>
      <c r="E202" s="34">
        <f t="shared" si="43"/>
        <v>58.459965995840641</v>
      </c>
      <c r="F202" s="19">
        <f t="shared" si="43"/>
        <v>0.46455012711040239</v>
      </c>
      <c r="G202" s="20">
        <f t="shared" si="43"/>
        <v>0.7090501940106142</v>
      </c>
      <c r="H202" s="17">
        <f>SUM(C202:G202)</f>
        <v>60.301866499822232</v>
      </c>
      <c r="I202" s="17">
        <f>E202/H202*100</f>
        <v>96.945533180159487</v>
      </c>
      <c r="J202" s="17">
        <f>SQRT(I202*(100-I202)/(L202-1))</f>
        <v>0.20006653206379527</v>
      </c>
      <c r="K202" s="18">
        <f>100-I202</f>
        <v>3.0544668198405134</v>
      </c>
      <c r="L202" s="1">
        <f>H191</f>
        <v>7399</v>
      </c>
      <c r="M202">
        <v>2</v>
      </c>
      <c r="N202" s="1">
        <v>119627.09</v>
      </c>
      <c r="O202" s="17">
        <f>N202/N205*100</f>
        <v>60.301866499822232</v>
      </c>
      <c r="P202" s="52">
        <f>((O202*O202*(I202/100)*(K202/100))/(L202-1))</f>
        <v>1.4554939285007515E-2</v>
      </c>
      <c r="S202" s="66" t="s">
        <v>56</v>
      </c>
      <c r="T202" s="67">
        <f>N537*100</f>
        <v>100</v>
      </c>
      <c r="U202" s="67">
        <f>N538*100</f>
        <v>88.042049934296969</v>
      </c>
      <c r="V202" s="67">
        <f>N539*100</f>
        <v>98.019125683060111</v>
      </c>
      <c r="W202" s="67">
        <f>N540*100</f>
        <v>91.511627906976742</v>
      </c>
      <c r="X202" s="67">
        <f>N541*100</f>
        <v>78.1969622733954</v>
      </c>
      <c r="AD202" s="51"/>
      <c r="AE202" s="51"/>
      <c r="AH202" s="78"/>
      <c r="AI202" s="78"/>
      <c r="AJ202" t="s">
        <v>415</v>
      </c>
      <c r="AK202">
        <v>7</v>
      </c>
      <c r="AL202" s="1">
        <v>21.25</v>
      </c>
      <c r="AM202" s="1">
        <v>95.68</v>
      </c>
      <c r="AN202" s="1">
        <v>16353</v>
      </c>
      <c r="AO202">
        <v>15199.1</v>
      </c>
      <c r="AP202">
        <v>11557.59</v>
      </c>
      <c r="AR202" s="1">
        <v>2295.4899999999998</v>
      </c>
      <c r="AS202" s="1">
        <v>11877.83</v>
      </c>
      <c r="AT202" s="1">
        <v>119832.1</v>
      </c>
      <c r="AU202" s="1">
        <v>43224.78</v>
      </c>
      <c r="AV202" s="1">
        <v>21150.21</v>
      </c>
      <c r="BF202" s="51"/>
      <c r="BG202" s="1"/>
    </row>
    <row r="203" spans="1:59" x14ac:dyDescent="0.3">
      <c r="A203" t="s">
        <v>6</v>
      </c>
      <c r="B203" s="13">
        <v>3</v>
      </c>
      <c r="C203" s="33">
        <f t="shared" si="43"/>
        <v>0</v>
      </c>
      <c r="D203" s="19">
        <f t="shared" si="43"/>
        <v>0</v>
      </c>
      <c r="E203" s="19">
        <f t="shared" si="43"/>
        <v>0.3763839642629343</v>
      </c>
      <c r="F203" s="34">
        <f t="shared" si="43"/>
        <v>19.84798104879874</v>
      </c>
      <c r="G203" s="20">
        <f t="shared" si="43"/>
        <v>1.5473562975253967</v>
      </c>
      <c r="H203" s="17">
        <f>SUM(C203:G203)</f>
        <v>21.771721310587072</v>
      </c>
      <c r="I203" s="17">
        <f>F203/H203*100</f>
        <v>91.164041490587778</v>
      </c>
      <c r="J203" s="17">
        <f>SQRT(I203*(100-I203)/(L203-1))</f>
        <v>0.55639724753475006</v>
      </c>
      <c r="K203" s="18">
        <f>100-I203</f>
        <v>8.8359585094122224</v>
      </c>
      <c r="L203" s="1">
        <f>H192</f>
        <v>2603</v>
      </c>
      <c r="M203">
        <v>3</v>
      </c>
      <c r="N203" s="1">
        <v>43190.83</v>
      </c>
      <c r="O203" s="17">
        <f>N203/N205*100</f>
        <v>21.771721310587068</v>
      </c>
      <c r="P203" s="52">
        <f>((O203*O203*(I203/100)*(K203/100))/(L203-1))</f>
        <v>1.4674235303146019E-2</v>
      </c>
      <c r="R203" s="16" t="s">
        <v>66</v>
      </c>
      <c r="S203" t="s">
        <v>9</v>
      </c>
      <c r="T203" s="1">
        <f>N548</f>
        <v>2325.4699999999998</v>
      </c>
      <c r="U203" s="1">
        <f>N549</f>
        <v>11966.87</v>
      </c>
      <c r="V203" s="1">
        <f>N550</f>
        <v>119638.43</v>
      </c>
      <c r="W203" s="1">
        <f>N551</f>
        <v>42682.29</v>
      </c>
      <c r="X203" s="1">
        <f>N552</f>
        <v>21767.360000000001</v>
      </c>
      <c r="Z203" t="s">
        <v>36</v>
      </c>
      <c r="AA203" s="1">
        <f>N553</f>
        <v>198380.41999999998</v>
      </c>
      <c r="AD203" s="51"/>
      <c r="AE203" s="51"/>
      <c r="AJ203" t="s">
        <v>415</v>
      </c>
      <c r="AK203">
        <v>8</v>
      </c>
      <c r="AL203" s="1">
        <v>34.840000000000003</v>
      </c>
      <c r="AM203" s="1">
        <v>97.98</v>
      </c>
      <c r="AN203" s="1">
        <v>16210.26</v>
      </c>
      <c r="AO203">
        <v>15125.53</v>
      </c>
      <c r="AP203">
        <v>11758.02</v>
      </c>
      <c r="AR203" s="1">
        <v>2311.61</v>
      </c>
      <c r="AS203" s="1">
        <v>12123.72</v>
      </c>
      <c r="AT203" s="1">
        <v>119205.89</v>
      </c>
      <c r="AU203" s="1">
        <v>43146.879999999997</v>
      </c>
      <c r="AV203" s="1">
        <v>21592.32</v>
      </c>
      <c r="BF203" s="56"/>
      <c r="BG203" s="1"/>
    </row>
    <row r="204" spans="1:59" ht="15.6" x14ac:dyDescent="0.35">
      <c r="A204" t="s">
        <v>7</v>
      </c>
      <c r="B204" s="13">
        <v>4</v>
      </c>
      <c r="C204" s="35">
        <f t="shared" si="43"/>
        <v>0</v>
      </c>
      <c r="D204" s="36">
        <f t="shared" si="43"/>
        <v>0</v>
      </c>
      <c r="E204" s="21">
        <f t="shared" si="43"/>
        <v>0.22256639403053957</v>
      </c>
      <c r="F204" s="21">
        <f t="shared" si="43"/>
        <v>1.5690930779153041</v>
      </c>
      <c r="G204" s="37">
        <f t="shared" si="43"/>
        <v>8.891527441520056</v>
      </c>
      <c r="H204" s="17">
        <f>SUM(C204:G204)</f>
        <v>10.683186913465899</v>
      </c>
      <c r="I204" s="17">
        <f>G204/H204*100</f>
        <v>83.229166666666671</v>
      </c>
      <c r="J204" s="17">
        <f>SQRT(I204*(100-I204)/(L204-1))</f>
        <v>1.2064401752225082</v>
      </c>
      <c r="K204" s="18">
        <f>100-I204</f>
        <v>16.770833333333329</v>
      </c>
      <c r="L204" s="1">
        <f>H193</f>
        <v>960</v>
      </c>
      <c r="M204">
        <v>4</v>
      </c>
      <c r="N204" s="1">
        <v>21193.35</v>
      </c>
      <c r="O204" s="17">
        <f>N204/N205*100</f>
        <v>10.683186913465899</v>
      </c>
      <c r="P204" s="52">
        <f>((O204*O204*(I204/100)*(K204/100))/(L204-1))</f>
        <v>1.6611667737920541E-2</v>
      </c>
      <c r="R204" s="16" t="s">
        <v>323</v>
      </c>
      <c r="S204" t="s">
        <v>68</v>
      </c>
      <c r="T204" s="57">
        <f>$AA203*T196/100</f>
        <v>2325.4699999999998</v>
      </c>
      <c r="U204" s="57">
        <f>$AA203*U196/100</f>
        <v>13232.418015724839</v>
      </c>
      <c r="V204" s="57">
        <f>$AA203*V196/100</f>
        <v>117293.55312300302</v>
      </c>
      <c r="W204" s="57">
        <f>$AA203*W196/100</f>
        <v>42813.547732308441</v>
      </c>
      <c r="X204" s="57">
        <f>$AA203*X196/100</f>
        <v>22715.431128963708</v>
      </c>
      <c r="Z204" t="s">
        <v>36</v>
      </c>
      <c r="AA204" s="25">
        <f>SUM(T204:X204)</f>
        <v>198380.42</v>
      </c>
      <c r="AD204" s="51"/>
      <c r="AE204" s="51"/>
      <c r="AH204" s="78"/>
      <c r="AI204" s="78"/>
      <c r="AJ204" t="s">
        <v>415</v>
      </c>
      <c r="AK204">
        <v>9</v>
      </c>
      <c r="AL204" s="1">
        <v>27.46</v>
      </c>
      <c r="AM204" s="1">
        <v>99.04</v>
      </c>
      <c r="AN204" s="1">
        <v>16303.67</v>
      </c>
      <c r="AO204">
        <v>15177.15</v>
      </c>
      <c r="AP204">
        <v>11619.31</v>
      </c>
      <c r="AR204" s="1">
        <v>2315.0300000000002</v>
      </c>
      <c r="AS204" s="1">
        <v>12228.62</v>
      </c>
      <c r="AT204" s="1">
        <v>119380.38</v>
      </c>
      <c r="AU204" s="1">
        <v>43309.77</v>
      </c>
      <c r="AV204" s="1">
        <v>21146.62</v>
      </c>
      <c r="BF204" s="51"/>
      <c r="BG204" s="1"/>
    </row>
    <row r="205" spans="1:59" x14ac:dyDescent="0.3">
      <c r="B205" t="s">
        <v>28</v>
      </c>
      <c r="C205" s="17">
        <f t="shared" ref="C205:H205" si="44">SUM(C200:C204)</f>
        <v>1.1615612650462814</v>
      </c>
      <c r="D205" s="17">
        <f t="shared" si="44"/>
        <v>6.6602641347786422</v>
      </c>
      <c r="E205" s="17">
        <f t="shared" si="44"/>
        <v>59.148616413294562</v>
      </c>
      <c r="F205" s="17">
        <f t="shared" si="44"/>
        <v>21.881624253824448</v>
      </c>
      <c r="G205" s="17">
        <f t="shared" si="44"/>
        <v>11.147933933056066</v>
      </c>
      <c r="H205" s="18">
        <f t="shared" si="44"/>
        <v>100</v>
      </c>
      <c r="I205" s="13" t="s">
        <v>24</v>
      </c>
      <c r="J205" s="12" t="s">
        <v>29</v>
      </c>
      <c r="N205" s="1">
        <f>SUM(N200:N204)</f>
        <v>198380.41</v>
      </c>
      <c r="O205" s="17">
        <f>SUM(O200:O204)</f>
        <v>100</v>
      </c>
      <c r="R205" s="66"/>
      <c r="S205" s="66" t="s">
        <v>67</v>
      </c>
      <c r="T205" s="67">
        <f>$AA203*T197/100</f>
        <v>0</v>
      </c>
      <c r="U205" s="67">
        <f>$AA203*U197/100</f>
        <v>165.54373328281426</v>
      </c>
      <c r="V205" s="67">
        <f>$AA203*V197/100</f>
        <v>287.51338989925199</v>
      </c>
      <c r="W205" s="67">
        <f>$AA203*W197/100</f>
        <v>367.89169548419318</v>
      </c>
      <c r="X205" s="67">
        <f>$AA203*X197/100</f>
        <v>374.64837536468951</v>
      </c>
      <c r="AA205" s="1"/>
      <c r="AD205" s="51"/>
      <c r="AE205" s="51"/>
      <c r="AJ205" t="s">
        <v>415</v>
      </c>
      <c r="AK205">
        <v>10</v>
      </c>
      <c r="AL205" s="1">
        <v>48.53</v>
      </c>
      <c r="AM205" s="1">
        <v>91.9</v>
      </c>
      <c r="AN205" s="1">
        <v>16331.64</v>
      </c>
      <c r="AO205">
        <v>14951.79</v>
      </c>
      <c r="AP205">
        <v>11802.76</v>
      </c>
      <c r="AR205" s="1">
        <v>2336.2800000000002</v>
      </c>
      <c r="AS205" s="1">
        <v>12209.34</v>
      </c>
      <c r="AT205" s="1">
        <v>119291.69</v>
      </c>
      <c r="AU205" s="1">
        <v>42964.46</v>
      </c>
      <c r="AV205" s="1">
        <v>21578.65</v>
      </c>
      <c r="BF205" s="51"/>
      <c r="BG205" s="1"/>
    </row>
    <row r="206" spans="1:59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0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8.3497128023625522E-2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0.14716430470666245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0.18254381993866495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0.1852770158363829</v>
      </c>
      <c r="H206" s="1"/>
      <c r="I206" s="14">
        <f>(C200+D201+E202+F203+G204)/H205</f>
        <v>0.94352999703123785</v>
      </c>
      <c r="J206" s="53">
        <f>SQRT(SUM(P200:P204))/100</f>
        <v>2.1778663508955566E-3</v>
      </c>
      <c r="M206" s="1"/>
      <c r="N206" s="9"/>
      <c r="R206" t="s">
        <v>112</v>
      </c>
      <c r="S206" t="s">
        <v>28</v>
      </c>
      <c r="T206" s="57">
        <f>C582</f>
        <v>1.1739515421935289</v>
      </c>
      <c r="U206" s="57">
        <f t="shared" ref="U206:X209" si="45">D582</f>
        <v>6.7230367512015086</v>
      </c>
      <c r="V206" s="57">
        <f t="shared" si="45"/>
        <v>58.864379352734289</v>
      </c>
      <c r="W206" s="57">
        <f t="shared" si="45"/>
        <v>21.989532306026529</v>
      </c>
      <c r="X206" s="57">
        <f>G582</f>
        <v>11.249100047844152</v>
      </c>
      <c r="Y206" s="60"/>
      <c r="Z206" s="74"/>
      <c r="AA206" s="12"/>
      <c r="AD206" s="51"/>
      <c r="AE206" s="51"/>
      <c r="AH206" s="78"/>
      <c r="AI206" s="78"/>
      <c r="AJ206" t="s">
        <v>415</v>
      </c>
      <c r="AK206">
        <v>11</v>
      </c>
      <c r="AL206" s="1">
        <v>24.71</v>
      </c>
      <c r="AM206" s="1">
        <v>90.37</v>
      </c>
      <c r="AN206" s="1">
        <v>16286.2</v>
      </c>
      <c r="AO206">
        <v>15005.56</v>
      </c>
      <c r="AP206">
        <v>11819.79</v>
      </c>
      <c r="AR206" s="1">
        <v>2331.86</v>
      </c>
      <c r="AS206" s="1">
        <v>12103.19</v>
      </c>
      <c r="AT206" s="1">
        <v>119061.01</v>
      </c>
      <c r="AU206" s="1">
        <v>42897.39</v>
      </c>
      <c r="AV206" s="1">
        <v>21986.97</v>
      </c>
      <c r="BF206" s="51"/>
      <c r="BG206" s="1"/>
    </row>
    <row r="207" spans="1:59" x14ac:dyDescent="0.3">
      <c r="B207" s="1" t="s">
        <v>30</v>
      </c>
      <c r="C207" s="17">
        <f>C200/C205*100</f>
        <v>100</v>
      </c>
      <c r="D207" s="17">
        <f>D201/D205*100</f>
        <v>89.965860672539378</v>
      </c>
      <c r="E207" s="17">
        <f>E202/E205*100</f>
        <v>98.835728611736158</v>
      </c>
      <c r="F207" s="17">
        <f>F203/F205*100</f>
        <v>90.706159737340926</v>
      </c>
      <c r="G207" s="17">
        <f>G204/G205*100</f>
        <v>79.759419950944704</v>
      </c>
      <c r="H207" s="1"/>
      <c r="S207" s="66" t="s">
        <v>39</v>
      </c>
      <c r="T207" s="67">
        <f>C583</f>
        <v>0</v>
      </c>
      <c r="U207" s="67">
        <f t="shared" si="45"/>
        <v>7.99448837212592E-2</v>
      </c>
      <c r="V207" s="67">
        <f t="shared" si="45"/>
        <v>0.14335484546256844</v>
      </c>
      <c r="W207" s="67">
        <f t="shared" si="45"/>
        <v>0.18822915183765596</v>
      </c>
      <c r="X207" s="67">
        <f t="shared" si="45"/>
        <v>0.19206449611666673</v>
      </c>
      <c r="AD207" s="51"/>
      <c r="AE207" s="51"/>
      <c r="AJ207" t="s">
        <v>415</v>
      </c>
      <c r="AK207">
        <v>12</v>
      </c>
      <c r="AL207" s="1">
        <v>32.53</v>
      </c>
      <c r="AM207" s="1">
        <v>93.27</v>
      </c>
      <c r="AN207" s="1">
        <v>16429.560000000001</v>
      </c>
      <c r="AO207">
        <v>15088</v>
      </c>
      <c r="AP207">
        <v>11583.28</v>
      </c>
      <c r="AR207" s="1">
        <v>2289.37</v>
      </c>
      <c r="AS207" s="1">
        <v>11767.89</v>
      </c>
      <c r="AT207" s="1">
        <v>119953.46</v>
      </c>
      <c r="AU207" s="1">
        <v>43033.27</v>
      </c>
      <c r="AV207" s="1">
        <v>21336.43</v>
      </c>
      <c r="BF207" s="51"/>
      <c r="BG207" s="1"/>
    </row>
    <row r="208" spans="1:59" x14ac:dyDescent="0.3">
      <c r="B208" s="16" t="s">
        <v>39</v>
      </c>
      <c r="C208" s="18">
        <f>SQRT((C211+C212)/(C205*C205))</f>
        <v>0</v>
      </c>
      <c r="D208" s="18">
        <f>SQRT((D211+D212)/(D205*D205))</f>
        <v>1.1592476744530054</v>
      </c>
      <c r="E208" s="18">
        <f>SQRT((E211+E212)/(E205*E205))</f>
        <v>0.14291205135984858</v>
      </c>
      <c r="F208" s="18">
        <f>SQRT((F211+F212)/(F205*F205))</f>
        <v>0.76520109139764092</v>
      </c>
      <c r="G208" s="18">
        <f>SQRT((G211+G212)/(G205*G205))</f>
        <v>2.526678776852314</v>
      </c>
      <c r="H208" s="1"/>
      <c r="S208" t="s">
        <v>30</v>
      </c>
      <c r="T208" s="57">
        <f>C584</f>
        <v>100</v>
      </c>
      <c r="U208" s="57">
        <f t="shared" si="45"/>
        <v>89.959992437072756</v>
      </c>
      <c r="V208" s="57">
        <f t="shared" si="45"/>
        <v>99.030018511079959</v>
      </c>
      <c r="W208" s="57">
        <f t="shared" si="45"/>
        <v>89.996886753441999</v>
      </c>
      <c r="X208" s="57">
        <f t="shared" si="45"/>
        <v>78.222872966467762</v>
      </c>
      <c r="AD208" s="51"/>
      <c r="AE208" s="51"/>
      <c r="AH208" s="78"/>
      <c r="AI208" s="78"/>
      <c r="AJ208" t="s">
        <v>415</v>
      </c>
      <c r="AK208">
        <v>13</v>
      </c>
      <c r="AL208" s="1">
        <v>32.15</v>
      </c>
      <c r="AM208" s="1">
        <v>102.98</v>
      </c>
      <c r="AN208" s="1">
        <v>16328.8</v>
      </c>
      <c r="AO208">
        <v>15196.56</v>
      </c>
      <c r="AP208">
        <v>11566.15</v>
      </c>
      <c r="AR208" s="1">
        <v>2309.71</v>
      </c>
      <c r="AS208" s="1">
        <v>12219.16</v>
      </c>
      <c r="AT208" s="1">
        <v>119576.21</v>
      </c>
      <c r="AU208" s="1">
        <v>43305</v>
      </c>
      <c r="AV208" s="1">
        <v>20970.330000000002</v>
      </c>
      <c r="BF208" s="51"/>
      <c r="BG208" s="1"/>
    </row>
    <row r="209" spans="1:59" x14ac:dyDescent="0.3">
      <c r="B209" s="1" t="s">
        <v>37</v>
      </c>
      <c r="C209" s="18">
        <f>100-C207</f>
        <v>0</v>
      </c>
      <c r="D209" s="18">
        <f>100-D207</f>
        <v>10.034139327460622</v>
      </c>
      <c r="E209" s="18">
        <f>100-E207</f>
        <v>1.1642713882638418</v>
      </c>
      <c r="F209" s="18">
        <f>100-F207</f>
        <v>9.2938402626590744</v>
      </c>
      <c r="G209" s="18">
        <f>100-G207</f>
        <v>20.240580049055296</v>
      </c>
      <c r="S209" s="66" t="s">
        <v>39</v>
      </c>
      <c r="T209" s="67">
        <f>C585</f>
        <v>0</v>
      </c>
      <c r="U209" s="67">
        <f t="shared" si="45"/>
        <v>1.0897027249808939</v>
      </c>
      <c r="V209" s="67">
        <f t="shared" si="45"/>
        <v>0.12920204319278819</v>
      </c>
      <c r="W209" s="67">
        <f t="shared" si="45"/>
        <v>0.80913370773805615</v>
      </c>
      <c r="X209" s="67">
        <f t="shared" si="45"/>
        <v>2.7528576638671831</v>
      </c>
      <c r="AD209" s="51"/>
      <c r="AE209" s="51"/>
      <c r="AJ209" t="s">
        <v>415</v>
      </c>
      <c r="AK209">
        <v>14</v>
      </c>
      <c r="AL209" s="1">
        <v>49.52</v>
      </c>
      <c r="AM209" s="1">
        <v>100</v>
      </c>
      <c r="AN209" s="1">
        <v>16287.11</v>
      </c>
      <c r="AO209">
        <v>14897.05</v>
      </c>
      <c r="AP209">
        <v>11892.95</v>
      </c>
      <c r="AR209" s="1">
        <v>2336.5500000000002</v>
      </c>
      <c r="AS209" s="1">
        <v>11843.34</v>
      </c>
      <c r="AT209" s="1">
        <v>119561.42</v>
      </c>
      <c r="AU209" s="1">
        <v>42761.26</v>
      </c>
      <c r="AV209" s="1">
        <v>21877.85</v>
      </c>
      <c r="BF209" s="51"/>
      <c r="BG209" s="1"/>
    </row>
    <row r="210" spans="1:59" ht="15.6" x14ac:dyDescent="0.35">
      <c r="B210" s="1" t="s">
        <v>25</v>
      </c>
      <c r="C210" s="1">
        <f>C194</f>
        <v>259</v>
      </c>
      <c r="D210" s="1">
        <f>D194</f>
        <v>416</v>
      </c>
      <c r="E210" s="1">
        <f>E194</f>
        <v>7243</v>
      </c>
      <c r="F210" s="1">
        <f>F194</f>
        <v>2571</v>
      </c>
      <c r="G210" s="1">
        <f>G194</f>
        <v>1071</v>
      </c>
      <c r="S210" s="15" t="s">
        <v>31</v>
      </c>
      <c r="T210" s="71">
        <f>I577</f>
        <v>100</v>
      </c>
      <c r="U210" s="71">
        <f>I578</f>
        <v>99.115044247787608</v>
      </c>
      <c r="V210" s="71">
        <f>I579</f>
        <v>96.877956480605505</v>
      </c>
      <c r="W210" s="71">
        <f>I580</f>
        <v>90.70303495966192</v>
      </c>
      <c r="X210" s="71">
        <f>I581</f>
        <v>81.979166666666671</v>
      </c>
      <c r="AD210" s="51"/>
      <c r="AE210" s="51"/>
      <c r="AH210" s="78"/>
      <c r="AI210" s="78"/>
      <c r="AJ210" t="s">
        <v>415</v>
      </c>
      <c r="AK210">
        <v>15</v>
      </c>
      <c r="AL210" s="1">
        <v>17.739999999999998</v>
      </c>
      <c r="AM210" s="1">
        <v>107.13</v>
      </c>
      <c r="AN210" s="1">
        <v>16300.09</v>
      </c>
      <c r="AO210">
        <v>15035.31</v>
      </c>
      <c r="AP210">
        <v>11766.36</v>
      </c>
      <c r="AR210" s="1">
        <v>2280.36</v>
      </c>
      <c r="AS210" s="1">
        <v>12165.05</v>
      </c>
      <c r="AT210" s="1">
        <v>119321.13</v>
      </c>
      <c r="AU210" s="1">
        <v>43035.79</v>
      </c>
      <c r="AV210" s="1">
        <v>21578.09</v>
      </c>
      <c r="BF210" s="51"/>
      <c r="BG210" s="1"/>
    </row>
    <row r="211" spans="1:59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16.010521394620376</v>
      </c>
      <c r="E211" s="18">
        <f>(O202*O202*(100-E207)*(100-E207)*(I202)*(100-I202))/((L202-1)*100)</f>
        <v>1.9729625781922269</v>
      </c>
      <c r="F211" s="18">
        <f>(O203*O203*(100-F207)*(100-F207)*(I203)*(100-I203))/((L203-1)*100)</f>
        <v>126.74939246505565</v>
      </c>
      <c r="G211" s="18">
        <f>(O204*O204*(100-G207)*(100-G207)*(I204)*(100-I204))/((L204-1)*100)</f>
        <v>680.54859914696442</v>
      </c>
      <c r="S211" s="75" t="s">
        <v>39</v>
      </c>
      <c r="T211" s="76">
        <f>J577</f>
        <v>0</v>
      </c>
      <c r="U211" s="76">
        <f>J578</f>
        <v>0.50941557342055088</v>
      </c>
      <c r="V211" s="76">
        <f>J579</f>
        <v>0.20219704180538711</v>
      </c>
      <c r="W211" s="76">
        <f>J580</f>
        <v>0.56928253761854442</v>
      </c>
      <c r="X211" s="76">
        <f>J581</f>
        <v>1.241166031241163</v>
      </c>
      <c r="AD211" s="51"/>
      <c r="AE211" s="51"/>
      <c r="AJ211" t="s">
        <v>415</v>
      </c>
      <c r="AK211">
        <v>16</v>
      </c>
      <c r="AL211" s="1">
        <v>52.22</v>
      </c>
      <c r="AM211" s="1">
        <v>96.64</v>
      </c>
      <c r="AN211" s="1">
        <v>16210.67</v>
      </c>
      <c r="AO211">
        <v>15198.34</v>
      </c>
      <c r="AP211">
        <v>11668.76</v>
      </c>
      <c r="AR211" s="1">
        <v>2316.7399999999998</v>
      </c>
      <c r="AS211" s="1">
        <v>11978.76</v>
      </c>
      <c r="AT211" s="1">
        <v>119289.96</v>
      </c>
      <c r="AU211" s="1">
        <v>43232.34</v>
      </c>
      <c r="AV211" s="1">
        <v>21562.61</v>
      </c>
      <c r="BF211" s="51"/>
      <c r="BG211" s="1"/>
    </row>
    <row r="212" spans="1:59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43.601709162121949</v>
      </c>
      <c r="E212" s="18">
        <f>E207*E207*(SUM((H200*E200*(1-E189/H189))/(H189-1),(H201*E201*(1-E190/H190))/(H190-1), (H203*E203*(1-E192/H192))/(H192-1),(H204*E204*(1-E193/H193))/(H193-1)))</f>
        <v>69.481093528539219</v>
      </c>
      <c r="F212" s="18">
        <f>F207*F207*(SUM((H200*F200*(1-F189/H189))/(H189-1),(H201*F201*(1-F190/H190))/(H190-1), (H202*F202*(1-F191/H191))/(H191-1),(H204*F204*(1-F193/H193))/(H193-1)))</f>
        <v>153.60687792595678</v>
      </c>
      <c r="G212" s="18">
        <f>G207*G207*(SUM((H200*G200*(1-G189/H189))/(H189-1),(H201*G201*(1-G190/H190))/(H190-1), (H202*G202*(1-G191/H191))/(H191-1),(H203*G203*(1-G192/H192))/(H192-1)))</f>
        <v>112.84526493808015</v>
      </c>
      <c r="S212" s="66" t="s">
        <v>56</v>
      </c>
      <c r="T212" s="67">
        <f>N566*100</f>
        <v>100</v>
      </c>
      <c r="U212" s="67">
        <f>N567*100</f>
        <v>88.654353562005269</v>
      </c>
      <c r="V212" s="67">
        <f>N568*100</f>
        <v>98.017229591139071</v>
      </c>
      <c r="W212" s="67">
        <f>N569*100</f>
        <v>91.228748068006183</v>
      </c>
      <c r="X212" s="67">
        <f>N570*100</f>
        <v>77.081292850146909</v>
      </c>
      <c r="AD212" s="51"/>
      <c r="AE212" s="51"/>
      <c r="AH212" s="78"/>
      <c r="AI212" s="78"/>
      <c r="AJ212" t="s">
        <v>415</v>
      </c>
      <c r="AK212">
        <v>17</v>
      </c>
      <c r="AL212" s="1">
        <v>25.75</v>
      </c>
      <c r="AM212" s="1">
        <v>97.26</v>
      </c>
      <c r="AN212" s="1">
        <v>16223.18</v>
      </c>
      <c r="AO212">
        <v>15142.68</v>
      </c>
      <c r="AP212">
        <v>11737.76</v>
      </c>
      <c r="AR212" s="1">
        <v>2327.4499999999998</v>
      </c>
      <c r="AS212" s="1">
        <v>12082.48</v>
      </c>
      <c r="AT212" s="1">
        <v>119278.9</v>
      </c>
      <c r="AU212" s="1">
        <v>43009.95</v>
      </c>
      <c r="AV212" s="1">
        <v>21681.64</v>
      </c>
      <c r="BF212" s="51"/>
      <c r="BG212" s="1"/>
    </row>
    <row r="213" spans="1:59" x14ac:dyDescent="0.3">
      <c r="A213" s="105" t="s">
        <v>390</v>
      </c>
      <c r="B213" s="69" t="s">
        <v>9</v>
      </c>
      <c r="C213" s="1">
        <v>288.45999999999998</v>
      </c>
      <c r="D213" s="1">
        <v>2392.6999999999998</v>
      </c>
      <c r="E213" s="1">
        <v>16230.69</v>
      </c>
      <c r="F213">
        <v>2062</v>
      </c>
      <c r="G213">
        <v>1171.0899999999999</v>
      </c>
      <c r="I213" t="s">
        <v>36</v>
      </c>
      <c r="J213" s="57">
        <f>SUM(C213:G213)</f>
        <v>22144.94</v>
      </c>
      <c r="R213" s="16" t="s">
        <v>66</v>
      </c>
      <c r="S213" t="s">
        <v>9</v>
      </c>
      <c r="T213" s="1">
        <f>N577</f>
        <v>2328.89</v>
      </c>
      <c r="U213" s="1">
        <f>N578</f>
        <v>12105.26</v>
      </c>
      <c r="V213" s="1">
        <f>N579</f>
        <v>119369.47</v>
      </c>
      <c r="W213" s="1">
        <f>N580</f>
        <v>43283.31</v>
      </c>
      <c r="X213" s="1">
        <f>N581</f>
        <v>21293.49</v>
      </c>
      <c r="Z213" t="s">
        <v>36</v>
      </c>
      <c r="AA213" s="1">
        <f>N582</f>
        <v>198380.41999999998</v>
      </c>
      <c r="AD213" s="51"/>
      <c r="AE213" s="51"/>
      <c r="AJ213" t="s">
        <v>415</v>
      </c>
      <c r="AK213">
        <v>18</v>
      </c>
      <c r="AL213" s="1">
        <v>40.89</v>
      </c>
      <c r="AM213" s="1">
        <v>89.64</v>
      </c>
      <c r="AN213" s="1">
        <v>16338.18</v>
      </c>
      <c r="AO213">
        <v>14889.36</v>
      </c>
      <c r="AP213">
        <v>11868.56</v>
      </c>
      <c r="AR213" s="1">
        <v>2325.4699999999998</v>
      </c>
      <c r="AS213" s="1">
        <v>11966.87</v>
      </c>
      <c r="AT213" s="1">
        <v>119638.43</v>
      </c>
      <c r="AU213" s="1">
        <v>42682.29</v>
      </c>
      <c r="AV213" s="1">
        <v>21767.360000000001</v>
      </c>
      <c r="BF213" s="51"/>
      <c r="BG213" s="1"/>
    </row>
    <row r="214" spans="1:59" ht="15.6" x14ac:dyDescent="0.35">
      <c r="B214" t="s">
        <v>391</v>
      </c>
      <c r="C214" s="57">
        <f>(C213/$J213)*100</f>
        <v>1.3026000522015413</v>
      </c>
      <c r="D214" s="57">
        <f>(D213/$J213)*100</f>
        <v>10.804725594198946</v>
      </c>
      <c r="E214" s="57">
        <f>(E213/$J213)*100</f>
        <v>73.292996052371336</v>
      </c>
      <c r="F214" s="57">
        <f>(F213/$J213)*100</f>
        <v>9.3113821938555716</v>
      </c>
      <c r="G214" s="57">
        <f>(G213/$J213)*100</f>
        <v>5.2882961073726094</v>
      </c>
      <c r="R214" s="16" t="s">
        <v>323</v>
      </c>
      <c r="S214" t="s">
        <v>68</v>
      </c>
      <c r="T214" s="57">
        <f>$AA213*T206/100</f>
        <v>2328.89</v>
      </c>
      <c r="U214" s="57">
        <f>$AA213*U206/100</f>
        <v>13337.188543787906</v>
      </c>
      <c r="V214" s="57">
        <f>$AA213*V206/100</f>
        <v>116775.40299034756</v>
      </c>
      <c r="W214" s="57">
        <f>$AA213*W206/100</f>
        <v>43622.926544731112</v>
      </c>
      <c r="X214" s="57">
        <f>$AA213*X206/100</f>
        <v>22316.011921133428</v>
      </c>
      <c r="Z214" t="s">
        <v>36</v>
      </c>
      <c r="AA214" s="25">
        <f>SUM(T214:X214)</f>
        <v>198380.42</v>
      </c>
      <c r="AD214" s="51"/>
      <c r="AE214" s="51"/>
      <c r="AH214" s="78"/>
      <c r="AI214" s="78"/>
      <c r="AJ214" t="s">
        <v>415</v>
      </c>
      <c r="AK214">
        <v>19</v>
      </c>
      <c r="AL214" s="1">
        <v>38.74</v>
      </c>
      <c r="AM214" s="1">
        <v>96.49</v>
      </c>
      <c r="AN214" s="1">
        <v>16302.67</v>
      </c>
      <c r="AO214">
        <v>15075.89</v>
      </c>
      <c r="AP214">
        <v>11712.85</v>
      </c>
      <c r="AR214" s="1">
        <v>2328.89</v>
      </c>
      <c r="AS214" s="1">
        <v>12105.26</v>
      </c>
      <c r="AT214" s="1">
        <v>119369.47</v>
      </c>
      <c r="AU214" s="1">
        <v>43283.31</v>
      </c>
      <c r="AV214" s="1">
        <v>21293.49</v>
      </c>
      <c r="BF214" s="51"/>
      <c r="BG214" s="1"/>
    </row>
    <row r="215" spans="1:59" x14ac:dyDescent="0.3">
      <c r="A215" s="361" t="s">
        <v>397</v>
      </c>
      <c r="B215" s="361"/>
      <c r="C215" s="361"/>
      <c r="D215" s="361"/>
      <c r="E215" s="361"/>
      <c r="F215" s="361"/>
      <c r="G215" s="361"/>
      <c r="H215" s="361"/>
      <c r="I215" s="361"/>
      <c r="J215" s="361"/>
      <c r="K215" s="361"/>
      <c r="L215" s="361" t="s">
        <v>85</v>
      </c>
      <c r="M215" s="361"/>
      <c r="N215" s="361"/>
      <c r="O215" s="361"/>
      <c r="P215" s="361"/>
      <c r="R215" s="66"/>
      <c r="S215" s="66" t="s">
        <v>67</v>
      </c>
      <c r="T215" s="67">
        <f>$AA213*T207/100</f>
        <v>0</v>
      </c>
      <c r="U215" s="67">
        <f>$AA213*U207/100</f>
        <v>158.59499609474562</v>
      </c>
      <c r="V215" s="67">
        <f>$AA213*V207/100</f>
        <v>284.38794451899417</v>
      </c>
      <c r="W215" s="67">
        <f>$AA213*W207/100</f>
        <v>373.40978197797961</v>
      </c>
      <c r="X215" s="67">
        <f>$AA213*X207/100</f>
        <v>381.01835406712712</v>
      </c>
      <c r="AA215" s="1"/>
      <c r="AD215" s="51"/>
      <c r="AE215" s="51"/>
      <c r="AL215" s="1"/>
      <c r="AM215" s="1"/>
      <c r="AN215" s="1"/>
      <c r="AO215" s="1"/>
      <c r="AP215" s="1"/>
      <c r="AQ215" t="s">
        <v>412</v>
      </c>
      <c r="BF215" s="51"/>
      <c r="BG215" s="1"/>
    </row>
    <row r="216" spans="1:59" x14ac:dyDescent="0.3">
      <c r="A216" t="s">
        <v>320</v>
      </c>
      <c r="B216" t="s">
        <v>21</v>
      </c>
      <c r="I216" s="1" t="s">
        <v>58</v>
      </c>
      <c r="O216" s="360" t="s">
        <v>411</v>
      </c>
      <c r="P216" s="360"/>
      <c r="AH216" s="78"/>
      <c r="AI216" s="78"/>
      <c r="AJ216" t="s">
        <v>416</v>
      </c>
      <c r="AK216">
        <v>0</v>
      </c>
      <c r="AL216" s="1">
        <v>0</v>
      </c>
      <c r="AM216" s="1">
        <v>2.85</v>
      </c>
      <c r="AN216" s="1">
        <v>1348.4</v>
      </c>
      <c r="AO216">
        <v>441.19</v>
      </c>
      <c r="AP216">
        <v>60.78</v>
      </c>
      <c r="AQ216" s="1"/>
      <c r="AR216" s="1">
        <v>294.04000000000002</v>
      </c>
      <c r="AS216" s="1">
        <v>2353.17</v>
      </c>
      <c r="AT216" s="1">
        <v>16252.3</v>
      </c>
      <c r="AU216" s="1">
        <v>2051.11</v>
      </c>
      <c r="AV216" s="1">
        <v>1194.32</v>
      </c>
      <c r="BF216" s="51"/>
      <c r="BG216" s="1"/>
    </row>
    <row r="217" spans="1:59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56</v>
      </c>
      <c r="O217" s="13" t="s">
        <v>412</v>
      </c>
      <c r="P217" s="13" t="s">
        <v>41</v>
      </c>
      <c r="AJ217" t="s">
        <v>416</v>
      </c>
      <c r="AK217">
        <v>1</v>
      </c>
      <c r="AL217" s="1">
        <v>0</v>
      </c>
      <c r="AM217" s="1">
        <v>2.63</v>
      </c>
      <c r="AN217" s="1">
        <v>1346.12</v>
      </c>
      <c r="AO217">
        <v>440.66</v>
      </c>
      <c r="AP217">
        <v>63.81</v>
      </c>
      <c r="AQ217" s="1"/>
      <c r="AR217" s="1">
        <v>290.26</v>
      </c>
      <c r="AS217" s="1">
        <v>2346.33</v>
      </c>
      <c r="AT217" s="1">
        <v>16254.91</v>
      </c>
      <c r="AU217" s="1">
        <v>2051.38</v>
      </c>
      <c r="AV217" s="1">
        <v>1202.06</v>
      </c>
      <c r="BF217" s="51"/>
      <c r="BG217" s="1"/>
    </row>
    <row r="218" spans="1:59" x14ac:dyDescent="0.3">
      <c r="A218" t="s">
        <v>3</v>
      </c>
      <c r="B218" s="13">
        <v>0</v>
      </c>
      <c r="C218" s="26">
        <v>259</v>
      </c>
      <c r="D218" s="3">
        <v>0</v>
      </c>
      <c r="E218" s="3">
        <v>0</v>
      </c>
      <c r="F218" s="3">
        <v>0</v>
      </c>
      <c r="G218" s="4">
        <v>0</v>
      </c>
      <c r="H218" s="1">
        <f>SUM(C218:G218)</f>
        <v>259</v>
      </c>
      <c r="I218" s="10">
        <f>C218/H218</f>
        <v>1</v>
      </c>
      <c r="J218" s="11">
        <f>1-I218</f>
        <v>0</v>
      </c>
      <c r="K218">
        <f>H218-C223</f>
        <v>0</v>
      </c>
      <c r="N218" s="10">
        <f>2*(C224*I218)/(C224+I218)</f>
        <v>1</v>
      </c>
      <c r="O218" s="1"/>
      <c r="P218" s="1"/>
      <c r="R218" s="66"/>
      <c r="S218" s="66"/>
      <c r="T218" s="66"/>
      <c r="U218" s="66"/>
      <c r="V218" s="66"/>
      <c r="W218" s="66"/>
      <c r="X218" s="66"/>
      <c r="AH218" s="78"/>
      <c r="AI218" s="78"/>
      <c r="AJ218" t="s">
        <v>416</v>
      </c>
      <c r="AK218">
        <v>2</v>
      </c>
      <c r="AL218" s="1">
        <v>0</v>
      </c>
      <c r="AM218" s="1">
        <v>2.21</v>
      </c>
      <c r="AN218" s="1">
        <v>1337.98</v>
      </c>
      <c r="AO218">
        <v>440.89</v>
      </c>
      <c r="AP218">
        <v>72.14</v>
      </c>
      <c r="AQ218" s="1"/>
      <c r="AR218" s="1">
        <v>287.2</v>
      </c>
      <c r="AS218" s="1">
        <v>2441.31</v>
      </c>
      <c r="AT218" s="1">
        <v>16087.64</v>
      </c>
      <c r="AU218" s="1">
        <v>2070.65</v>
      </c>
      <c r="AV218" s="1">
        <v>1258.1500000000001</v>
      </c>
      <c r="BF218" s="51"/>
      <c r="BG218" s="1"/>
    </row>
    <row r="219" spans="1:59" x14ac:dyDescent="0.3">
      <c r="A219" t="s">
        <v>4</v>
      </c>
      <c r="B219" s="13">
        <v>1</v>
      </c>
      <c r="C219" s="5">
        <v>0</v>
      </c>
      <c r="D219" s="27">
        <v>335</v>
      </c>
      <c r="E219" s="1">
        <v>4</v>
      </c>
      <c r="F219" s="1">
        <v>0</v>
      </c>
      <c r="G219" s="6">
        <v>0</v>
      </c>
      <c r="H219" s="1">
        <f>SUM(C219:G219)</f>
        <v>339</v>
      </c>
      <c r="I219" s="10">
        <f>D219/H219</f>
        <v>0.98820058997050142</v>
      </c>
      <c r="J219" s="11">
        <f>1-I219</f>
        <v>1.179941002949858E-2</v>
      </c>
      <c r="K219">
        <f>H219-D223</f>
        <v>-94</v>
      </c>
      <c r="N219" s="10">
        <f>2*(D224*I219)/(D224+I219)</f>
        <v>0.86787564766839376</v>
      </c>
      <c r="O219" s="1"/>
      <c r="P219" s="1"/>
      <c r="R219" t="s">
        <v>371</v>
      </c>
      <c r="S219" t="s">
        <v>28</v>
      </c>
      <c r="T219" s="57">
        <f>AVERAGE(T16,T26,T36,T46,T56,T66,T76,T86,T96,T106,T116,T126,T136,T146,T156,T166,T176,T186,T196,T206)</f>
        <v>1.16772614108655</v>
      </c>
      <c r="U219" s="57">
        <f>AVERAGE(U16,U26,U36,U46,U56,U66,U76,U86,U96,U106,U116,U126,U136,U146,U156,U166,U176,U186,U196,U206)</f>
        <v>6.7369310929808588</v>
      </c>
      <c r="V219" s="57">
        <f>AVERAGE(V16,V26,V36,V46,V56,V66,V76,V86,V96,V106,V116,V126,V136,V146,V156,V166,V176,V186,V196,V206)</f>
        <v>58.901622183726239</v>
      </c>
      <c r="W219" s="57">
        <f>AVERAGE(W16,W26,W36,W46,W56,W66,W76,W86,W96,W106,W116,W126,W136,W146,W156,W166,W176,W186,W196,W206)</f>
        <v>21.820562248890482</v>
      </c>
      <c r="X219" s="57">
        <f>AVERAGE(X16,X26,X36,X46,X56,X66,X76,X86,X96,X106,X116,X126,X136,X146,X156,X166,X176,X186,X196,X206)</f>
        <v>11.37315833331586</v>
      </c>
      <c r="AJ219" t="s">
        <v>416</v>
      </c>
      <c r="AK219">
        <v>3</v>
      </c>
      <c r="AL219" s="1">
        <v>0</v>
      </c>
      <c r="AM219" s="1">
        <v>3.5</v>
      </c>
      <c r="AN219" s="1">
        <v>1347.84</v>
      </c>
      <c r="AO219">
        <v>434.93</v>
      </c>
      <c r="AP219">
        <v>66.959999999999994</v>
      </c>
      <c r="AQ219" s="1"/>
      <c r="AR219" s="1">
        <v>294.31</v>
      </c>
      <c r="AS219" s="1">
        <v>2647.29</v>
      </c>
      <c r="AT219" s="1">
        <v>15963.67</v>
      </c>
      <c r="AU219" s="1">
        <v>2020.5</v>
      </c>
      <c r="AV219" s="1">
        <v>1219.17</v>
      </c>
      <c r="BF219" s="51"/>
      <c r="BG219" s="1"/>
    </row>
    <row r="220" spans="1:59" x14ac:dyDescent="0.3">
      <c r="A220" t="s">
        <v>5</v>
      </c>
      <c r="B220" s="13">
        <v>2</v>
      </c>
      <c r="C220" s="5">
        <v>0</v>
      </c>
      <c r="D220" s="1">
        <v>98</v>
      </c>
      <c r="E220" s="27">
        <v>7156</v>
      </c>
      <c r="F220" s="1">
        <v>50</v>
      </c>
      <c r="G220" s="6">
        <v>95</v>
      </c>
      <c r="H220" s="1">
        <f>SUM(C220:G220)</f>
        <v>7399</v>
      </c>
      <c r="I220" s="10">
        <f>E220/H220</f>
        <v>0.96715772401675904</v>
      </c>
      <c r="J220" s="11">
        <f>1-I220</f>
        <v>3.2842275983240965E-2</v>
      </c>
      <c r="K220">
        <f>H220-E223</f>
        <v>180</v>
      </c>
      <c r="N220" s="10">
        <f>2*(E224*I220)/(E224+I220)</f>
        <v>0.97906690381721173</v>
      </c>
      <c r="O220" s="1"/>
      <c r="P220" s="1"/>
      <c r="S220" s="66" t="s">
        <v>39</v>
      </c>
      <c r="T220" s="67">
        <f t="shared" ref="T220:X228" si="46">AVERAGE(T17,T27,T37,T47,T57,T67,T77,T87,T97,T107,T117,T127,T137,T147,T157,T167,T177,T187,T197,T207)</f>
        <v>0</v>
      </c>
      <c r="U220" s="67">
        <f t="shared" si="46"/>
        <v>7.9307624816086483E-2</v>
      </c>
      <c r="V220" s="67">
        <f t="shared" si="46"/>
        <v>0.14391527154394129</v>
      </c>
      <c r="W220" s="67">
        <f t="shared" si="46"/>
        <v>0.18465483842301084</v>
      </c>
      <c r="X220" s="67">
        <f t="shared" si="46"/>
        <v>0.1890131312084779</v>
      </c>
      <c r="AC220" t="s">
        <v>123</v>
      </c>
      <c r="AD220" t="s">
        <v>162</v>
      </c>
      <c r="AE220" t="s">
        <v>124</v>
      </c>
      <c r="AH220" s="78"/>
      <c r="AI220" s="78"/>
      <c r="AJ220" t="s">
        <v>416</v>
      </c>
      <c r="AK220">
        <v>4</v>
      </c>
      <c r="AL220" s="1">
        <v>0</v>
      </c>
      <c r="AM220" s="1">
        <v>3.06</v>
      </c>
      <c r="AN220" s="1">
        <v>1339.81</v>
      </c>
      <c r="AO220">
        <v>443.47</v>
      </c>
      <c r="AP220">
        <v>66.88</v>
      </c>
      <c r="AQ220" s="1"/>
      <c r="AR220" s="1">
        <v>291.33999999999997</v>
      </c>
      <c r="AS220" s="1">
        <v>2441.85</v>
      </c>
      <c r="AT220" s="1">
        <v>16140.12</v>
      </c>
      <c r="AU220" s="1">
        <v>2060.02</v>
      </c>
      <c r="AV220" s="1">
        <v>1211.5999999999999</v>
      </c>
      <c r="BF220" s="51"/>
      <c r="BG220" s="1"/>
    </row>
    <row r="221" spans="1:59" x14ac:dyDescent="0.3">
      <c r="A221" t="s">
        <v>6</v>
      </c>
      <c r="B221" s="13">
        <v>3</v>
      </c>
      <c r="C221" s="5">
        <v>0</v>
      </c>
      <c r="D221" s="1">
        <v>0</v>
      </c>
      <c r="E221" s="1">
        <v>37</v>
      </c>
      <c r="F221" s="27">
        <v>2383</v>
      </c>
      <c r="G221" s="6">
        <v>183</v>
      </c>
      <c r="H221" s="1">
        <f>SUM(C221:G221)</f>
        <v>2603</v>
      </c>
      <c r="I221" s="10">
        <f>F221/H221</f>
        <v>0.91548213599692663</v>
      </c>
      <c r="J221" s="11">
        <f>1-I221</f>
        <v>8.4517864003073373E-2</v>
      </c>
      <c r="K221">
        <f>H221-F223</f>
        <v>21</v>
      </c>
      <c r="N221" s="10">
        <f>2*(F224*I221)/(F224+I221)</f>
        <v>0.91918997107039546</v>
      </c>
      <c r="O221" s="1"/>
      <c r="P221" s="1"/>
      <c r="S221" t="s">
        <v>30</v>
      </c>
      <c r="T221" s="57">
        <f t="shared" si="46"/>
        <v>100</v>
      </c>
      <c r="U221" s="57">
        <f t="shared" si="46"/>
        <v>89.81075328950719</v>
      </c>
      <c r="V221" s="57">
        <f t="shared" si="46"/>
        <v>98.980709602114104</v>
      </c>
      <c r="W221" s="57">
        <f t="shared" si="46"/>
        <v>90.480129136391682</v>
      </c>
      <c r="X221" s="57">
        <f t="shared" si="46"/>
        <v>79.311800030794316</v>
      </c>
      <c r="AB221">
        <v>0</v>
      </c>
      <c r="AC221">
        <v>31</v>
      </c>
      <c r="AD221">
        <v>26</v>
      </c>
      <c r="AE221">
        <v>15</v>
      </c>
      <c r="AJ221" t="s">
        <v>416</v>
      </c>
      <c r="AK221">
        <v>5</v>
      </c>
      <c r="AL221" s="1">
        <v>0</v>
      </c>
      <c r="AM221" s="1">
        <v>2</v>
      </c>
      <c r="AN221" s="1">
        <v>1352.26</v>
      </c>
      <c r="AO221">
        <v>436.18</v>
      </c>
      <c r="AP221">
        <v>62.79</v>
      </c>
      <c r="AQ221" s="1"/>
      <c r="AR221" s="1">
        <v>279.01</v>
      </c>
      <c r="AS221" s="1">
        <v>2417.9</v>
      </c>
      <c r="AT221" s="1">
        <v>16230.69</v>
      </c>
      <c r="AU221" s="1">
        <v>2014.02</v>
      </c>
      <c r="AV221" s="1">
        <v>1203.32</v>
      </c>
      <c r="BF221" s="51"/>
      <c r="BG221" s="1"/>
    </row>
    <row r="222" spans="1:59" x14ac:dyDescent="0.3">
      <c r="A222" t="s">
        <v>7</v>
      </c>
      <c r="B222" s="13">
        <v>4</v>
      </c>
      <c r="C222" s="7">
        <v>0</v>
      </c>
      <c r="D222" s="8">
        <v>0</v>
      </c>
      <c r="E222" s="8">
        <v>22</v>
      </c>
      <c r="F222" s="8">
        <v>149</v>
      </c>
      <c r="G222" s="28">
        <v>789</v>
      </c>
      <c r="H222" s="1">
        <f>SUM(C222:G222)</f>
        <v>960</v>
      </c>
      <c r="I222" s="10">
        <f>G222/H222</f>
        <v>0.82187500000000002</v>
      </c>
      <c r="J222" s="11">
        <f>1-I222</f>
        <v>0.17812499999999998</v>
      </c>
      <c r="K222">
        <f>H222-G223</f>
        <v>-107</v>
      </c>
      <c r="N222" s="10">
        <f>2*(G224*I222)/(G224+I222)</f>
        <v>0.77849037987173164</v>
      </c>
      <c r="O222" s="1"/>
      <c r="P222" s="1"/>
      <c r="S222" s="66" t="s">
        <v>39</v>
      </c>
      <c r="T222" s="67">
        <f t="shared" si="46"/>
        <v>0</v>
      </c>
      <c r="U222" s="67">
        <f t="shared" si="46"/>
        <v>1.0774840754688313</v>
      </c>
      <c r="V222" s="67">
        <f t="shared" si="46"/>
        <v>0.13114152129167742</v>
      </c>
      <c r="W222" s="67">
        <f t="shared" si="46"/>
        <v>0.78354457419917978</v>
      </c>
      <c r="X222" s="67">
        <f t="shared" si="46"/>
        <v>2.5772873451597182</v>
      </c>
      <c r="AB222">
        <v>1</v>
      </c>
      <c r="AC222">
        <v>60</v>
      </c>
      <c r="AD222">
        <v>55</v>
      </c>
      <c r="AE222">
        <v>44</v>
      </c>
      <c r="AH222" s="78"/>
      <c r="AI222" s="78"/>
      <c r="AJ222" t="s">
        <v>416</v>
      </c>
      <c r="AK222">
        <v>6</v>
      </c>
      <c r="AL222" s="1">
        <v>0</v>
      </c>
      <c r="AM222" s="1">
        <v>2.35</v>
      </c>
      <c r="AN222" s="1">
        <v>1349.08</v>
      </c>
      <c r="AO222">
        <v>439.04</v>
      </c>
      <c r="AP222">
        <v>62.75</v>
      </c>
      <c r="AQ222" s="1"/>
      <c r="AR222" s="1">
        <v>288.45999999999998</v>
      </c>
      <c r="AS222" s="1">
        <v>2392.6999999999998</v>
      </c>
      <c r="AT222" s="1">
        <v>16230.69</v>
      </c>
      <c r="AU222" s="1">
        <v>2062</v>
      </c>
      <c r="AV222" s="1">
        <v>1171.0899999999999</v>
      </c>
      <c r="BF222" s="51"/>
      <c r="BG222" s="1"/>
    </row>
    <row r="223" spans="1:59" ht="15.6" x14ac:dyDescent="0.35">
      <c r="B223" s="1" t="s">
        <v>19</v>
      </c>
      <c r="C223" s="1">
        <f>SUM(C218:C222)</f>
        <v>259</v>
      </c>
      <c r="D223" s="1">
        <f>SUM(D218:D222)</f>
        <v>433</v>
      </c>
      <c r="E223" s="1">
        <f>SUM(E218:E222)</f>
        <v>7219</v>
      </c>
      <c r="F223" s="1">
        <f>SUM(F218:F222)</f>
        <v>2582</v>
      </c>
      <c r="G223" s="1">
        <f>SUM(G218:G222)</f>
        <v>1067</v>
      </c>
      <c r="H223" s="1">
        <f>SUM(H217:H222)</f>
        <v>11560</v>
      </c>
      <c r="I223" s="13" t="s">
        <v>12</v>
      </c>
      <c r="N223" s="16" t="s">
        <v>36</v>
      </c>
      <c r="O223" s="1">
        <f>SUM(O218:O222)</f>
        <v>0</v>
      </c>
      <c r="P223" s="1">
        <f>SUM(P218:P222)</f>
        <v>0</v>
      </c>
      <c r="S223" s="15" t="s">
        <v>31</v>
      </c>
      <c r="T223" s="71">
        <f t="shared" si="46"/>
        <v>100</v>
      </c>
      <c r="U223" s="71">
        <f t="shared" si="46"/>
        <v>99.277286135693231</v>
      </c>
      <c r="V223" s="71">
        <f t="shared" si="46"/>
        <v>96.886065684551994</v>
      </c>
      <c r="W223" s="71">
        <f t="shared" si="46"/>
        <v>90.995005762581641</v>
      </c>
      <c r="X223" s="71">
        <f t="shared" si="46"/>
        <v>83</v>
      </c>
      <c r="AB223">
        <v>2</v>
      </c>
      <c r="AC223">
        <v>89</v>
      </c>
      <c r="AD223">
        <v>84</v>
      </c>
      <c r="AE223">
        <v>73</v>
      </c>
      <c r="AJ223" t="s">
        <v>416</v>
      </c>
      <c r="AK223">
        <v>7</v>
      </c>
      <c r="AL223" s="1">
        <v>0</v>
      </c>
      <c r="AM223" s="1">
        <v>2.4</v>
      </c>
      <c r="AN223" s="1">
        <v>1352.07</v>
      </c>
      <c r="AO223">
        <v>434.63</v>
      </c>
      <c r="AP223">
        <v>64.12</v>
      </c>
      <c r="AQ223" s="1"/>
      <c r="AR223" s="1">
        <v>287.2</v>
      </c>
      <c r="AS223" s="1">
        <v>2421.23</v>
      </c>
      <c r="AT223" s="1">
        <v>16199.1</v>
      </c>
      <c r="AU223" s="1">
        <v>2040.76</v>
      </c>
      <c r="AV223" s="1">
        <v>1196.6600000000001</v>
      </c>
      <c r="BF223" s="51"/>
      <c r="BG223" s="1"/>
    </row>
    <row r="224" spans="1:59" x14ac:dyDescent="0.3">
      <c r="A224" s="1" t="s">
        <v>321</v>
      </c>
      <c r="B224" s="1" t="s">
        <v>2</v>
      </c>
      <c r="C224" s="10">
        <f>C218/C223</f>
        <v>1</v>
      </c>
      <c r="D224" s="10">
        <f>D219/D223</f>
        <v>0.7736720554272517</v>
      </c>
      <c r="E224" s="10">
        <f>E220/E223</f>
        <v>0.99127302950547169</v>
      </c>
      <c r="F224" s="10">
        <f>F221/F223</f>
        <v>0.92292796281951972</v>
      </c>
      <c r="G224" s="10">
        <f>G222/G223</f>
        <v>0.73945641986879096</v>
      </c>
      <c r="H224" s="10"/>
      <c r="I224" s="14">
        <f>(C218+D219+E220+F221+G222)/H223</f>
        <v>0.94480968858131487</v>
      </c>
      <c r="S224" s="75" t="s">
        <v>39</v>
      </c>
      <c r="T224" s="76">
        <f t="shared" si="46"/>
        <v>0</v>
      </c>
      <c r="U224" s="76">
        <f t="shared" si="46"/>
        <v>0.44764207601023137</v>
      </c>
      <c r="V224" s="76">
        <f t="shared" si="46"/>
        <v>0.2018959675581784</v>
      </c>
      <c r="W224" s="76">
        <f t="shared" si="46"/>
        <v>0.56100526872836809</v>
      </c>
      <c r="X224" s="76">
        <f t="shared" si="46"/>
        <v>1.2124810979245586</v>
      </c>
      <c r="AB224">
        <v>3</v>
      </c>
      <c r="AC224">
        <v>118</v>
      </c>
      <c r="AD224">
        <v>113</v>
      </c>
      <c r="AE224">
        <v>102</v>
      </c>
      <c r="AH224" s="78"/>
      <c r="AI224" s="78"/>
      <c r="AJ224" t="s">
        <v>416</v>
      </c>
      <c r="AK224">
        <v>8</v>
      </c>
      <c r="AL224" s="1">
        <v>0</v>
      </c>
      <c r="AM224" s="1">
        <v>2.96</v>
      </c>
      <c r="AN224" s="1">
        <v>1338.02</v>
      </c>
      <c r="AO224">
        <v>446.6</v>
      </c>
      <c r="AP224">
        <v>65.63</v>
      </c>
      <c r="AQ224" s="1"/>
      <c r="AR224" s="1">
        <v>288.91000000000003</v>
      </c>
      <c r="AS224" s="1">
        <v>2401.61</v>
      </c>
      <c r="AT224" s="1">
        <v>16146.52</v>
      </c>
      <c r="AU224" s="1">
        <v>2079.56</v>
      </c>
      <c r="AV224" s="1">
        <v>1228.3499999999999</v>
      </c>
      <c r="BF224" s="51"/>
      <c r="BG224" s="1"/>
    </row>
    <row r="225" spans="1:59" x14ac:dyDescent="0.3">
      <c r="B225" s="1" t="s">
        <v>14</v>
      </c>
      <c r="C225" s="11">
        <f>1-C224</f>
        <v>0</v>
      </c>
      <c r="D225" s="11">
        <f>1-D224</f>
        <v>0.2263279445727483</v>
      </c>
      <c r="E225" s="11">
        <f>1-E224</f>
        <v>8.7269704945283078E-3</v>
      </c>
      <c r="F225" s="11">
        <f>1-F224</f>
        <v>7.707203718048028E-2</v>
      </c>
      <c r="G225" s="11">
        <f>1-G224</f>
        <v>0.26054358013120904</v>
      </c>
      <c r="S225" s="66" t="s">
        <v>56</v>
      </c>
      <c r="T225" s="67">
        <f t="shared" si="46"/>
        <v>100</v>
      </c>
      <c r="U225" s="67">
        <f t="shared" si="46"/>
        <v>88.575470373916716</v>
      </c>
      <c r="V225" s="67">
        <f t="shared" si="46"/>
        <v>97.997602964286699</v>
      </c>
      <c r="W225" s="67">
        <f t="shared" si="46"/>
        <v>91.619502583958095</v>
      </c>
      <c r="X225" s="67">
        <f t="shared" si="46"/>
        <v>78.064444045040062</v>
      </c>
      <c r="AB225">
        <v>4</v>
      </c>
      <c r="AC225">
        <v>147</v>
      </c>
      <c r="AD225">
        <v>142</v>
      </c>
      <c r="AE225">
        <v>131</v>
      </c>
      <c r="AJ225" t="s">
        <v>416</v>
      </c>
      <c r="AK225">
        <v>9</v>
      </c>
      <c r="AL225" s="1">
        <v>0</v>
      </c>
      <c r="AM225" s="1">
        <v>2.14</v>
      </c>
      <c r="AN225" s="1">
        <v>1346.2</v>
      </c>
      <c r="AO225">
        <v>443.51</v>
      </c>
      <c r="AP225">
        <v>61.37</v>
      </c>
      <c r="AR225" s="1">
        <v>287.02</v>
      </c>
      <c r="AS225" s="1">
        <v>2364.25</v>
      </c>
      <c r="AT225" s="1">
        <v>16230.51</v>
      </c>
      <c r="AU225" s="1">
        <v>2094.6</v>
      </c>
      <c r="AV225" s="1">
        <v>1168.57</v>
      </c>
      <c r="BF225" s="51"/>
      <c r="BG225" s="1"/>
    </row>
    <row r="226" spans="1:59" x14ac:dyDescent="0.3">
      <c r="C226" s="2"/>
      <c r="R226" s="16" t="s">
        <v>66</v>
      </c>
      <c r="S226" t="s">
        <v>9</v>
      </c>
      <c r="T226" s="1">
        <f t="shared" si="46"/>
        <v>2316.54</v>
      </c>
      <c r="U226" s="1">
        <f t="shared" si="46"/>
        <v>12090.2605</v>
      </c>
      <c r="V226" s="1">
        <f t="shared" si="46"/>
        <v>119374.80349999999</v>
      </c>
      <c r="W226" s="1">
        <f t="shared" si="46"/>
        <v>43041.758499999996</v>
      </c>
      <c r="X226" s="1">
        <f t="shared" si="46"/>
        <v>21557.055499999999</v>
      </c>
      <c r="AB226">
        <v>5</v>
      </c>
      <c r="AC226">
        <v>176</v>
      </c>
      <c r="AD226">
        <v>171</v>
      </c>
      <c r="AE226">
        <v>160</v>
      </c>
      <c r="AH226" s="78"/>
      <c r="AI226" s="78"/>
      <c r="AJ226" t="s">
        <v>416</v>
      </c>
      <c r="AK226">
        <v>10</v>
      </c>
      <c r="AL226" s="1">
        <v>0</v>
      </c>
      <c r="AM226" s="1">
        <v>2.2599999999999998</v>
      </c>
      <c r="AN226" s="1">
        <v>1351.66</v>
      </c>
      <c r="AO226">
        <v>435.83</v>
      </c>
      <c r="AP226">
        <v>63.47</v>
      </c>
      <c r="AR226" s="1">
        <v>284.32</v>
      </c>
      <c r="AS226" s="1">
        <v>2352.63</v>
      </c>
      <c r="AT226" s="1">
        <v>16221.6</v>
      </c>
      <c r="AU226" s="1">
        <v>2080.1</v>
      </c>
      <c r="AV226" s="1">
        <v>1206.29</v>
      </c>
      <c r="BF226" s="51"/>
      <c r="BG226" s="1"/>
    </row>
    <row r="227" spans="1:59" ht="15.6" x14ac:dyDescent="0.35">
      <c r="A227" t="s">
        <v>322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323</v>
      </c>
      <c r="S227" t="s">
        <v>68</v>
      </c>
      <c r="T227" s="57">
        <f>AVERAGE(T24,T34,T44,T54,T64,T74,T84,T94,T104,T114,T124,T134,T144,T154,T164,T174,T184,T194,T204,T214)</f>
        <v>2316.5399999999995</v>
      </c>
      <c r="U227" s="57">
        <f t="shared" si="46"/>
        <v>13364.752063215512</v>
      </c>
      <c r="V227" s="57">
        <f t="shared" si="46"/>
        <v>116849.2842904999</v>
      </c>
      <c r="W227" s="57">
        <f t="shared" si="46"/>
        <v>43287.722598318978</v>
      </c>
      <c r="X227" s="57">
        <f t="shared" si="46"/>
        <v>22562.119047965654</v>
      </c>
      <c r="AB227">
        <v>6</v>
      </c>
      <c r="AC227">
        <v>205</v>
      </c>
      <c r="AD227">
        <v>200</v>
      </c>
      <c r="AE227">
        <v>189</v>
      </c>
      <c r="AJ227" t="s">
        <v>416</v>
      </c>
      <c r="AK227">
        <v>11</v>
      </c>
      <c r="AL227" s="1">
        <v>0</v>
      </c>
      <c r="AM227" s="1">
        <v>1.8</v>
      </c>
      <c r="AN227" s="1">
        <v>1344.32</v>
      </c>
      <c r="AO227">
        <v>437.94</v>
      </c>
      <c r="AP227">
        <v>69.16</v>
      </c>
      <c r="AR227" s="1">
        <v>288.37</v>
      </c>
      <c r="AS227" s="1">
        <v>2433.48</v>
      </c>
      <c r="AT227" s="1">
        <v>16126.62</v>
      </c>
      <c r="AU227" s="1">
        <v>2039.14</v>
      </c>
      <c r="AV227" s="1">
        <v>1257.3399999999999</v>
      </c>
      <c r="BF227" s="51"/>
      <c r="BG227" s="1"/>
    </row>
    <row r="228" spans="1:59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67</v>
      </c>
      <c r="T228" s="67">
        <f>AVERAGE(T25,T35,T45,T55,T65,T75,T85,T95,T105,T115,T125,T135,T145,T155,T165,T175,T185,T195,T205,T215)</f>
        <v>0</v>
      </c>
      <c r="U228" s="67">
        <f t="shared" si="46"/>
        <v>157.33079752684918</v>
      </c>
      <c r="V228" s="67">
        <f t="shared" si="46"/>
        <v>285.49971719493726</v>
      </c>
      <c r="W228" s="67">
        <f t="shared" si="46"/>
        <v>366.31904035638024</v>
      </c>
      <c r="X228" s="67">
        <f t="shared" si="46"/>
        <v>374.96503980603802</v>
      </c>
      <c r="AB228">
        <v>7</v>
      </c>
      <c r="AC228">
        <v>234</v>
      </c>
      <c r="AD228">
        <v>229</v>
      </c>
      <c r="AE228">
        <v>218</v>
      </c>
      <c r="AI228" s="78"/>
      <c r="AJ228" t="s">
        <v>416</v>
      </c>
      <c r="AK228">
        <v>12</v>
      </c>
      <c r="AL228" s="1">
        <v>0</v>
      </c>
      <c r="AM228" s="1">
        <v>2.2999999999999998</v>
      </c>
      <c r="AN228" s="1">
        <v>1355.51</v>
      </c>
      <c r="AO228">
        <v>435.4</v>
      </c>
      <c r="AP228">
        <v>60.01</v>
      </c>
      <c r="AR228" s="1">
        <v>290.89</v>
      </c>
      <c r="AS228" s="1">
        <v>2287.09</v>
      </c>
      <c r="AT228" s="1">
        <v>16341.97</v>
      </c>
      <c r="AU228" s="1">
        <v>2037.61</v>
      </c>
      <c r="AV228" s="1">
        <v>1187.3900000000001</v>
      </c>
      <c r="BF228" s="51"/>
      <c r="BG228" s="1"/>
    </row>
    <row r="229" spans="1:59" x14ac:dyDescent="0.3">
      <c r="A229" t="s">
        <v>3</v>
      </c>
      <c r="B229" s="13">
        <v>0</v>
      </c>
      <c r="C229" s="29">
        <f>(C218/$L229)*$O229</f>
        <v>1.1571152615321241</v>
      </c>
      <c r="D229" s="31">
        <f>(D218/$L229)*$O229</f>
        <v>0</v>
      </c>
      <c r="E229" s="31">
        <f>(E218/$L229)*$O229</f>
        <v>0</v>
      </c>
      <c r="F229" s="31">
        <f>(F218/$L229)*$O229</f>
        <v>0</v>
      </c>
      <c r="G229" s="32">
        <f>(G218/$L229)*$O229</f>
        <v>0</v>
      </c>
      <c r="H229" s="17">
        <f>SUM(C229:G229)</f>
        <v>1.1571152615321241</v>
      </c>
      <c r="I229" s="17">
        <f>C229/H229*100</f>
        <v>100</v>
      </c>
      <c r="J229" s="17">
        <f>SQRT(I229*(100-I229)/(L229-1))</f>
        <v>0</v>
      </c>
      <c r="K229" s="18">
        <f>100-I229</f>
        <v>0</v>
      </c>
      <c r="L229" s="1">
        <f>H218</f>
        <v>259</v>
      </c>
      <c r="M229">
        <v>0</v>
      </c>
      <c r="N229" s="1">
        <v>2295.4899999999998</v>
      </c>
      <c r="O229" s="17">
        <f>N229/N234*100</f>
        <v>1.1571152615321241</v>
      </c>
      <c r="P229" s="52">
        <f>((O229*O229*(I229/100)*(K229/100))/(L229-1))</f>
        <v>0</v>
      </c>
      <c r="AB229">
        <v>8</v>
      </c>
      <c r="AC229">
        <v>263</v>
      </c>
      <c r="AD229">
        <v>258</v>
      </c>
      <c r="AE229">
        <v>247</v>
      </c>
      <c r="AH229" s="78"/>
      <c r="AJ229" t="s">
        <v>416</v>
      </c>
      <c r="AK229">
        <v>13</v>
      </c>
      <c r="AL229" s="1">
        <v>0</v>
      </c>
      <c r="AM229" s="1">
        <v>2.4300000000000002</v>
      </c>
      <c r="AN229" s="1">
        <v>1347.65</v>
      </c>
      <c r="AO229">
        <v>441.67</v>
      </c>
      <c r="AP229">
        <v>61.47</v>
      </c>
      <c r="AR229" s="1">
        <v>291.7</v>
      </c>
      <c r="AS229" s="1">
        <v>2376.13</v>
      </c>
      <c r="AT229" s="1">
        <v>16267.87</v>
      </c>
      <c r="AU229" s="1">
        <v>2082.35</v>
      </c>
      <c r="AV229" s="1">
        <v>1126.8900000000001</v>
      </c>
      <c r="BF229" s="51"/>
      <c r="BG229" s="1"/>
    </row>
    <row r="230" spans="1:59" x14ac:dyDescent="0.3">
      <c r="A230" t="s">
        <v>4</v>
      </c>
      <c r="B230" s="13">
        <v>1</v>
      </c>
      <c r="C230" s="33">
        <f t="shared" ref="C230:G233" si="47">(C219/$L230)*$O230</f>
        <v>0</v>
      </c>
      <c r="D230" s="34">
        <f t="shared" si="47"/>
        <v>5.9167528757347165</v>
      </c>
      <c r="E230" s="19">
        <f t="shared" si="47"/>
        <v>7.0647795531160795E-2</v>
      </c>
      <c r="F230" s="18">
        <f t="shared" si="47"/>
        <v>0</v>
      </c>
      <c r="G230" s="20">
        <f t="shared" si="47"/>
        <v>0</v>
      </c>
      <c r="H230" s="17">
        <f>SUM(C230:G230)</f>
        <v>5.9874006712658776</v>
      </c>
      <c r="I230" s="17">
        <f>D230/H230*100</f>
        <v>98.82005899705014</v>
      </c>
      <c r="J230" s="17">
        <f>SQRT(I230*(100-I230)/(L230-1))</f>
        <v>0.58734645362127647</v>
      </c>
      <c r="K230" s="18">
        <f>100-I230</f>
        <v>1.1799410029498603</v>
      </c>
      <c r="L230" s="1">
        <f>H219</f>
        <v>339</v>
      </c>
      <c r="M230">
        <v>1</v>
      </c>
      <c r="N230" s="1">
        <v>11877.83</v>
      </c>
      <c r="O230" s="17">
        <f>N230/N234*100</f>
        <v>5.9874006712658776</v>
      </c>
      <c r="P230" s="52">
        <f>((O230*O230*(I230/100)*(K230/100))/(L230-1))</f>
        <v>1.2367028028796351E-3</v>
      </c>
      <c r="S230" t="s">
        <v>69</v>
      </c>
      <c r="T230" s="1" t="s">
        <v>418</v>
      </c>
      <c r="U230" s="1" t="s">
        <v>419</v>
      </c>
      <c r="V230" s="1" t="s">
        <v>420</v>
      </c>
      <c r="W230" s="1" t="s">
        <v>421</v>
      </c>
      <c r="X230" s="1" t="s">
        <v>422</v>
      </c>
      <c r="AB230">
        <v>9</v>
      </c>
      <c r="AC230">
        <v>292</v>
      </c>
      <c r="AD230">
        <v>287</v>
      </c>
      <c r="AE230">
        <v>276</v>
      </c>
      <c r="AI230" s="78"/>
      <c r="AJ230" t="s">
        <v>416</v>
      </c>
      <c r="AK230">
        <v>14</v>
      </c>
      <c r="AL230" s="1">
        <v>0</v>
      </c>
      <c r="AM230" s="1">
        <v>2.63</v>
      </c>
      <c r="AN230" s="1">
        <v>1347.77</v>
      </c>
      <c r="AO230">
        <v>436.13</v>
      </c>
      <c r="AP230">
        <v>66.69</v>
      </c>
      <c r="AR230" s="1">
        <v>291.16000000000003</v>
      </c>
      <c r="AS230" s="1">
        <v>2348.85</v>
      </c>
      <c r="AT230" s="1">
        <v>16254.1</v>
      </c>
      <c r="AU230" s="1">
        <v>2028.6</v>
      </c>
      <c r="AV230" s="1">
        <v>1222.23</v>
      </c>
      <c r="BF230" s="51"/>
      <c r="BG230" s="1"/>
    </row>
    <row r="231" spans="1:59" x14ac:dyDescent="0.3">
      <c r="A231" t="s">
        <v>5</v>
      </c>
      <c r="B231" s="13">
        <v>2</v>
      </c>
      <c r="C231" s="33">
        <f t="shared" si="47"/>
        <v>0</v>
      </c>
      <c r="D231" s="19">
        <f t="shared" si="47"/>
        <v>0.80006898486112166</v>
      </c>
      <c r="E231" s="34">
        <f t="shared" si="47"/>
        <v>58.421363833328435</v>
      </c>
      <c r="F231" s="19">
        <f t="shared" si="47"/>
        <v>0.40819846166383761</v>
      </c>
      <c r="G231" s="20">
        <f t="shared" si="47"/>
        <v>0.77557707716129143</v>
      </c>
      <c r="H231" s="17">
        <f>SUM(C231:G231)</f>
        <v>60.405208357014686</v>
      </c>
      <c r="I231" s="17">
        <f>E231/H231*100</f>
        <v>96.715772401675906</v>
      </c>
      <c r="J231" s="17">
        <f>SQRT(I231*(100-I231)/(L231-1))</f>
        <v>0.20720876007234476</v>
      </c>
      <c r="K231" s="18">
        <f>100-I231</f>
        <v>3.2842275983240938</v>
      </c>
      <c r="L231" s="1">
        <f>H220</f>
        <v>7399</v>
      </c>
      <c r="M231">
        <v>2</v>
      </c>
      <c r="N231" s="1">
        <v>119832.1</v>
      </c>
      <c r="O231" s="17">
        <f>N231/N234*100</f>
        <v>60.405208357014686</v>
      </c>
      <c r="P231" s="52">
        <f>((O231*O231*(I231/100)*(K231/100))/(L231-1))</f>
        <v>1.5666248000409631E-2</v>
      </c>
      <c r="T231" s="57">
        <f>T24</f>
        <v>2284.9499999999998</v>
      </c>
      <c r="U231" s="57">
        <f>U24</f>
        <v>13187.47921699536</v>
      </c>
      <c r="V231" s="57">
        <f>V24</f>
        <v>117483.37913933342</v>
      </c>
      <c r="W231" s="57">
        <f>W24</f>
        <v>42655.041212933516</v>
      </c>
      <c r="X231" s="57">
        <f>X24</f>
        <v>22769.570430737676</v>
      </c>
      <c r="AB231">
        <v>10</v>
      </c>
      <c r="AC231">
        <v>321</v>
      </c>
      <c r="AD231">
        <v>316</v>
      </c>
      <c r="AE231">
        <v>305</v>
      </c>
      <c r="AH231" s="78"/>
      <c r="AJ231" t="s">
        <v>416</v>
      </c>
      <c r="AK231">
        <v>15</v>
      </c>
      <c r="AL231" s="1">
        <v>0</v>
      </c>
      <c r="AM231" s="1">
        <v>1.88</v>
      </c>
      <c r="AN231" s="1">
        <v>1344.47</v>
      </c>
      <c r="AO231">
        <v>441.53</v>
      </c>
      <c r="AP231">
        <v>65.34</v>
      </c>
      <c r="AR231" s="1">
        <v>290.89</v>
      </c>
      <c r="AS231" s="1">
        <v>2478.13</v>
      </c>
      <c r="AT231" s="1">
        <v>16103.76</v>
      </c>
      <c r="AU231" s="1">
        <v>2033.11</v>
      </c>
      <c r="AV231" s="1">
        <v>1239.06</v>
      </c>
      <c r="BF231" s="51"/>
      <c r="BG231" s="1"/>
    </row>
    <row r="232" spans="1:59" x14ac:dyDescent="0.3">
      <c r="A232" t="s">
        <v>6</v>
      </c>
      <c r="B232" s="13">
        <v>3</v>
      </c>
      <c r="C232" s="33">
        <f t="shared" si="47"/>
        <v>0</v>
      </c>
      <c r="D232" s="19">
        <f t="shared" si="47"/>
        <v>0</v>
      </c>
      <c r="E232" s="19">
        <f t="shared" si="47"/>
        <v>0.30971451830006419</v>
      </c>
      <c r="F232" s="34">
        <f t="shared" si="47"/>
        <v>19.947289111055486</v>
      </c>
      <c r="G232" s="20">
        <f t="shared" si="47"/>
        <v>1.5318312661868041</v>
      </c>
      <c r="H232" s="17">
        <f>SUM(C232:G232)</f>
        <v>21.788834895542355</v>
      </c>
      <c r="I232" s="17">
        <f>F232/H232*100</f>
        <v>91.548213599692659</v>
      </c>
      <c r="J232" s="17">
        <f>SQRT(I232*(100-I232)/(L232-1))</f>
        <v>0.54531261851503776</v>
      </c>
      <c r="K232" s="18">
        <f>100-I232</f>
        <v>8.4517864003073413</v>
      </c>
      <c r="L232" s="1">
        <f>H221</f>
        <v>2603</v>
      </c>
      <c r="M232">
        <v>3</v>
      </c>
      <c r="N232" s="1">
        <v>43224.78</v>
      </c>
      <c r="O232" s="17">
        <f>N232/N234*100</f>
        <v>21.788834895542355</v>
      </c>
      <c r="P232" s="52">
        <f>((O232*O232*(I232/100)*(K232/100))/(L232-1))</f>
        <v>1.4117542726520008E-2</v>
      </c>
      <c r="T232" s="57">
        <f>T34</f>
        <v>2318.54</v>
      </c>
      <c r="U232" s="57">
        <f>U34</f>
        <v>12994.535368891036</v>
      </c>
      <c r="V232" s="57">
        <f>V34</f>
        <v>117145.41770417505</v>
      </c>
      <c r="W232" s="57">
        <f>W34</f>
        <v>42980.209702546133</v>
      </c>
      <c r="X232" s="57">
        <f>X34</f>
        <v>22941.707224387788</v>
      </c>
      <c r="AB232">
        <v>11</v>
      </c>
      <c r="AC232">
        <v>350</v>
      </c>
      <c r="AD232">
        <v>345</v>
      </c>
      <c r="AE232">
        <v>334</v>
      </c>
      <c r="AI232" s="78"/>
      <c r="AJ232" t="s">
        <v>416</v>
      </c>
      <c r="AK232">
        <v>16</v>
      </c>
      <c r="AL232" s="1">
        <v>0</v>
      </c>
      <c r="AM232" s="1">
        <v>1.99</v>
      </c>
      <c r="AN232" s="1">
        <v>1346.87</v>
      </c>
      <c r="AO232">
        <v>441.7</v>
      </c>
      <c r="AP232">
        <v>62.67</v>
      </c>
      <c r="AQ232" s="1"/>
      <c r="AR232" s="1">
        <v>277.66000000000003</v>
      </c>
      <c r="AS232" s="1">
        <v>2302.7600000000002</v>
      </c>
      <c r="AT232" s="1">
        <v>16283.81</v>
      </c>
      <c r="AU232" s="1">
        <v>2061.56</v>
      </c>
      <c r="AV232" s="1">
        <v>1219.17</v>
      </c>
      <c r="BF232" s="51"/>
      <c r="BG232" s="1"/>
    </row>
    <row r="233" spans="1:59" x14ac:dyDescent="0.3">
      <c r="A233" t="s">
        <v>7</v>
      </c>
      <c r="B233" s="13">
        <v>4</v>
      </c>
      <c r="C233" s="35">
        <f t="shared" si="47"/>
        <v>0</v>
      </c>
      <c r="D233" s="36">
        <f t="shared" si="47"/>
        <v>0</v>
      </c>
      <c r="E233" s="21">
        <f t="shared" si="47"/>
        <v>0.24432468533561352</v>
      </c>
      <c r="F233" s="21">
        <f t="shared" si="47"/>
        <v>1.654744459773019</v>
      </c>
      <c r="G233" s="37">
        <f t="shared" si="47"/>
        <v>8.7623716695363232</v>
      </c>
      <c r="H233" s="17">
        <f>SUM(C233:G233)</f>
        <v>10.661440814644955</v>
      </c>
      <c r="I233" s="17">
        <f>G233/H233*100</f>
        <v>82.187500000000014</v>
      </c>
      <c r="J233" s="17">
        <f>SQRT(I233*(100-I233)/(L233-1))</f>
        <v>1.2355377529005511</v>
      </c>
      <c r="K233" s="18">
        <f>100-I233</f>
        <v>17.812499999999986</v>
      </c>
      <c r="L233" s="1">
        <f>H222</f>
        <v>960</v>
      </c>
      <c r="M233">
        <v>4</v>
      </c>
      <c r="N233" s="1">
        <v>21150.21</v>
      </c>
      <c r="O233" s="17">
        <f>N233/N234*100</f>
        <v>10.661440814644955</v>
      </c>
      <c r="P233" s="52">
        <f>((O233*O233*(I233/100)*(K233/100))/(L233-1))</f>
        <v>1.7351772341595871E-2</v>
      </c>
      <c r="T233" s="57">
        <f>T44</f>
        <v>2343.12</v>
      </c>
      <c r="U233" s="57">
        <f>U44</f>
        <v>13400.531077997864</v>
      </c>
      <c r="V233" s="57">
        <f>V44</f>
        <v>115877.10776044248</v>
      </c>
      <c r="W233" s="57">
        <f>W44</f>
        <v>43566.738821193147</v>
      </c>
      <c r="X233" s="57">
        <f>X44</f>
        <v>23192.932340366478</v>
      </c>
      <c r="AB233">
        <v>12</v>
      </c>
      <c r="AC233">
        <v>379</v>
      </c>
      <c r="AD233">
        <v>374</v>
      </c>
      <c r="AE233">
        <v>363</v>
      </c>
      <c r="AH233" s="78"/>
      <c r="AJ233" t="s">
        <v>416</v>
      </c>
      <c r="AK233">
        <v>17</v>
      </c>
      <c r="AL233" s="1">
        <v>0</v>
      </c>
      <c r="AM233" s="1">
        <v>2.4</v>
      </c>
      <c r="AN233" s="1">
        <v>1342.75</v>
      </c>
      <c r="AO233">
        <v>444.66</v>
      </c>
      <c r="AP233">
        <v>63.41</v>
      </c>
      <c r="AQ233" s="1"/>
      <c r="AR233" s="1">
        <v>292.77999999999997</v>
      </c>
      <c r="AS233" s="1">
        <v>2379.73</v>
      </c>
      <c r="AT233" s="1">
        <v>16202.6</v>
      </c>
      <c r="AU233" s="1">
        <v>2049.94</v>
      </c>
      <c r="AV233" s="1">
        <v>1219.8900000000001</v>
      </c>
      <c r="BF233" s="51"/>
      <c r="BG233" s="1"/>
    </row>
    <row r="234" spans="1:59" x14ac:dyDescent="0.3">
      <c r="B234" t="s">
        <v>28</v>
      </c>
      <c r="C234" s="17">
        <f>SUM(C229:C233)</f>
        <v>1.1571152615321241</v>
      </c>
      <c r="D234" s="17">
        <f>SUM(D229:D233)</f>
        <v>6.7168218605958385</v>
      </c>
      <c r="E234" s="17">
        <f>SUM(E229:E233)</f>
        <v>59.046050832495268</v>
      </c>
      <c r="F234" s="17">
        <f>SUM(F229:F233)</f>
        <v>22.010232032492343</v>
      </c>
      <c r="G234" s="17">
        <f>SUM(G229:G233)</f>
        <v>11.069780012884419</v>
      </c>
      <c r="H234" s="1">
        <f>SUM(H228:H233)</f>
        <v>100</v>
      </c>
      <c r="I234" s="13" t="s">
        <v>24</v>
      </c>
      <c r="J234" s="12" t="s">
        <v>29</v>
      </c>
      <c r="N234" s="1">
        <f>SUM(N229:N233)</f>
        <v>198380.41</v>
      </c>
      <c r="O234" s="17">
        <f>SUM(O229:O233)</f>
        <v>100</v>
      </c>
      <c r="T234" s="57">
        <f>T54</f>
        <v>2372.11</v>
      </c>
      <c r="U234" s="57">
        <f>U54</f>
        <v>13986.635546874904</v>
      </c>
      <c r="V234" s="57">
        <f>V54</f>
        <v>115235.52542857901</v>
      </c>
      <c r="W234" s="57">
        <f>W54</f>
        <v>43658.000240509537</v>
      </c>
      <c r="X234" s="57">
        <f>X54</f>
        <v>23128.148784036526</v>
      </c>
      <c r="AB234">
        <v>13</v>
      </c>
      <c r="AC234">
        <v>408</v>
      </c>
      <c r="AD234">
        <v>403</v>
      </c>
      <c r="AE234">
        <v>392</v>
      </c>
      <c r="AI234" s="78"/>
      <c r="AJ234" t="s">
        <v>416</v>
      </c>
      <c r="AK234">
        <v>18</v>
      </c>
      <c r="AL234" s="1">
        <v>0</v>
      </c>
      <c r="AM234" s="1">
        <v>2.2400000000000002</v>
      </c>
      <c r="AN234" s="1">
        <v>1354.91</v>
      </c>
      <c r="AO234">
        <v>429.35</v>
      </c>
      <c r="AP234">
        <v>66.72</v>
      </c>
      <c r="AR234" s="1">
        <v>290.26</v>
      </c>
      <c r="AS234" s="1">
        <v>2444.1</v>
      </c>
      <c r="AT234" s="1">
        <v>16187.93</v>
      </c>
      <c r="AU234" s="1">
        <v>2002.5</v>
      </c>
      <c r="AV234" s="1">
        <v>1220.1600000000001</v>
      </c>
      <c r="BF234" s="51"/>
      <c r="BG234" s="1"/>
    </row>
    <row r="235" spans="1:59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0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8.7625796402583403E-2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0.1486743321543646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0.18151278340377935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0.18842815010259956</v>
      </c>
      <c r="H235" s="1"/>
      <c r="I235" s="14">
        <f>(C229+D230+E231+F232+G233)/H234</f>
        <v>0.94204892751187075</v>
      </c>
      <c r="J235" s="53">
        <f>SQRT(SUM(P229:P233))/100</f>
        <v>2.1993695885731699E-3</v>
      </c>
      <c r="M235" s="1"/>
      <c r="N235" s="9"/>
      <c r="T235" s="57">
        <f>T64</f>
        <v>2312.33</v>
      </c>
      <c r="U235" s="57">
        <f>U64</f>
        <v>13357.671924715967</v>
      </c>
      <c r="V235" s="57">
        <f>V64</f>
        <v>116730.00256208585</v>
      </c>
      <c r="W235" s="57">
        <f>W64</f>
        <v>43077.810596841009</v>
      </c>
      <c r="X235" s="57">
        <f>X64</f>
        <v>22902.614916357183</v>
      </c>
      <c r="AB235">
        <v>14</v>
      </c>
      <c r="AC235">
        <v>437</v>
      </c>
      <c r="AD235">
        <v>432</v>
      </c>
      <c r="AE235">
        <v>421</v>
      </c>
      <c r="AH235" s="78"/>
      <c r="AJ235" t="s">
        <v>416</v>
      </c>
      <c r="AK235">
        <v>19</v>
      </c>
      <c r="AL235" s="1">
        <v>0</v>
      </c>
      <c r="AM235" s="1">
        <v>2.2999999999999998</v>
      </c>
      <c r="AN235" s="1">
        <v>1349.39</v>
      </c>
      <c r="AO235">
        <v>437.23</v>
      </c>
      <c r="AP235">
        <v>64.31</v>
      </c>
      <c r="AR235" s="1">
        <v>292.60000000000002</v>
      </c>
      <c r="AS235" s="1">
        <v>2557.62</v>
      </c>
      <c r="AT235" s="1">
        <v>16050.82</v>
      </c>
      <c r="AU235" s="1">
        <v>2088.4699999999998</v>
      </c>
      <c r="AV235" s="1">
        <v>1155.43</v>
      </c>
      <c r="BF235" s="51"/>
      <c r="BG235" s="1"/>
    </row>
    <row r="236" spans="1:59" x14ac:dyDescent="0.3">
      <c r="B236" s="1" t="s">
        <v>30</v>
      </c>
      <c r="C236" s="17">
        <f>C229/C234*100</f>
        <v>100</v>
      </c>
      <c r="D236" s="17">
        <f>D230/D234*100</f>
        <v>88.088578177802844</v>
      </c>
      <c r="E236" s="17">
        <f>E231/E234*100</f>
        <v>98.942034242156211</v>
      </c>
      <c r="F236" s="17">
        <f>F232/F234*100</f>
        <v>90.627345870813798</v>
      </c>
      <c r="G236" s="17">
        <f>G233/G234*100</f>
        <v>79.155788636608492</v>
      </c>
      <c r="H236" s="1"/>
      <c r="T236" s="57">
        <f>T74</f>
        <v>2290.6299999999997</v>
      </c>
      <c r="U236" s="57">
        <f>U74</f>
        <v>13781.646198685065</v>
      </c>
      <c r="V236" s="57">
        <f>V74</f>
        <v>117060.55410891904</v>
      </c>
      <c r="W236" s="57">
        <f>W74</f>
        <v>42730.037802243576</v>
      </c>
      <c r="X236" s="57">
        <f>X74</f>
        <v>22517.541890152286</v>
      </c>
      <c r="AB236">
        <v>15</v>
      </c>
      <c r="AC236">
        <v>466</v>
      </c>
      <c r="AD236">
        <v>461</v>
      </c>
      <c r="AE236">
        <v>450</v>
      </c>
      <c r="AI236" s="78"/>
      <c r="BF236" s="51"/>
      <c r="BG236" s="1"/>
    </row>
    <row r="237" spans="1:59" x14ac:dyDescent="0.3">
      <c r="B237" s="16" t="s">
        <v>39</v>
      </c>
      <c r="C237" s="18">
        <f>SQRT((C240+C241)/(C234*C234))</f>
        <v>0</v>
      </c>
      <c r="D237" s="18">
        <f>SQRT((D240+D241)/(D234*D234))</f>
        <v>1.2237686069757281</v>
      </c>
      <c r="E237" s="18">
        <f>SQRT((E240+E241)/(E234*E234))</f>
        <v>0.13640496786341338</v>
      </c>
      <c r="F237" s="18">
        <f>SQRT((F240+F241)/(F234*F234))</f>
        <v>0.75868420950920845</v>
      </c>
      <c r="G237" s="18">
        <f>SQRT((G240+G241)/(G234*G234))</f>
        <v>2.6611462743665264</v>
      </c>
      <c r="H237" s="1"/>
      <c r="T237" s="57">
        <f>T84</f>
        <v>2304.3099999999995</v>
      </c>
      <c r="U237" s="57">
        <f>U84</f>
        <v>13212.659297656824</v>
      </c>
      <c r="V237" s="57">
        <f>V84</f>
        <v>117339.26775002106</v>
      </c>
      <c r="W237" s="57">
        <f>W84</f>
        <v>43408.855909396385</v>
      </c>
      <c r="X237" s="57">
        <f>X84</f>
        <v>22115.317042925748</v>
      </c>
      <c r="AB237">
        <v>16</v>
      </c>
      <c r="AC237">
        <v>495</v>
      </c>
      <c r="AD237">
        <v>490</v>
      </c>
      <c r="AE237">
        <v>479</v>
      </c>
      <c r="AH237" s="78"/>
      <c r="AM237" s="78"/>
      <c r="AN237" s="78"/>
      <c r="BF237" s="51"/>
      <c r="BG237" s="1"/>
    </row>
    <row r="238" spans="1:59" x14ac:dyDescent="0.3">
      <c r="B238" s="1" t="s">
        <v>37</v>
      </c>
      <c r="C238" s="18">
        <f>100-C236</f>
        <v>0</v>
      </c>
      <c r="D238" s="18">
        <f>100-D236</f>
        <v>11.911421822197156</v>
      </c>
      <c r="E238" s="18">
        <f>100-E236</f>
        <v>1.0579657578437889</v>
      </c>
      <c r="F238" s="18">
        <f>100-F236</f>
        <v>9.372654129186202</v>
      </c>
      <c r="G238" s="18">
        <f>100-G236</f>
        <v>20.844211363391508</v>
      </c>
      <c r="T238" s="57">
        <f>T94</f>
        <v>2295.4899999999998</v>
      </c>
      <c r="U238" s="57">
        <f>U94</f>
        <v>13324.858746019652</v>
      </c>
      <c r="V238" s="57">
        <f>V94</f>
        <v>117135.79773031254</v>
      </c>
      <c r="W238" s="57">
        <f>W94</f>
        <v>43663.988548009649</v>
      </c>
      <c r="X238" s="57">
        <f>X94</f>
        <v>21960.274975658162</v>
      </c>
      <c r="AB238">
        <v>17</v>
      </c>
      <c r="AC238">
        <v>524</v>
      </c>
      <c r="AD238">
        <v>519</v>
      </c>
      <c r="AE238">
        <v>508</v>
      </c>
      <c r="AI238" s="78"/>
      <c r="BF238" s="51"/>
      <c r="BG238" s="1"/>
    </row>
    <row r="239" spans="1:59" ht="15.6" x14ac:dyDescent="0.35">
      <c r="B239" s="1" t="s">
        <v>25</v>
      </c>
      <c r="C239" s="1">
        <f>C223</f>
        <v>259</v>
      </c>
      <c r="D239" s="1">
        <f>D223</f>
        <v>433</v>
      </c>
      <c r="E239" s="1">
        <f>E223</f>
        <v>7219</v>
      </c>
      <c r="F239" s="1">
        <f>F223</f>
        <v>2582</v>
      </c>
      <c r="G239" s="1">
        <f>G223</f>
        <v>1067</v>
      </c>
      <c r="T239" s="57">
        <f>T104</f>
        <v>2311.61</v>
      </c>
      <c r="U239" s="57">
        <f>U104</f>
        <v>13324.969045266822</v>
      </c>
      <c r="V239" s="57">
        <f>V104</f>
        <v>116797.05362698952</v>
      </c>
      <c r="W239" s="57">
        <f>W104</f>
        <v>43224.450965099328</v>
      </c>
      <c r="X239" s="57">
        <f>X104</f>
        <v>22722.336362644346</v>
      </c>
      <c r="AB239">
        <v>18</v>
      </c>
      <c r="AC239">
        <v>553</v>
      </c>
      <c r="AD239">
        <v>548</v>
      </c>
      <c r="AE239">
        <v>537</v>
      </c>
      <c r="AH239" s="78"/>
      <c r="AM239" s="78"/>
      <c r="AN239" s="78"/>
      <c r="BF239" s="51"/>
      <c r="BG239" s="1"/>
    </row>
    <row r="240" spans="1:59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17.546582976228706</v>
      </c>
      <c r="E240" s="18">
        <f>(O231*O231*(100-E236)*(100-E236)*(I231)*(100-I231))/((L231-1)*100)</f>
        <v>1.7535098925128147</v>
      </c>
      <c r="F240" s="18">
        <f>(O232*O232*(100-F236)*(100-F236)*(I232)*(100-I232))/((L232-1)*100)</f>
        <v>124.01787701738483</v>
      </c>
      <c r="G240" s="18">
        <f>(O233*O233*(100-G236)*(100-G236)*(I233)*(100-I233))/((L233-1)*100)</f>
        <v>753.90179557362717</v>
      </c>
      <c r="T240" s="57">
        <f>T114</f>
        <v>2315.0300000000002</v>
      </c>
      <c r="U240" s="57">
        <f>U114</f>
        <v>13463.382544910599</v>
      </c>
      <c r="V240" s="57">
        <f>V114</f>
        <v>117418.50137085926</v>
      </c>
      <c r="W240" s="57">
        <f>W114</f>
        <v>43812.528728911231</v>
      </c>
      <c r="X240" s="57">
        <f>X114</f>
        <v>21370.977355318922</v>
      </c>
      <c r="AB240">
        <v>19</v>
      </c>
      <c r="AC240">
        <v>582</v>
      </c>
      <c r="AD240">
        <v>577</v>
      </c>
      <c r="AE240">
        <v>566</v>
      </c>
      <c r="AI240" s="78"/>
      <c r="BF240" s="51"/>
      <c r="BG240" s="1"/>
    </row>
    <row r="241" spans="1:59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50.019116479007188</v>
      </c>
      <c r="E241" s="18">
        <f>E236*E236*(SUM((H229*E229*(1-E218/H218))/(H218-1),(H230*E230*(1-E219/H219))/(H219-1), (H232*E232*(1-E221/H221))/(H221-1),(H233*E233*(1-E222/H222))/(H222-1)))</f>
        <v>63.116219662240276</v>
      </c>
      <c r="F241" s="18">
        <f>F236*F236*(SUM((H229*F229*(1-F218/H218))/(H218-1),(H230*F230*(1-F219/H219))/(H219-1), (H231*F231*(1-F220/H220))/(H220-1),(H233*F233*(1-F222/H222))/(H222-1)))</f>
        <v>154.83256177458031</v>
      </c>
      <c r="G241" s="18">
        <f>G236*G236*(SUM((H229*G229*(1-G218/H218))/(H218-1),(H230*G230*(1-G219/H219))/(H219-1), (H231*G231*(1-G220/H220))/(H220-1),(H232*G232*(1-G221/H221))/(H221-1)))</f>
        <v>113.8898695175062</v>
      </c>
      <c r="T241" s="57">
        <f>T124</f>
        <v>2336.2800000000002</v>
      </c>
      <c r="U241" s="57">
        <f>U124</f>
        <v>13556.104105792818</v>
      </c>
      <c r="V241" s="57">
        <f>V124</f>
        <v>116647.31305645651</v>
      </c>
      <c r="W241" s="57">
        <f>W124</f>
        <v>43285.971966704317</v>
      </c>
      <c r="X241" s="57">
        <f>X124</f>
        <v>22554.750871046352</v>
      </c>
      <c r="AB241">
        <v>20</v>
      </c>
      <c r="AC241">
        <v>611</v>
      </c>
      <c r="AD241">
        <v>606</v>
      </c>
      <c r="AE241">
        <v>595</v>
      </c>
      <c r="AH241" s="78"/>
      <c r="AM241" s="78"/>
      <c r="AN241" s="78"/>
      <c r="BF241" s="51"/>
      <c r="BG241" s="1"/>
    </row>
    <row r="242" spans="1:59" x14ac:dyDescent="0.3">
      <c r="A242" s="105" t="s">
        <v>390</v>
      </c>
      <c r="B242" s="69" t="s">
        <v>9</v>
      </c>
      <c r="C242" s="1">
        <v>287.2</v>
      </c>
      <c r="D242" s="1">
        <v>2421.23</v>
      </c>
      <c r="E242" s="1">
        <v>16199.1</v>
      </c>
      <c r="F242">
        <v>2040.76</v>
      </c>
      <c r="G242">
        <v>1196.6600000000001</v>
      </c>
      <c r="I242" t="s">
        <v>36</v>
      </c>
      <c r="J242" s="57">
        <f>SUM(C242:G242)</f>
        <v>22144.949999999997</v>
      </c>
      <c r="T242" s="57">
        <f>T134</f>
        <v>2331.86</v>
      </c>
      <c r="U242" s="57">
        <f>U134</f>
        <v>13303.013265278216</v>
      </c>
      <c r="V242" s="57">
        <f>V134</f>
        <v>116351.57850848214</v>
      </c>
      <c r="W242" s="57">
        <f>W134</f>
        <v>43303.76305183638</v>
      </c>
      <c r="X242" s="57">
        <f>X134</f>
        <v>23090.205174403254</v>
      </c>
      <c r="AB242">
        <v>21</v>
      </c>
      <c r="AC242">
        <v>640</v>
      </c>
      <c r="AD242">
        <v>635</v>
      </c>
      <c r="AE242">
        <v>624</v>
      </c>
      <c r="AI242" s="78"/>
      <c r="BF242" s="51"/>
      <c r="BG242" s="1"/>
    </row>
    <row r="243" spans="1:59" x14ac:dyDescent="0.3">
      <c r="B243" t="s">
        <v>391</v>
      </c>
      <c r="C243" s="57">
        <f>(C242/$J242)*100</f>
        <v>1.2969096791819354</v>
      </c>
      <c r="D243" s="57">
        <f>(D242/$J242)*100</f>
        <v>10.933553699601942</v>
      </c>
      <c r="E243" s="57">
        <f>(E242/$J242)*100</f>
        <v>73.150311922131237</v>
      </c>
      <c r="F243" s="57">
        <f>(F242/$J242)*100</f>
        <v>9.2154644738416671</v>
      </c>
      <c r="G243" s="57">
        <f>(G242/$J242)*100</f>
        <v>5.4037602252432277</v>
      </c>
      <c r="T243" s="57">
        <f>T144</f>
        <v>2289.37</v>
      </c>
      <c r="U243" s="57">
        <f>U144</f>
        <v>13060.28082007016</v>
      </c>
      <c r="V243" s="57">
        <f>V144</f>
        <v>117482.23706176091</v>
      </c>
      <c r="W243" s="57">
        <f>W144</f>
        <v>43168.928772188148</v>
      </c>
      <c r="X243" s="57">
        <f>X144</f>
        <v>22379.603345980795</v>
      </c>
      <c r="AB243">
        <v>22</v>
      </c>
      <c r="AC243">
        <v>669</v>
      </c>
      <c r="AD243">
        <v>664</v>
      </c>
      <c r="AE243">
        <v>653</v>
      </c>
      <c r="AH243" s="78"/>
      <c r="AM243" s="78"/>
      <c r="AN243" s="78"/>
      <c r="BF243" s="51"/>
      <c r="BG243" s="1"/>
    </row>
    <row r="244" spans="1:59" x14ac:dyDescent="0.3">
      <c r="A244" s="361" t="s">
        <v>397</v>
      </c>
      <c r="B244" s="361"/>
      <c r="C244" s="361"/>
      <c r="D244" s="361"/>
      <c r="E244" s="361"/>
      <c r="F244" s="361"/>
      <c r="G244" s="361"/>
      <c r="H244" s="361"/>
      <c r="I244" s="361"/>
      <c r="J244" s="361"/>
      <c r="K244" s="361"/>
      <c r="L244" s="361" t="s">
        <v>86</v>
      </c>
      <c r="M244" s="361"/>
      <c r="N244" s="361"/>
      <c r="O244" s="361"/>
      <c r="P244" s="361"/>
      <c r="T244" s="57">
        <f>T154</f>
        <v>2309.7100000000005</v>
      </c>
      <c r="U244" s="57">
        <f>U154</f>
        <v>13472.283321655921</v>
      </c>
      <c r="V244" s="57">
        <f>V154</f>
        <v>117231.19491335003</v>
      </c>
      <c r="W244" s="57">
        <f>W154</f>
        <v>43388.156854920686</v>
      </c>
      <c r="X244" s="57">
        <f>X154</f>
        <v>21979.064910073386</v>
      </c>
      <c r="AB244">
        <v>23</v>
      </c>
      <c r="AC244">
        <v>698</v>
      </c>
      <c r="AD244">
        <v>693</v>
      </c>
      <c r="AE244">
        <v>682</v>
      </c>
      <c r="AI244" s="78"/>
      <c r="BF244" s="51"/>
      <c r="BG244" s="1"/>
    </row>
    <row r="245" spans="1:59" x14ac:dyDescent="0.3">
      <c r="A245" t="s">
        <v>320</v>
      </c>
      <c r="B245" t="s">
        <v>21</v>
      </c>
      <c r="I245" s="1" t="s">
        <v>58</v>
      </c>
      <c r="O245" s="360" t="s">
        <v>411</v>
      </c>
      <c r="P245" s="360"/>
      <c r="T245" s="57">
        <f>T164</f>
        <v>2336.5500000000002</v>
      </c>
      <c r="U245" s="57">
        <f>U164</f>
        <v>13146.994034400728</v>
      </c>
      <c r="V245" s="57">
        <f>V164</f>
        <v>116819.61182855301</v>
      </c>
      <c r="W245" s="57">
        <f>W164</f>
        <v>42658.075530183742</v>
      </c>
      <c r="X245" s="57">
        <f>X164</f>
        <v>23419.188606862524</v>
      </c>
      <c r="AB245">
        <v>24</v>
      </c>
      <c r="AC245">
        <v>727</v>
      </c>
      <c r="AD245">
        <v>722</v>
      </c>
      <c r="AE245">
        <v>711</v>
      </c>
      <c r="AH245" s="78"/>
      <c r="AM245" s="78"/>
      <c r="AN245" s="78"/>
      <c r="BF245" s="51"/>
      <c r="BG245" s="1"/>
    </row>
    <row r="246" spans="1:59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56</v>
      </c>
      <c r="O246" s="13" t="s">
        <v>412</v>
      </c>
      <c r="P246" s="13" t="s">
        <v>41</v>
      </c>
      <c r="T246" s="57">
        <f>T174</f>
        <v>2280.36</v>
      </c>
      <c r="U246" s="57">
        <f>U174</f>
        <v>13456.781998157287</v>
      </c>
      <c r="V246" s="57">
        <f>V174</f>
        <v>117081.01292049553</v>
      </c>
      <c r="W246" s="57">
        <f>W174</f>
        <v>43138.067220645156</v>
      </c>
      <c r="X246" s="57">
        <f>X174</f>
        <v>22424.197860702043</v>
      </c>
      <c r="AB246">
        <v>25</v>
      </c>
      <c r="AC246">
        <v>756</v>
      </c>
      <c r="AD246">
        <v>751</v>
      </c>
      <c r="AE246">
        <v>740</v>
      </c>
      <c r="AI246" s="78"/>
      <c r="BF246" s="51"/>
      <c r="BG246" s="1"/>
    </row>
    <row r="247" spans="1:59" x14ac:dyDescent="0.3">
      <c r="A247" t="s">
        <v>3</v>
      </c>
      <c r="B247" s="13">
        <v>0</v>
      </c>
      <c r="C247" s="26">
        <v>259</v>
      </c>
      <c r="D247" s="3">
        <v>0</v>
      </c>
      <c r="E247" s="3">
        <v>0</v>
      </c>
      <c r="F247" s="3">
        <v>0</v>
      </c>
      <c r="G247" s="4">
        <v>0</v>
      </c>
      <c r="H247" s="1">
        <f>SUM(C247:G247)</f>
        <v>259</v>
      </c>
      <c r="I247" s="10">
        <f>C247/H247</f>
        <v>1</v>
      </c>
      <c r="J247" s="11">
        <f>1-I247</f>
        <v>0</v>
      </c>
      <c r="K247">
        <f>H247-C252</f>
        <v>0</v>
      </c>
      <c r="N247" s="10">
        <f>2*(C253*I247)/(C253+I247)</f>
        <v>1</v>
      </c>
      <c r="O247" s="1"/>
      <c r="P247" s="1"/>
      <c r="T247" s="57">
        <f>T184</f>
        <v>2316.7399999999993</v>
      </c>
      <c r="U247" s="57">
        <f>U184</f>
        <v>13197.884335433995</v>
      </c>
      <c r="V247" s="57">
        <f>V184</f>
        <v>116614.17535238265</v>
      </c>
      <c r="W247" s="57">
        <f>W184</f>
        <v>44013.067073759463</v>
      </c>
      <c r="X247" s="57">
        <f>X184</f>
        <v>22238.543238423899</v>
      </c>
      <c r="AB247">
        <v>26</v>
      </c>
      <c r="AC247">
        <v>785</v>
      </c>
      <c r="AD247">
        <v>780</v>
      </c>
      <c r="AE247">
        <v>769</v>
      </c>
      <c r="AH247" s="78"/>
      <c r="AM247" s="78"/>
      <c r="AN247" s="78"/>
      <c r="BF247" s="51"/>
      <c r="BG247" s="1"/>
    </row>
    <row r="248" spans="1:59" x14ac:dyDescent="0.3">
      <c r="A248" t="s">
        <v>4</v>
      </c>
      <c r="B248" s="13">
        <v>1</v>
      </c>
      <c r="C248" s="5">
        <v>0</v>
      </c>
      <c r="D248" s="27">
        <v>337</v>
      </c>
      <c r="E248" s="1">
        <v>2</v>
      </c>
      <c r="F248" s="1">
        <v>0</v>
      </c>
      <c r="G248" s="6">
        <v>0</v>
      </c>
      <c r="H248" s="1">
        <f>SUM(C248:G248)</f>
        <v>339</v>
      </c>
      <c r="I248" s="10">
        <f>D248/H248</f>
        <v>0.99410029498525077</v>
      </c>
      <c r="J248" s="11">
        <f>1-I248</f>
        <v>5.8997050147492347E-3</v>
      </c>
      <c r="K248">
        <f>H248-D252</f>
        <v>-77</v>
      </c>
      <c r="N248" s="10">
        <f>2*(D253*I248)/(D253+I248)</f>
        <v>0.89271523178807943</v>
      </c>
      <c r="O248" s="1"/>
      <c r="P248" s="1"/>
      <c r="T248" s="57">
        <f>T194</f>
        <v>2327.4499999999998</v>
      </c>
      <c r="U248" s="57">
        <f>U194</f>
        <v>13497.723855994253</v>
      </c>
      <c r="V248" s="57">
        <f>V194</f>
        <v>116466.99887344871</v>
      </c>
      <c r="W248" s="57">
        <f>W194</f>
        <v>43584.284691418521</v>
      </c>
      <c r="X248" s="57">
        <f>X194</f>
        <v>22503.962579138515</v>
      </c>
      <c r="AB248">
        <v>27</v>
      </c>
      <c r="AC248">
        <v>814</v>
      </c>
      <c r="AD248">
        <v>809</v>
      </c>
      <c r="AE248">
        <v>798</v>
      </c>
      <c r="AI248" s="78"/>
      <c r="BF248" s="51"/>
      <c r="BG248" s="1"/>
    </row>
    <row r="249" spans="1:59" x14ac:dyDescent="0.3">
      <c r="A249" t="s">
        <v>5</v>
      </c>
      <c r="B249" s="13">
        <v>2</v>
      </c>
      <c r="C249" s="5">
        <v>0</v>
      </c>
      <c r="D249" s="1">
        <v>79</v>
      </c>
      <c r="E249" s="27">
        <v>7177</v>
      </c>
      <c r="F249" s="1">
        <v>51</v>
      </c>
      <c r="G249" s="6">
        <v>92</v>
      </c>
      <c r="H249" s="1">
        <f>SUM(C249:G249)</f>
        <v>7399</v>
      </c>
      <c r="I249" s="10">
        <f>E249/H249</f>
        <v>0.9699959453980268</v>
      </c>
      <c r="J249" s="11">
        <f>1-I249</f>
        <v>3.0004054601973196E-2</v>
      </c>
      <c r="K249">
        <f>H249-E252</f>
        <v>161</v>
      </c>
      <c r="N249" s="10">
        <f>2*(E253*I249)/(E253+I249)</f>
        <v>0.9806654369064699</v>
      </c>
      <c r="O249" s="1"/>
      <c r="P249" s="1"/>
      <c r="T249" s="57">
        <f>T204</f>
        <v>2325.4699999999998</v>
      </c>
      <c r="U249" s="57">
        <f>U204</f>
        <v>13232.418015724839</v>
      </c>
      <c r="V249" s="57">
        <f>V204</f>
        <v>117293.55312300302</v>
      </c>
      <c r="W249" s="57">
        <f>W204</f>
        <v>42813.547732308441</v>
      </c>
      <c r="X249" s="57">
        <f>X204</f>
        <v>22715.431128963708</v>
      </c>
      <c r="AB249">
        <v>28</v>
      </c>
      <c r="AC249">
        <v>843</v>
      </c>
      <c r="AD249">
        <v>838</v>
      </c>
      <c r="AE249">
        <v>827</v>
      </c>
      <c r="AH249" s="78"/>
      <c r="AM249" s="78"/>
      <c r="AN249" s="78"/>
      <c r="BF249" s="51"/>
      <c r="BG249" s="1"/>
    </row>
    <row r="250" spans="1:59" x14ac:dyDescent="0.3">
      <c r="A250" t="s">
        <v>6</v>
      </c>
      <c r="B250" s="13">
        <v>3</v>
      </c>
      <c r="C250" s="5">
        <v>0</v>
      </c>
      <c r="D250" s="1">
        <v>0</v>
      </c>
      <c r="E250" s="1">
        <v>39</v>
      </c>
      <c r="F250" s="27">
        <v>2360</v>
      </c>
      <c r="G250" s="6">
        <v>204</v>
      </c>
      <c r="H250" s="1">
        <f>SUM(C250:G250)</f>
        <v>2603</v>
      </c>
      <c r="I250" s="10">
        <f>F250/H250</f>
        <v>0.90664617748751442</v>
      </c>
      <c r="J250" s="11">
        <f>1-I250</f>
        <v>9.3353822512485585E-2</v>
      </c>
      <c r="K250">
        <f>H250-F252</f>
        <v>46</v>
      </c>
      <c r="N250" s="10">
        <f>2*(F253*I250)/(F253+I250)</f>
        <v>0.9147286821705426</v>
      </c>
      <c r="O250" s="1"/>
      <c r="P250" s="1"/>
      <c r="T250" s="57">
        <f>T214</f>
        <v>2328.89</v>
      </c>
      <c r="U250" s="57">
        <f>U214</f>
        <v>13337.188543787906</v>
      </c>
      <c r="V250" s="57">
        <f>V214</f>
        <v>116775.40299034756</v>
      </c>
      <c r="W250" s="57">
        <f>W214</f>
        <v>43622.926544731112</v>
      </c>
      <c r="X250" s="57">
        <f>X214</f>
        <v>22316.011921133428</v>
      </c>
      <c r="AB250">
        <v>29</v>
      </c>
      <c r="AC250">
        <v>872</v>
      </c>
      <c r="AD250">
        <v>867</v>
      </c>
      <c r="AE250">
        <v>856</v>
      </c>
      <c r="AI250" s="78"/>
      <c r="BF250" s="51"/>
      <c r="BG250" s="1"/>
    </row>
    <row r="251" spans="1:59" x14ac:dyDescent="0.3">
      <c r="A251" t="s">
        <v>7</v>
      </c>
      <c r="B251" s="13">
        <v>4</v>
      </c>
      <c r="C251" s="7">
        <v>0</v>
      </c>
      <c r="D251" s="8">
        <v>0</v>
      </c>
      <c r="E251" s="8">
        <v>20</v>
      </c>
      <c r="F251" s="8">
        <v>146</v>
      </c>
      <c r="G251" s="28">
        <v>794</v>
      </c>
      <c r="H251" s="1">
        <f>SUM(C251:G251)</f>
        <v>960</v>
      </c>
      <c r="I251" s="10">
        <f>G251/H251</f>
        <v>0.82708333333333328</v>
      </c>
      <c r="J251" s="11">
        <f>1-I251</f>
        <v>0.17291666666666672</v>
      </c>
      <c r="K251">
        <f>H251-G252</f>
        <v>-130</v>
      </c>
      <c r="N251" s="10">
        <f>2*(G253*I251)/(G253+I251)</f>
        <v>0.77463414634146344</v>
      </c>
      <c r="O251" s="1"/>
      <c r="P251" s="1"/>
      <c r="AH251" s="78"/>
      <c r="AM251" s="78"/>
      <c r="AN251" s="78"/>
      <c r="BF251" s="51"/>
      <c r="BG251" s="1"/>
    </row>
    <row r="252" spans="1:59" ht="15.6" x14ac:dyDescent="0.35">
      <c r="B252" s="1" t="s">
        <v>19</v>
      </c>
      <c r="C252" s="1">
        <f>SUM(C247:C251)</f>
        <v>259</v>
      </c>
      <c r="D252" s="1">
        <f>SUM(D247:D251)</f>
        <v>416</v>
      </c>
      <c r="E252" s="1">
        <f>SUM(E247:E251)</f>
        <v>7238</v>
      </c>
      <c r="F252" s="1">
        <f>SUM(F247:F251)</f>
        <v>2557</v>
      </c>
      <c r="G252" s="1">
        <f>SUM(G247:G251)</f>
        <v>1090</v>
      </c>
      <c r="H252" s="1">
        <f>SUM(H246:H251)</f>
        <v>11560</v>
      </c>
      <c r="I252" s="13" t="s">
        <v>12</v>
      </c>
      <c r="N252" s="16" t="s">
        <v>36</v>
      </c>
      <c r="O252" s="1">
        <f>SUM(O247:O251)</f>
        <v>0</v>
      </c>
      <c r="P252" s="1">
        <f>SUM(P247:P251)</f>
        <v>0</v>
      </c>
      <c r="AI252" s="78"/>
      <c r="BF252" s="51"/>
      <c r="BG252" s="1"/>
    </row>
    <row r="253" spans="1:59" x14ac:dyDescent="0.3">
      <c r="A253" s="1" t="s">
        <v>321</v>
      </c>
      <c r="B253" s="1" t="s">
        <v>2</v>
      </c>
      <c r="C253" s="10">
        <f>C247/C252</f>
        <v>1</v>
      </c>
      <c r="D253" s="10">
        <f>D248/D252</f>
        <v>0.81009615384615385</v>
      </c>
      <c r="E253" s="10">
        <f>E249/E252</f>
        <v>0.99157225752970435</v>
      </c>
      <c r="F253" s="10">
        <f>F250/F252</f>
        <v>0.9229565897536175</v>
      </c>
      <c r="G253" s="10">
        <f>G251/G252</f>
        <v>0.72844036697247705</v>
      </c>
      <c r="H253" s="10"/>
      <c r="I253" s="14">
        <f>(C247+D248+E249+F250+G251)/H252</f>
        <v>0.94524221453287194</v>
      </c>
      <c r="AH253" s="78"/>
      <c r="AM253" s="78"/>
      <c r="AN253" s="78"/>
      <c r="BF253" s="51"/>
      <c r="BG253" s="1"/>
    </row>
    <row r="254" spans="1:59" x14ac:dyDescent="0.3">
      <c r="B254" s="1" t="s">
        <v>14</v>
      </c>
      <c r="C254" s="11">
        <f>1-C253</f>
        <v>0</v>
      </c>
      <c r="D254" s="11">
        <f>1-D253</f>
        <v>0.18990384615384615</v>
      </c>
      <c r="E254" s="11">
        <f>1-E253</f>
        <v>8.4277424702956516E-3</v>
      </c>
      <c r="F254" s="11">
        <f>1-F253</f>
        <v>7.7043410246382504E-2</v>
      </c>
      <c r="G254" s="11">
        <f>1-G253</f>
        <v>0.27155963302752295</v>
      </c>
      <c r="AI254" s="78"/>
      <c r="BF254" s="51"/>
      <c r="BG254" s="1"/>
    </row>
    <row r="255" spans="1:59" x14ac:dyDescent="0.3">
      <c r="C255" s="2"/>
      <c r="AH255" s="78"/>
      <c r="AM255" s="78"/>
      <c r="AN255" s="78"/>
      <c r="BF255" s="51"/>
      <c r="BG255" s="1"/>
    </row>
    <row r="256" spans="1:59" ht="15.6" x14ac:dyDescent="0.35">
      <c r="A256" t="s">
        <v>322</v>
      </c>
      <c r="B256" s="15" t="s">
        <v>23</v>
      </c>
      <c r="N256" s="12" t="s">
        <v>17</v>
      </c>
      <c r="O256" s="1" t="s">
        <v>27</v>
      </c>
      <c r="P256" s="1" t="s">
        <v>33</v>
      </c>
      <c r="AI256" s="78"/>
      <c r="BF256" s="51"/>
      <c r="BG256" s="1"/>
    </row>
    <row r="257" spans="1:59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H257" s="78"/>
      <c r="AM257" s="78"/>
      <c r="AN257" s="78"/>
      <c r="BF257" s="51"/>
      <c r="BG257" s="1"/>
    </row>
    <row r="258" spans="1:59" x14ac:dyDescent="0.3">
      <c r="A258" t="s">
        <v>3</v>
      </c>
      <c r="B258" s="13">
        <v>0</v>
      </c>
      <c r="C258" s="29">
        <f>(C247/$L258)*$O258</f>
        <v>1.1652410051354867</v>
      </c>
      <c r="D258" s="31">
        <f>(D247/$L258)*$O258</f>
        <v>0</v>
      </c>
      <c r="E258" s="31">
        <f>(E247/$L258)*$O258</f>
        <v>0</v>
      </c>
      <c r="F258" s="31">
        <f>(F247/$L258)*$O258</f>
        <v>0</v>
      </c>
      <c r="G258" s="32">
        <f>(G247/$L258)*$O258</f>
        <v>0</v>
      </c>
      <c r="H258" s="17">
        <f>SUM(C258:G258)</f>
        <v>1.1652410051354867</v>
      </c>
      <c r="I258" s="17">
        <f>C258/H258*100</f>
        <v>100</v>
      </c>
      <c r="J258" s="17">
        <f>SQRT(I258*(100-I258)/(L258-1))</f>
        <v>0</v>
      </c>
      <c r="K258" s="18">
        <f>100-I258</f>
        <v>0</v>
      </c>
      <c r="L258" s="1">
        <f>H247</f>
        <v>259</v>
      </c>
      <c r="M258">
        <v>0</v>
      </c>
      <c r="N258" s="1">
        <v>2311.61</v>
      </c>
      <c r="O258" s="17">
        <f>N258/N263*100</f>
        <v>1.1652410051354867</v>
      </c>
      <c r="P258" s="52">
        <f>((O258*O258*(I258/100)*(K258/100))/(L258-1))</f>
        <v>0</v>
      </c>
      <c r="AI258" s="78"/>
      <c r="BF258" s="51"/>
      <c r="BG258" s="1"/>
    </row>
    <row r="259" spans="1:59" x14ac:dyDescent="0.3">
      <c r="A259" t="s">
        <v>4</v>
      </c>
      <c r="B259" s="13">
        <v>1</v>
      </c>
      <c r="C259" s="33">
        <f t="shared" ref="C259:G262" si="48">(C248/$L259)*$O259</f>
        <v>0</v>
      </c>
      <c r="D259" s="34">
        <f t="shared" si="48"/>
        <v>6.0752939369311667</v>
      </c>
      <c r="E259" s="19">
        <f t="shared" si="48"/>
        <v>3.6055156895733929E-2</v>
      </c>
      <c r="F259" s="18">
        <f t="shared" si="48"/>
        <v>0</v>
      </c>
      <c r="G259" s="20">
        <f t="shared" si="48"/>
        <v>0</v>
      </c>
      <c r="H259" s="17">
        <f>SUM(C259:G259)</f>
        <v>6.1113490938269006</v>
      </c>
      <c r="I259" s="17">
        <f>D259/H259*100</f>
        <v>99.410029498525077</v>
      </c>
      <c r="J259" s="17">
        <f>SQRT(I259*(100-I259)/(L259-1))</f>
        <v>0.41655456661415408</v>
      </c>
      <c r="K259" s="18">
        <f>100-I259</f>
        <v>0.58997050147492303</v>
      </c>
      <c r="L259" s="1">
        <f>H248</f>
        <v>339</v>
      </c>
      <c r="M259">
        <v>1</v>
      </c>
      <c r="N259" s="1">
        <v>12123.72</v>
      </c>
      <c r="O259" s="17">
        <f>N259/N263*100</f>
        <v>6.1113490938269006</v>
      </c>
      <c r="P259" s="52">
        <f>((O259*O259*(I259/100)*(K259/100))/(L259-1))</f>
        <v>6.4806413042530506E-4</v>
      </c>
      <c r="AH259" s="78"/>
      <c r="AM259" s="78"/>
      <c r="AN259" s="78"/>
      <c r="BF259" s="51"/>
      <c r="BG259" s="1"/>
    </row>
    <row r="260" spans="1:59" x14ac:dyDescent="0.3">
      <c r="A260" t="s">
        <v>5</v>
      </c>
      <c r="B260" s="13">
        <v>2</v>
      </c>
      <c r="C260" s="33">
        <f t="shared" si="48"/>
        <v>0</v>
      </c>
      <c r="D260" s="19">
        <f t="shared" si="48"/>
        <v>0.64158318494750444</v>
      </c>
      <c r="E260" s="34">
        <f t="shared" si="48"/>
        <v>58.286614156559999</v>
      </c>
      <c r="F260" s="19">
        <f t="shared" si="48"/>
        <v>0.41418661306737631</v>
      </c>
      <c r="G260" s="20">
        <f t="shared" si="48"/>
        <v>0.74716016474899261</v>
      </c>
      <c r="H260" s="17">
        <f>SUM(C260:G260)</f>
        <v>60.089544119323875</v>
      </c>
      <c r="I260" s="17">
        <f>E260/H260*100</f>
        <v>96.999594539802672</v>
      </c>
      <c r="J260" s="17">
        <f>SQRT(I260*(100-I260)/(L260-1))</f>
        <v>0.19834340726088998</v>
      </c>
      <c r="K260" s="18">
        <f>100-I260</f>
        <v>3.000405460197328</v>
      </c>
      <c r="L260" s="1">
        <f>H249</f>
        <v>7399</v>
      </c>
      <c r="M260">
        <v>2</v>
      </c>
      <c r="N260" s="1">
        <v>119205.89</v>
      </c>
      <c r="O260" s="17">
        <f>N260/N263*100</f>
        <v>60.089544119323868</v>
      </c>
      <c r="P260" s="52">
        <f>((O260*O260*(I260/100)*(K260/100))/(L260-1))</f>
        <v>1.4204742239918775E-2</v>
      </c>
      <c r="AI260" s="78"/>
      <c r="BF260" s="51"/>
      <c r="BG260" s="1"/>
    </row>
    <row r="261" spans="1:59" x14ac:dyDescent="0.3">
      <c r="A261" t="s">
        <v>6</v>
      </c>
      <c r="B261" s="13">
        <v>3</v>
      </c>
      <c r="C261" s="33">
        <f t="shared" si="48"/>
        <v>0</v>
      </c>
      <c r="D261" s="19">
        <f t="shared" si="48"/>
        <v>0</v>
      </c>
      <c r="E261" s="19">
        <f t="shared" si="48"/>
        <v>0.32586748618886369</v>
      </c>
      <c r="F261" s="34">
        <f t="shared" si="48"/>
        <v>19.719160702710724</v>
      </c>
      <c r="G261" s="20">
        <f t="shared" si="48"/>
        <v>1.7045376200648252</v>
      </c>
      <c r="H261" s="17">
        <f>SUM(C261:G261)</f>
        <v>21.749565808964412</v>
      </c>
      <c r="I261" s="17">
        <f>F261/H261*100</f>
        <v>90.664617748751439</v>
      </c>
      <c r="J261" s="17">
        <f>SQRT(I261*(100-I261)/(L261-1))</f>
        <v>0.57033670737568876</v>
      </c>
      <c r="K261" s="18">
        <f>100-I261</f>
        <v>9.3353822512485607</v>
      </c>
      <c r="L261" s="1">
        <f>H250</f>
        <v>2603</v>
      </c>
      <c r="M261">
        <v>3</v>
      </c>
      <c r="N261" s="1">
        <v>43146.879999999997</v>
      </c>
      <c r="O261" s="17">
        <f>N261/N263*100</f>
        <v>21.749565808964412</v>
      </c>
      <c r="P261" s="52">
        <f>((O261*O261*(I261/100)*(K261/100))/(L261-1))</f>
        <v>1.5387349954581452E-2</v>
      </c>
      <c r="AH261" s="78"/>
      <c r="AM261" s="78"/>
      <c r="AN261" s="78"/>
    </row>
    <row r="262" spans="1:59" x14ac:dyDescent="0.3">
      <c r="A262" t="s">
        <v>7</v>
      </c>
      <c r="B262" s="13">
        <v>4</v>
      </c>
      <c r="C262" s="35">
        <f t="shared" si="48"/>
        <v>0</v>
      </c>
      <c r="D262" s="36">
        <f t="shared" si="48"/>
        <v>0</v>
      </c>
      <c r="E262" s="21">
        <f t="shared" si="48"/>
        <v>0.2267562494322776</v>
      </c>
      <c r="F262" s="21">
        <f t="shared" si="48"/>
        <v>1.6553206208556264</v>
      </c>
      <c r="G262" s="37">
        <f t="shared" si="48"/>
        <v>9.0022231024614197</v>
      </c>
      <c r="H262" s="17">
        <f>SUM(C262:G262)</f>
        <v>10.884299972749323</v>
      </c>
      <c r="I262" s="17">
        <f>G262/H262*100</f>
        <v>82.708333333333343</v>
      </c>
      <c r="J262" s="17">
        <f>SQRT(I262*(100-I262)/(L262-1))</f>
        <v>1.2211914601877163</v>
      </c>
      <c r="K262" s="18">
        <f>100-I262</f>
        <v>17.291666666666657</v>
      </c>
      <c r="L262" s="1">
        <f>H251</f>
        <v>960</v>
      </c>
      <c r="M262">
        <v>4</v>
      </c>
      <c r="N262" s="1">
        <v>21592.32</v>
      </c>
      <c r="O262" s="17">
        <f>N262/N263*100</f>
        <v>10.884299972749325</v>
      </c>
      <c r="P262" s="52">
        <f>((O262*O262*(I262/100)*(K262/100))/(L262-1))</f>
        <v>1.7667232411172108E-2</v>
      </c>
      <c r="AI262" s="78"/>
    </row>
    <row r="263" spans="1:59" x14ac:dyDescent="0.3">
      <c r="B263" t="s">
        <v>28</v>
      </c>
      <c r="C263" s="17">
        <f>SUM(C258:C262)</f>
        <v>1.1652410051354867</v>
      </c>
      <c r="D263" s="17">
        <f>SUM(D258:D262)</f>
        <v>6.7168771218786709</v>
      </c>
      <c r="E263" s="17">
        <f>SUM(E258:E262)</f>
        <v>58.875293049076873</v>
      </c>
      <c r="F263" s="17">
        <f>SUM(F258:F262)</f>
        <v>21.788667936633725</v>
      </c>
      <c r="G263" s="17">
        <f>SUM(G258:G262)</f>
        <v>11.453920887275238</v>
      </c>
      <c r="H263" s="1">
        <f>SUM(H257:H262)</f>
        <v>100</v>
      </c>
      <c r="I263" s="13" t="s">
        <v>24</v>
      </c>
      <c r="J263" s="12" t="s">
        <v>29</v>
      </c>
      <c r="N263" s="1">
        <f>SUM(N258:N262)</f>
        <v>198380.42</v>
      </c>
      <c r="O263" s="17">
        <f>SUM(O258:O262)</f>
        <v>99.999999999999972</v>
      </c>
      <c r="AH263" s="78"/>
      <c r="AM263" s="78"/>
      <c r="AN263" s="78"/>
    </row>
    <row r="264" spans="1:59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0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7.6164380381479518E-2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0.14159219435753248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0.18610601109051175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0.19174852969791492</v>
      </c>
      <c r="H264" s="1"/>
      <c r="I264" s="56">
        <f>(C258+D259+E260+F261+G262)/H263</f>
        <v>0.94248532903798787</v>
      </c>
      <c r="J264" s="53">
        <f>SQRT(SUM(P258:P262))/100</f>
        <v>2.1887756562996045E-3</v>
      </c>
      <c r="M264" s="1"/>
      <c r="N264" s="9"/>
      <c r="AI264" s="78"/>
    </row>
    <row r="265" spans="1:59" x14ac:dyDescent="0.3">
      <c r="B265" s="1" t="s">
        <v>30</v>
      </c>
      <c r="C265" s="17">
        <f>C258/C263*100</f>
        <v>100</v>
      </c>
      <c r="D265" s="17">
        <f>D259/D263*100</f>
        <v>90.448192317562345</v>
      </c>
      <c r="E265" s="17">
        <f>E260/E263*100</f>
        <v>99.00012575389448</v>
      </c>
      <c r="F265" s="17">
        <f>F261/F263*100</f>
        <v>90.501910259307323</v>
      </c>
      <c r="G265" s="17">
        <f>G262/G263*100</f>
        <v>78.595122063942853</v>
      </c>
      <c r="H265" s="1"/>
      <c r="AH265" s="78"/>
      <c r="AM265" s="78"/>
      <c r="AN265" s="78"/>
    </row>
    <row r="266" spans="1:59" x14ac:dyDescent="0.3">
      <c r="B266" s="16" t="s">
        <v>39</v>
      </c>
      <c r="C266" s="18">
        <f>SQRT((C269+C270)/(C263*C263))</f>
        <v>0</v>
      </c>
      <c r="D266" s="18">
        <f>SQRT((D269+D270)/(D263*D263))</f>
        <v>1.0324254541349704</v>
      </c>
      <c r="E266" s="18">
        <f>SQRT((E269+E270)/(E263*E263))</f>
        <v>0.1302066266078101</v>
      </c>
      <c r="F266" s="18">
        <f>SQRT((F269+F270)/(F263*F263))</f>
        <v>0.79048964380692344</v>
      </c>
      <c r="G266" s="18">
        <f>SQRT((G269+G270)/(G263*G263))</f>
        <v>2.6590385498953708</v>
      </c>
      <c r="H266" s="1"/>
      <c r="AI266" s="78"/>
    </row>
    <row r="267" spans="1:59" x14ac:dyDescent="0.3">
      <c r="B267" s="1" t="s">
        <v>37</v>
      </c>
      <c r="C267" s="18">
        <f>100-C265</f>
        <v>0</v>
      </c>
      <c r="D267" s="18">
        <f>100-D265</f>
        <v>9.551807682437655</v>
      </c>
      <c r="E267" s="18">
        <f>100-E265</f>
        <v>0.99987424610552011</v>
      </c>
      <c r="F267" s="18">
        <f>100-F265</f>
        <v>9.4980897406926772</v>
      </c>
      <c r="G267" s="18">
        <f>100-G265</f>
        <v>21.404877936057147</v>
      </c>
      <c r="AH267" s="78"/>
      <c r="AM267" s="78"/>
      <c r="AN267" s="78"/>
    </row>
    <row r="268" spans="1:59" ht="15.6" x14ac:dyDescent="0.35">
      <c r="B268" s="1" t="s">
        <v>25</v>
      </c>
      <c r="C268" s="1">
        <f>C252</f>
        <v>259</v>
      </c>
      <c r="D268" s="1">
        <f>D252</f>
        <v>416</v>
      </c>
      <c r="E268" s="1">
        <f>E252</f>
        <v>7238</v>
      </c>
      <c r="F268" s="1">
        <f>F252</f>
        <v>2557</v>
      </c>
      <c r="G268" s="1">
        <f>G252</f>
        <v>1090</v>
      </c>
      <c r="AI268" s="78"/>
    </row>
    <row r="269" spans="1:59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5.9127446511011827</v>
      </c>
      <c r="E269" s="18">
        <f>(O260*O260*(100-E265)*(100-E265)*(I260)*(100-I260))/((L260-1)*100)</f>
        <v>1.420116986123966</v>
      </c>
      <c r="F269" s="18">
        <f>(O261*O261*(100-F265)*(100-F265)*(I261)*(100-I261))/((L261-1)*100)</f>
        <v>138.81499068099606</v>
      </c>
      <c r="G269" s="18">
        <f>(O262*O262*(100-G265)*(100-G265)*(I262)*(100-I262))/((L262-1)*100)</f>
        <v>809.45746635634646</v>
      </c>
      <c r="AH269" s="78"/>
      <c r="AM269" s="78"/>
      <c r="AN269" s="78"/>
    </row>
    <row r="270" spans="1:59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42.176971496841567</v>
      </c>
      <c r="E270" s="18">
        <f>E265*E265*(SUM((H258*E258*(1-E247/H247))/(H247-1),(H259*E259*(1-E248/H248))/(H248-1), (H261*E261*(1-E250/H250))/(H250-1),(H262*E262*(1-E251/H251))/(H251-1)))</f>
        <v>57.346722988146205</v>
      </c>
      <c r="F270" s="18">
        <f>F265*F265*(SUM((H258*F258*(1-F247/H247))/(H247-1),(H259*F259*(1-F248/H248))/(H248-1), (H260*F260*(1-F249/H249))/(H249-1),(H262*F262*(1-F251/H251))/(H251-1)))</f>
        <v>157.84141443979638</v>
      </c>
      <c r="G270" s="18">
        <f>G265*G265*(SUM((H258*G258*(1-G247/H247))/(H247-1),(H259*G259*(1-G248/H248))/(H248-1), (H260*G260*(1-G249/H249))/(H249-1),(H261*G261*(1-G250/H250))/(H250-1)))</f>
        <v>118.13588149498288</v>
      </c>
      <c r="AI270" s="78"/>
    </row>
    <row r="271" spans="1:59" x14ac:dyDescent="0.3">
      <c r="A271" s="105" t="s">
        <v>390</v>
      </c>
      <c r="B271" s="69" t="s">
        <v>9</v>
      </c>
      <c r="C271" s="1">
        <v>288.91000000000003</v>
      </c>
      <c r="D271" s="1">
        <v>2401.61</v>
      </c>
      <c r="E271" s="1">
        <v>16146.52</v>
      </c>
      <c r="F271">
        <v>2079.56</v>
      </c>
      <c r="G271">
        <v>1228.3499999999999</v>
      </c>
      <c r="I271" t="s">
        <v>36</v>
      </c>
      <c r="J271" s="57">
        <f>SUM(C271:G271)</f>
        <v>22144.95</v>
      </c>
      <c r="AH271" s="78"/>
      <c r="AM271" s="78"/>
      <c r="AN271" s="78"/>
    </row>
    <row r="272" spans="1:59" x14ac:dyDescent="0.3">
      <c r="B272" t="s">
        <v>391</v>
      </c>
      <c r="C272" s="57">
        <f>(C271/$J271)*100</f>
        <v>1.3046315299876496</v>
      </c>
      <c r="D272" s="57">
        <f>(D271/$J271)*100</f>
        <v>10.844955621936379</v>
      </c>
      <c r="E272" s="57">
        <f>(E271/$J271)*100</f>
        <v>72.91287629911109</v>
      </c>
      <c r="F272" s="57">
        <f>(F271/$J271)*100</f>
        <v>9.3906737201935435</v>
      </c>
      <c r="G272" s="57">
        <f>(G271/$J271)*100</f>
        <v>5.546862828771344</v>
      </c>
      <c r="T272" s="2"/>
      <c r="AI272" s="78"/>
    </row>
    <row r="273" spans="1:40" x14ac:dyDescent="0.3">
      <c r="A273" s="361" t="s">
        <v>397</v>
      </c>
      <c r="B273" s="361"/>
      <c r="C273" s="361"/>
      <c r="D273" s="361"/>
      <c r="E273" s="361"/>
      <c r="F273" s="361"/>
      <c r="G273" s="361"/>
      <c r="H273" s="361"/>
      <c r="I273" s="361"/>
      <c r="J273" s="361"/>
      <c r="K273" s="361"/>
      <c r="L273" s="361" t="s">
        <v>87</v>
      </c>
      <c r="M273" s="361"/>
      <c r="N273" s="361"/>
      <c r="O273" s="361"/>
      <c r="P273" s="361"/>
      <c r="AH273" s="78"/>
      <c r="AM273" s="78"/>
      <c r="AN273" s="78"/>
    </row>
    <row r="274" spans="1:40" ht="15" thickBot="1" x14ac:dyDescent="0.35">
      <c r="A274" t="s">
        <v>320</v>
      </c>
      <c r="B274" t="s">
        <v>21</v>
      </c>
      <c r="I274" s="1" t="s">
        <v>58</v>
      </c>
      <c r="O274" s="360" t="s">
        <v>411</v>
      </c>
      <c r="P274" s="360"/>
      <c r="R274" s="59" t="s">
        <v>78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77</v>
      </c>
      <c r="AA274" s="12" t="s">
        <v>29</v>
      </c>
      <c r="AI274" s="78"/>
    </row>
    <row r="275" spans="1:40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56</v>
      </c>
      <c r="O275" s="13" t="s">
        <v>412</v>
      </c>
      <c r="P275" s="13" t="s">
        <v>41</v>
      </c>
      <c r="S275" t="s">
        <v>28</v>
      </c>
      <c r="T275" s="57">
        <f t="shared" ref="T275:X276" si="49">AVERAGE(T16,T26,T36,T46,T56)</f>
        <v>1.1726005905422106</v>
      </c>
      <c r="U275" s="57">
        <f t="shared" si="49"/>
        <v>6.7473244024459191</v>
      </c>
      <c r="V275" s="57">
        <f t="shared" si="49"/>
        <v>58.722673011217594</v>
      </c>
      <c r="W275" s="57">
        <f t="shared" si="49"/>
        <v>21.770071700925211</v>
      </c>
      <c r="X275" s="57">
        <f t="shared" si="49"/>
        <v>11.58733029486906</v>
      </c>
      <c r="Z275" s="14">
        <f>AVERAGE(AE16,AE17,AE18,AE19,AE20)</f>
        <v>0.94305199299777254</v>
      </c>
      <c r="AA275" s="72">
        <f>AVERAGE(AF16,AF17,AF18,AF19,AF20)</f>
        <v>2.1835514963542734E-3</v>
      </c>
      <c r="AH275" s="78"/>
      <c r="AM275" s="78"/>
      <c r="AN275" s="78"/>
    </row>
    <row r="276" spans="1:40" x14ac:dyDescent="0.3">
      <c r="A276" t="s">
        <v>3</v>
      </c>
      <c r="B276" s="13">
        <v>0</v>
      </c>
      <c r="C276" s="26">
        <v>259</v>
      </c>
      <c r="D276" s="3">
        <v>0</v>
      </c>
      <c r="E276" s="3">
        <v>0</v>
      </c>
      <c r="F276" s="3">
        <v>0</v>
      </c>
      <c r="G276" s="4">
        <v>0</v>
      </c>
      <c r="H276" s="1">
        <f>SUM(C276:G276)</f>
        <v>259</v>
      </c>
      <c r="I276" s="10">
        <f>C276/H276</f>
        <v>1</v>
      </c>
      <c r="J276" s="11">
        <f>1-I276</f>
        <v>0</v>
      </c>
      <c r="K276">
        <f>H276-C281</f>
        <v>0</v>
      </c>
      <c r="N276" s="10">
        <f>2*(C282*I276)/(C282+I276)</f>
        <v>1</v>
      </c>
      <c r="O276" s="1"/>
      <c r="P276" s="1"/>
      <c r="S276" t="s">
        <v>39</v>
      </c>
      <c r="T276" s="57">
        <f t="shared" si="49"/>
        <v>0</v>
      </c>
      <c r="U276" s="57">
        <f t="shared" si="49"/>
        <v>7.8021596840347263E-2</v>
      </c>
      <c r="V276" s="57">
        <f t="shared" si="49"/>
        <v>0.14367428452519077</v>
      </c>
      <c r="W276" s="57">
        <f t="shared" si="49"/>
        <v>0.18450249793785589</v>
      </c>
      <c r="X276" s="57">
        <f t="shared" si="49"/>
        <v>0.18950851938370766</v>
      </c>
      <c r="AI276" s="78"/>
    </row>
    <row r="277" spans="1:40" x14ac:dyDescent="0.3">
      <c r="A277" t="s">
        <v>4</v>
      </c>
      <c r="B277" s="13">
        <v>1</v>
      </c>
      <c r="C277" s="5">
        <v>0</v>
      </c>
      <c r="D277" s="27">
        <v>337</v>
      </c>
      <c r="E277" s="1">
        <v>2</v>
      </c>
      <c r="F277" s="1">
        <v>0</v>
      </c>
      <c r="G277" s="6">
        <v>0</v>
      </c>
      <c r="H277" s="1">
        <f>SUM(C277:G277)</f>
        <v>339</v>
      </c>
      <c r="I277" s="10">
        <f>D277/H277</f>
        <v>0.99410029498525077</v>
      </c>
      <c r="J277" s="11">
        <f>1-I277</f>
        <v>5.8997050147492347E-3</v>
      </c>
      <c r="K277">
        <f>H277-D281</f>
        <v>-79</v>
      </c>
      <c r="N277" s="10">
        <f>2*(D282*I277)/(D282+I277)</f>
        <v>0.89035667107001326</v>
      </c>
      <c r="O277" s="1"/>
      <c r="P277" s="1"/>
      <c r="S277" s="66" t="s">
        <v>65</v>
      </c>
      <c r="T277" s="67">
        <f>1.96*T276</f>
        <v>0</v>
      </c>
      <c r="U277" s="67">
        <f>1.96*U276</f>
        <v>0.15292232980708062</v>
      </c>
      <c r="V277" s="67">
        <f>1.96*V276</f>
        <v>0.28160159766937387</v>
      </c>
      <c r="W277" s="67">
        <f>1.96*W276</f>
        <v>0.36162489595819752</v>
      </c>
      <c r="X277" s="67">
        <f>1.96*X276</f>
        <v>0.37143669799206702</v>
      </c>
      <c r="AH277" s="78"/>
      <c r="AM277" s="78"/>
      <c r="AN277" s="78"/>
    </row>
    <row r="278" spans="1:40" x14ac:dyDescent="0.3">
      <c r="A278" t="s">
        <v>5</v>
      </c>
      <c r="B278" s="13">
        <v>2</v>
      </c>
      <c r="C278" s="5">
        <v>0</v>
      </c>
      <c r="D278" s="1">
        <v>81</v>
      </c>
      <c r="E278" s="27">
        <v>7189</v>
      </c>
      <c r="F278" s="1">
        <v>55</v>
      </c>
      <c r="G278" s="6">
        <v>74</v>
      </c>
      <c r="H278" s="1">
        <f>SUM(C278:G278)</f>
        <v>7399</v>
      </c>
      <c r="I278" s="10">
        <f>E278/H278</f>
        <v>0.97161778618732264</v>
      </c>
      <c r="J278" s="11">
        <f>1-I278</f>
        <v>2.8382213812677359E-2</v>
      </c>
      <c r="K278">
        <f>H278-E281</f>
        <v>136</v>
      </c>
      <c r="N278" s="10">
        <f>2*(E282*I278)/(E282+I278)</f>
        <v>0.9806302005183466</v>
      </c>
      <c r="O278" s="1"/>
      <c r="P278" s="1"/>
      <c r="S278" t="s">
        <v>30</v>
      </c>
      <c r="T278" s="57">
        <f t="shared" ref="T278:X279" si="50">AVERAGE(T18,T28,T38,T48,T58)</f>
        <v>100</v>
      </c>
      <c r="U278" s="57">
        <f t="shared" si="50"/>
        <v>90.043055824639154</v>
      </c>
      <c r="V278" s="57">
        <f t="shared" si="50"/>
        <v>99.009931058726494</v>
      </c>
      <c r="W278" s="57">
        <f t="shared" si="50"/>
        <v>90.644684555229873</v>
      </c>
      <c r="X278" s="57">
        <f t="shared" si="50"/>
        <v>79.254133914516274</v>
      </c>
    </row>
    <row r="279" spans="1:40" x14ac:dyDescent="0.3">
      <c r="A279" t="s">
        <v>6</v>
      </c>
      <c r="B279" s="13">
        <v>3</v>
      </c>
      <c r="C279" s="5">
        <v>0</v>
      </c>
      <c r="D279" s="1">
        <v>0</v>
      </c>
      <c r="E279" s="1">
        <v>43</v>
      </c>
      <c r="F279" s="27">
        <v>2376</v>
      </c>
      <c r="G279" s="6">
        <v>184</v>
      </c>
      <c r="H279" s="1">
        <f>SUM(C279:G279)</f>
        <v>2603</v>
      </c>
      <c r="I279" s="10">
        <f>F279/H279</f>
        <v>0.91279293123319249</v>
      </c>
      <c r="J279" s="11">
        <f>1-I279</f>
        <v>8.7207068766807505E-2</v>
      </c>
      <c r="K279">
        <f>H279-F281</f>
        <v>18</v>
      </c>
      <c r="N279" s="10">
        <f>2*(F282*I279)/(F282+I279)</f>
        <v>0.9159599074787973</v>
      </c>
      <c r="O279" s="1"/>
      <c r="P279" s="1"/>
      <c r="S279" t="s">
        <v>39</v>
      </c>
      <c r="T279" s="57">
        <f t="shared" si="50"/>
        <v>0</v>
      </c>
      <c r="U279" s="57">
        <f t="shared" si="50"/>
        <v>1.0557312525767482</v>
      </c>
      <c r="V279" s="57">
        <f t="shared" si="50"/>
        <v>0.12923815249237686</v>
      </c>
      <c r="W279" s="57">
        <f t="shared" si="50"/>
        <v>0.77905857136503642</v>
      </c>
      <c r="X279" s="57">
        <f t="shared" si="50"/>
        <v>2.5264012713802528</v>
      </c>
      <c r="AH279" s="78"/>
      <c r="AM279" s="78"/>
      <c r="AN279" s="78"/>
    </row>
    <row r="280" spans="1:40" x14ac:dyDescent="0.3">
      <c r="A280" t="s">
        <v>7</v>
      </c>
      <c r="B280" s="13">
        <v>4</v>
      </c>
      <c r="C280" s="7">
        <v>0</v>
      </c>
      <c r="D280" s="8">
        <v>0</v>
      </c>
      <c r="E280" s="8">
        <v>29</v>
      </c>
      <c r="F280" s="8">
        <v>154</v>
      </c>
      <c r="G280" s="28">
        <v>777</v>
      </c>
      <c r="H280" s="1">
        <f>SUM(C280:G280)</f>
        <v>960</v>
      </c>
      <c r="I280" s="10">
        <f>G280/H280</f>
        <v>0.80937499999999996</v>
      </c>
      <c r="J280" s="11">
        <f>1-I280</f>
        <v>0.19062500000000004</v>
      </c>
      <c r="K280">
        <f>H280-G281</f>
        <v>-75</v>
      </c>
      <c r="N280" s="10">
        <f>2*(G282*I280)/(G282+I280)</f>
        <v>0.77894736842105261</v>
      </c>
      <c r="O280" s="1"/>
      <c r="P280" s="1"/>
      <c r="S280" s="66" t="s">
        <v>65</v>
      </c>
      <c r="T280" s="67">
        <f>1.96*T279</f>
        <v>0</v>
      </c>
      <c r="U280" s="67">
        <f>1.96*U279</f>
        <v>2.0692332550504262</v>
      </c>
      <c r="V280" s="67">
        <f>1.96*V279</f>
        <v>0.25330677888505865</v>
      </c>
      <c r="W280" s="67">
        <f>1.96*W279</f>
        <v>1.5269547998754713</v>
      </c>
      <c r="X280" s="67">
        <f>1.96*X279</f>
        <v>4.9517464919052951</v>
      </c>
    </row>
    <row r="281" spans="1:40" ht="15.6" x14ac:dyDescent="0.35">
      <c r="B281" s="1" t="s">
        <v>19</v>
      </c>
      <c r="C281" s="1">
        <f>SUM(C276:C280)</f>
        <v>259</v>
      </c>
      <c r="D281" s="1">
        <f>SUM(D276:D280)</f>
        <v>418</v>
      </c>
      <c r="E281" s="1">
        <f>SUM(E276:E280)</f>
        <v>7263</v>
      </c>
      <c r="F281" s="1">
        <f>SUM(F276:F280)</f>
        <v>2585</v>
      </c>
      <c r="G281" s="1">
        <f>SUM(G276:G280)</f>
        <v>1035</v>
      </c>
      <c r="H281" s="1">
        <f>SUM(H275:H280)</f>
        <v>11560</v>
      </c>
      <c r="I281" s="13" t="s">
        <v>12</v>
      </c>
      <c r="N281" s="16" t="s">
        <v>36</v>
      </c>
      <c r="O281" s="1">
        <f>SUM(O276:O280)</f>
        <v>0</v>
      </c>
      <c r="P281" s="1">
        <f>SUM(P276:P280)</f>
        <v>0</v>
      </c>
      <c r="S281" t="s">
        <v>31</v>
      </c>
      <c r="T281" s="57">
        <f t="shared" ref="T281:X282" si="51">AVERAGE(T20,T30,T40,T50,T60)</f>
        <v>100</v>
      </c>
      <c r="U281" s="57">
        <f t="shared" si="51"/>
        <v>99.351032448377595</v>
      </c>
      <c r="V281" s="57">
        <f t="shared" si="51"/>
        <v>96.840113528855255</v>
      </c>
      <c r="W281" s="57">
        <f t="shared" si="51"/>
        <v>90.941221667306948</v>
      </c>
      <c r="X281" s="57">
        <f t="shared" si="51"/>
        <v>83.666666666666671</v>
      </c>
      <c r="AH281" s="78"/>
      <c r="AM281" s="78"/>
      <c r="AN281" s="78"/>
    </row>
    <row r="282" spans="1:40" x14ac:dyDescent="0.3">
      <c r="A282" s="1" t="s">
        <v>321</v>
      </c>
      <c r="B282" s="1" t="s">
        <v>2</v>
      </c>
      <c r="C282" s="10">
        <f>C276/C281</f>
        <v>1</v>
      </c>
      <c r="D282" s="10">
        <f>D277/D281</f>
        <v>0.80622009569377995</v>
      </c>
      <c r="E282" s="10">
        <f>E278/E281</f>
        <v>0.98981137271100095</v>
      </c>
      <c r="F282" s="10">
        <f>F279/F281</f>
        <v>0.91914893617021276</v>
      </c>
      <c r="G282" s="10">
        <f>G280/G281</f>
        <v>0.75072463768115938</v>
      </c>
      <c r="H282" s="10"/>
      <c r="I282" s="14">
        <f>(C276+D277+E278+F279+G280)/H281</f>
        <v>0.94619377162629759</v>
      </c>
      <c r="S282" t="s">
        <v>39</v>
      </c>
      <c r="T282" s="57">
        <f t="shared" si="51"/>
        <v>0</v>
      </c>
      <c r="U282" s="57">
        <f t="shared" si="51"/>
        <v>0.42065741902618187</v>
      </c>
      <c r="V282" s="57">
        <f t="shared" si="51"/>
        <v>0.20329518590632772</v>
      </c>
      <c r="W282" s="57">
        <f t="shared" si="51"/>
        <v>0.56258578292897499</v>
      </c>
      <c r="X282" s="57">
        <f t="shared" si="51"/>
        <v>1.1935556009653669</v>
      </c>
    </row>
    <row r="283" spans="1:40" x14ac:dyDescent="0.3">
      <c r="B283" s="1" t="s">
        <v>14</v>
      </c>
      <c r="C283" s="11">
        <f>1-C282</f>
        <v>0</v>
      </c>
      <c r="D283" s="11">
        <f>1-D282</f>
        <v>0.19377990430622005</v>
      </c>
      <c r="E283" s="11">
        <f>1-E282</f>
        <v>1.0188627288999053E-2</v>
      </c>
      <c r="F283" s="11">
        <f>1-F282</f>
        <v>8.085106382978724E-2</v>
      </c>
      <c r="G283" s="11">
        <f>1-G282</f>
        <v>0.24927536231884062</v>
      </c>
      <c r="S283" s="66" t="s">
        <v>65</v>
      </c>
      <c r="T283" s="67">
        <f>1.96*T282</f>
        <v>0</v>
      </c>
      <c r="U283" s="67">
        <f>1.96*U282</f>
        <v>0.82448854129131643</v>
      </c>
      <c r="V283" s="67">
        <f>1.96*V282</f>
        <v>0.39845856437640231</v>
      </c>
      <c r="W283" s="67">
        <f>1.96*W282</f>
        <v>1.1026681345407909</v>
      </c>
      <c r="X283" s="67">
        <f>1.96*X282</f>
        <v>2.3393689778921192</v>
      </c>
      <c r="AH283" s="78"/>
      <c r="AM283" s="78"/>
      <c r="AN283" s="78"/>
    </row>
    <row r="284" spans="1:40" x14ac:dyDescent="0.3">
      <c r="C284" s="2"/>
      <c r="S284" t="s">
        <v>56</v>
      </c>
      <c r="T284" s="57">
        <f>AVERAGE(T22,T32,T42,T52,T62)</f>
        <v>100</v>
      </c>
      <c r="U284" s="57">
        <f>AVERAGE(U22,U32,U42,U52,U62)</f>
        <v>88.799587952506357</v>
      </c>
      <c r="V284" s="57">
        <f>AVERAGE(V22,V32,V42,V52,V62)</f>
        <v>97.985581213036312</v>
      </c>
      <c r="W284" s="57">
        <f>AVERAGE(W22,W32,W42,W52,W62)</f>
        <v>91.677278632677925</v>
      </c>
      <c r="X284" s="57">
        <f>AVERAGE(X22,X32,X42,X52,X62)</f>
        <v>78.201063625607389</v>
      </c>
    </row>
    <row r="285" spans="1:40" ht="15.6" x14ac:dyDescent="0.35">
      <c r="A285" t="s">
        <v>322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</v>
      </c>
      <c r="U285" s="57">
        <f>_xlfn.STDEV.S(U22,U32,U42,U52,U62)</f>
        <v>0.77063308175044143</v>
      </c>
      <c r="V285" s="57">
        <f>_xlfn.STDEV.S(V22,V32,V42,V52,V62)</f>
        <v>7.6167336302439992E-2</v>
      </c>
      <c r="W285" s="57">
        <f>_xlfn.STDEV.S(W22,W32,W42,W52,W62)</f>
        <v>0.1446154157326274</v>
      </c>
      <c r="X285" s="57">
        <f>_xlfn.STDEV.S(X22,X32,X42,X52,X62)</f>
        <v>0.53376312144580118</v>
      </c>
      <c r="AH285" s="78"/>
      <c r="AM285" s="78"/>
      <c r="AN285" s="78"/>
    </row>
    <row r="286" spans="1:40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65</v>
      </c>
      <c r="T286" s="67">
        <f>1.96*T285</f>
        <v>0</v>
      </c>
      <c r="U286" s="67">
        <f>1.96*U285</f>
        <v>1.5104408402308651</v>
      </c>
      <c r="V286" s="67">
        <f>1.96*V285</f>
        <v>0.14928797915278239</v>
      </c>
      <c r="W286" s="67">
        <f>1.96*W285</f>
        <v>0.28344621483594967</v>
      </c>
      <c r="X286" s="67">
        <f>1.96*X285</f>
        <v>1.0461757180337703</v>
      </c>
    </row>
    <row r="287" spans="1:40" x14ac:dyDescent="0.3">
      <c r="A287" t="s">
        <v>3</v>
      </c>
      <c r="B287" s="13">
        <v>0</v>
      </c>
      <c r="C287" s="29">
        <f>(C276/$L287)*$O287</f>
        <v>1.166964965594891</v>
      </c>
      <c r="D287" s="31">
        <f>(D276/$L287)*$O287</f>
        <v>0</v>
      </c>
      <c r="E287" s="31">
        <f>(E276/$L287)*$O287</f>
        <v>0</v>
      </c>
      <c r="F287" s="31">
        <f>(F276/$L287)*$O287</f>
        <v>0</v>
      </c>
      <c r="G287" s="32">
        <f>(G276/$L287)*$O287</f>
        <v>0</v>
      </c>
      <c r="H287" s="17">
        <f>SUM(C287:G287)</f>
        <v>1.166964965594891</v>
      </c>
      <c r="I287" s="17">
        <f>C287/H287*100</f>
        <v>100</v>
      </c>
      <c r="J287" s="17">
        <f>SQRT(I287*(100-I287)/(L287-1))</f>
        <v>0</v>
      </c>
      <c r="K287" s="18">
        <f>100-I287</f>
        <v>0</v>
      </c>
      <c r="L287" s="1">
        <f>H276</f>
        <v>259</v>
      </c>
      <c r="M287">
        <v>0</v>
      </c>
      <c r="N287" s="1">
        <v>2315.0300000000002</v>
      </c>
      <c r="O287" s="17">
        <f>N287/N292*100</f>
        <v>1.166964965594891</v>
      </c>
      <c r="P287" s="52">
        <f>((O287*O287*(I287/100)*(K287/100))/(L287-1))</f>
        <v>0</v>
      </c>
      <c r="R287" s="16" t="s">
        <v>75</v>
      </c>
      <c r="S287" t="s">
        <v>9</v>
      </c>
      <c r="T287" s="57">
        <f>AVERAGE(T23,T33,T43,T53,T63)</f>
        <v>2326.21</v>
      </c>
      <c r="U287" s="57">
        <f>AVERAGE(U23,U33,U43,U53,U63)</f>
        <v>12131.369999999999</v>
      </c>
      <c r="V287" s="57">
        <f>AVERAGE(V23,V33,V43,V53,V63)</f>
        <v>119102.77799999998</v>
      </c>
      <c r="W287" s="57">
        <f>AVERAGE(W23,W33,W43,W53,W63)</f>
        <v>43045.152000000002</v>
      </c>
      <c r="X287" s="57">
        <f>AVERAGE(X23,X33,X43,X53,X63)</f>
        <v>21774.912</v>
      </c>
      <c r="Z287" t="s">
        <v>36</v>
      </c>
      <c r="AA287" s="57">
        <f>AVERAGE(AA23,AA33,AA43,AA53,AA63)</f>
        <v>198380.42200000002</v>
      </c>
      <c r="AH287" s="78"/>
      <c r="AM287" s="78"/>
      <c r="AN287" s="78"/>
    </row>
    <row r="288" spans="1:40" x14ac:dyDescent="0.3">
      <c r="A288" t="s">
        <v>4</v>
      </c>
      <c r="B288" s="13">
        <v>1</v>
      </c>
      <c r="C288" s="33">
        <f t="shared" ref="C288:G291" si="52">(C277/$L288)*$O288</f>
        <v>0</v>
      </c>
      <c r="D288" s="34">
        <f t="shared" si="52"/>
        <v>6.1278601735305021</v>
      </c>
      <c r="E288" s="19">
        <f t="shared" si="52"/>
        <v>3.636712269157568E-2</v>
      </c>
      <c r="F288" s="18">
        <f t="shared" si="52"/>
        <v>0</v>
      </c>
      <c r="G288" s="20">
        <f t="shared" si="52"/>
        <v>0</v>
      </c>
      <c r="H288" s="17">
        <f>SUM(C288:G288)</f>
        <v>6.1642272962220774</v>
      </c>
      <c r="I288" s="17">
        <f>D288/H288*100</f>
        <v>99.410029498525077</v>
      </c>
      <c r="J288" s="17">
        <f>SQRT(I288*(100-I288)/(L288-1))</f>
        <v>0.41655456661415408</v>
      </c>
      <c r="K288" s="18">
        <f>100-I288</f>
        <v>0.58997050147492303</v>
      </c>
      <c r="L288" s="1">
        <f>H277</f>
        <v>339</v>
      </c>
      <c r="M288">
        <v>1</v>
      </c>
      <c r="N288" s="1">
        <v>12228.62</v>
      </c>
      <c r="O288" s="17">
        <f>N288/N292*100</f>
        <v>6.1642272962220774</v>
      </c>
      <c r="P288" s="52">
        <f>((O288*O288*(I288/100)*(K288/100))/(L288-1))</f>
        <v>6.593273454662805E-4</v>
      </c>
      <c r="S288" t="s">
        <v>29</v>
      </c>
      <c r="T288" s="57">
        <f>_xlfn.STDEV.S(T23,T33,T43,T53,T63)</f>
        <v>32.964484676694191</v>
      </c>
      <c r="U288" s="57">
        <f>_xlfn.STDEV.S(U23,U33,U43,U53,U63)</f>
        <v>348.78538917219532</v>
      </c>
      <c r="V288" s="57">
        <f>_xlfn.STDEV.S(V23,V33,V43,V53,V63)</f>
        <v>596.22306812970874</v>
      </c>
      <c r="W288" s="57">
        <f>_xlfn.STDEV.S(W23,W33,W43,W53,W63)</f>
        <v>131.42703249331927</v>
      </c>
      <c r="X288" s="57">
        <f>_xlfn.STDEV.S(X23,X33,X43,X53,X63)</f>
        <v>177.40855692440454</v>
      </c>
      <c r="Z288" t="s">
        <v>29</v>
      </c>
      <c r="AA288" s="57">
        <f>_xlfn.STDEV.S(AA23,AA33,AA43,AA53,AA63)</f>
        <v>8.3666002679148987E-3</v>
      </c>
    </row>
    <row r="289" spans="1:40" x14ac:dyDescent="0.3">
      <c r="A289" t="s">
        <v>5</v>
      </c>
      <c r="B289" s="13">
        <v>2</v>
      </c>
      <c r="C289" s="33">
        <f t="shared" si="52"/>
        <v>0</v>
      </c>
      <c r="D289" s="19">
        <f t="shared" si="52"/>
        <v>0.65878870286092794</v>
      </c>
      <c r="E289" s="34">
        <f t="shared" si="52"/>
        <v>58.469530677372973</v>
      </c>
      <c r="F289" s="19">
        <f t="shared" si="52"/>
        <v>0.44732566243643251</v>
      </c>
      <c r="G289" s="20">
        <f t="shared" si="52"/>
        <v>0.60185634582356373</v>
      </c>
      <c r="H289" s="17">
        <f>SUM(C289:G289)</f>
        <v>60.177501388493894</v>
      </c>
      <c r="I289" s="17">
        <f>E289/H289*100</f>
        <v>97.161778618732271</v>
      </c>
      <c r="J289" s="17">
        <f>SQRT(I289*(100-I289)/(L289-1))</f>
        <v>0.19306951177512913</v>
      </c>
      <c r="K289" s="18">
        <f>100-I289</f>
        <v>2.8382213812677293</v>
      </c>
      <c r="L289" s="1">
        <f>H278</f>
        <v>7399</v>
      </c>
      <c r="M289">
        <v>2</v>
      </c>
      <c r="N289" s="1">
        <v>119380.38</v>
      </c>
      <c r="O289" s="17">
        <f>N289/N292*100</f>
        <v>60.177501388493894</v>
      </c>
      <c r="P289" s="52">
        <f>((O289*O289*(I289/100)*(K289/100))/(L289-1))</f>
        <v>1.3498816692341049E-2</v>
      </c>
      <c r="S289" t="s">
        <v>65</v>
      </c>
      <c r="T289" s="57">
        <f>1.96*T288</f>
        <v>64.610389966320611</v>
      </c>
      <c r="U289" s="57">
        <f>1.96*U288</f>
        <v>683.61936277750283</v>
      </c>
      <c r="V289" s="57">
        <f>1.96*V288</f>
        <v>1168.597213534229</v>
      </c>
      <c r="W289" s="57">
        <f>1.96*W288</f>
        <v>257.59698368690579</v>
      </c>
      <c r="X289" s="57">
        <f>1.96*X288</f>
        <v>347.72077157183287</v>
      </c>
      <c r="AH289" s="78"/>
      <c r="AM289" s="78"/>
      <c r="AN289" s="78"/>
    </row>
    <row r="290" spans="1:40" x14ac:dyDescent="0.3">
      <c r="A290" t="s">
        <v>6</v>
      </c>
      <c r="B290" s="13">
        <v>3</v>
      </c>
      <c r="C290" s="33">
        <f t="shared" si="52"/>
        <v>0</v>
      </c>
      <c r="D290" s="19">
        <f t="shared" si="52"/>
        <v>0</v>
      </c>
      <c r="E290" s="19">
        <f t="shared" si="52"/>
        <v>0.360646199099251</v>
      </c>
      <c r="F290" s="34">
        <f t="shared" si="52"/>
        <v>19.927799280460938</v>
      </c>
      <c r="G290" s="20">
        <f t="shared" si="52"/>
        <v>1.5432302473084227</v>
      </c>
      <c r="H290" s="17">
        <f>SUM(C290:G290)</f>
        <v>21.83167572686861</v>
      </c>
      <c r="I290" s="17">
        <f>F290/H290*100</f>
        <v>91.279293123319249</v>
      </c>
      <c r="J290" s="17">
        <f>SQRT(I290*(100-I290)/(L290-1))</f>
        <v>0.55310595272696317</v>
      </c>
      <c r="K290" s="18">
        <f>100-I290</f>
        <v>8.720706876680751</v>
      </c>
      <c r="L290" s="1">
        <f>H279</f>
        <v>2603</v>
      </c>
      <c r="M290">
        <v>3</v>
      </c>
      <c r="N290" s="1">
        <v>43309.77</v>
      </c>
      <c r="O290" s="17">
        <f>N290/N292*100</f>
        <v>21.83167572686861</v>
      </c>
      <c r="P290" s="52">
        <f>((O290*O290*(I290/100)*(K290/100))/(L290-1))</f>
        <v>1.4581117478404826E-2</v>
      </c>
      <c r="R290" s="16" t="s">
        <v>74</v>
      </c>
      <c r="S290" t="s">
        <v>9</v>
      </c>
      <c r="T290" s="57">
        <f>AVERAGE(T24,T34,T44,T54,T64)</f>
        <v>2326.21</v>
      </c>
      <c r="U290" s="57">
        <f>AVERAGE(U24,U34,U44,U54,U64)</f>
        <v>13385.370627095026</v>
      </c>
      <c r="V290" s="57">
        <f>AVERAGE(V24,V34,V44,V54,V64)</f>
        <v>116494.28651892317</v>
      </c>
      <c r="W290" s="57">
        <f>AVERAGE(W24,W34,W44,W54,W64)</f>
        <v>43187.56011480467</v>
      </c>
      <c r="X290" s="57">
        <f>AVERAGE(X24,X34,X44,X54,X64)</f>
        <v>22986.994739177131</v>
      </c>
      <c r="Z290" t="s">
        <v>36</v>
      </c>
      <c r="AA290" s="24">
        <f>SUM(T290:X290)</f>
        <v>198380.42199999999</v>
      </c>
    </row>
    <row r="291" spans="1:40" x14ac:dyDescent="0.3">
      <c r="A291" t="s">
        <v>7</v>
      </c>
      <c r="B291" s="13">
        <v>4</v>
      </c>
      <c r="C291" s="35">
        <f t="shared" si="52"/>
        <v>0</v>
      </c>
      <c r="D291" s="36">
        <f t="shared" si="52"/>
        <v>0</v>
      </c>
      <c r="E291" s="21">
        <f t="shared" si="52"/>
        <v>0.32200967506437045</v>
      </c>
      <c r="F291" s="21">
        <f t="shared" si="52"/>
        <v>1.7099824124107947</v>
      </c>
      <c r="G291" s="37">
        <f t="shared" si="52"/>
        <v>8.6276385353453726</v>
      </c>
      <c r="H291" s="17">
        <f>SUM(C291:G291)</f>
        <v>10.659630622820538</v>
      </c>
      <c r="I291" s="17">
        <f>G291/H291*100</f>
        <v>80.9375</v>
      </c>
      <c r="J291" s="17">
        <f>SQRT(I291*(100-I291)/(L291-1))</f>
        <v>1.2683979096873623</v>
      </c>
      <c r="K291" s="18">
        <f>100-I291</f>
        <v>19.0625</v>
      </c>
      <c r="L291" s="1">
        <f>H280</f>
        <v>960</v>
      </c>
      <c r="M291">
        <v>4</v>
      </c>
      <c r="N291" s="1">
        <v>21146.62</v>
      </c>
      <c r="O291" s="17">
        <f>N291/N292*100</f>
        <v>10.659630622820538</v>
      </c>
      <c r="P291" s="52">
        <f>((O291*O291*(I291/100)*(K291/100))/(L291-1))</f>
        <v>1.8280806295534534E-2</v>
      </c>
      <c r="S291" t="s">
        <v>29</v>
      </c>
      <c r="T291" s="57">
        <f>_xlfn.STDEV.S(T24,T34,T44,T54,T64)</f>
        <v>32.964484676694191</v>
      </c>
      <c r="U291" s="57">
        <f>_xlfn.STDEV.S(U24,U34,U44,U54,U64)</f>
        <v>372.30020493869529</v>
      </c>
      <c r="V291" s="57">
        <f>_xlfn.STDEV.S(V24,V34,V44,V54,V64)</f>
        <v>925.09826338151652</v>
      </c>
      <c r="W291" s="57">
        <f>_xlfn.STDEV.S(W24,W34,W44,W54,W64)</f>
        <v>419.43591115292855</v>
      </c>
      <c r="X291" s="57">
        <f>_xlfn.STDEV.S(X24,X34,X44,X54,X64)</f>
        <v>172.32164936470315</v>
      </c>
      <c r="AH291" s="78"/>
      <c r="AM291" s="78"/>
      <c r="AN291" s="78"/>
    </row>
    <row r="292" spans="1:40" x14ac:dyDescent="0.3">
      <c r="B292" t="s">
        <v>28</v>
      </c>
      <c r="C292" s="17">
        <f>SUM(C287:C291)</f>
        <v>1.166964965594891</v>
      </c>
      <c r="D292" s="17">
        <f>SUM(D287:D291)</f>
        <v>6.7866488763914301</v>
      </c>
      <c r="E292" s="17">
        <f>SUM(E287:E291)</f>
        <v>59.188553674228167</v>
      </c>
      <c r="F292" s="17">
        <f>SUM(F287:F291)</f>
        <v>22.085107355308168</v>
      </c>
      <c r="G292" s="17">
        <f>SUM(G287:G291)</f>
        <v>10.772725128477358</v>
      </c>
      <c r="H292" s="1">
        <f>SUM(H286:H291)</f>
        <v>100.00000000000001</v>
      </c>
      <c r="I292" s="13" t="s">
        <v>24</v>
      </c>
      <c r="J292" s="12" t="s">
        <v>29</v>
      </c>
      <c r="N292" s="1">
        <f>SUM(N287:N291)</f>
        <v>198380.41999999998</v>
      </c>
      <c r="O292" s="17">
        <f>SUM(O287:O291)</f>
        <v>100.00000000000001</v>
      </c>
      <c r="S292" s="66" t="s">
        <v>65</v>
      </c>
      <c r="T292" s="67">
        <f>1.96*T291</f>
        <v>64.610389966320611</v>
      </c>
      <c r="U292" s="67">
        <f>1.96*U291</f>
        <v>729.70840167984272</v>
      </c>
      <c r="V292" s="67">
        <f>1.96*V291</f>
        <v>1813.1925962277724</v>
      </c>
      <c r="W292" s="67">
        <f>1.96*W291</f>
        <v>822.09438585973999</v>
      </c>
      <c r="X292" s="67">
        <f>1.96*X291</f>
        <v>337.75043275481818</v>
      </c>
    </row>
    <row r="293" spans="1:40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0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7.7180190083278505E-2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0.14351552153990121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0.18473780023833847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0.18744639572361346</v>
      </c>
      <c r="H293" s="1"/>
      <c r="I293" s="56">
        <f>(C287+D288+E289+F290+G291)/H292</f>
        <v>0.94319793632304672</v>
      </c>
      <c r="J293" s="53">
        <f>SQRT(SUM(P287:P291))/100</f>
        <v>2.1684111190396226E-3</v>
      </c>
      <c r="M293" s="1"/>
      <c r="N293" s="9"/>
      <c r="AH293" s="78"/>
      <c r="AM293" s="78"/>
      <c r="AN293" s="78"/>
    </row>
    <row r="294" spans="1:40" x14ac:dyDescent="0.3">
      <c r="B294" s="1" t="s">
        <v>30</v>
      </c>
      <c r="C294" s="17">
        <f>C287/C292*100</f>
        <v>100</v>
      </c>
      <c r="D294" s="17">
        <f>D288/D292*100</f>
        <v>90.292871859738582</v>
      </c>
      <c r="E294" s="17">
        <f>E289/E292*100</f>
        <v>98.785199245089387</v>
      </c>
      <c r="F294" s="17">
        <f>F290/F292*100</f>
        <v>90.231842480363937</v>
      </c>
      <c r="G294" s="17">
        <f>G291/G292*100</f>
        <v>80.087799813424027</v>
      </c>
      <c r="H294" s="1"/>
    </row>
    <row r="295" spans="1:40" x14ac:dyDescent="0.3">
      <c r="B295" s="16" t="s">
        <v>39</v>
      </c>
      <c r="C295" s="18">
        <f>SQRT((C298+C299)/(C292*C292))</f>
        <v>0</v>
      </c>
      <c r="D295" s="18">
        <f>SQRT((D298+D299)/(D292*D292))</f>
        <v>1.035884884536499</v>
      </c>
      <c r="E295" s="18">
        <f>SQRT((E298+E299)/(E292*E292))</f>
        <v>0.14270174693034771</v>
      </c>
      <c r="F295" s="18">
        <f>SQRT((F298+F299)/(F292*F292))</f>
        <v>0.78224688201024917</v>
      </c>
      <c r="G295" s="18">
        <f>SQRT((G298+G299)/(G292*G292))</f>
        <v>2.679299292863337</v>
      </c>
      <c r="H295" s="1"/>
      <c r="AH295" s="78"/>
      <c r="AM295" s="78"/>
      <c r="AN295" s="78"/>
    </row>
    <row r="296" spans="1:40" x14ac:dyDescent="0.3">
      <c r="B296" s="1" t="s">
        <v>37</v>
      </c>
      <c r="C296" s="18">
        <f>100-C294</f>
        <v>0</v>
      </c>
      <c r="D296" s="18">
        <f>100-D294</f>
        <v>9.7071281402614176</v>
      </c>
      <c r="E296" s="18">
        <f>100-E294</f>
        <v>1.2148007549106126</v>
      </c>
      <c r="F296" s="18">
        <f>100-F294</f>
        <v>9.7681575196360626</v>
      </c>
      <c r="G296" s="18">
        <f>100-G294</f>
        <v>19.912200186575973</v>
      </c>
    </row>
    <row r="297" spans="1:40" ht="15.6" x14ac:dyDescent="0.35">
      <c r="B297" s="1" t="s">
        <v>25</v>
      </c>
      <c r="C297" s="1">
        <f>C281</f>
        <v>259</v>
      </c>
      <c r="D297" s="1">
        <f>D281</f>
        <v>418</v>
      </c>
      <c r="E297" s="1">
        <f>E281</f>
        <v>7263</v>
      </c>
      <c r="F297" s="1">
        <f>F281</f>
        <v>2585</v>
      </c>
      <c r="G297" s="1">
        <f>G281</f>
        <v>1035</v>
      </c>
      <c r="AH297" s="78"/>
      <c r="AM297" s="78"/>
      <c r="AN297" s="78"/>
    </row>
    <row r="298" spans="1:40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6.2127319124853093</v>
      </c>
      <c r="E298" s="18">
        <f>(O289*O289*(100-E294)*(100-E294)*(I289)*(100-I289))/((L289-1)*100)</f>
        <v>1.992075554529483</v>
      </c>
      <c r="F298" s="18">
        <f>(O290*O290*(100-F294)*(100-F294)*(I290)*(100-I290))/((L290-1)*100)</f>
        <v>139.12850476950908</v>
      </c>
      <c r="G298" s="18">
        <f>(O291*O291*(100-G294)*(100-G294)*(I291)*(100-I291))/((L291-1)*100)</f>
        <v>724.82613861461402</v>
      </c>
    </row>
    <row r="299" spans="1:40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43.210797169688689</v>
      </c>
      <c r="E299" s="18">
        <f>E294*E294*(SUM((H287*E287*(1-E276/H276))/(H276-1),(H288*E288*(1-E277/H277))/(H277-1), (H290*E290*(1-E279/H279))/(H279-1),(H291*E291*(1-E280/H280))/(H280-1)))</f>
        <v>69.348077189836332</v>
      </c>
      <c r="F299" s="18">
        <f>F294*F294*(SUM((H287*F287*(1-F276/H276))/(H276-1),(H288*F288*(1-F277/H277))/(H277-1), (H289*F289*(1-F278/H278))/(H278-1),(H291*F291*(1-F280/H280))/(H280-1)))</f>
        <v>159.33189124216869</v>
      </c>
      <c r="G299" s="18">
        <f>G294*G294*(SUM((H287*G287*(1-G276/H276))/(H276-1),(H288*G288*(1-G277/H277))/(H277-1), (H289*G289*(1-G278/H278))/(H278-1),(H290*G290*(1-G279/H279))/(H279-1)))</f>
        <v>108.26711278944103</v>
      </c>
      <c r="AH299" s="78"/>
      <c r="AM299" s="78"/>
      <c r="AN299" s="78"/>
    </row>
    <row r="300" spans="1:40" x14ac:dyDescent="0.3">
      <c r="A300" s="105" t="s">
        <v>390</v>
      </c>
      <c r="B300" s="69" t="s">
        <v>9</v>
      </c>
      <c r="C300" s="1">
        <v>287.02</v>
      </c>
      <c r="D300" s="1">
        <v>2364.25</v>
      </c>
      <c r="E300" s="1">
        <v>16230.51</v>
      </c>
      <c r="F300">
        <v>2094.6</v>
      </c>
      <c r="G300">
        <v>1168.57</v>
      </c>
      <c r="I300" t="s">
        <v>36</v>
      </c>
      <c r="J300" s="57">
        <f>SUM(C300:G300)</f>
        <v>22144.949999999997</v>
      </c>
    </row>
    <row r="301" spans="1:40" x14ac:dyDescent="0.3">
      <c r="B301" t="s">
        <v>391</v>
      </c>
      <c r="C301" s="57">
        <f>(C300/$J300)*100</f>
        <v>1.2960968527813339</v>
      </c>
      <c r="D301" s="57">
        <f>(D300/$J300)*100</f>
        <v>10.676248986789314</v>
      </c>
      <c r="E301" s="57">
        <f>(E300/$J300)*100</f>
        <v>73.292150129036202</v>
      </c>
      <c r="F301" s="57">
        <f>(F300/$J300)*100</f>
        <v>9.4585898816660237</v>
      </c>
      <c r="G301" s="57">
        <f>(G300/$J300)*100</f>
        <v>5.2769141497271388</v>
      </c>
      <c r="AH301" s="78"/>
      <c r="AM301" s="78"/>
      <c r="AN301" s="78"/>
    </row>
    <row r="302" spans="1:40" x14ac:dyDescent="0.3">
      <c r="A302" s="361" t="s">
        <v>397</v>
      </c>
      <c r="B302" s="361"/>
      <c r="C302" s="361"/>
      <c r="D302" s="361"/>
      <c r="E302" s="361"/>
      <c r="F302" s="361"/>
      <c r="G302" s="361"/>
      <c r="H302" s="361"/>
      <c r="I302" s="361"/>
      <c r="J302" s="361"/>
      <c r="K302" s="361"/>
      <c r="L302" s="361" t="s">
        <v>88</v>
      </c>
      <c r="M302" s="361"/>
      <c r="N302" s="361"/>
      <c r="O302" s="361"/>
      <c r="P302" s="361"/>
    </row>
    <row r="303" spans="1:40" x14ac:dyDescent="0.3">
      <c r="A303" t="s">
        <v>320</v>
      </c>
      <c r="B303" t="s">
        <v>21</v>
      </c>
      <c r="I303" s="1" t="s">
        <v>58</v>
      </c>
      <c r="O303" s="360" t="s">
        <v>411</v>
      </c>
      <c r="P303" s="360"/>
      <c r="AH303" s="78"/>
      <c r="AM303" s="78"/>
      <c r="AN303" s="78"/>
    </row>
    <row r="304" spans="1:40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56</v>
      </c>
      <c r="O304" s="13" t="s">
        <v>412</v>
      </c>
      <c r="P304" s="13" t="s">
        <v>41</v>
      </c>
    </row>
    <row r="305" spans="1:40" x14ac:dyDescent="0.3">
      <c r="A305" t="s">
        <v>3</v>
      </c>
      <c r="B305" s="13">
        <v>0</v>
      </c>
      <c r="C305" s="26">
        <v>259</v>
      </c>
      <c r="D305" s="3">
        <v>0</v>
      </c>
      <c r="E305" s="3">
        <v>0</v>
      </c>
      <c r="F305" s="3">
        <v>0</v>
      </c>
      <c r="G305" s="4">
        <v>0</v>
      </c>
      <c r="H305" s="1">
        <f>SUM(C305:G305)</f>
        <v>259</v>
      </c>
      <c r="I305" s="10">
        <f>C305/H305</f>
        <v>1</v>
      </c>
      <c r="J305" s="11">
        <f>1-I305</f>
        <v>0</v>
      </c>
      <c r="K305">
        <f>H305-C310</f>
        <v>0</v>
      </c>
      <c r="N305" s="10">
        <f>2*(C311*I305)/(C311+I305)</f>
        <v>1</v>
      </c>
      <c r="O305" s="1"/>
      <c r="P305" s="1"/>
      <c r="AH305" s="78"/>
      <c r="AM305" s="78"/>
      <c r="AN305" s="78"/>
    </row>
    <row r="306" spans="1:40" x14ac:dyDescent="0.3">
      <c r="A306" t="s">
        <v>4</v>
      </c>
      <c r="B306" s="13">
        <v>1</v>
      </c>
      <c r="C306" s="5">
        <v>0</v>
      </c>
      <c r="D306" s="27">
        <v>337</v>
      </c>
      <c r="E306" s="1">
        <v>2</v>
      </c>
      <c r="F306" s="1">
        <v>0</v>
      </c>
      <c r="G306" s="6">
        <v>0</v>
      </c>
      <c r="H306" s="1">
        <f>SUM(C306:G306)</f>
        <v>339</v>
      </c>
      <c r="I306" s="10">
        <f>D306/H306</f>
        <v>0.99410029498525077</v>
      </c>
      <c r="J306" s="11">
        <f>1-I306</f>
        <v>5.8997050147492347E-3</v>
      </c>
      <c r="K306">
        <f>H306-D310</f>
        <v>-86</v>
      </c>
      <c r="N306" s="10">
        <f>2*(D311*I306)/(D311+I306)</f>
        <v>0.88219895287958117</v>
      </c>
      <c r="O306" s="1"/>
      <c r="P306" s="1"/>
    </row>
    <row r="307" spans="1:40" x14ac:dyDescent="0.3">
      <c r="A307" t="s">
        <v>5</v>
      </c>
      <c r="B307" s="13">
        <v>2</v>
      </c>
      <c r="C307" s="5">
        <v>0</v>
      </c>
      <c r="D307" s="1">
        <v>88</v>
      </c>
      <c r="E307" s="27">
        <v>7168</v>
      </c>
      <c r="F307" s="1">
        <v>58</v>
      </c>
      <c r="G307" s="6">
        <v>85</v>
      </c>
      <c r="H307" s="1">
        <f>SUM(C307:G307)</f>
        <v>7399</v>
      </c>
      <c r="I307" s="10">
        <f>E307/H307</f>
        <v>0.96877956480605487</v>
      </c>
      <c r="J307" s="11">
        <f>1-I307</f>
        <v>3.1220435193945129E-2</v>
      </c>
      <c r="K307">
        <f>H307-E310</f>
        <v>173</v>
      </c>
      <c r="N307" s="10">
        <f>2*(E311*I307)/(E311+I307)</f>
        <v>0.98023931623931626</v>
      </c>
      <c r="O307" s="1"/>
      <c r="P307" s="1"/>
      <c r="AH307" s="78"/>
      <c r="AM307" s="78"/>
      <c r="AN307" s="78"/>
    </row>
    <row r="308" spans="1:40" x14ac:dyDescent="0.3">
      <c r="A308" t="s">
        <v>6</v>
      </c>
      <c r="B308" s="13">
        <v>3</v>
      </c>
      <c r="C308" s="5">
        <v>0</v>
      </c>
      <c r="D308" s="1">
        <v>0</v>
      </c>
      <c r="E308" s="1">
        <v>42</v>
      </c>
      <c r="F308" s="27">
        <v>2367</v>
      </c>
      <c r="G308" s="6">
        <v>194</v>
      </c>
      <c r="H308" s="1">
        <f>SUM(C308:G308)</f>
        <v>2603</v>
      </c>
      <c r="I308" s="10">
        <f>F308/H308</f>
        <v>0.90933538225124855</v>
      </c>
      <c r="J308" s="11">
        <f>1-I308</f>
        <v>9.0664617748751453E-2</v>
      </c>
      <c r="K308">
        <f>H308-F310</f>
        <v>32</v>
      </c>
      <c r="N308" s="10">
        <f>2*(F311*I308)/(F311+I308)</f>
        <v>0.91495941244684964</v>
      </c>
      <c r="O308" s="1"/>
      <c r="P308" s="1"/>
    </row>
    <row r="309" spans="1:40" x14ac:dyDescent="0.3">
      <c r="A309" t="s">
        <v>7</v>
      </c>
      <c r="B309" s="13">
        <v>4</v>
      </c>
      <c r="C309" s="7">
        <v>0</v>
      </c>
      <c r="D309" s="8">
        <v>0</v>
      </c>
      <c r="E309" s="8">
        <v>14</v>
      </c>
      <c r="F309" s="8">
        <v>146</v>
      </c>
      <c r="G309" s="28">
        <v>800</v>
      </c>
      <c r="H309" s="1">
        <f>SUM(C309:G309)</f>
        <v>960</v>
      </c>
      <c r="I309" s="10">
        <f>G309/H309</f>
        <v>0.83333333333333337</v>
      </c>
      <c r="J309" s="11">
        <f>1-I309</f>
        <v>0.16666666666666663</v>
      </c>
      <c r="K309">
        <f>H309-G310</f>
        <v>-119</v>
      </c>
      <c r="N309" s="10">
        <f>2*(G311*I309)/(G311+I309)</f>
        <v>0.78469838155958804</v>
      </c>
      <c r="O309" s="1"/>
      <c r="P309" s="1"/>
      <c r="AH309" s="78"/>
      <c r="AM309" s="78"/>
      <c r="AN309" s="78"/>
    </row>
    <row r="310" spans="1:40" ht="15.6" x14ac:dyDescent="0.35">
      <c r="B310" s="1" t="s">
        <v>19</v>
      </c>
      <c r="C310" s="1">
        <f>SUM(C305:C309)</f>
        <v>259</v>
      </c>
      <c r="D310" s="1">
        <f>SUM(D305:D309)</f>
        <v>425</v>
      </c>
      <c r="E310" s="1">
        <f>SUM(E305:E309)</f>
        <v>7226</v>
      </c>
      <c r="F310" s="1">
        <f>SUM(F305:F309)</f>
        <v>2571</v>
      </c>
      <c r="G310" s="1">
        <f>SUM(G305:G309)</f>
        <v>1079</v>
      </c>
      <c r="H310" s="1">
        <f>SUM(H304:H309)</f>
        <v>11560</v>
      </c>
      <c r="I310" s="13" t="s">
        <v>12</v>
      </c>
      <c r="N310" s="16" t="s">
        <v>36</v>
      </c>
      <c r="O310" s="1">
        <f>SUM(O305:O309)</f>
        <v>0</v>
      </c>
      <c r="P310" s="1">
        <f>SUM(P305:P309)</f>
        <v>0</v>
      </c>
    </row>
    <row r="311" spans="1:40" x14ac:dyDescent="0.3">
      <c r="A311" s="1" t="s">
        <v>321</v>
      </c>
      <c r="B311" s="1" t="s">
        <v>2</v>
      </c>
      <c r="C311" s="10">
        <f>C305/C310</f>
        <v>1</v>
      </c>
      <c r="D311" s="10">
        <f>D306/D310</f>
        <v>0.79294117647058826</v>
      </c>
      <c r="E311" s="10">
        <f>E307/E310</f>
        <v>0.99197342928314425</v>
      </c>
      <c r="F311" s="10">
        <f>F308/F310</f>
        <v>0.92065344224037338</v>
      </c>
      <c r="G311" s="10">
        <f>G309/G310</f>
        <v>0.74142724745134381</v>
      </c>
      <c r="H311" s="10"/>
      <c r="I311" s="14">
        <f>(C305+D306+E307+F308+G309)/H310</f>
        <v>0.94558823529411762</v>
      </c>
      <c r="AH311" s="78"/>
      <c r="AM311" s="78"/>
      <c r="AN311" s="78"/>
    </row>
    <row r="312" spans="1:40" x14ac:dyDescent="0.3">
      <c r="B312" s="1" t="s">
        <v>14</v>
      </c>
      <c r="C312" s="11">
        <f>1-C311</f>
        <v>0</v>
      </c>
      <c r="D312" s="11">
        <f>1-D311</f>
        <v>0.20705882352941174</v>
      </c>
      <c r="E312" s="11">
        <f>1-E311</f>
        <v>8.0265707168557521E-3</v>
      </c>
      <c r="F312" s="11">
        <f>1-F311</f>
        <v>7.9346557759626624E-2</v>
      </c>
      <c r="G312" s="11">
        <f>1-G311</f>
        <v>0.25857275254865619</v>
      </c>
      <c r="Q312" s="25"/>
    </row>
    <row r="313" spans="1:40" x14ac:dyDescent="0.3">
      <c r="C313" s="2"/>
      <c r="Q313" s="25"/>
      <c r="AH313" s="78"/>
      <c r="AM313" s="78"/>
      <c r="AN313" s="78"/>
    </row>
    <row r="314" spans="1:40" ht="15.6" x14ac:dyDescent="0.35">
      <c r="A314" t="s">
        <v>322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0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</row>
    <row r="316" spans="1:40" x14ac:dyDescent="0.3">
      <c r="A316" t="s">
        <v>3</v>
      </c>
      <c r="B316" s="13">
        <v>0</v>
      </c>
      <c r="C316" s="29">
        <f>(C305/$L316)*$O316</f>
        <v>1.1776767082154582</v>
      </c>
      <c r="D316" s="31">
        <f>(D305/$L316)*$O316</f>
        <v>0</v>
      </c>
      <c r="E316" s="31">
        <f>(E305/$L316)*$O316</f>
        <v>0</v>
      </c>
      <c r="F316" s="31">
        <f>(F305/$L316)*$O316</f>
        <v>0</v>
      </c>
      <c r="G316" s="32">
        <f>(G305/$L316)*$O316</f>
        <v>0</v>
      </c>
      <c r="H316" s="17">
        <f>SUM(C316:G316)</f>
        <v>1.1776767082154582</v>
      </c>
      <c r="I316" s="17">
        <f>C316/H316*100</f>
        <v>100</v>
      </c>
      <c r="J316" s="17">
        <f>SQRT(I316*(100-I316)/(L316-1))</f>
        <v>0</v>
      </c>
      <c r="K316" s="18">
        <f>100-I316</f>
        <v>0</v>
      </c>
      <c r="L316" s="1">
        <f>H305</f>
        <v>259</v>
      </c>
      <c r="M316">
        <v>0</v>
      </c>
      <c r="N316" s="1">
        <v>2336.2800000000002</v>
      </c>
      <c r="O316" s="17">
        <f>N316/N321*100</f>
        <v>1.1776767082154582</v>
      </c>
      <c r="P316" s="52">
        <f>((O316*O316*(I316/100)*(K316/100))/(L316-1))</f>
        <v>0</v>
      </c>
    </row>
    <row r="317" spans="1:40" x14ac:dyDescent="0.3">
      <c r="A317" t="s">
        <v>4</v>
      </c>
      <c r="B317" s="13">
        <v>1</v>
      </c>
      <c r="C317" s="33">
        <f t="shared" ref="C317:G320" si="53">(C306/$L317)*$O317</f>
        <v>0</v>
      </c>
      <c r="D317" s="34">
        <f t="shared" si="53"/>
        <v>6.118198809930548</v>
      </c>
      <c r="E317" s="19">
        <f t="shared" si="53"/>
        <v>3.6309785222139748E-2</v>
      </c>
      <c r="F317" s="18">
        <f t="shared" si="53"/>
        <v>0</v>
      </c>
      <c r="G317" s="20">
        <f t="shared" si="53"/>
        <v>0</v>
      </c>
      <c r="H317" s="17">
        <f>SUM(C317:G317)</f>
        <v>6.1545085951526879</v>
      </c>
      <c r="I317" s="17">
        <f>D317/H317*100</f>
        <v>99.410029498525077</v>
      </c>
      <c r="J317" s="17">
        <f>SQRT(I317*(100-I317)/(L317-1))</f>
        <v>0.41655456661415408</v>
      </c>
      <c r="K317" s="18">
        <f>100-I317</f>
        <v>0.58997050147492303</v>
      </c>
      <c r="L317" s="1">
        <f>H306</f>
        <v>339</v>
      </c>
      <c r="M317">
        <v>1</v>
      </c>
      <c r="N317" s="1">
        <v>12209.34</v>
      </c>
      <c r="O317" s="17">
        <f>N317/N321*100</f>
        <v>6.1545085951526879</v>
      </c>
      <c r="P317" s="52">
        <f>((O317*O317*(I317/100)*(K317/100))/(L317-1))</f>
        <v>6.5724995483706515E-4</v>
      </c>
      <c r="AM317" s="78"/>
      <c r="AN317" s="78"/>
    </row>
    <row r="318" spans="1:40" x14ac:dyDescent="0.3">
      <c r="A318" t="s">
        <v>5</v>
      </c>
      <c r="B318" s="13">
        <v>2</v>
      </c>
      <c r="C318" s="33">
        <f t="shared" si="53"/>
        <v>0</v>
      </c>
      <c r="D318" s="19">
        <f t="shared" si="53"/>
        <v>0.71518933683959185</v>
      </c>
      <c r="E318" s="34">
        <f t="shared" si="53"/>
        <v>58.255422346206757</v>
      </c>
      <c r="F318" s="19">
        <f t="shared" si="53"/>
        <v>0.47137479018973105</v>
      </c>
      <c r="G318" s="20">
        <f t="shared" si="53"/>
        <v>0.69080788217460576</v>
      </c>
      <c r="H318" s="17">
        <f>SUM(C318:G318)</f>
        <v>60.132794355410681</v>
      </c>
      <c r="I318" s="17">
        <f>E318/H318*100</f>
        <v>96.877956480605505</v>
      </c>
      <c r="J318" s="17">
        <f>SQRT(I318*(100-I318)/(L318-1))</f>
        <v>0.20219704180538711</v>
      </c>
      <c r="K318" s="18">
        <f>100-I318</f>
        <v>3.1220435193944951</v>
      </c>
      <c r="L318" s="1">
        <f>H307</f>
        <v>7399</v>
      </c>
      <c r="M318">
        <v>2</v>
      </c>
      <c r="N318" s="1">
        <v>119291.69</v>
      </c>
      <c r="O318" s="17">
        <f>N318/N321*100</f>
        <v>60.132794355410688</v>
      </c>
      <c r="P318" s="52">
        <f>((O318*O318*(I318/100)*(K318/100))/(L318-1))</f>
        <v>1.4783333238324011E-2</v>
      </c>
    </row>
    <row r="319" spans="1:40" x14ac:dyDescent="0.3">
      <c r="A319" t="s">
        <v>6</v>
      </c>
      <c r="B319" s="13">
        <v>3</v>
      </c>
      <c r="C319" s="33">
        <f t="shared" si="53"/>
        <v>0</v>
      </c>
      <c r="D319" s="19">
        <f t="shared" si="53"/>
        <v>0</v>
      </c>
      <c r="E319" s="19">
        <f t="shared" si="53"/>
        <v>0.34945050676855755</v>
      </c>
      <c r="F319" s="34">
        <f t="shared" si="53"/>
        <v>19.694032131456563</v>
      </c>
      <c r="G319" s="20">
        <f t="shared" si="53"/>
        <v>1.6141285312642895</v>
      </c>
      <c r="H319" s="17">
        <f>SUM(C319:G319)</f>
        <v>21.65761116948941</v>
      </c>
      <c r="I319" s="17">
        <f>F319/H319*100</f>
        <v>90.933538225124849</v>
      </c>
      <c r="J319" s="17">
        <f>SQRT(I319*(100-I319)/(L319-1))</f>
        <v>0.56289490309825185</v>
      </c>
      <c r="K319" s="18">
        <f>100-I319</f>
        <v>9.066461774875151</v>
      </c>
      <c r="L319" s="1">
        <f>H308</f>
        <v>2603</v>
      </c>
      <c r="M319">
        <v>3</v>
      </c>
      <c r="N319" s="1">
        <v>42964.46</v>
      </c>
      <c r="O319" s="17">
        <f>N319/N321*100</f>
        <v>21.65761116948941</v>
      </c>
      <c r="P319" s="52">
        <f>((O319*O319*(I319/100)*(K319/100))/(L319-1))</f>
        <v>1.4861947989113561E-2</v>
      </c>
      <c r="AM319" s="78"/>
      <c r="AN319" s="78"/>
    </row>
    <row r="320" spans="1:40" x14ac:dyDescent="0.3">
      <c r="A320" t="s">
        <v>7</v>
      </c>
      <c r="B320" s="13">
        <v>4</v>
      </c>
      <c r="C320" s="35">
        <f t="shared" si="53"/>
        <v>0</v>
      </c>
      <c r="D320" s="36">
        <f t="shared" si="53"/>
        <v>0</v>
      </c>
      <c r="E320" s="21">
        <f t="shared" si="53"/>
        <v>0.15862888375442163</v>
      </c>
      <c r="F320" s="21">
        <f t="shared" si="53"/>
        <v>1.6542726448675396</v>
      </c>
      <c r="G320" s="37">
        <f t="shared" si="53"/>
        <v>9.0645076431098079</v>
      </c>
      <c r="H320" s="17">
        <f>SUM(C320:G320)</f>
        <v>10.877409171731768</v>
      </c>
      <c r="I320" s="17">
        <f>G320/H320*100</f>
        <v>83.333333333333343</v>
      </c>
      <c r="J320" s="17">
        <f>SQRT(I320*(100-I320)/(L320-1))</f>
        <v>1.2034400157986833</v>
      </c>
      <c r="K320" s="18">
        <f>100-I320</f>
        <v>16.666666666666657</v>
      </c>
      <c r="L320" s="1">
        <f>H309</f>
        <v>960</v>
      </c>
      <c r="M320">
        <v>4</v>
      </c>
      <c r="N320" s="1">
        <v>21578.65</v>
      </c>
      <c r="O320" s="17">
        <f>N320/N321*100</f>
        <v>10.877409171731768</v>
      </c>
      <c r="P320" s="52">
        <f>((O320*O320*(I320/100)*(K320/100))/(L320-1))</f>
        <v>1.7135620190197303E-2</v>
      </c>
    </row>
    <row r="321" spans="1:40" x14ac:dyDescent="0.3">
      <c r="B321" t="s">
        <v>28</v>
      </c>
      <c r="C321" s="17">
        <f t="shared" ref="C321:H321" si="54">SUM(C316:C320)</f>
        <v>1.1776767082154582</v>
      </c>
      <c r="D321" s="17">
        <f t="shared" si="54"/>
        <v>6.8333881467701403</v>
      </c>
      <c r="E321" s="17">
        <f t="shared" si="54"/>
        <v>58.799811521951874</v>
      </c>
      <c r="F321" s="17">
        <f t="shared" si="54"/>
        <v>21.819679566513834</v>
      </c>
      <c r="G321" s="17">
        <f t="shared" si="54"/>
        <v>11.369444056548703</v>
      </c>
      <c r="H321" s="18">
        <f t="shared" si="54"/>
        <v>100.00000000000001</v>
      </c>
      <c r="I321" s="13" t="s">
        <v>24</v>
      </c>
      <c r="J321" s="12" t="s">
        <v>29</v>
      </c>
      <c r="N321" s="1">
        <f>SUM(N316:N320)</f>
        <v>198380.41999999998</v>
      </c>
      <c r="O321" s="17">
        <f>SUM(O316:O320)</f>
        <v>100.00000000000001</v>
      </c>
      <c r="AM321" s="78"/>
      <c r="AN321" s="78"/>
    </row>
    <row r="322" spans="1:40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0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7.9991455175586354E-2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0.14166299063684509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0.18587753377016114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0.18734086741702313</v>
      </c>
      <c r="H322" s="1"/>
      <c r="I322" s="14">
        <f>(C316+D317+E318+F319+G320)/H321</f>
        <v>0.94309837638919125</v>
      </c>
      <c r="J322" s="53">
        <f>SQRT(SUM(P316:P320))/100</f>
        <v>2.1780301047614548E-3</v>
      </c>
      <c r="M322" s="1"/>
      <c r="N322" s="9"/>
    </row>
    <row r="323" spans="1:40" x14ac:dyDescent="0.3">
      <c r="B323" s="1" t="s">
        <v>30</v>
      </c>
      <c r="C323" s="17">
        <f>C316/C321*100</f>
        <v>100</v>
      </c>
      <c r="D323" s="17">
        <f>D317/D321*100</f>
        <v>89.533898536443701</v>
      </c>
      <c r="E323" s="17">
        <f>E318/E321*100</f>
        <v>99.074165100781187</v>
      </c>
      <c r="F323" s="17">
        <f>F319/F321*100</f>
        <v>90.258118004998323</v>
      </c>
      <c r="G323" s="17">
        <f>G320/G321*100</f>
        <v>79.72692066582384</v>
      </c>
      <c r="H323" s="1"/>
      <c r="AM323" s="78"/>
      <c r="AN323" s="78"/>
    </row>
    <row r="324" spans="1:40" x14ac:dyDescent="0.3">
      <c r="B324" s="16" t="s">
        <v>39</v>
      </c>
      <c r="C324" s="18">
        <f>SQRT((C327+C328)/(C321*C321))</f>
        <v>0</v>
      </c>
      <c r="D324" s="18">
        <f>SQRT((D327+D328)/(D321*D321))</f>
        <v>1.0678429079039877</v>
      </c>
      <c r="E324" s="18">
        <f>SQRT((E327+E328)/(E321*E321))</f>
        <v>0.12405841065719489</v>
      </c>
      <c r="F324" s="18">
        <f>SQRT((F327+F328)/(F321*F321))</f>
        <v>0.7959490076308201</v>
      </c>
      <c r="G324" s="18">
        <f>SQRT((G327+G328)/(G321*G321))</f>
        <v>2.5164761143133307</v>
      </c>
      <c r="H324" s="1"/>
      <c r="I324" s="14"/>
    </row>
    <row r="325" spans="1:40" x14ac:dyDescent="0.3">
      <c r="B325" s="1" t="s">
        <v>37</v>
      </c>
      <c r="C325" s="18">
        <f>100-C323</f>
        <v>0</v>
      </c>
      <c r="D325" s="18">
        <f>100-D323</f>
        <v>10.466101463556299</v>
      </c>
      <c r="E325" s="18">
        <f>100-E323</f>
        <v>0.92583489921881323</v>
      </c>
      <c r="F325" s="18">
        <f>100-F323</f>
        <v>9.7418819950016768</v>
      </c>
      <c r="G325" s="18">
        <f>100-G323</f>
        <v>20.27307933417616</v>
      </c>
      <c r="AM325" s="78"/>
      <c r="AN325" s="78"/>
    </row>
    <row r="326" spans="1:40" ht="15.6" x14ac:dyDescent="0.35">
      <c r="B326" s="1" t="s">
        <v>25</v>
      </c>
      <c r="C326" s="1">
        <f>C310</f>
        <v>259</v>
      </c>
      <c r="D326" s="1">
        <f>D310</f>
        <v>425</v>
      </c>
      <c r="E326" s="1">
        <f>E310</f>
        <v>7226</v>
      </c>
      <c r="F326" s="1">
        <f>F310</f>
        <v>2571</v>
      </c>
      <c r="G326" s="1">
        <f>G310</f>
        <v>1079</v>
      </c>
    </row>
    <row r="327" spans="1:40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7.1994686731310136</v>
      </c>
      <c r="E327" s="18">
        <f>(O318*O318*(100-E323)*(100-E323)*(I318)*(100-I318))/((L318-1)*100)</f>
        <v>1.2671833604600991</v>
      </c>
      <c r="F327" s="18">
        <f>(O319*O319*(100-F323)*(100-F323)*(I319)*(100-I319))/((L319-1)*100)</f>
        <v>141.0462247470102</v>
      </c>
      <c r="G327" s="18">
        <f>(O320*O320*(100-G323)*(100-G323)*(I320)*(100-I320))/((L320-1)*100)</f>
        <v>704.27012691677226</v>
      </c>
      <c r="AM327" s="78"/>
      <c r="AN327" s="78"/>
    </row>
    <row r="328" spans="1:40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46.046522431136559</v>
      </c>
      <c r="E328" s="18">
        <f>E323*E323*(SUM((H316*E316*(1-E305/H305))/(H305-1),(H317*E317*(1-E306/H306))/(H306-1), (H319*E319*(1-E308/H308))/(H308-1),(H320*E320*(1-E309/H309))/(H309-1)))</f>
        <v>51.944168678686587</v>
      </c>
      <c r="F328" s="18">
        <f>F323*F323*(SUM((H316*F316*(1-F305/H305))/(H305-1),(H317*F317*(1-F306/H306))/(H306-1), (H318*F318*(1-F307/H307))/(H307-1),(H320*F320*(1-F309/H309))/(H309-1)))</f>
        <v>160.57870108851259</v>
      </c>
      <c r="G328" s="18">
        <f>G323*G323*(SUM((H316*G316*(1-G305/H305))/(H305-1),(H317*G317*(1-G306/H306))/(H306-1), (H318*G318*(1-G307/H307))/(H307-1),(H319*G319*(1-G308/H308))/(H308-1)))</f>
        <v>114.31544040023434</v>
      </c>
    </row>
    <row r="329" spans="1:40" x14ac:dyDescent="0.3">
      <c r="A329" s="105" t="s">
        <v>390</v>
      </c>
      <c r="B329" s="69" t="s">
        <v>9</v>
      </c>
      <c r="C329" s="1">
        <v>284.32</v>
      </c>
      <c r="D329" s="1">
        <v>2352.63</v>
      </c>
      <c r="E329" s="1">
        <v>16221.6</v>
      </c>
      <c r="F329">
        <v>2080.1</v>
      </c>
      <c r="G329">
        <v>1206.29</v>
      </c>
      <c r="I329" t="s">
        <v>36</v>
      </c>
      <c r="J329" s="57">
        <f>SUM(C329:G329)</f>
        <v>22144.94</v>
      </c>
      <c r="AM329" s="78"/>
      <c r="AN329" s="78"/>
    </row>
    <row r="330" spans="1:40" x14ac:dyDescent="0.3">
      <c r="B330" t="s">
        <v>391</v>
      </c>
      <c r="C330" s="57">
        <f>(C329/$J329)*100</f>
        <v>1.2839050365455946</v>
      </c>
      <c r="D330" s="57">
        <f>(D329/$J329)*100</f>
        <v>10.62378132431156</v>
      </c>
      <c r="E330" s="57">
        <f>(E329/$J329)*100</f>
        <v>73.251948300605022</v>
      </c>
      <c r="F330" s="57">
        <f>(F329/$J329)*100</f>
        <v>9.3931164410470291</v>
      </c>
      <c r="G330" s="57">
        <f>(G329/$J329)*100</f>
        <v>5.4472488974908044</v>
      </c>
    </row>
    <row r="331" spans="1:40" x14ac:dyDescent="0.3">
      <c r="A331" s="361" t="s">
        <v>397</v>
      </c>
      <c r="B331" s="361"/>
      <c r="C331" s="361"/>
      <c r="D331" s="361"/>
      <c r="E331" s="361"/>
      <c r="F331" s="361"/>
      <c r="G331" s="361"/>
      <c r="H331" s="361"/>
      <c r="I331" s="361"/>
      <c r="J331" s="361"/>
      <c r="K331" s="361"/>
      <c r="L331" s="361" t="s">
        <v>89</v>
      </c>
      <c r="M331" s="361"/>
      <c r="N331" s="361"/>
      <c r="O331" s="361"/>
      <c r="P331" s="361"/>
      <c r="AM331" s="78"/>
      <c r="AN331" s="78"/>
    </row>
    <row r="332" spans="1:40" x14ac:dyDescent="0.3">
      <c r="A332" t="s">
        <v>320</v>
      </c>
      <c r="B332" t="s">
        <v>21</v>
      </c>
      <c r="I332" s="1" t="s">
        <v>58</v>
      </c>
      <c r="O332" s="360" t="s">
        <v>411</v>
      </c>
      <c r="P332" s="360"/>
    </row>
    <row r="333" spans="1:40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56</v>
      </c>
      <c r="O333" s="13" t="s">
        <v>412</v>
      </c>
      <c r="P333" s="13" t="s">
        <v>41</v>
      </c>
      <c r="AM333" s="78"/>
      <c r="AN333" s="78"/>
    </row>
    <row r="334" spans="1:40" x14ac:dyDescent="0.3">
      <c r="A334" t="s">
        <v>3</v>
      </c>
      <c r="B334" s="13">
        <v>0</v>
      </c>
      <c r="C334" s="26">
        <v>259</v>
      </c>
      <c r="D334" s="3">
        <v>0</v>
      </c>
      <c r="E334" s="3">
        <v>0</v>
      </c>
      <c r="F334" s="3">
        <v>0</v>
      </c>
      <c r="G334" s="4">
        <v>0</v>
      </c>
      <c r="H334" s="1">
        <f>SUM(C334:G334)</f>
        <v>259</v>
      </c>
      <c r="I334" s="10">
        <f>C334/H334</f>
        <v>1</v>
      </c>
      <c r="J334" s="11">
        <f>1-I334</f>
        <v>0</v>
      </c>
      <c r="K334">
        <f>H334-C339</f>
        <v>0</v>
      </c>
      <c r="N334" s="10">
        <f>2*(C340*I334)/(C340+I334)</f>
        <v>1</v>
      </c>
      <c r="O334" s="1"/>
      <c r="P334" s="1"/>
    </row>
    <row r="335" spans="1:40" x14ac:dyDescent="0.3">
      <c r="A335" t="s">
        <v>4</v>
      </c>
      <c r="B335" s="13">
        <v>1</v>
      </c>
      <c r="C335" s="5">
        <v>0</v>
      </c>
      <c r="D335" s="27">
        <v>337</v>
      </c>
      <c r="E335" s="1">
        <v>2</v>
      </c>
      <c r="F335" s="1">
        <v>0</v>
      </c>
      <c r="G335" s="6">
        <v>0</v>
      </c>
      <c r="H335" s="1">
        <f>SUM(C335:G335)</f>
        <v>339</v>
      </c>
      <c r="I335" s="10">
        <f>D335/H335</f>
        <v>0.99410029498525077</v>
      </c>
      <c r="J335" s="11">
        <f>1-I335</f>
        <v>5.8997050147492347E-3</v>
      </c>
      <c r="K335">
        <f>H335-D339</f>
        <v>-77</v>
      </c>
      <c r="N335" s="10">
        <f>2*(D340*I335)/(D340+I335)</f>
        <v>0.89271523178807943</v>
      </c>
      <c r="O335" s="1"/>
      <c r="P335" s="1"/>
      <c r="AM335" s="78"/>
      <c r="AN335" s="78"/>
    </row>
    <row r="336" spans="1:40" x14ac:dyDescent="0.3">
      <c r="A336" t="s">
        <v>5</v>
      </c>
      <c r="B336" s="13">
        <v>2</v>
      </c>
      <c r="C336" s="5">
        <v>0</v>
      </c>
      <c r="D336" s="1">
        <v>79</v>
      </c>
      <c r="E336" s="27">
        <v>7160</v>
      </c>
      <c r="F336" s="1">
        <v>55</v>
      </c>
      <c r="G336" s="6">
        <v>105</v>
      </c>
      <c r="H336" s="1">
        <f>SUM(C336:G336)</f>
        <v>7399</v>
      </c>
      <c r="I336" s="10">
        <f>E336/H336</f>
        <v>0.96769833761319102</v>
      </c>
      <c r="J336" s="11">
        <f>1-I336</f>
        <v>3.2301662386808982E-2</v>
      </c>
      <c r="K336">
        <f>H336-E339</f>
        <v>179</v>
      </c>
      <c r="N336" s="10">
        <f>2*(E340*I336)/(E340+I336)</f>
        <v>0.97954716464874481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0</v>
      </c>
      <c r="E337" s="1">
        <v>41</v>
      </c>
      <c r="F337" s="27">
        <v>2378</v>
      </c>
      <c r="G337" s="6">
        <v>184</v>
      </c>
      <c r="H337" s="1">
        <f>SUM(C337:G337)</f>
        <v>2603</v>
      </c>
      <c r="I337" s="10">
        <f>F337/H337</f>
        <v>0.9135612754514022</v>
      </c>
      <c r="J337" s="11">
        <f>1-I337</f>
        <v>8.6438724548597801E-2</v>
      </c>
      <c r="K337">
        <f>H337-F339</f>
        <v>29</v>
      </c>
      <c r="N337" s="10">
        <f>2*(F340*I337)/(F340+I337)</f>
        <v>0.91867877148927946</v>
      </c>
      <c r="O337" s="1"/>
      <c r="P337" s="1"/>
      <c r="AM337" s="78"/>
      <c r="AN337" s="78"/>
    </row>
    <row r="338" spans="1:40" x14ac:dyDescent="0.3">
      <c r="A338" t="s">
        <v>7</v>
      </c>
      <c r="B338" s="13">
        <v>4</v>
      </c>
      <c r="C338" s="7">
        <v>0</v>
      </c>
      <c r="D338" s="8">
        <v>0</v>
      </c>
      <c r="E338" s="8">
        <v>17</v>
      </c>
      <c r="F338" s="8">
        <v>141</v>
      </c>
      <c r="G338" s="28">
        <v>802</v>
      </c>
      <c r="H338" s="1">
        <f>SUM(C338:G338)</f>
        <v>960</v>
      </c>
      <c r="I338" s="10">
        <f>G338/H338</f>
        <v>0.8354166666666667</v>
      </c>
      <c r="J338" s="11">
        <f>1-I338</f>
        <v>0.1645833333333333</v>
      </c>
      <c r="K338">
        <f>H338-G339</f>
        <v>-131</v>
      </c>
      <c r="N338" s="10">
        <f>2*(G340*I338)/(G340+I338)</f>
        <v>0.78205753291077518</v>
      </c>
      <c r="O338" s="1"/>
      <c r="P338" s="1"/>
    </row>
    <row r="339" spans="1:40" ht="15.6" x14ac:dyDescent="0.35">
      <c r="B339" s="1" t="s">
        <v>19</v>
      </c>
      <c r="C339" s="1">
        <f>SUM(C334:C338)</f>
        <v>259</v>
      </c>
      <c r="D339" s="1">
        <f>SUM(D334:D338)</f>
        <v>416</v>
      </c>
      <c r="E339" s="1">
        <f>SUM(E334:E338)</f>
        <v>7220</v>
      </c>
      <c r="F339" s="1">
        <f>SUM(F334:F338)</f>
        <v>2574</v>
      </c>
      <c r="G339" s="1">
        <f>SUM(G334:G338)</f>
        <v>1091</v>
      </c>
      <c r="H339" s="1">
        <f>SUM(H333:H338)</f>
        <v>11560</v>
      </c>
      <c r="I339" s="13" t="s">
        <v>12</v>
      </c>
      <c r="N339" s="16" t="s">
        <v>36</v>
      </c>
      <c r="O339" s="1">
        <f>SUM(O334:O338)</f>
        <v>0</v>
      </c>
      <c r="P339" s="1">
        <f>SUM(P334:P338)</f>
        <v>0</v>
      </c>
      <c r="AM339" s="78"/>
      <c r="AN339" s="78"/>
    </row>
    <row r="340" spans="1:40" x14ac:dyDescent="0.3">
      <c r="A340" s="1" t="s">
        <v>321</v>
      </c>
      <c r="B340" s="1" t="s">
        <v>2</v>
      </c>
      <c r="C340" s="10">
        <f>C334/C339</f>
        <v>1</v>
      </c>
      <c r="D340" s="10">
        <f>D335/D339</f>
        <v>0.81009615384615385</v>
      </c>
      <c r="E340" s="10">
        <f>E336/E339</f>
        <v>0.99168975069252074</v>
      </c>
      <c r="F340" s="10">
        <f>F337/F339</f>
        <v>0.92385392385392384</v>
      </c>
      <c r="G340" s="10">
        <f>G338/G339</f>
        <v>0.73510540788267642</v>
      </c>
      <c r="H340" s="10"/>
      <c r="I340" s="14">
        <f>(C334+D335+E336+F337+G338)/H339</f>
        <v>0.94602076124567469</v>
      </c>
    </row>
    <row r="341" spans="1:40" x14ac:dyDescent="0.3">
      <c r="B341" s="1" t="s">
        <v>14</v>
      </c>
      <c r="C341" s="11">
        <f>1-C340</f>
        <v>0</v>
      </c>
      <c r="D341" s="11">
        <f>1-D340</f>
        <v>0.18990384615384615</v>
      </c>
      <c r="E341" s="11">
        <f>1-E340</f>
        <v>8.3102493074792561E-3</v>
      </c>
      <c r="F341" s="11">
        <f>1-F340</f>
        <v>7.6146076146076158E-2</v>
      </c>
      <c r="G341" s="11">
        <f>1-G340</f>
        <v>0.26489459211732358</v>
      </c>
      <c r="AM341" s="78"/>
      <c r="AN341" s="78"/>
    </row>
    <row r="342" spans="1:40" x14ac:dyDescent="0.3">
      <c r="C342" s="2"/>
    </row>
    <row r="343" spans="1:40" ht="15.6" x14ac:dyDescent="0.35">
      <c r="A343" t="s">
        <v>322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1.17544866575038</v>
      </c>
      <c r="D345" s="31">
        <f>(D334/$L345)*$O345</f>
        <v>0</v>
      </c>
      <c r="E345" s="31">
        <f>(E334/$L345)*$O345</f>
        <v>0</v>
      </c>
      <c r="F345" s="31">
        <f>(F334/$L345)*$O345</f>
        <v>0</v>
      </c>
      <c r="G345" s="32">
        <f>(G334/$L345)*$O345</f>
        <v>0</v>
      </c>
      <c r="H345" s="17">
        <f>SUM(C345:G345)</f>
        <v>1.17544866575038</v>
      </c>
      <c r="I345" s="17">
        <f>C345/H345*100</f>
        <v>100</v>
      </c>
      <c r="J345" s="17">
        <f>SQRT(I345*(100-I345)/(L345-1))</f>
        <v>0</v>
      </c>
      <c r="K345" s="18">
        <f>100-I345</f>
        <v>0</v>
      </c>
      <c r="L345" s="1">
        <f>H334</f>
        <v>259</v>
      </c>
      <c r="M345">
        <v>0</v>
      </c>
      <c r="N345" s="1">
        <v>2331.86</v>
      </c>
      <c r="O345" s="17">
        <f>N345/N350*100</f>
        <v>1.17544866575038</v>
      </c>
      <c r="P345" s="52">
        <f>((O345*O345*(I345/100)*(K345/100))/(L345-1))</f>
        <v>0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55">(C335/$L346)*$O346</f>
        <v>0</v>
      </c>
      <c r="D346" s="34">
        <f t="shared" si="55"/>
        <v>6.0650061882430419</v>
      </c>
      <c r="E346" s="19">
        <f t="shared" si="55"/>
        <v>3.5994102007377106E-2</v>
      </c>
      <c r="F346" s="18">
        <f t="shared" si="55"/>
        <v>0</v>
      </c>
      <c r="G346" s="20">
        <f t="shared" si="55"/>
        <v>0</v>
      </c>
      <c r="H346" s="17">
        <f>SUM(C346:G346)</f>
        <v>6.1010002902504192</v>
      </c>
      <c r="I346" s="17">
        <f>D346/H346*100</f>
        <v>99.410029498525063</v>
      </c>
      <c r="J346" s="17">
        <f>SQRT(I346*(100-I346)/(L346-1))</f>
        <v>0.41655456661415902</v>
      </c>
      <c r="K346" s="18">
        <f>100-I346</f>
        <v>0.58997050147493724</v>
      </c>
      <c r="L346" s="1">
        <f>H335</f>
        <v>339</v>
      </c>
      <c r="M346">
        <v>1</v>
      </c>
      <c r="N346" s="1">
        <v>12103.19</v>
      </c>
      <c r="O346" s="17">
        <f>N346/N350*100</f>
        <v>6.1010002902504192</v>
      </c>
      <c r="P346" s="52">
        <f>((O346*O346*(I346/100)*(K346/100))/(L346-1))</f>
        <v>6.4587115803253705E-4</v>
      </c>
    </row>
    <row r="347" spans="1:40" x14ac:dyDescent="0.3">
      <c r="A347" t="s">
        <v>5</v>
      </c>
      <c r="B347" s="13">
        <v>2</v>
      </c>
      <c r="C347" s="33">
        <f t="shared" si="55"/>
        <v>0</v>
      </c>
      <c r="D347" s="19">
        <f t="shared" si="55"/>
        <v>0.64080342002284174</v>
      </c>
      <c r="E347" s="34">
        <f t="shared" si="55"/>
        <v>58.077879586880343</v>
      </c>
      <c r="F347" s="19">
        <f t="shared" si="55"/>
        <v>0.44612896330704171</v>
      </c>
      <c r="G347" s="20">
        <f t="shared" si="55"/>
        <v>0.85170074813162522</v>
      </c>
      <c r="H347" s="17">
        <f>SUM(C347:G347)</f>
        <v>60.016512718341851</v>
      </c>
      <c r="I347" s="17">
        <f>E347/H347*100</f>
        <v>96.769833761319106</v>
      </c>
      <c r="J347" s="17">
        <f>SQRT(I347*(100-I347)/(L347-1))</f>
        <v>0.20555368686988729</v>
      </c>
      <c r="K347" s="18">
        <f>100-I347</f>
        <v>3.2301662386808943</v>
      </c>
      <c r="L347" s="1">
        <f>H336</f>
        <v>7399</v>
      </c>
      <c r="M347">
        <v>2</v>
      </c>
      <c r="N347" s="1">
        <v>119061.01</v>
      </c>
      <c r="O347" s="17">
        <f>N347/N350*100</f>
        <v>60.016512718341851</v>
      </c>
      <c r="P347" s="52">
        <f>((O347*O347*(I347/100)*(K347/100))/(L347-1))</f>
        <v>1.5219208106536628E-2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55"/>
        <v>0</v>
      </c>
      <c r="D348" s="19">
        <f t="shared" si="55"/>
        <v>0</v>
      </c>
      <c r="E348" s="19">
        <f t="shared" si="55"/>
        <v>0.34059773260242932</v>
      </c>
      <c r="F348" s="34">
        <f t="shared" si="55"/>
        <v>19.754668490940901</v>
      </c>
      <c r="G348" s="20">
        <f t="shared" si="55"/>
        <v>1.5285361658255368</v>
      </c>
      <c r="H348" s="17">
        <f>SUM(C348:G348)</f>
        <v>21.623802389368866</v>
      </c>
      <c r="I348" s="17">
        <f>F348/H348*100</f>
        <v>91.356127545140225</v>
      </c>
      <c r="J348" s="17">
        <f>SQRT(I348*(100-I348)/(L348-1))</f>
        <v>0.55089568409461287</v>
      </c>
      <c r="K348" s="18">
        <f>100-I348</f>
        <v>8.6438724548597747</v>
      </c>
      <c r="L348" s="1">
        <f>H337</f>
        <v>2603</v>
      </c>
      <c r="M348">
        <v>3</v>
      </c>
      <c r="N348" s="1">
        <v>42897.39</v>
      </c>
      <c r="O348" s="17">
        <f>N348/N350*100</f>
        <v>21.623802389368869</v>
      </c>
      <c r="P348" s="52">
        <f>((O348*O348*(I348/100)*(K348/100))/(L348-1))</f>
        <v>1.4190668919532842E-2</v>
      </c>
    </row>
    <row r="349" spans="1:40" x14ac:dyDescent="0.3">
      <c r="A349" t="s">
        <v>7</v>
      </c>
      <c r="B349" s="13">
        <v>4</v>
      </c>
      <c r="C349" s="35">
        <f t="shared" si="55"/>
        <v>0</v>
      </c>
      <c r="D349" s="36">
        <f t="shared" si="55"/>
        <v>0</v>
      </c>
      <c r="E349" s="21">
        <f t="shared" si="55"/>
        <v>0.19626563637177497</v>
      </c>
      <c r="F349" s="21">
        <f t="shared" si="55"/>
        <v>1.6278502781423689</v>
      </c>
      <c r="G349" s="37">
        <f t="shared" si="55"/>
        <v>9.2591200217743257</v>
      </c>
      <c r="H349" s="17">
        <f>SUM(C349:G349)</f>
        <v>11.083235936288469</v>
      </c>
      <c r="I349" s="17">
        <f>G349/H349*100</f>
        <v>83.541666666666671</v>
      </c>
      <c r="J349" s="17">
        <f>SQRT(I349*(100-I349)/(L349-1))</f>
        <v>1.1973887984018774</v>
      </c>
      <c r="K349" s="18">
        <f>100-I349</f>
        <v>16.458333333333329</v>
      </c>
      <c r="L349" s="1">
        <f>H338</f>
        <v>960</v>
      </c>
      <c r="M349">
        <v>4</v>
      </c>
      <c r="N349" s="1">
        <v>21986.97</v>
      </c>
      <c r="O349" s="17">
        <f>N349/N350*100</f>
        <v>11.083235936288469</v>
      </c>
      <c r="P349" s="52">
        <f>((O349*O349*(I349/100)*(K349/100))/(L349-1))</f>
        <v>1.7611791643498527E-2</v>
      </c>
      <c r="AM349" s="78"/>
      <c r="AN349" s="78"/>
    </row>
    <row r="350" spans="1:40" x14ac:dyDescent="0.3">
      <c r="B350" t="s">
        <v>28</v>
      </c>
      <c r="C350" s="17">
        <f t="shared" ref="C350:H350" si="56">SUM(C345:C349)</f>
        <v>1.17544866575038</v>
      </c>
      <c r="D350" s="17">
        <f t="shared" si="56"/>
        <v>6.7058096082658833</v>
      </c>
      <c r="E350" s="17">
        <f t="shared" si="56"/>
        <v>58.650737057861932</v>
      </c>
      <c r="F350" s="17">
        <f t="shared" si="56"/>
        <v>21.828647732390312</v>
      </c>
      <c r="G350" s="17">
        <f t="shared" si="56"/>
        <v>11.639356935731488</v>
      </c>
      <c r="H350" s="18">
        <f t="shared" si="56"/>
        <v>99.999999999999986</v>
      </c>
      <c r="I350" s="13" t="s">
        <v>24</v>
      </c>
      <c r="J350" s="12" t="s">
        <v>29</v>
      </c>
      <c r="N350" s="1">
        <f>SUM(N345:N349)</f>
        <v>198380.42</v>
      </c>
      <c r="O350" s="17">
        <f>SUM(O345:O349)</f>
        <v>100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0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7.6067757694956953E-2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0.14447059895703054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0.18387590230767281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0.19027423358979489</v>
      </c>
      <c r="H351" s="1"/>
      <c r="I351" s="14">
        <f>(C345+D346+E347+F348+G349)/H350</f>
        <v>0.94332122953589004</v>
      </c>
      <c r="J351" s="53">
        <f>SQRT(SUM(P345:P349))/100</f>
        <v>2.1832897157180158E-3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90.444055864142669</v>
      </c>
      <c r="E352" s="17">
        <f>E347/E350*100</f>
        <v>99.02327319362341</v>
      </c>
      <c r="F352" s="17">
        <f>F348/F350*100</f>
        <v>90.498819409816448</v>
      </c>
      <c r="G352" s="17">
        <f>G349/G350*100</f>
        <v>79.550099484876966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1.0328253144335029</v>
      </c>
      <c r="E353" s="18">
        <f>SQRT((E356+E357)/(E350*E350))</f>
        <v>0.12866958894928257</v>
      </c>
      <c r="F353" s="18">
        <f>SQRT((F356+F357)/(F350*F350))</f>
        <v>0.77875812742184058</v>
      </c>
      <c r="G353" s="18">
        <f>SQRT((G356+G357)/(G350*G350))</f>
        <v>2.5112151732459282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9.5559441358573309</v>
      </c>
      <c r="E354" s="18">
        <f>100-E352</f>
        <v>0.97672680637658971</v>
      </c>
      <c r="F354" s="18">
        <f>100-F352</f>
        <v>9.5011805901835515</v>
      </c>
      <c r="G354" s="18">
        <f>100-G352</f>
        <v>20.449900515123034</v>
      </c>
    </row>
    <row r="355" spans="1:40" ht="15.6" x14ac:dyDescent="0.35">
      <c r="B355" s="1" t="s">
        <v>25</v>
      </c>
      <c r="C355" s="1">
        <f>C339</f>
        <v>259</v>
      </c>
      <c r="D355" s="1">
        <f>D339</f>
        <v>416</v>
      </c>
      <c r="E355" s="1">
        <f>E339</f>
        <v>7220</v>
      </c>
      <c r="F355" s="1">
        <f>F339</f>
        <v>2574</v>
      </c>
      <c r="G355" s="1">
        <f>G339</f>
        <v>1091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5.8978414797742138</v>
      </c>
      <c r="E356" s="18">
        <f>(O347*O347*(100-E352)*(100-E352)*(I347)*(100-I347))/((L347-1)*100)</f>
        <v>1.4519052307758036</v>
      </c>
      <c r="F356" s="18">
        <f>(O348*O348*(100-F352)*(100-F352)*(I348)*(100-I348))/((L348-1)*100)</f>
        <v>128.10262036907611</v>
      </c>
      <c r="G356" s="18">
        <f>(O349*O349*(100-G352)*(100-G352)*(I349)*(100-I349))/((L349-1)*100)</f>
        <v>736.52236337912768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42.070663738031335</v>
      </c>
      <c r="E357" s="18">
        <f>E352*E352*(SUM((H345*E345*(1-E334/H334))/(H334-1),(H346*E346*(1-E335/H335))/(H335-1), (H348*E348*(1-E337/H337))/(H337-1),(H349*E349*(1-E338/H338))/(H338-1)))</f>
        <v>55.49875661500279</v>
      </c>
      <c r="F357" s="18">
        <f>F352*F352*(SUM((H345*F345*(1-F334/H334))/(H334-1),(H346*F346*(1-F335/H335))/(H335-1), (H347*F347*(1-F336/H336))/(H336-1),(H349*F349*(1-F338/H338))/(H338-1)))</f>
        <v>160.87143250907664</v>
      </c>
      <c r="G357" s="18">
        <f>G352*G352*(SUM((H345*G345*(1-G334/H334))/(H334-1),(H346*G346*(1-G335/H335))/(H335-1), (H347*G347*(1-G336/H336))/(H336-1),(H348*G348*(1-G337/H337))/(H337-1)))</f>
        <v>117.8079705908646</v>
      </c>
      <c r="AM357" s="78"/>
      <c r="AN357" s="78"/>
    </row>
    <row r="358" spans="1:40" x14ac:dyDescent="0.3">
      <c r="A358" s="105" t="s">
        <v>390</v>
      </c>
      <c r="B358" s="69" t="s">
        <v>9</v>
      </c>
      <c r="C358" s="1">
        <v>288.37</v>
      </c>
      <c r="D358" s="1">
        <v>2433.48</v>
      </c>
      <c r="E358" s="1">
        <v>16126.62</v>
      </c>
      <c r="F358">
        <v>2039.14</v>
      </c>
      <c r="G358">
        <v>1257.3399999999999</v>
      </c>
      <c r="I358" t="s">
        <v>36</v>
      </c>
      <c r="J358" s="57">
        <f>SUM(C358:G358)</f>
        <v>22144.95</v>
      </c>
    </row>
    <row r="359" spans="1:40" x14ac:dyDescent="0.3">
      <c r="B359" t="s">
        <v>391</v>
      </c>
      <c r="C359" s="57">
        <f>(C358/$J358)*100</f>
        <v>1.302193050785845</v>
      </c>
      <c r="D359" s="57">
        <f>(D358/$J358)*100</f>
        <v>10.988871051865097</v>
      </c>
      <c r="E359" s="57">
        <f>(E358/$J358)*100</f>
        <v>72.823013824822368</v>
      </c>
      <c r="F359" s="57">
        <f>(F358/$J358)*100</f>
        <v>9.2081490362362537</v>
      </c>
      <c r="G359" s="57">
        <f>(G358/$J358)*100</f>
        <v>5.6777730362904411</v>
      </c>
      <c r="AM359" s="78"/>
      <c r="AN359" s="78"/>
    </row>
    <row r="360" spans="1:40" x14ac:dyDescent="0.3">
      <c r="A360" s="361" t="s">
        <v>397</v>
      </c>
      <c r="B360" s="361"/>
      <c r="C360" s="361"/>
      <c r="D360" s="361"/>
      <c r="E360" s="361"/>
      <c r="F360" s="361"/>
      <c r="G360" s="361"/>
      <c r="H360" s="361"/>
      <c r="I360" s="361"/>
      <c r="J360" s="361"/>
      <c r="K360" s="361"/>
      <c r="L360" s="361" t="s">
        <v>90</v>
      </c>
      <c r="M360" s="361"/>
      <c r="N360" s="361"/>
      <c r="O360" s="361"/>
      <c r="P360" s="361"/>
    </row>
    <row r="361" spans="1:40" x14ac:dyDescent="0.3">
      <c r="A361" t="s">
        <v>15</v>
      </c>
      <c r="B361" t="s">
        <v>21</v>
      </c>
      <c r="I361" s="1" t="s">
        <v>58</v>
      </c>
      <c r="O361" s="360" t="s">
        <v>411</v>
      </c>
      <c r="P361" s="360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56</v>
      </c>
      <c r="O362" s="13" t="s">
        <v>412</v>
      </c>
      <c r="P362" s="13" t="s">
        <v>41</v>
      </c>
    </row>
    <row r="363" spans="1:40" x14ac:dyDescent="0.3">
      <c r="A363" t="s">
        <v>3</v>
      </c>
      <c r="B363" s="13">
        <v>0</v>
      </c>
      <c r="C363" s="26">
        <v>259</v>
      </c>
      <c r="D363" s="3">
        <v>0</v>
      </c>
      <c r="E363" s="3">
        <v>0</v>
      </c>
      <c r="F363" s="3">
        <v>0</v>
      </c>
      <c r="G363" s="4">
        <v>0</v>
      </c>
      <c r="H363" s="1">
        <f>SUM(C363:G363)</f>
        <v>259</v>
      </c>
      <c r="I363" s="10">
        <f>C363/H363</f>
        <v>1</v>
      </c>
      <c r="J363" s="11">
        <f>1-I363</f>
        <v>0</v>
      </c>
      <c r="K363">
        <f>H363-C368</f>
        <v>0</v>
      </c>
      <c r="N363" s="10">
        <f>2*(C369*I363)/(C369+I363)</f>
        <v>1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337</v>
      </c>
      <c r="E364" s="1">
        <v>2</v>
      </c>
      <c r="F364" s="1">
        <v>0</v>
      </c>
      <c r="G364" s="6">
        <v>0</v>
      </c>
      <c r="H364" s="1">
        <f>SUM(C364:G364)</f>
        <v>339</v>
      </c>
      <c r="I364" s="10">
        <f>D364/H364</f>
        <v>0.99410029498525077</v>
      </c>
      <c r="J364" s="11">
        <f>1-I364</f>
        <v>5.8997050147492347E-3</v>
      </c>
      <c r="K364">
        <f>H364-D368</f>
        <v>-82</v>
      </c>
      <c r="N364" s="10">
        <f>2*(D369*I364)/(D369+I364)</f>
        <v>0.88684210526315788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84</v>
      </c>
      <c r="E365" s="27">
        <v>7170</v>
      </c>
      <c r="F365" s="1">
        <v>52</v>
      </c>
      <c r="G365" s="6">
        <v>93</v>
      </c>
      <c r="H365" s="1">
        <f>SUM(C365:G365)</f>
        <v>7399</v>
      </c>
      <c r="I365" s="10">
        <f>E365/H365</f>
        <v>0.96904987160427081</v>
      </c>
      <c r="J365" s="11">
        <f>1-I365</f>
        <v>3.0950128395729193E-2</v>
      </c>
      <c r="K365">
        <f>H365-E368</f>
        <v>163</v>
      </c>
      <c r="N365" s="10">
        <f>2*(E369*I365)/(E369+I365)</f>
        <v>0.97984284250085407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0</v>
      </c>
      <c r="E366" s="1">
        <v>44</v>
      </c>
      <c r="F366" s="27">
        <v>2372</v>
      </c>
      <c r="G366" s="6">
        <v>187</v>
      </c>
      <c r="H366" s="1">
        <f>SUM(C366:G366)</f>
        <v>2603</v>
      </c>
      <c r="I366" s="10">
        <f>F366/H366</f>
        <v>0.91125624279677298</v>
      </c>
      <c r="J366" s="11">
        <f>1-I366</f>
        <v>8.8743757203227025E-2</v>
      </c>
      <c r="K366">
        <f>H366-F368</f>
        <v>39</v>
      </c>
      <c r="N366" s="10">
        <f>2*(F369*I366)/(F369+I366)</f>
        <v>0.91813431391523126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0</v>
      </c>
      <c r="E367" s="8">
        <v>20</v>
      </c>
      <c r="F367" s="8">
        <v>140</v>
      </c>
      <c r="G367" s="28">
        <v>800</v>
      </c>
      <c r="H367" s="1">
        <f>SUM(C367:G367)</f>
        <v>960</v>
      </c>
      <c r="I367" s="10">
        <f>G367/H367</f>
        <v>0.83333333333333337</v>
      </c>
      <c r="J367" s="11">
        <f>1-I367</f>
        <v>0.16666666666666663</v>
      </c>
      <c r="K367">
        <f>H367-G368</f>
        <v>-120</v>
      </c>
      <c r="N367" s="10">
        <f>2*(G369*I367)/(G369+I367)</f>
        <v>0.78431372549019607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259</v>
      </c>
      <c r="D368" s="1">
        <f>SUM(D363:D367)</f>
        <v>421</v>
      </c>
      <c r="E368" s="1">
        <f>SUM(E363:E367)</f>
        <v>7236</v>
      </c>
      <c r="F368" s="1">
        <f>SUM(F363:F367)</f>
        <v>2564</v>
      </c>
      <c r="G368" s="1">
        <f>SUM(G363:G367)</f>
        <v>1080</v>
      </c>
      <c r="H368" s="1">
        <f>SUM(H362:H367)</f>
        <v>11560</v>
      </c>
      <c r="I368" s="13" t="s">
        <v>12</v>
      </c>
      <c r="N368" s="16" t="s">
        <v>36</v>
      </c>
      <c r="O368" s="1">
        <f>SUM(O363:O367)</f>
        <v>0</v>
      </c>
      <c r="P368" s="1">
        <f>SUM(P363:P367)</f>
        <v>0</v>
      </c>
    </row>
    <row r="369" spans="1:40" x14ac:dyDescent="0.3">
      <c r="A369" s="1" t="s">
        <v>57</v>
      </c>
      <c r="B369" s="1" t="s">
        <v>2</v>
      </c>
      <c r="C369" s="10">
        <f>C363/C368</f>
        <v>1</v>
      </c>
      <c r="D369" s="10">
        <f>D364/D368</f>
        <v>0.8004750593824228</v>
      </c>
      <c r="E369" s="10">
        <f>E365/E368</f>
        <v>0.99087893864013266</v>
      </c>
      <c r="F369" s="10">
        <f>F366/F368</f>
        <v>0.9251170046801872</v>
      </c>
      <c r="G369" s="10">
        <f>G367/G368</f>
        <v>0.7407407407407407</v>
      </c>
      <c r="H369" s="10"/>
      <c r="I369" s="14">
        <f>(C363+D364+E365+F366+G367)/H368</f>
        <v>0.94619377162629759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0.1995249406175772</v>
      </c>
      <c r="E370" s="11">
        <f>1-E369</f>
        <v>9.121061359867344E-3</v>
      </c>
      <c r="F370" s="11">
        <f>1-F369</f>
        <v>7.4882995319812795E-2</v>
      </c>
      <c r="G370" s="11">
        <f>1-G369</f>
        <v>0.2592592592592593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1.1540302213293026</v>
      </c>
      <c r="D374" s="31">
        <f>(D363/$L374)*$O374</f>
        <v>0</v>
      </c>
      <c r="E374" s="31">
        <f>(E363/$L374)*$O374</f>
        <v>0</v>
      </c>
      <c r="F374" s="31">
        <f>(F363/$L374)*$O374</f>
        <v>0</v>
      </c>
      <c r="G374" s="32">
        <f>(G363/$L374)*$O374</f>
        <v>0</v>
      </c>
      <c r="H374" s="17">
        <f>SUM(C374:G374)</f>
        <v>1.1540302213293026</v>
      </c>
      <c r="I374" s="17">
        <f>C374/H374*100</f>
        <v>100</v>
      </c>
      <c r="J374" s="17">
        <f>SQRT(I374*(100-I374)/(L374-1))</f>
        <v>0</v>
      </c>
      <c r="K374" s="18">
        <f>100-I374</f>
        <v>0</v>
      </c>
      <c r="L374" s="1">
        <f>H363</f>
        <v>259</v>
      </c>
      <c r="M374">
        <v>0</v>
      </c>
      <c r="N374" s="1">
        <v>2289.37</v>
      </c>
      <c r="O374" s="17">
        <f>N374/N379*100</f>
        <v>1.1540302213293026</v>
      </c>
      <c r="P374" s="52">
        <f>((O374*O374*(I374/100)*(K374/100))/(L374-1))</f>
        <v>0</v>
      </c>
    </row>
    <row r="375" spans="1:40" x14ac:dyDescent="0.3">
      <c r="A375" t="s">
        <v>4</v>
      </c>
      <c r="B375" s="13">
        <v>1</v>
      </c>
      <c r="C375" s="33">
        <f t="shared" ref="C375:G378" si="57">(C364/$L375)*$O375</f>
        <v>0</v>
      </c>
      <c r="D375" s="34">
        <f t="shared" si="57"/>
        <v>5.8969846521919767</v>
      </c>
      <c r="E375" s="19">
        <f t="shared" si="57"/>
        <v>3.4996941556035471E-2</v>
      </c>
      <c r="F375" s="18">
        <f t="shared" si="57"/>
        <v>0</v>
      </c>
      <c r="G375" s="20">
        <f t="shared" si="57"/>
        <v>0</v>
      </c>
      <c r="H375" s="17">
        <f>SUM(C375:G375)</f>
        <v>5.931981593748012</v>
      </c>
      <c r="I375" s="17">
        <f>D375/H375*100</f>
        <v>99.410029498525077</v>
      </c>
      <c r="J375" s="17">
        <f>SQRT(I375*(100-I375)/(L375-1))</f>
        <v>0.41655456661415408</v>
      </c>
      <c r="K375" s="18">
        <f>100-I375</f>
        <v>0.58997050147492303</v>
      </c>
      <c r="L375" s="1">
        <f>H364</f>
        <v>339</v>
      </c>
      <c r="M375">
        <v>1</v>
      </c>
      <c r="N375" s="1">
        <v>11767.89</v>
      </c>
      <c r="O375" s="17">
        <f>N375/N379*100</f>
        <v>5.931981593748012</v>
      </c>
      <c r="P375" s="52">
        <f>((O375*O375*(I375/100)*(K375/100))/(L375-1))</f>
        <v>6.1058114564970314E-4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57"/>
        <v>0</v>
      </c>
      <c r="D376" s="19">
        <f t="shared" si="57"/>
        <v>0.68646789825133847</v>
      </c>
      <c r="E376" s="34">
        <f t="shared" si="57"/>
        <v>58.594938457882108</v>
      </c>
      <c r="F376" s="19">
        <f t="shared" si="57"/>
        <v>0.42495631796511429</v>
      </c>
      <c r="G376" s="20">
        <f t="shared" si="57"/>
        <v>0.760018030206839</v>
      </c>
      <c r="H376" s="17">
        <f>SUM(C376:G376)</f>
        <v>60.466380704305394</v>
      </c>
      <c r="I376" s="17">
        <f>E376/H376*100</f>
        <v>96.904987160427098</v>
      </c>
      <c r="J376" s="17">
        <f>SQRT(I376*(100-I376)/(L376-1))</f>
        <v>0.20134791102974822</v>
      </c>
      <c r="K376" s="18">
        <f>100-I376</f>
        <v>3.0950128395729024</v>
      </c>
      <c r="L376" s="1">
        <f>H365</f>
        <v>7399</v>
      </c>
      <c r="M376">
        <v>2</v>
      </c>
      <c r="N376" s="1">
        <v>119953.46</v>
      </c>
      <c r="O376" s="17">
        <f>N376/N379*100</f>
        <v>60.466380704305401</v>
      </c>
      <c r="P376" s="52">
        <f>((O376*O376*(I376/100)*(K376/100))/(L376-1))</f>
        <v>1.4822525446965801E-2</v>
      </c>
    </row>
    <row r="377" spans="1:40" x14ac:dyDescent="0.3">
      <c r="A377" t="s">
        <v>6</v>
      </c>
      <c r="B377" s="13">
        <v>3</v>
      </c>
      <c r="C377" s="33">
        <f t="shared" si="57"/>
        <v>0</v>
      </c>
      <c r="D377" s="19">
        <f t="shared" si="57"/>
        <v>0</v>
      </c>
      <c r="E377" s="19">
        <f t="shared" si="57"/>
        <v>0.36667732243610907</v>
      </c>
      <c r="F377" s="34">
        <f t="shared" si="57"/>
        <v>19.767241109510245</v>
      </c>
      <c r="G377" s="20">
        <f t="shared" si="57"/>
        <v>1.5583786203534638</v>
      </c>
      <c r="H377" s="17">
        <f>SUM(C377:G377)</f>
        <v>21.692297052299818</v>
      </c>
      <c r="I377" s="17">
        <f>F377/H377*100</f>
        <v>91.125624279677297</v>
      </c>
      <c r="J377" s="17">
        <f>SQRT(I377*(100-I377)/(L377-1))</f>
        <v>0.55748799293116635</v>
      </c>
      <c r="K377" s="18">
        <f>100-I377</f>
        <v>8.8743757203227034</v>
      </c>
      <c r="L377" s="1">
        <f>H366</f>
        <v>2603</v>
      </c>
      <c r="M377">
        <v>3</v>
      </c>
      <c r="N377" s="1">
        <v>43033.27</v>
      </c>
      <c r="O377" s="17">
        <f>N377/N379*100</f>
        <v>21.692297052299818</v>
      </c>
      <c r="P377" s="52">
        <f>((O377*O377*(I377/100)*(K377/100))/(L377-1))</f>
        <v>1.4624536883327072E-2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57"/>
        <v>0</v>
      </c>
      <c r="D378" s="36">
        <f t="shared" si="57"/>
        <v>0</v>
      </c>
      <c r="E378" s="21">
        <f t="shared" si="57"/>
        <v>0.22406896725661402</v>
      </c>
      <c r="F378" s="21">
        <f t="shared" si="57"/>
        <v>1.5684827707962983</v>
      </c>
      <c r="G378" s="37">
        <f t="shared" si="57"/>
        <v>8.9627586902645611</v>
      </c>
      <c r="H378" s="17">
        <f>SUM(C378:G378)</f>
        <v>10.755310428317474</v>
      </c>
      <c r="I378" s="17">
        <f>G378/H378*100</f>
        <v>83.333333333333329</v>
      </c>
      <c r="J378" s="17">
        <f>SQRT(I378*(100-I378)/(L378-1))</f>
        <v>1.2034400157986838</v>
      </c>
      <c r="K378" s="18">
        <f>100-I378</f>
        <v>16.666666666666671</v>
      </c>
      <c r="L378" s="1">
        <f>H367</f>
        <v>960</v>
      </c>
      <c r="M378">
        <v>4</v>
      </c>
      <c r="N378" s="1">
        <v>21336.43</v>
      </c>
      <c r="O378" s="17">
        <f>N378/N379*100</f>
        <v>10.755310428317474</v>
      </c>
      <c r="P378" s="52">
        <f>((O378*O378*(I378/100)*(K378/100))/(L378-1))</f>
        <v>1.6753085159523031E-2</v>
      </c>
    </row>
    <row r="379" spans="1:40" x14ac:dyDescent="0.3">
      <c r="B379" t="s">
        <v>28</v>
      </c>
      <c r="C379" s="17">
        <f t="shared" ref="C379:H379" si="58">SUM(C374:C378)</f>
        <v>1.1540302213293026</v>
      </c>
      <c r="D379" s="17">
        <f t="shared" si="58"/>
        <v>6.5834525504433152</v>
      </c>
      <c r="E379" s="17">
        <f t="shared" si="58"/>
        <v>59.22068168913087</v>
      </c>
      <c r="F379" s="17">
        <f t="shared" si="58"/>
        <v>21.760680198271658</v>
      </c>
      <c r="G379" s="17">
        <f t="shared" si="58"/>
        <v>11.281155340824863</v>
      </c>
      <c r="H379" s="18">
        <f t="shared" si="58"/>
        <v>100</v>
      </c>
      <c r="I379" s="13" t="s">
        <v>24</v>
      </c>
      <c r="J379" s="12" t="s">
        <v>29</v>
      </c>
      <c r="N379" s="1">
        <f>SUM(N374:N378)</f>
        <v>198380.41999999998</v>
      </c>
      <c r="O379" s="17">
        <f>SUM(O374:O378)</f>
        <v>100.00000000000001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0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7.8454246907828151E-2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0.14453867561343731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0.18187118228300397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0.18687562753062001</v>
      </c>
      <c r="H380" s="1"/>
      <c r="I380" s="14">
        <f>(C374+D375+E376+F377+G378)/H379</f>
        <v>0.94375953131178192</v>
      </c>
      <c r="J380" s="53">
        <f>SQRT(SUM(P374:P378))/100</f>
        <v>2.1635787167437566E-3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89.57282834513461</v>
      </c>
      <c r="E381" s="17">
        <f>E376/E379*100</f>
        <v>98.943370435123498</v>
      </c>
      <c r="F381" s="17">
        <f>F377/F379*100</f>
        <v>90.839261132472586</v>
      </c>
      <c r="G381" s="17">
        <f>G378/G379*100</f>
        <v>79.448943122249531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1.0862857648997051</v>
      </c>
      <c r="E382" s="18">
        <f>SQRT((E385+E386)/(E379*E379))</f>
        <v>0.13203703607116551</v>
      </c>
      <c r="F382" s="18">
        <f>SQRT((F385+F386)/(F379*F379))</f>
        <v>0.76230899912743111</v>
      </c>
      <c r="G382" s="18">
        <f>SQRT((G385+G386)/(G379*G379))</f>
        <v>2.542060623420102</v>
      </c>
      <c r="H382" s="1"/>
    </row>
    <row r="383" spans="1:40" x14ac:dyDescent="0.3">
      <c r="B383" s="1" t="s">
        <v>37</v>
      </c>
      <c r="C383" s="18">
        <f>100-C381</f>
        <v>0</v>
      </c>
      <c r="D383" s="18">
        <f>100-D381</f>
        <v>10.42717165486539</v>
      </c>
      <c r="E383" s="18">
        <f>100-E381</f>
        <v>1.0566295648765021</v>
      </c>
      <c r="F383" s="18">
        <f>100-F381</f>
        <v>9.1607388675274137</v>
      </c>
      <c r="G383" s="18">
        <f>100-G381</f>
        <v>20.551056877750469</v>
      </c>
      <c r="AM383" s="78"/>
      <c r="AN383" s="78"/>
    </row>
    <row r="384" spans="1:40" ht="15.6" x14ac:dyDescent="0.35">
      <c r="B384" s="1" t="s">
        <v>25</v>
      </c>
      <c r="C384" s="1">
        <f>C368</f>
        <v>259</v>
      </c>
      <c r="D384" s="1">
        <f>D368</f>
        <v>421</v>
      </c>
      <c r="E384" s="1">
        <f>E368</f>
        <v>7236</v>
      </c>
      <c r="F384" s="1">
        <f>F368</f>
        <v>2564</v>
      </c>
      <c r="G384" s="1">
        <f>G368</f>
        <v>1080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6.6385989908079885</v>
      </c>
      <c r="E385" s="18">
        <f>(O376*O376*(100-E381)*(100-E381)*(I376)*(100-I376))/((L376-1)*100)</f>
        <v>1.654884624960629</v>
      </c>
      <c r="F385" s="18">
        <f>(O377*O377*(100-F381)*(100-F381)*(I377)*(100-I377))/((L377-1)*100)</f>
        <v>122.72785084094394</v>
      </c>
      <c r="G385" s="18">
        <f>(O378*O378*(100-G381)*(100-G381)*(I378)*(100-I378))/((L378-1)*100)</f>
        <v>707.55974793700386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44.505507580657735</v>
      </c>
      <c r="E386" s="18">
        <f>E381*E381*(SUM((H374*E374*(1-E363/H363))/(H363-1),(H375*E375*(1-E364/H364))/(H364-1), (H377*E377*(1-E366/H366))/(H366-1),(H378*E378*(1-E367/H367))/(H367-1)))</f>
        <v>59.486932000167137</v>
      </c>
      <c r="F386" s="18">
        <f>F381*F381*(SUM((H374*F374*(1-F363/H363))/(H363-1),(H375*F375*(1-F364/H364))/(H364-1), (H376*F376*(1-F365/H365))/(H365-1),(H378*F378*(1-F367/H367))/(H367-1)))</f>
        <v>152.44591435771562</v>
      </c>
      <c r="G386" s="18">
        <f>G381*G381*(SUM((H374*G374*(1-G363/H363))/(H363-1),(H375*G375*(1-G364/H364))/(H364-1), (H376*G376*(1-G365/H365))/(H365-1),(H377*G377*(1-G366/H366))/(H366-1)))</f>
        <v>114.83242038359857</v>
      </c>
    </row>
    <row r="387" spans="1:40" x14ac:dyDescent="0.3">
      <c r="A387" s="105" t="s">
        <v>390</v>
      </c>
      <c r="B387" s="69" t="s">
        <v>9</v>
      </c>
      <c r="C387" s="1">
        <v>290.89</v>
      </c>
      <c r="D387" s="1">
        <v>2287.09</v>
      </c>
      <c r="E387" s="1">
        <v>16341.97</v>
      </c>
      <c r="F387">
        <v>2037.61</v>
      </c>
      <c r="G387">
        <v>1187.3900000000001</v>
      </c>
      <c r="I387" t="s">
        <v>36</v>
      </c>
      <c r="J387" s="57">
        <f>SUM(C387:G387)</f>
        <v>22144.95</v>
      </c>
      <c r="AM387" s="78"/>
      <c r="AN387" s="78"/>
    </row>
    <row r="388" spans="1:40" x14ac:dyDescent="0.3">
      <c r="B388" t="s">
        <v>391</v>
      </c>
      <c r="C388" s="57">
        <f>(C387/$J387)*100</f>
        <v>1.3135726203942659</v>
      </c>
      <c r="D388" s="57">
        <f>(D387/$J387)*100</f>
        <v>10.327817403064806</v>
      </c>
      <c r="E388" s="57">
        <f>(E387/$J387)*100</f>
        <v>73.795470299097531</v>
      </c>
      <c r="F388" s="57">
        <f>(F387/$J387)*100</f>
        <v>9.201240011831139</v>
      </c>
      <c r="G388" s="57">
        <f>(G387/$J387)*100</f>
        <v>5.3618996656122508</v>
      </c>
    </row>
    <row r="389" spans="1:40" x14ac:dyDescent="0.3">
      <c r="A389" s="361" t="s">
        <v>397</v>
      </c>
      <c r="B389" s="361"/>
      <c r="C389" s="361"/>
      <c r="D389" s="361"/>
      <c r="E389" s="361"/>
      <c r="F389" s="361"/>
      <c r="G389" s="361"/>
      <c r="H389" s="361"/>
      <c r="I389" s="361"/>
      <c r="J389" s="361"/>
      <c r="K389" s="361"/>
      <c r="L389" s="361" t="s">
        <v>91</v>
      </c>
      <c r="M389" s="361"/>
      <c r="N389" s="361"/>
      <c r="O389" s="361"/>
      <c r="P389" s="361"/>
      <c r="AM389" s="78"/>
      <c r="AN389" s="78"/>
    </row>
    <row r="390" spans="1:40" x14ac:dyDescent="0.3">
      <c r="A390" t="s">
        <v>15</v>
      </c>
      <c r="B390" t="s">
        <v>21</v>
      </c>
      <c r="I390" s="1" t="s">
        <v>58</v>
      </c>
      <c r="O390" s="360" t="s">
        <v>411</v>
      </c>
      <c r="P390" s="360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56</v>
      </c>
      <c r="O391" s="13" t="s">
        <v>412</v>
      </c>
      <c r="P391" s="13" t="s">
        <v>41</v>
      </c>
      <c r="AM391" s="78"/>
      <c r="AN391" s="78"/>
    </row>
    <row r="392" spans="1:40" x14ac:dyDescent="0.3">
      <c r="A392" t="s">
        <v>3</v>
      </c>
      <c r="B392" s="13">
        <v>0</v>
      </c>
      <c r="C392" s="26">
        <v>259</v>
      </c>
      <c r="D392" s="3">
        <v>0</v>
      </c>
      <c r="E392" s="3">
        <v>0</v>
      </c>
      <c r="F392" s="3">
        <v>0</v>
      </c>
      <c r="G392" s="4">
        <v>0</v>
      </c>
      <c r="H392" s="1">
        <f>SUM(C392:G392)</f>
        <v>259</v>
      </c>
      <c r="I392" s="10">
        <f>C392/H392</f>
        <v>1</v>
      </c>
      <c r="J392" s="11">
        <f>1-I392</f>
        <v>0</v>
      </c>
      <c r="K392">
        <f>H392-C397</f>
        <v>0</v>
      </c>
      <c r="N392" s="10">
        <f>2*(C398*I392)/(C398+I392)</f>
        <v>1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337</v>
      </c>
      <c r="E393" s="1">
        <v>2</v>
      </c>
      <c r="F393" s="1">
        <v>0</v>
      </c>
      <c r="G393" s="6">
        <v>0</v>
      </c>
      <c r="H393" s="1">
        <f>SUM(C393:G393)</f>
        <v>339</v>
      </c>
      <c r="I393" s="10">
        <f>D393/H393</f>
        <v>0.99410029498525077</v>
      </c>
      <c r="J393" s="11">
        <f>1-I393</f>
        <v>5.8997050147492347E-3</v>
      </c>
      <c r="K393">
        <f>H393-D397</f>
        <v>-80</v>
      </c>
      <c r="N393" s="10">
        <f>2*(D398*I393)/(D398+I393)</f>
        <v>0.8891820580474934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82</v>
      </c>
      <c r="E394" s="27">
        <v>7169</v>
      </c>
      <c r="F394" s="1">
        <v>55</v>
      </c>
      <c r="G394" s="6">
        <v>93</v>
      </c>
      <c r="H394" s="1">
        <f>SUM(C394:G394)</f>
        <v>7399</v>
      </c>
      <c r="I394" s="10">
        <f>E394/H394</f>
        <v>0.96891471820516284</v>
      </c>
      <c r="J394" s="11">
        <f>1-I394</f>
        <v>3.1085281794837161E-2</v>
      </c>
      <c r="K394">
        <f>H394-E397</f>
        <v>158</v>
      </c>
      <c r="N394" s="10">
        <f>2*(E398*I394)/(E398+I394)</f>
        <v>0.97937158469945362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0</v>
      </c>
      <c r="E395" s="1">
        <v>44</v>
      </c>
      <c r="F395" s="27">
        <v>2376</v>
      </c>
      <c r="G395" s="6">
        <v>183</v>
      </c>
      <c r="H395" s="1">
        <f>SUM(C395:G395)</f>
        <v>2603</v>
      </c>
      <c r="I395" s="10">
        <f>F395/H395</f>
        <v>0.91279293123319249</v>
      </c>
      <c r="J395" s="11">
        <f>1-I395</f>
        <v>8.7207068766807505E-2</v>
      </c>
      <c r="K395">
        <f>H395-F397</f>
        <v>36</v>
      </c>
      <c r="N395" s="10">
        <f>2*(F398*I395)/(F398+I395)</f>
        <v>0.91914893617021287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0</v>
      </c>
      <c r="E396" s="8">
        <v>26</v>
      </c>
      <c r="F396" s="8">
        <v>136</v>
      </c>
      <c r="G396" s="28">
        <v>798</v>
      </c>
      <c r="H396" s="1">
        <f>SUM(C396:G396)</f>
        <v>960</v>
      </c>
      <c r="I396" s="10">
        <f>G396/H396</f>
        <v>0.83125000000000004</v>
      </c>
      <c r="J396" s="11">
        <f>1-I396</f>
        <v>0.16874999999999996</v>
      </c>
      <c r="K396">
        <f>H396-G397</f>
        <v>-114</v>
      </c>
      <c r="N396" s="10">
        <f>2*(G398*I396)/(G398+I396)</f>
        <v>0.78466076696165188</v>
      </c>
      <c r="O396" s="1"/>
      <c r="P396" s="1"/>
    </row>
    <row r="397" spans="1:40" ht="15.6" x14ac:dyDescent="0.35">
      <c r="B397" s="1" t="s">
        <v>19</v>
      </c>
      <c r="C397" s="1">
        <f>SUM(C392:C396)</f>
        <v>259</v>
      </c>
      <c r="D397" s="1">
        <f>SUM(D392:D396)</f>
        <v>419</v>
      </c>
      <c r="E397" s="1">
        <f>SUM(E392:E396)</f>
        <v>7241</v>
      </c>
      <c r="F397" s="1">
        <f>SUM(F392:F396)</f>
        <v>2567</v>
      </c>
      <c r="G397" s="1">
        <f>SUM(G392:G396)</f>
        <v>1074</v>
      </c>
      <c r="H397" s="1">
        <f>SUM(H391:H396)</f>
        <v>11560</v>
      </c>
      <c r="I397" s="13" t="s">
        <v>12</v>
      </c>
      <c r="N397" s="16" t="s">
        <v>36</v>
      </c>
      <c r="O397" s="1">
        <f>SUM(O392:O396)</f>
        <v>0</v>
      </c>
      <c r="P397" s="1">
        <f>SUM(P392:P396)</f>
        <v>0</v>
      </c>
      <c r="AM397" s="78"/>
      <c r="AN397" s="78"/>
    </row>
    <row r="398" spans="1:40" x14ac:dyDescent="0.3">
      <c r="A398" s="1" t="s">
        <v>57</v>
      </c>
      <c r="B398" s="1" t="s">
        <v>2</v>
      </c>
      <c r="C398" s="10">
        <f>C392/C397</f>
        <v>1</v>
      </c>
      <c r="D398" s="10">
        <f>D393/D397</f>
        <v>0.80429594272076377</v>
      </c>
      <c r="E398" s="10">
        <f>E394/E397</f>
        <v>0.99005662201353406</v>
      </c>
      <c r="F398" s="10">
        <f>F395/F397</f>
        <v>0.92559407869107913</v>
      </c>
      <c r="G398" s="10">
        <f>G396/G397</f>
        <v>0.74301675977653636</v>
      </c>
      <c r="H398" s="10"/>
      <c r="I398" s="14">
        <f>(C392+D393+E394+F395+G396)/H397</f>
        <v>0.94628027681660898</v>
      </c>
    </row>
    <row r="399" spans="1:40" x14ac:dyDescent="0.3">
      <c r="B399" s="1" t="s">
        <v>14</v>
      </c>
      <c r="C399" s="11">
        <f>1-C398</f>
        <v>0</v>
      </c>
      <c r="D399" s="11">
        <f>1-D398</f>
        <v>0.19570405727923623</v>
      </c>
      <c r="E399" s="11">
        <f>1-E398</f>
        <v>9.94337798646594E-3</v>
      </c>
      <c r="F399" s="11">
        <f>1-F398</f>
        <v>7.4405921308920875E-2</v>
      </c>
      <c r="G399" s="11">
        <f>1-G398</f>
        <v>0.25698324022346364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1.164283308014133</v>
      </c>
      <c r="D403" s="31">
        <f>(D392/$L403)*$O403</f>
        <v>0</v>
      </c>
      <c r="E403" s="31">
        <f>(E392/$L403)*$O403</f>
        <v>0</v>
      </c>
      <c r="F403" s="31">
        <f>(F392/$L403)*$O403</f>
        <v>0</v>
      </c>
      <c r="G403" s="32">
        <f>(G392/$L403)*$O403</f>
        <v>0</v>
      </c>
      <c r="H403" s="17">
        <f>SUM(C403:G403)</f>
        <v>1.164283308014133</v>
      </c>
      <c r="I403" s="17">
        <f>C403/H403*100</f>
        <v>100</v>
      </c>
      <c r="J403" s="17">
        <f>SQRT(I403*(100-I403)/(L403-1))</f>
        <v>0</v>
      </c>
      <c r="K403" s="18">
        <f>100-I403</f>
        <v>0</v>
      </c>
      <c r="L403" s="1">
        <f>H392</f>
        <v>259</v>
      </c>
      <c r="M403">
        <v>0</v>
      </c>
      <c r="N403" s="1">
        <v>2309.71</v>
      </c>
      <c r="O403" s="17">
        <f>N403/N408*100</f>
        <v>1.164283308014133</v>
      </c>
      <c r="P403" s="52">
        <f>((O403*O403*(I403/100)*(K403/100))/(L403-1))</f>
        <v>0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59">(C393/$L404)*$O404</f>
        <v>0</v>
      </c>
      <c r="D404" s="34">
        <f t="shared" si="59"/>
        <v>6.1231199998386812</v>
      </c>
      <c r="E404" s="19">
        <f t="shared" si="59"/>
        <v>3.6338991096965464E-2</v>
      </c>
      <c r="F404" s="18">
        <f t="shared" si="59"/>
        <v>0</v>
      </c>
      <c r="G404" s="20">
        <f t="shared" si="59"/>
        <v>0</v>
      </c>
      <c r="H404" s="17">
        <f>SUM(C404:G404)</f>
        <v>6.1594589909356463</v>
      </c>
      <c r="I404" s="17">
        <f>D404/H404*100</f>
        <v>99.410029498525077</v>
      </c>
      <c r="J404" s="17">
        <f>SQRT(I404*(100-I404)/(L404-1))</f>
        <v>0.41655456661415408</v>
      </c>
      <c r="K404" s="18">
        <f>100-I404</f>
        <v>0.58997050147492303</v>
      </c>
      <c r="L404" s="1">
        <f>H393</f>
        <v>339</v>
      </c>
      <c r="M404">
        <v>1</v>
      </c>
      <c r="N404" s="1">
        <v>12219.16</v>
      </c>
      <c r="O404" s="17">
        <f>N404/N408*100</f>
        <v>6.1594589909356463</v>
      </c>
      <c r="P404" s="52">
        <f>((O404*O404*(I404/100)*(K404/100))/(L404-1))</f>
        <v>6.5830770165617696E-4</v>
      </c>
    </row>
    <row r="405" spans="1:40" x14ac:dyDescent="0.3">
      <c r="A405" t="s">
        <v>5</v>
      </c>
      <c r="B405" s="13">
        <v>2</v>
      </c>
      <c r="C405" s="33">
        <f t="shared" si="59"/>
        <v>0</v>
      </c>
      <c r="D405" s="19">
        <f t="shared" si="59"/>
        <v>0.66801594027552591</v>
      </c>
      <c r="E405" s="34">
        <f t="shared" si="59"/>
        <v>58.402515558966414</v>
      </c>
      <c r="F405" s="19">
        <f t="shared" si="59"/>
        <v>0.44805947213602348</v>
      </c>
      <c r="G405" s="20">
        <f t="shared" si="59"/>
        <v>0.75762783470273065</v>
      </c>
      <c r="H405" s="17">
        <f>SUM(C405:G405)</f>
        <v>60.276218806080692</v>
      </c>
      <c r="I405" s="17">
        <f>E405/H405*100</f>
        <v>96.891471820516287</v>
      </c>
      <c r="J405" s="17">
        <f>SQRT(I405*(100-I405)/(L405-1))</f>
        <v>0.20177298428307988</v>
      </c>
      <c r="K405" s="18">
        <f>100-I405</f>
        <v>3.108528179483713</v>
      </c>
      <c r="L405" s="1">
        <f>H394</f>
        <v>7399</v>
      </c>
      <c r="M405">
        <v>2</v>
      </c>
      <c r="N405" s="1">
        <v>119576.21</v>
      </c>
      <c r="O405" s="17">
        <f>N405/N408*100</f>
        <v>60.276218806080692</v>
      </c>
      <c r="P405" s="52">
        <f>((O405*O405*(I405/100)*(K405/100))/(L405-1))</f>
        <v>1.4791698167407082E-2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59"/>
        <v>0</v>
      </c>
      <c r="D406" s="19">
        <f t="shared" si="59"/>
        <v>0</v>
      </c>
      <c r="E406" s="19">
        <f t="shared" si="59"/>
        <v>0.36899269445537408</v>
      </c>
      <c r="F406" s="34">
        <f t="shared" si="59"/>
        <v>19.925605500590205</v>
      </c>
      <c r="G406" s="20">
        <f t="shared" si="59"/>
        <v>1.5346741610303061</v>
      </c>
      <c r="H406" s="17">
        <f>SUM(C406:G406)</f>
        <v>21.829272356075887</v>
      </c>
      <c r="I406" s="17">
        <f>F406/H406*100</f>
        <v>91.279293123319235</v>
      </c>
      <c r="J406" s="17">
        <f>SQRT(I406*(100-I406)/(L406-1))</f>
        <v>0.5531059527269635</v>
      </c>
      <c r="K406" s="18">
        <f>100-I406</f>
        <v>8.7207068766807652</v>
      </c>
      <c r="L406" s="1">
        <f>H395</f>
        <v>2603</v>
      </c>
      <c r="M406">
        <v>3</v>
      </c>
      <c r="N406" s="1">
        <v>43305</v>
      </c>
      <c r="O406" s="17">
        <f>N406/N408*100</f>
        <v>21.829272356075883</v>
      </c>
      <c r="P406" s="52">
        <f>((O406*O406*(I406/100)*(K406/100))/(L406-1))</f>
        <v>1.4577907289376161E-2</v>
      </c>
    </row>
    <row r="407" spans="1:40" x14ac:dyDescent="0.3">
      <c r="A407" t="s">
        <v>7</v>
      </c>
      <c r="B407" s="13">
        <v>4</v>
      </c>
      <c r="C407" s="35">
        <f t="shared" si="59"/>
        <v>0</v>
      </c>
      <c r="D407" s="36">
        <f t="shared" si="59"/>
        <v>0</v>
      </c>
      <c r="E407" s="21">
        <f t="shared" si="59"/>
        <v>0.28629159376170255</v>
      </c>
      <c r="F407" s="21">
        <f t="shared" si="59"/>
        <v>1.497525259676598</v>
      </c>
      <c r="G407" s="37">
        <f t="shared" si="59"/>
        <v>8.7869496854553333</v>
      </c>
      <c r="H407" s="17">
        <f>SUM(C407:G407)</f>
        <v>10.570766538893634</v>
      </c>
      <c r="I407" s="17">
        <f>G407/H407*100</f>
        <v>83.125</v>
      </c>
      <c r="J407" s="17">
        <f>SQRT(I407*(100-I407)/(L407-1))</f>
        <v>1.2094235370501119</v>
      </c>
      <c r="K407" s="18">
        <f>100-I407</f>
        <v>16.875</v>
      </c>
      <c r="L407" s="1">
        <f>H396</f>
        <v>960</v>
      </c>
      <c r="M407">
        <v>4</v>
      </c>
      <c r="N407" s="1">
        <v>20970.330000000002</v>
      </c>
      <c r="O407" s="17">
        <f>N407/N408*100</f>
        <v>10.570766538893633</v>
      </c>
      <c r="P407" s="52">
        <f>((O407*O407*(I407/100)*(K407/100))/(L407-1))</f>
        <v>1.6344430593565794E-2</v>
      </c>
      <c r="AM407" s="78"/>
      <c r="AN407" s="78"/>
    </row>
    <row r="408" spans="1:40" x14ac:dyDescent="0.3">
      <c r="B408" t="s">
        <v>28</v>
      </c>
      <c r="C408" s="17">
        <f t="shared" ref="C408:H408" si="60">SUM(C403:C407)</f>
        <v>1.164283308014133</v>
      </c>
      <c r="D408" s="17">
        <f t="shared" si="60"/>
        <v>6.7911359401142075</v>
      </c>
      <c r="E408" s="17">
        <f t="shared" si="60"/>
        <v>59.094138838280458</v>
      </c>
      <c r="F408" s="17">
        <f t="shared" si="60"/>
        <v>21.871190232402824</v>
      </c>
      <c r="G408" s="17">
        <f t="shared" si="60"/>
        <v>11.079251681188371</v>
      </c>
      <c r="H408" s="18">
        <f t="shared" si="60"/>
        <v>100</v>
      </c>
      <c r="I408" s="13" t="s">
        <v>24</v>
      </c>
      <c r="J408" s="12" t="s">
        <v>29</v>
      </c>
      <c r="N408" s="1">
        <f>SUM(N403:N407)</f>
        <v>198380.41000000003</v>
      </c>
      <c r="O408" s="17">
        <f>SUM(O403:O407)</f>
        <v>99.999999999999986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0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7.7705019354566668E-2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0.14681704127407477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0.17985787831642591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0.18543769444446032</v>
      </c>
      <c r="H409" s="1"/>
      <c r="I409" s="56">
        <f>(C403+D404+E405+F406+G407)/H408</f>
        <v>0.9440247405286476</v>
      </c>
      <c r="J409" s="53">
        <f>SQRT(SUM(P403:P407))/100</f>
        <v>2.1534238726271522E-3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90.163413806375786</v>
      </c>
      <c r="E410" s="17">
        <f>E405/E408*100</f>
        <v>98.829624573755495</v>
      </c>
      <c r="F410" s="17">
        <f>F406/F408*100</f>
        <v>91.104349095138971</v>
      </c>
      <c r="G410" s="17">
        <f>G407/G408*100</f>
        <v>79.309956469125325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1.0425296709813059</v>
      </c>
      <c r="E411" s="18">
        <f>SQRT((E414+E415)/(E408*E408))</f>
        <v>0.13971675894587079</v>
      </c>
      <c r="F411" s="18">
        <f>SQRT((F414+F415)/(F408*F408))</f>
        <v>0.74153360700971727</v>
      </c>
      <c r="G411" s="18">
        <f>SQRT((G414+G415)/(G408*G408))</f>
        <v>2.5740380773521481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9.836586193624214</v>
      </c>
      <c r="E412" s="18">
        <f>100-E410</f>
        <v>1.1703754262445045</v>
      </c>
      <c r="F412" s="18">
        <f>100-F410</f>
        <v>8.8956509048610286</v>
      </c>
      <c r="G412" s="18">
        <f>100-G410</f>
        <v>20.690043530874675</v>
      </c>
    </row>
    <row r="413" spans="1:40" ht="15.6" x14ac:dyDescent="0.35">
      <c r="B413" s="1" t="s">
        <v>25</v>
      </c>
      <c r="C413" s="1">
        <f>C397</f>
        <v>259</v>
      </c>
      <c r="D413" s="1">
        <f>D397</f>
        <v>419</v>
      </c>
      <c r="E413" s="1">
        <f>E397</f>
        <v>7241</v>
      </c>
      <c r="F413" s="1">
        <f>F397</f>
        <v>2567</v>
      </c>
      <c r="G413" s="1">
        <f>G397</f>
        <v>1074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6.3696818316073447</v>
      </c>
      <c r="E414" s="18">
        <f>(O405*O405*(100-E410)*(100-E410)*(I405)*(100-I405))/((L405-1)*100)</f>
        <v>2.0261352174738687</v>
      </c>
      <c r="F414" s="18">
        <f>(O406*O406*(100-F410)*(100-F410)*(I406)*(100-I406))/((L406-1)*100)</f>
        <v>115.35877795652179</v>
      </c>
      <c r="G414" s="18">
        <f>(O407*O407*(100-G410)*(100-G410)*(I407)*(100-I407))/((L407-1)*100)</f>
        <v>699.66895465922494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43.756161926005859</v>
      </c>
      <c r="E415" s="18">
        <f>E410*E410*(SUM((H403*E403*(1-E392/H392))/(H392-1),(H404*E404*(1-E393/H393))/(H393-1), (H406*E406*(1-E395/H395))/(H395-1),(H407*E407*(1-E396/H396))/(H396-1)))</f>
        <v>66.142691870608331</v>
      </c>
      <c r="F415" s="18">
        <f>F410*F410*(SUM((H403*F403*(1-F392/H392))/(H392-1),(H404*F404*(1-F393/H393))/(H393-1), (H405*F405*(1-F394/H394))/(H394-1),(H407*F407*(1-F396/H396))/(H396-1)))</f>
        <v>147.67196578318729</v>
      </c>
      <c r="G415" s="18">
        <f>G410*G410*(SUM((H403*G403*(1-G392/H392))/(H392-1),(H404*G404*(1-G393/H393))/(H393-1), (H405*G405*(1-G394/H394))/(H394-1),(H406*G406*(1-G395/H395))/(H395-1)))</f>
        <v>113.63107914759219</v>
      </c>
      <c r="AM415" s="78"/>
      <c r="AN415" s="78"/>
    </row>
    <row r="416" spans="1:40" x14ac:dyDescent="0.3">
      <c r="A416" s="105" t="s">
        <v>390</v>
      </c>
      <c r="B416" s="69" t="s">
        <v>9</v>
      </c>
      <c r="C416" s="1">
        <v>291.7</v>
      </c>
      <c r="D416" s="1">
        <v>2376.13</v>
      </c>
      <c r="E416" s="1">
        <v>16267.87</v>
      </c>
      <c r="F416">
        <v>2082.35</v>
      </c>
      <c r="G416">
        <v>1126.8900000000001</v>
      </c>
      <c r="I416" t="s">
        <v>36</v>
      </c>
      <c r="J416" s="57">
        <f>SUM(C416:G416)</f>
        <v>22144.94</v>
      </c>
    </row>
    <row r="417" spans="1:40" x14ac:dyDescent="0.3">
      <c r="B417" t="s">
        <v>391</v>
      </c>
      <c r="C417" s="57">
        <f>(C416/$J416)*100</f>
        <v>1.3172309340192387</v>
      </c>
      <c r="D417" s="57">
        <f>(D416/$J416)*100</f>
        <v>10.729900374532512</v>
      </c>
      <c r="E417" s="57">
        <f>(E416/$J416)*100</f>
        <v>73.460889936933683</v>
      </c>
      <c r="F417" s="57">
        <f>(F416/$J416)*100</f>
        <v>9.4032767756426523</v>
      </c>
      <c r="G417" s="57">
        <f>(G416/$J416)*100</f>
        <v>5.0887019788719234</v>
      </c>
      <c r="AM417" s="78"/>
      <c r="AN417" s="78"/>
    </row>
    <row r="418" spans="1:40" x14ac:dyDescent="0.3">
      <c r="A418" s="361" t="s">
        <v>397</v>
      </c>
      <c r="B418" s="361"/>
      <c r="C418" s="361"/>
      <c r="D418" s="361"/>
      <c r="E418" s="361"/>
      <c r="F418" s="361"/>
      <c r="G418" s="361"/>
      <c r="H418" s="361"/>
      <c r="I418" s="361"/>
      <c r="J418" s="361"/>
      <c r="K418" s="361"/>
      <c r="L418" s="361" t="s">
        <v>92</v>
      </c>
      <c r="M418" s="361"/>
      <c r="N418" s="361"/>
      <c r="O418" s="361"/>
      <c r="P418" s="361"/>
    </row>
    <row r="419" spans="1:40" x14ac:dyDescent="0.3">
      <c r="A419" t="s">
        <v>15</v>
      </c>
      <c r="B419" t="s">
        <v>21</v>
      </c>
      <c r="I419" s="1" t="s">
        <v>58</v>
      </c>
      <c r="O419" s="360" t="s">
        <v>411</v>
      </c>
      <c r="P419" s="360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56</v>
      </c>
      <c r="O420" s="13" t="s">
        <v>412</v>
      </c>
      <c r="P420" s="13" t="s">
        <v>41</v>
      </c>
    </row>
    <row r="421" spans="1:40" x14ac:dyDescent="0.3">
      <c r="A421" t="s">
        <v>3</v>
      </c>
      <c r="B421" s="13">
        <v>0</v>
      </c>
      <c r="C421" s="26">
        <v>259</v>
      </c>
      <c r="D421" s="3">
        <v>0</v>
      </c>
      <c r="E421" s="3">
        <v>0</v>
      </c>
      <c r="F421" s="3">
        <v>0</v>
      </c>
      <c r="G421" s="4">
        <v>0</v>
      </c>
      <c r="H421" s="1">
        <f>SUM(C421:G421)</f>
        <v>259</v>
      </c>
      <c r="I421" s="10">
        <f>C421/H421</f>
        <v>1</v>
      </c>
      <c r="J421" s="11">
        <f>1-I421</f>
        <v>0</v>
      </c>
      <c r="K421">
        <f>H421-C426</f>
        <v>0</v>
      </c>
      <c r="N421" s="10">
        <f>2*(C427*I421)/(C427+I421)</f>
        <v>1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337</v>
      </c>
      <c r="E422" s="1">
        <v>2</v>
      </c>
      <c r="F422" s="1">
        <v>0</v>
      </c>
      <c r="G422" s="6">
        <v>0</v>
      </c>
      <c r="H422" s="1">
        <f>SUM(C422:G422)</f>
        <v>339</v>
      </c>
      <c r="I422" s="10">
        <f>D422/H422</f>
        <v>0.99410029498525077</v>
      </c>
      <c r="J422" s="11">
        <f>1-I422</f>
        <v>5.8997050147492347E-3</v>
      </c>
      <c r="K422">
        <f>H422-D426</f>
        <v>-83</v>
      </c>
      <c r="N422" s="10">
        <f>2*(D427*I422)/(D427+I422)</f>
        <v>0.88567674113009198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85</v>
      </c>
      <c r="E423" s="27">
        <v>7162</v>
      </c>
      <c r="F423" s="1">
        <v>58</v>
      </c>
      <c r="G423" s="6">
        <v>94</v>
      </c>
      <c r="H423" s="1">
        <f>SUM(C423:G423)</f>
        <v>7399</v>
      </c>
      <c r="I423" s="10">
        <f>E423/H423</f>
        <v>0.96796864441140695</v>
      </c>
      <c r="J423" s="11">
        <f>1-I423</f>
        <v>3.2031355588593047E-2</v>
      </c>
      <c r="K423">
        <f>H423-E426</f>
        <v>180</v>
      </c>
      <c r="N423" s="10">
        <f>2*(E427*I423)/(E427+I423)</f>
        <v>0.97988780954987009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0</v>
      </c>
      <c r="E424" s="1">
        <v>37</v>
      </c>
      <c r="F424" s="27">
        <v>2351</v>
      </c>
      <c r="G424" s="6">
        <v>215</v>
      </c>
      <c r="H424" s="1">
        <f>SUM(C424:G424)</f>
        <v>2603</v>
      </c>
      <c r="I424" s="10">
        <f>F424/H424</f>
        <v>0.90318862850557047</v>
      </c>
      <c r="J424" s="11">
        <f>1-I424</f>
        <v>9.6811371494429532E-2</v>
      </c>
      <c r="K424">
        <f>H424-F426</f>
        <v>58</v>
      </c>
      <c r="N424" s="10">
        <f>2*(F427*I424)/(F427+I424)</f>
        <v>0.91336441336441332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0</v>
      </c>
      <c r="E425" s="8">
        <v>18</v>
      </c>
      <c r="F425" s="8">
        <v>136</v>
      </c>
      <c r="G425" s="28">
        <v>806</v>
      </c>
      <c r="H425" s="1">
        <f>SUM(C425:G425)</f>
        <v>960</v>
      </c>
      <c r="I425" s="10">
        <f>G425/H425</f>
        <v>0.83958333333333335</v>
      </c>
      <c r="J425" s="11">
        <f>1-I425</f>
        <v>0.16041666666666665</v>
      </c>
      <c r="K425">
        <f>H425-G426</f>
        <v>-155</v>
      </c>
      <c r="N425" s="10">
        <f>2*(G427*I425)/(G427+I425)</f>
        <v>0.77686746987951816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259</v>
      </c>
      <c r="D426" s="1">
        <f>SUM(D421:D425)</f>
        <v>422</v>
      </c>
      <c r="E426" s="1">
        <f>SUM(E421:E425)</f>
        <v>7219</v>
      </c>
      <c r="F426" s="1">
        <f>SUM(F421:F425)</f>
        <v>2545</v>
      </c>
      <c r="G426" s="1">
        <f>SUM(G421:G425)</f>
        <v>1115</v>
      </c>
      <c r="H426" s="1">
        <f>SUM(H420:H425)</f>
        <v>11560</v>
      </c>
      <c r="I426" s="13" t="s">
        <v>12</v>
      </c>
      <c r="N426" s="16" t="s">
        <v>36</v>
      </c>
      <c r="O426" s="1">
        <f>SUM(O421:O425)</f>
        <v>0</v>
      </c>
      <c r="P426" s="1">
        <f>SUM(P421:P425)</f>
        <v>0</v>
      </c>
    </row>
    <row r="427" spans="1:40" x14ac:dyDescent="0.3">
      <c r="A427" s="1" t="s">
        <v>57</v>
      </c>
      <c r="B427" s="1" t="s">
        <v>2</v>
      </c>
      <c r="C427" s="10">
        <f>C421/C426</f>
        <v>1</v>
      </c>
      <c r="D427" s="10">
        <f>D422/D426</f>
        <v>0.79857819905213268</v>
      </c>
      <c r="E427" s="10">
        <f>E423/E426</f>
        <v>0.99210416955256964</v>
      </c>
      <c r="F427" s="10">
        <f>F424/F426</f>
        <v>0.92377210216110017</v>
      </c>
      <c r="G427" s="10">
        <f>G425/G426</f>
        <v>0.72286995515695063</v>
      </c>
      <c r="H427" s="10"/>
      <c r="I427" s="14">
        <f>(C421+D422+E423+F424+G425)/H426</f>
        <v>0.9442041522491349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0.20142180094786732</v>
      </c>
      <c r="E428" s="11">
        <f>1-E427</f>
        <v>7.8958304474303631E-3</v>
      </c>
      <c r="F428" s="11">
        <f>1-F427</f>
        <v>7.6227897838899827E-2</v>
      </c>
      <c r="G428" s="11">
        <f>1-G427</f>
        <v>0.27713004484304937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1.1778128103569898</v>
      </c>
      <c r="D432" s="31">
        <f>(D421/$L432)*$O432</f>
        <v>0</v>
      </c>
      <c r="E432" s="31">
        <f>(E421/$L432)*$O432</f>
        <v>0</v>
      </c>
      <c r="F432" s="31">
        <f>(F421/$L432)*$O432</f>
        <v>0</v>
      </c>
      <c r="G432" s="32">
        <f>(G421/$L432)*$O432</f>
        <v>0</v>
      </c>
      <c r="H432" s="17">
        <f>SUM(C432:G432)</f>
        <v>1.1778128103569898</v>
      </c>
      <c r="I432" s="17">
        <f>C432/H432*100</f>
        <v>100</v>
      </c>
      <c r="J432" s="17">
        <f>SQRT(I432*(100-I432)/(L432-1))</f>
        <v>0</v>
      </c>
      <c r="K432" s="18">
        <f>100-I432</f>
        <v>0</v>
      </c>
      <c r="L432" s="1">
        <f>H421</f>
        <v>259</v>
      </c>
      <c r="M432">
        <v>0</v>
      </c>
      <c r="N432" s="1">
        <v>2336.5500000000002</v>
      </c>
      <c r="O432" s="17">
        <f>N432/N437*100</f>
        <v>1.1778128103569898</v>
      </c>
      <c r="P432" s="52">
        <f>((O432*O432*(I432/100)*(K432/100))/(L432-1))</f>
        <v>0</v>
      </c>
    </row>
    <row r="433" spans="1:40" x14ac:dyDescent="0.3">
      <c r="A433" t="s">
        <v>4</v>
      </c>
      <c r="B433" s="13">
        <v>1</v>
      </c>
      <c r="C433" s="33">
        <f t="shared" ref="C433:G436" si="61">(C422/$L433)*$O433</f>
        <v>0</v>
      </c>
      <c r="D433" s="34">
        <f t="shared" si="61"/>
        <v>5.9347932561139958</v>
      </c>
      <c r="E433" s="19">
        <f t="shared" si="61"/>
        <v>3.5221324962100863E-2</v>
      </c>
      <c r="F433" s="18">
        <f t="shared" si="61"/>
        <v>0</v>
      </c>
      <c r="G433" s="20">
        <f t="shared" si="61"/>
        <v>0</v>
      </c>
      <c r="H433" s="17">
        <f>SUM(C433:G433)</f>
        <v>5.9700145810760965</v>
      </c>
      <c r="I433" s="17">
        <f>D433/H433*100</f>
        <v>99.410029498525077</v>
      </c>
      <c r="J433" s="17">
        <f>SQRT(I433*(100-I433)/(L433-1))</f>
        <v>0.41655456661415408</v>
      </c>
      <c r="K433" s="18">
        <f>100-I433</f>
        <v>0.58997050147492303</v>
      </c>
      <c r="L433" s="1">
        <f>H422</f>
        <v>339</v>
      </c>
      <c r="M433">
        <v>1</v>
      </c>
      <c r="N433" s="1">
        <v>11843.34</v>
      </c>
      <c r="O433" s="17">
        <f>N433/N437*100</f>
        <v>5.9700145810760965</v>
      </c>
      <c r="P433" s="52">
        <f>((O433*O433*(I433/100)*(K433/100))/(L433-1))</f>
        <v>6.1843574513749877E-4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61"/>
        <v>0</v>
      </c>
      <c r="D434" s="19">
        <f t="shared" si="61"/>
        <v>0.69236986532748879</v>
      </c>
      <c r="E434" s="34">
        <f t="shared" si="61"/>
        <v>58.338270299711468</v>
      </c>
      <c r="F434" s="19">
        <f t="shared" si="61"/>
        <v>0.47244061398816889</v>
      </c>
      <c r="G434" s="20">
        <f t="shared" si="61"/>
        <v>0.76567961577392885</v>
      </c>
      <c r="H434" s="17">
        <f>SUM(C434:G434)</f>
        <v>60.268760394801049</v>
      </c>
      <c r="I434" s="17">
        <f>E434/H434*100</f>
        <v>96.796864441140713</v>
      </c>
      <c r="J434" s="17">
        <f>SQRT(I434*(100-I434)/(L434-1))</f>
        <v>0.20472040899897007</v>
      </c>
      <c r="K434" s="18">
        <f>100-I434</f>
        <v>3.2031355588592874</v>
      </c>
      <c r="L434" s="1">
        <f>H423</f>
        <v>7399</v>
      </c>
      <c r="M434">
        <v>2</v>
      </c>
      <c r="N434" s="1">
        <v>119561.42</v>
      </c>
      <c r="O434" s="17">
        <f>N434/N437*100</f>
        <v>60.268760394801056</v>
      </c>
      <c r="P434" s="52">
        <f>((O434*O434*(I434/100)*(K434/100))/(L434-1))</f>
        <v>1.5223229653724168E-2</v>
      </c>
    </row>
    <row r="435" spans="1:40" x14ac:dyDescent="0.3">
      <c r="A435" t="s">
        <v>6</v>
      </c>
      <c r="B435" s="13">
        <v>3</v>
      </c>
      <c r="C435" s="33">
        <f t="shared" si="61"/>
        <v>0</v>
      </c>
      <c r="D435" s="19">
        <f t="shared" si="61"/>
        <v>0</v>
      </c>
      <c r="E435" s="19">
        <f t="shared" si="61"/>
        <v>0.30639328587001557</v>
      </c>
      <c r="F435" s="34">
        <f t="shared" si="61"/>
        <v>19.46839500217315</v>
      </c>
      <c r="G435" s="20">
        <f t="shared" si="61"/>
        <v>1.7803934178933338</v>
      </c>
      <c r="H435" s="17">
        <f>SUM(C435:G435)</f>
        <v>21.555181705936498</v>
      </c>
      <c r="I435" s="17">
        <f>F435/H435*100</f>
        <v>90.318862850557053</v>
      </c>
      <c r="J435" s="17">
        <f>SQRT(I435*(100-I435)/(L435-1))</f>
        <v>0.57969395382980282</v>
      </c>
      <c r="K435" s="18">
        <f>100-I435</f>
        <v>9.6811371494429466</v>
      </c>
      <c r="L435" s="1">
        <f>H424</f>
        <v>2603</v>
      </c>
      <c r="M435">
        <v>3</v>
      </c>
      <c r="N435" s="1">
        <v>42761.26</v>
      </c>
      <c r="O435" s="17">
        <f>N435/N437*100</f>
        <v>21.555181705936501</v>
      </c>
      <c r="P435" s="52">
        <f>((O435*O435*(I435/100)*(K435/100))/(L435-1))</f>
        <v>1.5613523379764705E-2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61"/>
        <v>0</v>
      </c>
      <c r="D436" s="36">
        <f t="shared" si="61"/>
        <v>0</v>
      </c>
      <c r="E436" s="21">
        <f t="shared" si="61"/>
        <v>0.2067793220218003</v>
      </c>
      <c r="F436" s="21">
        <f t="shared" si="61"/>
        <v>1.5623326552758243</v>
      </c>
      <c r="G436" s="37">
        <f t="shared" si="61"/>
        <v>9.2591185305317243</v>
      </c>
      <c r="H436" s="17">
        <f>SUM(C436:G436)</f>
        <v>11.028230507829349</v>
      </c>
      <c r="I436" s="17">
        <f>G436/H436*100</f>
        <v>83.958333333333329</v>
      </c>
      <c r="J436" s="17">
        <f>SQRT(I436*(100-I436)/(L436-1))</f>
        <v>1.1850791155605922</v>
      </c>
      <c r="K436" s="18">
        <f>100-I436</f>
        <v>16.041666666666671</v>
      </c>
      <c r="L436" s="1">
        <f>H425</f>
        <v>960</v>
      </c>
      <c r="M436">
        <v>4</v>
      </c>
      <c r="N436" s="1">
        <v>21877.85</v>
      </c>
      <c r="O436" s="17">
        <f>N436/N437*100</f>
        <v>11.028230507829349</v>
      </c>
      <c r="P436" s="52">
        <f>((O436*O436*(I436/100)*(K436/100))/(L436-1))</f>
        <v>1.7080727311347299E-2</v>
      </c>
    </row>
    <row r="437" spans="1:40" x14ac:dyDescent="0.3">
      <c r="B437" t="s">
        <v>28</v>
      </c>
      <c r="C437" s="17">
        <f t="shared" ref="C437:H437" si="62">SUM(C432:C436)</f>
        <v>1.1778128103569898</v>
      </c>
      <c r="D437" s="17">
        <f t="shared" si="62"/>
        <v>6.6271631214414848</v>
      </c>
      <c r="E437" s="17">
        <f t="shared" si="62"/>
        <v>58.886664232565387</v>
      </c>
      <c r="F437" s="17">
        <f t="shared" si="62"/>
        <v>21.503168271437143</v>
      </c>
      <c r="G437" s="17">
        <f t="shared" si="62"/>
        <v>11.805191564198987</v>
      </c>
      <c r="H437" s="18">
        <f t="shared" si="62"/>
        <v>99.999999999999986</v>
      </c>
      <c r="I437" s="13" t="s">
        <v>24</v>
      </c>
      <c r="J437" s="12" t="s">
        <v>29</v>
      </c>
      <c r="N437" s="1">
        <f>SUM(N432:N436)</f>
        <v>198380.42</v>
      </c>
      <c r="O437" s="17">
        <f>SUM(O432:O436)</f>
        <v>100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0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7.868634033813432E-2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0.14377002005009853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0.18662990576534724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0.19169265480181599</v>
      </c>
      <c r="H438" s="1"/>
      <c r="I438" s="56">
        <f>(C432+D433+E434+F435+G436)/H437</f>
        <v>0.94178389898887349</v>
      </c>
      <c r="J438" s="53">
        <f>SQRT(SUM(P432:P436))/100</f>
        <v>2.2030868364631855E-3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89.552545295174639</v>
      </c>
      <c r="E439" s="17">
        <f>E434/E437*100</f>
        <v>99.06872983891887</v>
      </c>
      <c r="F439" s="17">
        <f>F435/F437*100</f>
        <v>90.537332714980408</v>
      </c>
      <c r="G439" s="17">
        <f>G436/G437*100</f>
        <v>78.432598744194792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1.0825036890773572</v>
      </c>
      <c r="E440" s="18">
        <f>SQRT((E443+E444)/(E437*E437))</f>
        <v>0.12576583633015925</v>
      </c>
      <c r="F440" s="18">
        <f>SQRT((F443+F444)/(F437*F437))</f>
        <v>0.80214379009140002</v>
      </c>
      <c r="G440" s="18">
        <f>SQRT((G443+G444)/(G437*G437))</f>
        <v>2.5632349854991849</v>
      </c>
      <c r="H440" s="1"/>
    </row>
    <row r="441" spans="1:40" x14ac:dyDescent="0.3">
      <c r="B441" s="1" t="s">
        <v>37</v>
      </c>
      <c r="C441" s="18">
        <f>100-C439</f>
        <v>0</v>
      </c>
      <c r="D441" s="18">
        <f>100-D439</f>
        <v>10.447454704825361</v>
      </c>
      <c r="E441" s="18">
        <f>100-E439</f>
        <v>0.93127016108113025</v>
      </c>
      <c r="F441" s="18">
        <f>100-F439</f>
        <v>9.4626672850195916</v>
      </c>
      <c r="G441" s="18">
        <f>100-G439</f>
        <v>21.567401255805208</v>
      </c>
      <c r="AM441" s="78"/>
      <c r="AN441" s="78"/>
    </row>
    <row r="442" spans="1:40" ht="15.6" x14ac:dyDescent="0.35">
      <c r="B442" s="1" t="s">
        <v>25</v>
      </c>
      <c r="C442" s="1">
        <f>C426</f>
        <v>259</v>
      </c>
      <c r="D442" s="1">
        <f>D426</f>
        <v>422</v>
      </c>
      <c r="E442" s="1">
        <f>E426</f>
        <v>7219</v>
      </c>
      <c r="F442" s="1">
        <f>F426</f>
        <v>2545</v>
      </c>
      <c r="G442" s="1">
        <f>G426</f>
        <v>1115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6.7501834743206137</v>
      </c>
      <c r="E443" s="18">
        <f>(O434*O434*(100-E439)*(100-E439)*(I434)*(100-I434))/((L434-1)*100)</f>
        <v>1.3202560761415658</v>
      </c>
      <c r="F443" s="18">
        <f>(O435*O435*(100-F439)*(100-F439)*(I435)*(100-I435))/((L435-1)*100)</f>
        <v>139.80672369394512</v>
      </c>
      <c r="G443" s="18">
        <f>(O436*O436*(100-G439)*(100-G439)*(I436)*(100-I436))/((L436-1)*100)</f>
        <v>794.51480824531848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44.715067037300336</v>
      </c>
      <c r="E444" s="18">
        <f>E439*E439*(SUM((H432*E432*(1-E421/H421))/(H421-1),(H433*E433*(1-E422/H422))/(H422-1), (H435*E435*(1-E424/H424))/(H424-1),(H436*E436*(1-E425/H425))/(H425-1)))</f>
        <v>53.527551618936506</v>
      </c>
      <c r="F444" s="18">
        <f>F439*F439*(SUM((H432*F432*(1-F421/H421))/(H421-1),(H433*F433*(1-F422/H422))/(H422-1), (H434*F434*(1-F423/H423))/(H423-1),(H436*F436*(1-F425/H425))/(H425-1)))</f>
        <v>157.70861309474626</v>
      </c>
      <c r="G444" s="18">
        <f>G439*G439*(SUM((H432*G432*(1-G421/H421))/(H421-1),(H433*G433*(1-G422/H422))/(H422-1), (H434*G434*(1-G423/H423))/(H423-1),(H435*G435*(1-G424/H424))/(H424-1)))</f>
        <v>121.12132331202872</v>
      </c>
    </row>
    <row r="445" spans="1:40" x14ac:dyDescent="0.3">
      <c r="A445" s="105" t="s">
        <v>390</v>
      </c>
      <c r="B445" s="69" t="s">
        <v>9</v>
      </c>
      <c r="C445" s="1">
        <v>291.16000000000003</v>
      </c>
      <c r="D445" s="1">
        <v>2348.85</v>
      </c>
      <c r="E445" s="1">
        <v>16254.1</v>
      </c>
      <c r="F445">
        <v>2028.6</v>
      </c>
      <c r="G445">
        <v>1222.23</v>
      </c>
      <c r="I445" t="s">
        <v>36</v>
      </c>
      <c r="J445" s="57">
        <f>SUM(C445:G445)</f>
        <v>22144.94</v>
      </c>
      <c r="AM445" s="78"/>
      <c r="AN445" s="78"/>
    </row>
    <row r="446" spans="1:40" x14ac:dyDescent="0.3">
      <c r="B446" t="s">
        <v>391</v>
      </c>
      <c r="C446" s="57">
        <f>(C445/$J445)*100</f>
        <v>1.3147924537162894</v>
      </c>
      <c r="D446" s="57">
        <f>(D445/$J445)*100</f>
        <v>10.606711962190911</v>
      </c>
      <c r="E446" s="57">
        <f>(E445/$J445)*100</f>
        <v>73.398708689208476</v>
      </c>
      <c r="F446" s="57">
        <f>(F445/$J445)*100</f>
        <v>9.1605576714138763</v>
      </c>
      <c r="G446" s="57">
        <f>(G445/$J445)*100</f>
        <v>5.5192292234704636</v>
      </c>
    </row>
    <row r="447" spans="1:40" x14ac:dyDescent="0.3">
      <c r="A447" s="361" t="s">
        <v>397</v>
      </c>
      <c r="B447" s="361"/>
      <c r="C447" s="361"/>
      <c r="D447" s="361"/>
      <c r="E447" s="361"/>
      <c r="F447" s="361"/>
      <c r="G447" s="361"/>
      <c r="H447" s="361"/>
      <c r="I447" s="361"/>
      <c r="J447" s="361"/>
      <c r="K447" s="361"/>
      <c r="L447" s="361" t="s">
        <v>93</v>
      </c>
      <c r="M447" s="361"/>
      <c r="N447" s="361"/>
      <c r="O447" s="361"/>
      <c r="P447" s="361"/>
      <c r="AM447" s="78"/>
      <c r="AN447" s="78"/>
    </row>
    <row r="448" spans="1:40" x14ac:dyDescent="0.3">
      <c r="A448" t="s">
        <v>15</v>
      </c>
      <c r="B448" t="s">
        <v>21</v>
      </c>
      <c r="I448" s="1" t="s">
        <v>58</v>
      </c>
      <c r="O448" s="360" t="s">
        <v>411</v>
      </c>
      <c r="P448" s="360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56</v>
      </c>
      <c r="O449" s="13" t="s">
        <v>412</v>
      </c>
      <c r="P449" s="13" t="s">
        <v>41</v>
      </c>
      <c r="AM449" s="78"/>
      <c r="AN449" s="78"/>
    </row>
    <row r="450" spans="1:40" x14ac:dyDescent="0.3">
      <c r="A450" t="s">
        <v>3</v>
      </c>
      <c r="B450" s="13">
        <v>0</v>
      </c>
      <c r="C450" s="26">
        <v>259</v>
      </c>
      <c r="D450" s="3">
        <v>0</v>
      </c>
      <c r="E450" s="3">
        <v>0</v>
      </c>
      <c r="F450" s="3">
        <v>0</v>
      </c>
      <c r="G450" s="4">
        <v>0</v>
      </c>
      <c r="H450" s="1">
        <f>SUM(C450:G450)</f>
        <v>259</v>
      </c>
      <c r="I450" s="10">
        <f>C450/H450</f>
        <v>1</v>
      </c>
      <c r="J450" s="11">
        <f>1-I450</f>
        <v>0</v>
      </c>
      <c r="K450">
        <f>H450-C455</f>
        <v>0</v>
      </c>
      <c r="N450" s="10">
        <f>2*(C456*I450)/(C456+I450)</f>
        <v>1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335</v>
      </c>
      <c r="E451" s="1">
        <v>4</v>
      </c>
      <c r="F451" s="1">
        <v>0</v>
      </c>
      <c r="G451" s="6">
        <v>0</v>
      </c>
      <c r="H451" s="1">
        <f>SUM(C451:G451)</f>
        <v>339</v>
      </c>
      <c r="I451" s="10">
        <f>D451/H451</f>
        <v>0.98820058997050142</v>
      </c>
      <c r="J451" s="11">
        <f>1-I451</f>
        <v>1.179941002949858E-2</v>
      </c>
      <c r="K451">
        <f>H451-D455</f>
        <v>-85</v>
      </c>
      <c r="N451" s="10">
        <f>2*(D456*I451)/(D456+I451)</f>
        <v>0.8781127129750983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89</v>
      </c>
      <c r="E452" s="27">
        <v>7173</v>
      </c>
      <c r="F452" s="1">
        <v>48</v>
      </c>
      <c r="G452" s="6">
        <v>89</v>
      </c>
      <c r="H452" s="1">
        <f>SUM(C452:G452)</f>
        <v>7399</v>
      </c>
      <c r="I452" s="10">
        <f>E452/H452</f>
        <v>0.96945533180159482</v>
      </c>
      <c r="J452" s="11">
        <f>1-I452</f>
        <v>3.0544668198405178E-2</v>
      </c>
      <c r="K452">
        <f>H452-E455</f>
        <v>154</v>
      </c>
      <c r="N452" s="10">
        <f>2*(E456*I452)/(E456+I452)</f>
        <v>0.97965036875170719</v>
      </c>
      <c r="O452" s="1"/>
      <c r="P452" s="1"/>
    </row>
    <row r="453" spans="1:40" x14ac:dyDescent="0.3">
      <c r="A453" t="s">
        <v>6</v>
      </c>
      <c r="B453" s="13">
        <v>3</v>
      </c>
      <c r="C453" s="5">
        <v>0</v>
      </c>
      <c r="D453" s="1">
        <v>0</v>
      </c>
      <c r="E453" s="1">
        <v>45</v>
      </c>
      <c r="F453" s="27">
        <v>2353</v>
      </c>
      <c r="G453" s="6">
        <v>205</v>
      </c>
      <c r="H453" s="1">
        <f>SUM(C453:G453)</f>
        <v>2603</v>
      </c>
      <c r="I453" s="10">
        <f>F453/H453</f>
        <v>0.90395697272378028</v>
      </c>
      <c r="J453" s="11">
        <f>1-I453</f>
        <v>9.6043027276219717E-2</v>
      </c>
      <c r="K453">
        <f>H453-F455</f>
        <v>48</v>
      </c>
      <c r="N453" s="10">
        <f>2*(F456*I453)/(F456+I453)</f>
        <v>0.91236913532376884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0</v>
      </c>
      <c r="E454" s="8">
        <v>23</v>
      </c>
      <c r="F454" s="8">
        <v>154</v>
      </c>
      <c r="G454" s="28">
        <v>783</v>
      </c>
      <c r="H454" s="1">
        <f>SUM(C454:G454)</f>
        <v>960</v>
      </c>
      <c r="I454" s="10">
        <f>G454/H454</f>
        <v>0.81562500000000004</v>
      </c>
      <c r="J454" s="11">
        <f>1-I454</f>
        <v>0.18437499999999996</v>
      </c>
      <c r="K454">
        <f>H454-G455</f>
        <v>-117</v>
      </c>
      <c r="N454" s="10">
        <f>2*(G456*I454)/(G456+I454)</f>
        <v>0.76877761413843904</v>
      </c>
      <c r="O454" s="1"/>
      <c r="P454" s="1"/>
    </row>
    <row r="455" spans="1:40" ht="15.6" x14ac:dyDescent="0.35">
      <c r="B455" s="1" t="s">
        <v>19</v>
      </c>
      <c r="C455" s="1">
        <f>SUM(C450:C454)</f>
        <v>259</v>
      </c>
      <c r="D455" s="1">
        <f>SUM(D450:D454)</f>
        <v>424</v>
      </c>
      <c r="E455" s="1">
        <f>SUM(E450:E454)</f>
        <v>7245</v>
      </c>
      <c r="F455" s="1">
        <f>SUM(F450:F454)</f>
        <v>2555</v>
      </c>
      <c r="G455" s="1">
        <f>SUM(G450:G454)</f>
        <v>1077</v>
      </c>
      <c r="H455" s="1">
        <f>SUM(H449:H454)</f>
        <v>11560</v>
      </c>
      <c r="I455" s="13" t="s">
        <v>12</v>
      </c>
      <c r="N455" s="16" t="s">
        <v>36</v>
      </c>
      <c r="O455" s="1">
        <f>SUM(O450:O454)</f>
        <v>0</v>
      </c>
      <c r="P455" s="1">
        <f>SUM(P450:P454)</f>
        <v>0</v>
      </c>
      <c r="AM455" s="78"/>
      <c r="AN455" s="78"/>
    </row>
    <row r="456" spans="1:40" x14ac:dyDescent="0.3">
      <c r="A456" s="1" t="s">
        <v>57</v>
      </c>
      <c r="B456" s="1" t="s">
        <v>2</v>
      </c>
      <c r="C456" s="10">
        <f>C450/C455</f>
        <v>1</v>
      </c>
      <c r="D456" s="10">
        <f>D451/D455</f>
        <v>0.79009433962264153</v>
      </c>
      <c r="E456" s="10">
        <f>E452/E455</f>
        <v>0.99006211180124226</v>
      </c>
      <c r="F456" s="10">
        <f>F453/F455</f>
        <v>0.92093933463796473</v>
      </c>
      <c r="G456" s="10">
        <f>G454/G455</f>
        <v>0.72701949860724235</v>
      </c>
      <c r="H456" s="10"/>
      <c r="I456" s="14">
        <f>(C450+D451+E452+F453+G454)/H455</f>
        <v>0.94316608996539797</v>
      </c>
    </row>
    <row r="457" spans="1:40" x14ac:dyDescent="0.3">
      <c r="B457" s="1" t="s">
        <v>14</v>
      </c>
      <c r="C457" s="11">
        <f>1-C456</f>
        <v>0</v>
      </c>
      <c r="D457" s="11">
        <f>1-D456</f>
        <v>0.20990566037735847</v>
      </c>
      <c r="E457" s="11">
        <f>1-E456</f>
        <v>9.9378881987577383E-3</v>
      </c>
      <c r="F457" s="11">
        <f>1-F456</f>
        <v>7.9060665362035265E-2</v>
      </c>
      <c r="G457" s="11">
        <f>1-G456</f>
        <v>0.27298050139275765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1.1494884424581822</v>
      </c>
      <c r="D461" s="31">
        <f>(D450/$L461)*$O461</f>
        <v>0</v>
      </c>
      <c r="E461" s="31">
        <f>(E450/$L461)*$O461</f>
        <v>0</v>
      </c>
      <c r="F461" s="31">
        <f>(F450/$L461)*$O461</f>
        <v>0</v>
      </c>
      <c r="G461" s="32">
        <f>(G450/$L461)*$O461</f>
        <v>0</v>
      </c>
      <c r="H461" s="17">
        <f>SUM(C461:G461)</f>
        <v>1.1494884424581822</v>
      </c>
      <c r="I461" s="17">
        <f>C461/H461*100</f>
        <v>100</v>
      </c>
      <c r="J461" s="17">
        <f>SQRT(I461*(100-I461)/(L461-1))</f>
        <v>0</v>
      </c>
      <c r="K461" s="18">
        <f>100-I461</f>
        <v>0</v>
      </c>
      <c r="L461" s="1">
        <f>H450</f>
        <v>259</v>
      </c>
      <c r="M461">
        <v>0</v>
      </c>
      <c r="N461" s="1">
        <v>2280.36</v>
      </c>
      <c r="O461" s="17">
        <f>N461/N466*100</f>
        <v>1.1494884424581822</v>
      </c>
      <c r="P461" s="52">
        <f>((O461*O461*(I461/100)*(K461/100))/(L461-1))</f>
        <v>0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63">(C451/$L462)*$O462</f>
        <v>0</v>
      </c>
      <c r="D462" s="34">
        <f t="shared" si="63"/>
        <v>6.0598266638515259</v>
      </c>
      <c r="E462" s="19">
        <f t="shared" si="63"/>
        <v>7.2356139269868974E-2</v>
      </c>
      <c r="F462" s="18">
        <f t="shared" si="63"/>
        <v>0</v>
      </c>
      <c r="G462" s="20">
        <f t="shared" si="63"/>
        <v>0</v>
      </c>
      <c r="H462" s="17">
        <f>SUM(C462:G462)</f>
        <v>6.1321828031213945</v>
      </c>
      <c r="I462" s="17">
        <f>D462/H462*100</f>
        <v>98.820058997050154</v>
      </c>
      <c r="J462" s="17">
        <f>SQRT(I462*(100-I462)/(L462-1))</f>
        <v>0.58734645362127302</v>
      </c>
      <c r="K462" s="18">
        <f>100-I462</f>
        <v>1.1799410029498461</v>
      </c>
      <c r="L462" s="1">
        <f>H451</f>
        <v>339</v>
      </c>
      <c r="M462">
        <v>1</v>
      </c>
      <c r="N462" s="1">
        <v>12165.05</v>
      </c>
      <c r="O462" s="17">
        <f>N462/N466*100</f>
        <v>6.1321828031213954</v>
      </c>
      <c r="P462" s="52">
        <f>((O462*O462*(I462/100)*(K462/100))/(L462-1))</f>
        <v>1.2972356865115508E-3</v>
      </c>
    </row>
    <row r="463" spans="1:40" x14ac:dyDescent="0.3">
      <c r="A463" t="s">
        <v>5</v>
      </c>
      <c r="B463" s="13">
        <v>2</v>
      </c>
      <c r="C463" s="33">
        <f t="shared" si="63"/>
        <v>0</v>
      </c>
      <c r="D463" s="19">
        <f t="shared" si="63"/>
        <v>0.72349499569395015</v>
      </c>
      <c r="E463" s="34">
        <f t="shared" si="63"/>
        <v>58.310444990030383</v>
      </c>
      <c r="F463" s="19">
        <f t="shared" si="63"/>
        <v>0.39019954823943376</v>
      </c>
      <c r="G463" s="20">
        <f t="shared" si="63"/>
        <v>0.72349499569395015</v>
      </c>
      <c r="H463" s="17">
        <f>SUM(C463:G463)</f>
        <v>60.147634529657715</v>
      </c>
      <c r="I463" s="17">
        <f>E463/H463*100</f>
        <v>96.945533180159487</v>
      </c>
      <c r="J463" s="17">
        <f>SQRT(I463*(100-I463)/(L463-1))</f>
        <v>0.20006653206379527</v>
      </c>
      <c r="K463" s="18">
        <f>100-I463</f>
        <v>3.0544668198405134</v>
      </c>
      <c r="L463" s="1">
        <f>H452</f>
        <v>7399</v>
      </c>
      <c r="M463">
        <v>2</v>
      </c>
      <c r="N463" s="1">
        <v>119321.13</v>
      </c>
      <c r="O463" s="17">
        <f>N463/N466*100</f>
        <v>60.147634529657715</v>
      </c>
      <c r="P463" s="52">
        <f>((O463*O463*(I463/100)*(K463/100))/(L463-1))</f>
        <v>1.4480581182305852E-2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63"/>
        <v>0</v>
      </c>
      <c r="D464" s="19">
        <f t="shared" si="63"/>
        <v>0</v>
      </c>
      <c r="E464" s="19">
        <f t="shared" si="63"/>
        <v>0.37503285833766237</v>
      </c>
      <c r="F464" s="34">
        <f t="shared" si="63"/>
        <v>19.610051459300436</v>
      </c>
      <c r="G464" s="20">
        <f t="shared" si="63"/>
        <v>1.7084830213160174</v>
      </c>
      <c r="H464" s="17">
        <f>SUM(C464:G464)</f>
        <v>21.693567338954114</v>
      </c>
      <c r="I464" s="17">
        <f>F464/H464*100</f>
        <v>90.39569727237803</v>
      </c>
      <c r="J464" s="17">
        <f>SQRT(I464*(100-I464)/(L464-1))</f>
        <v>0.57763453929213748</v>
      </c>
      <c r="K464" s="18">
        <f>100-I464</f>
        <v>9.6043027276219703</v>
      </c>
      <c r="L464" s="1">
        <f>H453</f>
        <v>2603</v>
      </c>
      <c r="M464">
        <v>3</v>
      </c>
      <c r="N464" s="1">
        <v>43035.79</v>
      </c>
      <c r="O464" s="17">
        <f>N464/N466*100</f>
        <v>21.693567338954114</v>
      </c>
      <c r="P464" s="52">
        <f>((O464*O464*(I464/100)*(K464/100))/(L464-1))</f>
        <v>1.5702480252220697E-2</v>
      </c>
    </row>
    <row r="465" spans="1:40" x14ac:dyDescent="0.3">
      <c r="A465" t="s">
        <v>7</v>
      </c>
      <c r="B465" s="13">
        <v>4</v>
      </c>
      <c r="C465" s="35">
        <f t="shared" si="63"/>
        <v>0</v>
      </c>
      <c r="D465" s="36">
        <f t="shared" si="63"/>
        <v>0</v>
      </c>
      <c r="E465" s="21">
        <f t="shared" si="63"/>
        <v>0.26059783163916411</v>
      </c>
      <c r="F465" s="21">
        <f t="shared" si="63"/>
        <v>1.7448724379317944</v>
      </c>
      <c r="G465" s="37">
        <f t="shared" si="63"/>
        <v>8.8716566162376296</v>
      </c>
      <c r="H465" s="17">
        <f>SUM(C465:G465)</f>
        <v>10.877126885808588</v>
      </c>
      <c r="I465" s="17">
        <f>G465/H465*100</f>
        <v>81.5625</v>
      </c>
      <c r="J465" s="17">
        <f>SQRT(I465*(100-I465)/(L465-1))</f>
        <v>1.2522382853953165</v>
      </c>
      <c r="K465" s="18">
        <f>100-I465</f>
        <v>18.4375</v>
      </c>
      <c r="L465" s="1">
        <f>H454</f>
        <v>960</v>
      </c>
      <c r="M465">
        <v>4</v>
      </c>
      <c r="N465" s="1">
        <v>21578.09</v>
      </c>
      <c r="O465" s="17">
        <f>N465/N466*100</f>
        <v>10.877126885808588</v>
      </c>
      <c r="P465" s="52">
        <f>((O465*O465*(I465/100)*(K465/100))/(L465-1))</f>
        <v>1.8552495918359807E-2</v>
      </c>
      <c r="AM465" s="78"/>
      <c r="AN465" s="78"/>
    </row>
    <row r="466" spans="1:40" x14ac:dyDescent="0.3">
      <c r="B466" t="s">
        <v>28</v>
      </c>
      <c r="C466" s="17">
        <f t="shared" ref="C466:H466" si="64">SUM(C461:C465)</f>
        <v>1.1494884424581822</v>
      </c>
      <c r="D466" s="17">
        <f t="shared" si="64"/>
        <v>6.7833216595454759</v>
      </c>
      <c r="E466" s="17">
        <f t="shared" si="64"/>
        <v>59.018431819277083</v>
      </c>
      <c r="F466" s="17">
        <f t="shared" si="64"/>
        <v>21.745123445471663</v>
      </c>
      <c r="G466" s="17">
        <f t="shared" si="64"/>
        <v>11.303634633247597</v>
      </c>
      <c r="H466" s="18">
        <f t="shared" si="64"/>
        <v>100</v>
      </c>
      <c r="I466" s="13" t="s">
        <v>24</v>
      </c>
      <c r="J466" s="12" t="s">
        <v>29</v>
      </c>
      <c r="N466" s="1">
        <f>SUM(N461:N465)</f>
        <v>198380.42</v>
      </c>
      <c r="O466" s="17">
        <f>SUM(O461:O465)</f>
        <v>100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0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8.4285634918279756E-2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0.14739561869519163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0.18827220972856773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0.19354862491190436</v>
      </c>
      <c r="H467" s="1"/>
      <c r="I467" s="14">
        <f>(C461+D462+E463+F464+G465)/H466</f>
        <v>0.94001468171878155</v>
      </c>
      <c r="J467" s="53">
        <f>SQRT(SUM(P461:P465))/100</f>
        <v>2.2368011319605038E-3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100</v>
      </c>
      <c r="D468" s="17">
        <f>D462/D466*100</f>
        <v>89.334207752394448</v>
      </c>
      <c r="E468" s="17">
        <f>E463/E466*100</f>
        <v>98.800397083720128</v>
      </c>
      <c r="F468" s="17">
        <f>F464/F466*100</f>
        <v>90.181375647164487</v>
      </c>
      <c r="G468" s="17">
        <f>G465/G466*100</f>
        <v>78.484990926221698</v>
      </c>
      <c r="H468" s="1"/>
    </row>
    <row r="469" spans="1:40" x14ac:dyDescent="0.3">
      <c r="B469" s="16" t="s">
        <v>39</v>
      </c>
      <c r="C469" s="18">
        <f>SQRT((C472+C473)/(C466*C466))</f>
        <v>0</v>
      </c>
      <c r="D469" s="18">
        <f>SQRT((D472+D473)/(D466*D466))</f>
        <v>1.1526734959451734</v>
      </c>
      <c r="E469" s="18">
        <f>SQRT((E472+E473)/(E466*E466))</f>
        <v>0.14467142896201263</v>
      </c>
      <c r="F469" s="18">
        <f>SQRT((F472+F473)/(F466*F466))</f>
        <v>0.81248659801948686</v>
      </c>
      <c r="G469" s="18">
        <f>SQRT((G472+G473)/(G466*G466))</f>
        <v>2.7629750930082539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0</v>
      </c>
      <c r="D470" s="18">
        <f>100-D468</f>
        <v>10.665792247605552</v>
      </c>
      <c r="E470" s="18">
        <f>100-E468</f>
        <v>1.199602916279872</v>
      </c>
      <c r="F470" s="18">
        <f>100-F468</f>
        <v>9.8186243528355135</v>
      </c>
      <c r="G470" s="18">
        <f>100-G468</f>
        <v>21.515009073778302</v>
      </c>
    </row>
    <row r="471" spans="1:40" ht="15.6" x14ac:dyDescent="0.35">
      <c r="B471" s="1" t="s">
        <v>25</v>
      </c>
      <c r="C471" s="1">
        <f>C455</f>
        <v>259</v>
      </c>
      <c r="D471" s="1">
        <f>D455</f>
        <v>424</v>
      </c>
      <c r="E471" s="1">
        <f>E455</f>
        <v>7245</v>
      </c>
      <c r="F471" s="1">
        <f>F455</f>
        <v>2555</v>
      </c>
      <c r="G471" s="1">
        <f>G455</f>
        <v>1077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14.757239566815631</v>
      </c>
      <c r="E472" s="18">
        <f>(O463*O463*(100-E468)*(100-E468)*(I463)*(100-I463))/((L463-1)*100)</f>
        <v>2.083823917844386</v>
      </c>
      <c r="F472" s="18">
        <f>(O464*O464*(100-F468)*(100-F468)*(I464)*(100-I464))/((L464-1)*100)</f>
        <v>151.38036413270905</v>
      </c>
      <c r="G472" s="18">
        <f>(O465*O465*(100-G468)*(100-G468)*(I465)*(100-I465))/((L465-1)*100)</f>
        <v>858.78690161656107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46.37881915496628</v>
      </c>
      <c r="E473" s="18">
        <f>E468*E468*(SUM((H461*E461*(1-E450/H450))/(H450-1),(H462*E462*(1-E451/H451))/(H451-1), (H464*E464*(1-E453/H453))/(H453-1),(H465*E465*(1-E454/H454))/(H454-1)))</f>
        <v>70.818416235550131</v>
      </c>
      <c r="F473" s="18">
        <f>F468*F468*(SUM((H461*F461*(1-F450/H450))/(H450-1),(H462*F462*(1-F451/H451))/(H451-1), (H463*F463*(1-F452/H452))/(H452-1),(H465*F465*(1-F454/H454))/(H454-1)))</f>
        <v>160.76448080192688</v>
      </c>
      <c r="G473" s="18">
        <f>G468*G468*(SUM((H461*G461*(1-G450/H450))/(H450-1),(H462*G462*(1-G451/H451))/(H451-1), (H463*G463*(1-G452/H452))/(H452-1),(H464*G464*(1-G453/H453))/(H453-1)))</f>
        <v>116.62974421215337</v>
      </c>
      <c r="AM473" s="78"/>
      <c r="AN473" s="78"/>
    </row>
    <row r="474" spans="1:40" x14ac:dyDescent="0.3">
      <c r="A474" s="105" t="s">
        <v>390</v>
      </c>
      <c r="B474" s="69" t="s">
        <v>9</v>
      </c>
      <c r="C474" s="1">
        <v>290.89</v>
      </c>
      <c r="D474" s="1">
        <v>2478.13</v>
      </c>
      <c r="E474" s="1">
        <v>16103.76</v>
      </c>
      <c r="F474">
        <v>2033.11</v>
      </c>
      <c r="G474">
        <v>1239.06</v>
      </c>
      <c r="I474" t="s">
        <v>36</v>
      </c>
      <c r="J474" s="57">
        <f>SUM(C474:G474)</f>
        <v>22144.95</v>
      </c>
    </row>
    <row r="475" spans="1:40" x14ac:dyDescent="0.3">
      <c r="B475" t="s">
        <v>391</v>
      </c>
      <c r="C475" s="57">
        <f>(C474/$J474)*100</f>
        <v>1.3135726203942659</v>
      </c>
      <c r="D475" s="57">
        <f>(D474/$J474)*100</f>
        <v>11.190497156236523</v>
      </c>
      <c r="E475" s="57">
        <f>(E474/$J474)*100</f>
        <v>72.719784871945976</v>
      </c>
      <c r="F475" s="57">
        <f>(F474/$J474)*100</f>
        <v>9.180919351816101</v>
      </c>
      <c r="G475" s="57">
        <f>(G474/$J474)*100</f>
        <v>5.5952259996071332</v>
      </c>
      <c r="AM475" s="78"/>
      <c r="AN475" s="78"/>
    </row>
    <row r="476" spans="1:40" x14ac:dyDescent="0.3">
      <c r="A476" s="361" t="s">
        <v>397</v>
      </c>
      <c r="B476" s="361"/>
      <c r="C476" s="361"/>
      <c r="D476" s="361"/>
      <c r="E476" s="361"/>
      <c r="F476" s="361"/>
      <c r="G476" s="361"/>
      <c r="H476" s="361"/>
      <c r="I476" s="361"/>
      <c r="J476" s="361"/>
      <c r="K476" s="361"/>
      <c r="L476" s="361" t="s">
        <v>94</v>
      </c>
      <c r="M476" s="361"/>
      <c r="N476" s="361"/>
      <c r="O476" s="361"/>
      <c r="P476" s="361"/>
    </row>
    <row r="477" spans="1:40" x14ac:dyDescent="0.3">
      <c r="A477" t="s">
        <v>15</v>
      </c>
      <c r="B477" t="s">
        <v>21</v>
      </c>
      <c r="I477" s="1" t="s">
        <v>58</v>
      </c>
      <c r="O477" s="360" t="s">
        <v>411</v>
      </c>
      <c r="P477" s="360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56</v>
      </c>
      <c r="O478" s="13" t="s">
        <v>412</v>
      </c>
      <c r="P478" s="13" t="s">
        <v>41</v>
      </c>
    </row>
    <row r="479" spans="1:40" x14ac:dyDescent="0.3">
      <c r="A479" t="s">
        <v>3</v>
      </c>
      <c r="B479" s="13">
        <v>0</v>
      </c>
      <c r="C479" s="26">
        <v>259</v>
      </c>
      <c r="D479" s="3">
        <v>0</v>
      </c>
      <c r="E479" s="3">
        <v>0</v>
      </c>
      <c r="F479" s="3">
        <v>0</v>
      </c>
      <c r="G479" s="4">
        <v>0</v>
      </c>
      <c r="H479" s="1">
        <f>SUM(C479:G479)</f>
        <v>259</v>
      </c>
      <c r="I479" s="10">
        <f>C479/H479</f>
        <v>1</v>
      </c>
      <c r="J479" s="11">
        <f>1-I479</f>
        <v>0</v>
      </c>
      <c r="K479">
        <f>H479-C484</f>
        <v>0</v>
      </c>
      <c r="N479" s="10">
        <f>2*(C485*I479)/(C485+I479)</f>
        <v>1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337</v>
      </c>
      <c r="E480" s="1">
        <v>2</v>
      </c>
      <c r="F480" s="1">
        <v>0</v>
      </c>
      <c r="G480" s="6">
        <v>0</v>
      </c>
      <c r="H480" s="1">
        <f>SUM(C480:G480)</f>
        <v>339</v>
      </c>
      <c r="I480" s="10">
        <f>D480/H480</f>
        <v>0.99410029498525077</v>
      </c>
      <c r="J480" s="11">
        <f>1-I480</f>
        <v>5.8997050147492347E-3</v>
      </c>
      <c r="K480">
        <f>H480-D484</f>
        <v>-78</v>
      </c>
      <c r="N480" s="10">
        <f>2*(D485*I480)/(D485+I480)</f>
        <v>0.89153439153439151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80</v>
      </c>
      <c r="E481" s="27">
        <v>7170</v>
      </c>
      <c r="F481" s="1">
        <v>55</v>
      </c>
      <c r="G481" s="6">
        <v>94</v>
      </c>
      <c r="H481" s="1">
        <f>SUM(C481:G481)</f>
        <v>7399</v>
      </c>
      <c r="I481" s="10">
        <f>E481/H481</f>
        <v>0.96904987160427081</v>
      </c>
      <c r="J481" s="11">
        <f>1-I481</f>
        <v>3.0950128395729193E-2</v>
      </c>
      <c r="K481">
        <f>H481-E484</f>
        <v>175</v>
      </c>
      <c r="N481" s="10">
        <f>2*(E485*I481)/(E485+I481)</f>
        <v>0.98064692607536064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0</v>
      </c>
      <c r="E482" s="1">
        <v>38</v>
      </c>
      <c r="F482" s="27">
        <v>2387</v>
      </c>
      <c r="G482" s="6">
        <v>178</v>
      </c>
      <c r="H482" s="1">
        <f>SUM(C482:G482)</f>
        <v>2603</v>
      </c>
      <c r="I482" s="10">
        <f>F482/H482</f>
        <v>0.91701882443334615</v>
      </c>
      <c r="J482" s="11">
        <f>1-I482</f>
        <v>8.2981175566653853E-2</v>
      </c>
      <c r="K482">
        <f>H482-F484</f>
        <v>6</v>
      </c>
      <c r="N482" s="10">
        <f>2*(F485*I482)/(F485+I482)</f>
        <v>0.91807692307692301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0</v>
      </c>
      <c r="E483" s="8">
        <v>14</v>
      </c>
      <c r="F483" s="8">
        <v>155</v>
      </c>
      <c r="G483" s="28">
        <v>791</v>
      </c>
      <c r="H483" s="1">
        <f>SUM(C483:G483)</f>
        <v>960</v>
      </c>
      <c r="I483" s="10">
        <f>G483/H483</f>
        <v>0.82395833333333335</v>
      </c>
      <c r="J483" s="11">
        <f>1-I483</f>
        <v>0.17604166666666665</v>
      </c>
      <c r="K483">
        <f>H483-G484</f>
        <v>-103</v>
      </c>
      <c r="N483" s="10">
        <f>2*(G485*I483)/(G485+I483)</f>
        <v>0.7820069204152249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259</v>
      </c>
      <c r="D484" s="1">
        <f>SUM(D479:D483)</f>
        <v>417</v>
      </c>
      <c r="E484" s="1">
        <f>SUM(E479:E483)</f>
        <v>7224</v>
      </c>
      <c r="F484" s="1">
        <f>SUM(F479:F483)</f>
        <v>2597</v>
      </c>
      <c r="G484" s="1">
        <f>SUM(G479:G483)</f>
        <v>1063</v>
      </c>
      <c r="H484" s="1">
        <f>SUM(H478:H483)</f>
        <v>11560</v>
      </c>
      <c r="I484" s="13" t="s">
        <v>12</v>
      </c>
      <c r="N484" s="16" t="s">
        <v>36</v>
      </c>
      <c r="O484" s="1">
        <f>SUM(O479:O483)</f>
        <v>0</v>
      </c>
      <c r="P484" s="1">
        <f>SUM(P479:P483)</f>
        <v>0</v>
      </c>
    </row>
    <row r="485" spans="1:40" x14ac:dyDescent="0.3">
      <c r="A485" s="1" t="s">
        <v>57</v>
      </c>
      <c r="B485" s="1" t="s">
        <v>2</v>
      </c>
      <c r="C485" s="10">
        <f>C479/C484</f>
        <v>1</v>
      </c>
      <c r="D485" s="10">
        <f>D480/D484</f>
        <v>0.80815347721822539</v>
      </c>
      <c r="E485" s="10">
        <f>E481/E484</f>
        <v>0.99252491694352163</v>
      </c>
      <c r="F485" s="10">
        <f>F482/F484</f>
        <v>0.91913746630727766</v>
      </c>
      <c r="G485" s="10">
        <f>G483/G484</f>
        <v>0.74412041392285988</v>
      </c>
      <c r="H485" s="10"/>
      <c r="I485" s="14">
        <f>(C479+D480+E481+F482+G483)/H484</f>
        <v>0.94671280276816605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0.19184652278177461</v>
      </c>
      <c r="E486" s="11">
        <f>1-E485</f>
        <v>7.475083056478371E-3</v>
      </c>
      <c r="F486" s="11">
        <f>1-F485</f>
        <v>8.0862533692722338E-2</v>
      </c>
      <c r="G486" s="11">
        <f>1-G485</f>
        <v>0.25587958607714012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1.1678270046926504</v>
      </c>
      <c r="D490" s="31">
        <f>(D479/$L490)*$O490</f>
        <v>0</v>
      </c>
      <c r="E490" s="31">
        <f>(E479/$L490)*$O490</f>
        <v>0</v>
      </c>
      <c r="F490" s="31">
        <f>(F479/$L490)*$O490</f>
        <v>0</v>
      </c>
      <c r="G490" s="32">
        <f>(G479/$L490)*$O490</f>
        <v>0</v>
      </c>
      <c r="H490" s="17">
        <f>SUM(C490:G490)</f>
        <v>1.1678270046926504</v>
      </c>
      <c r="I490" s="17">
        <f>C490/H490*100</f>
        <v>100</v>
      </c>
      <c r="J490" s="17">
        <f>SQRT(I490*(100-I490)/(L490-1))</f>
        <v>0</v>
      </c>
      <c r="K490" s="18">
        <f>100-I490</f>
        <v>0</v>
      </c>
      <c r="L490" s="1">
        <f>H479</f>
        <v>259</v>
      </c>
      <c r="M490">
        <v>0</v>
      </c>
      <c r="N490" s="1">
        <v>2316.7399999999998</v>
      </c>
      <c r="O490" s="17">
        <f>N490/N495*100</f>
        <v>1.1678270046926504</v>
      </c>
      <c r="P490" s="52">
        <f>((O490*O490*(I490/100)*(K490/100))/(L490-1))</f>
        <v>0</v>
      </c>
    </row>
    <row r="491" spans="1:40" x14ac:dyDescent="0.3">
      <c r="A491" t="s">
        <v>4</v>
      </c>
      <c r="B491" s="13">
        <v>1</v>
      </c>
      <c r="C491" s="33">
        <f t="shared" ref="C491:G494" si="65">(C480/$L491)*$O491</f>
        <v>0</v>
      </c>
      <c r="D491" s="34">
        <f t="shared" si="65"/>
        <v>6.0026536136090867</v>
      </c>
      <c r="E491" s="19">
        <f t="shared" si="65"/>
        <v>3.5624057054059861E-2</v>
      </c>
      <c r="F491" s="18">
        <f t="shared" si="65"/>
        <v>0</v>
      </c>
      <c r="G491" s="20">
        <f t="shared" si="65"/>
        <v>0</v>
      </c>
      <c r="H491" s="17">
        <f>SUM(C491:G491)</f>
        <v>6.0382776706631462</v>
      </c>
      <c r="I491" s="17">
        <f>D491/H491*100</f>
        <v>99.410029498525077</v>
      </c>
      <c r="J491" s="17">
        <f>SQRT(I491*(100-I491)/(L491-1))</f>
        <v>0.41655456661415408</v>
      </c>
      <c r="K491" s="18">
        <f>100-I491</f>
        <v>0.58997050147492303</v>
      </c>
      <c r="L491" s="1">
        <f>H480</f>
        <v>339</v>
      </c>
      <c r="M491">
        <v>1</v>
      </c>
      <c r="N491" s="1">
        <v>11978.76</v>
      </c>
      <c r="O491" s="17">
        <f>N491/N495*100</f>
        <v>6.0382776706631462</v>
      </c>
      <c r="P491" s="52">
        <f>((O491*O491*(I491/100)*(K491/100))/(L491-1))</f>
        <v>6.3265939292002219E-4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65"/>
        <v>0</v>
      </c>
      <c r="D492" s="19">
        <f t="shared" si="65"/>
        <v>0.65016272820308707</v>
      </c>
      <c r="E492" s="34">
        <f t="shared" si="65"/>
        <v>58.27083451520167</v>
      </c>
      <c r="F492" s="19">
        <f t="shared" si="65"/>
        <v>0.44698687563962231</v>
      </c>
      <c r="G492" s="20">
        <f t="shared" si="65"/>
        <v>0.76394120563862733</v>
      </c>
      <c r="H492" s="17">
        <f>SUM(C492:G492)</f>
        <v>60.13192532468301</v>
      </c>
      <c r="I492" s="17">
        <f>E492/H492*100</f>
        <v>96.904987160427083</v>
      </c>
      <c r="J492" s="17">
        <f>SQRT(I492*(100-I492)/(L492-1))</f>
        <v>0.20134791102974867</v>
      </c>
      <c r="K492" s="18">
        <f>100-I492</f>
        <v>3.0950128395729166</v>
      </c>
      <c r="L492" s="1">
        <f>H481</f>
        <v>7399</v>
      </c>
      <c r="M492">
        <v>2</v>
      </c>
      <c r="N492" s="1">
        <v>119289.96</v>
      </c>
      <c r="O492" s="17">
        <f>N492/N495*100</f>
        <v>60.13192532468301</v>
      </c>
      <c r="P492" s="52">
        <f>((O492*O492*(I492/100)*(K492/100))/(L492-1))</f>
        <v>1.4659004403494153E-2</v>
      </c>
    </row>
    <row r="493" spans="1:40" x14ac:dyDescent="0.3">
      <c r="A493" t="s">
        <v>6</v>
      </c>
      <c r="B493" s="13">
        <v>3</v>
      </c>
      <c r="C493" s="33">
        <f t="shared" si="65"/>
        <v>0</v>
      </c>
      <c r="D493" s="19">
        <f t="shared" si="65"/>
        <v>0</v>
      </c>
      <c r="E493" s="19">
        <f t="shared" si="65"/>
        <v>0.31814081395178601</v>
      </c>
      <c r="F493" s="34">
        <f t="shared" si="65"/>
        <v>19.984266392181929</v>
      </c>
      <c r="G493" s="20">
        <f t="shared" si="65"/>
        <v>1.4902385495636292</v>
      </c>
      <c r="H493" s="17">
        <f>SUM(C493:G493)</f>
        <v>21.792645755697343</v>
      </c>
      <c r="I493" s="17">
        <f>F493/H493*100</f>
        <v>91.701882443334625</v>
      </c>
      <c r="J493" s="17">
        <f>SQRT(I493*(100-I493)/(L493-1))</f>
        <v>0.54078578943486344</v>
      </c>
      <c r="K493" s="18">
        <f>100-I493</f>
        <v>8.2981175566653747</v>
      </c>
      <c r="L493" s="1">
        <f>H482</f>
        <v>2603</v>
      </c>
      <c r="M493">
        <v>3</v>
      </c>
      <c r="N493" s="1">
        <v>43232.34</v>
      </c>
      <c r="O493" s="17">
        <f>N493/N495*100</f>
        <v>21.792645755697343</v>
      </c>
      <c r="P493" s="52">
        <f>((O493*O493*(I493/100)*(K493/100))/(L493-1))</f>
        <v>1.3888983450659649E-2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65"/>
        <v>0</v>
      </c>
      <c r="D494" s="36">
        <f t="shared" si="65"/>
        <v>0</v>
      </c>
      <c r="E494" s="21">
        <f t="shared" si="65"/>
        <v>0.15851097856218094</v>
      </c>
      <c r="F494" s="21">
        <f t="shared" si="65"/>
        <v>1.7549429769384317</v>
      </c>
      <c r="G494" s="37">
        <f t="shared" si="65"/>
        <v>8.9558702887632222</v>
      </c>
      <c r="H494" s="17">
        <f>SUM(C494:G494)</f>
        <v>10.869324244263835</v>
      </c>
      <c r="I494" s="17">
        <f>G494/H494*100</f>
        <v>82.395833333333329</v>
      </c>
      <c r="J494" s="17">
        <f>SQRT(I494*(100-I494)/(L494-1))</f>
        <v>1.2298469188627388</v>
      </c>
      <c r="K494" s="18">
        <f>100-I494</f>
        <v>17.604166666666671</v>
      </c>
      <c r="L494" s="1">
        <f>H483</f>
        <v>960</v>
      </c>
      <c r="M494">
        <v>4</v>
      </c>
      <c r="N494" s="1">
        <v>21562.61</v>
      </c>
      <c r="O494" s="17">
        <f>N494/N495*100</f>
        <v>10.869324244263835</v>
      </c>
      <c r="P494" s="52">
        <f>((O494*O494*(I494/100)*(K494/100))/(L494-1))</f>
        <v>1.7869286161610431E-2</v>
      </c>
    </row>
    <row r="495" spans="1:40" x14ac:dyDescent="0.3">
      <c r="B495" t="s">
        <v>28</v>
      </c>
      <c r="C495" s="17">
        <f t="shared" ref="C495:H495" si="66">SUM(C490:C494)</f>
        <v>1.1678270046926504</v>
      </c>
      <c r="D495" s="17">
        <f t="shared" si="66"/>
        <v>6.6528163418121737</v>
      </c>
      <c r="E495" s="17">
        <f t="shared" si="66"/>
        <v>58.783110364769698</v>
      </c>
      <c r="F495" s="17">
        <f t="shared" si="66"/>
        <v>22.186196244759984</v>
      </c>
      <c r="G495" s="17">
        <f t="shared" si="66"/>
        <v>11.210050043965479</v>
      </c>
      <c r="H495" s="18">
        <f t="shared" si="66"/>
        <v>99.999999999999986</v>
      </c>
      <c r="I495" s="13" t="s">
        <v>24</v>
      </c>
      <c r="J495" s="12" t="s">
        <v>29</v>
      </c>
      <c r="N495" s="1">
        <f>SUM(N490:N494)</f>
        <v>198380.41000000003</v>
      </c>
      <c r="O495" s="17">
        <f>SUM(O490:O494)</f>
        <v>99.999999999999986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0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7.6534677757058314E-2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0.14028888224504957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0.18479991575087179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0.18868933329541118</v>
      </c>
      <c r="H496" s="1"/>
      <c r="I496" s="14">
        <f>(C490+D491+E492+F493+G494)/H495</f>
        <v>0.9438145181444858</v>
      </c>
      <c r="J496" s="53">
        <f>SQRT(SUM(P490:P494))/100</f>
        <v>2.1690996613499404E-3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90.227255724513384</v>
      </c>
      <c r="E497" s="17">
        <f>E492/E495*100</f>
        <v>99.128532249502996</v>
      </c>
      <c r="F497" s="17">
        <f>F493/F495*100</f>
        <v>90.075225927481313</v>
      </c>
      <c r="G497" s="17">
        <f>G494/G495*100</f>
        <v>79.891438964487833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1.0478709366631362</v>
      </c>
      <c r="E498" s="18">
        <f>SQRT((E501+E502)/(E495*E495))</f>
        <v>0.12092344407552451</v>
      </c>
      <c r="F498" s="18">
        <f>SQRT((F501+F502)/(F495*F495))</f>
        <v>0.78249910356767893</v>
      </c>
      <c r="G498" s="18">
        <f>SQRT((G501+G502)/(G495*G495))</f>
        <v>2.5791037594797652</v>
      </c>
      <c r="H498" s="1"/>
    </row>
    <row r="499" spans="1:40" x14ac:dyDescent="0.3">
      <c r="B499" s="1" t="s">
        <v>37</v>
      </c>
      <c r="C499" s="18">
        <f>100-C497</f>
        <v>0</v>
      </c>
      <c r="D499" s="18">
        <f>100-D497</f>
        <v>9.7727442754866161</v>
      </c>
      <c r="E499" s="18">
        <f>100-E497</f>
        <v>0.87146775049700409</v>
      </c>
      <c r="F499" s="18">
        <f>100-F497</f>
        <v>9.9247740725186873</v>
      </c>
      <c r="G499" s="18">
        <f>100-G497</f>
        <v>20.108561035512167</v>
      </c>
      <c r="AM499" s="78"/>
      <c r="AN499" s="78"/>
    </row>
    <row r="500" spans="1:40" ht="15.6" x14ac:dyDescent="0.35">
      <c r="B500" s="1" t="s">
        <v>25</v>
      </c>
      <c r="C500" s="1">
        <f>C484</f>
        <v>259</v>
      </c>
      <c r="D500" s="1">
        <f>D484</f>
        <v>417</v>
      </c>
      <c r="E500" s="1">
        <f>E484</f>
        <v>7224</v>
      </c>
      <c r="F500" s="1">
        <f>F484</f>
        <v>2597</v>
      </c>
      <c r="G500" s="1">
        <f>G484</f>
        <v>1063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6.0423103716146018</v>
      </c>
      <c r="E501" s="18">
        <f>(O492*O492*(100-E497)*(100-E497)*(I492)*(100-I492))/((L492-1)*100)</f>
        <v>1.1132869436911559</v>
      </c>
      <c r="F501" s="18">
        <f>(O493*O493*(100-F497)*(100-F497)*(I493)*(100-I493))/((L493-1)*100)</f>
        <v>136.80807087553015</v>
      </c>
      <c r="G501" s="18">
        <f>(O494*O494*(100-G497)*(100-G497)*(I494)*(100-I494))/((L494-1)*100)</f>
        <v>722.55213914709088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42.556614208056963</v>
      </c>
      <c r="E502" s="18">
        <f>E497*E497*(SUM((H490*E490*(1-E479/H479))/(H479-1),(H491*E491*(1-E480/H480))/(H480-1), (H493*E493*(1-E482/H482))/(H482-1),(H494*E494*(1-E483/H483))/(H483-1)))</f>
        <v>49.41401867513715</v>
      </c>
      <c r="F502" s="18">
        <f>F497*F497*(SUM((H490*F490*(1-F479/H479))/(H479-1),(H491*F491*(1-F480/H480))/(H480-1), (H492*F492*(1-F481/H481))/(H481-1),(H494*F494*(1-F483/H483))/(H483-1)))</f>
        <v>164.58509311514382</v>
      </c>
      <c r="G502" s="18">
        <f>G497*G497*(SUM((H490*G490*(1-G479/H479))/(H479-1),(H491*G491*(1-G480/H480))/(H480-1), (H492*G492*(1-G481/H481))/(H481-1),(H493*G493*(1-G482/H482))/(H482-1)))</f>
        <v>113.34479391357495</v>
      </c>
    </row>
    <row r="503" spans="1:40" x14ac:dyDescent="0.3">
      <c r="A503" s="105" t="s">
        <v>390</v>
      </c>
      <c r="B503" s="69" t="s">
        <v>9</v>
      </c>
      <c r="C503" s="1">
        <v>277.66000000000003</v>
      </c>
      <c r="D503" s="1">
        <v>2302.7600000000002</v>
      </c>
      <c r="E503" s="1">
        <v>16283.81</v>
      </c>
      <c r="F503">
        <v>2061.56</v>
      </c>
      <c r="G503">
        <v>1219.17</v>
      </c>
      <c r="I503" t="s">
        <v>36</v>
      </c>
      <c r="J503" s="57">
        <f>SUM(C503:G503)</f>
        <v>22144.959999999999</v>
      </c>
      <c r="AM503" s="78"/>
      <c r="AN503" s="78"/>
    </row>
    <row r="504" spans="1:40" x14ac:dyDescent="0.3">
      <c r="B504" t="s">
        <v>391</v>
      </c>
      <c r="C504" s="57">
        <f>(C503/$J503)*100</f>
        <v>1.2538293137580743</v>
      </c>
      <c r="D504" s="57">
        <f>(D503/$J503)*100</f>
        <v>10.398573761253125</v>
      </c>
      <c r="E504" s="57">
        <f>(E503/$J503)*100</f>
        <v>73.532803852434142</v>
      </c>
      <c r="F504" s="57">
        <f>(F503/$J503)*100</f>
        <v>9.3093868762914909</v>
      </c>
      <c r="G504" s="57">
        <f>(G503/$J503)*100</f>
        <v>5.5054061962631682</v>
      </c>
    </row>
    <row r="505" spans="1:40" x14ac:dyDescent="0.3">
      <c r="A505" s="361" t="s">
        <v>397</v>
      </c>
      <c r="B505" s="361"/>
      <c r="C505" s="361"/>
      <c r="D505" s="361"/>
      <c r="E505" s="361"/>
      <c r="F505" s="361"/>
      <c r="G505" s="361"/>
      <c r="H505" s="361"/>
      <c r="I505" s="361"/>
      <c r="J505" s="361"/>
      <c r="K505" s="361"/>
      <c r="L505" s="361" t="s">
        <v>95</v>
      </c>
      <c r="M505" s="361"/>
      <c r="N505" s="361"/>
      <c r="O505" s="361"/>
      <c r="P505" s="361"/>
      <c r="AM505" s="78"/>
      <c r="AN505" s="78"/>
    </row>
    <row r="506" spans="1:40" x14ac:dyDescent="0.3">
      <c r="A506" t="s">
        <v>15</v>
      </c>
      <c r="B506" t="s">
        <v>21</v>
      </c>
      <c r="I506" s="1" t="s">
        <v>58</v>
      </c>
      <c r="O506" s="360" t="s">
        <v>411</v>
      </c>
      <c r="P506" s="360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56</v>
      </c>
      <c r="O507" s="13" t="s">
        <v>412</v>
      </c>
      <c r="P507" s="13" t="s">
        <v>41</v>
      </c>
      <c r="AM507" s="78"/>
      <c r="AN507" s="78"/>
    </row>
    <row r="508" spans="1:40" x14ac:dyDescent="0.3">
      <c r="A508" t="s">
        <v>3</v>
      </c>
      <c r="B508" s="13">
        <v>0</v>
      </c>
      <c r="C508" s="26">
        <v>259</v>
      </c>
      <c r="D508" s="3">
        <v>0</v>
      </c>
      <c r="E508" s="3">
        <v>0</v>
      </c>
      <c r="F508" s="3">
        <v>0</v>
      </c>
      <c r="G508" s="4">
        <v>0</v>
      </c>
      <c r="H508" s="1">
        <f>SUM(C508:G508)</f>
        <v>259</v>
      </c>
      <c r="I508" s="10">
        <f>C508/H508</f>
        <v>1</v>
      </c>
      <c r="J508" s="11">
        <f>1-I508</f>
        <v>0</v>
      </c>
      <c r="K508">
        <f>H508-C513</f>
        <v>0</v>
      </c>
      <c r="N508" s="10">
        <f>2*(C514*I508)/(C514+I508)</f>
        <v>1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338</v>
      </c>
      <c r="E509" s="1">
        <v>1</v>
      </c>
      <c r="F509" s="1">
        <v>0</v>
      </c>
      <c r="G509" s="6">
        <v>0</v>
      </c>
      <c r="H509" s="1">
        <f>SUM(C509:G509)</f>
        <v>339</v>
      </c>
      <c r="I509" s="10">
        <f>D509/H509</f>
        <v>0.99705014749262533</v>
      </c>
      <c r="J509" s="11">
        <f>1-I509</f>
        <v>2.9498525073746729E-3</v>
      </c>
      <c r="K509">
        <f>H509-D513</f>
        <v>-89</v>
      </c>
      <c r="N509" s="10">
        <f>2*(D514*I509)/(D514+I509)</f>
        <v>0.88135593220338981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90</v>
      </c>
      <c r="E510" s="27">
        <v>7161</v>
      </c>
      <c r="F510" s="1">
        <v>59</v>
      </c>
      <c r="G510" s="6">
        <v>89</v>
      </c>
      <c r="H510" s="1">
        <f>SUM(C510:G510)</f>
        <v>7399</v>
      </c>
      <c r="I510" s="10">
        <f>E510/H510</f>
        <v>0.96783349101229899</v>
      </c>
      <c r="J510" s="11">
        <f>1-I510</f>
        <v>3.2166508987701015E-2</v>
      </c>
      <c r="K510">
        <f>H510-E513</f>
        <v>183</v>
      </c>
      <c r="N510" s="10">
        <f>2*(E514*I510)/(E514+I510)</f>
        <v>0.97995210400273691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0</v>
      </c>
      <c r="E511" s="1">
        <v>38</v>
      </c>
      <c r="F511" s="27">
        <v>2382</v>
      </c>
      <c r="G511" s="6">
        <v>183</v>
      </c>
      <c r="H511" s="1">
        <f>SUM(C511:G511)</f>
        <v>2603</v>
      </c>
      <c r="I511" s="10">
        <f>F511/H511</f>
        <v>0.91509796388782172</v>
      </c>
      <c r="J511" s="11">
        <f>1-I511</f>
        <v>8.4902036112178281E-2</v>
      </c>
      <c r="K511">
        <f>H511-F513</f>
        <v>17</v>
      </c>
      <c r="N511" s="10">
        <f>2*(F514*I511)/(F514+I511)</f>
        <v>0.9180959722489882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0</v>
      </c>
      <c r="E512" s="8">
        <v>16</v>
      </c>
      <c r="F512" s="8">
        <v>145</v>
      </c>
      <c r="G512" s="28">
        <v>799</v>
      </c>
      <c r="H512" s="1">
        <f>SUM(C512:G512)</f>
        <v>960</v>
      </c>
      <c r="I512" s="10">
        <f>G512/H512</f>
        <v>0.83229166666666665</v>
      </c>
      <c r="J512" s="11">
        <f>1-I512</f>
        <v>0.16770833333333335</v>
      </c>
      <c r="K512">
        <f>H512-G513</f>
        <v>-111</v>
      </c>
      <c r="N512" s="10">
        <f>2*(G514*I512)/(G514+I512)</f>
        <v>0.78680452978828164</v>
      </c>
      <c r="O512" s="1"/>
      <c r="P512" s="1"/>
    </row>
    <row r="513" spans="1:40" ht="15.6" x14ac:dyDescent="0.35">
      <c r="B513" s="1" t="s">
        <v>19</v>
      </c>
      <c r="C513" s="1">
        <f>SUM(C508:C512)</f>
        <v>259</v>
      </c>
      <c r="D513" s="1">
        <f>SUM(D508:D512)</f>
        <v>428</v>
      </c>
      <c r="E513" s="1">
        <f>SUM(E508:E512)</f>
        <v>7216</v>
      </c>
      <c r="F513" s="1">
        <f>SUM(F508:F512)</f>
        <v>2586</v>
      </c>
      <c r="G513" s="1">
        <f>SUM(G508:G512)</f>
        <v>1071</v>
      </c>
      <c r="H513" s="1">
        <f>SUM(H507:H512)</f>
        <v>11560</v>
      </c>
      <c r="I513" s="13" t="s">
        <v>12</v>
      </c>
      <c r="N513" s="16" t="s">
        <v>36</v>
      </c>
      <c r="O513" s="1">
        <f>SUM(O508:O512)</f>
        <v>0</v>
      </c>
      <c r="P513" s="1">
        <f>SUM(P508:P512)</f>
        <v>0</v>
      </c>
      <c r="AM513" s="78"/>
      <c r="AN513" s="78"/>
    </row>
    <row r="514" spans="1:40" x14ac:dyDescent="0.3">
      <c r="A514" s="1" t="s">
        <v>57</v>
      </c>
      <c r="B514" s="1" t="s">
        <v>2</v>
      </c>
      <c r="C514" s="10">
        <f>C508/C513</f>
        <v>1</v>
      </c>
      <c r="D514" s="10">
        <f>D509/D513</f>
        <v>0.78971962616822433</v>
      </c>
      <c r="E514" s="10">
        <f>E510/E513</f>
        <v>0.99237804878048785</v>
      </c>
      <c r="F514" s="10">
        <f>F511/F513</f>
        <v>0.92111368909512759</v>
      </c>
      <c r="G514" s="10">
        <f>G512/G513</f>
        <v>0.74603174603174605</v>
      </c>
      <c r="H514" s="10"/>
      <c r="I514" s="14">
        <f>(C508+D509+E510+F511+G512)/H513</f>
        <v>0.94628027681660898</v>
      </c>
    </row>
    <row r="515" spans="1:40" x14ac:dyDescent="0.3">
      <c r="B515" s="1" t="s">
        <v>14</v>
      </c>
      <c r="C515" s="11">
        <f>1-C514</f>
        <v>0</v>
      </c>
      <c r="D515" s="11">
        <f>1-D514</f>
        <v>0.21028037383177567</v>
      </c>
      <c r="E515" s="11">
        <f>1-E514</f>
        <v>7.6219512195121464E-3</v>
      </c>
      <c r="F515" s="11">
        <f>1-F514</f>
        <v>7.8886310904872414E-2</v>
      </c>
      <c r="G515" s="11">
        <f>1-G514</f>
        <v>0.25396825396825395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1.1732256641053589</v>
      </c>
      <c r="D519" s="31">
        <f>(D508/$L519)*$O519</f>
        <v>0</v>
      </c>
      <c r="E519" s="31">
        <f>(E508/$L519)*$O519</f>
        <v>0</v>
      </c>
      <c r="F519" s="31">
        <f>(F508/$L519)*$O519</f>
        <v>0</v>
      </c>
      <c r="G519" s="32">
        <f>(G508/$L519)*$O519</f>
        <v>0</v>
      </c>
      <c r="H519" s="17">
        <f>SUM(C519:G519)</f>
        <v>1.1732256641053589</v>
      </c>
      <c r="I519" s="17">
        <f>C519/H519*100</f>
        <v>100</v>
      </c>
      <c r="J519" s="17">
        <f>SQRT(I519*(100-I519)/(L519-1))</f>
        <v>0</v>
      </c>
      <c r="K519" s="18">
        <f>100-I519</f>
        <v>0</v>
      </c>
      <c r="L519" s="1">
        <f>H508</f>
        <v>259</v>
      </c>
      <c r="M519">
        <v>0</v>
      </c>
      <c r="N519" s="1">
        <v>2327.4499999999998</v>
      </c>
      <c r="O519" s="17">
        <f>N519/N524*100</f>
        <v>1.1732256641053589</v>
      </c>
      <c r="P519" s="52">
        <f>((O519*O519*(I519/100)*(K519/100))/(L519-1))</f>
        <v>0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67">(C509/$L520)*$O520</f>
        <v>0</v>
      </c>
      <c r="D520" s="34">
        <f t="shared" si="67"/>
        <v>6.072594496007568</v>
      </c>
      <c r="E520" s="19">
        <f t="shared" si="67"/>
        <v>1.7966255905347835E-2</v>
      </c>
      <c r="F520" s="18">
        <f t="shared" si="67"/>
        <v>0</v>
      </c>
      <c r="G520" s="20">
        <f t="shared" si="67"/>
        <v>0</v>
      </c>
      <c r="H520" s="17">
        <f>SUM(C520:G520)</f>
        <v>6.0905607519129159</v>
      </c>
      <c r="I520" s="17">
        <f>D520/H520*100</f>
        <v>99.705014749262531</v>
      </c>
      <c r="J520" s="17">
        <f>SQRT(I520*(100-I520)/(L520-1))</f>
        <v>0.2949852507374659</v>
      </c>
      <c r="K520" s="18">
        <f>100-I520</f>
        <v>0.29498525073746862</v>
      </c>
      <c r="L520" s="1">
        <f>H509</f>
        <v>339</v>
      </c>
      <c r="M520">
        <v>1</v>
      </c>
      <c r="N520" s="1">
        <v>12082.48</v>
      </c>
      <c r="O520" s="17">
        <f>N520/N524*100</f>
        <v>6.0905607519129159</v>
      </c>
      <c r="P520" s="52">
        <f>((O520*O520*(I520/100)*(K520/100))/(L520-1))</f>
        <v>3.2278635125645202E-4</v>
      </c>
    </row>
    <row r="521" spans="1:40" x14ac:dyDescent="0.3">
      <c r="A521" t="s">
        <v>5</v>
      </c>
      <c r="B521" s="13">
        <v>2</v>
      </c>
      <c r="C521" s="33">
        <f t="shared" si="67"/>
        <v>0</v>
      </c>
      <c r="D521" s="19">
        <f t="shared" si="67"/>
        <v>0.73136521735237603</v>
      </c>
      <c r="E521" s="34">
        <f t="shared" si="67"/>
        <v>58.192292460670721</v>
      </c>
      <c r="F521" s="19">
        <f t="shared" si="67"/>
        <v>0.47945053137544646</v>
      </c>
      <c r="G521" s="20">
        <f t="shared" si="67"/>
        <v>0.72323893715957188</v>
      </c>
      <c r="H521" s="17">
        <f>SUM(C521:G521)</f>
        <v>60.126347146558118</v>
      </c>
      <c r="I521" s="17">
        <f>E521/H521*100</f>
        <v>96.783349101229888</v>
      </c>
      <c r="J521" s="17">
        <f>SQRT(I521*(100-I521)/(L521-1))</f>
        <v>0.20513753121822509</v>
      </c>
      <c r="K521" s="18">
        <f>100-I521</f>
        <v>3.2166508987701121</v>
      </c>
      <c r="L521" s="1">
        <f>H510</f>
        <v>7399</v>
      </c>
      <c r="M521">
        <v>2</v>
      </c>
      <c r="N521" s="1">
        <v>119278.9</v>
      </c>
      <c r="O521" s="17">
        <f>N521/N524*100</f>
        <v>60.126347146558111</v>
      </c>
      <c r="P521" s="52">
        <f>((O521*O521*(I521/100)*(K521/100))/(L521-1))</f>
        <v>1.5213175982169525E-2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67"/>
        <v>0</v>
      </c>
      <c r="D522" s="19">
        <f t="shared" si="67"/>
        <v>0</v>
      </c>
      <c r="E522" s="19">
        <f t="shared" si="67"/>
        <v>0.31650426072886872</v>
      </c>
      <c r="F522" s="34">
        <f t="shared" si="67"/>
        <v>19.839819712004349</v>
      </c>
      <c r="G522" s="20">
        <f t="shared" si="67"/>
        <v>1.5242178871942889</v>
      </c>
      <c r="H522" s="17">
        <f>SUM(C522:G522)</f>
        <v>21.680541859927509</v>
      </c>
      <c r="I522" s="17">
        <f>F522/H522*100</f>
        <v>91.509796388782163</v>
      </c>
      <c r="J522" s="17">
        <f>SQRT(I522*(100-I522)/(L522-1))</f>
        <v>0.54643587118963</v>
      </c>
      <c r="K522" s="18">
        <f>100-I522</f>
        <v>8.4902036112178365</v>
      </c>
      <c r="L522" s="1">
        <f>H511</f>
        <v>2603</v>
      </c>
      <c r="M522">
        <v>3</v>
      </c>
      <c r="N522" s="1">
        <v>43009.95</v>
      </c>
      <c r="O522" s="17">
        <f>N522/N524*100</f>
        <v>21.680541859927509</v>
      </c>
      <c r="P522" s="52">
        <f>((O522*O522*(I522/100)*(K522/100))/(L522-1))</f>
        <v>1.4035201981048767E-2</v>
      </c>
    </row>
    <row r="523" spans="1:40" x14ac:dyDescent="0.3">
      <c r="A523" t="s">
        <v>7</v>
      </c>
      <c r="B523" s="13">
        <v>4</v>
      </c>
      <c r="C523" s="35">
        <f t="shared" si="67"/>
        <v>0</v>
      </c>
      <c r="D523" s="36">
        <f t="shared" si="67"/>
        <v>0</v>
      </c>
      <c r="E523" s="21">
        <f t="shared" si="67"/>
        <v>0.18215540962493512</v>
      </c>
      <c r="F523" s="21">
        <f t="shared" si="67"/>
        <v>1.6507833997259744</v>
      </c>
      <c r="G523" s="37">
        <f t="shared" si="67"/>
        <v>9.0963857681451969</v>
      </c>
      <c r="H523" s="17">
        <f>SUM(C523:G523)</f>
        <v>10.929324577496107</v>
      </c>
      <c r="I523" s="17">
        <f>G523/H523*100</f>
        <v>83.229166666666671</v>
      </c>
      <c r="J523" s="17">
        <f>SQRT(I523*(100-I523)/(L523-1))</f>
        <v>1.2064401752225082</v>
      </c>
      <c r="K523" s="18">
        <f>100-I523</f>
        <v>16.770833333333329</v>
      </c>
      <c r="L523" s="1">
        <f>H512</f>
        <v>960</v>
      </c>
      <c r="M523">
        <v>4</v>
      </c>
      <c r="N523" s="1">
        <v>21681.64</v>
      </c>
      <c r="O523" s="17">
        <f>N523/N524*100</f>
        <v>10.929324577496107</v>
      </c>
      <c r="P523" s="52">
        <f>((O523*O523*(I523/100)*(K523/100))/(L523-1))</f>
        <v>1.7385942126444856E-2</v>
      </c>
      <c r="AM523" s="78"/>
      <c r="AN523" s="78"/>
    </row>
    <row r="524" spans="1:40" x14ac:dyDescent="0.3">
      <c r="B524" t="s">
        <v>28</v>
      </c>
      <c r="C524" s="17">
        <f>SUM(C519:C523)</f>
        <v>1.1732256641053589</v>
      </c>
      <c r="D524" s="17">
        <f>SUM(D519:D523)</f>
        <v>6.8039597133599443</v>
      </c>
      <c r="E524" s="17">
        <f>SUM(E519:E523)</f>
        <v>58.708918386929874</v>
      </c>
      <c r="F524" s="17">
        <f>SUM(F519:F523)</f>
        <v>21.970053643105768</v>
      </c>
      <c r="G524" s="17">
        <f>SUM(G519:G523)</f>
        <v>11.343842592499058</v>
      </c>
      <c r="H524" s="1">
        <f>SUM(H518:H523)</f>
        <v>100.00000000000001</v>
      </c>
      <c r="I524" s="13" t="s">
        <v>24</v>
      </c>
      <c r="J524" s="12" t="s">
        <v>29</v>
      </c>
      <c r="N524" s="1">
        <f>SUM(N519:N523)</f>
        <v>198380.41999999998</v>
      </c>
      <c r="O524" s="17">
        <f>SUM(O519:O523)</f>
        <v>99.999999999999986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0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7.8694472297750562E-2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0.14202069006317303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0.18398357436301044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0.18702180648880534</v>
      </c>
      <c r="H525" s="1"/>
      <c r="I525" s="14">
        <f>(C519+D520+E521+F522+G523)/H524</f>
        <v>0.94374318100933186</v>
      </c>
      <c r="J525" s="53">
        <f>SQRT(SUM(P519:P523))/100</f>
        <v>2.1669588468847208E-3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100</v>
      </c>
      <c r="D526" s="17">
        <f>D520/D524*100</f>
        <v>89.250888480184543</v>
      </c>
      <c r="E526" s="17">
        <f>E521/E524*100</f>
        <v>99.120021386096312</v>
      </c>
      <c r="F526" s="17">
        <f>F522/F524*100</f>
        <v>90.303920210181701</v>
      </c>
      <c r="G526" s="17">
        <f>G523/G524*100</f>
        <v>80.187870150455382</v>
      </c>
      <c r="H526" s="1"/>
    </row>
    <row r="527" spans="1:40" x14ac:dyDescent="0.3">
      <c r="B527" s="16" t="s">
        <v>39</v>
      </c>
      <c r="C527" s="18">
        <f>SQRT((C530+C531)/(C524*C524))</f>
        <v>0</v>
      </c>
      <c r="D527" s="18">
        <f>SQRT((D530+D531)/(D524*D524))</f>
        <v>1.044467371757162</v>
      </c>
      <c r="E527" s="18">
        <f>SQRT((E530+E531)/(E524*E524))</f>
        <v>0.12036666763341516</v>
      </c>
      <c r="F527" s="18">
        <f>SQRT((F530+F531)/(F524*F524))</f>
        <v>0.7800733310786846</v>
      </c>
      <c r="G527" s="18">
        <f>SQRT((G530+G531)/(G524*G524))</f>
        <v>2.4866453831805386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0</v>
      </c>
      <c r="D528" s="18">
        <f>100-D526</f>
        <v>10.749111519815457</v>
      </c>
      <c r="E528" s="18">
        <f>100-E526</f>
        <v>0.87997861390368826</v>
      </c>
      <c r="F528" s="18">
        <f>100-F526</f>
        <v>9.6960797898182989</v>
      </c>
      <c r="G528" s="18">
        <f>100-G526</f>
        <v>19.812129849544618</v>
      </c>
    </row>
    <row r="529" spans="1:40" ht="15.6" x14ac:dyDescent="0.35">
      <c r="B529" s="1" t="s">
        <v>25</v>
      </c>
      <c r="C529" s="1">
        <f>C513</f>
        <v>259</v>
      </c>
      <c r="D529" s="1">
        <f>D513</f>
        <v>428</v>
      </c>
      <c r="E529" s="1">
        <f>E513</f>
        <v>7216</v>
      </c>
      <c r="F529" s="1">
        <f>F513</f>
        <v>2586</v>
      </c>
      <c r="G529" s="1">
        <f>G513</f>
        <v>1071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3.7295832002426277</v>
      </c>
      <c r="E530" s="18">
        <f>(O521*O521*(100-E526)*(100-E526)*(I521)*(100-I521))/((L521-1)*100)</f>
        <v>1.1780510870763754</v>
      </c>
      <c r="F530" s="18">
        <f>(O522*O522*(100-F526)*(100-F526)*(I522)*(100-I522))/((L522-1)*100)</f>
        <v>131.95049638213925</v>
      </c>
      <c r="G530" s="18">
        <f>(O523*O523*(100-G526)*(100-G526)*(I523)*(100-I523))/((L523-1)*100)</f>
        <v>682.43385082441444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46.772956885739099</v>
      </c>
      <c r="E531" s="18">
        <f>E526*E526*(SUM((H519*E519*(1-E508/H508))/(H508-1),(H520*E520*(1-E509/H509))/(H509-1), (H522*E522*(1-E511/H511))/(H511-1),(H523*E523*(1-E512/H512))/(H512-1)))</f>
        <v>48.758740187920523</v>
      </c>
      <c r="F531" s="18">
        <f>F526*F526*(SUM((H519*F519*(1-F508/H508))/(H508-1),(H520*F520*(1-F509/H509))/(H509-1), (H521*F521*(1-F510/H510))/(H510-1),(H523*F523*(1-F512/H512))/(H512-1)))</f>
        <v>161.76921708840277</v>
      </c>
      <c r="G531" s="18">
        <f>G526*G526*(SUM((H519*G519*(1-G508/H508))/(H508-1),(H520*G520*(1-G509/H509))/(H509-1), (H521*G521*(1-G510/H510))/(H510-1),(H522*G522*(1-G511/H511))/(H511-1)))</f>
        <v>113.26383390278083</v>
      </c>
      <c r="AM531" s="78"/>
      <c r="AN531" s="78"/>
    </row>
    <row r="532" spans="1:40" x14ac:dyDescent="0.3">
      <c r="A532" s="105" t="s">
        <v>390</v>
      </c>
      <c r="B532" s="69" t="s">
        <v>9</v>
      </c>
      <c r="C532" s="1">
        <v>292.77999999999997</v>
      </c>
      <c r="D532" s="1">
        <v>2379.73</v>
      </c>
      <c r="E532" s="1">
        <v>16202.6</v>
      </c>
      <c r="F532">
        <v>2049.94</v>
      </c>
      <c r="G532">
        <v>1219.8900000000001</v>
      </c>
      <c r="I532" t="s">
        <v>36</v>
      </c>
      <c r="J532" s="57">
        <f>SUM(C532:G532)</f>
        <v>22144.94</v>
      </c>
    </row>
    <row r="533" spans="1:40" x14ac:dyDescent="0.3">
      <c r="B533" t="s">
        <v>391</v>
      </c>
      <c r="C533" s="57">
        <f>(C532/$J532)*100</f>
        <v>1.3221078946251379</v>
      </c>
      <c r="D533" s="57">
        <f>(D532/$J532)*100</f>
        <v>10.74615690988551</v>
      </c>
      <c r="E533" s="57">
        <f>(E532/$J532)*100</f>
        <v>73.166149919575318</v>
      </c>
      <c r="F533" s="57">
        <f>(F532/$J532)*100</f>
        <v>9.2569228004230322</v>
      </c>
      <c r="G533" s="57">
        <f>(G532/$J532)*100</f>
        <v>5.5086624754910156</v>
      </c>
      <c r="AM533" s="78"/>
      <c r="AN533" s="78"/>
    </row>
    <row r="534" spans="1:40" x14ac:dyDescent="0.3">
      <c r="A534" s="361" t="s">
        <v>397</v>
      </c>
      <c r="B534" s="361"/>
      <c r="C534" s="361"/>
      <c r="D534" s="361"/>
      <c r="E534" s="361"/>
      <c r="F534" s="361"/>
      <c r="G534" s="361"/>
      <c r="H534" s="361"/>
      <c r="I534" s="361"/>
      <c r="J534" s="361"/>
      <c r="K534" s="361"/>
      <c r="L534" s="361" t="s">
        <v>96</v>
      </c>
      <c r="M534" s="361"/>
      <c r="N534" s="361"/>
      <c r="O534" s="361"/>
      <c r="P534" s="361"/>
    </row>
    <row r="535" spans="1:40" x14ac:dyDescent="0.3">
      <c r="A535" t="s">
        <v>15</v>
      </c>
      <c r="B535" t="s">
        <v>21</v>
      </c>
      <c r="I535" s="1" t="s">
        <v>58</v>
      </c>
      <c r="O535" s="360" t="s">
        <v>411</v>
      </c>
      <c r="P535" s="360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56</v>
      </c>
      <c r="O536" s="13" t="s">
        <v>412</v>
      </c>
      <c r="P536" s="13" t="s">
        <v>41</v>
      </c>
    </row>
    <row r="537" spans="1:40" x14ac:dyDescent="0.3">
      <c r="A537" t="s">
        <v>3</v>
      </c>
      <c r="B537" s="13">
        <v>0</v>
      </c>
      <c r="C537" s="26">
        <v>259</v>
      </c>
      <c r="D537" s="3">
        <v>0</v>
      </c>
      <c r="E537" s="3">
        <v>0</v>
      </c>
      <c r="F537" s="3">
        <v>0</v>
      </c>
      <c r="G537" s="4">
        <v>0</v>
      </c>
      <c r="H537" s="1">
        <f>SUM(C537:G537)</f>
        <v>259</v>
      </c>
      <c r="I537" s="10">
        <f>C537/H537</f>
        <v>1</v>
      </c>
      <c r="J537" s="11">
        <f>1-I537</f>
        <v>0</v>
      </c>
      <c r="K537">
        <f>H537-C542</f>
        <v>0</v>
      </c>
      <c r="N537" s="10">
        <f>2*(C543*I537)/(C543+I537)</f>
        <v>1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335</v>
      </c>
      <c r="E538" s="1">
        <v>4</v>
      </c>
      <c r="F538" s="1">
        <v>0</v>
      </c>
      <c r="G538" s="6">
        <v>0</v>
      </c>
      <c r="H538" s="1">
        <f>SUM(C538:G538)</f>
        <v>339</v>
      </c>
      <c r="I538" s="10">
        <f>D538/H538</f>
        <v>0.98820058997050142</v>
      </c>
      <c r="J538" s="11">
        <f>1-I538</f>
        <v>1.179941002949858E-2</v>
      </c>
      <c r="K538">
        <f>H538-D542</f>
        <v>-83</v>
      </c>
      <c r="N538" s="10">
        <f>2*(D543*I538)/(D543+I538)</f>
        <v>0.88042049934296973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87</v>
      </c>
      <c r="E539" s="27">
        <v>7175</v>
      </c>
      <c r="F539" s="1">
        <v>53</v>
      </c>
      <c r="G539" s="6">
        <v>84</v>
      </c>
      <c r="H539" s="1">
        <f>SUM(C539:G539)</f>
        <v>7399</v>
      </c>
      <c r="I539" s="10">
        <f>E539/H539</f>
        <v>0.96972563859981076</v>
      </c>
      <c r="J539" s="11">
        <f>1-I539</f>
        <v>3.0274361400189242E-2</v>
      </c>
      <c r="K539">
        <f>H539-E542</f>
        <v>158</v>
      </c>
      <c r="N539" s="10">
        <f>2*(E543*I539)/(E543+I539)</f>
        <v>0.98019125683060115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0</v>
      </c>
      <c r="D540" s="1">
        <v>0</v>
      </c>
      <c r="E540" s="1">
        <v>43</v>
      </c>
      <c r="F540" s="27">
        <v>2361</v>
      </c>
      <c r="G540" s="6">
        <v>199</v>
      </c>
      <c r="H540" s="1">
        <f>SUM(C540:G540)</f>
        <v>2603</v>
      </c>
      <c r="I540" s="10">
        <f>F540/H540</f>
        <v>0.90703034959661932</v>
      </c>
      <c r="J540" s="11">
        <f>1-I540</f>
        <v>9.2969650403380677E-2</v>
      </c>
      <c r="K540">
        <f>H540-F542</f>
        <v>46</v>
      </c>
      <c r="N540" s="10">
        <f>2*(F543*I540)/(F543+I540)</f>
        <v>0.91511627906976745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0</v>
      </c>
      <c r="E541" s="8">
        <v>19</v>
      </c>
      <c r="F541" s="8">
        <v>143</v>
      </c>
      <c r="G541" s="28">
        <v>798</v>
      </c>
      <c r="H541" s="1">
        <f>SUM(C541:G541)</f>
        <v>960</v>
      </c>
      <c r="I541" s="10">
        <f>G541/H541</f>
        <v>0.83125000000000004</v>
      </c>
      <c r="J541" s="11">
        <f>1-I541</f>
        <v>0.16874999999999996</v>
      </c>
      <c r="K541">
        <f>H541-G542</f>
        <v>-121</v>
      </c>
      <c r="N541" s="10">
        <f>2*(G543*I541)/(G543+I541)</f>
        <v>0.78196962273395398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259</v>
      </c>
      <c r="D542" s="1">
        <f>SUM(D537:D541)</f>
        <v>422</v>
      </c>
      <c r="E542" s="1">
        <f>SUM(E537:E541)</f>
        <v>7241</v>
      </c>
      <c r="F542" s="1">
        <f>SUM(F537:F541)</f>
        <v>2557</v>
      </c>
      <c r="G542" s="1">
        <f>SUM(G537:G541)</f>
        <v>1081</v>
      </c>
      <c r="H542" s="1">
        <f>SUM(H536:H541)</f>
        <v>11560</v>
      </c>
      <c r="I542" s="13" t="s">
        <v>12</v>
      </c>
      <c r="N542" s="16" t="s">
        <v>36</v>
      </c>
      <c r="O542" s="1">
        <f>SUM(O537:O541)</f>
        <v>0</v>
      </c>
      <c r="P542" s="1">
        <f>SUM(P537:P541)</f>
        <v>0</v>
      </c>
    </row>
    <row r="543" spans="1:40" x14ac:dyDescent="0.3">
      <c r="A543" s="1" t="s">
        <v>57</v>
      </c>
      <c r="B543" s="1" t="s">
        <v>2</v>
      </c>
      <c r="C543" s="10">
        <f>C537/C542</f>
        <v>1</v>
      </c>
      <c r="D543" s="10">
        <f>D538/D542</f>
        <v>0.79383886255924174</v>
      </c>
      <c r="E543" s="10">
        <f>E539/E542</f>
        <v>0.99088523684573959</v>
      </c>
      <c r="F543" s="10">
        <f>F540/F542</f>
        <v>0.92334767305436061</v>
      </c>
      <c r="G543" s="10">
        <f>G541/G542</f>
        <v>0.73820536540240522</v>
      </c>
      <c r="H543" s="10"/>
      <c r="I543" s="14">
        <f>(C537+D538+E539+F540+G541)/H542</f>
        <v>0.94532871972318344</v>
      </c>
    </row>
    <row r="544" spans="1:40" x14ac:dyDescent="0.3">
      <c r="B544" s="1" t="s">
        <v>14</v>
      </c>
      <c r="C544" s="11">
        <f>1-C543</f>
        <v>0</v>
      </c>
      <c r="D544" s="11">
        <f>1-D543</f>
        <v>0.20616113744075826</v>
      </c>
      <c r="E544" s="11">
        <f>1-E543</f>
        <v>9.114763154260408E-3</v>
      </c>
      <c r="F544" s="11">
        <f>1-F543</f>
        <v>7.6652326945639393E-2</v>
      </c>
      <c r="G544" s="11">
        <f>1-G543</f>
        <v>0.26179463459759478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1.1722275817341248</v>
      </c>
      <c r="D548" s="31">
        <f>(D537/$L548)*$O548</f>
        <v>0</v>
      </c>
      <c r="E548" s="31">
        <f>(E537/$L548)*$O548</f>
        <v>0</v>
      </c>
      <c r="F548" s="31">
        <f>(F537/$L548)*$O548</f>
        <v>0</v>
      </c>
      <c r="G548" s="32">
        <f>(G537/$L548)*$O548</f>
        <v>0</v>
      </c>
      <c r="H548" s="17">
        <f>SUM(C548:G548)</f>
        <v>1.1722275817341248</v>
      </c>
      <c r="I548" s="17">
        <f>C548/H548*100</f>
        <v>100</v>
      </c>
      <c r="J548" s="17">
        <f>SQRT(I548*(100-I548)/(L548-1))</f>
        <v>0</v>
      </c>
      <c r="K548" s="18">
        <f>100-I548</f>
        <v>0</v>
      </c>
      <c r="L548" s="1">
        <f>H537</f>
        <v>259</v>
      </c>
      <c r="M548">
        <v>0</v>
      </c>
      <c r="N548" s="1">
        <v>2325.4699999999998</v>
      </c>
      <c r="O548" s="17">
        <f>N548/N553*100</f>
        <v>1.1722275817341248</v>
      </c>
      <c r="P548" s="52">
        <f>((O548*O548*(I548/100)*(K548/100))/(L548-1))</f>
        <v>0</v>
      </c>
    </row>
    <row r="549" spans="1:16" x14ac:dyDescent="0.3">
      <c r="A549" t="s">
        <v>4</v>
      </c>
      <c r="B549" s="13">
        <v>1</v>
      </c>
      <c r="C549" s="33">
        <f t="shared" ref="C549:G552" si="68">(C538/$L549)*$O549</f>
        <v>0</v>
      </c>
      <c r="D549" s="34">
        <f t="shared" si="68"/>
        <v>5.9611064408978951</v>
      </c>
      <c r="E549" s="19">
        <f t="shared" si="68"/>
        <v>7.1177390339079355E-2</v>
      </c>
      <c r="F549" s="18">
        <f t="shared" si="68"/>
        <v>0</v>
      </c>
      <c r="G549" s="20">
        <f t="shared" si="68"/>
        <v>0</v>
      </c>
      <c r="H549" s="17">
        <f>SUM(C549:G549)</f>
        <v>6.0322838312369749</v>
      </c>
      <c r="I549" s="17">
        <f>D549/H549*100</f>
        <v>98.82005899705014</v>
      </c>
      <c r="J549" s="17">
        <f>SQRT(I549*(100-I549)/(L549-1))</f>
        <v>0.58734645362127647</v>
      </c>
      <c r="K549" s="18">
        <f>100-I549</f>
        <v>1.1799410029498603</v>
      </c>
      <c r="L549" s="1">
        <f>H538</f>
        <v>339</v>
      </c>
      <c r="M549">
        <v>1</v>
      </c>
      <c r="N549" s="1">
        <v>11966.87</v>
      </c>
      <c r="O549" s="17">
        <f>N549/N553*100</f>
        <v>6.0322838312369749</v>
      </c>
      <c r="P549" s="52">
        <f>((O549*O549*(I549/100)*(K549/100))/(L549-1))</f>
        <v>1.2553136094573738E-3</v>
      </c>
    </row>
    <row r="550" spans="1:16" x14ac:dyDescent="0.3">
      <c r="A550" t="s">
        <v>5</v>
      </c>
      <c r="B550" s="13">
        <v>2</v>
      </c>
      <c r="C550" s="33">
        <f t="shared" si="68"/>
        <v>0</v>
      </c>
      <c r="D550" s="19">
        <f t="shared" si="68"/>
        <v>0.70911737238208483</v>
      </c>
      <c r="E550" s="34">
        <f t="shared" si="68"/>
        <v>58.481806285534006</v>
      </c>
      <c r="F550" s="19">
        <f t="shared" si="68"/>
        <v>0.43199104294540802</v>
      </c>
      <c r="G550" s="20">
        <f t="shared" si="68"/>
        <v>0.68466504919649573</v>
      </c>
      <c r="H550" s="17">
        <f>SUM(C550:G550)</f>
        <v>60.30757975005799</v>
      </c>
      <c r="I550" s="17">
        <f>E550/H550*100</f>
        <v>96.972563859981094</v>
      </c>
      <c r="J550" s="17">
        <f>SQRT(I550*(100-I550)/(L550-1))</f>
        <v>0.19920708067777057</v>
      </c>
      <c r="K550" s="18">
        <f>100-I550</f>
        <v>3.0274361400189065</v>
      </c>
      <c r="L550" s="1">
        <f>H539</f>
        <v>7399</v>
      </c>
      <c r="M550">
        <v>2</v>
      </c>
      <c r="N550" s="1">
        <v>119638.43</v>
      </c>
      <c r="O550" s="17">
        <f>N550/N553*100</f>
        <v>60.307579750057997</v>
      </c>
      <c r="P550" s="52">
        <f>((O550*O550*(I550/100)*(K550/100))/(L550-1))</f>
        <v>1.4432891331922099E-2</v>
      </c>
    </row>
    <row r="551" spans="1:16" x14ac:dyDescent="0.3">
      <c r="A551" t="s">
        <v>6</v>
      </c>
      <c r="B551" s="13">
        <v>3</v>
      </c>
      <c r="C551" s="33">
        <f t="shared" si="68"/>
        <v>0</v>
      </c>
      <c r="D551" s="19">
        <f t="shared" si="68"/>
        <v>0</v>
      </c>
      <c r="E551" s="19">
        <f t="shared" si="68"/>
        <v>0.35542108991463056</v>
      </c>
      <c r="F551" s="34">
        <f t="shared" si="68"/>
        <v>19.515097518335878</v>
      </c>
      <c r="G551" s="20">
        <f t="shared" si="68"/>
        <v>1.6448557416979415</v>
      </c>
      <c r="H551" s="17">
        <f>SUM(C551:G551)</f>
        <v>21.515374349948452</v>
      </c>
      <c r="I551" s="17">
        <f>F551/H551*100</f>
        <v>90.70303495966192</v>
      </c>
      <c r="J551" s="17">
        <f>SQRT(I551*(100-I551)/(L551-1))</f>
        <v>0.56928253761854442</v>
      </c>
      <c r="K551" s="18">
        <f>100-I551</f>
        <v>9.2969650403380797</v>
      </c>
      <c r="L551" s="1">
        <f>H540</f>
        <v>2603</v>
      </c>
      <c r="M551">
        <v>3</v>
      </c>
      <c r="N551" s="1">
        <v>42682.29</v>
      </c>
      <c r="O551" s="17">
        <f>N551/N553*100</f>
        <v>21.515374349948448</v>
      </c>
      <c r="P551" s="52">
        <f>((O551*O551*(I551/100)*(K551/100))/(L551-1))</f>
        <v>1.5002151203915176E-2</v>
      </c>
    </row>
    <row r="552" spans="1:16" x14ac:dyDescent="0.3">
      <c r="A552" t="s">
        <v>7</v>
      </c>
      <c r="B552" s="13">
        <v>4</v>
      </c>
      <c r="C552" s="35">
        <f t="shared" si="68"/>
        <v>0</v>
      </c>
      <c r="D552" s="36">
        <f t="shared" si="68"/>
        <v>0</v>
      </c>
      <c r="E552" s="21">
        <f t="shared" si="68"/>
        <v>0.21716474505565286</v>
      </c>
      <c r="F552" s="21">
        <f t="shared" si="68"/>
        <v>1.6344504496293875</v>
      </c>
      <c r="G552" s="37">
        <f t="shared" si="68"/>
        <v>9.1209192923374207</v>
      </c>
      <c r="H552" s="17">
        <f>SUM(C552:G552)</f>
        <v>10.972534487022461</v>
      </c>
      <c r="I552" s="17">
        <f>G552/H552*100</f>
        <v>83.125</v>
      </c>
      <c r="J552" s="17">
        <f>SQRT(I552*(100-I552)/(L552-1))</f>
        <v>1.2094235370501119</v>
      </c>
      <c r="K552" s="18">
        <f>100-I552</f>
        <v>16.875</v>
      </c>
      <c r="L552" s="1">
        <f>H541</f>
        <v>960</v>
      </c>
      <c r="M552">
        <v>4</v>
      </c>
      <c r="N552" s="1">
        <v>21767.360000000001</v>
      </c>
      <c r="O552" s="17">
        <f>N552/N553*100</f>
        <v>10.972534487022461</v>
      </c>
      <c r="P552" s="52">
        <f>((O552*O552*(I552/100)*(K552/100))/(L552-1))</f>
        <v>1.7610461680070799E-2</v>
      </c>
    </row>
    <row r="553" spans="1:16" x14ac:dyDescent="0.3">
      <c r="B553" t="s">
        <v>28</v>
      </c>
      <c r="C553" s="17">
        <f>SUM(C548:C552)</f>
        <v>1.1722275817341248</v>
      </c>
      <c r="D553" s="17">
        <f>SUM(D548:D552)</f>
        <v>6.6702238132799803</v>
      </c>
      <c r="E553" s="17">
        <f>SUM(E548:E552)</f>
        <v>59.12556951084337</v>
      </c>
      <c r="F553" s="17">
        <f>SUM(F548:F552)</f>
        <v>21.581539010910674</v>
      </c>
      <c r="G553" s="17">
        <f>SUM(G548:G552)</f>
        <v>11.450440083231857</v>
      </c>
      <c r="H553" s="1">
        <f>SUM(H547:H552)</f>
        <v>99.999999999999986</v>
      </c>
      <c r="I553" s="13" t="s">
        <v>24</v>
      </c>
      <c r="J553" s="12" t="s">
        <v>29</v>
      </c>
      <c r="N553" s="1">
        <f>SUM(N548:N552)</f>
        <v>198380.41999999998</v>
      </c>
      <c r="O553" s="17">
        <f>SUM(O548:O552)</f>
        <v>100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0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8.3447617099920574E-2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0.14493032623847255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0.18544758373038692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0.18885350447624294</v>
      </c>
      <c r="H554" s="1"/>
      <c r="I554" s="56">
        <f>(C548+D549+E550+F551+G552)/H553</f>
        <v>0.94251157118839335</v>
      </c>
      <c r="J554" s="53">
        <f>SQRT(SUM(P548:P552))/100</f>
        <v>2.1977447036761449E-3</v>
      </c>
      <c r="M554" s="1"/>
      <c r="N554" s="9"/>
    </row>
    <row r="555" spans="1:16" x14ac:dyDescent="0.3">
      <c r="B555" s="1" t="s">
        <v>30</v>
      </c>
      <c r="C555" s="17">
        <f>C548/C553*100</f>
        <v>100</v>
      </c>
      <c r="D555" s="17">
        <f>D549/D553*100</f>
        <v>89.368911865141925</v>
      </c>
      <c r="E555" s="17">
        <f>E550/E553*100</f>
        <v>98.911193193342001</v>
      </c>
      <c r="F555" s="17">
        <f>F551/F553*100</f>
        <v>90.424957684759661</v>
      </c>
      <c r="G555" s="17">
        <f>G552/G553*100</f>
        <v>79.655622194767773</v>
      </c>
      <c r="H555" s="1"/>
    </row>
    <row r="556" spans="1:16" x14ac:dyDescent="0.3">
      <c r="B556" s="16" t="s">
        <v>39</v>
      </c>
      <c r="C556" s="18">
        <f>SQRT((C559+C560)/(C553*C553))</f>
        <v>0</v>
      </c>
      <c r="D556" s="18">
        <f>SQRT((D559+D560)/(D553*D553))</f>
        <v>1.15946911598791</v>
      </c>
      <c r="E556" s="18">
        <f>SQRT((E559+E560)/(E553*E553))</f>
        <v>0.1375048768332584</v>
      </c>
      <c r="F556" s="18">
        <f>SQRT((F559+F560)/(F553*F553))</f>
        <v>0.7975471708599704</v>
      </c>
      <c r="G556" s="18">
        <f>SQRT((G559+G560)/(G553*G553))</f>
        <v>2.5365628646134519</v>
      </c>
      <c r="H556" s="1"/>
    </row>
    <row r="557" spans="1:16" x14ac:dyDescent="0.3">
      <c r="B557" s="1" t="s">
        <v>37</v>
      </c>
      <c r="C557" s="18">
        <f>100-C555</f>
        <v>0</v>
      </c>
      <c r="D557" s="18">
        <f>100-D555</f>
        <v>10.631088134858075</v>
      </c>
      <c r="E557" s="18">
        <f>100-E555</f>
        <v>1.088806806657999</v>
      </c>
      <c r="F557" s="18">
        <f>100-F555</f>
        <v>9.5750423152403386</v>
      </c>
      <c r="G557" s="18">
        <f>100-G555</f>
        <v>20.344377805232227</v>
      </c>
    </row>
    <row r="558" spans="1:16" ht="15.6" x14ac:dyDescent="0.35">
      <c r="B558" s="1" t="s">
        <v>25</v>
      </c>
      <c r="C558" s="1">
        <f>C542</f>
        <v>259</v>
      </c>
      <c r="D558" s="1">
        <f>D542</f>
        <v>422</v>
      </c>
      <c r="E558" s="1">
        <f>E542</f>
        <v>7241</v>
      </c>
      <c r="F558" s="1">
        <f>F542</f>
        <v>2557</v>
      </c>
      <c r="G558" s="1">
        <f>G542</f>
        <v>1081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14.187558799038291</v>
      </c>
      <c r="E559" s="18">
        <f>(O550*O550*(100-E555)*(100-E555)*(I550)*(100-I550))/((L550-1)*100)</f>
        <v>1.7110196458655536</v>
      </c>
      <c r="F559" s="18">
        <f>(O551*O551*(100-F555)*(100-F555)*(I551)*(100-I551))/((L551-1)*100)</f>
        <v>137.54187555422951</v>
      </c>
      <c r="G559" s="18">
        <f>(O552*O552*(100-G555)*(100-G555)*(I552)*(100-I552))/((L552-1)*100)</f>
        <v>728.88592893230145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45.625936692830692</v>
      </c>
      <c r="E560" s="18">
        <f>E555*E555*(SUM((H548*E548*(1-E537/H537))/(H537-1),(H549*E549*(1-E538/H538))/(H538-1), (H551*E551*(1-E540/H540))/(H540-1),(H552*E552*(1-E541/H541))/(H541-1)))</f>
        <v>64.386760889477486</v>
      </c>
      <c r="F560" s="18">
        <f>F555*F555*(SUM((H548*F548*(1-F537/H537))/(H537-1),(H549*F549*(1-F538/H538))/(H538-1), (H550*F550*(1-F539/H539))/(H539-1),(H552*F552*(1-F541/H541))/(H541-1)))</f>
        <v>158.72123672704606</v>
      </c>
      <c r="G560" s="18">
        <f>G555*G555*(SUM((H548*G548*(1-G537/H537))/(H537-1),(H549*G549*(1-G538/H538))/(H538-1), (H550*G550*(1-G539/H539))/(H539-1),(H551*G551*(1-G540/H540))/(H540-1)))</f>
        <v>114.71221834287007</v>
      </c>
    </row>
    <row r="561" spans="1:16" x14ac:dyDescent="0.3">
      <c r="A561" s="105" t="s">
        <v>390</v>
      </c>
      <c r="B561" s="69" t="s">
        <v>9</v>
      </c>
      <c r="C561" s="1">
        <v>290.26</v>
      </c>
      <c r="D561" s="1">
        <v>2444.1</v>
      </c>
      <c r="E561" s="1">
        <v>16187.93</v>
      </c>
      <c r="F561">
        <v>2002.5</v>
      </c>
      <c r="G561">
        <v>1220.1600000000001</v>
      </c>
      <c r="I561" t="s">
        <v>36</v>
      </c>
      <c r="J561" s="57">
        <f>SUM(C561:G561)</f>
        <v>22144.95</v>
      </c>
    </row>
    <row r="562" spans="1:16" x14ac:dyDescent="0.3">
      <c r="B562" t="s">
        <v>391</v>
      </c>
      <c r="C562" s="57">
        <f>(C561/$J561)*100</f>
        <v>1.3107277279921608</v>
      </c>
      <c r="D562" s="57">
        <f>(D561/$J561)*100</f>
        <v>11.036827809500585</v>
      </c>
      <c r="E562" s="57">
        <f>(E561/$J561)*100</f>
        <v>73.099871528271692</v>
      </c>
      <c r="F562" s="57">
        <f>(F561/$J561)*100</f>
        <v>9.0426937066915922</v>
      </c>
      <c r="G562" s="57">
        <f>(G561/$J561)*100</f>
        <v>5.5098792275439772</v>
      </c>
    </row>
    <row r="563" spans="1:16" x14ac:dyDescent="0.3">
      <c r="A563" s="361" t="s">
        <v>397</v>
      </c>
      <c r="B563" s="361"/>
      <c r="C563" s="361"/>
      <c r="D563" s="361"/>
      <c r="E563" s="361"/>
      <c r="F563" s="361"/>
      <c r="G563" s="361"/>
      <c r="H563" s="361"/>
      <c r="I563" s="361"/>
      <c r="J563" s="361"/>
      <c r="K563" s="361"/>
      <c r="L563" s="361" t="s">
        <v>97</v>
      </c>
      <c r="M563" s="361"/>
      <c r="N563" s="361"/>
      <c r="O563" s="361"/>
      <c r="P563" s="361"/>
    </row>
    <row r="564" spans="1:16" x14ac:dyDescent="0.3">
      <c r="A564" t="s">
        <v>15</v>
      </c>
      <c r="B564" t="s">
        <v>21</v>
      </c>
      <c r="I564" s="1" t="s">
        <v>58</v>
      </c>
      <c r="O564" s="360" t="s">
        <v>411</v>
      </c>
      <c r="P564" s="360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56</v>
      </c>
      <c r="O565" s="13" t="s">
        <v>412</v>
      </c>
      <c r="P565" s="13" t="s">
        <v>41</v>
      </c>
    </row>
    <row r="566" spans="1:16" x14ac:dyDescent="0.3">
      <c r="A566" t="s">
        <v>3</v>
      </c>
      <c r="B566" s="13">
        <v>0</v>
      </c>
      <c r="C566" s="26">
        <v>259</v>
      </c>
      <c r="D566" s="3">
        <v>0</v>
      </c>
      <c r="E566" s="3">
        <v>0</v>
      </c>
      <c r="F566" s="3">
        <v>0</v>
      </c>
      <c r="G566" s="4">
        <v>0</v>
      </c>
      <c r="H566" s="1">
        <f>SUM(C566:G566)</f>
        <v>259</v>
      </c>
      <c r="I566" s="10">
        <f>C566/H566</f>
        <v>1</v>
      </c>
      <c r="J566" s="11">
        <f>1-I566</f>
        <v>0</v>
      </c>
      <c r="K566">
        <f>H566-C571</f>
        <v>0</v>
      </c>
      <c r="N566" s="10">
        <f>2*(C572*I566)/(C572+I566)</f>
        <v>1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336</v>
      </c>
      <c r="E567" s="1">
        <v>3</v>
      </c>
      <c r="F567" s="1">
        <v>0</v>
      </c>
      <c r="G567" s="6">
        <v>0</v>
      </c>
      <c r="H567" s="1">
        <f>SUM(C567:G567)</f>
        <v>339</v>
      </c>
      <c r="I567" s="10">
        <f>D567/H567</f>
        <v>0.99115044247787609</v>
      </c>
      <c r="J567" s="11">
        <f>1-I567</f>
        <v>8.8495575221239076E-3</v>
      </c>
      <c r="K567">
        <f>H567-D571</f>
        <v>-80</v>
      </c>
      <c r="N567" s="10">
        <f>2*(D572*I567)/(D572+I567)</f>
        <v>0.88654353562005273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83</v>
      </c>
      <c r="E568" s="27">
        <v>7168</v>
      </c>
      <c r="F568" s="1">
        <v>56</v>
      </c>
      <c r="G568" s="6">
        <v>92</v>
      </c>
      <c r="H568" s="1">
        <f>SUM(C568:G568)</f>
        <v>7399</v>
      </c>
      <c r="I568" s="10">
        <f>E568/H568</f>
        <v>0.96877956480605487</v>
      </c>
      <c r="J568" s="11">
        <f>1-I568</f>
        <v>3.1220435193945129E-2</v>
      </c>
      <c r="K568">
        <f>H568-E571</f>
        <v>172</v>
      </c>
      <c r="N568" s="10">
        <f>2*(E572*I568)/(E572+I568)</f>
        <v>0.98017229591139066</v>
      </c>
      <c r="O568" s="1"/>
      <c r="P568" s="1"/>
    </row>
    <row r="569" spans="1:16" x14ac:dyDescent="0.3">
      <c r="A569" t="s">
        <v>6</v>
      </c>
      <c r="B569" s="13">
        <v>3</v>
      </c>
      <c r="C569" s="5">
        <v>0</v>
      </c>
      <c r="D569" s="1">
        <v>0</v>
      </c>
      <c r="E569" s="1">
        <v>39</v>
      </c>
      <c r="F569" s="27">
        <v>2361</v>
      </c>
      <c r="G569" s="6">
        <v>203</v>
      </c>
      <c r="H569" s="1">
        <f>SUM(C569:G569)</f>
        <v>2603</v>
      </c>
      <c r="I569" s="10">
        <f>F569/H569</f>
        <v>0.90703034959661932</v>
      </c>
      <c r="J569" s="11">
        <f>1-I569</f>
        <v>9.2969650403380677E-2</v>
      </c>
      <c r="K569">
        <f>H569-F571</f>
        <v>30</v>
      </c>
      <c r="N569" s="10">
        <f>2*(F572*I569)/(F572+I569)</f>
        <v>0.91228748068006182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0</v>
      </c>
      <c r="E570" s="8">
        <v>17</v>
      </c>
      <c r="F570" s="8">
        <v>156</v>
      </c>
      <c r="G570" s="28">
        <v>787</v>
      </c>
      <c r="H570" s="1">
        <f>SUM(C570:G570)</f>
        <v>960</v>
      </c>
      <c r="I570" s="10">
        <f>G570/H570</f>
        <v>0.8197916666666667</v>
      </c>
      <c r="J570" s="11">
        <f>1-I570</f>
        <v>0.1802083333333333</v>
      </c>
      <c r="K570">
        <f>H570-G571</f>
        <v>-122</v>
      </c>
      <c r="N570" s="10">
        <f>2*(G572*I570)/(G572+I570)</f>
        <v>0.7708129285014691</v>
      </c>
      <c r="O570" s="1"/>
      <c r="P570" s="1"/>
    </row>
    <row r="571" spans="1:16" ht="15.6" x14ac:dyDescent="0.35">
      <c r="B571" s="1" t="s">
        <v>19</v>
      </c>
      <c r="C571" s="1">
        <f>SUM(C566:C570)</f>
        <v>259</v>
      </c>
      <c r="D571" s="1">
        <f>SUM(D566:D570)</f>
        <v>419</v>
      </c>
      <c r="E571" s="1">
        <f>SUM(E566:E570)</f>
        <v>7227</v>
      </c>
      <c r="F571" s="1">
        <f>SUM(F566:F570)</f>
        <v>2573</v>
      </c>
      <c r="G571" s="1">
        <f>SUM(G566:G570)</f>
        <v>1082</v>
      </c>
      <c r="H571" s="1">
        <f>SUM(H565:H570)</f>
        <v>11560</v>
      </c>
      <c r="I571" s="13" t="s">
        <v>12</v>
      </c>
      <c r="N571" s="16" t="s">
        <v>36</v>
      </c>
      <c r="O571" s="1">
        <f>SUM(O566:O570)</f>
        <v>0</v>
      </c>
      <c r="P571" s="1">
        <f>SUM(P566:P570)</f>
        <v>0</v>
      </c>
    </row>
    <row r="572" spans="1:16" x14ac:dyDescent="0.3">
      <c r="A572" s="1" t="s">
        <v>57</v>
      </c>
      <c r="B572" s="1" t="s">
        <v>2</v>
      </c>
      <c r="C572" s="10">
        <f>C566/C571</f>
        <v>1</v>
      </c>
      <c r="D572" s="10">
        <f>D567/D571</f>
        <v>0.80190930787589498</v>
      </c>
      <c r="E572" s="10">
        <f>E568/E571</f>
        <v>0.99183616991836165</v>
      </c>
      <c r="F572" s="10">
        <f>F569/F571</f>
        <v>0.9176059075009716</v>
      </c>
      <c r="G572" s="10">
        <f>G570/G571</f>
        <v>0.72735674676524953</v>
      </c>
      <c r="H572" s="10"/>
      <c r="I572" s="14">
        <f>(C566+D567+E568+F569+G570)/H571</f>
        <v>0.94385813148788922</v>
      </c>
    </row>
    <row r="573" spans="1:16" x14ac:dyDescent="0.3">
      <c r="B573" s="1" t="s">
        <v>14</v>
      </c>
      <c r="C573" s="11">
        <f>1-C572</f>
        <v>0</v>
      </c>
      <c r="D573" s="11">
        <f>1-D572</f>
        <v>0.19809069212410502</v>
      </c>
      <c r="E573" s="11">
        <f>1-E572</f>
        <v>8.1638300816383458E-3</v>
      </c>
      <c r="F573" s="11">
        <f>1-F572</f>
        <v>8.2394092499028404E-2</v>
      </c>
      <c r="G573" s="11">
        <f>1-G572</f>
        <v>0.27264325323475047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1.1739515421935289</v>
      </c>
      <c r="D577" s="31">
        <f>(D566/$L577)*$O577</f>
        <v>0</v>
      </c>
      <c r="E577" s="31">
        <f>(E566/$L577)*$O577</f>
        <v>0</v>
      </c>
      <c r="F577" s="31">
        <f>(F566/$L577)*$O577</f>
        <v>0</v>
      </c>
      <c r="G577" s="32">
        <f>(G566/$L577)*$O577</f>
        <v>0</v>
      </c>
      <c r="H577" s="17">
        <f>SUM(C577:G577)</f>
        <v>1.1739515421935289</v>
      </c>
      <c r="I577" s="17">
        <f>C577/H577*100</f>
        <v>100</v>
      </c>
      <c r="J577" s="17">
        <f>SQRT(I577*(100-I577)/(L577-1))</f>
        <v>0</v>
      </c>
      <c r="K577" s="18">
        <f>100-I577</f>
        <v>0</v>
      </c>
      <c r="L577" s="1">
        <f>H566</f>
        <v>259</v>
      </c>
      <c r="M577">
        <v>0</v>
      </c>
      <c r="N577" s="1">
        <v>2328.89</v>
      </c>
      <c r="O577" s="17">
        <f>N577/N582*100</f>
        <v>1.1739515421935289</v>
      </c>
      <c r="P577" s="52">
        <f>((O577*O577*(I577/100)*(K577/100))/(L577-1))</f>
        <v>0</v>
      </c>
    </row>
    <row r="578" spans="1:16" x14ac:dyDescent="0.3">
      <c r="A578" t="s">
        <v>4</v>
      </c>
      <c r="B578" s="13">
        <v>1</v>
      </c>
      <c r="C578" s="33">
        <f t="shared" ref="C578:G581" si="69">(C567/$L578)*$O578</f>
        <v>0</v>
      </c>
      <c r="D578" s="34">
        <f t="shared" si="69"/>
        <v>6.0480433529224991</v>
      </c>
      <c r="E578" s="19">
        <f t="shared" si="69"/>
        <v>5.4000387079665174E-2</v>
      </c>
      <c r="F578" s="18">
        <f t="shared" si="69"/>
        <v>0</v>
      </c>
      <c r="G578" s="20">
        <f t="shared" si="69"/>
        <v>0</v>
      </c>
      <c r="H578" s="17">
        <f>SUM(C578:G578)</f>
        <v>6.1020437400021645</v>
      </c>
      <c r="I578" s="17">
        <f>D578/H578*100</f>
        <v>99.115044247787608</v>
      </c>
      <c r="J578" s="17">
        <f>SQRT(I578*(100-I578)/(L578-1))</f>
        <v>0.50941557342055088</v>
      </c>
      <c r="K578" s="18">
        <f>100-I578</f>
        <v>0.88495575221239164</v>
      </c>
      <c r="L578" s="1">
        <f>H567</f>
        <v>339</v>
      </c>
      <c r="M578">
        <v>1</v>
      </c>
      <c r="N578" s="1">
        <v>12105.26</v>
      </c>
      <c r="O578" s="17">
        <f>N578/N582*100</f>
        <v>6.1020437400021645</v>
      </c>
      <c r="P578" s="52">
        <f>((O578*O578*(I578/100)*(K578/100))/(L578-1))</f>
        <v>9.6626237317281585E-4</v>
      </c>
    </row>
    <row r="579" spans="1:16" x14ac:dyDescent="0.3">
      <c r="A579" t="s">
        <v>5</v>
      </c>
      <c r="B579" s="13">
        <v>2</v>
      </c>
      <c r="C579" s="33">
        <f t="shared" si="69"/>
        <v>0</v>
      </c>
      <c r="D579" s="19">
        <f t="shared" si="69"/>
        <v>0.67499339827900995</v>
      </c>
      <c r="E579" s="34">
        <f t="shared" si="69"/>
        <v>58.293405769445101</v>
      </c>
      <c r="F579" s="19">
        <f t="shared" si="69"/>
        <v>0.45541723257378985</v>
      </c>
      <c r="G579" s="20">
        <f t="shared" si="69"/>
        <v>0.74818545351408339</v>
      </c>
      <c r="H579" s="17">
        <f>SUM(C579:G579)</f>
        <v>60.172001853811977</v>
      </c>
      <c r="I579" s="17">
        <f>E579/H579*100</f>
        <v>96.877956480605505</v>
      </c>
      <c r="J579" s="17">
        <f>SQRT(I579*(100-I579)/(L579-1))</f>
        <v>0.20219704180538711</v>
      </c>
      <c r="K579" s="18">
        <f>100-I579</f>
        <v>3.1220435193944951</v>
      </c>
      <c r="L579" s="1">
        <f>H568</f>
        <v>7399</v>
      </c>
      <c r="M579">
        <v>2</v>
      </c>
      <c r="N579" s="1">
        <v>119369.47</v>
      </c>
      <c r="O579" s="17">
        <f>N579/N582*100</f>
        <v>60.172001853811985</v>
      </c>
      <c r="P579" s="52">
        <f>((O579*O579*(I579/100)*(K579/100))/(L579-1))</f>
        <v>1.4802617440239099E-2</v>
      </c>
    </row>
    <row r="580" spans="1:16" x14ac:dyDescent="0.3">
      <c r="A580" t="s">
        <v>6</v>
      </c>
      <c r="B580" s="13">
        <v>3</v>
      </c>
      <c r="C580" s="33">
        <f t="shared" si="69"/>
        <v>0</v>
      </c>
      <c r="D580" s="19">
        <f t="shared" si="69"/>
        <v>0</v>
      </c>
      <c r="E580" s="19">
        <f t="shared" si="69"/>
        <v>0.32689787589817165</v>
      </c>
      <c r="F580" s="34">
        <f t="shared" si="69"/>
        <v>19.789894487066238</v>
      </c>
      <c r="G580" s="20">
        <f t="shared" si="69"/>
        <v>1.7015453540340728</v>
      </c>
      <c r="H580" s="17">
        <f>SUM(C580:G580)</f>
        <v>21.818337716998485</v>
      </c>
      <c r="I580" s="17">
        <f>F580/H580*100</f>
        <v>90.70303495966192</v>
      </c>
      <c r="J580" s="17">
        <f>SQRT(I580*(100-I580)/(L580-1))</f>
        <v>0.56928253761854442</v>
      </c>
      <c r="K580" s="18">
        <f>100-I580</f>
        <v>9.2969650403380797</v>
      </c>
      <c r="L580" s="1">
        <f>H569</f>
        <v>2603</v>
      </c>
      <c r="M580">
        <v>3</v>
      </c>
      <c r="N580" s="1">
        <v>43283.31</v>
      </c>
      <c r="O580" s="17">
        <f>N580/N582*100</f>
        <v>21.818337716998482</v>
      </c>
      <c r="P580" s="52">
        <f>((O580*O580*(I580/100)*(K580/100))/(L580-1))</f>
        <v>1.5427623940569945E-2</v>
      </c>
    </row>
    <row r="581" spans="1:16" x14ac:dyDescent="0.3">
      <c r="A581" t="s">
        <v>7</v>
      </c>
      <c r="B581" s="13">
        <v>4</v>
      </c>
      <c r="C581" s="35">
        <f t="shared" si="69"/>
        <v>0</v>
      </c>
      <c r="D581" s="36">
        <f t="shared" si="69"/>
        <v>0</v>
      </c>
      <c r="E581" s="21">
        <f t="shared" si="69"/>
        <v>0.1900753203113493</v>
      </c>
      <c r="F581" s="21">
        <f t="shared" si="69"/>
        <v>1.7442205863864995</v>
      </c>
      <c r="G581" s="37">
        <f t="shared" si="69"/>
        <v>8.7993692402959951</v>
      </c>
      <c r="H581" s="17">
        <f>SUM(C581:G581)</f>
        <v>10.733665146993843</v>
      </c>
      <c r="I581" s="17">
        <f>G581/H581*100</f>
        <v>81.979166666666671</v>
      </c>
      <c r="J581" s="17">
        <f>SQRT(I581*(100-I581)/(L581-1))</f>
        <v>1.241166031241163</v>
      </c>
      <c r="K581" s="18">
        <f>100-I581</f>
        <v>18.020833333333329</v>
      </c>
      <c r="L581" s="1">
        <f>H570</f>
        <v>960</v>
      </c>
      <c r="M581">
        <v>4</v>
      </c>
      <c r="N581" s="1">
        <v>21293.49</v>
      </c>
      <c r="O581" s="17">
        <f>N581/N582*100</f>
        <v>10.733665146993843</v>
      </c>
      <c r="P581" s="52">
        <f>((O581*O581*(I581/100)*(K581/100))/(L581-1))</f>
        <v>1.7748262672604272E-2</v>
      </c>
    </row>
    <row r="582" spans="1:16" x14ac:dyDescent="0.3">
      <c r="B582" t="s">
        <v>28</v>
      </c>
      <c r="C582" s="17">
        <f t="shared" ref="C582:H582" si="70">SUM(C577:C581)</f>
        <v>1.1739515421935289</v>
      </c>
      <c r="D582" s="17">
        <f t="shared" si="70"/>
        <v>6.7230367512015086</v>
      </c>
      <c r="E582" s="17">
        <f t="shared" si="70"/>
        <v>58.864379352734289</v>
      </c>
      <c r="F582" s="17">
        <f t="shared" si="70"/>
        <v>21.989532306026529</v>
      </c>
      <c r="G582" s="17">
        <f t="shared" si="70"/>
        <v>11.249100047844152</v>
      </c>
      <c r="H582" s="18">
        <f t="shared" si="70"/>
        <v>100</v>
      </c>
      <c r="I582" s="13" t="s">
        <v>24</v>
      </c>
      <c r="J582" s="12" t="s">
        <v>29</v>
      </c>
      <c r="N582" s="1">
        <f>SUM(N577:N581)</f>
        <v>198380.41999999998</v>
      </c>
      <c r="O582" s="17">
        <f>SUM(O577:O581)</f>
        <v>100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0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7.99448837212592E-2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0.14335484546256844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0.18822915183765596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0.19206449611666673</v>
      </c>
      <c r="H583" s="1"/>
      <c r="I583" s="56">
        <f>(C577+D578+E579+F580+G581)/H582</f>
        <v>0.94104664391923365</v>
      </c>
      <c r="J583" s="53">
        <f>SQRT(SUM(P577:P581))/100</f>
        <v>2.212346411089053E-3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89.959992437072756</v>
      </c>
      <c r="E584" s="17">
        <f>E579/E582*100</f>
        <v>99.030018511079959</v>
      </c>
      <c r="F584" s="17">
        <f>F580/F582*100</f>
        <v>89.996886753441999</v>
      </c>
      <c r="G584" s="17">
        <f>G581/G582*100</f>
        <v>78.222872966467762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1.0897027249808939</v>
      </c>
      <c r="E585" s="18">
        <f>SQRT((E588+E589)/(E582*E582))</f>
        <v>0.12920204319278819</v>
      </c>
      <c r="F585" s="18">
        <f>SQRT((F588+F589)/(F582*F582))</f>
        <v>0.80913370773805615</v>
      </c>
      <c r="G585" s="18">
        <f>SQRT((G588+G589)/(G582*G582))</f>
        <v>2.7528576638671831</v>
      </c>
      <c r="H585" s="1"/>
    </row>
    <row r="586" spans="1:16" x14ac:dyDescent="0.3">
      <c r="B586" s="1" t="s">
        <v>37</v>
      </c>
      <c r="C586" s="18">
        <f>100-C584</f>
        <v>0</v>
      </c>
      <c r="D586" s="18">
        <f>100-D584</f>
        <v>10.040007562927244</v>
      </c>
      <c r="E586" s="18">
        <f>100-E584</f>
        <v>0.9699814889200411</v>
      </c>
      <c r="F586" s="18">
        <f>100-F584</f>
        <v>10.003113246558001</v>
      </c>
      <c r="G586" s="18">
        <f>100-G584</f>
        <v>21.777127033532238</v>
      </c>
    </row>
    <row r="587" spans="1:16" ht="15.6" x14ac:dyDescent="0.35">
      <c r="B587" s="1" t="s">
        <v>25</v>
      </c>
      <c r="C587" s="1">
        <f>C571</f>
        <v>259</v>
      </c>
      <c r="D587" s="1">
        <f>D571</f>
        <v>419</v>
      </c>
      <c r="E587" s="1">
        <f>E571</f>
        <v>7227</v>
      </c>
      <c r="F587" s="1">
        <f>F571</f>
        <v>2573</v>
      </c>
      <c r="G587" s="1">
        <f>G571</f>
        <v>1082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9.7400939975734477</v>
      </c>
      <c r="E588" s="18">
        <f>(O579*O579*(100-E584)*(100-E584)*(I579)*(100-I579))/((L579-1)*100)</f>
        <v>1.3927251170469261</v>
      </c>
      <c r="F588" s="18">
        <f>(O580*O580*(100-F584)*(100-F584)*(I580)*(100-I580))/((L580-1)*100)</f>
        <v>154.37231435288399</v>
      </c>
      <c r="G588" s="18">
        <f>(O581*O581*(100-G584)*(100-G584)*(I581)*(100-I581))/((L581-1)*100)</f>
        <v>841.69939817531372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43.931815242976377</v>
      </c>
      <c r="E589" s="18">
        <f>E584*E584*(SUM((H577*E577*(1-E566/H566))/(H566-1),(H578*E578*(1-E567/H567))/(H567-1), (H580*E580*(1-E569/H569))/(H569-1),(H581*E581*(1-E570/H570))/(H570-1)))</f>
        <v>56.449354893719544</v>
      </c>
      <c r="F589" s="18">
        <f>F584*F584*(SUM((H577*F577*(1-F566/H566))/(H566-1),(H578*F578*(1-F567/H567))/(H567-1), (H579*F579*(1-F568/H568))/(H568-1),(H581*F581*(1-F570/H570))/(H570-1)))</f>
        <v>162.19973862157397</v>
      </c>
      <c r="G589" s="18">
        <f>G584*G584*(SUM((H577*G577*(1-G566/H566))/(H566-1),(H578*G578*(1-G567/H567))/(H567-1), (H579*G579*(1-G568/H568))/(H568-1),(H580*G580*(1-G569/H569))/(H569-1)))</f>
        <v>117.26629880527464</v>
      </c>
    </row>
    <row r="590" spans="1:16" x14ac:dyDescent="0.3">
      <c r="A590" s="105" t="s">
        <v>390</v>
      </c>
      <c r="B590" s="69" t="s">
        <v>9</v>
      </c>
      <c r="C590" s="1">
        <v>292.60000000000002</v>
      </c>
      <c r="D590" s="1">
        <v>2557.62</v>
      </c>
      <c r="E590" s="1">
        <v>16050.82</v>
      </c>
      <c r="F590">
        <v>2088.4699999999998</v>
      </c>
      <c r="G590">
        <v>1155.43</v>
      </c>
      <c r="I590" t="s">
        <v>36</v>
      </c>
      <c r="J590" s="57">
        <f>SUM(C590:G590)</f>
        <v>22144.940000000002</v>
      </c>
    </row>
    <row r="591" spans="1:16" x14ac:dyDescent="0.3">
      <c r="B591" t="s">
        <v>391</v>
      </c>
      <c r="C591" s="57">
        <f>(C590/$J590)*100</f>
        <v>1.321295067857488</v>
      </c>
      <c r="D591" s="57">
        <f>(D590/$J590)*100</f>
        <v>11.549455541536799</v>
      </c>
      <c r="E591" s="57">
        <f>(E590/$J590)*100</f>
        <v>72.48075632627588</v>
      </c>
      <c r="F591" s="57">
        <f>(F590/$J590)*100</f>
        <v>9.430912885742746</v>
      </c>
      <c r="G591" s="57">
        <f>(G590/$J590)*100</f>
        <v>5.2175801785870712</v>
      </c>
    </row>
    <row r="592" spans="1:16" x14ac:dyDescent="0.3">
      <c r="A592" s="361"/>
      <c r="B592" s="361"/>
      <c r="C592" s="361"/>
      <c r="D592" s="361"/>
      <c r="E592" s="361"/>
      <c r="F592" s="361"/>
      <c r="G592" s="361"/>
      <c r="H592" s="361"/>
      <c r="I592" s="361"/>
      <c r="J592" s="361"/>
      <c r="K592" s="361"/>
      <c r="L592" s="361"/>
      <c r="M592" s="361"/>
      <c r="N592" s="361"/>
      <c r="O592" s="361"/>
      <c r="P592" s="361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61"/>
      <c r="B621" s="361"/>
      <c r="C621" s="361"/>
      <c r="D621" s="361"/>
      <c r="E621" s="361"/>
      <c r="F621" s="361"/>
      <c r="G621" s="361"/>
      <c r="H621" s="361"/>
      <c r="I621" s="361"/>
      <c r="J621" s="361"/>
      <c r="K621" s="361"/>
      <c r="L621" s="361"/>
      <c r="M621" s="361"/>
      <c r="N621" s="361"/>
      <c r="O621" s="361"/>
      <c r="P621" s="361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61"/>
      <c r="B650" s="361"/>
      <c r="C650" s="361"/>
      <c r="D650" s="361"/>
      <c r="E650" s="361"/>
      <c r="F650" s="361"/>
      <c r="G650" s="361"/>
      <c r="H650" s="361"/>
      <c r="I650" s="361"/>
      <c r="J650" s="361"/>
      <c r="K650" s="361"/>
      <c r="L650" s="361"/>
      <c r="M650" s="361"/>
      <c r="N650" s="361"/>
      <c r="O650" s="361"/>
      <c r="P650" s="361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61"/>
      <c r="B679" s="361"/>
      <c r="C679" s="361"/>
      <c r="D679" s="361"/>
      <c r="E679" s="361"/>
      <c r="F679" s="361"/>
      <c r="G679" s="361"/>
      <c r="H679" s="361"/>
      <c r="I679" s="361"/>
      <c r="J679" s="361"/>
      <c r="K679" s="361"/>
      <c r="L679" s="361"/>
      <c r="M679" s="361"/>
      <c r="N679" s="361"/>
      <c r="O679" s="361"/>
      <c r="P679" s="361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61"/>
      <c r="B708" s="361"/>
      <c r="C708" s="361"/>
      <c r="D708" s="361"/>
      <c r="E708" s="361"/>
      <c r="F708" s="361"/>
      <c r="G708" s="361"/>
      <c r="H708" s="361"/>
      <c r="I708" s="361"/>
      <c r="J708" s="361"/>
      <c r="K708" s="361"/>
      <c r="L708" s="361"/>
      <c r="M708" s="361"/>
      <c r="N708" s="361"/>
      <c r="O708" s="361"/>
      <c r="P708" s="361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61"/>
      <c r="B737" s="361"/>
      <c r="C737" s="361"/>
      <c r="D737" s="361"/>
      <c r="E737" s="361"/>
      <c r="F737" s="361"/>
      <c r="G737" s="361"/>
      <c r="H737" s="361"/>
      <c r="I737" s="361"/>
      <c r="J737" s="361"/>
      <c r="K737" s="361"/>
      <c r="L737" s="361"/>
      <c r="M737" s="361"/>
      <c r="N737" s="361"/>
      <c r="O737" s="361"/>
      <c r="P737" s="361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61"/>
      <c r="B766" s="361"/>
      <c r="C766" s="361"/>
      <c r="D766" s="361"/>
      <c r="E766" s="361"/>
      <c r="F766" s="361"/>
      <c r="G766" s="361"/>
      <c r="H766" s="361"/>
      <c r="I766" s="361"/>
      <c r="J766" s="361"/>
      <c r="K766" s="361"/>
      <c r="L766" s="361"/>
      <c r="M766" s="361"/>
      <c r="N766" s="361"/>
      <c r="O766" s="361"/>
      <c r="P766" s="361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61"/>
      <c r="B795" s="361"/>
      <c r="C795" s="361"/>
      <c r="D795" s="361"/>
      <c r="E795" s="361"/>
      <c r="F795" s="361"/>
      <c r="G795" s="361"/>
      <c r="H795" s="361"/>
      <c r="I795" s="361"/>
      <c r="J795" s="361"/>
      <c r="K795" s="361"/>
      <c r="L795" s="361"/>
      <c r="M795" s="361"/>
      <c r="N795" s="361"/>
      <c r="O795" s="361"/>
      <c r="P795" s="361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61"/>
      <c r="B824" s="361"/>
      <c r="C824" s="361"/>
      <c r="D824" s="361"/>
      <c r="E824" s="361"/>
      <c r="F824" s="361"/>
      <c r="G824" s="361"/>
      <c r="H824" s="361"/>
      <c r="I824" s="361"/>
      <c r="J824" s="361"/>
      <c r="K824" s="361"/>
      <c r="L824" s="361"/>
      <c r="M824" s="361"/>
      <c r="N824" s="361"/>
      <c r="O824" s="361"/>
      <c r="P824" s="361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61"/>
      <c r="B853" s="361"/>
      <c r="C853" s="361"/>
      <c r="D853" s="361"/>
      <c r="E853" s="361"/>
      <c r="F853" s="361"/>
      <c r="G853" s="361"/>
      <c r="H853" s="361"/>
      <c r="I853" s="361"/>
      <c r="J853" s="361"/>
      <c r="K853" s="361"/>
      <c r="L853" s="361"/>
      <c r="M853" s="361"/>
      <c r="N853" s="361"/>
      <c r="O853" s="361"/>
      <c r="P853" s="361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61"/>
      <c r="B882" s="361"/>
      <c r="C882" s="361"/>
      <c r="D882" s="361"/>
      <c r="E882" s="361"/>
      <c r="F882" s="361"/>
      <c r="G882" s="361"/>
      <c r="H882" s="361"/>
      <c r="I882" s="361"/>
      <c r="J882" s="361"/>
      <c r="K882" s="361"/>
      <c r="L882" s="361"/>
      <c r="M882" s="361"/>
      <c r="N882" s="361"/>
      <c r="O882" s="361"/>
      <c r="P882" s="361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61"/>
      <c r="B911" s="361"/>
      <c r="C911" s="361"/>
      <c r="D911" s="361"/>
      <c r="E911" s="361"/>
      <c r="F911" s="361"/>
      <c r="G911" s="361"/>
      <c r="H911" s="361"/>
      <c r="I911" s="361"/>
      <c r="J911" s="361"/>
      <c r="K911" s="361"/>
      <c r="L911" s="361"/>
      <c r="M911" s="361"/>
      <c r="N911" s="361"/>
      <c r="O911" s="361"/>
      <c r="P911" s="361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61"/>
      <c r="B940" s="361"/>
      <c r="C940" s="361"/>
      <c r="D940" s="361"/>
      <c r="E940" s="361"/>
      <c r="F940" s="361"/>
      <c r="G940" s="361"/>
      <c r="H940" s="361"/>
      <c r="I940" s="361"/>
      <c r="J940" s="361"/>
      <c r="K940" s="361"/>
      <c r="L940" s="361"/>
      <c r="M940" s="361"/>
      <c r="N940" s="361"/>
      <c r="O940" s="361"/>
      <c r="P940" s="361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61"/>
      <c r="B969" s="361"/>
      <c r="C969" s="361"/>
      <c r="D969" s="361"/>
      <c r="E969" s="361"/>
      <c r="F969" s="361"/>
      <c r="G969" s="361"/>
      <c r="H969" s="361"/>
      <c r="I969" s="361"/>
      <c r="J969" s="361"/>
      <c r="K969" s="361"/>
      <c r="L969" s="361"/>
      <c r="M969" s="361"/>
      <c r="N969" s="361"/>
      <c r="O969" s="361"/>
      <c r="P969" s="361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61"/>
      <c r="B998" s="361"/>
      <c r="C998" s="361"/>
      <c r="D998" s="361"/>
      <c r="E998" s="361"/>
      <c r="F998" s="361"/>
      <c r="G998" s="361"/>
      <c r="H998" s="361"/>
      <c r="I998" s="361"/>
      <c r="J998" s="361"/>
      <c r="K998" s="361"/>
      <c r="L998" s="361"/>
      <c r="M998" s="361"/>
      <c r="N998" s="361"/>
      <c r="O998" s="361"/>
      <c r="P998" s="361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61"/>
      <c r="B1027" s="361"/>
      <c r="C1027" s="361"/>
      <c r="D1027" s="361"/>
      <c r="E1027" s="361"/>
      <c r="F1027" s="361"/>
      <c r="G1027" s="361"/>
      <c r="H1027" s="361"/>
      <c r="I1027" s="361"/>
      <c r="J1027" s="361"/>
      <c r="K1027" s="361"/>
      <c r="L1027" s="361"/>
      <c r="M1027" s="361"/>
      <c r="N1027" s="361"/>
      <c r="O1027" s="361"/>
      <c r="P1027" s="361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61"/>
      <c r="B1056" s="361"/>
      <c r="C1056" s="361"/>
      <c r="D1056" s="361"/>
      <c r="E1056" s="361"/>
      <c r="F1056" s="361"/>
      <c r="G1056" s="361"/>
      <c r="H1056" s="361"/>
      <c r="I1056" s="361"/>
      <c r="J1056" s="361"/>
      <c r="K1056" s="361"/>
      <c r="L1056" s="361"/>
      <c r="M1056" s="361"/>
      <c r="N1056" s="361"/>
      <c r="O1056" s="361"/>
      <c r="P1056" s="361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61"/>
      <c r="B1085" s="361"/>
      <c r="C1085" s="361"/>
      <c r="D1085" s="361"/>
      <c r="E1085" s="361"/>
      <c r="F1085" s="361"/>
      <c r="G1085" s="361"/>
      <c r="H1085" s="361"/>
      <c r="I1085" s="361"/>
      <c r="J1085" s="361"/>
      <c r="K1085" s="361"/>
      <c r="L1085" s="361"/>
      <c r="M1085" s="361"/>
      <c r="N1085" s="361"/>
      <c r="O1085" s="361"/>
      <c r="P1085" s="361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61"/>
      <c r="B1114" s="361"/>
      <c r="C1114" s="361"/>
      <c r="D1114" s="361"/>
      <c r="E1114" s="361"/>
      <c r="F1114" s="361"/>
      <c r="G1114" s="361"/>
      <c r="H1114" s="361"/>
      <c r="I1114" s="361"/>
      <c r="J1114" s="361"/>
      <c r="K1114" s="361"/>
      <c r="L1114" s="361"/>
      <c r="M1114" s="361"/>
      <c r="N1114" s="361"/>
      <c r="O1114" s="361"/>
      <c r="P1114" s="361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61"/>
      <c r="B1143" s="361"/>
      <c r="C1143" s="361"/>
      <c r="D1143" s="361"/>
      <c r="E1143" s="361"/>
      <c r="F1143" s="361"/>
      <c r="G1143" s="361"/>
      <c r="H1143" s="361"/>
      <c r="I1143" s="361"/>
      <c r="J1143" s="361"/>
      <c r="K1143" s="361"/>
      <c r="L1143" s="361"/>
      <c r="M1143" s="361"/>
      <c r="N1143" s="361"/>
      <c r="O1143" s="361"/>
      <c r="P1143" s="361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61"/>
      <c r="B1172" s="361"/>
      <c r="C1172" s="361"/>
      <c r="D1172" s="361"/>
      <c r="E1172" s="361"/>
      <c r="F1172" s="361"/>
      <c r="G1172" s="361"/>
      <c r="H1172" s="361"/>
      <c r="I1172" s="361"/>
      <c r="J1172" s="361"/>
      <c r="K1172" s="361"/>
      <c r="L1172" s="361"/>
      <c r="M1172" s="361"/>
      <c r="N1172" s="361"/>
      <c r="O1172" s="361"/>
      <c r="P1172" s="361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61"/>
      <c r="B1201" s="361"/>
      <c r="C1201" s="361"/>
      <c r="D1201" s="361"/>
      <c r="E1201" s="361"/>
      <c r="F1201" s="361"/>
      <c r="G1201" s="361"/>
      <c r="H1201" s="361"/>
      <c r="I1201" s="361"/>
      <c r="J1201" s="361"/>
      <c r="K1201" s="361"/>
      <c r="L1201" s="361"/>
      <c r="M1201" s="361"/>
      <c r="N1201" s="361"/>
      <c r="O1201" s="361"/>
      <c r="P1201" s="361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61"/>
      <c r="B1230" s="361"/>
      <c r="C1230" s="361"/>
      <c r="D1230" s="361"/>
      <c r="E1230" s="361"/>
      <c r="F1230" s="361"/>
      <c r="G1230" s="361"/>
      <c r="H1230" s="361"/>
      <c r="I1230" s="361"/>
      <c r="J1230" s="361"/>
      <c r="K1230" s="361"/>
      <c r="L1230" s="361"/>
      <c r="M1230" s="361"/>
      <c r="N1230" s="361"/>
      <c r="O1230" s="361"/>
      <c r="P1230" s="361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61"/>
      <c r="B1259" s="361"/>
      <c r="C1259" s="361"/>
      <c r="D1259" s="361"/>
      <c r="E1259" s="361"/>
      <c r="F1259" s="361"/>
      <c r="G1259" s="361"/>
      <c r="H1259" s="361"/>
      <c r="I1259" s="361"/>
      <c r="J1259" s="361"/>
      <c r="K1259" s="361"/>
      <c r="L1259" s="361"/>
      <c r="M1259" s="361"/>
      <c r="N1259" s="361"/>
      <c r="O1259" s="361"/>
      <c r="P1259" s="361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61"/>
      <c r="B1288" s="361"/>
      <c r="C1288" s="361"/>
      <c r="D1288" s="361"/>
      <c r="E1288" s="361"/>
      <c r="F1288" s="361"/>
      <c r="G1288" s="361"/>
      <c r="H1288" s="361"/>
      <c r="I1288" s="361"/>
      <c r="J1288" s="361"/>
      <c r="K1288" s="361"/>
      <c r="L1288" s="361"/>
      <c r="M1288" s="361"/>
      <c r="N1288" s="361"/>
      <c r="O1288" s="361"/>
      <c r="P1288" s="361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61"/>
      <c r="B1317" s="361"/>
      <c r="C1317" s="361"/>
      <c r="D1317" s="361"/>
      <c r="E1317" s="361"/>
      <c r="F1317" s="361"/>
      <c r="G1317" s="361"/>
      <c r="H1317" s="361"/>
      <c r="I1317" s="361"/>
      <c r="J1317" s="361"/>
      <c r="K1317" s="361"/>
      <c r="L1317" s="361"/>
      <c r="M1317" s="361"/>
      <c r="N1317" s="361"/>
      <c r="O1317" s="361"/>
      <c r="P1317" s="361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61"/>
      <c r="B1346" s="361"/>
      <c r="C1346" s="361"/>
      <c r="D1346" s="361"/>
      <c r="E1346" s="361"/>
      <c r="F1346" s="361"/>
      <c r="G1346" s="361"/>
      <c r="H1346" s="361"/>
      <c r="I1346" s="361"/>
      <c r="J1346" s="361"/>
      <c r="K1346" s="361"/>
      <c r="L1346" s="361"/>
      <c r="M1346" s="361"/>
      <c r="N1346" s="361"/>
      <c r="O1346" s="361"/>
      <c r="P1346" s="361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61"/>
      <c r="B1375" s="361"/>
      <c r="C1375" s="361"/>
      <c r="D1375" s="361"/>
      <c r="E1375" s="361"/>
      <c r="F1375" s="361"/>
      <c r="G1375" s="361"/>
      <c r="H1375" s="361"/>
      <c r="I1375" s="361"/>
      <c r="J1375" s="361"/>
      <c r="K1375" s="361"/>
      <c r="L1375" s="361"/>
      <c r="M1375" s="361"/>
      <c r="N1375" s="361"/>
      <c r="O1375" s="361"/>
      <c r="P1375" s="361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61"/>
      <c r="B1404" s="361"/>
      <c r="C1404" s="361"/>
      <c r="D1404" s="361"/>
      <c r="E1404" s="361"/>
      <c r="F1404" s="361"/>
      <c r="G1404" s="361"/>
      <c r="H1404" s="361"/>
      <c r="I1404" s="361"/>
      <c r="J1404" s="361"/>
      <c r="K1404" s="361"/>
      <c r="L1404" s="361"/>
      <c r="M1404" s="361"/>
      <c r="N1404" s="361"/>
      <c r="O1404" s="361"/>
      <c r="P1404" s="361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61"/>
      <c r="B1433" s="361"/>
      <c r="C1433" s="361"/>
      <c r="D1433" s="361"/>
      <c r="E1433" s="361"/>
      <c r="F1433" s="361"/>
      <c r="G1433" s="361"/>
      <c r="H1433" s="361"/>
      <c r="I1433" s="361"/>
      <c r="J1433" s="361"/>
      <c r="K1433" s="361"/>
      <c r="L1433" s="361"/>
      <c r="M1433" s="361"/>
      <c r="N1433" s="361"/>
      <c r="O1433" s="361"/>
      <c r="P1433" s="361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sortState xmlns:xlrd2="http://schemas.microsoft.com/office/spreadsheetml/2017/richdata2" ref="BQ89:BQ108">
    <sortCondition ref="BQ89:BQ108"/>
  </sortState>
  <mergeCells count="123"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505:K505"/>
    <mergeCell ref="L505:P505"/>
    <mergeCell ref="A534:K534"/>
    <mergeCell ref="L534:P534"/>
    <mergeCell ref="A563:K563"/>
    <mergeCell ref="L563:P563"/>
    <mergeCell ref="A418:K418"/>
    <mergeCell ref="L418:P418"/>
    <mergeCell ref="A447:K447"/>
    <mergeCell ref="L447:P447"/>
    <mergeCell ref="A476:K476"/>
    <mergeCell ref="L476:P476"/>
    <mergeCell ref="A331:K331"/>
    <mergeCell ref="L331:P331"/>
    <mergeCell ref="A360:K360"/>
    <mergeCell ref="L360:P360"/>
    <mergeCell ref="A389:K389"/>
    <mergeCell ref="L389:P389"/>
    <mergeCell ref="A244:K244"/>
    <mergeCell ref="L244:P244"/>
    <mergeCell ref="A273:K273"/>
    <mergeCell ref="L273:P273"/>
    <mergeCell ref="A302:K302"/>
    <mergeCell ref="L302:P302"/>
    <mergeCell ref="O332:P332"/>
    <mergeCell ref="O361:P361"/>
    <mergeCell ref="A157:K157"/>
    <mergeCell ref="L157:P157"/>
    <mergeCell ref="A186:K186"/>
    <mergeCell ref="L186:P186"/>
    <mergeCell ref="A215:K215"/>
    <mergeCell ref="L215:P215"/>
    <mergeCell ref="AJ80:AT80"/>
    <mergeCell ref="AU80:AY80"/>
    <mergeCell ref="A99:K99"/>
    <mergeCell ref="L99:P99"/>
    <mergeCell ref="A128:K128"/>
    <mergeCell ref="L128:P128"/>
    <mergeCell ref="BF5:BN5"/>
    <mergeCell ref="A12:K12"/>
    <mergeCell ref="L12:P12"/>
    <mergeCell ref="A41:K41"/>
    <mergeCell ref="L41:P41"/>
    <mergeCell ref="A70:K70"/>
    <mergeCell ref="L70:P70"/>
    <mergeCell ref="O13:P13"/>
    <mergeCell ref="O42:P42"/>
    <mergeCell ref="O390:P390"/>
    <mergeCell ref="O419:P419"/>
    <mergeCell ref="O448:P448"/>
    <mergeCell ref="O477:P477"/>
    <mergeCell ref="O506:P506"/>
    <mergeCell ref="O535:P535"/>
    <mergeCell ref="O564:P564"/>
    <mergeCell ref="O71:P71"/>
    <mergeCell ref="O100:P100"/>
    <mergeCell ref="O129:P129"/>
    <mergeCell ref="O158:P158"/>
    <mergeCell ref="O187:P187"/>
    <mergeCell ref="O216:P216"/>
    <mergeCell ref="O245:P245"/>
    <mergeCell ref="O274:P274"/>
    <mergeCell ref="O303:P30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DBCBE-3651-4063-A396-838AD57C73CF}">
  <dimension ref="A1:BN1459"/>
  <sheetViews>
    <sheetView topLeftCell="AB94" zoomScale="80" zoomScaleNormal="80" workbookViewId="0">
      <selection activeCell="AL100" sqref="AL100:AP100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  <col min="63" max="64" width="12" bestFit="1" customWidth="1"/>
    <col min="65" max="65" width="9.109375" bestFit="1" customWidth="1"/>
  </cols>
  <sheetData>
    <row r="1" spans="1:66" x14ac:dyDescent="0.3">
      <c r="A1" s="12"/>
      <c r="B1" s="12" t="s">
        <v>10</v>
      </c>
      <c r="C1" s="12"/>
      <c r="D1" s="12"/>
      <c r="E1" s="12"/>
      <c r="F1" s="12"/>
      <c r="G1" t="s">
        <v>47</v>
      </c>
    </row>
    <row r="2" spans="1:66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G2" t="s">
        <v>46</v>
      </c>
      <c r="AG2" s="51" t="s">
        <v>127</v>
      </c>
      <c r="AH2" s="51" t="s">
        <v>131</v>
      </c>
    </row>
    <row r="3" spans="1:66" x14ac:dyDescent="0.3">
      <c r="A3" s="12" t="s">
        <v>3</v>
      </c>
      <c r="B3" s="103">
        <v>175.36</v>
      </c>
      <c r="C3" s="22">
        <f>B3/$B$8</f>
        <v>5.8291477331276827E-2</v>
      </c>
      <c r="D3" s="85">
        <v>0.02</v>
      </c>
      <c r="E3" s="86">
        <f>D3-C3</f>
        <v>-3.829147733127683E-2</v>
      </c>
      <c r="F3" s="12" t="s">
        <v>49</v>
      </c>
      <c r="G3" t="s">
        <v>50</v>
      </c>
      <c r="AG3" s="51" t="s">
        <v>128</v>
      </c>
      <c r="AH3" s="51" t="s">
        <v>134</v>
      </c>
    </row>
    <row r="4" spans="1:66" x14ac:dyDescent="0.3">
      <c r="A4" s="12" t="s">
        <v>4</v>
      </c>
      <c r="B4" s="103">
        <v>249.32</v>
      </c>
      <c r="C4" s="22">
        <f>B4/$B$8</f>
        <v>8.2876546123596809E-2</v>
      </c>
      <c r="D4" s="85">
        <v>7.0000000000000007E-2</v>
      </c>
      <c r="E4" s="86">
        <f>D4-C4</f>
        <v>-1.2876546123596802E-2</v>
      </c>
      <c r="F4" s="12" t="s">
        <v>49</v>
      </c>
      <c r="G4" t="s">
        <v>55</v>
      </c>
      <c r="AG4" s="51" t="s">
        <v>129</v>
      </c>
      <c r="AH4" s="51" t="s">
        <v>132</v>
      </c>
    </row>
    <row r="5" spans="1:66" ht="18" x14ac:dyDescent="0.35">
      <c r="A5" s="12" t="s">
        <v>5</v>
      </c>
      <c r="B5" s="103">
        <v>1402.65</v>
      </c>
      <c r="C5" s="22">
        <f>B5/$B$8</f>
        <v>0.46625536427187181</v>
      </c>
      <c r="D5" s="85">
        <v>0.48</v>
      </c>
      <c r="E5" s="86">
        <f>D5-C5</f>
        <v>1.3744635728128174E-2</v>
      </c>
      <c r="F5" s="12"/>
      <c r="AG5" s="51" t="s">
        <v>130</v>
      </c>
      <c r="AH5" s="51" t="s">
        <v>133</v>
      </c>
      <c r="BF5" s="362" t="s">
        <v>359</v>
      </c>
      <c r="BG5" s="362"/>
      <c r="BH5" s="362"/>
      <c r="BI5" s="362"/>
      <c r="BJ5" s="362"/>
      <c r="BK5" s="362"/>
      <c r="BL5" s="362"/>
      <c r="BM5" s="362"/>
      <c r="BN5" s="362"/>
    </row>
    <row r="6" spans="1:66" x14ac:dyDescent="0.3">
      <c r="A6" s="12" t="s">
        <v>6</v>
      </c>
      <c r="B6" s="103">
        <v>728.96</v>
      </c>
      <c r="C6" s="22">
        <f>B6/$B$8</f>
        <v>0.2423138418989938</v>
      </c>
      <c r="D6" s="85">
        <v>0.28000000000000003</v>
      </c>
      <c r="E6" s="86">
        <f>D6-C6</f>
        <v>3.7686158101006229E-2</v>
      </c>
      <c r="F6" s="12"/>
      <c r="I6" s="12"/>
      <c r="J6" s="12" t="s">
        <v>54</v>
      </c>
      <c r="K6" s="12"/>
      <c r="AG6" s="51" t="s">
        <v>155</v>
      </c>
      <c r="AH6" s="51" t="s">
        <v>157</v>
      </c>
      <c r="BF6" s="12" t="s">
        <v>376</v>
      </c>
    </row>
    <row r="7" spans="1:66" x14ac:dyDescent="0.3">
      <c r="A7" s="12" t="s">
        <v>7</v>
      </c>
      <c r="B7" s="103">
        <v>452.04</v>
      </c>
      <c r="C7" s="22">
        <f>B7/$B$8</f>
        <v>0.15026277037426081</v>
      </c>
      <c r="D7" s="85">
        <v>0.15</v>
      </c>
      <c r="E7" s="86">
        <f>D7-C7</f>
        <v>-2.6277037426081229E-4</v>
      </c>
      <c r="F7" s="12"/>
      <c r="I7" s="12"/>
      <c r="J7" s="12">
        <v>21517</v>
      </c>
      <c r="K7" s="12"/>
      <c r="AG7" s="51" t="s">
        <v>156</v>
      </c>
      <c r="AH7" s="51" t="s">
        <v>158</v>
      </c>
    </row>
    <row r="8" spans="1:66" ht="18" x14ac:dyDescent="0.35">
      <c r="A8" s="12"/>
      <c r="B8" s="103">
        <f>SUM(B3:B7)</f>
        <v>3008.33</v>
      </c>
      <c r="C8" s="61">
        <f>SUM(C3:C7)</f>
        <v>1</v>
      </c>
      <c r="D8" s="12"/>
      <c r="E8" s="12" t="s">
        <v>16</v>
      </c>
      <c r="F8" s="12">
        <v>178380</v>
      </c>
      <c r="I8" s="12" t="s">
        <v>60</v>
      </c>
      <c r="J8" s="12" t="s">
        <v>54</v>
      </c>
      <c r="K8" s="12" t="s">
        <v>59</v>
      </c>
      <c r="AG8" s="51" t="s">
        <v>210</v>
      </c>
      <c r="AH8" s="51" t="s">
        <v>215</v>
      </c>
      <c r="BF8" s="83"/>
    </row>
    <row r="9" spans="1:66" x14ac:dyDescent="0.3">
      <c r="A9" s="12"/>
      <c r="B9" s="87">
        <f>B8/0.09</f>
        <v>33425.888888888891</v>
      </c>
      <c r="C9" s="12" t="s">
        <v>48</v>
      </c>
      <c r="D9" s="12"/>
      <c r="E9" s="12" t="s">
        <v>51</v>
      </c>
      <c r="F9" s="88">
        <f>B8/F8</f>
        <v>1.6864726987330419E-2</v>
      </c>
      <c r="I9" s="12">
        <v>11462</v>
      </c>
      <c r="J9" s="12">
        <v>19142</v>
      </c>
      <c r="K9" s="89">
        <f>(J7-J9)/J7</f>
        <v>0.11037784077706</v>
      </c>
      <c r="AG9" s="51" t="s">
        <v>211</v>
      </c>
      <c r="AH9" s="51" t="s">
        <v>216</v>
      </c>
    </row>
    <row r="10" spans="1:66" x14ac:dyDescent="0.3">
      <c r="A10" s="130" t="s">
        <v>417</v>
      </c>
      <c r="B10" s="131">
        <v>43418</v>
      </c>
      <c r="F10" s="46"/>
      <c r="I10" s="89">
        <f>I9/(I9+J9)</f>
        <v>0.37452620572474188</v>
      </c>
      <c r="J10" s="89">
        <f>J9/(J9+I9)</f>
        <v>0.62547379427525818</v>
      </c>
      <c r="K10" s="12"/>
      <c r="AG10" s="51" t="s">
        <v>212</v>
      </c>
      <c r="AH10" s="51" t="s">
        <v>217</v>
      </c>
      <c r="BF10" s="82"/>
      <c r="BG10" s="1"/>
      <c r="BH10" s="59"/>
      <c r="BI10" s="1"/>
      <c r="BJ10" s="59"/>
      <c r="BK10" s="1"/>
    </row>
    <row r="11" spans="1:66" x14ac:dyDescent="0.3">
      <c r="B11" s="18"/>
      <c r="F11" s="46"/>
      <c r="I11" s="45"/>
      <c r="J11" s="45"/>
      <c r="AG11" s="51" t="s">
        <v>213</v>
      </c>
      <c r="AH11" s="51" t="s">
        <v>218</v>
      </c>
      <c r="BJ11" s="13"/>
      <c r="BK11" s="13"/>
    </row>
    <row r="12" spans="1:66" x14ac:dyDescent="0.3">
      <c r="A12" s="361" t="s">
        <v>401</v>
      </c>
      <c r="B12" s="361"/>
      <c r="C12" s="361"/>
      <c r="D12" s="361"/>
      <c r="E12" s="361"/>
      <c r="F12" s="361"/>
      <c r="G12" s="361"/>
      <c r="H12" s="361"/>
      <c r="I12" s="361"/>
      <c r="J12" s="361"/>
      <c r="K12" s="361"/>
      <c r="L12" s="361" t="s">
        <v>52</v>
      </c>
      <c r="M12" s="361"/>
      <c r="N12" s="361"/>
      <c r="O12" s="361"/>
      <c r="P12" s="361"/>
      <c r="R12" s="47" t="s">
        <v>401</v>
      </c>
      <c r="S12" s="47" t="s">
        <v>41</v>
      </c>
      <c r="T12" s="47"/>
      <c r="U12" s="47"/>
      <c r="V12" s="47"/>
      <c r="W12" s="47"/>
      <c r="X12" s="47"/>
      <c r="Y12" s="47"/>
      <c r="Z12" s="47"/>
      <c r="AA12" s="47"/>
      <c r="AB12" s="47" t="s">
        <v>63</v>
      </c>
      <c r="AC12" s="47"/>
      <c r="AD12" s="47"/>
      <c r="AE12" s="47"/>
      <c r="AF12" s="47"/>
      <c r="AG12" s="51" t="s">
        <v>214</v>
      </c>
      <c r="AH12" s="51" t="s">
        <v>219</v>
      </c>
      <c r="AW12" s="66"/>
      <c r="AX12" s="77" t="s">
        <v>328</v>
      </c>
      <c r="AY12" s="77" t="s">
        <v>331</v>
      </c>
      <c r="AZ12" s="77" t="s">
        <v>329</v>
      </c>
      <c r="BA12" s="77" t="s">
        <v>330</v>
      </c>
      <c r="BB12" s="77" t="s">
        <v>332</v>
      </c>
      <c r="BC12" s="77" t="s">
        <v>333</v>
      </c>
      <c r="BD12" s="77" t="s">
        <v>372</v>
      </c>
      <c r="BE12" s="13"/>
      <c r="BF12" s="12"/>
      <c r="BH12" s="59"/>
      <c r="BI12" s="49"/>
      <c r="BJ12" s="1"/>
      <c r="BK12" s="1"/>
    </row>
    <row r="13" spans="1:66" x14ac:dyDescent="0.3">
      <c r="A13" t="s">
        <v>320</v>
      </c>
      <c r="B13" t="s">
        <v>21</v>
      </c>
      <c r="I13" s="1" t="s">
        <v>58</v>
      </c>
      <c r="O13" s="360" t="s">
        <v>411</v>
      </c>
      <c r="P13" s="360"/>
      <c r="AG13" s="51" t="s">
        <v>324</v>
      </c>
      <c r="AH13" s="51" t="s">
        <v>326</v>
      </c>
      <c r="AW13" s="51" t="s">
        <v>131</v>
      </c>
      <c r="AX13" s="80">
        <f>MIN($AE$16:$AE$20)</f>
        <v>0.91014842827291886</v>
      </c>
      <c r="AY13" s="80">
        <f>_xlfn.QUARTILE.EXC($AE$16:$AE$20,1)</f>
        <v>0.91251380064118814</v>
      </c>
      <c r="AZ13" s="80">
        <f>MEDIAN($AE$16:$AE$20)</f>
        <v>0.91707322903475519</v>
      </c>
      <c r="BA13" s="80">
        <f>AVERAGE($AE$16:$AE$20)</f>
        <v>0.91594708072429643</v>
      </c>
      <c r="BB13" s="80">
        <f>_xlfn.QUARTILE.EXC(AE16:AE20,3)</f>
        <v>0.91881728665217555</v>
      </c>
      <c r="BC13" s="80">
        <f>MAX(AE16:AE20)</f>
        <v>0.91889792845084428</v>
      </c>
      <c r="BD13" s="80">
        <f>(BB13-AY13)/AZ13</f>
        <v>6.8734816494665264E-3</v>
      </c>
      <c r="BE13" s="80"/>
      <c r="BF13" s="51"/>
      <c r="BH13" s="59"/>
      <c r="BI13" s="49"/>
      <c r="BJ13" s="1"/>
      <c r="BK13" s="1"/>
    </row>
    <row r="14" spans="1:66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56</v>
      </c>
      <c r="O14" s="13" t="s">
        <v>412</v>
      </c>
      <c r="P14" s="13" t="s">
        <v>41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325</v>
      </c>
      <c r="AH14" s="51" t="s">
        <v>327</v>
      </c>
      <c r="AW14" s="51" t="s">
        <v>134</v>
      </c>
      <c r="AX14" s="80">
        <f>MIN($AE$16:$AE$25)</f>
        <v>0.91014842827291886</v>
      </c>
      <c r="AY14" s="80">
        <f>_xlfn.QUARTILE.EXC($AE$16:$AE$25,1)</f>
        <v>0.912287149370963</v>
      </c>
      <c r="AZ14" s="80">
        <f>MEDIAN($AE$16:$AE$25)</f>
        <v>0.9154060222248438</v>
      </c>
      <c r="BA14" s="80">
        <f>AVERAGE($AE$16:$AE$25)</f>
        <v>0.91521267961408304</v>
      </c>
      <c r="BB14" s="80">
        <f>_xlfn.QUARTILE.EXC($AE$16:$AE$25,3)</f>
        <v>0.91826079221177925</v>
      </c>
      <c r="BC14" s="80">
        <f>MAX($AE$16:$AE$25)</f>
        <v>0.91889792845084428</v>
      </c>
      <c r="BD14" s="80">
        <f t="shared" ref="BD14:BD23" si="0">(BB14-AY14)/AZ14</f>
        <v>6.5256757064997692E-3</v>
      </c>
      <c r="BE14" s="80"/>
      <c r="BF14" s="51"/>
      <c r="BH14" s="59"/>
      <c r="BI14" s="49"/>
      <c r="BJ14" s="1"/>
      <c r="BK14" s="1"/>
    </row>
    <row r="15" spans="1:66" x14ac:dyDescent="0.3">
      <c r="A15" t="s">
        <v>3</v>
      </c>
      <c r="B15" s="13">
        <v>0</v>
      </c>
      <c r="C15" s="26">
        <v>259</v>
      </c>
      <c r="D15" s="3">
        <v>0</v>
      </c>
      <c r="E15" s="3">
        <v>0</v>
      </c>
      <c r="F15" s="3">
        <v>0</v>
      </c>
      <c r="G15" s="4">
        <v>0</v>
      </c>
      <c r="H15" s="1">
        <f>SUM(C15:G15)</f>
        <v>259</v>
      </c>
      <c r="I15" s="10">
        <f>C15/H15</f>
        <v>1</v>
      </c>
      <c r="J15" s="11">
        <f>1-I15</f>
        <v>0</v>
      </c>
      <c r="K15">
        <f>H15-C20</f>
        <v>0</v>
      </c>
      <c r="N15" s="10">
        <f>2*(C21*I15)/(C21+I15)</f>
        <v>1</v>
      </c>
      <c r="O15" s="1"/>
      <c r="P15" s="1"/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77</v>
      </c>
      <c r="AF15" s="12" t="s">
        <v>29</v>
      </c>
      <c r="AH15" t="s">
        <v>125</v>
      </c>
      <c r="AI15" t="s">
        <v>126</v>
      </c>
      <c r="AW15" s="51" t="s">
        <v>132</v>
      </c>
      <c r="AX15" s="80">
        <f>MIN($AE$16:$AE$35)</f>
        <v>0.9080614906703306</v>
      </c>
      <c r="AY15" s="80">
        <f>_xlfn.QUARTILE.EXC($AE$16:$AE$35,1)</f>
        <v>0.91169284269556194</v>
      </c>
      <c r="AZ15" s="126">
        <f>MEDIAN($AE$16:$AE$35)</f>
        <v>0.91510686552501908</v>
      </c>
      <c r="BA15" s="126">
        <f>AVERAGE($AE$16:$AE$35)</f>
        <v>0.91477933802911937</v>
      </c>
      <c r="BB15" s="80">
        <f>_xlfn.QUARTILE.EXC($AE$16:$AE$35,3)</f>
        <v>0.9172239175452398</v>
      </c>
      <c r="BC15" s="80">
        <f>MAX($AE$16:$AE$35)</f>
        <v>0.91954983166587412</v>
      </c>
      <c r="BD15" s="80">
        <f t="shared" si="0"/>
        <v>6.0441846281030142E-3</v>
      </c>
      <c r="BE15" s="80"/>
      <c r="BF15" s="51"/>
      <c r="BH15" s="59"/>
      <c r="BI15" s="49"/>
      <c r="BJ15" s="1"/>
      <c r="BK15" s="1"/>
    </row>
    <row r="16" spans="1:66" x14ac:dyDescent="0.3">
      <c r="A16" t="s">
        <v>4</v>
      </c>
      <c r="B16" s="13">
        <v>1</v>
      </c>
      <c r="C16" s="5">
        <v>0</v>
      </c>
      <c r="D16" s="27">
        <v>298</v>
      </c>
      <c r="E16" s="1">
        <v>41</v>
      </c>
      <c r="F16" s="1">
        <v>0</v>
      </c>
      <c r="G16" s="6">
        <v>0</v>
      </c>
      <c r="H16" s="1">
        <f>SUM(C16:G16)</f>
        <v>339</v>
      </c>
      <c r="I16" s="10">
        <f>D16/H16</f>
        <v>0.87905604719764008</v>
      </c>
      <c r="J16" s="11">
        <f>1-I16</f>
        <v>0.12094395280235992</v>
      </c>
      <c r="K16">
        <f>H16-D20</f>
        <v>-377</v>
      </c>
      <c r="N16" s="10">
        <f>2*(D21*I16)/(D21+I16)</f>
        <v>0.56492890995260658</v>
      </c>
      <c r="O16" s="1"/>
      <c r="P16" s="1"/>
      <c r="R16" t="s">
        <v>70</v>
      </c>
      <c r="S16" t="s">
        <v>28</v>
      </c>
      <c r="T16" s="57">
        <f t="shared" ref="T16:X19" si="1">C31</f>
        <v>1.4102648582307324</v>
      </c>
      <c r="U16" s="57">
        <f t="shared" si="1"/>
        <v>9.2706997368599158</v>
      </c>
      <c r="V16" s="57">
        <f t="shared" si="1"/>
        <v>57.382598153508326</v>
      </c>
      <c r="W16" s="57">
        <f t="shared" si="1"/>
        <v>22.071318174515692</v>
      </c>
      <c r="X16" s="57">
        <f t="shared" si="1"/>
        <v>9.865119076885339</v>
      </c>
      <c r="AC16" t="s">
        <v>70</v>
      </c>
      <c r="AD16" s="51">
        <f>I21</f>
        <v>0.92540568836154247</v>
      </c>
      <c r="AE16" s="55">
        <f>I32</f>
        <v>0.91707322903475519</v>
      </c>
      <c r="AF16" s="55">
        <f>J32</f>
        <v>2.7231493373464743E-3</v>
      </c>
      <c r="AH16">
        <v>21</v>
      </c>
      <c r="AI16">
        <v>32</v>
      </c>
      <c r="AW16" s="51" t="s">
        <v>133</v>
      </c>
      <c r="AX16" s="80">
        <f>MIN($AE$16:$AE$45)</f>
        <v>0.907777249520481</v>
      </c>
      <c r="AY16" s="80">
        <f>_xlfn.QUARTILE.EXC($AE$16:$AE$45,1)</f>
        <v>0.91194112856046039</v>
      </c>
      <c r="AZ16" s="80">
        <f>MEDIAN($AE$16:$AE$45)</f>
        <v>0.91488728415826015</v>
      </c>
      <c r="BA16" s="80">
        <f>AVERAGE($AE$16:$AE$45)</f>
        <v>0.91431874539852054</v>
      </c>
      <c r="BB16" s="80">
        <f>_xlfn.QUARTILE.EXC($AE$16:$AE$45,3)</f>
        <v>0.91677461882596178</v>
      </c>
      <c r="BC16" s="80">
        <f>MAX($AE$16:$AE$45)</f>
        <v>0.91954983166587412</v>
      </c>
      <c r="BD16" s="80">
        <f t="shared" si="0"/>
        <v>5.2831538367575362E-3</v>
      </c>
      <c r="BE16" s="80"/>
      <c r="BF16" s="51"/>
      <c r="BH16" s="59"/>
      <c r="BI16" s="49"/>
      <c r="BJ16" s="1"/>
      <c r="BK16" s="1"/>
    </row>
    <row r="17" spans="1:66" x14ac:dyDescent="0.3">
      <c r="A17" t="s">
        <v>5</v>
      </c>
      <c r="B17" s="13">
        <v>2</v>
      </c>
      <c r="C17" s="5">
        <v>0</v>
      </c>
      <c r="D17" s="1">
        <v>319</v>
      </c>
      <c r="E17" s="27">
        <v>6925</v>
      </c>
      <c r="F17" s="1">
        <v>99</v>
      </c>
      <c r="G17" s="6">
        <v>56</v>
      </c>
      <c r="H17" s="1">
        <f>SUM(C17:G17)</f>
        <v>7399</v>
      </c>
      <c r="I17" s="10">
        <f>E17/H17</f>
        <v>0.93593728882281391</v>
      </c>
      <c r="J17" s="11">
        <f>1-I17</f>
        <v>6.4062711177186094E-2</v>
      </c>
      <c r="K17">
        <f>H17-E20</f>
        <v>386</v>
      </c>
      <c r="N17" s="10">
        <f>2*(E21*I17)/(E21+I17)</f>
        <v>0.96100471829031375</v>
      </c>
      <c r="O17" s="1"/>
      <c r="P17" s="1"/>
      <c r="S17" s="66" t="s">
        <v>39</v>
      </c>
      <c r="T17" s="67">
        <f t="shared" si="1"/>
        <v>0</v>
      </c>
      <c r="U17" s="67">
        <f t="shared" si="1"/>
        <v>0.21268846237232517</v>
      </c>
      <c r="V17" s="67">
        <f t="shared" si="1"/>
        <v>0.21613032964178561</v>
      </c>
      <c r="W17" s="67">
        <f t="shared" si="1"/>
        <v>0.16429630528767103</v>
      </c>
      <c r="X17" s="67">
        <f t="shared" si="1"/>
        <v>0.18768483532970978</v>
      </c>
      <c r="AC17" t="s">
        <v>71</v>
      </c>
      <c r="AD17" s="51">
        <f>I50</f>
        <v>0.92732507415808763</v>
      </c>
      <c r="AE17" s="55">
        <f>I61</f>
        <v>0.91873664485350692</v>
      </c>
      <c r="AF17" s="55">
        <f>J61</f>
        <v>2.7089628684785309E-3</v>
      </c>
      <c r="AH17">
        <v>50</v>
      </c>
      <c r="AI17">
        <v>61</v>
      </c>
      <c r="AW17" s="51" t="s">
        <v>157</v>
      </c>
      <c r="AX17" s="80">
        <f>MIN($AE$16:$AE$55)</f>
        <v>0.905516232278058</v>
      </c>
      <c r="AY17" s="80">
        <f>_xlfn.QUARTILE.EXC($AE$16:$AE$55,1)</f>
        <v>0.91082728210278241</v>
      </c>
      <c r="AZ17" s="80">
        <f>MEDIAN($AE$16:$AE$55)</f>
        <v>0.91368769356347901</v>
      </c>
      <c r="BA17" s="80">
        <f>AVERAGE($AE$16:$AE$55)</f>
        <v>0.91362610784217202</v>
      </c>
      <c r="BB17" s="80">
        <f>_xlfn.QUARTILE.EXC($AE$16:$AE$55,3)</f>
        <v>0.9164613145451308</v>
      </c>
      <c r="BC17" s="80">
        <f>MAX($AE$16:$AE$55)</f>
        <v>0.91954983166587412</v>
      </c>
      <c r="BD17" s="80">
        <f t="shared" si="0"/>
        <v>6.1662562405487443E-3</v>
      </c>
      <c r="BE17" s="80"/>
      <c r="BF17" s="51"/>
      <c r="BH17" s="59"/>
      <c r="BI17" s="49"/>
      <c r="BJ17" s="1"/>
      <c r="BK17" s="1"/>
    </row>
    <row r="18" spans="1:66" x14ac:dyDescent="0.3">
      <c r="A18" t="s">
        <v>6</v>
      </c>
      <c r="B18" s="13">
        <v>3</v>
      </c>
      <c r="C18" s="5">
        <v>0</v>
      </c>
      <c r="D18" s="1">
        <v>0</v>
      </c>
      <c r="E18" s="1">
        <v>18</v>
      </c>
      <c r="F18" s="27">
        <v>2410</v>
      </c>
      <c r="G18" s="6">
        <v>92</v>
      </c>
      <c r="H18" s="1">
        <f>SUM(C18:G18)</f>
        <v>2520</v>
      </c>
      <c r="I18" s="10">
        <f>F18/H18</f>
        <v>0.95634920634920639</v>
      </c>
      <c r="J18" s="11">
        <f>1-I18</f>
        <v>4.3650793650793607E-2</v>
      </c>
      <c r="K18">
        <f>H18-F20</f>
        <v>-91</v>
      </c>
      <c r="N18" s="10">
        <f>2*(F21*I18)/(F21+I18)</f>
        <v>0.93938803352173084</v>
      </c>
      <c r="O18" s="1"/>
      <c r="P18" s="1"/>
      <c r="S18" s="70" t="s">
        <v>30</v>
      </c>
      <c r="T18" s="64">
        <f t="shared" si="1"/>
        <v>100</v>
      </c>
      <c r="U18" s="64">
        <f t="shared" si="1"/>
        <v>59.197337568441974</v>
      </c>
      <c r="V18" s="64">
        <f t="shared" si="1"/>
        <v>97.812234088665264</v>
      </c>
      <c r="W18" s="64">
        <f t="shared" si="1"/>
        <v>90.775954200028295</v>
      </c>
      <c r="X18" s="64">
        <f t="shared" si="1"/>
        <v>87.646176900284033</v>
      </c>
      <c r="AC18" t="s">
        <v>72</v>
      </c>
      <c r="AD18" s="51">
        <f>I79</f>
        <v>0.92758680858488918</v>
      </c>
      <c r="AE18" s="55">
        <f>I90</f>
        <v>0.91889792845084428</v>
      </c>
      <c r="AF18" s="55">
        <f>J90</f>
        <v>2.7070010137702433E-3</v>
      </c>
      <c r="AH18">
        <v>79</v>
      </c>
      <c r="AI18">
        <v>90</v>
      </c>
      <c r="AW18" s="51" t="s">
        <v>158</v>
      </c>
      <c r="AX18" s="80">
        <f>MIN($AE$16:$AE$65)</f>
        <v>0.905516232278058</v>
      </c>
      <c r="AY18" s="80">
        <f>_xlfn.QUARTILE.EXC($AE$16:$AE$65,1)</f>
        <v>0.91067336292731593</v>
      </c>
      <c r="AZ18" s="80">
        <f>MEDIAN($AE$16:$AE$65)</f>
        <v>0.91349533057618204</v>
      </c>
      <c r="BA18" s="80">
        <f>AVERAGE($AE$16:$AE$65)</f>
        <v>0.9134108887638841</v>
      </c>
      <c r="BB18" s="80">
        <f>_xlfn.QUARTILE.EXC($AE$16:$AE$65,3)</f>
        <v>0.9160870139172943</v>
      </c>
      <c r="BC18" s="80">
        <f>MAX($AE$16:$AE$65)</f>
        <v>0.91954983166587412</v>
      </c>
      <c r="BD18" s="80">
        <f t="shared" si="0"/>
        <v>5.9263039544643747E-3</v>
      </c>
      <c r="BE18" s="80"/>
      <c r="BF18" s="128"/>
      <c r="BH18" s="59"/>
      <c r="BI18" s="49"/>
      <c r="BJ18" s="1"/>
      <c r="BK18" s="1"/>
    </row>
    <row r="19" spans="1:66" x14ac:dyDescent="0.3">
      <c r="A19" t="s">
        <v>7</v>
      </c>
      <c r="B19" s="13">
        <v>4</v>
      </c>
      <c r="C19" s="7">
        <v>0</v>
      </c>
      <c r="D19" s="8">
        <v>99</v>
      </c>
      <c r="E19" s="8">
        <v>29</v>
      </c>
      <c r="F19" s="8">
        <v>102</v>
      </c>
      <c r="G19" s="28">
        <v>715</v>
      </c>
      <c r="H19" s="1">
        <f>SUM(C19:G19)</f>
        <v>945</v>
      </c>
      <c r="I19" s="10">
        <f>G19/H19</f>
        <v>0.75661375661375663</v>
      </c>
      <c r="J19" s="11">
        <f>1-I19</f>
        <v>0.24338624338624337</v>
      </c>
      <c r="K19">
        <f>H19-G20</f>
        <v>82</v>
      </c>
      <c r="N19" s="10">
        <f>2*(G21*I19)/(G21+I19)</f>
        <v>0.7909292035398231</v>
      </c>
      <c r="O19" s="1"/>
      <c r="P19" s="1"/>
      <c r="S19" s="66" t="s">
        <v>39</v>
      </c>
      <c r="T19" s="67">
        <f t="shared" si="1"/>
        <v>0</v>
      </c>
      <c r="U19" s="67">
        <f t="shared" si="1"/>
        <v>5.0094917805486139</v>
      </c>
      <c r="V19" s="67">
        <f t="shared" si="1"/>
        <v>0.23538166956287038</v>
      </c>
      <c r="W19" s="67">
        <f t="shared" si="1"/>
        <v>0.67890271435346161</v>
      </c>
      <c r="X19" s="67">
        <f t="shared" si="1"/>
        <v>2.1833448045647939</v>
      </c>
      <c r="AC19" t="s">
        <v>73</v>
      </c>
      <c r="AD19" s="51">
        <f>I108</f>
        <v>0.92357354737393127</v>
      </c>
      <c r="AE19" s="73">
        <f>I119</f>
        <v>0.91487917300945754</v>
      </c>
      <c r="AF19" s="73">
        <f>J119</f>
        <v>2.7712870343749724E-3</v>
      </c>
      <c r="AH19">
        <v>108</v>
      </c>
      <c r="AI19">
        <v>119</v>
      </c>
      <c r="AW19" s="51" t="s">
        <v>215</v>
      </c>
      <c r="AX19" s="80">
        <f>MIN($AE$16:$AE$75)</f>
        <v>0.90549101610813898</v>
      </c>
      <c r="AY19" s="80">
        <f>_xlfn.QUARTILE.EXC($AE$16:$AE$75,1)</f>
        <v>0.91032467510673565</v>
      </c>
      <c r="AZ19" s="80">
        <f>MEDIAN($AE$16:$AE$75)</f>
        <v>0.91315109565936159</v>
      </c>
      <c r="BA19" s="80">
        <f>AVERAGE($AE$16:$AE$75)</f>
        <v>0.91282913445933422</v>
      </c>
      <c r="BB19" s="80">
        <f>_xlfn.QUARTILE.EXC($AE$16:$AE$75,3)</f>
        <v>0.91580635949672262</v>
      </c>
      <c r="BC19" s="80">
        <f>MAX($AE$16:$AE$75)</f>
        <v>0.91954983166587412</v>
      </c>
      <c r="BD19" s="80">
        <f t="shared" si="0"/>
        <v>6.0030420113867337E-3</v>
      </c>
      <c r="BE19" s="80"/>
      <c r="BF19" s="51"/>
      <c r="BH19" s="59"/>
      <c r="BI19" s="49"/>
      <c r="BJ19" s="1"/>
      <c r="BK19" s="1"/>
    </row>
    <row r="20" spans="1:66" ht="15.6" x14ac:dyDescent="0.35">
      <c r="B20" s="1" t="s">
        <v>19</v>
      </c>
      <c r="C20" s="1">
        <f>SUM(C15:C19)</f>
        <v>259</v>
      </c>
      <c r="D20" s="1">
        <f>SUM(D15:D19)</f>
        <v>716</v>
      </c>
      <c r="E20" s="1">
        <f>SUM(E15:E19)</f>
        <v>7013</v>
      </c>
      <c r="F20" s="1">
        <f>SUM(F15:F19)</f>
        <v>2611</v>
      </c>
      <c r="G20" s="1">
        <f>SUM(G15:G19)</f>
        <v>863</v>
      </c>
      <c r="H20" s="1">
        <f>SUM(H14:H19)</f>
        <v>11462</v>
      </c>
      <c r="I20" s="13" t="s">
        <v>12</v>
      </c>
      <c r="N20" s="16" t="s">
        <v>36</v>
      </c>
      <c r="O20" s="1">
        <f>SUM(O15:O19)</f>
        <v>0</v>
      </c>
      <c r="P20" s="1">
        <f>SUM(P15:P19)</f>
        <v>0</v>
      </c>
      <c r="S20" s="70" t="s">
        <v>31</v>
      </c>
      <c r="T20" s="64">
        <f>I26</f>
        <v>100</v>
      </c>
      <c r="U20" s="64">
        <f>I27</f>
        <v>87.905604719764014</v>
      </c>
      <c r="V20" s="64">
        <f>I28</f>
        <v>93.593728882281397</v>
      </c>
      <c r="W20" s="64">
        <f>I29</f>
        <v>95.634920634920633</v>
      </c>
      <c r="X20" s="64">
        <f>I30</f>
        <v>75.661375661375658</v>
      </c>
      <c r="AC20" t="s">
        <v>76</v>
      </c>
      <c r="AD20" s="51">
        <f>I137</f>
        <v>0.91790263479322975</v>
      </c>
      <c r="AE20" s="73">
        <f>I148</f>
        <v>0.91014842827291886</v>
      </c>
      <c r="AF20" s="73">
        <f>J148</f>
        <v>2.8278636470285522E-3</v>
      </c>
      <c r="AH20">
        <v>137</v>
      </c>
      <c r="AI20">
        <v>148</v>
      </c>
      <c r="AW20" s="51" t="s">
        <v>216</v>
      </c>
      <c r="AX20" s="80">
        <f>MIN($AE$16:$AE$85)</f>
        <v>0.90549101610813898</v>
      </c>
      <c r="AY20" s="80">
        <f>_xlfn.QUARTILE.EXC($AE$16:$AE$85,1)</f>
        <v>0.9102014168335254</v>
      </c>
      <c r="AZ20" s="80">
        <f>MEDIAN($AE$16:$AE$85)</f>
        <v>0.9130784143474755</v>
      </c>
      <c r="BA20" s="80">
        <f>AVERAGE($AE$16:$AE$85)</f>
        <v>0.91276724262256714</v>
      </c>
      <c r="BB20" s="80">
        <f>_xlfn.QUARTILE.EXC($AE$16:$AE$85,3)</f>
        <v>0.91580948133433515</v>
      </c>
      <c r="BC20" s="80">
        <f>MAX($AE$16:$AE$85)</f>
        <v>0.91954983166587412</v>
      </c>
      <c r="BD20" s="80">
        <f t="shared" si="0"/>
        <v>6.1419308710933783E-3</v>
      </c>
      <c r="BE20" s="80"/>
      <c r="BF20" s="51"/>
      <c r="BH20" s="59"/>
      <c r="BI20" s="49"/>
      <c r="BJ20" s="1"/>
      <c r="BK20" s="1"/>
    </row>
    <row r="21" spans="1:66" x14ac:dyDescent="0.3">
      <c r="A21" s="1" t="s">
        <v>321</v>
      </c>
      <c r="B21" s="1" t="s">
        <v>2</v>
      </c>
      <c r="C21" s="10">
        <f>C15/C20</f>
        <v>1</v>
      </c>
      <c r="D21" s="10">
        <f>D16/D20</f>
        <v>0.41620111731843573</v>
      </c>
      <c r="E21" s="10">
        <f>E17/E20</f>
        <v>0.98745187508912025</v>
      </c>
      <c r="F21" s="10">
        <f>F18/F20</f>
        <v>0.92301800076599005</v>
      </c>
      <c r="G21" s="10">
        <f>G19/G20</f>
        <v>0.82850521436848201</v>
      </c>
      <c r="H21" s="10"/>
      <c r="I21" s="14">
        <f>(C15+D16+E17+F18+G19)/H20</f>
        <v>0.92540568836154247</v>
      </c>
      <c r="S21" s="66" t="s">
        <v>39</v>
      </c>
      <c r="T21" s="67">
        <f>J26</f>
        <v>0</v>
      </c>
      <c r="U21" s="67">
        <f>J27</f>
        <v>1.7735441824070006</v>
      </c>
      <c r="V21" s="67">
        <f>J28</f>
        <v>0.28468780825111112</v>
      </c>
      <c r="W21" s="67">
        <f>J29</f>
        <v>0.40708981730170118</v>
      </c>
      <c r="X21" s="67">
        <f>J30</f>
        <v>1.3966871363134217</v>
      </c>
      <c r="AC21" t="s">
        <v>98</v>
      </c>
      <c r="AD21" s="51">
        <f>I166</f>
        <v>0.92147967195951841</v>
      </c>
      <c r="AE21" s="55">
        <f>I177</f>
        <v>0.91489539530706276</v>
      </c>
      <c r="AF21" s="55">
        <f>J177</f>
        <v>2.7322408616395192E-3</v>
      </c>
      <c r="AH21">
        <v>166</v>
      </c>
      <c r="AI21">
        <v>177</v>
      </c>
      <c r="AW21" s="51" t="s">
        <v>217</v>
      </c>
      <c r="AX21" s="80">
        <f>MIN($AE$16:$AE$95)</f>
        <v>0.90549101610813898</v>
      </c>
      <c r="AY21" s="80">
        <f>_xlfn.QUARTILE.EXC($AE$16:$AE$95,1)</f>
        <v>0.91016609112645441</v>
      </c>
      <c r="AZ21" s="80">
        <f>MEDIAN($AE$16:$AE$95)</f>
        <v>0.91301604034900552</v>
      </c>
      <c r="BA21" s="80">
        <f>AVERAGE($AE$16:$AE$95)</f>
        <v>0.91273166577546672</v>
      </c>
      <c r="BB21" s="80">
        <f>_xlfn.QUARTILE.EXC($AE$16:$AE$95,3)</f>
        <v>0.91566234242989308</v>
      </c>
      <c r="BC21" s="80">
        <f>MAX($AE$16:$AE$95)</f>
        <v>0.91954983166587412</v>
      </c>
      <c r="BD21" s="80">
        <f t="shared" si="0"/>
        <v>6.0198847123624439E-3</v>
      </c>
      <c r="BE21" s="80"/>
      <c r="BF21" s="51"/>
      <c r="BH21" s="59"/>
      <c r="BI21" s="49"/>
      <c r="BJ21" s="1"/>
      <c r="BK21" s="1"/>
      <c r="BM21" s="1"/>
      <c r="BN21" s="1"/>
    </row>
    <row r="22" spans="1:66" x14ac:dyDescent="0.3">
      <c r="B22" s="1" t="s">
        <v>14</v>
      </c>
      <c r="C22" s="11">
        <f>1-C21</f>
        <v>0</v>
      </c>
      <c r="D22" s="11">
        <f>1-D21</f>
        <v>0.58379888268156432</v>
      </c>
      <c r="E22" s="11">
        <f>1-E21</f>
        <v>1.2548124910879754E-2</v>
      </c>
      <c r="F22" s="11">
        <f>1-F21</f>
        <v>7.6981999234009946E-2</v>
      </c>
      <c r="G22" s="11">
        <f>1-G21</f>
        <v>0.17149478563151799</v>
      </c>
      <c r="S22" s="68" t="s">
        <v>56</v>
      </c>
      <c r="T22" s="65">
        <f>N15*100</f>
        <v>100</v>
      </c>
      <c r="U22" s="65">
        <f>N16*100</f>
        <v>56.492890995260659</v>
      </c>
      <c r="V22" s="65">
        <f>N17*100</f>
        <v>96.100471829031378</v>
      </c>
      <c r="W22" s="65">
        <f>N18*100</f>
        <v>93.938803352173082</v>
      </c>
      <c r="X22" s="65">
        <f>N19*100</f>
        <v>79.092920353982308</v>
      </c>
      <c r="Y22" s="46"/>
      <c r="Z22" s="46"/>
      <c r="AA22" s="46"/>
      <c r="AC22" t="s">
        <v>99</v>
      </c>
      <c r="AD22" s="51">
        <f>I195</f>
        <v>0.92435875065433604</v>
      </c>
      <c r="AE22" s="55">
        <f>I206</f>
        <v>0.91591664914262483</v>
      </c>
      <c r="AF22" s="55">
        <f>J206</f>
        <v>2.7527824040883835E-3</v>
      </c>
      <c r="AH22">
        <v>195</v>
      </c>
      <c r="AI22">
        <v>206</v>
      </c>
      <c r="AW22" s="51" t="s">
        <v>218</v>
      </c>
      <c r="AX22" s="80">
        <f>MIN($AE$16:$AE$105)</f>
        <v>0.90549101610813898</v>
      </c>
      <c r="AY22" s="80">
        <f>_xlfn.QUARTILE.EXC($AE$16:$AE$105,1)</f>
        <v>0.9102014168335254</v>
      </c>
      <c r="AZ22" s="80">
        <f>MEDIAN($AE$16:$AE$105)</f>
        <v>0.91268127261199661</v>
      </c>
      <c r="BA22" s="80">
        <f>AVERAGE($AE$16:$AE$105)</f>
        <v>0.91261685391031033</v>
      </c>
      <c r="BB22" s="80">
        <f>_xlfn.QUARTILE.EXC($AE$16:$AE$105,3)</f>
        <v>0.91535762444698554</v>
      </c>
      <c r="BC22" s="80">
        <f>MAX($AE$16:$AE$105)</f>
        <v>0.91954983166587412</v>
      </c>
      <c r="BD22" s="80">
        <f t="shared" si="0"/>
        <v>5.6495161763357137E-3</v>
      </c>
      <c r="BE22" s="80"/>
      <c r="BF22" s="51"/>
      <c r="BI22" s="1"/>
      <c r="BJ22" s="13"/>
      <c r="BK22" s="1"/>
      <c r="BM22" s="1"/>
      <c r="BN22" s="81"/>
    </row>
    <row r="23" spans="1:66" x14ac:dyDescent="0.3">
      <c r="C23" s="2"/>
      <c r="R23" s="16" t="s">
        <v>66</v>
      </c>
      <c r="S23" t="s">
        <v>9</v>
      </c>
      <c r="T23" s="30">
        <f>N26</f>
        <v>2514.73</v>
      </c>
      <c r="U23" s="30">
        <f>N27</f>
        <v>11132.4</v>
      </c>
      <c r="V23" s="30">
        <f>N28</f>
        <v>106934.37</v>
      </c>
      <c r="W23" s="30">
        <f>N29</f>
        <v>37357.11</v>
      </c>
      <c r="X23" s="30">
        <f>N30</f>
        <v>20377.54</v>
      </c>
      <c r="Z23" t="s">
        <v>36</v>
      </c>
      <c r="AA23" s="1">
        <f>N31</f>
        <v>178316.15</v>
      </c>
      <c r="AC23" t="s">
        <v>100</v>
      </c>
      <c r="AD23" s="51">
        <f>I224</f>
        <v>0.92051997906124583</v>
      </c>
      <c r="AE23" s="55">
        <f>I235</f>
        <v>0.91283571203936409</v>
      </c>
      <c r="AF23" s="55">
        <f>J235</f>
        <v>2.7847251096513653E-3</v>
      </c>
      <c r="AH23">
        <v>224</v>
      </c>
      <c r="AI23">
        <v>235</v>
      </c>
      <c r="AW23" s="51" t="s">
        <v>219</v>
      </c>
      <c r="AX23" s="80">
        <f>MIN($AE$16:$AE$115)</f>
        <v>0.90549101610813898</v>
      </c>
      <c r="AY23" s="80">
        <f>_xlfn.QUARTILE.EXC($AE$16:$AE$115,1)</f>
        <v>0.91026447767180141</v>
      </c>
      <c r="AZ23" s="126">
        <f>MEDIAN($AE$16:$AE$115)</f>
        <v>0.91287038556866307</v>
      </c>
      <c r="BA23" s="126">
        <f>AVERAGE($AE$16:$AE$115)</f>
        <v>0.91272268291495251</v>
      </c>
      <c r="BB23" s="80">
        <f>_xlfn.QUARTILE.EXC($AE$16:$AE$115,3)</f>
        <v>0.91543620185500585</v>
      </c>
      <c r="BC23" s="80">
        <f>MAX($AE$16:$AE$115)</f>
        <v>0.91960918614884202</v>
      </c>
      <c r="BD23" s="80">
        <f t="shared" si="0"/>
        <v>5.6653433663342787E-3</v>
      </c>
      <c r="BE23" s="80"/>
      <c r="BF23" s="51"/>
      <c r="BI23" s="1"/>
      <c r="BJ23" s="1"/>
      <c r="BK23" s="1"/>
      <c r="BM23" s="23"/>
      <c r="BN23" s="1"/>
    </row>
    <row r="24" spans="1:66" ht="15.6" x14ac:dyDescent="0.35">
      <c r="A24" t="s">
        <v>322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323</v>
      </c>
      <c r="S24" t="s">
        <v>68</v>
      </c>
      <c r="T24" s="57">
        <f>$AA23*T16/100</f>
        <v>2514.73</v>
      </c>
      <c r="U24" s="57">
        <f>$AA23*U16/100</f>
        <v>16531.154848828734</v>
      </c>
      <c r="V24" s="57">
        <f>$AA23*V16/100</f>
        <v>102322.43979730715</v>
      </c>
      <c r="W24" s="57">
        <f>$AA23*W16/100</f>
        <v>39356.724823046665</v>
      </c>
      <c r="X24" s="57">
        <f>$AA23*X16/100</f>
        <v>17591.100530817475</v>
      </c>
      <c r="Z24" t="s">
        <v>36</v>
      </c>
      <c r="AA24" s="25">
        <f>SUM(T24:X24)</f>
        <v>178316.15000000002</v>
      </c>
      <c r="AC24" t="s">
        <v>101</v>
      </c>
      <c r="AD24" s="51">
        <f>I253</f>
        <v>0.92584191240621183</v>
      </c>
      <c r="AE24" s="55">
        <f>I264</f>
        <v>0.9181021746645367</v>
      </c>
      <c r="AF24" s="55">
        <f>J264</f>
        <v>2.7134940737562042E-3</v>
      </c>
      <c r="AH24">
        <v>253</v>
      </c>
      <c r="AI24">
        <v>264</v>
      </c>
      <c r="BE24" s="80"/>
      <c r="BF24" s="51"/>
      <c r="BI24" s="1"/>
      <c r="BJ24" s="13"/>
      <c r="BK24" s="1"/>
      <c r="BM24" s="23"/>
      <c r="BN24" s="1"/>
    </row>
    <row r="25" spans="1:66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67</v>
      </c>
      <c r="T25" s="67">
        <f>$AA23*T17/100</f>
        <v>0</v>
      </c>
      <c r="U25" s="67">
        <f>$AA23*U17/100</f>
        <v>379.25787759652894</v>
      </c>
      <c r="V25" s="67">
        <f>$AA23*V17/100</f>
        <v>385.39528279954089</v>
      </c>
      <c r="W25" s="67">
        <f>$AA23*W17/100</f>
        <v>292.9668461812214</v>
      </c>
      <c r="X25" s="67">
        <f>$AA23*X17/100</f>
        <v>334.67237249377831</v>
      </c>
      <c r="AA25" s="1"/>
      <c r="AC25" t="s">
        <v>102</v>
      </c>
      <c r="AD25" s="51">
        <f>I282</f>
        <v>0.91886232769150233</v>
      </c>
      <c r="AE25" s="55">
        <f>I293</f>
        <v>0.91064146136575974</v>
      </c>
      <c r="AF25" s="55">
        <f>J293</f>
        <v>2.8175107893509046E-3</v>
      </c>
      <c r="AH25">
        <v>282</v>
      </c>
      <c r="AI25">
        <v>293</v>
      </c>
      <c r="BE25" s="80"/>
      <c r="BF25" s="51"/>
      <c r="BJ25" s="12"/>
    </row>
    <row r="26" spans="1:66" x14ac:dyDescent="0.3">
      <c r="A26" t="s">
        <v>3</v>
      </c>
      <c r="B26" s="13">
        <v>0</v>
      </c>
      <c r="C26" s="29">
        <f>(C15/$L26)*$O26</f>
        <v>1.4102648582307324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0</v>
      </c>
      <c r="G26" s="32">
        <f t="shared" si="2"/>
        <v>0</v>
      </c>
      <c r="H26" s="17">
        <f>SUM(C26:G26)</f>
        <v>1.4102648582307324</v>
      </c>
      <c r="I26" s="17">
        <f>C26/H26*100</f>
        <v>100</v>
      </c>
      <c r="J26" s="17">
        <f>SQRT(I26*(100-I26)/(L26-1))</f>
        <v>0</v>
      </c>
      <c r="K26" s="18">
        <f>100-I26</f>
        <v>0</v>
      </c>
      <c r="L26" s="1">
        <f>H15</f>
        <v>259</v>
      </c>
      <c r="M26">
        <v>0</v>
      </c>
      <c r="N26" s="1">
        <v>2514.73</v>
      </c>
      <c r="O26" s="17">
        <f>N26/N31*100</f>
        <v>1.4102648582307324</v>
      </c>
      <c r="P26" s="52">
        <f>((O26*O26*(I26/100)*(K26/100))/(L26-1))</f>
        <v>0</v>
      </c>
      <c r="R26" t="s">
        <v>71</v>
      </c>
      <c r="S26" s="70" t="s">
        <v>28</v>
      </c>
      <c r="T26" s="64">
        <f t="shared" ref="T26:X29" si="3">C60</f>
        <v>1.4295564366996483</v>
      </c>
      <c r="U26" s="64">
        <f t="shared" si="3"/>
        <v>8.8173292930452121</v>
      </c>
      <c r="V26" s="64">
        <f t="shared" si="3"/>
        <v>58.100723810354722</v>
      </c>
      <c r="W26" s="64">
        <f t="shared" si="3"/>
        <v>21.657717134004049</v>
      </c>
      <c r="X26" s="64">
        <f t="shared" si="3"/>
        <v>9.9946733258963594</v>
      </c>
      <c r="Y26" s="13"/>
      <c r="Z26" s="74"/>
      <c r="AA26" s="12"/>
      <c r="AC26" t="s">
        <v>103</v>
      </c>
      <c r="AD26" s="51">
        <f>I311</f>
        <v>0.92776129820275699</v>
      </c>
      <c r="AE26" s="55">
        <f>I322</f>
        <v>0.91954983166587412</v>
      </c>
      <c r="AF26" s="55">
        <f>J322</f>
        <v>2.6967695660754646E-3</v>
      </c>
      <c r="AH26">
        <v>311</v>
      </c>
      <c r="AI26">
        <v>322</v>
      </c>
      <c r="BF26" s="51"/>
      <c r="BJ26" s="13"/>
      <c r="BK26" s="13"/>
    </row>
    <row r="27" spans="1:66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5.4880074181856262</v>
      </c>
      <c r="E27" s="19">
        <f t="shared" si="2"/>
        <v>0.75506142330741843</v>
      </c>
      <c r="F27" s="18">
        <f t="shared" si="2"/>
        <v>0</v>
      </c>
      <c r="G27" s="20">
        <f t="shared" si="2"/>
        <v>0</v>
      </c>
      <c r="H27" s="17">
        <f>SUM(C27:G27)</f>
        <v>6.2430688414930451</v>
      </c>
      <c r="I27" s="17">
        <f>D27/H27*100</f>
        <v>87.905604719764014</v>
      </c>
      <c r="J27" s="17">
        <f>SQRT(I27*(100-I27)/(L27-1))</f>
        <v>1.7735441824070006</v>
      </c>
      <c r="K27" s="18">
        <f>100-I27</f>
        <v>12.094395280235986</v>
      </c>
      <c r="L27" s="1">
        <f>H16</f>
        <v>339</v>
      </c>
      <c r="M27">
        <v>1</v>
      </c>
      <c r="N27" s="1">
        <v>11132.4</v>
      </c>
      <c r="O27" s="17">
        <f>N27/N31*100</f>
        <v>6.2430688414930451</v>
      </c>
      <c r="P27" s="52">
        <f>((O27*O27*(I27/100)*(K27/100))/(L27-1))</f>
        <v>1.2259712107387306E-2</v>
      </c>
      <c r="S27" s="66" t="s">
        <v>39</v>
      </c>
      <c r="T27" s="67">
        <f t="shared" si="3"/>
        <v>0</v>
      </c>
      <c r="U27" s="67">
        <f t="shared" si="3"/>
        <v>0.21542730967826978</v>
      </c>
      <c r="V27" s="67">
        <f t="shared" si="3"/>
        <v>0.21458892831642562</v>
      </c>
      <c r="W27" s="67">
        <f t="shared" si="3"/>
        <v>0.15990414272317649</v>
      </c>
      <c r="X27" s="67">
        <f t="shared" si="3"/>
        <v>0.1836375613949861</v>
      </c>
      <c r="AC27" t="s">
        <v>104</v>
      </c>
      <c r="AD27" s="51">
        <f>I340</f>
        <v>0.92418426103646834</v>
      </c>
      <c r="AE27" s="55">
        <f>I351</f>
        <v>0.91677051718189373</v>
      </c>
      <c r="AF27" s="55">
        <f>J351</f>
        <v>2.722428476158026E-3</v>
      </c>
      <c r="AH27">
        <v>340</v>
      </c>
      <c r="AI27">
        <v>351</v>
      </c>
      <c r="BF27" s="51"/>
    </row>
    <row r="28" spans="1:66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2.5854985116288214</v>
      </c>
      <c r="E28" s="34">
        <f t="shared" si="2"/>
        <v>56.127201232067677</v>
      </c>
      <c r="F28" s="19">
        <f t="shared" si="2"/>
        <v>0.8023960898158411</v>
      </c>
      <c r="G28" s="20">
        <f t="shared" si="2"/>
        <v>0.45388061646148586</v>
      </c>
      <c r="H28" s="17">
        <f>SUM(C28:G28)</f>
        <v>59.968976449973823</v>
      </c>
      <c r="I28" s="17">
        <f>E28/H28*100</f>
        <v>93.593728882281397</v>
      </c>
      <c r="J28" s="17">
        <f>SQRT(I28*(100-I28)/(L28-1))</f>
        <v>0.28468780825111112</v>
      </c>
      <c r="K28" s="18">
        <f>100-I28</f>
        <v>6.4062711177186031</v>
      </c>
      <c r="L28" s="1">
        <f>H17</f>
        <v>7399</v>
      </c>
      <c r="M28">
        <v>2</v>
      </c>
      <c r="N28" s="1">
        <v>106934.37</v>
      </c>
      <c r="O28" s="17">
        <f>N28/N31*100</f>
        <v>59.968976449973823</v>
      </c>
      <c r="P28" s="52">
        <f>((O28*O28*(I28/100)*(K28/100))/(L28-1))</f>
        <v>2.9146808697457262E-2</v>
      </c>
      <c r="S28" t="s">
        <v>30</v>
      </c>
      <c r="T28" s="57">
        <f t="shared" si="3"/>
        <v>100</v>
      </c>
      <c r="U28" s="57">
        <f t="shared" si="3"/>
        <v>57.673833851680186</v>
      </c>
      <c r="V28" s="57">
        <f t="shared" si="3"/>
        <v>97.711898497976833</v>
      </c>
      <c r="W28" s="57">
        <f t="shared" si="3"/>
        <v>91.470866996159543</v>
      </c>
      <c r="X28" s="57">
        <f t="shared" si="3"/>
        <v>87.816720022957838</v>
      </c>
      <c r="AC28" t="s">
        <v>105</v>
      </c>
      <c r="AD28" s="51">
        <f>I369</f>
        <v>0.92575466759727798</v>
      </c>
      <c r="AE28" s="55">
        <f>I380</f>
        <v>0.91727414704873467</v>
      </c>
      <c r="AF28" s="55">
        <f>J380</f>
        <v>2.7419521287317043E-3</v>
      </c>
      <c r="AH28">
        <v>369</v>
      </c>
      <c r="AI28">
        <v>380</v>
      </c>
      <c r="BF28" s="51"/>
    </row>
    <row r="29" spans="1:66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0</v>
      </c>
      <c r="E29" s="19">
        <f t="shared" si="2"/>
        <v>0.14964236273607301</v>
      </c>
      <c r="F29" s="34">
        <f t="shared" si="2"/>
        <v>20.035449677440887</v>
      </c>
      <c r="G29" s="20">
        <f t="shared" si="2"/>
        <v>0.76483874287326203</v>
      </c>
      <c r="H29" s="17">
        <f>SUM(C29:G29)</f>
        <v>20.949930783050224</v>
      </c>
      <c r="I29" s="17">
        <f>F29/H29*100</f>
        <v>95.634920634920633</v>
      </c>
      <c r="J29" s="17">
        <f>SQRT(I29*(100-I29)/(L29-1))</f>
        <v>0.40708981730170118</v>
      </c>
      <c r="K29" s="18">
        <f>100-I29</f>
        <v>4.3650793650793673</v>
      </c>
      <c r="L29" s="1">
        <f>H18</f>
        <v>2520</v>
      </c>
      <c r="M29">
        <v>3</v>
      </c>
      <c r="N29" s="1">
        <v>37357.11</v>
      </c>
      <c r="O29" s="17">
        <f>N29/N31*100</f>
        <v>20.94993078305022</v>
      </c>
      <c r="P29" s="52">
        <f>((O29*O29*(I29/100)*(K29/100))/(L29-1))</f>
        <v>7.2735371863463065E-3</v>
      </c>
      <c r="S29" s="66" t="s">
        <v>39</v>
      </c>
      <c r="T29" s="67">
        <f t="shared" si="3"/>
        <v>0</v>
      </c>
      <c r="U29" s="67">
        <f t="shared" si="3"/>
        <v>5.7121459122810228</v>
      </c>
      <c r="V29" s="67">
        <f t="shared" si="3"/>
        <v>0.2355698829467294</v>
      </c>
      <c r="W29" s="67">
        <f t="shared" si="3"/>
        <v>0.66199498856573014</v>
      </c>
      <c r="X29" s="67">
        <f t="shared" si="3"/>
        <v>2.0788060266368498</v>
      </c>
      <c r="AC29" t="s">
        <v>106</v>
      </c>
      <c r="AD29" s="51">
        <f>I398</f>
        <v>0.92392252660966667</v>
      </c>
      <c r="AE29" s="55">
        <f>I409</f>
        <v>0.91486955748905929</v>
      </c>
      <c r="AF29" s="55">
        <f>J409</f>
        <v>2.7576301056522834E-3</v>
      </c>
      <c r="AH29">
        <v>398</v>
      </c>
      <c r="AI29">
        <v>409</v>
      </c>
      <c r="BF29" s="51"/>
    </row>
    <row r="30" spans="1:66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1.1971938070454666</v>
      </c>
      <c r="E30" s="21">
        <f t="shared" si="2"/>
        <v>0.35069313539715685</v>
      </c>
      <c r="F30" s="21">
        <f t="shared" si="2"/>
        <v>1.2334724072589656</v>
      </c>
      <c r="G30" s="37">
        <f t="shared" si="2"/>
        <v>8.646399717550592</v>
      </c>
      <c r="H30" s="17">
        <f>SUM(C30:G30)</f>
        <v>11.427759067252181</v>
      </c>
      <c r="I30" s="17">
        <f>G30/H30*100</f>
        <v>75.661375661375658</v>
      </c>
      <c r="J30" s="17">
        <f>SQRT(I30*(100-I30)/(L30-1))</f>
        <v>1.3966871363134217</v>
      </c>
      <c r="K30" s="18">
        <f>100-I30</f>
        <v>24.338624338624342</v>
      </c>
      <c r="L30" s="1">
        <f>H19</f>
        <v>945</v>
      </c>
      <c r="M30">
        <v>4</v>
      </c>
      <c r="N30" s="1">
        <v>20377.54</v>
      </c>
      <c r="O30" s="17">
        <f>N30/N31*100</f>
        <v>11.427759067252181</v>
      </c>
      <c r="P30" s="52">
        <f>((O30*O30*(I30/100)*(K30/100))/(L30-1))</f>
        <v>2.5475365143714537E-2</v>
      </c>
      <c r="S30" t="s">
        <v>31</v>
      </c>
      <c r="T30" s="57">
        <f>I55</f>
        <v>100</v>
      </c>
      <c r="U30" s="57">
        <f>I56</f>
        <v>84.955752212389385</v>
      </c>
      <c r="V30" s="57">
        <f>I57</f>
        <v>93.958643059872955</v>
      </c>
      <c r="W30" s="57">
        <f>I58</f>
        <v>95.238095238095227</v>
      </c>
      <c r="X30" s="57">
        <f>I59</f>
        <v>77.24867724867724</v>
      </c>
      <c r="AC30" t="s">
        <v>107</v>
      </c>
      <c r="AD30" s="51">
        <f>I427</f>
        <v>0.91851334845576693</v>
      </c>
      <c r="AE30" s="55">
        <f>I438</f>
        <v>0.91125713806762565</v>
      </c>
      <c r="AF30" s="55">
        <f>J438</f>
        <v>2.816360382250489E-3</v>
      </c>
      <c r="AH30">
        <v>427</v>
      </c>
      <c r="AI30">
        <v>438</v>
      </c>
      <c r="BF30" s="56"/>
    </row>
    <row r="31" spans="1:66" x14ac:dyDescent="0.3">
      <c r="B31" t="s">
        <v>28</v>
      </c>
      <c r="C31" s="17">
        <f>SUM(C26:C30)</f>
        <v>1.4102648582307324</v>
      </c>
      <c r="D31" s="17">
        <f>SUM(D26:D30)</f>
        <v>9.2706997368599158</v>
      </c>
      <c r="E31" s="17">
        <f>SUM(E26:E30)</f>
        <v>57.382598153508326</v>
      </c>
      <c r="F31" s="17">
        <f>SUM(F26:F30)</f>
        <v>22.071318174515692</v>
      </c>
      <c r="G31" s="17">
        <f>SUM(G26:G30)</f>
        <v>9.865119076885339</v>
      </c>
      <c r="H31" s="1">
        <f>SUM(H25:H30)</f>
        <v>100</v>
      </c>
      <c r="I31" s="13" t="s">
        <v>24</v>
      </c>
      <c r="J31" s="12" t="s">
        <v>29</v>
      </c>
      <c r="N31" s="1">
        <f>SUM(N26:N30)</f>
        <v>178316.15</v>
      </c>
      <c r="O31" s="17">
        <f>SUM(O26:O30)</f>
        <v>100</v>
      </c>
      <c r="S31" s="66" t="s">
        <v>39</v>
      </c>
      <c r="T31" s="67">
        <f>J55</f>
        <v>0</v>
      </c>
      <c r="U31" s="67">
        <f>J56</f>
        <v>1.9445686667237165</v>
      </c>
      <c r="V31" s="67">
        <f>J57</f>
        <v>0.27699916025930182</v>
      </c>
      <c r="W31" s="67">
        <f>J58</f>
        <v>0.42430839003807064</v>
      </c>
      <c r="X31" s="67">
        <f>J59</f>
        <v>1.3644664274232117</v>
      </c>
      <c r="AC31" t="s">
        <v>108</v>
      </c>
      <c r="AD31" s="51">
        <f>I456</f>
        <v>0.91580875937881701</v>
      </c>
      <c r="AE31" s="55">
        <f>I467</f>
        <v>0.9080614906703306</v>
      </c>
      <c r="AF31" s="55">
        <f>J467</f>
        <v>2.8482009349383923E-3</v>
      </c>
      <c r="AH31">
        <v>456</v>
      </c>
      <c r="AI31">
        <v>467</v>
      </c>
      <c r="BF31" s="51"/>
    </row>
    <row r="32" spans="1:66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0</v>
      </c>
      <c r="D32" s="18">
        <f>SQRT(SUM((O26*O26*(D26/O26)*(1-D26/O26))/L26,(O27*O27*(D27/O27)*(1-D27/O27))/L27,(O28*O28*(D28/O28)*(1-D28/O28))/L28,(O29*O29*(D29/O29)*(1-D29/O29))/L29,(O30*O30*(D30/O30)*(1-D30/O30))/L30))</f>
        <v>0.21268846237232517</v>
      </c>
      <c r="E32" s="18">
        <f>SQRT(SUM((O26*O26*(E26/O26)*(1-E26/O26))/L26,(O27*O27*(E27/O27)*(1-E27/O27))/L27,(O28*O28*(E28/O28)*(1-E28/O28))/L28,(O29*O29*(E29/O29)*(1-E29/O29))/L29,(O30*O30*(E30/O30)*(1-E30/O30))/L30))</f>
        <v>0.21613032964178561</v>
      </c>
      <c r="F32" s="18">
        <f>SQRT(SUM((O26*O26*(F26/O26)*(1-F26/O26))/L26,(O27*O27*(F27/O27)*(1-F27/O27))/L27,(O28*O28*(F28/O28)*(1-F28/O28))/L28,(O29*O29*(F29/O29)*(1-F29/O29))/L29,(O30*O30*(F30/O30)*(1-F30/O30))/L30))</f>
        <v>0.16429630528767103</v>
      </c>
      <c r="G32" s="18">
        <f>SQRT(SUM((O26*O26*(G26/O26)*(1-G26/O26))/L26,(O27*O27*(G27/O27)*(1-G27/O27))/L27,(O28*O28*(G28/O28)*(1-G28/O28))/L28,(O29*O29*(G29/O29)*(1-G29/O29))/L29,(O30*O30*(G30/O30)*(1-G30/O30))/L30))</f>
        <v>0.18768483532970978</v>
      </c>
      <c r="H32" s="1"/>
      <c r="I32" s="14">
        <f>(C26+D27+E28+F29+G30)/H31</f>
        <v>0.91707322903475519</v>
      </c>
      <c r="J32" s="53">
        <f>SQRT(SUM(P26:P30))/100</f>
        <v>2.7231493373464743E-3</v>
      </c>
      <c r="M32" s="1"/>
      <c r="N32" s="9"/>
      <c r="S32" s="66" t="s">
        <v>56</v>
      </c>
      <c r="T32" s="67">
        <f>N44*100</f>
        <v>100</v>
      </c>
      <c r="U32" s="67">
        <f>N45*100</f>
        <v>55.759922555663124</v>
      </c>
      <c r="V32" s="67">
        <f>N46*100</f>
        <v>96.268088347296271</v>
      </c>
      <c r="W32" s="67">
        <f>N47*100</f>
        <v>93.988643038966117</v>
      </c>
      <c r="X32" s="67">
        <f>N48*100</f>
        <v>80.087767416346665</v>
      </c>
      <c r="AC32" t="s">
        <v>109</v>
      </c>
      <c r="AD32" s="51">
        <f>I485</f>
        <v>0.92418426103646834</v>
      </c>
      <c r="AE32" s="55">
        <f>I496</f>
        <v>0.91672497531904407</v>
      </c>
      <c r="AF32" s="55">
        <f>J496</f>
        <v>2.7077518900313459E-3</v>
      </c>
      <c r="AH32">
        <v>485</v>
      </c>
      <c r="AI32">
        <v>496</v>
      </c>
      <c r="BF32" s="120"/>
    </row>
    <row r="33" spans="1:65" x14ac:dyDescent="0.3">
      <c r="B33" s="1" t="s">
        <v>30</v>
      </c>
      <c r="C33" s="17">
        <f>C26/C31*100</f>
        <v>100</v>
      </c>
      <c r="D33" s="17">
        <f>D27/D31*100</f>
        <v>59.197337568441974</v>
      </c>
      <c r="E33" s="17">
        <f>E28/E31*100</f>
        <v>97.812234088665264</v>
      </c>
      <c r="F33" s="17">
        <f>F29/F31*100</f>
        <v>90.775954200028295</v>
      </c>
      <c r="G33" s="17">
        <f>G30/G31*100</f>
        <v>87.646176900284033</v>
      </c>
      <c r="H33" s="1"/>
      <c r="R33" s="16" t="s">
        <v>66</v>
      </c>
      <c r="S33" t="s">
        <v>9</v>
      </c>
      <c r="T33" s="30">
        <f>N55</f>
        <v>2549.13</v>
      </c>
      <c r="U33" s="30">
        <f>N56</f>
        <v>10673.67</v>
      </c>
      <c r="V33" s="30">
        <f>N57</f>
        <v>107741.48</v>
      </c>
      <c r="W33" s="30">
        <f>N58</f>
        <v>37091.589999999997</v>
      </c>
      <c r="X33" s="30">
        <f>N59</f>
        <v>20260.28</v>
      </c>
      <c r="Z33" t="s">
        <v>36</v>
      </c>
      <c r="AA33" s="1">
        <f>N60</f>
        <v>178316.15</v>
      </c>
      <c r="AC33" t="s">
        <v>110</v>
      </c>
      <c r="AD33" s="51">
        <f>I514</f>
        <v>0.91903681730937015</v>
      </c>
      <c r="AE33" s="55">
        <f>I525</f>
        <v>0.91156869976311272</v>
      </c>
      <c r="AF33" s="55">
        <f>J525</f>
        <v>2.803670437941701E-3</v>
      </c>
      <c r="AH33">
        <v>514</v>
      </c>
      <c r="AI33">
        <v>525</v>
      </c>
    </row>
    <row r="34" spans="1:65" ht="18" x14ac:dyDescent="0.35">
      <c r="B34" s="16" t="s">
        <v>39</v>
      </c>
      <c r="C34" s="18">
        <f>SQRT((C37+C38)/(C31*C31))</f>
        <v>0</v>
      </c>
      <c r="D34" s="18">
        <f>SQRT((D37+D38)/(D31*D31))</f>
        <v>5.0094917805486139</v>
      </c>
      <c r="E34" s="18">
        <f>SQRT((E37+E38)/(E31*E31))</f>
        <v>0.23538166956287038</v>
      </c>
      <c r="F34" s="18">
        <f>SQRT((F37+F38)/(F31*F31))</f>
        <v>0.67890271435346161</v>
      </c>
      <c r="G34" s="18">
        <f>SQRT((G37+G38)/(G31*G31))</f>
        <v>2.1833448045647939</v>
      </c>
      <c r="H34" s="1"/>
      <c r="R34" s="16" t="s">
        <v>323</v>
      </c>
      <c r="S34" t="s">
        <v>68</v>
      </c>
      <c r="T34" s="57">
        <f>$AA33*T26/100</f>
        <v>2549.1299999999997</v>
      </c>
      <c r="U34" s="57">
        <f>$AA33*U26/100</f>
        <v>15722.72212818044</v>
      </c>
      <c r="V34" s="57">
        <f>$AA33*V26/100</f>
        <v>103602.97382075785</v>
      </c>
      <c r="W34" s="57">
        <f>$AA33*W26/100</f>
        <v>38619.207371246361</v>
      </c>
      <c r="X34" s="57">
        <f>$AA33*X26/100</f>
        <v>17822.116679815339</v>
      </c>
      <c r="Z34" t="s">
        <v>36</v>
      </c>
      <c r="AA34" s="25">
        <f>SUM(T34:X34)</f>
        <v>178316.15</v>
      </c>
      <c r="AB34" s="25"/>
      <c r="AC34" t="s">
        <v>111</v>
      </c>
      <c r="AD34" s="51">
        <f>I543</f>
        <v>0.9249694643168731</v>
      </c>
      <c r="AE34" s="55">
        <f>I554</f>
        <v>0.91531833574297539</v>
      </c>
      <c r="AF34" s="55">
        <f>J554</f>
        <v>2.7661829388483002E-3</v>
      </c>
      <c r="AH34">
        <v>543</v>
      </c>
      <c r="AI34">
        <v>554</v>
      </c>
      <c r="BF34" s="83" t="s">
        <v>361</v>
      </c>
    </row>
    <row r="35" spans="1:65" x14ac:dyDescent="0.3">
      <c r="B35" s="1" t="s">
        <v>37</v>
      </c>
      <c r="C35" s="18">
        <f>100-C33</f>
        <v>0</v>
      </c>
      <c r="D35" s="18">
        <f>100-D33</f>
        <v>40.802662431558026</v>
      </c>
      <c r="E35" s="18">
        <f>100-E33</f>
        <v>2.1877659113347363</v>
      </c>
      <c r="F35" s="18">
        <f>100-F33</f>
        <v>9.2240457999717052</v>
      </c>
      <c r="G35" s="18">
        <f>100-G33</f>
        <v>12.353823099715967</v>
      </c>
      <c r="R35" s="66"/>
      <c r="S35" s="66" t="s">
        <v>67</v>
      </c>
      <c r="T35" s="67">
        <f>$AA33*T27/100</f>
        <v>0</v>
      </c>
      <c r="U35" s="67">
        <f>$AA33*U27/100</f>
        <v>384.141684666868</v>
      </c>
      <c r="V35" s="67">
        <f>$AA33*V27/100</f>
        <v>382.64671530010992</v>
      </c>
      <c r="W35" s="67">
        <f>$AA33*W27/100</f>
        <v>285.13491099447344</v>
      </c>
      <c r="X35" s="67">
        <f>$AA33*X27/100</f>
        <v>327.45542943342548</v>
      </c>
      <c r="AA35" s="1"/>
      <c r="AB35" s="25"/>
      <c r="AC35" s="58" t="s">
        <v>112</v>
      </c>
      <c r="AD35" s="120">
        <f>I572</f>
        <v>0.9192985517361717</v>
      </c>
      <c r="AE35" s="121">
        <f>I583</f>
        <v>0.91206527149290961</v>
      </c>
      <c r="AF35" s="121">
        <f>J583</f>
        <v>2.8010288458949484E-3</v>
      </c>
      <c r="AH35">
        <v>572</v>
      </c>
      <c r="AI35">
        <v>583</v>
      </c>
    </row>
    <row r="36" spans="1:65" ht="15.6" x14ac:dyDescent="0.35">
      <c r="B36" s="1" t="s">
        <v>25</v>
      </c>
      <c r="C36" s="1">
        <f>C20</f>
        <v>259</v>
      </c>
      <c r="D36" s="1">
        <f>D20</f>
        <v>716</v>
      </c>
      <c r="E36" s="1">
        <f>E20</f>
        <v>7013</v>
      </c>
      <c r="F36" s="1">
        <f>F20</f>
        <v>2611</v>
      </c>
      <c r="G36" s="1">
        <f>G20</f>
        <v>863</v>
      </c>
      <c r="R36" t="s">
        <v>72</v>
      </c>
      <c r="S36" t="s">
        <v>28</v>
      </c>
      <c r="T36" s="57">
        <f t="shared" ref="T36:X39" si="4">C89</f>
        <v>1.4277394391926925</v>
      </c>
      <c r="U36" s="57">
        <f t="shared" si="4"/>
        <v>8.6559010056932415</v>
      </c>
      <c r="V36" s="57">
        <f t="shared" si="4"/>
        <v>57.968999263547047</v>
      </c>
      <c r="W36" s="57">
        <f t="shared" si="4"/>
        <v>21.761963796806427</v>
      </c>
      <c r="X36" s="57">
        <f t="shared" si="4"/>
        <v>10.185396494760612</v>
      </c>
      <c r="Y36" s="13"/>
      <c r="Z36" s="74"/>
      <c r="AA36" s="12"/>
      <c r="AC36" t="s">
        <v>113</v>
      </c>
      <c r="AD36" s="51">
        <v>0.91956028616297303</v>
      </c>
      <c r="AE36" s="51">
        <v>0.912293340431098</v>
      </c>
      <c r="AH36">
        <v>601</v>
      </c>
      <c r="AI36">
        <v>612</v>
      </c>
      <c r="BF36" s="82" t="s">
        <v>335</v>
      </c>
      <c r="BG36" s="1">
        <v>0.05</v>
      </c>
      <c r="BH36" s="59" t="s">
        <v>336</v>
      </c>
      <c r="BI36" s="1">
        <v>20</v>
      </c>
      <c r="BJ36" s="59" t="s">
        <v>347</v>
      </c>
      <c r="BK36" s="1">
        <f>_xlfn.VAR.S(BF39:BF58)*(BI36-1)</f>
        <v>2.0483900913688353E-4</v>
      </c>
    </row>
    <row r="37" spans="1:6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2041.0670725928301</v>
      </c>
      <c r="E37" s="18">
        <f>(O28*O28*(100-E33)*(100-E33)*(I28)*(100-I28))/((L28-1)*100)</f>
        <v>13.95059441593966</v>
      </c>
      <c r="F37" s="18">
        <f>(O29*O29*(100-F33)*(100-F33)*(I29)*(100-I29))/((L29-1)*100)</f>
        <v>61.885451658812357</v>
      </c>
      <c r="G37" s="18">
        <f>(O30*O30*(100-G33)*(100-G33)*(I30)*(100-I30))/((L30-1)*100)</f>
        <v>388.79724055552202</v>
      </c>
      <c r="S37" s="66" t="s">
        <v>39</v>
      </c>
      <c r="T37" s="67">
        <f t="shared" si="4"/>
        <v>0</v>
      </c>
      <c r="U37" s="67">
        <f t="shared" si="4"/>
        <v>0.21145690546316939</v>
      </c>
      <c r="V37" s="67">
        <f t="shared" si="4"/>
        <v>0.211681537682014</v>
      </c>
      <c r="W37" s="67">
        <f t="shared" si="4"/>
        <v>0.16376188498980218</v>
      </c>
      <c r="X37" s="67">
        <f t="shared" si="4"/>
        <v>0.18806581966705099</v>
      </c>
      <c r="AC37" t="s">
        <v>114</v>
      </c>
      <c r="AD37" s="51">
        <v>0.92558017797940995</v>
      </c>
      <c r="AE37" s="51">
        <v>0.91652606195005304</v>
      </c>
      <c r="AH37">
        <v>630</v>
      </c>
      <c r="AI37">
        <v>641</v>
      </c>
    </row>
    <row r="38" spans="1:65" ht="15.6" x14ac:dyDescent="0.35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115.74530459504795</v>
      </c>
      <c r="E38" s="18">
        <f>E33*E33*(SUM((H26*E26*(1-E15/H15))/(H15-1),(H27*E27*(1-E16/H16))/(H16-1), (H29*E29*(1-E18/H18))/(H18-1),(H30*E30*(1-E19/H19))/(H19-1)))</f>
        <v>168.48336942925485</v>
      </c>
      <c r="F38" s="18">
        <f>F33*F33*(SUM((H26*F26*(1-F15/H15))/(H15-1),(H27*F27*(1-F16/H16))/(H16-1), (H28*F28*(1-F17/H17))/(H17-1),(H30*F30*(1-F19/H19))/(H19-1)))</f>
        <v>162.64313006932113</v>
      </c>
      <c r="G38" s="18">
        <f>G33*G33*(SUM((H26*G26*(1-G15/H15))/(H15-1),(H27*G27*(1-G16/H16))/(H16-1), (H28*G28*(1-G17/H17))/(H17-1),(H29*G29*(1-G18/H18))/(H18-1)))</f>
        <v>75.129405818057947</v>
      </c>
      <c r="S38" t="s">
        <v>30</v>
      </c>
      <c r="T38" s="57">
        <f t="shared" si="4"/>
        <v>100</v>
      </c>
      <c r="U38" s="57">
        <f t="shared" si="4"/>
        <v>58.910769160882502</v>
      </c>
      <c r="V38" s="57">
        <f t="shared" si="4"/>
        <v>97.773223550471528</v>
      </c>
      <c r="W38" s="57">
        <f t="shared" si="4"/>
        <v>91.135029502809275</v>
      </c>
      <c r="X38" s="57">
        <f t="shared" si="4"/>
        <v>86.90740889328606</v>
      </c>
      <c r="Z38" s="50"/>
      <c r="AA38" s="54"/>
      <c r="AC38" t="s">
        <v>115</v>
      </c>
      <c r="AD38" s="51">
        <v>0.92322456813819498</v>
      </c>
      <c r="AE38" s="51">
        <v>0.916026994446271</v>
      </c>
      <c r="AH38">
        <v>659</v>
      </c>
      <c r="AI38">
        <v>670</v>
      </c>
      <c r="BF38" s="12" t="s">
        <v>334</v>
      </c>
      <c r="BG38" s="13" t="s">
        <v>362</v>
      </c>
      <c r="BH38" s="13" t="s">
        <v>367</v>
      </c>
      <c r="BI38" s="13" t="s">
        <v>368</v>
      </c>
      <c r="BJ38" s="13" t="s">
        <v>369</v>
      </c>
      <c r="BK38" s="13" t="s">
        <v>363</v>
      </c>
      <c r="BL38">
        <f>1/(SQRT(BI36))</f>
        <v>0.22360679774997896</v>
      </c>
    </row>
    <row r="39" spans="1:65" x14ac:dyDescent="0.3">
      <c r="A39" s="105" t="s">
        <v>390</v>
      </c>
      <c r="B39" s="69" t="s">
        <v>9</v>
      </c>
      <c r="C39" s="1">
        <v>271.17</v>
      </c>
      <c r="D39" s="1">
        <v>1645.2</v>
      </c>
      <c r="E39" s="1">
        <v>15667.2</v>
      </c>
      <c r="F39" s="1">
        <v>2148.34</v>
      </c>
      <c r="G39" s="1">
        <v>1790.84</v>
      </c>
      <c r="I39" t="s">
        <v>36</v>
      </c>
      <c r="J39" s="57">
        <f>SUM(C39:G39)</f>
        <v>21522.75</v>
      </c>
      <c r="S39" s="66" t="s">
        <v>39</v>
      </c>
      <c r="T39" s="67">
        <f t="shared" si="4"/>
        <v>0</v>
      </c>
      <c r="U39" s="67">
        <f t="shared" si="4"/>
        <v>5.5463621470384856</v>
      </c>
      <c r="V39" s="67">
        <f t="shared" si="4"/>
        <v>0.23179450461122081</v>
      </c>
      <c r="W39" s="67">
        <f t="shared" si="4"/>
        <v>0.6803883479402566</v>
      </c>
      <c r="X39" s="67">
        <f t="shared" si="4"/>
        <v>2.2054364176538117</v>
      </c>
      <c r="AC39" t="s">
        <v>116</v>
      </c>
      <c r="AD39" s="51">
        <v>0.92095620310591497</v>
      </c>
      <c r="AE39" s="51">
        <v>0.91347018810470904</v>
      </c>
      <c r="AH39">
        <v>688</v>
      </c>
      <c r="AI39">
        <v>699</v>
      </c>
      <c r="BF39" s="51">
        <v>0.90806121586152944</v>
      </c>
      <c r="BG39" s="27">
        <v>1</v>
      </c>
      <c r="BH39" s="84">
        <f>_xlfn.NORM.S.INV((BG39-0.375)/($BI$36+0.25))</f>
        <v>-1.8682416548639302</v>
      </c>
      <c r="BI39" s="84">
        <f>-BI58</f>
        <v>-0.47336806621893501</v>
      </c>
      <c r="BJ39">
        <f>BI39*BF39</f>
        <v>-0.42984718176078712</v>
      </c>
      <c r="BK39" s="13" t="s">
        <v>355</v>
      </c>
      <c r="BL39">
        <f>SUMSQ(BH39:BH58)</f>
        <v>17.633567020527028</v>
      </c>
    </row>
    <row r="40" spans="1:65" x14ac:dyDescent="0.3">
      <c r="B40" t="s">
        <v>391</v>
      </c>
      <c r="C40" s="57">
        <f>(C39/$J39)*100</f>
        <v>1.2599226399972123</v>
      </c>
      <c r="D40" s="57">
        <f>(D39/$J39)*100</f>
        <v>7.6440045997839503</v>
      </c>
      <c r="E40" s="57">
        <f>(E39/$J39)*100</f>
        <v>72.793671812384574</v>
      </c>
      <c r="F40" s="57">
        <f>(F39/$J39)*100</f>
        <v>9.9817170203621757</v>
      </c>
      <c r="G40" s="57">
        <f>(G39/$J39)*100</f>
        <v>8.3206839274720927</v>
      </c>
      <c r="S40" t="s">
        <v>31</v>
      </c>
      <c r="T40" s="57">
        <f>I84</f>
        <v>100</v>
      </c>
      <c r="U40" s="57">
        <f>I85</f>
        <v>85.545722713864308</v>
      </c>
      <c r="V40" s="57">
        <f>I86</f>
        <v>94.066765779159354</v>
      </c>
      <c r="W40" s="57">
        <f>I87</f>
        <v>95.039682539682531</v>
      </c>
      <c r="X40" s="57">
        <f>I88</f>
        <v>77.037037037037038</v>
      </c>
      <c r="AC40" t="s">
        <v>117</v>
      </c>
      <c r="AD40" s="51">
        <v>0.92043273425231198</v>
      </c>
      <c r="AE40" s="51">
        <v>0.91232376053581898</v>
      </c>
      <c r="AH40">
        <v>717</v>
      </c>
      <c r="AI40">
        <v>728</v>
      </c>
      <c r="BF40" s="51">
        <v>0.91014826869384435</v>
      </c>
      <c r="BG40" s="27">
        <v>2</v>
      </c>
      <c r="BH40" s="84">
        <f t="shared" ref="BH40:BH58" si="5">_xlfn.NORM.S.INV((BG40-0.375)/($BI$36+0.25))</f>
        <v>-1.4034126358514019</v>
      </c>
      <c r="BI40" s="84">
        <f>-BI57</f>
        <v>-0.32175145499838514</v>
      </c>
      <c r="BJ40">
        <f t="shared" ref="BJ40:BJ58" si="6">BI40*BF40</f>
        <v>-0.29284152971650562</v>
      </c>
      <c r="BK40" s="74" t="s">
        <v>364</v>
      </c>
      <c r="BL40">
        <f>(BL39-2*(BH58^2)-2*(BH57^2))/(1-2*(BI58^2)-2*(BI57^2))</f>
        <v>19.471667059296756</v>
      </c>
    </row>
    <row r="41" spans="1:65" x14ac:dyDescent="0.3">
      <c r="A41" s="361" t="s">
        <v>401</v>
      </c>
      <c r="B41" s="361"/>
      <c r="C41" s="361"/>
      <c r="D41" s="361"/>
      <c r="E41" s="361"/>
      <c r="F41" s="361"/>
      <c r="G41" s="361"/>
      <c r="H41" s="361"/>
      <c r="I41" s="361"/>
      <c r="J41" s="361"/>
      <c r="K41" s="361"/>
      <c r="L41" s="361" t="s">
        <v>53</v>
      </c>
      <c r="M41" s="361"/>
      <c r="N41" s="361"/>
      <c r="O41" s="361"/>
      <c r="P41" s="361"/>
      <c r="S41" s="66" t="s">
        <v>39</v>
      </c>
      <c r="T41" s="67">
        <f>J84</f>
        <v>0</v>
      </c>
      <c r="U41" s="67">
        <f>J85</f>
        <v>1.9126653517482657</v>
      </c>
      <c r="V41" s="67">
        <f>J86</f>
        <v>0.27466712970257734</v>
      </c>
      <c r="W41" s="67">
        <f>J87</f>
        <v>0.43260659994439427</v>
      </c>
      <c r="X41" s="67">
        <f>J88</f>
        <v>1.3689189986443526</v>
      </c>
      <c r="AC41" t="s">
        <v>118</v>
      </c>
      <c r="AD41" s="51">
        <v>0.91781538998429502</v>
      </c>
      <c r="AE41" s="51">
        <v>0.90975203251676195</v>
      </c>
      <c r="AH41">
        <v>746</v>
      </c>
      <c r="AI41">
        <v>757</v>
      </c>
      <c r="BF41" s="51">
        <v>0.91064093921788614</v>
      </c>
      <c r="BG41" s="1">
        <v>3</v>
      </c>
      <c r="BH41">
        <f t="shared" si="5"/>
        <v>-1.1281436452787641</v>
      </c>
      <c r="BI41">
        <f t="shared" ref="BI41:BI56" si="7">BH41/SQRT($BL$40)</f>
        <v>-0.25566002901309814</v>
      </c>
      <c r="BJ41">
        <f t="shared" si="6"/>
        <v>-0.23281448894095971</v>
      </c>
      <c r="BK41" s="74" t="s">
        <v>350</v>
      </c>
      <c r="BL41" s="48">
        <f>CORREL(BF39:BF58,BI39:BI58)^2</f>
        <v>0.95161641653877371</v>
      </c>
      <c r="BM41" s="48">
        <f>(BJ59^2)/BK36</f>
        <v>0.95161641653874129</v>
      </c>
    </row>
    <row r="42" spans="1:65" x14ac:dyDescent="0.3">
      <c r="A42" t="s">
        <v>320</v>
      </c>
      <c r="B42" t="s">
        <v>21</v>
      </c>
      <c r="I42" s="1" t="s">
        <v>58</v>
      </c>
      <c r="O42" s="360" t="s">
        <v>411</v>
      </c>
      <c r="P42" s="360"/>
      <c r="S42" s="66" t="s">
        <v>56</v>
      </c>
      <c r="T42" s="67">
        <f>N73*100</f>
        <v>100</v>
      </c>
      <c r="U42" s="67">
        <f>N74*100</f>
        <v>57.312252964426882</v>
      </c>
      <c r="V42" s="67">
        <f>N75*100</f>
        <v>96.33217993079586</v>
      </c>
      <c r="W42" s="67">
        <f>N76*100</f>
        <v>93.75611665688001</v>
      </c>
      <c r="X42" s="67">
        <f>N77*100</f>
        <v>79.346049046321525</v>
      </c>
      <c r="AC42" t="s">
        <v>119</v>
      </c>
      <c r="AD42" s="51">
        <v>0.92305007852032805</v>
      </c>
      <c r="AE42" s="51">
        <v>0.915475490559016</v>
      </c>
      <c r="AH42">
        <v>775</v>
      </c>
      <c r="AI42">
        <v>786</v>
      </c>
      <c r="BF42" s="51">
        <v>0.91125707775230591</v>
      </c>
      <c r="BG42" s="1">
        <v>4</v>
      </c>
      <c r="BH42">
        <f t="shared" si="5"/>
        <v>-0.91913552204621074</v>
      </c>
      <c r="BI42">
        <f t="shared" si="7"/>
        <v>-0.20829458661289388</v>
      </c>
      <c r="BJ42">
        <f t="shared" si="6"/>
        <v>-0.18980991630849026</v>
      </c>
      <c r="BK42" s="74" t="s">
        <v>78</v>
      </c>
      <c r="BL42">
        <f>0.0038915*(LN(BI36)^3)-0.083751*(LN(BI36)^2)-0.31082*LN(BI36)-1.5861</f>
        <v>-3.1642267470723917</v>
      </c>
    </row>
    <row r="43" spans="1:6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56</v>
      </c>
      <c r="O43" s="13" t="s">
        <v>412</v>
      </c>
      <c r="P43" s="13" t="s">
        <v>41</v>
      </c>
      <c r="R43" s="16" t="s">
        <v>66</v>
      </c>
      <c r="S43" t="s">
        <v>9</v>
      </c>
      <c r="T43" s="30">
        <f>N84</f>
        <v>2545.89</v>
      </c>
      <c r="U43" s="30">
        <f>N85</f>
        <v>10629.17</v>
      </c>
      <c r="V43" s="30">
        <f>N86</f>
        <v>107441.04</v>
      </c>
      <c r="W43" s="30">
        <f>N87</f>
        <v>37210.81</v>
      </c>
      <c r="X43" s="30">
        <f>N88</f>
        <v>20489.240000000002</v>
      </c>
      <c r="Z43" t="s">
        <v>36</v>
      </c>
      <c r="AA43" s="1">
        <f>N89</f>
        <v>178316.14999999997</v>
      </c>
      <c r="AC43" t="s">
        <v>120</v>
      </c>
      <c r="AD43" s="51">
        <v>0.924445995463269</v>
      </c>
      <c r="AE43" s="51">
        <v>0.91678692375816595</v>
      </c>
      <c r="AH43">
        <v>804</v>
      </c>
      <c r="AI43">
        <v>815</v>
      </c>
      <c r="BF43" s="51">
        <v>0.91156897695656636</v>
      </c>
      <c r="BG43" s="1">
        <v>5</v>
      </c>
      <c r="BH43">
        <f t="shared" si="5"/>
        <v>-0.74414274222016763</v>
      </c>
      <c r="BI43">
        <f t="shared" si="7"/>
        <v>-0.16863770483667825</v>
      </c>
      <c r="BJ43">
        <f t="shared" si="6"/>
        <v>-0.1537249000742742</v>
      </c>
      <c r="BK43" s="74" t="s">
        <v>370</v>
      </c>
      <c r="BL43">
        <f>EXP(0.0030301*(LN(BI36)^2)-0.082676*LN(BI36)-0.4803)</f>
        <v>0.49619722706220387</v>
      </c>
    </row>
    <row r="44" spans="1:65" ht="15.6" x14ac:dyDescent="0.35">
      <c r="A44" t="s">
        <v>3</v>
      </c>
      <c r="B44" s="13">
        <v>0</v>
      </c>
      <c r="C44" s="26">
        <v>259</v>
      </c>
      <c r="D44" s="3">
        <v>0</v>
      </c>
      <c r="E44" s="3">
        <v>0</v>
      </c>
      <c r="F44" s="3">
        <v>0</v>
      </c>
      <c r="G44" s="4">
        <v>0</v>
      </c>
      <c r="H44" s="1">
        <f>SUM(C44:G44)</f>
        <v>259</v>
      </c>
      <c r="I44" s="10">
        <f>C44/H44</f>
        <v>1</v>
      </c>
      <c r="J44" s="11">
        <f>1-I44</f>
        <v>0</v>
      </c>
      <c r="K44">
        <f>H44-C49</f>
        <v>0</v>
      </c>
      <c r="N44" s="10">
        <f>2*(C50*I44)/(C50+I44)</f>
        <v>1</v>
      </c>
      <c r="O44" s="1"/>
      <c r="P44" s="1"/>
      <c r="R44" s="16" t="s">
        <v>323</v>
      </c>
      <c r="S44" t="s">
        <v>68</v>
      </c>
      <c r="T44" s="57">
        <f>$AA43*T36/100</f>
        <v>2545.89</v>
      </c>
      <c r="U44" s="57">
        <f>$AA43*U36/100</f>
        <v>15434.869421163467</v>
      </c>
      <c r="V44" s="57">
        <f>$AA43*V36/100</f>
        <v>103368.08768028542</v>
      </c>
      <c r="W44" s="57">
        <f>$AA43*W36/100</f>
        <v>38805.096006859036</v>
      </c>
      <c r="X44" s="57">
        <f>$AA43*X36/100</f>
        <v>18162.206891692073</v>
      </c>
      <c r="Z44" t="s">
        <v>36</v>
      </c>
      <c r="AA44" s="25">
        <f>SUM(T44:X44)</f>
        <v>178316.15</v>
      </c>
      <c r="AC44" t="s">
        <v>121</v>
      </c>
      <c r="AD44" s="51">
        <v>0.916070493805618</v>
      </c>
      <c r="AE44" s="51">
        <v>0.907777249520481</v>
      </c>
      <c r="AH44">
        <v>833</v>
      </c>
      <c r="AI44">
        <v>844</v>
      </c>
      <c r="BF44" s="128">
        <v>0.9120656247072505</v>
      </c>
      <c r="BG44" s="1">
        <v>6</v>
      </c>
      <c r="BH44">
        <f t="shared" si="5"/>
        <v>-0.58945579784977842</v>
      </c>
      <c r="BI44">
        <f t="shared" si="7"/>
        <v>-0.13358253358150615</v>
      </c>
      <c r="BJ44">
        <f t="shared" si="6"/>
        <v>-0.12183603694099368</v>
      </c>
      <c r="BK44" s="74" t="s">
        <v>366</v>
      </c>
      <c r="BL44">
        <f>(LN(1-BL41)-BL42)/BL43</f>
        <v>0.27334300192349636</v>
      </c>
    </row>
    <row r="45" spans="1:65" x14ac:dyDescent="0.3">
      <c r="A45" t="s">
        <v>4</v>
      </c>
      <c r="B45" s="13">
        <v>1</v>
      </c>
      <c r="C45" s="5">
        <v>0</v>
      </c>
      <c r="D45" s="27">
        <v>288</v>
      </c>
      <c r="E45" s="1">
        <v>51</v>
      </c>
      <c r="F45" s="1">
        <v>0</v>
      </c>
      <c r="G45" s="6">
        <v>0</v>
      </c>
      <c r="H45" s="1">
        <f>SUM(C45:G45)</f>
        <v>339</v>
      </c>
      <c r="I45" s="10">
        <f>D45/H45</f>
        <v>0.84955752212389379</v>
      </c>
      <c r="J45" s="11">
        <f>1-I45</f>
        <v>0.15044247787610621</v>
      </c>
      <c r="K45">
        <f>H45-D49</f>
        <v>-355</v>
      </c>
      <c r="N45" s="10">
        <f>2*(D50*I45)/(D50+I45)</f>
        <v>0.55759922555663122</v>
      </c>
      <c r="O45" s="1"/>
      <c r="P45" s="1"/>
      <c r="R45" s="66"/>
      <c r="S45" s="66" t="s">
        <v>67</v>
      </c>
      <c r="T45" s="67">
        <f>$AA43*T37/100</f>
        <v>0</v>
      </c>
      <c r="U45" s="67">
        <f>$AA43*U37/100</f>
        <v>377.06181273106324</v>
      </c>
      <c r="V45" s="67">
        <f>$AA43*V37/100</f>
        <v>377.46236825536653</v>
      </c>
      <c r="W45" s="67">
        <f>$AA43*W37/100</f>
        <v>292.0138884812431</v>
      </c>
      <c r="X45" s="67">
        <f>$AA43*X37/100</f>
        <v>335.3517290962281</v>
      </c>
      <c r="AA45" s="1"/>
      <c r="AC45" t="s">
        <v>122</v>
      </c>
      <c r="AD45" s="51">
        <v>0.921915896004187</v>
      </c>
      <c r="AE45" s="51">
        <v>0.91354355955084798</v>
      </c>
      <c r="AH45">
        <v>862</v>
      </c>
      <c r="AI45">
        <v>873</v>
      </c>
      <c r="BF45" s="51">
        <v>0.91283545225867369</v>
      </c>
      <c r="BG45" s="1">
        <v>7</v>
      </c>
      <c r="BH45">
        <f t="shared" si="5"/>
        <v>-0.44776751848294888</v>
      </c>
      <c r="BI45">
        <f t="shared" si="7"/>
        <v>-0.10147312112739562</v>
      </c>
      <c r="BJ45">
        <f t="shared" si="6"/>
        <v>-9.2628262416425355E-2</v>
      </c>
      <c r="BK45" s="74" t="s">
        <v>354</v>
      </c>
      <c r="BL45">
        <f>1-NORMSDIST(BL44)</f>
        <v>0.39229478135040752</v>
      </c>
    </row>
    <row r="46" spans="1:65" x14ac:dyDescent="0.3">
      <c r="A46" t="s">
        <v>5</v>
      </c>
      <c r="B46" s="13">
        <v>2</v>
      </c>
      <c r="C46" s="5">
        <v>0</v>
      </c>
      <c r="D46" s="1">
        <v>298</v>
      </c>
      <c r="E46" s="27">
        <v>6952</v>
      </c>
      <c r="F46" s="1">
        <v>104</v>
      </c>
      <c r="G46" s="6">
        <v>45</v>
      </c>
      <c r="H46" s="1">
        <f>SUM(C46:G46)</f>
        <v>7399</v>
      </c>
      <c r="I46" s="10">
        <f>E46/H46</f>
        <v>0.93958643059872959</v>
      </c>
      <c r="J46" s="11">
        <f>1-I46</f>
        <v>6.0413569401270406E-2</v>
      </c>
      <c r="K46">
        <f>H46-E49</f>
        <v>355</v>
      </c>
      <c r="N46" s="10">
        <f>2*(E50*I46)/(E50+I46)</f>
        <v>0.96268088347296277</v>
      </c>
      <c r="O46" s="1"/>
      <c r="P46" s="1"/>
      <c r="R46" t="s">
        <v>73</v>
      </c>
      <c r="S46" t="s">
        <v>28</v>
      </c>
      <c r="T46" s="57">
        <f t="shared" ref="T46:X49" si="8">C118</f>
        <v>1.4241503083147544</v>
      </c>
      <c r="U46" s="57">
        <f t="shared" si="8"/>
        <v>8.98786154853752</v>
      </c>
      <c r="V46" s="57">
        <f t="shared" si="8"/>
        <v>57.53970753760651</v>
      </c>
      <c r="W46" s="57">
        <f t="shared" si="8"/>
        <v>21.93594353557485</v>
      </c>
      <c r="X46" s="57">
        <f t="shared" si="8"/>
        <v>10.112337069966372</v>
      </c>
      <c r="Y46" s="60"/>
      <c r="Z46" s="74"/>
      <c r="AA46" s="12"/>
      <c r="AC46" t="s">
        <v>135</v>
      </c>
      <c r="AD46" s="51">
        <v>0.91737916593962598</v>
      </c>
      <c r="AE46" s="51">
        <v>0.90950566888048201</v>
      </c>
      <c r="AH46">
        <v>891</v>
      </c>
      <c r="AI46">
        <v>902</v>
      </c>
      <c r="BF46" s="51">
        <v>0.91487002607337187</v>
      </c>
      <c r="BG46" s="1">
        <v>8</v>
      </c>
      <c r="BH46">
        <f t="shared" si="5"/>
        <v>-0.31457229183888502</v>
      </c>
      <c r="BI46">
        <f t="shared" si="7"/>
        <v>-7.1288405155509674E-2</v>
      </c>
      <c r="BJ46">
        <f t="shared" si="6"/>
        <v>-6.5219625083350233E-2</v>
      </c>
      <c r="BK46" s="13" t="s">
        <v>358</v>
      </c>
      <c r="BL46" s="13" t="str">
        <f>IF(GESTEP(BL45,BG36)=0,"YES","NO")</f>
        <v>NO</v>
      </c>
    </row>
    <row r="47" spans="1:65" x14ac:dyDescent="0.3">
      <c r="A47" t="s">
        <v>6</v>
      </c>
      <c r="B47" s="13">
        <v>3</v>
      </c>
      <c r="C47" s="5">
        <v>0</v>
      </c>
      <c r="D47" s="1">
        <v>0</v>
      </c>
      <c r="E47" s="1">
        <v>17</v>
      </c>
      <c r="F47" s="27">
        <v>2400</v>
      </c>
      <c r="G47" s="6">
        <v>103</v>
      </c>
      <c r="H47" s="1">
        <f>SUM(C47:G47)</f>
        <v>2520</v>
      </c>
      <c r="I47" s="10">
        <f>F47/H47</f>
        <v>0.95238095238095233</v>
      </c>
      <c r="J47" s="11">
        <f>1-I47</f>
        <v>4.7619047619047672E-2</v>
      </c>
      <c r="K47">
        <f>H47-F49</f>
        <v>-67</v>
      </c>
      <c r="N47" s="10">
        <f>2*(F50*I47)/(F50+I47)</f>
        <v>0.93988643038966113</v>
      </c>
      <c r="O47" s="1"/>
      <c r="P47" s="1"/>
      <c r="S47" s="66" t="s">
        <v>39</v>
      </c>
      <c r="T47" s="67">
        <f t="shared" si="8"/>
        <v>0</v>
      </c>
      <c r="U47" s="67">
        <f t="shared" si="8"/>
        <v>0.21709321969810788</v>
      </c>
      <c r="V47" s="67">
        <f t="shared" si="8"/>
        <v>0.22240390731492532</v>
      </c>
      <c r="W47" s="67">
        <f t="shared" si="8"/>
        <v>0.16536160642879741</v>
      </c>
      <c r="X47" s="67">
        <f t="shared" si="8"/>
        <v>0.18739314331428669</v>
      </c>
      <c r="AC47" t="s">
        <v>136</v>
      </c>
      <c r="AD47" s="51">
        <v>0.91694294189495695</v>
      </c>
      <c r="AE47" s="51">
        <v>0.90978171000631802</v>
      </c>
      <c r="AH47">
        <v>920</v>
      </c>
      <c r="AI47">
        <v>931</v>
      </c>
      <c r="BF47" s="51">
        <v>0.91487897932867313</v>
      </c>
      <c r="BG47" s="1">
        <v>9</v>
      </c>
      <c r="BH47">
        <f t="shared" si="5"/>
        <v>-0.18675612106373712</v>
      </c>
      <c r="BI47">
        <f t="shared" si="7"/>
        <v>-4.2322691378304626E-2</v>
      </c>
      <c r="BJ47">
        <f t="shared" si="6"/>
        <v>-3.8720140690625772E-2</v>
      </c>
    </row>
    <row r="48" spans="1:65" x14ac:dyDescent="0.3">
      <c r="A48" t="s">
        <v>7</v>
      </c>
      <c r="B48" s="13">
        <v>4</v>
      </c>
      <c r="C48" s="7">
        <v>0</v>
      </c>
      <c r="D48" s="8">
        <v>108</v>
      </c>
      <c r="E48" s="8">
        <v>24</v>
      </c>
      <c r="F48" s="8">
        <v>83</v>
      </c>
      <c r="G48" s="28">
        <v>730</v>
      </c>
      <c r="H48" s="1">
        <f>SUM(C48:G48)</f>
        <v>945</v>
      </c>
      <c r="I48" s="10">
        <f>G48/H48</f>
        <v>0.77248677248677244</v>
      </c>
      <c r="J48" s="11">
        <f>1-I48</f>
        <v>0.22751322751322756</v>
      </c>
      <c r="K48">
        <f>H48-G49</f>
        <v>67</v>
      </c>
      <c r="N48" s="10">
        <f>2*(G50*I48)/(G50+I48)</f>
        <v>0.80087767416346667</v>
      </c>
      <c r="O48" s="1"/>
      <c r="P48" s="1"/>
      <c r="S48" t="s">
        <v>30</v>
      </c>
      <c r="T48" s="57">
        <f t="shared" si="8"/>
        <v>100</v>
      </c>
      <c r="U48" s="57">
        <f t="shared" si="8"/>
        <v>58.434797974623805</v>
      </c>
      <c r="V48" s="57">
        <f t="shared" si="8"/>
        <v>97.536328369106741</v>
      </c>
      <c r="W48" s="57">
        <f t="shared" si="8"/>
        <v>90.771685801462183</v>
      </c>
      <c r="X48" s="57">
        <f t="shared" si="8"/>
        <v>86.804705614225398</v>
      </c>
      <c r="AC48" t="s">
        <v>137</v>
      </c>
      <c r="AD48" s="51">
        <v>0.92130518234165004</v>
      </c>
      <c r="AE48" s="51">
        <v>0.91352047304765505</v>
      </c>
      <c r="AH48">
        <v>949</v>
      </c>
      <c r="AI48">
        <v>960</v>
      </c>
      <c r="BF48" s="51">
        <v>0.91489526346055849</v>
      </c>
      <c r="BG48" s="1">
        <v>10</v>
      </c>
      <c r="BH48">
        <f t="shared" si="5"/>
        <v>-6.1931623455317261E-2</v>
      </c>
      <c r="BI48">
        <f t="shared" si="7"/>
        <v>-1.4034950882076937E-2</v>
      </c>
      <c r="BJ48">
        <f t="shared" si="6"/>
        <v>-1.2840510084913777E-2</v>
      </c>
    </row>
    <row r="49" spans="1:64" ht="15.6" x14ac:dyDescent="0.35">
      <c r="B49" s="1" t="s">
        <v>19</v>
      </c>
      <c r="C49" s="1">
        <f>SUM(C44:C48)</f>
        <v>259</v>
      </c>
      <c r="D49" s="1">
        <f>SUM(D44:D48)</f>
        <v>694</v>
      </c>
      <c r="E49" s="1">
        <f>SUM(E44:E48)</f>
        <v>7044</v>
      </c>
      <c r="F49" s="1">
        <f>SUM(F44:F48)</f>
        <v>2587</v>
      </c>
      <c r="G49" s="1">
        <f>SUM(G44:G48)</f>
        <v>878</v>
      </c>
      <c r="H49" s="1">
        <f>SUM(H43:H48)</f>
        <v>11462</v>
      </c>
      <c r="I49" s="13" t="s">
        <v>12</v>
      </c>
      <c r="N49" s="16" t="s">
        <v>36</v>
      </c>
      <c r="O49" s="1">
        <f>SUM(O44:O48)</f>
        <v>0</v>
      </c>
      <c r="P49" s="1">
        <f>SUM(P44:P48)</f>
        <v>0</v>
      </c>
      <c r="S49" s="66" t="s">
        <v>39</v>
      </c>
      <c r="T49" s="67">
        <f t="shared" si="8"/>
        <v>0</v>
      </c>
      <c r="U49" s="67">
        <f t="shared" si="8"/>
        <v>5.6825424240024311</v>
      </c>
      <c r="V49" s="67">
        <f t="shared" si="8"/>
        <v>0.2488704535522549</v>
      </c>
      <c r="W49" s="67">
        <f t="shared" si="8"/>
        <v>0.68783543367595401</v>
      </c>
      <c r="X49" s="67">
        <f t="shared" si="8"/>
        <v>2.22568482298353</v>
      </c>
      <c r="AC49" t="s">
        <v>138</v>
      </c>
      <c r="AD49" s="51">
        <v>0.924445995463269</v>
      </c>
      <c r="AE49" s="51">
        <v>0.91626707233036397</v>
      </c>
      <c r="AH49">
        <v>978</v>
      </c>
      <c r="AI49">
        <v>989</v>
      </c>
      <c r="BF49" s="51">
        <v>0.91531828638316337</v>
      </c>
      <c r="BG49" s="1">
        <v>11</v>
      </c>
      <c r="BH49">
        <f t="shared" si="5"/>
        <v>6.1931623455317261E-2</v>
      </c>
      <c r="BI49">
        <f t="shared" si="7"/>
        <v>1.4034950882076937E-2</v>
      </c>
      <c r="BJ49">
        <f t="shared" si="6"/>
        <v>1.2846447190854529E-2</v>
      </c>
    </row>
    <row r="50" spans="1:64" x14ac:dyDescent="0.3">
      <c r="A50" s="1" t="s">
        <v>321</v>
      </c>
      <c r="B50" s="1" t="s">
        <v>2</v>
      </c>
      <c r="C50" s="10">
        <f>C44/C49</f>
        <v>1</v>
      </c>
      <c r="D50" s="10">
        <f>D45/D49</f>
        <v>0.41498559077809799</v>
      </c>
      <c r="E50" s="10">
        <f>E46/E49</f>
        <v>0.98693923906871095</v>
      </c>
      <c r="F50" s="10">
        <f>F47/F49</f>
        <v>0.92771550057982222</v>
      </c>
      <c r="G50" s="10">
        <f>G48/G49</f>
        <v>0.83143507972665143</v>
      </c>
      <c r="H50" s="10"/>
      <c r="I50" s="14">
        <f>(C44+D45+E46+F47+G48)/H49</f>
        <v>0.92732507415808763</v>
      </c>
      <c r="S50" s="15" t="s">
        <v>31</v>
      </c>
      <c r="T50" s="71">
        <f>I113</f>
        <v>100</v>
      </c>
      <c r="U50" s="71">
        <f>I114</f>
        <v>84.955752212389385</v>
      </c>
      <c r="V50" s="71">
        <f>I115</f>
        <v>93.445060143262609</v>
      </c>
      <c r="W50" s="71">
        <f>I116</f>
        <v>95.158730158730165</v>
      </c>
      <c r="X50" s="71">
        <f>I117</f>
        <v>76.931216931216923</v>
      </c>
      <c r="AC50" t="s">
        <v>139</v>
      </c>
      <c r="AD50" s="51">
        <v>0.92226487523992295</v>
      </c>
      <c r="AE50" s="51">
        <v>0.913820493155866</v>
      </c>
      <c r="AH50">
        <v>1007</v>
      </c>
      <c r="AI50">
        <v>1018</v>
      </c>
      <c r="BF50" s="51">
        <v>0.91591672397736545</v>
      </c>
      <c r="BG50" s="1">
        <v>12</v>
      </c>
      <c r="BH50">
        <f t="shared" si="5"/>
        <v>0.18675612106373712</v>
      </c>
      <c r="BI50">
        <f t="shared" si="7"/>
        <v>4.2322691378304626E-2</v>
      </c>
      <c r="BJ50">
        <f t="shared" si="6"/>
        <v>3.8764060837121861E-2</v>
      </c>
    </row>
    <row r="51" spans="1:64" x14ac:dyDescent="0.3">
      <c r="B51" s="1" t="s">
        <v>14</v>
      </c>
      <c r="C51" s="11">
        <f>1-C50</f>
        <v>0</v>
      </c>
      <c r="D51" s="11">
        <f>1-D50</f>
        <v>0.58501440922190207</v>
      </c>
      <c r="E51" s="11">
        <f>1-E50</f>
        <v>1.306076093128905E-2</v>
      </c>
      <c r="F51" s="11">
        <f>1-F50</f>
        <v>7.2284499420177784E-2</v>
      </c>
      <c r="G51" s="11">
        <f>1-G50</f>
        <v>0.16856492027334857</v>
      </c>
      <c r="S51" s="75" t="s">
        <v>39</v>
      </c>
      <c r="T51" s="76">
        <f>J113</f>
        <v>0</v>
      </c>
      <c r="U51" s="76">
        <f>J114</f>
        <v>1.9445686667237165</v>
      </c>
      <c r="V51" s="76">
        <f>J115</f>
        <v>0.28774339677610827</v>
      </c>
      <c r="W51" s="76">
        <f>J116</f>
        <v>0.42765138234751149</v>
      </c>
      <c r="X51" s="76">
        <f>J117</f>
        <v>1.3711268850699352</v>
      </c>
      <c r="AC51" t="s">
        <v>140</v>
      </c>
      <c r="AD51" s="51">
        <v>0.92496946431687299</v>
      </c>
      <c r="AE51" s="51">
        <v>0.91592231703358695</v>
      </c>
      <c r="AH51">
        <v>1036</v>
      </c>
      <c r="AI51">
        <v>1047</v>
      </c>
      <c r="BF51" s="51">
        <v>0.91672506751653215</v>
      </c>
      <c r="BG51" s="1">
        <v>13</v>
      </c>
      <c r="BH51">
        <f t="shared" si="5"/>
        <v>0.31457229183888502</v>
      </c>
      <c r="BI51">
        <f t="shared" si="7"/>
        <v>7.1288405155509674E-2</v>
      </c>
      <c r="BJ51">
        <f t="shared" si="6"/>
        <v>6.5351868029330504E-2</v>
      </c>
    </row>
    <row r="52" spans="1:64" x14ac:dyDescent="0.3">
      <c r="C52" s="2"/>
      <c r="S52" s="66" t="s">
        <v>56</v>
      </c>
      <c r="T52" s="67">
        <f>N102*100</f>
        <v>100</v>
      </c>
      <c r="U52" s="67">
        <f>N103*100</f>
        <v>55.491329479768794</v>
      </c>
      <c r="V52" s="67">
        <f>N104*100</f>
        <v>95.961138098542676</v>
      </c>
      <c r="W52" s="67">
        <f>N105*100</f>
        <v>93.598750975800144</v>
      </c>
      <c r="X52" s="67">
        <f>N106*100</f>
        <v>79.280261723009815</v>
      </c>
      <c r="AC52" t="s">
        <v>141</v>
      </c>
      <c r="AD52" s="51">
        <v>0.91266794625719705</v>
      </c>
      <c r="AE52" s="51">
        <v>0.905516232278058</v>
      </c>
      <c r="AH52">
        <v>1065</v>
      </c>
      <c r="AI52">
        <v>1076</v>
      </c>
      <c r="BF52" s="51">
        <v>0.9167707199585986</v>
      </c>
      <c r="BG52" s="1">
        <v>14</v>
      </c>
      <c r="BH52">
        <f t="shared" si="5"/>
        <v>0.44776751848294888</v>
      </c>
      <c r="BI52">
        <f t="shared" si="7"/>
        <v>0.10147312112739562</v>
      </c>
      <c r="BJ52">
        <f t="shared" si="6"/>
        <v>9.3027586312408567E-2</v>
      </c>
    </row>
    <row r="53" spans="1:64" ht="15.6" x14ac:dyDescent="0.35">
      <c r="A53" t="s">
        <v>322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66</v>
      </c>
      <c r="S53" t="s">
        <v>9</v>
      </c>
      <c r="T53" s="30">
        <f>N113</f>
        <v>2539.4899999999998</v>
      </c>
      <c r="U53" s="30">
        <f>N114</f>
        <v>11023.66</v>
      </c>
      <c r="V53" s="30">
        <f>N115</f>
        <v>107094.8</v>
      </c>
      <c r="W53" s="30">
        <f>N116</f>
        <v>37312.019999999997</v>
      </c>
      <c r="X53" s="30">
        <f>N117</f>
        <v>20346.18</v>
      </c>
      <c r="Z53" t="s">
        <v>36</v>
      </c>
      <c r="AA53" s="1">
        <f>N118</f>
        <v>178316.15</v>
      </c>
      <c r="AC53" t="s">
        <v>142</v>
      </c>
      <c r="AD53" s="51">
        <v>0.91746641074855995</v>
      </c>
      <c r="AE53" s="51">
        <v>0.91068399678116796</v>
      </c>
      <c r="AH53">
        <v>1094</v>
      </c>
      <c r="AI53">
        <v>1105</v>
      </c>
      <c r="BF53" s="51">
        <v>0.91707296257343895</v>
      </c>
      <c r="BG53" s="1">
        <v>15</v>
      </c>
      <c r="BH53">
        <f t="shared" si="5"/>
        <v>0.58945579784977842</v>
      </c>
      <c r="BI53">
        <f t="shared" si="7"/>
        <v>0.13358253358150615</v>
      </c>
      <c r="BJ53">
        <f t="shared" si="6"/>
        <v>0.12250492981965774</v>
      </c>
    </row>
    <row r="54" spans="1:64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323</v>
      </c>
      <c r="S54" t="s">
        <v>68</v>
      </c>
      <c r="T54" s="57">
        <f>$AA53*T46/100</f>
        <v>2539.4899999999998</v>
      </c>
      <c r="U54" s="57">
        <f>$AA53*U46/100</f>
        <v>16026.808680682487</v>
      </c>
      <c r="V54" s="57">
        <f>$AA53*V46/100</f>
        <v>102602.59120231973</v>
      </c>
      <c r="W54" s="57">
        <f>$AA53*W46/100</f>
        <v>39115.329978810951</v>
      </c>
      <c r="X54" s="57">
        <f>$AA53*X46/100</f>
        <v>18031.930138186839</v>
      </c>
      <c r="Z54" t="s">
        <v>36</v>
      </c>
      <c r="AA54" s="25">
        <f>SUM(T54:X54)</f>
        <v>178316.15</v>
      </c>
      <c r="AC54" t="s">
        <v>143</v>
      </c>
      <c r="AD54" s="51">
        <v>0.91476182167161002</v>
      </c>
      <c r="AE54" s="51">
        <v>0.90690909424667598</v>
      </c>
      <c r="AH54">
        <v>1123</v>
      </c>
      <c r="AI54">
        <v>1134</v>
      </c>
      <c r="BF54" s="51">
        <v>0.917274286505388</v>
      </c>
      <c r="BG54" s="1">
        <v>16</v>
      </c>
      <c r="BH54">
        <f t="shared" si="5"/>
        <v>0.74414274222016763</v>
      </c>
      <c r="BI54">
        <f t="shared" si="7"/>
        <v>0.16863770483667825</v>
      </c>
      <c r="BJ54">
        <f t="shared" si="6"/>
        <v>0.15468703038197026</v>
      </c>
    </row>
    <row r="55" spans="1:64" x14ac:dyDescent="0.3">
      <c r="A55" t="s">
        <v>3</v>
      </c>
      <c r="B55" s="13">
        <v>0</v>
      </c>
      <c r="C55" s="29">
        <f>(C44/$L55)*$O55</f>
        <v>1.4295564366996483</v>
      </c>
      <c r="D55" s="31">
        <f>(D44/$L55)*$O55</f>
        <v>0</v>
      </c>
      <c r="E55" s="31">
        <f>(E44/$L55)*$O55</f>
        <v>0</v>
      </c>
      <c r="F55" s="31">
        <f>(F44/$L55)*$O55</f>
        <v>0</v>
      </c>
      <c r="G55" s="32">
        <f>(G44/$L55)*$O55</f>
        <v>0</v>
      </c>
      <c r="H55" s="17">
        <f>SUM(C55:G55)</f>
        <v>1.4295564366996483</v>
      </c>
      <c r="I55" s="17">
        <f>C55/H55*100</f>
        <v>100</v>
      </c>
      <c r="J55" s="17">
        <f>SQRT(I55*(100-I55)/(L55-1))</f>
        <v>0</v>
      </c>
      <c r="K55" s="18">
        <f>100-I55</f>
        <v>0</v>
      </c>
      <c r="L55" s="1">
        <f>H44</f>
        <v>259</v>
      </c>
      <c r="M55">
        <v>0</v>
      </c>
      <c r="N55" s="1">
        <v>2549.13</v>
      </c>
      <c r="O55" s="17">
        <f>N55/N60*100</f>
        <v>1.4295564366996483</v>
      </c>
      <c r="P55" s="52">
        <f>((O55*O55*(I55/100)*(K55/100))/(L55-1))</f>
        <v>0</v>
      </c>
      <c r="R55" s="66"/>
      <c r="S55" s="66" t="s">
        <v>67</v>
      </c>
      <c r="T55" s="67">
        <f>$AA53*T47/100</f>
        <v>0</v>
      </c>
      <c r="U55" s="67">
        <f>$AA53*U47/100</f>
        <v>387.11227127670759</v>
      </c>
      <c r="V55" s="67">
        <f>$AA53*V47/100</f>
        <v>396.58208497354315</v>
      </c>
      <c r="W55" s="67">
        <f>$AA53*W47/100</f>
        <v>294.86645016198401</v>
      </c>
      <c r="X55" s="67">
        <f>$AA53*X47/100</f>
        <v>334.15223852201848</v>
      </c>
      <c r="AA55" s="1"/>
      <c r="AC55" t="s">
        <v>144</v>
      </c>
      <c r="AD55" s="51">
        <v>0.92034548944337802</v>
      </c>
      <c r="AE55" s="51">
        <v>0.91355489397109202</v>
      </c>
      <c r="AH55">
        <v>1152</v>
      </c>
      <c r="AI55">
        <v>1163</v>
      </c>
      <c r="BF55" s="51">
        <v>0.91810191179827993</v>
      </c>
      <c r="BG55" s="1">
        <v>17</v>
      </c>
      <c r="BH55">
        <f t="shared" si="5"/>
        <v>0.91913552204621074</v>
      </c>
      <c r="BI55">
        <f t="shared" si="7"/>
        <v>0.20829458661289388</v>
      </c>
      <c r="BJ55">
        <f t="shared" si="6"/>
        <v>0.19123565818653027</v>
      </c>
    </row>
    <row r="56" spans="1:64" x14ac:dyDescent="0.3">
      <c r="A56" t="s">
        <v>4</v>
      </c>
      <c r="B56" s="13">
        <v>1</v>
      </c>
      <c r="C56" s="33">
        <f t="shared" ref="C56:G59" si="9">(C45/$L56)*$O56</f>
        <v>0</v>
      </c>
      <c r="D56" s="34">
        <f t="shared" si="9"/>
        <v>5.085291846626423</v>
      </c>
      <c r="E56" s="19">
        <f t="shared" si="9"/>
        <v>0.90052043117342906</v>
      </c>
      <c r="F56" s="18">
        <f t="shared" si="9"/>
        <v>0</v>
      </c>
      <c r="G56" s="20">
        <f t="shared" si="9"/>
        <v>0</v>
      </c>
      <c r="H56" s="17">
        <f>SUM(C56:G56)</f>
        <v>5.9858122777998517</v>
      </c>
      <c r="I56" s="17">
        <f>D56/H56*100</f>
        <v>84.955752212389385</v>
      </c>
      <c r="J56" s="17">
        <f>SQRT(I56*(100-I56)/(L56-1))</f>
        <v>1.9445686667237165</v>
      </c>
      <c r="K56" s="18">
        <f>100-I56</f>
        <v>15.044247787610615</v>
      </c>
      <c r="L56" s="1">
        <f>H45</f>
        <v>339</v>
      </c>
      <c r="M56">
        <v>1</v>
      </c>
      <c r="N56" s="1">
        <v>10673.67</v>
      </c>
      <c r="O56" s="17">
        <f>N56/N60*100</f>
        <v>5.9858122777998517</v>
      </c>
      <c r="P56" s="52">
        <f>((O56*O56*(I56/100)*(K56/100))/(L56-1))</f>
        <v>1.3548547947830615E-2</v>
      </c>
      <c r="R56" t="s">
        <v>76</v>
      </c>
      <c r="S56" t="s">
        <v>28</v>
      </c>
      <c r="T56" s="57">
        <f t="shared" ref="T56:X59" si="10">C147</f>
        <v>1.4216771728191751</v>
      </c>
      <c r="U56" s="57">
        <f t="shared" si="10"/>
        <v>10.013194659506752</v>
      </c>
      <c r="V56" s="57">
        <f t="shared" si="10"/>
        <v>55.914278148612276</v>
      </c>
      <c r="W56" s="57">
        <f t="shared" si="10"/>
        <v>22.650929115454495</v>
      </c>
      <c r="X56" s="57">
        <f t="shared" si="10"/>
        <v>9.9999209036072934</v>
      </c>
      <c r="Y56" s="13"/>
      <c r="Z56" s="74"/>
      <c r="AA56" s="12"/>
      <c r="AC56" t="s">
        <v>145</v>
      </c>
      <c r="AD56" s="51">
        <v>0.92130518234165004</v>
      </c>
      <c r="AE56" s="51">
        <v>0.91306879738576796</v>
      </c>
      <c r="AH56">
        <v>1181</v>
      </c>
      <c r="AI56">
        <v>1192</v>
      </c>
      <c r="BF56" s="56">
        <v>0.91873670846466082</v>
      </c>
      <c r="BG56" s="1">
        <v>18</v>
      </c>
      <c r="BH56">
        <f t="shared" si="5"/>
        <v>1.1281436452787641</v>
      </c>
      <c r="BI56">
        <f t="shared" si="7"/>
        <v>0.25566002901309814</v>
      </c>
      <c r="BJ56">
        <f t="shared" si="6"/>
        <v>0.23488425354147346</v>
      </c>
    </row>
    <row r="57" spans="1:64" x14ac:dyDescent="0.3">
      <c r="A57" t="s">
        <v>5</v>
      </c>
      <c r="B57" s="13">
        <v>2</v>
      </c>
      <c r="C57" s="33">
        <f t="shared" si="9"/>
        <v>0</v>
      </c>
      <c r="D57" s="19">
        <f t="shared" si="9"/>
        <v>2.433523222424737</v>
      </c>
      <c r="E57" s="34">
        <f t="shared" si="9"/>
        <v>56.771320276163664</v>
      </c>
      <c r="F57" s="19">
        <f t="shared" si="9"/>
        <v>0.84928327225561284</v>
      </c>
      <c r="G57" s="20">
        <f t="shared" si="9"/>
        <v>0.36747833895675558</v>
      </c>
      <c r="H57" s="17">
        <f>SUM(C57:G57)</f>
        <v>60.421605109800772</v>
      </c>
      <c r="I57" s="17">
        <f>E57/H57*100</f>
        <v>93.958643059872955</v>
      </c>
      <c r="J57" s="17">
        <f>SQRT(I57*(100-I57)/(L57-1))</f>
        <v>0.27699916025930182</v>
      </c>
      <c r="K57" s="18">
        <f>100-I57</f>
        <v>6.041356940127045</v>
      </c>
      <c r="L57" s="1">
        <f>H46</f>
        <v>7399</v>
      </c>
      <c r="M57">
        <v>2</v>
      </c>
      <c r="N57" s="1">
        <v>107741.48</v>
      </c>
      <c r="O57" s="17">
        <f>N57/N60*100</f>
        <v>60.421605109800765</v>
      </c>
      <c r="P57" s="52">
        <f>((O57*O57*(I57/100)*(K57/100))/(L57-1))</f>
        <v>2.8011826086730862E-2</v>
      </c>
      <c r="S57" s="66" t="s">
        <v>39</v>
      </c>
      <c r="T57" s="67">
        <f t="shared" si="10"/>
        <v>0</v>
      </c>
      <c r="U57" s="67">
        <f t="shared" si="10"/>
        <v>0.22392849064947529</v>
      </c>
      <c r="V57" s="67">
        <f t="shared" si="10"/>
        <v>0.23054262119499772</v>
      </c>
      <c r="W57" s="67">
        <f t="shared" si="10"/>
        <v>0.16654616556802918</v>
      </c>
      <c r="X57" s="67">
        <f t="shared" si="10"/>
        <v>0.18702189854149401</v>
      </c>
      <c r="AC57" t="s">
        <v>146</v>
      </c>
      <c r="AD57" s="51">
        <v>0.91641947304135396</v>
      </c>
      <c r="AE57" s="51">
        <v>0.90893531625019697</v>
      </c>
      <c r="AH57">
        <v>1210</v>
      </c>
      <c r="AI57">
        <v>1221</v>
      </c>
      <c r="BF57" s="51">
        <v>0.91889826754976001</v>
      </c>
      <c r="BG57" s="27">
        <v>19</v>
      </c>
      <c r="BH57" s="84">
        <f t="shared" si="5"/>
        <v>1.4034126358514019</v>
      </c>
      <c r="BI57" s="84">
        <f>-3.562633*($BL$38)^5+5.682633*($BL$38)^4-1.752461*($BL$38)^3-0.293762*($BL$38)^2+0.042981*$BL$38+BH57*($BL$39^-0.5)</f>
        <v>0.32175145499838514</v>
      </c>
      <c r="BJ57">
        <f t="shared" si="6"/>
        <v>0.2956568545796307</v>
      </c>
    </row>
    <row r="58" spans="1:64" x14ac:dyDescent="0.3">
      <c r="A58" t="s">
        <v>6</v>
      </c>
      <c r="B58" s="13">
        <v>3</v>
      </c>
      <c r="C58" s="33">
        <f t="shared" si="9"/>
        <v>0</v>
      </c>
      <c r="D58" s="19">
        <f t="shared" si="9"/>
        <v>0</v>
      </c>
      <c r="E58" s="19">
        <f t="shared" si="9"/>
        <v>0.1403243865745159</v>
      </c>
      <c r="F58" s="34">
        <f t="shared" si="9"/>
        <v>19.810501634049302</v>
      </c>
      <c r="G58" s="20">
        <f t="shared" si="9"/>
        <v>0.85020069512794927</v>
      </c>
      <c r="H58" s="17">
        <f>SUM(C58:G58)</f>
        <v>20.801026715751767</v>
      </c>
      <c r="I58" s="17">
        <f>F58/H58*100</f>
        <v>95.238095238095227</v>
      </c>
      <c r="J58" s="17">
        <f>SQRT(I58*(100-I58)/(L58-1))</f>
        <v>0.42430839003807064</v>
      </c>
      <c r="K58" s="18">
        <f>100-I58</f>
        <v>4.7619047619047734</v>
      </c>
      <c r="L58" s="1">
        <f>H47</f>
        <v>2520</v>
      </c>
      <c r="M58">
        <v>3</v>
      </c>
      <c r="N58" s="1">
        <v>37091.589999999997</v>
      </c>
      <c r="O58" s="17">
        <f>N58/N60*100</f>
        <v>20.801026715751767</v>
      </c>
      <c r="P58" s="52">
        <f>((O58*O58*(I58/100)*(K58/100))/(L58-1))</f>
        <v>7.7899161372106179E-3</v>
      </c>
      <c r="S58" t="s">
        <v>30</v>
      </c>
      <c r="T58" s="57">
        <f t="shared" si="10"/>
        <v>100</v>
      </c>
      <c r="U58" s="57">
        <f t="shared" si="10"/>
        <v>57.025738892381327</v>
      </c>
      <c r="V58" s="57">
        <f t="shared" si="10"/>
        <v>97.621319002924039</v>
      </c>
      <c r="W58" s="57">
        <f t="shared" si="10"/>
        <v>90.428028938951883</v>
      </c>
      <c r="X58" s="57">
        <f t="shared" si="10"/>
        <v>88.160925701648182</v>
      </c>
      <c r="AC58" t="s">
        <v>147</v>
      </c>
      <c r="AD58" s="51">
        <v>0.92305007852032805</v>
      </c>
      <c r="AE58" s="51">
        <v>0.91481609885038995</v>
      </c>
      <c r="AH58">
        <v>1239</v>
      </c>
      <c r="AI58">
        <v>1250</v>
      </c>
      <c r="BF58" s="120">
        <v>0.91954992713177197</v>
      </c>
      <c r="BG58" s="27">
        <v>20</v>
      </c>
      <c r="BH58" s="84">
        <f t="shared" si="5"/>
        <v>1.8682416548639302</v>
      </c>
      <c r="BI58" s="84">
        <f>-2.70605*($BL$38)^5+4.4334685*($BL$38)^4-2.07119*($BL$38)^3-0.147981*($BL$38)^2+0.221157*$BL$38+BH58*($BL$39^-0.5)</f>
        <v>0.47336806621893501</v>
      </c>
      <c r="BJ58">
        <f t="shared" si="6"/>
        <v>0.43528557079812952</v>
      </c>
    </row>
    <row r="59" spans="1:64" x14ac:dyDescent="0.3">
      <c r="A59" t="s">
        <v>7</v>
      </c>
      <c r="B59" s="13">
        <v>4</v>
      </c>
      <c r="C59" s="35">
        <f t="shared" si="9"/>
        <v>0</v>
      </c>
      <c r="D59" s="36">
        <f t="shared" si="9"/>
        <v>1.2985142239940528</v>
      </c>
      <c r="E59" s="21">
        <f t="shared" si="9"/>
        <v>0.28855871644312286</v>
      </c>
      <c r="F59" s="21">
        <f t="shared" si="9"/>
        <v>0.99793222769913326</v>
      </c>
      <c r="G59" s="37">
        <f t="shared" si="9"/>
        <v>8.7769942918116541</v>
      </c>
      <c r="H59" s="17">
        <f>SUM(C59:G59)</f>
        <v>11.361999459947963</v>
      </c>
      <c r="I59" s="17">
        <f>G59/H59*100</f>
        <v>77.24867724867724</v>
      </c>
      <c r="J59" s="17">
        <f>SQRT(I59*(100-I59)/(L59-1))</f>
        <v>1.3644664274232117</v>
      </c>
      <c r="K59" s="18">
        <f>100-I59</f>
        <v>22.75132275132276</v>
      </c>
      <c r="L59" s="1">
        <f>H48</f>
        <v>945</v>
      </c>
      <c r="M59">
        <v>4</v>
      </c>
      <c r="N59" s="1">
        <v>20260.28</v>
      </c>
      <c r="O59" s="17">
        <f>N59/N60*100</f>
        <v>11.361999459947963</v>
      </c>
      <c r="P59" s="52">
        <f>((O59*O59*(I59/100)*(K59/100))/(L59-1))</f>
        <v>2.4034508056182222E-2</v>
      </c>
      <c r="S59" s="66" t="s">
        <v>39</v>
      </c>
      <c r="T59" s="67">
        <f t="shared" si="10"/>
        <v>0</v>
      </c>
      <c r="U59" s="67">
        <f t="shared" si="10"/>
        <v>5.1295632866221528</v>
      </c>
      <c r="V59" s="67">
        <f t="shared" si="10"/>
        <v>0.25504522466001561</v>
      </c>
      <c r="W59" s="67">
        <f t="shared" si="10"/>
        <v>0.67516779931471271</v>
      </c>
      <c r="X59" s="67">
        <f t="shared" si="10"/>
        <v>2.0757563071685854</v>
      </c>
      <c r="AC59" t="s">
        <v>148</v>
      </c>
      <c r="AD59" s="51">
        <v>0.91973477578084095</v>
      </c>
      <c r="AE59" s="51">
        <v>0.91207754805590102</v>
      </c>
      <c r="AH59">
        <v>1268</v>
      </c>
      <c r="AI59">
        <v>1279</v>
      </c>
      <c r="BI59" t="s">
        <v>365</v>
      </c>
      <c r="BJ59">
        <f>SUM(BJ39:BJ58)</f>
        <v>1.3961667659781463E-2</v>
      </c>
    </row>
    <row r="60" spans="1:64" x14ac:dyDescent="0.3">
      <c r="B60" t="s">
        <v>28</v>
      </c>
      <c r="C60" s="17">
        <f>SUM(C55:C59)</f>
        <v>1.4295564366996483</v>
      </c>
      <c r="D60" s="17">
        <f>SUM(D55:D59)</f>
        <v>8.8173292930452121</v>
      </c>
      <c r="E60" s="17">
        <f>SUM(E55:E59)</f>
        <v>58.100723810354722</v>
      </c>
      <c r="F60" s="17">
        <f>SUM(F55:F59)</f>
        <v>21.657717134004049</v>
      </c>
      <c r="G60" s="17">
        <f>SUM(G55:G59)</f>
        <v>9.9946733258963594</v>
      </c>
      <c r="H60" s="1">
        <f>SUM(H54:H59)</f>
        <v>100.00000000000001</v>
      </c>
      <c r="I60" s="13" t="s">
        <v>24</v>
      </c>
      <c r="J60" s="12" t="s">
        <v>29</v>
      </c>
      <c r="N60" s="1">
        <f>SUM(N55:N59)</f>
        <v>178316.15</v>
      </c>
      <c r="O60" s="17">
        <f>SUM(O55:O59)</f>
        <v>99.999999999999986</v>
      </c>
      <c r="S60" s="15" t="s">
        <v>31</v>
      </c>
      <c r="T60" s="71">
        <f>I142</f>
        <v>100</v>
      </c>
      <c r="U60" s="71">
        <f>I143</f>
        <v>87.610619469026545</v>
      </c>
      <c r="V60" s="71">
        <f>I144</f>
        <v>92.242194891201507</v>
      </c>
      <c r="W60" s="71">
        <f>I145</f>
        <v>95.952380952380949</v>
      </c>
      <c r="X60" s="71">
        <f>I146</f>
        <v>76.402116402116405</v>
      </c>
      <c r="AC60" t="s">
        <v>149</v>
      </c>
      <c r="AD60" s="51">
        <v>0.92078171348804705</v>
      </c>
      <c r="AE60" s="51">
        <v>0.91327570586332696</v>
      </c>
      <c r="AH60">
        <v>1297</v>
      </c>
      <c r="AI60">
        <v>1308</v>
      </c>
    </row>
    <row r="61" spans="1:64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0</v>
      </c>
      <c r="D61" s="18">
        <f>SQRT(SUM((O55*O55*(D55/O55)*(1-D55/O55))/L55,(O56*O56*(D56/O56)*(1-D56/O56))/L56,(O57*O57*(D57/O57)*(1-D57/O57))/L57,(O58*O58*(D58/O58)*(1-D58/O58))/L58,(O59*O59*(D59/O59)*(1-D59/O59))/L59))</f>
        <v>0.21542730967826978</v>
      </c>
      <c r="E61" s="18">
        <f>SQRT(SUM((O55*O55*(E55/O55)*(1-E55/O55))/L55,(O56*O56*(E56/O56)*(1-E56/O56))/L56,(O57*O57*(E57/O57)*(1-E57/O57))/L57,(O58*O58*(E58/O58)*(1-E58/O58))/L58,(O59*O59*(E59/O59)*(1-E59/O59))/L59))</f>
        <v>0.21458892831642562</v>
      </c>
      <c r="F61" s="18">
        <f>SQRT(SUM((O55*O55*(F55/O55)*(1-F55/O55))/L55,(O56*O56*(F56/O56)*(1-F56/O56))/L56,(O57*O57*(F57/O57)*(1-F57/O57))/L57,(O58*O58*(F58/O58)*(1-F58/O58))/L58,(O59*O59*(F59/O59)*(1-F59/O59))/L59))</f>
        <v>0.15990414272317649</v>
      </c>
      <c r="G61" s="18">
        <f>SQRT(SUM((O55*O55*(G55/O55)*(1-G55/O55))/L55,(O56*O56*(G56/O56)*(1-G56/O56))/L56,(O57*O57*(G57/O57)*(1-G57/O57))/L57,(O58*O58*(G58/O58)*(1-G58/O58))/L58,(O59*O59*(G59/O59)*(1-G59/O59))/L59))</f>
        <v>0.1836375613949861</v>
      </c>
      <c r="H61" s="1"/>
      <c r="I61" s="14">
        <f>(C55+D56+E57+F58+G59)/H60</f>
        <v>0.91873664485350692</v>
      </c>
      <c r="J61" s="53">
        <f>SQRT(SUM(P55:P59))/100</f>
        <v>2.7089628684785309E-3</v>
      </c>
      <c r="M61" s="1"/>
      <c r="N61" s="9"/>
      <c r="S61" s="75" t="s">
        <v>39</v>
      </c>
      <c r="T61" s="76">
        <f>J142</f>
        <v>0</v>
      </c>
      <c r="U61" s="76">
        <f>J143</f>
        <v>1.7920281254034289</v>
      </c>
      <c r="V61" s="76">
        <f>J144</f>
        <v>0.31101195502486717</v>
      </c>
      <c r="W61" s="76">
        <f>J145</f>
        <v>0.39265724002115482</v>
      </c>
      <c r="X61" s="76">
        <f>J146</f>
        <v>1.3819846671441403</v>
      </c>
      <c r="AC61" t="s">
        <v>150</v>
      </c>
      <c r="AD61" s="51">
        <v>0.92113069272378201</v>
      </c>
      <c r="AE61" s="51">
        <v>0.91331558273775204</v>
      </c>
      <c r="AH61">
        <v>1326</v>
      </c>
      <c r="AI61">
        <v>1337</v>
      </c>
      <c r="BF61" s="82" t="s">
        <v>335</v>
      </c>
      <c r="BG61" s="1">
        <v>0.05</v>
      </c>
      <c r="BH61" s="59" t="s">
        <v>336</v>
      </c>
      <c r="BI61" s="1">
        <v>100</v>
      </c>
      <c r="BJ61" s="59" t="s">
        <v>347</v>
      </c>
      <c r="BK61" s="1">
        <f>_xlfn.VAR.S(BF64:BF163)*(BI61-1)</f>
        <v>1.0668403657791434E-3</v>
      </c>
    </row>
    <row r="62" spans="1:64" x14ac:dyDescent="0.3">
      <c r="B62" s="1" t="s">
        <v>30</v>
      </c>
      <c r="C62" s="17">
        <f>C55/C60*100</f>
        <v>100</v>
      </c>
      <c r="D62" s="17">
        <f>D56/D60*100</f>
        <v>57.673833851680186</v>
      </c>
      <c r="E62" s="17">
        <f>E57/E60*100</f>
        <v>97.711898497976833</v>
      </c>
      <c r="F62" s="17">
        <f>F58/F60*100</f>
        <v>91.470866996159543</v>
      </c>
      <c r="G62" s="17">
        <f>G59/G60*100</f>
        <v>87.816720022957838</v>
      </c>
      <c r="H62" s="1"/>
      <c r="S62" s="66" t="s">
        <v>56</v>
      </c>
      <c r="T62" s="67">
        <f>N131*100</f>
        <v>100</v>
      </c>
      <c r="U62" s="67">
        <f>N132*100</f>
        <v>52.846975088967987</v>
      </c>
      <c r="V62" s="67">
        <f>N133*100</f>
        <v>95.361184853989101</v>
      </c>
      <c r="W62" s="67">
        <f>N134*100</f>
        <v>93.75727025979063</v>
      </c>
      <c r="X62" s="67">
        <f>N135*100</f>
        <v>79.779005524861873</v>
      </c>
      <c r="AC62" t="s">
        <v>151</v>
      </c>
      <c r="AD62" s="51">
        <v>0.92113069272378201</v>
      </c>
      <c r="AE62" s="51">
        <v>0.91296328331224297</v>
      </c>
      <c r="AH62">
        <v>1355</v>
      </c>
      <c r="AI62">
        <v>1366</v>
      </c>
    </row>
    <row r="63" spans="1:64" ht="15.6" x14ac:dyDescent="0.35">
      <c r="B63" s="16" t="s">
        <v>39</v>
      </c>
      <c r="C63" s="18">
        <f>SQRT((C66+C67)/(C60*C60))</f>
        <v>0</v>
      </c>
      <c r="D63" s="18">
        <f>SQRT((D66+D67)/(D60*D60))</f>
        <v>5.7121459122810228</v>
      </c>
      <c r="E63" s="18">
        <f>SQRT((E66+E67)/(E60*E60))</f>
        <v>0.2355698829467294</v>
      </c>
      <c r="F63" s="18">
        <f>SQRT((F66+F67)/(F60*F60))</f>
        <v>0.66199498856573014</v>
      </c>
      <c r="G63" s="18">
        <f>SQRT((G66+G67)/(G60*G60))</f>
        <v>2.0788060266368498</v>
      </c>
      <c r="H63" s="1"/>
      <c r="R63" s="16" t="s">
        <v>66</v>
      </c>
      <c r="S63" t="s">
        <v>9</v>
      </c>
      <c r="T63" s="30">
        <f>N142</f>
        <v>2535.08</v>
      </c>
      <c r="U63" s="30">
        <f>N143</f>
        <v>11621.91</v>
      </c>
      <c r="V63" s="30">
        <f>N144</f>
        <v>105518.46</v>
      </c>
      <c r="W63" s="30">
        <f>N145</f>
        <v>38064.839999999997</v>
      </c>
      <c r="X63" s="30">
        <f>N146</f>
        <v>20575.86</v>
      </c>
      <c r="Z63" t="s">
        <v>36</v>
      </c>
      <c r="AA63" s="1">
        <f>N147</f>
        <v>178316.15000000002</v>
      </c>
      <c r="AC63" t="s">
        <v>152</v>
      </c>
      <c r="AD63" s="51">
        <v>0.91764090036642798</v>
      </c>
      <c r="AE63" s="51">
        <v>0.90958005126080799</v>
      </c>
      <c r="AH63">
        <v>1384</v>
      </c>
      <c r="AI63">
        <v>1395</v>
      </c>
      <c r="BF63" s="12" t="s">
        <v>334</v>
      </c>
      <c r="BG63" s="13" t="s">
        <v>362</v>
      </c>
      <c r="BH63" s="13" t="s">
        <v>367</v>
      </c>
      <c r="BI63" s="13" t="s">
        <v>368</v>
      </c>
      <c r="BJ63" s="13" t="s">
        <v>369</v>
      </c>
      <c r="BK63" s="13" t="s">
        <v>363</v>
      </c>
      <c r="BL63">
        <f>1/(SQRT(BI61))</f>
        <v>0.1</v>
      </c>
    </row>
    <row r="64" spans="1:64" ht="15.6" x14ac:dyDescent="0.35">
      <c r="B64" s="1" t="s">
        <v>37</v>
      </c>
      <c r="C64" s="18">
        <f>100-C62</f>
        <v>0</v>
      </c>
      <c r="D64" s="18">
        <f>100-D62</f>
        <v>42.326166148319814</v>
      </c>
      <c r="E64" s="18">
        <f>100-E62</f>
        <v>2.2881015020231672</v>
      </c>
      <c r="F64" s="18">
        <f>100-F62</f>
        <v>8.5291330038404567</v>
      </c>
      <c r="G64" s="18">
        <f>100-G62</f>
        <v>12.183279977042162</v>
      </c>
      <c r="R64" s="16" t="s">
        <v>323</v>
      </c>
      <c r="S64" t="s">
        <v>68</v>
      </c>
      <c r="T64" s="57">
        <f>$AA63*T56/100</f>
        <v>2535.08</v>
      </c>
      <c r="U64" s="57">
        <f>$AA63*U56/100</f>
        <v>17855.143208838053</v>
      </c>
      <c r="V64" s="57">
        <f>$AA63*V56/100</f>
        <v>99704.188094896686</v>
      </c>
      <c r="W64" s="57">
        <f>$AA63*W56/100</f>
        <v>40390.264737907521</v>
      </c>
      <c r="X64" s="57">
        <f>$AA63*X56/100</f>
        <v>17831.473958357739</v>
      </c>
      <c r="Z64" t="s">
        <v>36</v>
      </c>
      <c r="AA64" s="25">
        <f>SUM(T64:X64)</f>
        <v>178316.15</v>
      </c>
      <c r="AC64" t="s">
        <v>153</v>
      </c>
      <c r="AD64" s="51">
        <v>0.92610364683301305</v>
      </c>
      <c r="AE64" s="51">
        <v>0.91724866110388703</v>
      </c>
      <c r="AH64">
        <v>1413</v>
      </c>
      <c r="AI64">
        <v>1424</v>
      </c>
      <c r="BF64" s="51">
        <v>0.90549101610813898</v>
      </c>
      <c r="BG64" s="27">
        <v>1</v>
      </c>
      <c r="BH64" s="84">
        <f>_xlfn.NORM.S.INV((BG64-0.375)/($BI$61+0.25))</f>
        <v>-2.4985905609622558</v>
      </c>
      <c r="BI64" s="84">
        <f>-BI163</f>
        <v>-0.27283801696664034</v>
      </c>
      <c r="BJ64">
        <f>BI64*BF64</f>
        <v>-0.24705237321605283</v>
      </c>
      <c r="BK64" s="13" t="s">
        <v>355</v>
      </c>
      <c r="BL64">
        <f>SUMSQ(BH64:BH163)</f>
        <v>96.875018496226488</v>
      </c>
    </row>
    <row r="65" spans="1:65" ht="15.6" x14ac:dyDescent="0.35">
      <c r="B65" s="1" t="s">
        <v>25</v>
      </c>
      <c r="C65" s="1">
        <f>C49</f>
        <v>259</v>
      </c>
      <c r="D65" s="1">
        <f>D49</f>
        <v>694</v>
      </c>
      <c r="E65" s="1">
        <f>E49</f>
        <v>7044</v>
      </c>
      <c r="F65" s="1">
        <f>F49</f>
        <v>2587</v>
      </c>
      <c r="G65" s="1">
        <f>G49</f>
        <v>878</v>
      </c>
      <c r="R65" s="66"/>
      <c r="S65" s="66" t="s">
        <v>67</v>
      </c>
      <c r="T65" s="67">
        <f>$AA63*T57/100</f>
        <v>0</v>
      </c>
      <c r="U65" s="67">
        <f>$AA63*U57/100</f>
        <v>399.30066327925437</v>
      </c>
      <c r="V65" s="67">
        <f>$AA63*V57/100</f>
        <v>411.09472622400398</v>
      </c>
      <c r="W65" s="67">
        <f>$AA63*W57/100</f>
        <v>296.97871041353528</v>
      </c>
      <c r="X65" s="67">
        <f>$AA63*X57/100</f>
        <v>333.49024913609827</v>
      </c>
      <c r="AA65" s="1"/>
      <c r="AC65" t="s">
        <v>154</v>
      </c>
      <c r="AD65" s="51">
        <v>0.91956028616297303</v>
      </c>
      <c r="AE65" s="51">
        <v>0.91021907968706095</v>
      </c>
      <c r="AH65">
        <v>1442</v>
      </c>
      <c r="AI65">
        <v>1453</v>
      </c>
      <c r="BF65" s="51">
        <v>0.905516232278058</v>
      </c>
      <c r="BG65" s="27">
        <v>2</v>
      </c>
      <c r="BH65" s="84">
        <f>_xlfn.NORM.S.INV((BG65-0.375)/($BI$61+0.25))</f>
        <v>-2.1392064429859778</v>
      </c>
      <c r="BI65" s="84">
        <f>-BI162</f>
        <v>-0.21748422717250435</v>
      </c>
      <c r="BJ65">
        <f t="shared" ref="BJ65:BJ128" si="11">BI65*BF65</f>
        <v>-0.19693549796915139</v>
      </c>
      <c r="BK65" s="74" t="s">
        <v>364</v>
      </c>
      <c r="BL65">
        <f>(BL64-2*(BH163^2)-2*(BH162^2))/(1-2*(BI163^2)-2*(BI162^2))</f>
        <v>99.451032420132819</v>
      </c>
    </row>
    <row r="66" spans="1:65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2427.2282460281067</v>
      </c>
      <c r="E66" s="18">
        <f>(O57*O57*(100-E62)*(100-E62)*(I57)*(100-I57))/((L57-1)*100)</f>
        <v>14.665335193449692</v>
      </c>
      <c r="F66" s="18">
        <f>(O58*O58*(100-F62)*(100-F62)*(I58)*(100-I58))/((L58-1)*100)</f>
        <v>56.668609462850796</v>
      </c>
      <c r="G66" s="18">
        <f>(O59*O59*(100-G62)*(100-G62)*(I59)*(100-I59))/((L59-1)*100)</f>
        <v>356.74975745031253</v>
      </c>
      <c r="R66" t="s">
        <v>98</v>
      </c>
      <c r="S66" t="s">
        <v>28</v>
      </c>
      <c r="T66" s="57">
        <f>C176</f>
        <v>1.4178412891933792</v>
      </c>
      <c r="U66" s="57">
        <f t="shared" ref="U66:X69" si="12">D176</f>
        <v>9.667515344098307</v>
      </c>
      <c r="V66" s="57">
        <f t="shared" si="12"/>
        <v>57.428913472305055</v>
      </c>
      <c r="W66" s="57">
        <f t="shared" si="12"/>
        <v>21.59644202638562</v>
      </c>
      <c r="X66" s="57">
        <f t="shared" si="12"/>
        <v>9.8892878680176395</v>
      </c>
      <c r="Y66" s="13"/>
      <c r="Z66" s="74"/>
      <c r="AA66" s="12"/>
      <c r="AC66" t="s">
        <v>163</v>
      </c>
      <c r="AD66" s="51">
        <v>0.91825161402896505</v>
      </c>
      <c r="AE66" s="51">
        <v>0.91179580565519802</v>
      </c>
      <c r="AH66" s="78"/>
      <c r="BF66" s="51">
        <v>0.90568829279392304</v>
      </c>
      <c r="BG66" s="1">
        <v>3</v>
      </c>
      <c r="BH66">
        <f>_xlfn.NORM.S.INV((BG66-0.375)/($BI$61+0.25))</f>
        <v>-1.9400873318827652</v>
      </c>
      <c r="BI66">
        <f>BH66/SQRT($BL$65)</f>
        <v>-0.19454345832260236</v>
      </c>
      <c r="BJ66">
        <f t="shared" si="11"/>
        <v>-0.17619573264242344</v>
      </c>
      <c r="BK66" s="74" t="s">
        <v>350</v>
      </c>
      <c r="BL66" s="48">
        <f>CORREL(BF64:BF163,BI64:BI163)^2</f>
        <v>0.98882486581337548</v>
      </c>
      <c r="BM66" s="48">
        <f>(BJ164^2)/BK61</f>
        <v>0.98882486581330431</v>
      </c>
    </row>
    <row r="67" spans="1:65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109.49276376106963</v>
      </c>
      <c r="E67" s="18">
        <f>E62*E62*(SUM((H55*E55*(1-E44/H44))/(H44-1),(H56*E56*(1-E45/H45))/(H45-1), (H58*E58*(1-E47/H47))/(H47-1),(H59*E59*(1-E48/H48))/(H48-1)))</f>
        <v>172.66263093149354</v>
      </c>
      <c r="F67" s="18">
        <f>F62*F62*(SUM((H55*F55*(1-F44/H44))/(H44-1),(H56*F56*(1-F45/H45))/(H45-1), (H57*F57*(1-F46/H46))/(H46-1),(H59*F59*(1-F48/H48))/(H48-1)))</f>
        <v>148.88956774801906</v>
      </c>
      <c r="G67" s="18">
        <f>G62*G62*(SUM((H55*G55*(1-G44/H44))/(H44-1),(H56*G56*(1-G45/H45))/(H45-1), (H57*G57*(1-G46/H46))/(H46-1),(H58*G58*(1-G47/H47))/(H47-1)))</f>
        <v>74.933437337442896</v>
      </c>
      <c r="S67" s="66" t="s">
        <v>39</v>
      </c>
      <c r="T67" s="67">
        <f>C177</f>
        <v>0</v>
      </c>
      <c r="U67" s="67">
        <f t="shared" si="12"/>
        <v>0.21710339187482594</v>
      </c>
      <c r="V67" s="67">
        <f t="shared" si="12"/>
        <v>0.22339047041101265</v>
      </c>
      <c r="W67" s="67">
        <f t="shared" si="12"/>
        <v>0.1575443831806419</v>
      </c>
      <c r="X67" s="67">
        <f t="shared" si="12"/>
        <v>0.18063600547740155</v>
      </c>
      <c r="AC67" t="s">
        <v>164</v>
      </c>
      <c r="AD67" s="51">
        <v>0.91502355609841202</v>
      </c>
      <c r="AE67" s="51">
        <v>0.90708487978729702</v>
      </c>
      <c r="AI67" s="78"/>
      <c r="BF67" s="51">
        <v>0.90690909424667598</v>
      </c>
      <c r="BG67" s="1">
        <v>4</v>
      </c>
      <c r="BH67">
        <f t="shared" ref="BH67:BH130" si="13">_xlfn.NORM.S.INV((BG67-0.375)/($BI$61+0.25))</f>
        <v>-1.7971034256260587</v>
      </c>
      <c r="BI67">
        <f t="shared" ref="BI67:BI130" si="14">BH67/SQRT($BL$65)</f>
        <v>-0.18020565860063845</v>
      </c>
      <c r="BJ67">
        <f t="shared" si="11"/>
        <v>-0.16343015061963073</v>
      </c>
      <c r="BK67" s="74" t="s">
        <v>78</v>
      </c>
      <c r="BL67">
        <f>0.0038915*(LN(BI61)^3)-0.083751*(LN(BI61)^2)-0.31082*LN(BI61)-1.5861</f>
        <v>-4.4135743881998408</v>
      </c>
    </row>
    <row r="68" spans="1:65" x14ac:dyDescent="0.3">
      <c r="A68" s="105" t="s">
        <v>390</v>
      </c>
      <c r="B68" s="69" t="s">
        <v>9</v>
      </c>
      <c r="C68" s="1">
        <v>270</v>
      </c>
      <c r="D68" s="1">
        <v>1526.45</v>
      </c>
      <c r="E68" s="1">
        <v>15830.97</v>
      </c>
      <c r="F68" s="1">
        <v>2172.65</v>
      </c>
      <c r="G68" s="1">
        <v>1722.69</v>
      </c>
      <c r="I68" t="s">
        <v>36</v>
      </c>
      <c r="J68" s="57">
        <f>SUM(C68:G68)</f>
        <v>21522.76</v>
      </c>
      <c r="S68" t="s">
        <v>30</v>
      </c>
      <c r="T68" s="57">
        <f>C178</f>
        <v>100</v>
      </c>
      <c r="U68" s="57">
        <f t="shared" si="12"/>
        <v>56.207550415623452</v>
      </c>
      <c r="V68" s="57">
        <f t="shared" si="12"/>
        <v>97.832091858370589</v>
      </c>
      <c r="W68" s="57">
        <f t="shared" si="12"/>
        <v>91.631919195331818</v>
      </c>
      <c r="X68" s="57">
        <f t="shared" si="12"/>
        <v>87.616854802949504</v>
      </c>
      <c r="AC68" t="s">
        <v>165</v>
      </c>
      <c r="AD68" s="51">
        <v>0.91415110800907295</v>
      </c>
      <c r="AE68" s="51">
        <v>0.90695675969513601</v>
      </c>
      <c r="AH68" s="2"/>
      <c r="AI68" s="2"/>
      <c r="BF68" s="51">
        <v>0.90695675969513601</v>
      </c>
      <c r="BG68" s="1">
        <v>5</v>
      </c>
      <c r="BH68">
        <f t="shared" si="13"/>
        <v>-1.68354659767802</v>
      </c>
      <c r="BI68">
        <f t="shared" si="14"/>
        <v>-0.16881867737453188</v>
      </c>
      <c r="BJ68">
        <f t="shared" si="11"/>
        <v>-0.15311124060762399</v>
      </c>
      <c r="BK68" s="74" t="s">
        <v>370</v>
      </c>
      <c r="BL68">
        <f>EXP(0.0030301*(LN(BI61)^2)-0.082676*LN(BI61)-0.4803)</f>
        <v>0.45077997247289642</v>
      </c>
    </row>
    <row r="69" spans="1:65" x14ac:dyDescent="0.3">
      <c r="B69" t="s">
        <v>391</v>
      </c>
      <c r="C69" s="57">
        <f>(C68/$J68)*100</f>
        <v>1.2544859488281244</v>
      </c>
      <c r="D69" s="57">
        <f>(D68/$J68)*100</f>
        <v>7.0922595429210755</v>
      </c>
      <c r="E69" s="57">
        <f>(E68/$J68)*100</f>
        <v>73.554553412294709</v>
      </c>
      <c r="F69" s="57">
        <f>(F68/$J68)*100</f>
        <v>10.09466258044972</v>
      </c>
      <c r="G69" s="57">
        <f>(G68/$J68)*100</f>
        <v>8.0040385155063767</v>
      </c>
      <c r="S69" s="66" t="s">
        <v>39</v>
      </c>
      <c r="T69" s="67">
        <f>C179</f>
        <v>0</v>
      </c>
      <c r="U69" s="67">
        <f t="shared" si="12"/>
        <v>4.8838833736736689</v>
      </c>
      <c r="V69" s="67">
        <f t="shared" si="12"/>
        <v>0.23138418502200869</v>
      </c>
      <c r="W69" s="67">
        <f t="shared" si="12"/>
        <v>0.65135649123855521</v>
      </c>
      <c r="X69" s="67">
        <f t="shared" si="12"/>
        <v>2.0865029270894522</v>
      </c>
      <c r="AC69" t="s">
        <v>166</v>
      </c>
      <c r="AD69" s="51">
        <v>0.91249345663933001</v>
      </c>
      <c r="AE69" s="51">
        <v>0.90568829279392304</v>
      </c>
      <c r="BF69" s="51">
        <v>0.90708487978729702</v>
      </c>
      <c r="BG69" s="1">
        <v>6</v>
      </c>
      <c r="BH69">
        <f t="shared" si="13"/>
        <v>-1.5882958682169486</v>
      </c>
      <c r="BI69">
        <f t="shared" si="14"/>
        <v>-0.15926735150760582</v>
      </c>
      <c r="BJ69">
        <f t="shared" si="11"/>
        <v>-0.1444690063963178</v>
      </c>
      <c r="BK69" s="74" t="s">
        <v>366</v>
      </c>
      <c r="BL69">
        <f>(LN(1-BL66)-BL67)/BL68</f>
        <v>-0.17855660747652399</v>
      </c>
    </row>
    <row r="70" spans="1:65" x14ac:dyDescent="0.3">
      <c r="A70" s="361" t="s">
        <v>401</v>
      </c>
      <c r="B70" s="361"/>
      <c r="C70" s="361"/>
      <c r="D70" s="361"/>
      <c r="E70" s="361"/>
      <c r="F70" s="361"/>
      <c r="G70" s="361"/>
      <c r="H70" s="361"/>
      <c r="I70" s="361"/>
      <c r="J70" s="361"/>
      <c r="K70" s="361"/>
      <c r="L70" s="361" t="s">
        <v>61</v>
      </c>
      <c r="M70" s="361"/>
      <c r="N70" s="361"/>
      <c r="O70" s="361"/>
      <c r="P70" s="361"/>
      <c r="S70" s="15" t="s">
        <v>31</v>
      </c>
      <c r="T70" s="71">
        <f>I171</f>
        <v>100</v>
      </c>
      <c r="U70" s="71">
        <f>I172</f>
        <v>88.790560471976391</v>
      </c>
      <c r="V70" s="71">
        <f>I173</f>
        <v>92.796323827544256</v>
      </c>
      <c r="W70" s="71">
        <f>I174</f>
        <v>95.317460317460316</v>
      </c>
      <c r="X70" s="71">
        <f>I175</f>
        <v>77.671957671957685</v>
      </c>
      <c r="AC70" t="s">
        <v>167</v>
      </c>
      <c r="AD70" s="51">
        <v>0.92051997906124505</v>
      </c>
      <c r="AE70" s="51">
        <v>0.91353164518107599</v>
      </c>
      <c r="AH70" s="2"/>
      <c r="AI70" s="2"/>
      <c r="BF70" s="51">
        <v>0.907777249520481</v>
      </c>
      <c r="BG70" s="1">
        <v>7</v>
      </c>
      <c r="BH70">
        <f t="shared" si="13"/>
        <v>-1.505601216304423</v>
      </c>
      <c r="BI70">
        <f t="shared" si="14"/>
        <v>-0.15097509409039248</v>
      </c>
      <c r="BJ70">
        <f t="shared" si="11"/>
        <v>-0.13705175565947231</v>
      </c>
      <c r="BK70" s="74" t="s">
        <v>354</v>
      </c>
      <c r="BL70">
        <f>1-NORMSDIST(BL69)</f>
        <v>0.57085706548196069</v>
      </c>
    </row>
    <row r="71" spans="1:65" x14ac:dyDescent="0.3">
      <c r="A71" t="s">
        <v>320</v>
      </c>
      <c r="B71" t="s">
        <v>21</v>
      </c>
      <c r="I71" s="1" t="s">
        <v>58</v>
      </c>
      <c r="O71" s="360" t="s">
        <v>411</v>
      </c>
      <c r="P71" s="360"/>
      <c r="S71" s="75" t="s">
        <v>39</v>
      </c>
      <c r="T71" s="76">
        <f>J171</f>
        <v>0</v>
      </c>
      <c r="U71" s="76">
        <f>J172</f>
        <v>1.7159988709375662</v>
      </c>
      <c r="V71" s="76">
        <f>J173</f>
        <v>0.30059746463646841</v>
      </c>
      <c r="W71" s="76">
        <f>J174</f>
        <v>0.42093290895930463</v>
      </c>
      <c r="X71" s="76">
        <f>J175</f>
        <v>1.3554123921359513</v>
      </c>
      <c r="AC71" t="s">
        <v>168</v>
      </c>
      <c r="AD71" s="51">
        <v>0.91964753097190699</v>
      </c>
      <c r="AE71" s="51">
        <v>0.91091591568415198</v>
      </c>
      <c r="BF71" s="51">
        <v>0.90778819267090705</v>
      </c>
      <c r="BG71" s="1">
        <v>8</v>
      </c>
      <c r="BH71">
        <f t="shared" si="13"/>
        <v>-1.43208428708654</v>
      </c>
      <c r="BI71">
        <f t="shared" si="14"/>
        <v>-0.14360313849835979</v>
      </c>
      <c r="BJ71">
        <f t="shared" si="11"/>
        <v>-0.13036123355929599</v>
      </c>
      <c r="BK71" s="13" t="s">
        <v>358</v>
      </c>
      <c r="BL71" s="13" t="str">
        <f>IF(GESTEP(BL70,BG61)=0,"YES","NO")</f>
        <v>NO</v>
      </c>
    </row>
    <row r="72" spans="1:65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56</v>
      </c>
      <c r="O72" s="13" t="s">
        <v>412</v>
      </c>
      <c r="P72" s="13" t="s">
        <v>41</v>
      </c>
      <c r="S72" s="66" t="s">
        <v>56</v>
      </c>
      <c r="T72" s="67">
        <f>N160*100</f>
        <v>100</v>
      </c>
      <c r="U72" s="67">
        <f>N161*100</f>
        <v>54.039497307001781</v>
      </c>
      <c r="V72" s="67">
        <f>N162*100</f>
        <v>95.646722852963705</v>
      </c>
      <c r="W72" s="67">
        <f>N163*100</f>
        <v>94.066966908165256</v>
      </c>
      <c r="X72" s="67">
        <f>N164*100</f>
        <v>80.306345733041567</v>
      </c>
      <c r="AC72" t="s">
        <v>159</v>
      </c>
      <c r="AD72" s="51">
        <v>0.91868783807363397</v>
      </c>
      <c r="AE72" s="51">
        <v>0.91143712314220604</v>
      </c>
      <c r="AH72" s="2"/>
      <c r="AI72" s="2"/>
      <c r="BF72" s="51">
        <v>0.90806121586152944</v>
      </c>
      <c r="BG72" s="1">
        <v>9</v>
      </c>
      <c r="BH72">
        <f t="shared" si="13"/>
        <v>-1.3655831908785105</v>
      </c>
      <c r="BI72">
        <f t="shared" si="14"/>
        <v>-0.13693469990492851</v>
      </c>
      <c r="BJ72">
        <f t="shared" si="11"/>
        <v>-0.12434509008930304</v>
      </c>
    </row>
    <row r="73" spans="1:65" x14ac:dyDescent="0.3">
      <c r="A73" t="s">
        <v>3</v>
      </c>
      <c r="B73" s="13">
        <v>0</v>
      </c>
      <c r="C73" s="26">
        <v>259</v>
      </c>
      <c r="D73" s="3">
        <v>0</v>
      </c>
      <c r="E73" s="3">
        <v>0</v>
      </c>
      <c r="F73" s="3">
        <v>0</v>
      </c>
      <c r="G73" s="4">
        <v>0</v>
      </c>
      <c r="H73" s="1">
        <f>SUM(C73:G73)</f>
        <v>259</v>
      </c>
      <c r="I73" s="10">
        <f>C73/H73</f>
        <v>1</v>
      </c>
      <c r="J73" s="11">
        <f>1-I73</f>
        <v>0</v>
      </c>
      <c r="K73">
        <f>H73-C78</f>
        <v>0</v>
      </c>
      <c r="N73" s="10">
        <f>2*(C79*I73)/(C79+I73)</f>
        <v>1</v>
      </c>
      <c r="O73" s="1"/>
      <c r="P73" s="1"/>
      <c r="R73" s="16" t="s">
        <v>66</v>
      </c>
      <c r="S73" t="s">
        <v>9</v>
      </c>
      <c r="T73" s="1">
        <f>N171</f>
        <v>2528.2399999999998</v>
      </c>
      <c r="U73" s="1">
        <f>N172</f>
        <v>10912.73</v>
      </c>
      <c r="V73" s="1">
        <f>N173</f>
        <v>107962.23</v>
      </c>
      <c r="W73" s="1">
        <f>N174</f>
        <v>37020.92</v>
      </c>
      <c r="X73" s="1">
        <f>N175</f>
        <v>19892.03</v>
      </c>
      <c r="Z73" t="s">
        <v>36</v>
      </c>
      <c r="AA73" s="1">
        <f>N176</f>
        <v>178316.15</v>
      </c>
      <c r="AC73" t="s">
        <v>169</v>
      </c>
      <c r="AD73" s="51">
        <v>0.91284243587506497</v>
      </c>
      <c r="AE73" s="51">
        <v>0.90549101610813898</v>
      </c>
      <c r="BF73" s="51">
        <v>0.90841266720807601</v>
      </c>
      <c r="BG73" s="1">
        <v>10</v>
      </c>
      <c r="BH73">
        <f t="shared" si="13"/>
        <v>-1.3046268229653299</v>
      </c>
      <c r="BI73">
        <f t="shared" si="14"/>
        <v>-0.13082226237403305</v>
      </c>
      <c r="BJ73">
        <f t="shared" si="11"/>
        <v>-0.11884060029339009</v>
      </c>
    </row>
    <row r="74" spans="1:65" ht="15.6" x14ac:dyDescent="0.35">
      <c r="A74" t="s">
        <v>4</v>
      </c>
      <c r="B74" s="13">
        <v>1</v>
      </c>
      <c r="C74" s="5">
        <v>0</v>
      </c>
      <c r="D74" s="27">
        <v>290</v>
      </c>
      <c r="E74" s="1">
        <v>49</v>
      </c>
      <c r="F74" s="1">
        <v>0</v>
      </c>
      <c r="G74" s="6">
        <v>0</v>
      </c>
      <c r="H74" s="1">
        <f>SUM(C74:G74)</f>
        <v>339</v>
      </c>
      <c r="I74" s="10">
        <f>D74/H74</f>
        <v>0.85545722713864303</v>
      </c>
      <c r="J74" s="11">
        <f>1-I74</f>
        <v>0.14454277286135697</v>
      </c>
      <c r="K74">
        <f>H74-D78</f>
        <v>-334</v>
      </c>
      <c r="N74" s="10">
        <f>2*(D79*I74)/(D79+I74)</f>
        <v>0.5731225296442688</v>
      </c>
      <c r="O74" s="1"/>
      <c r="P74" s="1"/>
      <c r="R74" s="16" t="s">
        <v>323</v>
      </c>
      <c r="S74" t="s">
        <v>68</v>
      </c>
      <c r="T74" s="57">
        <f>$AA73*T66/100</f>
        <v>2528.2399999999998</v>
      </c>
      <c r="U74" s="57">
        <f>$AA73*U66/100</f>
        <v>17238.741162255352</v>
      </c>
      <c r="V74" s="57">
        <f>$AA73*V66/100</f>
        <v>102405.02749064569</v>
      </c>
      <c r="W74" s="57">
        <f>$AA73*W66/100</f>
        <v>38509.943958432821</v>
      </c>
      <c r="X74" s="57">
        <f>$AA73*X66/100</f>
        <v>17634.197388666136</v>
      </c>
      <c r="Z74" t="s">
        <v>36</v>
      </c>
      <c r="AA74" s="25">
        <f>SUM(T74:X74)</f>
        <v>178316.15</v>
      </c>
      <c r="AC74" t="s">
        <v>170</v>
      </c>
      <c r="AD74" s="51">
        <v>0.92217763043098899</v>
      </c>
      <c r="AE74" s="51">
        <v>0.91321416000954003</v>
      </c>
      <c r="AH74" s="2"/>
      <c r="AI74" s="2"/>
      <c r="BF74" s="51">
        <v>0.90852666302212604</v>
      </c>
      <c r="BG74" s="1">
        <v>11</v>
      </c>
      <c r="BH74">
        <f t="shared" si="13"/>
        <v>-1.248166539458073</v>
      </c>
      <c r="BI74">
        <f t="shared" si="14"/>
        <v>-0.12516067249049057</v>
      </c>
      <c r="BJ74">
        <f t="shared" si="11"/>
        <v>-0.11371180811939061</v>
      </c>
    </row>
    <row r="75" spans="1:65" x14ac:dyDescent="0.3">
      <c r="A75" t="s">
        <v>5</v>
      </c>
      <c r="B75" s="13">
        <v>2</v>
      </c>
      <c r="C75" s="5">
        <v>0</v>
      </c>
      <c r="D75" s="1">
        <v>274</v>
      </c>
      <c r="E75" s="27">
        <v>6960</v>
      </c>
      <c r="F75" s="1">
        <v>107</v>
      </c>
      <c r="G75" s="6">
        <v>58</v>
      </c>
      <c r="H75" s="1">
        <f>SUM(C75:G75)</f>
        <v>7399</v>
      </c>
      <c r="I75" s="10">
        <f>E75/H75</f>
        <v>0.94066765779159345</v>
      </c>
      <c r="J75" s="11">
        <f>1-I75</f>
        <v>5.9332342208406552E-2</v>
      </c>
      <c r="K75">
        <f>H75-E78</f>
        <v>348</v>
      </c>
      <c r="N75" s="10">
        <f>2*(E79*I75)/(E79+I75)</f>
        <v>0.96332179930795858</v>
      </c>
      <c r="O75" s="1"/>
      <c r="P75" s="1"/>
      <c r="R75" s="66"/>
      <c r="S75" s="66" t="s">
        <v>67</v>
      </c>
      <c r="T75" s="67">
        <f>$AA73*T67/100</f>
        <v>0</v>
      </c>
      <c r="U75" s="67">
        <f>$AA73*U67/100</f>
        <v>387.1304099106024</v>
      </c>
      <c r="V75" s="67">
        <f>$AA73*V67/100</f>
        <v>398.3412863038069</v>
      </c>
      <c r="W75" s="67">
        <f>$AA73*W67/100</f>
        <v>280.92707862896816</v>
      </c>
      <c r="X75" s="67">
        <f>$AA73*X67/100</f>
        <v>322.10317048109152</v>
      </c>
      <c r="AA75" s="1"/>
      <c r="AC75" t="s">
        <v>171</v>
      </c>
      <c r="AD75" s="51">
        <v>0.92147967195951797</v>
      </c>
      <c r="AE75" s="51">
        <v>0.91308803130918303</v>
      </c>
      <c r="BF75" s="51">
        <v>0.90855339812262503</v>
      </c>
      <c r="BG75" s="1">
        <v>12</v>
      </c>
      <c r="BH75">
        <f t="shared" si="13"/>
        <v>-1.1954271085021433</v>
      </c>
      <c r="BI75">
        <f t="shared" si="14"/>
        <v>-0.11987219340013142</v>
      </c>
      <c r="BJ75">
        <f t="shared" si="11"/>
        <v>-0.10891028865410191</v>
      </c>
    </row>
    <row r="76" spans="1:65" x14ac:dyDescent="0.3">
      <c r="A76" t="s">
        <v>6</v>
      </c>
      <c r="B76" s="13">
        <v>3</v>
      </c>
      <c r="C76" s="5">
        <v>0</v>
      </c>
      <c r="D76" s="1">
        <v>0</v>
      </c>
      <c r="E76" s="1">
        <v>21</v>
      </c>
      <c r="F76" s="27">
        <v>2395</v>
      </c>
      <c r="G76" s="6">
        <v>104</v>
      </c>
      <c r="H76" s="1">
        <f>SUM(C76:G76)</f>
        <v>2520</v>
      </c>
      <c r="I76" s="10">
        <f>F76/H76</f>
        <v>0.95039682539682535</v>
      </c>
      <c r="J76" s="11">
        <f>1-I76</f>
        <v>4.9603174603174649E-2</v>
      </c>
      <c r="K76">
        <f>H76-F78</f>
        <v>-69</v>
      </c>
      <c r="N76" s="10">
        <f>2*(F79*I76)/(F79+I76)</f>
        <v>0.93756116656880018</v>
      </c>
      <c r="O76" s="1"/>
      <c r="P76" s="1"/>
      <c r="R76" t="s">
        <v>99</v>
      </c>
      <c r="S76" t="s">
        <v>28</v>
      </c>
      <c r="T76" s="57">
        <f>C205</f>
        <v>1.401886480837546</v>
      </c>
      <c r="U76" s="57">
        <f t="shared" ref="U76:X79" si="15">D205</f>
        <v>9.5921667620122779</v>
      </c>
      <c r="V76" s="57">
        <f t="shared" si="15"/>
        <v>57.252781921589538</v>
      </c>
      <c r="W76" s="57">
        <f t="shared" si="15"/>
        <v>21.761588371659954</v>
      </c>
      <c r="X76" s="57">
        <f t="shared" si="15"/>
        <v>9.9915764639006746</v>
      </c>
      <c r="AC76" t="s">
        <v>172</v>
      </c>
      <c r="AD76" s="51">
        <v>0.91737916593962598</v>
      </c>
      <c r="AE76" s="51">
        <v>0.90855339812262503</v>
      </c>
      <c r="AH76" s="78"/>
      <c r="AI76" s="78"/>
      <c r="BF76" s="51">
        <v>0.90884637247989297</v>
      </c>
      <c r="BG76" s="1">
        <v>13</v>
      </c>
      <c r="BH76">
        <f t="shared" si="13"/>
        <v>-1.1458183419972177</v>
      </c>
      <c r="BI76">
        <f t="shared" si="14"/>
        <v>-0.11489764362580719</v>
      </c>
      <c r="BJ76">
        <f t="shared" si="11"/>
        <v>-0.10442430661580236</v>
      </c>
    </row>
    <row r="77" spans="1:65" x14ac:dyDescent="0.3">
      <c r="A77" t="s">
        <v>7</v>
      </c>
      <c r="B77" s="13">
        <v>4</v>
      </c>
      <c r="C77" s="7">
        <v>0</v>
      </c>
      <c r="D77" s="8">
        <v>109</v>
      </c>
      <c r="E77" s="8">
        <v>21</v>
      </c>
      <c r="F77" s="8">
        <v>87</v>
      </c>
      <c r="G77" s="28">
        <v>728</v>
      </c>
      <c r="H77" s="1">
        <f>SUM(C77:G77)</f>
        <v>945</v>
      </c>
      <c r="I77" s="10">
        <f>G77/H77</f>
        <v>0.77037037037037037</v>
      </c>
      <c r="J77" s="11">
        <f>1-I77</f>
        <v>0.22962962962962963</v>
      </c>
      <c r="K77">
        <f>H77-G78</f>
        <v>55</v>
      </c>
      <c r="N77" s="10">
        <f>2*(G79*I77)/(G79+I77)</f>
        <v>0.79346049046321532</v>
      </c>
      <c r="O77" s="1"/>
      <c r="P77" s="1"/>
      <c r="S77" s="66" t="s">
        <v>39</v>
      </c>
      <c r="T77" s="67">
        <f>C206</f>
        <v>0</v>
      </c>
      <c r="U77" s="67">
        <f t="shared" si="15"/>
        <v>0.22096094045537859</v>
      </c>
      <c r="V77" s="67">
        <f t="shared" si="15"/>
        <v>0.21618422176697913</v>
      </c>
      <c r="W77" s="67">
        <f t="shared" si="15"/>
        <v>0.16339829823678353</v>
      </c>
      <c r="X77" s="67">
        <f t="shared" si="15"/>
        <v>0.18600162900536329</v>
      </c>
      <c r="AC77" t="s">
        <v>173</v>
      </c>
      <c r="AD77" s="51">
        <v>0.92400977141859997</v>
      </c>
      <c r="AE77" s="51">
        <v>0.91577375873157196</v>
      </c>
      <c r="BF77" s="51">
        <v>0.90893531625019697</v>
      </c>
      <c r="BG77" s="1">
        <v>14</v>
      </c>
      <c r="BH77">
        <f t="shared" si="13"/>
        <v>-1.0988799140705434</v>
      </c>
      <c r="BI77">
        <f t="shared" si="14"/>
        <v>-0.11019086370563748</v>
      </c>
      <c r="BJ77">
        <f t="shared" si="11"/>
        <v>-0.10015636755016595</v>
      </c>
    </row>
    <row r="78" spans="1:65" ht="15.6" x14ac:dyDescent="0.35">
      <c r="B78" s="1" t="s">
        <v>19</v>
      </c>
      <c r="C78" s="1">
        <f>SUM(C73:C77)</f>
        <v>259</v>
      </c>
      <c r="D78" s="1">
        <f>SUM(D73:D77)</f>
        <v>673</v>
      </c>
      <c r="E78" s="1">
        <f>SUM(E73:E77)</f>
        <v>7051</v>
      </c>
      <c r="F78" s="1">
        <f>SUM(F73:F77)</f>
        <v>2589</v>
      </c>
      <c r="G78" s="1">
        <f>SUM(G73:G77)</f>
        <v>890</v>
      </c>
      <c r="H78" s="1">
        <f>SUM(H72:H77)</f>
        <v>11462</v>
      </c>
      <c r="I78" s="13" t="s">
        <v>12</v>
      </c>
      <c r="N78" s="16" t="s">
        <v>36</v>
      </c>
      <c r="O78" s="1">
        <f>SUM(O73:O77)</f>
        <v>0</v>
      </c>
      <c r="P78" s="1">
        <f>SUM(P73:P77)</f>
        <v>0</v>
      </c>
      <c r="S78" s="70" t="s">
        <v>30</v>
      </c>
      <c r="T78" s="64">
        <f>C207</f>
        <v>100</v>
      </c>
      <c r="U78" s="64">
        <f t="shared" si="15"/>
        <v>57.510230549645705</v>
      </c>
      <c r="V78" s="64">
        <f t="shared" si="15"/>
        <v>98.001270161100152</v>
      </c>
      <c r="W78" s="64">
        <f t="shared" si="15"/>
        <v>90.716183690093359</v>
      </c>
      <c r="X78" s="64">
        <f t="shared" si="15"/>
        <v>88.310040752077569</v>
      </c>
      <c r="AC78" t="s">
        <v>174</v>
      </c>
      <c r="AD78" s="51">
        <v>0.92392252660966601</v>
      </c>
      <c r="AE78" s="51">
        <v>0.91598193547010098</v>
      </c>
      <c r="AH78" s="78"/>
      <c r="AI78" s="78"/>
      <c r="BF78" s="51">
        <v>0.90915494801892405</v>
      </c>
      <c r="BG78" s="1">
        <v>15</v>
      </c>
      <c r="BH78">
        <f t="shared" si="13"/>
        <v>-1.0542454124924514</v>
      </c>
      <c r="BI78">
        <f t="shared" si="14"/>
        <v>-0.10571511142644452</v>
      </c>
      <c r="BJ78">
        <f t="shared" si="11"/>
        <v>-9.6111416633723926E-2</v>
      </c>
    </row>
    <row r="79" spans="1:65" x14ac:dyDescent="0.3">
      <c r="A79" s="1" t="s">
        <v>321</v>
      </c>
      <c r="B79" s="1" t="s">
        <v>2</v>
      </c>
      <c r="C79" s="10">
        <f>C73/C78</f>
        <v>1</v>
      </c>
      <c r="D79" s="10">
        <f>D74/D78</f>
        <v>0.4309063893016345</v>
      </c>
      <c r="E79" s="10">
        <f>E75/E78</f>
        <v>0.9870940292157141</v>
      </c>
      <c r="F79" s="10">
        <f>F76/F78</f>
        <v>0.92506759366550795</v>
      </c>
      <c r="G79" s="10">
        <f>G77/G78</f>
        <v>0.81797752808988766</v>
      </c>
      <c r="H79" s="10"/>
      <c r="I79" s="14">
        <f>(C73+D74+E75+F76+G77)/H78</f>
        <v>0.92758680858488918</v>
      </c>
      <c r="S79" s="66" t="s">
        <v>39</v>
      </c>
      <c r="T79" s="67">
        <f>C208</f>
        <v>0</v>
      </c>
      <c r="U79" s="67">
        <f t="shared" si="15"/>
        <v>5.1913999998272455</v>
      </c>
      <c r="V79" s="67">
        <f t="shared" si="15"/>
        <v>0.22832750212759456</v>
      </c>
      <c r="W79" s="67">
        <f t="shared" si="15"/>
        <v>0.68565439406536965</v>
      </c>
      <c r="X79" s="67">
        <f t="shared" si="15"/>
        <v>2.0477200929686896</v>
      </c>
      <c r="AC79" t="s">
        <v>175</v>
      </c>
      <c r="AD79" s="51">
        <v>0.92121793753271597</v>
      </c>
      <c r="AE79" s="51">
        <v>0.91349198275439403</v>
      </c>
      <c r="BF79" s="51">
        <v>0.90932398846198204</v>
      </c>
      <c r="BG79" s="1">
        <v>16</v>
      </c>
      <c r="BH79">
        <f t="shared" si="13"/>
        <v>-1.0116180790824523</v>
      </c>
      <c r="BI79">
        <f t="shared" si="14"/>
        <v>-0.10144062917795522</v>
      </c>
      <c r="BJ79">
        <f t="shared" si="11"/>
        <v>-9.2242397516191149E-2</v>
      </c>
    </row>
    <row r="80" spans="1:65" x14ac:dyDescent="0.3">
      <c r="B80" s="1" t="s">
        <v>14</v>
      </c>
      <c r="C80" s="11">
        <f>1-C79</f>
        <v>0</v>
      </c>
      <c r="D80" s="11">
        <f>1-D79</f>
        <v>0.5690936106983655</v>
      </c>
      <c r="E80" s="11">
        <f>1-E79</f>
        <v>1.2905970784285903E-2</v>
      </c>
      <c r="F80" s="11">
        <f>1-F79</f>
        <v>7.4932406334492052E-2</v>
      </c>
      <c r="G80" s="11">
        <f>1-G79</f>
        <v>0.18202247191011234</v>
      </c>
      <c r="S80" s="70" t="s">
        <v>31</v>
      </c>
      <c r="T80" s="64">
        <f>I200</f>
        <v>100</v>
      </c>
      <c r="U80" s="64">
        <f>I201</f>
        <v>87.315634218289091</v>
      </c>
      <c r="V80" s="64">
        <f>I202</f>
        <v>93.363968103797816</v>
      </c>
      <c r="W80" s="64">
        <f>I203</f>
        <v>95.595238095238088</v>
      </c>
      <c r="X80" s="64">
        <f>I204</f>
        <v>76.50793650793652</v>
      </c>
      <c r="AC80" t="s">
        <v>176</v>
      </c>
      <c r="AD80" s="51">
        <v>0.91711743151282499</v>
      </c>
      <c r="AE80" s="51">
        <v>0.90841266720807601</v>
      </c>
      <c r="AH80" s="78"/>
      <c r="AI80" s="78"/>
      <c r="AJ80" s="361" t="s">
        <v>402</v>
      </c>
      <c r="AK80" s="361"/>
      <c r="AL80" s="361"/>
      <c r="AM80" s="361"/>
      <c r="AN80" s="361"/>
      <c r="AO80" s="361"/>
      <c r="AP80" s="361"/>
      <c r="AQ80" s="361"/>
      <c r="AR80" s="361"/>
      <c r="AS80" s="361"/>
      <c r="AT80" s="361"/>
      <c r="AU80" s="361" t="s">
        <v>374</v>
      </c>
      <c r="AV80" s="361"/>
      <c r="AW80" s="361"/>
      <c r="AX80" s="361"/>
      <c r="AY80" s="361"/>
      <c r="BF80" s="51">
        <v>0.90941685595306998</v>
      </c>
      <c r="BG80" s="1">
        <v>17</v>
      </c>
      <c r="BH80">
        <f t="shared" si="13"/>
        <v>-0.97075394243172186</v>
      </c>
      <c r="BI80">
        <f t="shared" si="14"/>
        <v>-9.7342952576105798E-2</v>
      </c>
      <c r="BJ80">
        <f t="shared" si="11"/>
        <v>-8.8525321880950927E-2</v>
      </c>
    </row>
    <row r="81" spans="1:62" x14ac:dyDescent="0.3">
      <c r="C81" s="2"/>
      <c r="S81" s="66" t="s">
        <v>39</v>
      </c>
      <c r="T81" s="67">
        <f>J200</f>
        <v>0</v>
      </c>
      <c r="U81" s="67">
        <f>J201</f>
        <v>1.8101811368440324</v>
      </c>
      <c r="V81" s="67">
        <f>J202</f>
        <v>0.28939213224171639</v>
      </c>
      <c r="W81" s="67">
        <f>J203</f>
        <v>0.40885118879200699</v>
      </c>
      <c r="X81" s="67">
        <f>J204</f>
        <v>1.3798371396205706</v>
      </c>
      <c r="AC81" t="s">
        <v>177</v>
      </c>
      <c r="AD81" s="51">
        <v>0.91685569708602299</v>
      </c>
      <c r="AE81" s="51">
        <v>0.90981904185203699</v>
      </c>
      <c r="AJ81" t="s">
        <v>320</v>
      </c>
      <c r="AK81" t="s">
        <v>21</v>
      </c>
      <c r="AR81" s="1" t="s">
        <v>58</v>
      </c>
      <c r="BF81" s="51">
        <v>0.90950566888048201</v>
      </c>
      <c r="BG81" s="1">
        <v>18</v>
      </c>
      <c r="BH81">
        <f t="shared" si="13"/>
        <v>-0.93144978630264041</v>
      </c>
      <c r="BI81">
        <f t="shared" si="14"/>
        <v>-9.3401703986856682E-2</v>
      </c>
      <c r="BJ81">
        <f t="shared" si="11"/>
        <v>-8.4949379259142865E-2</v>
      </c>
    </row>
    <row r="82" spans="1:62" ht="15.6" x14ac:dyDescent="0.35">
      <c r="A82" t="s">
        <v>322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56</v>
      </c>
      <c r="T82" s="65">
        <f>N189*100</f>
        <v>100</v>
      </c>
      <c r="U82" s="65">
        <f>N190*100</f>
        <v>54.865616311399442</v>
      </c>
      <c r="V82" s="65">
        <f>N191*100</f>
        <v>96.044490789016351</v>
      </c>
      <c r="W82" s="65">
        <f>N192*100</f>
        <v>93.899824595595405</v>
      </c>
      <c r="X82" s="65">
        <f>N193*100</f>
        <v>79.845389287686359</v>
      </c>
      <c r="Z82" s="46"/>
      <c r="AA82" s="46"/>
      <c r="AC82" t="s">
        <v>178</v>
      </c>
      <c r="AD82" s="51">
        <v>0.91842610364683297</v>
      </c>
      <c r="AE82" s="51">
        <v>0.91126477085526203</v>
      </c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56</v>
      </c>
      <c r="BF82" s="51">
        <v>0.90958005126080799</v>
      </c>
      <c r="BG82" s="1">
        <v>19</v>
      </c>
      <c r="BH82">
        <f t="shared" si="13"/>
        <v>-0.89353437460601337</v>
      </c>
      <c r="BI82">
        <f t="shared" si="14"/>
        <v>-8.9599712605350768E-2</v>
      </c>
      <c r="BJ82">
        <f t="shared" si="11"/>
        <v>-8.1498111184528613E-2</v>
      </c>
    </row>
    <row r="83" spans="1:62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66</v>
      </c>
      <c r="S83" t="s">
        <v>9</v>
      </c>
      <c r="T83" s="30">
        <f>N200</f>
        <v>2499.79</v>
      </c>
      <c r="U83" s="30">
        <f>N201</f>
        <v>11265.76</v>
      </c>
      <c r="V83" s="30">
        <f>N202</f>
        <v>107161.72</v>
      </c>
      <c r="W83" s="30">
        <f>N203</f>
        <v>36823.9</v>
      </c>
      <c r="X83" s="30">
        <f>N204</f>
        <v>20564.98</v>
      </c>
      <c r="Z83" t="s">
        <v>36</v>
      </c>
      <c r="AA83" s="1">
        <f>N205</f>
        <v>178316.15000000002</v>
      </c>
      <c r="AC83" t="s">
        <v>179</v>
      </c>
      <c r="AD83" s="51">
        <v>0.91947304135403896</v>
      </c>
      <c r="AE83" s="51">
        <v>0.911747923779755</v>
      </c>
      <c r="AJ83" t="s">
        <v>3</v>
      </c>
      <c r="AK83" s="13">
        <v>0</v>
      </c>
      <c r="AL83" s="26">
        <v>259</v>
      </c>
      <c r="AM83" s="3">
        <v>0</v>
      </c>
      <c r="AN83" s="3">
        <v>0</v>
      </c>
      <c r="AO83" s="3">
        <v>0</v>
      </c>
      <c r="AP83" s="4">
        <v>0</v>
      </c>
      <c r="AQ83" s="1">
        <f>SUM(AL83:AP83)</f>
        <v>259</v>
      </c>
      <c r="AR83" s="10">
        <f>AL83/AQ83</f>
        <v>1</v>
      </c>
      <c r="AS83" s="11">
        <f>1-AR83</f>
        <v>0</v>
      </c>
      <c r="AT83">
        <f>AQ83-AL88</f>
        <v>0</v>
      </c>
      <c r="AW83" s="10">
        <f>2*(AL89*AR83)/(AL89+AR83)</f>
        <v>1</v>
      </c>
      <c r="BF83" s="120">
        <v>0.90975203251676195</v>
      </c>
      <c r="BG83" s="1">
        <v>20</v>
      </c>
      <c r="BH83">
        <f t="shared" si="13"/>
        <v>-0.8568619257010005</v>
      </c>
      <c r="BI83">
        <f t="shared" si="14"/>
        <v>-8.5922360087298644E-2</v>
      </c>
      <c r="BJ83">
        <f t="shared" si="11"/>
        <v>-7.8168041728057039E-2</v>
      </c>
    </row>
    <row r="84" spans="1:62" ht="15.6" x14ac:dyDescent="0.35">
      <c r="A84" t="s">
        <v>3</v>
      </c>
      <c r="B84" s="13">
        <v>0</v>
      </c>
      <c r="C84" s="29">
        <f>(C73/$L84)*$O84</f>
        <v>1.4277394391926925</v>
      </c>
      <c r="D84" s="31">
        <f>(D73/$L84)*$O84</f>
        <v>0</v>
      </c>
      <c r="E84" s="31">
        <f>(E73/$L84)*$O84</f>
        <v>0</v>
      </c>
      <c r="F84" s="31">
        <f>(F73/$L84)*$O84</f>
        <v>0</v>
      </c>
      <c r="G84" s="32">
        <f>(G73/$L84)*$O84</f>
        <v>0</v>
      </c>
      <c r="H84" s="17">
        <f>SUM(C84:G84)</f>
        <v>1.4277394391926925</v>
      </c>
      <c r="I84" s="17">
        <f>C84/H84*100</f>
        <v>100</v>
      </c>
      <c r="J84" s="17">
        <f>SQRT(I84*(100-I84)/(L84-1))</f>
        <v>0</v>
      </c>
      <c r="K84" s="18">
        <f>100-I84</f>
        <v>0</v>
      </c>
      <c r="L84" s="1">
        <f>H73</f>
        <v>259</v>
      </c>
      <c r="M84">
        <v>0</v>
      </c>
      <c r="N84" s="1">
        <v>2545.89</v>
      </c>
      <c r="O84" s="17">
        <f>N84/N89*100</f>
        <v>1.4277394391926925</v>
      </c>
      <c r="P84" s="52">
        <f>((O84*O84*(I84/100)*(K84/100))/(L84-1))</f>
        <v>0</v>
      </c>
      <c r="R84" s="16" t="s">
        <v>323</v>
      </c>
      <c r="S84" t="s">
        <v>68</v>
      </c>
      <c r="T84" s="57">
        <f>$AA83*T76/100</f>
        <v>2499.79</v>
      </c>
      <c r="U84" s="57">
        <f>$AA83*U76/100</f>
        <v>17104.382471599958</v>
      </c>
      <c r="V84" s="57">
        <f>$AA83*V76/100</f>
        <v>102090.95649047449</v>
      </c>
      <c r="W84" s="57">
        <f>$AA83*W76/100</f>
        <v>38804.426563191722</v>
      </c>
      <c r="X84" s="57">
        <f>$AA83*X76/100</f>
        <v>17816.594474733825</v>
      </c>
      <c r="Z84" t="s">
        <v>36</v>
      </c>
      <c r="AA84" s="25">
        <f>SUM(T84:X84)</f>
        <v>178316.15</v>
      </c>
      <c r="AC84" t="s">
        <v>180</v>
      </c>
      <c r="AD84" s="51">
        <v>0.91964753097190699</v>
      </c>
      <c r="AE84" s="51">
        <v>0.911465104915263</v>
      </c>
      <c r="AH84" s="78"/>
      <c r="AI84" s="78"/>
      <c r="AJ84" t="s">
        <v>4</v>
      </c>
      <c r="AK84" s="13">
        <v>1</v>
      </c>
      <c r="AL84" s="5">
        <v>0</v>
      </c>
      <c r="AM84" s="27">
        <v>293</v>
      </c>
      <c r="AN84" s="1">
        <v>46</v>
      </c>
      <c r="AO84" s="1">
        <v>0</v>
      </c>
      <c r="AP84" s="6">
        <v>0</v>
      </c>
      <c r="AQ84" s="1">
        <f>SUM(AL84:AP84)</f>
        <v>339</v>
      </c>
      <c r="AR84" s="10">
        <f>AM84/AQ84</f>
        <v>0.86430678466076694</v>
      </c>
      <c r="AS84" s="11">
        <f>1-AR84</f>
        <v>0.13569321533923306</v>
      </c>
      <c r="AT84">
        <f>AQ84-AM88</f>
        <v>-390</v>
      </c>
      <c r="AW84" s="10">
        <f>2*(AM89*AR84)/(AM89+AR84)</f>
        <v>0.54868913857677903</v>
      </c>
      <c r="BF84" s="51">
        <v>0.90978171000631802</v>
      </c>
      <c r="BG84" s="1">
        <v>21</v>
      </c>
      <c r="BH84">
        <f t="shared" si="13"/>
        <v>-0.82130717520561125</v>
      </c>
      <c r="BI84">
        <f t="shared" si="14"/>
        <v>-8.2357085469244348E-2</v>
      </c>
      <c r="BJ84">
        <f t="shared" si="11"/>
        <v>-7.4926970049345606E-2</v>
      </c>
    </row>
    <row r="85" spans="1:62" x14ac:dyDescent="0.3">
      <c r="A85" t="s">
        <v>4</v>
      </c>
      <c r="B85" s="13">
        <v>1</v>
      </c>
      <c r="C85" s="33">
        <f t="shared" ref="C85:G88" si="16">(C74/$L85)*$O85</f>
        <v>0</v>
      </c>
      <c r="D85" s="34">
        <f t="shared" si="16"/>
        <v>5.0992578602584526</v>
      </c>
      <c r="E85" s="19">
        <f t="shared" si="16"/>
        <v>0.8615987419057386</v>
      </c>
      <c r="F85" s="18">
        <f t="shared" si="16"/>
        <v>0</v>
      </c>
      <c r="G85" s="20">
        <f t="shared" si="16"/>
        <v>0</v>
      </c>
      <c r="H85" s="17">
        <f>SUM(C85:G85)</f>
        <v>5.9608566021641911</v>
      </c>
      <c r="I85" s="17">
        <f>D85/H85*100</f>
        <v>85.545722713864308</v>
      </c>
      <c r="J85" s="17">
        <f>SQRT(I85*(100-I85)/(L85-1))</f>
        <v>1.9126653517482657</v>
      </c>
      <c r="K85" s="18">
        <f>100-I85</f>
        <v>14.454277286135692</v>
      </c>
      <c r="L85" s="1">
        <f>H74</f>
        <v>339</v>
      </c>
      <c r="M85">
        <v>1</v>
      </c>
      <c r="N85" s="1">
        <v>10629.17</v>
      </c>
      <c r="O85" s="17">
        <f>N85/N89*100</f>
        <v>5.9608566021641911</v>
      </c>
      <c r="P85" s="52">
        <f>((O85*O85*(I85/100)*(K85/100))/(L85-1))</f>
        <v>1.2998562594827311E-2</v>
      </c>
      <c r="R85" s="66"/>
      <c r="S85" s="66" t="s">
        <v>67</v>
      </c>
      <c r="T85" s="67">
        <f>$AA83*T77/100</f>
        <v>0</v>
      </c>
      <c r="U85" s="67">
        <f>$AA83*U77/100</f>
        <v>394.00904202382367</v>
      </c>
      <c r="V85" s="67">
        <f>$AA83*V77/100</f>
        <v>385.49138116233922</v>
      </c>
      <c r="W85" s="67">
        <f>$AA83*W77/100</f>
        <v>291.36555458135035</v>
      </c>
      <c r="X85" s="67">
        <f>$AA83*X77/100</f>
        <v>331.67094377964713</v>
      </c>
      <c r="AA85" s="1"/>
      <c r="AC85" t="s">
        <v>181</v>
      </c>
      <c r="AD85" s="51">
        <v>0.92531844355260795</v>
      </c>
      <c r="AE85" s="51">
        <v>0.91744833233055401</v>
      </c>
      <c r="AJ85" t="s">
        <v>5</v>
      </c>
      <c r="AK85" s="13">
        <v>2</v>
      </c>
      <c r="AL85" s="5">
        <v>0</v>
      </c>
      <c r="AM85" s="1">
        <v>328</v>
      </c>
      <c r="AN85" s="27">
        <v>6911</v>
      </c>
      <c r="AO85" s="1">
        <v>101</v>
      </c>
      <c r="AP85" s="6">
        <v>59</v>
      </c>
      <c r="AQ85" s="1">
        <f>SUM(AL85:AP85)</f>
        <v>7399</v>
      </c>
      <c r="AR85" s="10">
        <f>AN85/AQ85</f>
        <v>0.93404514123530202</v>
      </c>
      <c r="AS85" s="11">
        <f>1-AR85</f>
        <v>6.5954858764697977E-2</v>
      </c>
      <c r="AT85">
        <f>AQ85-AN88</f>
        <v>403</v>
      </c>
      <c r="AW85" s="10">
        <f>2*(AN89*AR85)/(AN89+AR85)</f>
        <v>0.96019451198332761</v>
      </c>
      <c r="BF85" s="51">
        <v>0.90981904185203699</v>
      </c>
      <c r="BG85" s="1">
        <v>22</v>
      </c>
      <c r="BH85">
        <f t="shared" si="13"/>
        <v>-0.78676158292306686</v>
      </c>
      <c r="BI85">
        <f t="shared" si="14"/>
        <v>-7.889300481575813E-2</v>
      </c>
      <c r="BJ85">
        <f t="shared" si="11"/>
        <v>-7.1778358050301208E-2</v>
      </c>
    </row>
    <row r="86" spans="1:62" x14ac:dyDescent="0.3">
      <c r="A86" t="s">
        <v>5</v>
      </c>
      <c r="B86" s="13">
        <v>2</v>
      </c>
      <c r="C86" s="33">
        <f t="shared" si="16"/>
        <v>0</v>
      </c>
      <c r="D86" s="19">
        <f t="shared" si="16"/>
        <v>2.2312953493876182</v>
      </c>
      <c r="E86" s="34">
        <f t="shared" si="16"/>
        <v>56.678159239919054</v>
      </c>
      <c r="F86" s="19">
        <f t="shared" si="16"/>
        <v>0.87134526417691649</v>
      </c>
      <c r="G86" s="20">
        <f t="shared" si="16"/>
        <v>0.47231799366599214</v>
      </c>
      <c r="H86" s="17">
        <f>SUM(C86:G86)</f>
        <v>60.253117847149575</v>
      </c>
      <c r="I86" s="17">
        <f>E86/H86*100</f>
        <v>94.066765779159354</v>
      </c>
      <c r="J86" s="17">
        <f>SQRT(I86*(100-I86)/(L86-1))</f>
        <v>0.27466712970257734</v>
      </c>
      <c r="K86" s="18">
        <f>100-I86</f>
        <v>5.9332342208406459</v>
      </c>
      <c r="L86" s="1">
        <f>H75</f>
        <v>7399</v>
      </c>
      <c r="M86">
        <v>2</v>
      </c>
      <c r="N86" s="1">
        <v>107441.04</v>
      </c>
      <c r="O86" s="17">
        <f>N86/N89*100</f>
        <v>60.253117847149582</v>
      </c>
      <c r="P86" s="52">
        <f>((O86*O86*(I86/100)*(K86/100))/(L86-1))</f>
        <v>2.7388763614048496E-2</v>
      </c>
      <c r="R86" t="s">
        <v>100</v>
      </c>
      <c r="S86" s="70" t="s">
        <v>28</v>
      </c>
      <c r="T86" s="64">
        <f>C234</f>
        <v>1.4369758431863857</v>
      </c>
      <c r="U86" s="64">
        <f t="shared" ref="U86:X89" si="17">D234</f>
        <v>9.6324820533507847</v>
      </c>
      <c r="V86" s="64">
        <f t="shared" si="17"/>
        <v>56.728015032856547</v>
      </c>
      <c r="W86" s="64">
        <f t="shared" si="17"/>
        <v>21.989855125739542</v>
      </c>
      <c r="X86" s="64">
        <f t="shared" si="17"/>
        <v>10.212671944866736</v>
      </c>
      <c r="AA86" s="12"/>
      <c r="AC86" t="s">
        <v>182</v>
      </c>
      <c r="AD86" s="51">
        <v>0.916593962659221</v>
      </c>
      <c r="AE86" s="51">
        <v>0.90884637247989297</v>
      </c>
      <c r="AH86" s="78"/>
      <c r="AI86" s="78"/>
      <c r="AJ86" t="s">
        <v>6</v>
      </c>
      <c r="AK86" s="13">
        <v>3</v>
      </c>
      <c r="AL86" s="5">
        <v>0</v>
      </c>
      <c r="AM86" s="1">
        <v>0</v>
      </c>
      <c r="AN86" s="1">
        <v>18</v>
      </c>
      <c r="AO86" s="27">
        <v>2418</v>
      </c>
      <c r="AP86" s="6">
        <v>84</v>
      </c>
      <c r="AQ86" s="1">
        <f>SUM(AL86:AP86)</f>
        <v>2520</v>
      </c>
      <c r="AR86" s="10">
        <f>AO86/AQ86</f>
        <v>0.95952380952380956</v>
      </c>
      <c r="AS86" s="11">
        <f>1-AR86</f>
        <v>4.0476190476190443E-2</v>
      </c>
      <c r="AT86">
        <f>AQ86-AO88</f>
        <v>-84</v>
      </c>
      <c r="AW86" s="10">
        <f>2*(AO89*AR86)/(AO89+AR86)</f>
        <v>0.94379391100702581</v>
      </c>
      <c r="BF86" s="51">
        <v>0.90987718026283404</v>
      </c>
      <c r="BG86" s="1">
        <v>23</v>
      </c>
      <c r="BH86">
        <f t="shared" si="13"/>
        <v>-0.75313037838845598</v>
      </c>
      <c r="BI86">
        <f t="shared" si="14"/>
        <v>-7.5520614959798102E-2</v>
      </c>
      <c r="BJ86">
        <f t="shared" si="11"/>
        <v>-6.87144841913363E-2</v>
      </c>
    </row>
    <row r="87" spans="1:62" x14ac:dyDescent="0.3">
      <c r="A87" t="s">
        <v>6</v>
      </c>
      <c r="B87" s="13">
        <v>3</v>
      </c>
      <c r="C87" s="33">
        <f t="shared" si="16"/>
        <v>0</v>
      </c>
      <c r="D87" s="19">
        <f t="shared" si="16"/>
        <v>0</v>
      </c>
      <c r="E87" s="19">
        <f t="shared" si="16"/>
        <v>0.17389904578656132</v>
      </c>
      <c r="F87" s="34">
        <f t="shared" si="16"/>
        <v>19.832772126610209</v>
      </c>
      <c r="G87" s="20">
        <f t="shared" si="16"/>
        <v>0.86121432199058945</v>
      </c>
      <c r="H87" s="17">
        <f>SUM(C87:G87)</f>
        <v>20.867885494387362</v>
      </c>
      <c r="I87" s="17">
        <f>F87/H87*100</f>
        <v>95.039682539682531</v>
      </c>
      <c r="J87" s="17">
        <f>SQRT(I87*(100-I87)/(L87-1))</f>
        <v>0.43260659994439427</v>
      </c>
      <c r="K87" s="18">
        <f>100-I87</f>
        <v>4.9603174603174693</v>
      </c>
      <c r="L87" s="1">
        <f>H76</f>
        <v>2520</v>
      </c>
      <c r="M87">
        <v>3</v>
      </c>
      <c r="N87" s="1">
        <v>37210.81</v>
      </c>
      <c r="O87" s="17">
        <f>N87/N89*100</f>
        <v>20.867885494387359</v>
      </c>
      <c r="P87" s="52">
        <f>((O87*O87*(I87/100)*(K87/100))/(L87-1))</f>
        <v>8.149729078337567E-3</v>
      </c>
      <c r="S87" s="66" t="s">
        <v>39</v>
      </c>
      <c r="T87" s="67">
        <f>C235</f>
        <v>0</v>
      </c>
      <c r="U87" s="67">
        <f t="shared" si="17"/>
        <v>0.2174088628112498</v>
      </c>
      <c r="V87" s="67">
        <f t="shared" si="17"/>
        <v>0.22646229534515422</v>
      </c>
      <c r="W87" s="67">
        <f t="shared" si="17"/>
        <v>0.16335294875712897</v>
      </c>
      <c r="X87" s="67">
        <f t="shared" si="17"/>
        <v>0.18925292350339198</v>
      </c>
      <c r="AC87" t="s">
        <v>183</v>
      </c>
      <c r="AD87" s="51">
        <v>0.91956028616297303</v>
      </c>
      <c r="AE87" s="51">
        <v>0.91289365211461304</v>
      </c>
      <c r="AJ87" t="s">
        <v>7</v>
      </c>
      <c r="AK87" s="13">
        <v>4</v>
      </c>
      <c r="AL87" s="7">
        <v>0</v>
      </c>
      <c r="AM87" s="8">
        <v>108</v>
      </c>
      <c r="AN87" s="8">
        <v>21</v>
      </c>
      <c r="AO87" s="8">
        <v>85</v>
      </c>
      <c r="AP87" s="28">
        <v>731</v>
      </c>
      <c r="AQ87" s="1">
        <f>SUM(AL87:AP87)</f>
        <v>945</v>
      </c>
      <c r="AR87" s="10">
        <f>AP87/AQ87</f>
        <v>0.77354497354497354</v>
      </c>
      <c r="AS87" s="11">
        <f>1-AR87</f>
        <v>0.22645502645502646</v>
      </c>
      <c r="AT87">
        <f>AQ87-AP88</f>
        <v>71</v>
      </c>
      <c r="AW87" s="10">
        <f>2*(AP89*AR87)/(AP89+AR87)</f>
        <v>0.80373831775700944</v>
      </c>
      <c r="BF87" s="51">
        <v>0.91014826869384435</v>
      </c>
      <c r="BG87" s="1">
        <v>24</v>
      </c>
      <c r="BH87">
        <f t="shared" si="13"/>
        <v>-0.72033023085752279</v>
      </c>
      <c r="BI87">
        <f t="shared" si="14"/>
        <v>-7.2231559859393529E-2</v>
      </c>
      <c r="BJ87">
        <f t="shared" si="11"/>
        <v>-6.5741429151082803E-2</v>
      </c>
    </row>
    <row r="88" spans="1:62" ht="15.6" x14ac:dyDescent="0.35">
      <c r="A88" t="s">
        <v>7</v>
      </c>
      <c r="B88" s="13">
        <v>4</v>
      </c>
      <c r="C88" s="35">
        <f t="shared" si="16"/>
        <v>0</v>
      </c>
      <c r="D88" s="36">
        <f t="shared" si="16"/>
        <v>1.3253477960471693</v>
      </c>
      <c r="E88" s="21">
        <f t="shared" si="16"/>
        <v>0.25534223593569316</v>
      </c>
      <c r="F88" s="21">
        <f t="shared" si="16"/>
        <v>1.0578464060193005</v>
      </c>
      <c r="G88" s="37">
        <f t="shared" si="16"/>
        <v>8.8518641791040302</v>
      </c>
      <c r="H88" s="17">
        <f>SUM(C88:G88)</f>
        <v>11.490400617106193</v>
      </c>
      <c r="I88" s="17">
        <f>G88/H88*100</f>
        <v>77.037037037037038</v>
      </c>
      <c r="J88" s="17">
        <f>SQRT(I88*(100-I88)/(L88-1))</f>
        <v>1.3689189986443526</v>
      </c>
      <c r="K88" s="18">
        <f>100-I88</f>
        <v>22.962962962962962</v>
      </c>
      <c r="L88" s="1">
        <f>H77</f>
        <v>945</v>
      </c>
      <c r="M88">
        <v>4</v>
      </c>
      <c r="N88" s="1">
        <v>20489.240000000002</v>
      </c>
      <c r="O88" s="17">
        <f>N88/N89*100</f>
        <v>11.490400617106193</v>
      </c>
      <c r="P88" s="52">
        <f>((O88*O88*(I88/100)*(K88/100))/(L88-1))</f>
        <v>2.4741489598317887E-2</v>
      </c>
      <c r="S88" t="s">
        <v>30</v>
      </c>
      <c r="T88" s="57">
        <f>C236</f>
        <v>100</v>
      </c>
      <c r="U88" s="57">
        <f t="shared" si="17"/>
        <v>57.769190687265734</v>
      </c>
      <c r="V88" s="57">
        <f t="shared" si="17"/>
        <v>97.610322642131251</v>
      </c>
      <c r="W88" s="57">
        <f t="shared" si="17"/>
        <v>91.044662172418569</v>
      </c>
      <c r="X88" s="57">
        <f t="shared" si="17"/>
        <v>87.038932317994195</v>
      </c>
      <c r="AC88" t="s">
        <v>184</v>
      </c>
      <c r="AD88" s="51">
        <v>0.921915896004187</v>
      </c>
      <c r="AE88" s="51">
        <v>0.91445298715046996</v>
      </c>
      <c r="AH88" s="78"/>
      <c r="AI88" s="78"/>
      <c r="AK88" s="1" t="s">
        <v>19</v>
      </c>
      <c r="AL88" s="1">
        <f>SUM(AL83:AL87)</f>
        <v>259</v>
      </c>
      <c r="AM88" s="1">
        <f>SUM(AM83:AM87)</f>
        <v>729</v>
      </c>
      <c r="AN88" s="1">
        <f>SUM(AN83:AN87)</f>
        <v>6996</v>
      </c>
      <c r="AO88" s="1">
        <f>SUM(AO83:AO87)</f>
        <v>2604</v>
      </c>
      <c r="AP88" s="1">
        <f>SUM(AP83:AP87)</f>
        <v>874</v>
      </c>
      <c r="AQ88" s="1">
        <f>SUM(AQ82:AQ87)</f>
        <v>11462</v>
      </c>
      <c r="AR88" s="13" t="s">
        <v>12</v>
      </c>
      <c r="BF88" s="51">
        <v>0.91021907968706095</v>
      </c>
      <c r="BG88" s="1">
        <v>25</v>
      </c>
      <c r="BH88">
        <f t="shared" si="13"/>
        <v>-0.68828739090267188</v>
      </c>
      <c r="BI88">
        <f t="shared" si="14"/>
        <v>-6.9018444245033631E-2</v>
      </c>
      <c r="BJ88">
        <f t="shared" si="11"/>
        <v>-6.2821904802147235E-2</v>
      </c>
    </row>
    <row r="89" spans="1:62" x14ac:dyDescent="0.3">
      <c r="B89" t="s">
        <v>28</v>
      </c>
      <c r="C89" s="17">
        <f>SUM(C84:C88)</f>
        <v>1.4277394391926925</v>
      </c>
      <c r="D89" s="17">
        <f>SUM(D84:D88)</f>
        <v>8.6559010056932415</v>
      </c>
      <c r="E89" s="17">
        <f>SUM(E84:E88)</f>
        <v>57.968999263547047</v>
      </c>
      <c r="F89" s="17">
        <f>SUM(F84:F88)</f>
        <v>21.761963796806427</v>
      </c>
      <c r="G89" s="17">
        <f>SUM(G84:G88)</f>
        <v>10.185396494760612</v>
      </c>
      <c r="H89" s="1">
        <f>SUM(H83:H88)</f>
        <v>100.00000000000001</v>
      </c>
      <c r="I89" s="13" t="s">
        <v>24</v>
      </c>
      <c r="J89" s="12" t="s">
        <v>29</v>
      </c>
      <c r="N89" s="1">
        <f>SUM(N84:N88)</f>
        <v>178316.14999999997</v>
      </c>
      <c r="O89" s="17">
        <f>SUM(O84:O88)</f>
        <v>100.00000000000003</v>
      </c>
      <c r="S89" s="66" t="s">
        <v>39</v>
      </c>
      <c r="T89" s="67">
        <f>C237</f>
        <v>0</v>
      </c>
      <c r="U89" s="67">
        <f t="shared" si="17"/>
        <v>4.9818016135513146</v>
      </c>
      <c r="V89" s="67">
        <f t="shared" si="17"/>
        <v>0.24841023049168512</v>
      </c>
      <c r="W89" s="67">
        <f t="shared" si="17"/>
        <v>0.67340394071303911</v>
      </c>
      <c r="X89" s="67">
        <f t="shared" si="17"/>
        <v>2.199200806452255</v>
      </c>
      <c r="AC89" t="s">
        <v>185</v>
      </c>
      <c r="AD89" s="51">
        <v>0.91650671785028703</v>
      </c>
      <c r="AE89" s="51">
        <v>0.90932398846198204</v>
      </c>
      <c r="AJ89" s="1" t="s">
        <v>321</v>
      </c>
      <c r="AK89" s="1" t="s">
        <v>2</v>
      </c>
      <c r="AL89" s="10">
        <f>AL83/AL88</f>
        <v>1</v>
      </c>
      <c r="AM89" s="10">
        <f>AM84/AM88</f>
        <v>0.40192043895747598</v>
      </c>
      <c r="AN89" s="10">
        <f>AN85/AN88</f>
        <v>0.9878502001143511</v>
      </c>
      <c r="AO89" s="10">
        <f>AO86/AO88</f>
        <v>0.9285714285714286</v>
      </c>
      <c r="AP89" s="10">
        <f>AP87/AP88</f>
        <v>0.83638443935926776</v>
      </c>
      <c r="AQ89" s="10"/>
      <c r="AR89" s="14">
        <f>(AL83+AM84+AN85+AO86+AP87)/AQ88</f>
        <v>0.92584191240621183</v>
      </c>
      <c r="BF89" s="51">
        <v>0.91040067162602301</v>
      </c>
      <c r="BG89" s="1">
        <v>26</v>
      </c>
      <c r="BH89">
        <f t="shared" si="13"/>
        <v>-0.65693619279658544</v>
      </c>
      <c r="BI89">
        <f t="shared" si="14"/>
        <v>-6.5874683445257612E-2</v>
      </c>
      <c r="BJ89">
        <f t="shared" si="11"/>
        <v>-5.9972356051714186E-2</v>
      </c>
    </row>
    <row r="90" spans="1:62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0</v>
      </c>
      <c r="D90" s="18">
        <f>SQRT(SUM((O84*O84*(D84/O84)*(1-D84/O84))/L84,(O85*O85*(D85/O85)*(1-D85/O85))/L85,(O86*O86*(D86/O86)*(1-D86/O86))/L86,(O87*O87*(D87/O87)*(1-D87/O87))/L87,(O88*O88*(D88/O88)*(1-D88/O88))/L88))</f>
        <v>0.21145690546316939</v>
      </c>
      <c r="E90" s="18">
        <f>SQRT(SUM((O84*O84*(E84/O84)*(1-E84/O84))/L84,(O85*O85*(E85/O85)*(1-E85/O85))/L85,(O86*O86*(E86/O86)*(1-E86/O86))/L86,(O87*O87*(E87/O87)*(1-E87/O87))/L87,(O88*O88*(E88/O88)*(1-E88/O88))/L88))</f>
        <v>0.211681537682014</v>
      </c>
      <c r="F90" s="18">
        <f>SQRT(SUM((O84*O84*(F84/O84)*(1-F84/O84))/L84,(O85*O85*(F85/O85)*(1-F85/O85))/L85,(O86*O86*(F86/O86)*(1-F86/O86))/L86,(O87*O87*(F87/O87)*(1-F87/O87))/L87,(O88*O88*(F88/O88)*(1-F88/O88))/L88))</f>
        <v>0.16376188498980218</v>
      </c>
      <c r="G90" s="18">
        <f>SQRT(SUM((O84*O84*(G84/O84)*(1-G84/O84))/L84,(O85*O85*(G85/O85)*(1-G85/O85))/L85,(O86*O86*(G86/O86)*(1-G86/O86))/L86,(O87*O87*(G87/O87)*(1-G87/O87))/L87,(O88*O88*(G88/O88)*(1-G88/O88))/L88))</f>
        <v>0.18806581966705099</v>
      </c>
      <c r="H90" s="1"/>
      <c r="I90" s="14">
        <f>(C84+D85+E86+F87+G88)/H89</f>
        <v>0.91889792845084428</v>
      </c>
      <c r="J90" s="53">
        <f>SQRT(SUM(P84:P88))/100</f>
        <v>2.7070010137702433E-3</v>
      </c>
      <c r="M90" s="1"/>
      <c r="N90" s="9"/>
      <c r="S90" t="s">
        <v>31</v>
      </c>
      <c r="T90" s="57">
        <f>I229</f>
        <v>100</v>
      </c>
      <c r="U90" s="57">
        <f>I230</f>
        <v>88.200589970501468</v>
      </c>
      <c r="V90" s="57">
        <f>I231</f>
        <v>92.742262467901071</v>
      </c>
      <c r="W90" s="57">
        <f>I232</f>
        <v>95.436507936507937</v>
      </c>
      <c r="X90" s="57">
        <f>I233</f>
        <v>76.825396825396822</v>
      </c>
      <c r="AC90" t="s">
        <v>186</v>
      </c>
      <c r="AD90" s="51">
        <v>0.91484906648054398</v>
      </c>
      <c r="AE90" s="51">
        <v>0.90778819267090705</v>
      </c>
      <c r="AH90" s="78"/>
      <c r="AI90" s="78"/>
      <c r="AK90" s="1" t="s">
        <v>14</v>
      </c>
      <c r="AL90" s="11">
        <f>1-AL89</f>
        <v>0</v>
      </c>
      <c r="AM90" s="11">
        <f>1-AM89</f>
        <v>0.59807956104252402</v>
      </c>
      <c r="AN90" s="11">
        <f>1-AN89</f>
        <v>1.2149799885648904E-2</v>
      </c>
      <c r="AO90" s="11">
        <f>1-AO89</f>
        <v>7.1428571428571397E-2</v>
      </c>
      <c r="AP90" s="11">
        <f>1-AP89</f>
        <v>0.16361556064073224</v>
      </c>
      <c r="BF90" s="51">
        <v>0.91064093921788614</v>
      </c>
      <c r="BG90" s="1">
        <v>27</v>
      </c>
      <c r="BH90">
        <f t="shared" si="13"/>
        <v>-0.62621783615158122</v>
      </c>
      <c r="BI90">
        <f t="shared" si="14"/>
        <v>-6.2794381214787018E-2</v>
      </c>
      <c r="BJ90">
        <f t="shared" si="11"/>
        <v>-5.7183134287039639E-2</v>
      </c>
    </row>
    <row r="91" spans="1:62" x14ac:dyDescent="0.3">
      <c r="B91" s="1" t="s">
        <v>30</v>
      </c>
      <c r="C91" s="17">
        <f>C84/C89*100</f>
        <v>100</v>
      </c>
      <c r="D91" s="17">
        <f>D85/D89*100</f>
        <v>58.910769160882502</v>
      </c>
      <c r="E91" s="17">
        <f>E86/E89*100</f>
        <v>97.773223550471528</v>
      </c>
      <c r="F91" s="17">
        <f>F87/F89*100</f>
        <v>91.135029502809275</v>
      </c>
      <c r="G91" s="17">
        <f>G88/G89*100</f>
        <v>86.90740889328606</v>
      </c>
      <c r="H91" s="1"/>
      <c r="S91" s="66" t="s">
        <v>39</v>
      </c>
      <c r="T91" s="67">
        <f>J229</f>
        <v>0</v>
      </c>
      <c r="U91" s="67">
        <f>J230</f>
        <v>1.7547188499370283</v>
      </c>
      <c r="V91" s="67">
        <f>J231</f>
        <v>0.30163539986751903</v>
      </c>
      <c r="W91" s="67">
        <f>J232</f>
        <v>0.41580703802179714</v>
      </c>
      <c r="X91" s="67">
        <f>J233</f>
        <v>1.3733225843625847</v>
      </c>
      <c r="AC91" t="s">
        <v>187</v>
      </c>
      <c r="AD91" s="51">
        <v>0.919124062118304</v>
      </c>
      <c r="AE91" s="51">
        <v>0.91240905573185005</v>
      </c>
      <c r="AL91" s="2"/>
      <c r="BF91" s="51">
        <v>0.91068399678116796</v>
      </c>
      <c r="BG91" s="1">
        <v>28</v>
      </c>
      <c r="BH91">
        <f t="shared" si="13"/>
        <v>-0.59607938602766308</v>
      </c>
      <c r="BI91">
        <f t="shared" si="14"/>
        <v>-5.9772229469741457E-2</v>
      </c>
      <c r="BJ91">
        <f t="shared" si="11"/>
        <v>-5.4433612830025263E-2</v>
      </c>
    </row>
    <row r="92" spans="1:62" ht="15.6" x14ac:dyDescent="0.35">
      <c r="B92" s="16" t="s">
        <v>39</v>
      </c>
      <c r="C92" s="18">
        <f>SQRT((C95+C96)/(C89*C89))</f>
        <v>0</v>
      </c>
      <c r="D92" s="18">
        <f>SQRT((D95+D96)/(D89*D89))</f>
        <v>5.5463621470384856</v>
      </c>
      <c r="E92" s="18">
        <f>SQRT((E95+E96)/(E89*E89))</f>
        <v>0.23179450461122081</v>
      </c>
      <c r="F92" s="18">
        <f>SQRT((F95+F96)/(F89*F89))</f>
        <v>0.6803883479402566</v>
      </c>
      <c r="G92" s="18">
        <f>SQRT((G95+G96)/(G89*G89))</f>
        <v>2.2054364176538117</v>
      </c>
      <c r="H92" s="1"/>
      <c r="S92" s="66" t="s">
        <v>56</v>
      </c>
      <c r="T92" s="67">
        <f>N218*100</f>
        <v>100</v>
      </c>
      <c r="U92" s="67">
        <f>N219*100</f>
        <v>54.6617915904936</v>
      </c>
      <c r="V92" s="67">
        <f>N220*100</f>
        <v>95.591000905481664</v>
      </c>
      <c r="W92" s="67">
        <f>N221*100</f>
        <v>93.89029865313293</v>
      </c>
      <c r="X92" s="67">
        <f>N222*100</f>
        <v>79.257641921397394</v>
      </c>
      <c r="AC92" t="s">
        <v>188</v>
      </c>
      <c r="AD92" s="51">
        <v>0.92017099982550998</v>
      </c>
      <c r="AE92" s="51">
        <v>0.91328844139678</v>
      </c>
      <c r="AH92" s="78"/>
      <c r="AI92" s="78"/>
      <c r="AJ92" t="s">
        <v>322</v>
      </c>
      <c r="AK92" s="15" t="s">
        <v>23</v>
      </c>
      <c r="AW92" s="12" t="s">
        <v>17</v>
      </c>
      <c r="AX92" s="1" t="s">
        <v>27</v>
      </c>
      <c r="AY92" s="1" t="s">
        <v>33</v>
      </c>
      <c r="BF92" s="51">
        <v>0.91091591568415198</v>
      </c>
      <c r="BG92" s="1">
        <v>29</v>
      </c>
      <c r="BH92">
        <f t="shared" si="13"/>
        <v>-0.56647294563250528</v>
      </c>
      <c r="BI92">
        <f t="shared" si="14"/>
        <v>-5.6803425329617289E-2</v>
      </c>
      <c r="BJ92">
        <f t="shared" si="11"/>
        <v>-5.1743144198124688E-2</v>
      </c>
    </row>
    <row r="93" spans="1:62" ht="15.6" x14ac:dyDescent="0.35">
      <c r="B93" s="1" t="s">
        <v>37</v>
      </c>
      <c r="C93" s="18">
        <f>100-C91</f>
        <v>0</v>
      </c>
      <c r="D93" s="18">
        <f>100-D91</f>
        <v>41.089230839117498</v>
      </c>
      <c r="E93" s="18">
        <f>100-E91</f>
        <v>2.2267764495284723</v>
      </c>
      <c r="F93" s="18">
        <f>100-F91</f>
        <v>8.8649704971907255</v>
      </c>
      <c r="G93" s="18">
        <f>100-G91</f>
        <v>13.09259110671394</v>
      </c>
      <c r="R93" s="16" t="s">
        <v>66</v>
      </c>
      <c r="S93" t="s">
        <v>9</v>
      </c>
      <c r="T93" s="30">
        <f>N229</f>
        <v>2562.36</v>
      </c>
      <c r="U93" s="30">
        <f>N230</f>
        <v>11250.03</v>
      </c>
      <c r="V93" s="30">
        <f>N231</f>
        <v>106464.87</v>
      </c>
      <c r="W93" s="30">
        <f>N232</f>
        <v>37407.01</v>
      </c>
      <c r="X93" s="30">
        <f>N233</f>
        <v>20631.88</v>
      </c>
      <c r="Z93" t="s">
        <v>36</v>
      </c>
      <c r="AA93" s="1">
        <f>N234</f>
        <v>178316.15</v>
      </c>
      <c r="AC93" t="s">
        <v>189</v>
      </c>
      <c r="AD93" s="51">
        <v>0.92462048508113703</v>
      </c>
      <c r="AE93" s="51">
        <v>0.91757212887966499</v>
      </c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  <c r="BF93" s="51">
        <v>0.91123082673608802</v>
      </c>
      <c r="BG93" s="1">
        <v>30</v>
      </c>
      <c r="BH93">
        <f t="shared" si="13"/>
        <v>-0.53735496659792503</v>
      </c>
      <c r="BI93">
        <f t="shared" si="14"/>
        <v>-5.3883601954833986E-2</v>
      </c>
      <c r="BJ93">
        <f t="shared" si="11"/>
        <v>-4.9100399156821663E-2</v>
      </c>
    </row>
    <row r="94" spans="1:62" ht="15.6" x14ac:dyDescent="0.35">
      <c r="B94" s="1" t="s">
        <v>25</v>
      </c>
      <c r="C94" s="1">
        <f>C78</f>
        <v>259</v>
      </c>
      <c r="D94" s="1">
        <f>D78</f>
        <v>673</v>
      </c>
      <c r="E94" s="1">
        <f>E78</f>
        <v>7051</v>
      </c>
      <c r="F94" s="1">
        <f>F78</f>
        <v>2589</v>
      </c>
      <c r="G94" s="1">
        <f>G78</f>
        <v>890</v>
      </c>
      <c r="R94" s="16" t="s">
        <v>323</v>
      </c>
      <c r="S94" t="s">
        <v>68</v>
      </c>
      <c r="T94" s="57">
        <f>$AA93*T86/100</f>
        <v>2562.36</v>
      </c>
      <c r="U94" s="57">
        <f>$AA93*U86/100</f>
        <v>17176.271146976065</v>
      </c>
      <c r="V94" s="57">
        <f>$AA93*V86/100</f>
        <v>101155.21237801103</v>
      </c>
      <c r="W94" s="57">
        <f>$AA93*W86/100</f>
        <v>39211.46305079641</v>
      </c>
      <c r="X94" s="57">
        <f>$AA93*X86/100</f>
        <v>18210.843424216484</v>
      </c>
      <c r="Z94" t="s">
        <v>36</v>
      </c>
      <c r="AA94" s="25">
        <f>SUM(T94:X94)</f>
        <v>178316.15</v>
      </c>
      <c r="AC94" t="s">
        <v>190</v>
      </c>
      <c r="AD94" s="51">
        <v>0.92313732332926102</v>
      </c>
      <c r="AE94" s="51">
        <v>0.91572462638685204</v>
      </c>
      <c r="AH94" s="78"/>
      <c r="AI94" s="78"/>
      <c r="AJ94" t="s">
        <v>3</v>
      </c>
      <c r="AK94" s="13">
        <v>0</v>
      </c>
      <c r="AL94" s="29">
        <f>(AL83/$AU94)*$AX94</f>
        <v>1.4251597513741745</v>
      </c>
      <c r="AM94" s="31">
        <f t="shared" ref="AM94:AO95" si="18">(AM83/$AU94)*$AX94</f>
        <v>0</v>
      </c>
      <c r="AN94" s="31">
        <f t="shared" si="18"/>
        <v>0</v>
      </c>
      <c r="AO94" s="31">
        <f t="shared" si="18"/>
        <v>0</v>
      </c>
      <c r="AP94" s="32">
        <f>(AP83/$AU94)*$AX94</f>
        <v>0</v>
      </c>
      <c r="AQ94" s="17">
        <f>SUM(AL94:AP94)</f>
        <v>1.4251597513741745</v>
      </c>
      <c r="AR94" s="17">
        <f>AL94/AQ94*100</f>
        <v>100</v>
      </c>
      <c r="AS94" s="17">
        <f>SQRT(AR94*(100-AR94)/(AU94-1))</f>
        <v>0</v>
      </c>
      <c r="AT94" s="18">
        <f>100-AR94</f>
        <v>0</v>
      </c>
      <c r="AU94" s="1">
        <f>AQ83</f>
        <v>259</v>
      </c>
      <c r="AV94">
        <v>0</v>
      </c>
      <c r="AW94" s="1">
        <v>2541.29</v>
      </c>
      <c r="AX94" s="17">
        <f>AW94/AW99*100</f>
        <v>1.4251597513741745</v>
      </c>
      <c r="AY94" s="52">
        <f>((AX94*AX94*(AR94/100)*(AT94/100))/(AU94-1))</f>
        <v>0</v>
      </c>
      <c r="BF94" s="51">
        <v>0.91125707775230591</v>
      </c>
      <c r="BG94" s="1">
        <v>31</v>
      </c>
      <c r="BH94">
        <f t="shared" si="13"/>
        <v>-0.50868566982760044</v>
      </c>
      <c r="BI94">
        <f t="shared" si="14"/>
        <v>-5.1008770471880419E-2</v>
      </c>
      <c r="BJ94">
        <f t="shared" si="11"/>
        <v>-4.6482103119943857E-2</v>
      </c>
    </row>
    <row r="95" spans="1:62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2194.5796775422264</v>
      </c>
      <c r="E95" s="18">
        <f>(O86*O86*(100-E91)*(100-E91)*(I86)*(100-I86))/((L86-1)*100)</f>
        <v>13.580809796464145</v>
      </c>
      <c r="F95" s="18">
        <f>(O87*O87*(100-F91)*(100-F91)*(I87)*(100-I87))/((L87-1)*100)</f>
        <v>64.046847950505523</v>
      </c>
      <c r="G95" s="18">
        <f>(O88*O88*(100-G91)*(100-G91)*(I88)*(100-I88))/((L88-1)*100)</f>
        <v>424.10857431980412</v>
      </c>
      <c r="R95" s="66"/>
      <c r="S95" s="66" t="s">
        <v>67</v>
      </c>
      <c r="T95" s="67">
        <f>$AA93*T87/100</f>
        <v>0</v>
      </c>
      <c r="U95" s="67">
        <f>$AA93*U87/100</f>
        <v>387.67511392380243</v>
      </c>
      <c r="V95" s="67">
        <f>$AA93*V87/100</f>
        <v>403.81884626110821</v>
      </c>
      <c r="W95" s="67">
        <f>$AA93*W87/100</f>
        <v>291.2846891351852</v>
      </c>
      <c r="X95" s="67">
        <f>$AA93*X87/100</f>
        <v>337.46852695369375</v>
      </c>
      <c r="AA95" s="1"/>
      <c r="AC95" t="s">
        <v>191</v>
      </c>
      <c r="AD95" s="51">
        <v>0.92051997906124505</v>
      </c>
      <c r="AE95" s="51">
        <v>0.91252683318462902</v>
      </c>
      <c r="AJ95" t="s">
        <v>4</v>
      </c>
      <c r="AK95" s="13">
        <v>1</v>
      </c>
      <c r="AL95" s="33">
        <f t="shared" ref="AL95:AO98" si="19">(AL84/$AU95)*$AX95</f>
        <v>0</v>
      </c>
      <c r="AM95" s="34">
        <f>(AM84/$AU95)*$AX95</f>
        <v>5.3299487511532178</v>
      </c>
      <c r="AN95" s="19">
        <f t="shared" si="18"/>
        <v>0.83678376297968604</v>
      </c>
      <c r="AO95" s="18">
        <f t="shared" si="18"/>
        <v>0</v>
      </c>
      <c r="AP95" s="20">
        <f>(AP84/$AU95)*$AX95</f>
        <v>0</v>
      </c>
      <c r="AQ95" s="17">
        <f>SUM(AL95:AP95)</f>
        <v>6.1667325141329039</v>
      </c>
      <c r="AR95" s="17">
        <f>AM95/AQ95*100</f>
        <v>86.430678466076699</v>
      </c>
      <c r="AS95" s="17">
        <f>SQRT(AR95*(100-AR95)/(AU95-1))</f>
        <v>1.8627504529603398</v>
      </c>
      <c r="AT95" s="18">
        <f>100-AR95</f>
        <v>13.569321533923301</v>
      </c>
      <c r="AU95" s="1">
        <f>AQ84</f>
        <v>339</v>
      </c>
      <c r="AV95">
        <v>1</v>
      </c>
      <c r="AW95" s="1">
        <v>10996.28</v>
      </c>
      <c r="AX95" s="17">
        <f>AW95/AW99*100</f>
        <v>6.1667325141329039</v>
      </c>
      <c r="AY95" s="52">
        <f>((AX95*AX95*(AR95/100)*(AT95/100))/(AU95-1))</f>
        <v>1.3195309386032155E-2</v>
      </c>
      <c r="BF95" s="51">
        <v>0.91126477085526203</v>
      </c>
      <c r="BG95" s="1">
        <v>32</v>
      </c>
      <c r="BH95">
        <f t="shared" si="13"/>
        <v>-0.48042855588587818</v>
      </c>
      <c r="BI95">
        <f t="shared" si="14"/>
        <v>-4.817527087724946E-2</v>
      </c>
      <c r="BJ95">
        <f t="shared" si="11"/>
        <v>-4.3900427176846904E-2</v>
      </c>
    </row>
    <row r="96" spans="1:62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110.261521127902</v>
      </c>
      <c r="E96" s="18">
        <f>E91*E91*(SUM((H84*E84*(1-E73/H73))/(H73-1),(H85*E85*(1-E74/H74))/(H74-1), (H87*E87*(1-E76/H76))/(H76-1),(H88*E88*(1-E77/H77))/(H77-1)))</f>
        <v>166.96934999736516</v>
      </c>
      <c r="F96" s="18">
        <f>F91*F91*(SUM((H84*F84*(1-F73/H73))/(H73-1),(H85*F85*(1-F74/H74))/(H74-1), (H86*F86*(1-F75/H75))/(H75-1),(H88*F88*(1-F77/H77))/(H77-1)))</f>
        <v>155.18815866382269</v>
      </c>
      <c r="G96" s="18">
        <f>G91*G91*(SUM((H84*G84*(1-G73/H73))/(H73-1),(H85*G85*(1-G74/H74))/(H74-1), (H86*G86*(1-G75/H75))/(H75-1),(H87*G87*(1-G76/H76))/(H76-1)))</f>
        <v>80.488772757914319</v>
      </c>
      <c r="R96" t="s">
        <v>101</v>
      </c>
      <c r="S96" t="s">
        <v>28</v>
      </c>
      <c r="T96" s="57">
        <f>C263</f>
        <v>1.4225351994196829</v>
      </c>
      <c r="U96" s="57">
        <f t="shared" ref="U96:X99" si="20">D263</f>
        <v>9.2823365561606579</v>
      </c>
      <c r="V96" s="57">
        <f t="shared" si="20"/>
        <v>57.163647328613663</v>
      </c>
      <c r="W96" s="57">
        <f t="shared" si="20"/>
        <v>21.834414459251743</v>
      </c>
      <c r="X96" s="57">
        <f t="shared" si="20"/>
        <v>10.297066456554266</v>
      </c>
      <c r="Y96" s="13"/>
      <c r="Z96" s="74"/>
      <c r="AA96" s="12"/>
      <c r="AC96" t="s">
        <v>192</v>
      </c>
      <c r="AD96" s="51">
        <v>0.924184261036468</v>
      </c>
      <c r="AE96" s="51">
        <v>0.91645628813278401</v>
      </c>
      <c r="AH96" s="78"/>
      <c r="AI96" s="78"/>
      <c r="AJ96" t="s">
        <v>5</v>
      </c>
      <c r="AK96" s="13">
        <v>2</v>
      </c>
      <c r="AL96" s="33">
        <f t="shared" si="19"/>
        <v>0</v>
      </c>
      <c r="AM96" s="19">
        <f t="shared" si="19"/>
        <v>2.6692661391103409</v>
      </c>
      <c r="AN96" s="34">
        <f t="shared" si="19"/>
        <v>56.241763071315752</v>
      </c>
      <c r="AO96" s="19">
        <f t="shared" si="19"/>
        <v>0.82193865868946481</v>
      </c>
      <c r="AP96" s="20">
        <f>(AP85/$AU96)*$AX96</f>
        <v>0.48014238477899429</v>
      </c>
      <c r="AQ96" s="17">
        <f>SUM(AL96:AP96)</f>
        <v>60.213110253894548</v>
      </c>
      <c r="AR96" s="17">
        <f>AN96/AQ96*100</f>
        <v>93.40451412353022</v>
      </c>
      <c r="AS96" s="17">
        <f>SQRT(AR96*(100-AR96)/(AU96-1))</f>
        <v>0.28856932705211469</v>
      </c>
      <c r="AT96" s="18">
        <f>100-AR96</f>
        <v>6.5954858764697804</v>
      </c>
      <c r="AU96" s="1">
        <f>AQ85</f>
        <v>7399</v>
      </c>
      <c r="AV96">
        <v>2</v>
      </c>
      <c r="AW96" s="1">
        <v>107369.7</v>
      </c>
      <c r="AX96" s="17">
        <f>AW96/AW99*100</f>
        <v>60.213110253894556</v>
      </c>
      <c r="AY96" s="52">
        <f>((AX96*AX96*(AR96/100)*(AT96/100))/(AU96-1))</f>
        <v>3.0191344595368194E-2</v>
      </c>
      <c r="BF96" s="51">
        <v>0.91143712314220604</v>
      </c>
      <c r="BG96" s="1">
        <v>33</v>
      </c>
      <c r="BH96">
        <f t="shared" si="13"/>
        <v>-0.4525499884018015</v>
      </c>
      <c r="BI96">
        <f t="shared" si="14"/>
        <v>-4.5379730263018975E-2</v>
      </c>
      <c r="BJ96">
        <f t="shared" si="11"/>
        <v>-4.1360770799895322E-2</v>
      </c>
    </row>
    <row r="97" spans="1:62" x14ac:dyDescent="0.3">
      <c r="A97" s="105" t="s">
        <v>390</v>
      </c>
      <c r="B97" s="69" t="s">
        <v>9</v>
      </c>
      <c r="C97" s="1">
        <v>277.48</v>
      </c>
      <c r="D97" s="1">
        <v>1560.75</v>
      </c>
      <c r="E97" s="1">
        <v>15722.57</v>
      </c>
      <c r="F97" s="1">
        <v>2170.4899999999998</v>
      </c>
      <c r="G97" s="1">
        <v>1791.47</v>
      </c>
      <c r="I97" t="s">
        <v>36</v>
      </c>
      <c r="J97" s="57">
        <f>SUM(C97:G97)</f>
        <v>21522.760000000002</v>
      </c>
      <c r="S97" s="66" t="s">
        <v>39</v>
      </c>
      <c r="T97" s="67">
        <f>C264</f>
        <v>0</v>
      </c>
      <c r="U97" s="67">
        <f t="shared" si="20"/>
        <v>0.21548930284510093</v>
      </c>
      <c r="V97" s="67">
        <f t="shared" si="20"/>
        <v>0.21283608460889542</v>
      </c>
      <c r="W97" s="67">
        <f t="shared" si="20"/>
        <v>0.1593872295164554</v>
      </c>
      <c r="X97" s="67">
        <f t="shared" si="20"/>
        <v>0.1870980636478084</v>
      </c>
      <c r="AC97" t="s">
        <v>193</v>
      </c>
      <c r="AD97" s="51">
        <v>0.92113069272378201</v>
      </c>
      <c r="AE97" s="51">
        <v>0.91294032178332896</v>
      </c>
      <c r="AJ97" t="s">
        <v>6</v>
      </c>
      <c r="AK97" s="13">
        <v>3</v>
      </c>
      <c r="AL97" s="33">
        <f t="shared" si="19"/>
        <v>0</v>
      </c>
      <c r="AM97" s="19">
        <f t="shared" si="19"/>
        <v>0</v>
      </c>
      <c r="AN97" s="19">
        <f t="shared" si="19"/>
        <v>0.14975708674092134</v>
      </c>
      <c r="AO97" s="34">
        <f t="shared" si="19"/>
        <v>20.117368652197104</v>
      </c>
      <c r="AP97" s="20">
        <f>(AP86/$AU97)*$AX97</f>
        <v>0.69886640479096629</v>
      </c>
      <c r="AQ97" s="17">
        <f>SUM(AL97:AP97)</f>
        <v>20.965992143728993</v>
      </c>
      <c r="AR97" s="17">
        <f>AO97/AQ97*100</f>
        <v>95.952380952380949</v>
      </c>
      <c r="AS97" s="17">
        <f>SQRT(AR97*(100-AR97)/(AU97-1))</f>
        <v>0.39265724002115482</v>
      </c>
      <c r="AT97" s="18">
        <f>100-AR97</f>
        <v>4.047619047619051</v>
      </c>
      <c r="AU97" s="1">
        <f>AQ86</f>
        <v>2520</v>
      </c>
      <c r="AV97">
        <v>3</v>
      </c>
      <c r="AW97" s="1">
        <v>37385.75</v>
      </c>
      <c r="AX97" s="17">
        <f>AW97/AW99*100</f>
        <v>20.96599214372899</v>
      </c>
      <c r="AY97" s="52">
        <f>((AX97*AX97*(AR97/100)*(AT97/100))/(AU97-1))</f>
        <v>6.7773210107430187E-3</v>
      </c>
      <c r="BF97" s="51">
        <v>0.91143932597671196</v>
      </c>
      <c r="BG97" s="1">
        <v>34</v>
      </c>
      <c r="BH97">
        <f t="shared" si="13"/>
        <v>-0.42501883739125579</v>
      </c>
      <c r="BI97">
        <f t="shared" si="14"/>
        <v>-4.2619027050759137E-2</v>
      </c>
      <c r="BJ97">
        <f t="shared" si="11"/>
        <v>-3.8844657288927165E-2</v>
      </c>
    </row>
    <row r="98" spans="1:62" x14ac:dyDescent="0.3">
      <c r="B98" t="s">
        <v>391</v>
      </c>
      <c r="C98" s="57">
        <f>(C97/$J97)*100</f>
        <v>1.2892398558549183</v>
      </c>
      <c r="D98" s="57">
        <f>(D97/$J97)*100</f>
        <v>7.2516257208647961</v>
      </c>
      <c r="E98" s="57">
        <f>(E97/$J97)*100</f>
        <v>73.050900535061487</v>
      </c>
      <c r="F98" s="57">
        <f>(F97/$J97)*100</f>
        <v>10.084626692859091</v>
      </c>
      <c r="G98" s="57">
        <f>(G97/$J97)*100</f>
        <v>8.3236071953597026</v>
      </c>
      <c r="S98" t="s">
        <v>30</v>
      </c>
      <c r="T98" s="57">
        <f>C265</f>
        <v>100</v>
      </c>
      <c r="U98" s="57">
        <f t="shared" si="20"/>
        <v>57.947357058660799</v>
      </c>
      <c r="V98" s="57">
        <f t="shared" si="20"/>
        <v>98.030075667423091</v>
      </c>
      <c r="W98" s="57">
        <f t="shared" si="20"/>
        <v>91.67893458854617</v>
      </c>
      <c r="X98" s="57">
        <f t="shared" si="20"/>
        <v>86.953777727262107</v>
      </c>
      <c r="AA98" s="54"/>
      <c r="AC98" t="s">
        <v>194</v>
      </c>
      <c r="AD98" s="51">
        <v>0.91903681730937004</v>
      </c>
      <c r="AE98" s="51">
        <v>0.91197923676500403</v>
      </c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19"/>
        <v>1.2833148956422142</v>
      </c>
      <c r="AN98" s="21">
        <f t="shared" si="19"/>
        <v>0.24953345193043058</v>
      </c>
      <c r="AO98" s="21">
        <f t="shared" si="19"/>
        <v>1.0100163530517428</v>
      </c>
      <c r="AP98" s="37">
        <f>(AP87/$AU98)*$AX98</f>
        <v>8.6861406362449873</v>
      </c>
      <c r="AQ98" s="17">
        <f>SUM(AL98:AP98)</f>
        <v>11.229005336869374</v>
      </c>
      <c r="AR98" s="17">
        <f>AP98/AQ98*100</f>
        <v>77.354497354497369</v>
      </c>
      <c r="AS98" s="17">
        <f>SQRT(AR98*(100-AR98)/(AU98-1))</f>
        <v>1.3622216223481378</v>
      </c>
      <c r="AT98" s="18">
        <f>100-AR98</f>
        <v>22.645502645502631</v>
      </c>
      <c r="AU98" s="1">
        <f>AQ87</f>
        <v>945</v>
      </c>
      <c r="AV98">
        <v>4</v>
      </c>
      <c r="AW98" s="1">
        <v>20023.13</v>
      </c>
      <c r="AX98" s="17">
        <f>AW98/AW99*100</f>
        <v>11.229005336869376</v>
      </c>
      <c r="AY98" s="52">
        <f>((AX98*AX98*(AR98/100)*(AT98/100))/(AU98-1))</f>
        <v>2.3397966534498337E-2</v>
      </c>
      <c r="BF98" s="51">
        <v>0.911465104915263</v>
      </c>
      <c r="BG98" s="1">
        <v>35</v>
      </c>
      <c r="BH98">
        <f t="shared" si="13"/>
        <v>-0.39780617203394542</v>
      </c>
      <c r="BI98">
        <f t="shared" si="14"/>
        <v>-3.9890260184553578E-2</v>
      </c>
      <c r="BJ98">
        <f t="shared" si="11"/>
        <v>-3.6358580184211266E-2</v>
      </c>
    </row>
    <row r="99" spans="1:62" x14ac:dyDescent="0.3">
      <c r="A99" s="361" t="s">
        <v>401</v>
      </c>
      <c r="B99" s="361"/>
      <c r="C99" s="361"/>
      <c r="D99" s="361"/>
      <c r="E99" s="361"/>
      <c r="F99" s="361"/>
      <c r="G99" s="361"/>
      <c r="H99" s="361"/>
      <c r="I99" s="361"/>
      <c r="J99" s="361"/>
      <c r="K99" s="361"/>
      <c r="L99" s="361" t="s">
        <v>62</v>
      </c>
      <c r="M99" s="361"/>
      <c r="N99" s="361"/>
      <c r="O99" s="361"/>
      <c r="P99" s="361"/>
      <c r="S99" s="66" t="s">
        <v>39</v>
      </c>
      <c r="T99" s="67">
        <f>C266</f>
        <v>0</v>
      </c>
      <c r="U99" s="67">
        <f t="shared" si="20"/>
        <v>5.1170821961381439</v>
      </c>
      <c r="V99" s="67">
        <f t="shared" si="20"/>
        <v>0.22414810710512112</v>
      </c>
      <c r="W99" s="67">
        <f t="shared" si="20"/>
        <v>0.65105988193722009</v>
      </c>
      <c r="X99" s="67">
        <f t="shared" si="20"/>
        <v>2.1594053174557972</v>
      </c>
      <c r="AC99" t="s">
        <v>195</v>
      </c>
      <c r="AD99" s="51">
        <v>0.91956028616297303</v>
      </c>
      <c r="AE99" s="51">
        <v>0.91160884981171897</v>
      </c>
      <c r="AK99" t="s">
        <v>28</v>
      </c>
      <c r="AL99" s="17">
        <f t="shared" ref="AL99:AQ99" si="21">SUM(AL94:AL98)</f>
        <v>1.4251597513741745</v>
      </c>
      <c r="AM99" s="17">
        <f t="shared" si="21"/>
        <v>9.2825297859057727</v>
      </c>
      <c r="AN99" s="17">
        <f t="shared" si="21"/>
        <v>57.477837372966789</v>
      </c>
      <c r="AO99" s="17">
        <f t="shared" si="21"/>
        <v>21.949323663938312</v>
      </c>
      <c r="AP99" s="17">
        <f t="shared" si="21"/>
        <v>9.8651494258149484</v>
      </c>
      <c r="AQ99" s="18">
        <f t="shared" si="21"/>
        <v>100</v>
      </c>
      <c r="AR99" s="13" t="s">
        <v>24</v>
      </c>
      <c r="AS99" s="12" t="s">
        <v>29</v>
      </c>
      <c r="AW99" s="1">
        <f>SUM(AW94:AW98)</f>
        <v>178316.15</v>
      </c>
      <c r="AX99" s="17">
        <f>SUM(AX94:AX98)</f>
        <v>100.00000000000001</v>
      </c>
      <c r="BF99" s="51">
        <v>0.91156897695656636</v>
      </c>
      <c r="BG99" s="1">
        <v>36</v>
      </c>
      <c r="BH99">
        <f t="shared" si="13"/>
        <v>-0.37088499448209117</v>
      </c>
      <c r="BI99">
        <f t="shared" si="14"/>
        <v>-3.7190722438501737E-2</v>
      </c>
      <c r="BJ99">
        <f t="shared" si="11"/>
        <v>-3.3901908805540643E-2</v>
      </c>
    </row>
    <row r="100" spans="1:62" x14ac:dyDescent="0.3">
      <c r="A100" t="s">
        <v>320</v>
      </c>
      <c r="B100" t="s">
        <v>21</v>
      </c>
      <c r="I100" s="1" t="s">
        <v>58</v>
      </c>
      <c r="O100" s="360" t="s">
        <v>411</v>
      </c>
      <c r="P100" s="360"/>
      <c r="S100" t="s">
        <v>31</v>
      </c>
      <c r="T100" s="57">
        <f>I258</f>
        <v>100</v>
      </c>
      <c r="U100" s="57">
        <f>I259</f>
        <v>87.610619469026545</v>
      </c>
      <c r="V100" s="57">
        <f>I260</f>
        <v>93.51263684281659</v>
      </c>
      <c r="W100" s="57">
        <f>I261</f>
        <v>95.317460317460316</v>
      </c>
      <c r="X100" s="57">
        <f>I262</f>
        <v>77.777777777777786</v>
      </c>
      <c r="AC100" t="s">
        <v>196</v>
      </c>
      <c r="AD100" s="51">
        <v>0.91737916593962598</v>
      </c>
      <c r="AE100" s="51">
        <v>0.91040067162602301</v>
      </c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0</v>
      </c>
      <c r="AM100" s="18">
        <f>SQRT(SUM((AX94*AM94-AM94*AM94)/AU94,(AX95*AM95-AM95*AM95)/AU95,(AX96*AM96-AM96*AM96)/AU96,(AX97*AM97-AM97*AM97)/AU97,(AX98*AM98-AM98*AM98)/AU98))</f>
        <v>0.21776644384079916</v>
      </c>
      <c r="AN100" s="18">
        <f>SQRT(SUM((AX94*AN94-AN94*AN94)/AU94,(AX95*AN95-AN95*AN95)/AU95,(AX96*AN96-AN96*AN96)/AU96,(AX97*AN97-AN97*AN97)/AU97,(AX98*AN98-AN98*AN98)/AU98))</f>
        <v>0.21789884340582333</v>
      </c>
      <c r="AO100" s="18">
        <f>SQRT(SUM((AX94*AO94-AO94*AO94)/AU94,(AX95*AO95-AO95*AO95)/AU95,(AX96*AO96-AO96*AO96)/AU96,(AX97*AO97-AO97*AO97)/AU97,(AX98*AO98-AO98*AO98)/AU98))</f>
        <v>0.15586637111937232</v>
      </c>
      <c r="AP100" s="18">
        <f>SQRT(SUM((AX94*AP94-AP94*AP94)/AU94,(AX95*AP95-AP95*AP95)/AU95,(AX96*AP96-AP96*AP96)/AU96,(AX97*AP97-AP97*AP97)/AU97,(AX98*AP98-AP98*AP98)/AU98))</f>
        <v>0.18130110595069546</v>
      </c>
      <c r="AQ100" s="1"/>
      <c r="AR100" s="56">
        <f>(AL94+AM95+AN96+AO97+AP98)/AQ99</f>
        <v>0.91800380862285236</v>
      </c>
      <c r="AS100" s="53">
        <f>SQRT(SUM(AY94:AY98))/100</f>
        <v>2.7122304755798632E-3</v>
      </c>
      <c r="AV100" s="1"/>
      <c r="AW100" s="9"/>
      <c r="BF100" s="51">
        <v>0.91160884981171897</v>
      </c>
      <c r="BG100" s="1">
        <v>37</v>
      </c>
      <c r="BH100">
        <f t="shared" si="13"/>
        <v>-0.34423000787040897</v>
      </c>
      <c r="BI100">
        <f t="shared" si="14"/>
        <v>-3.4517877153775828E-2</v>
      </c>
      <c r="BJ100">
        <f t="shared" si="11"/>
        <v>-3.1466802290095797E-2</v>
      </c>
    </row>
    <row r="101" spans="1:62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56</v>
      </c>
      <c r="O101" s="13" t="s">
        <v>412</v>
      </c>
      <c r="P101" s="13" t="s">
        <v>41</v>
      </c>
      <c r="S101" s="66" t="s">
        <v>39</v>
      </c>
      <c r="T101" s="67">
        <f>J258</f>
        <v>0</v>
      </c>
      <c r="U101" s="67">
        <f>J259</f>
        <v>1.7920281254034289</v>
      </c>
      <c r="V101" s="67">
        <f>J260</f>
        <v>0.28635982819002725</v>
      </c>
      <c r="W101" s="67">
        <f>J261</f>
        <v>0.42093290895930463</v>
      </c>
      <c r="X101" s="67">
        <f>J262</f>
        <v>1.3531175012429297</v>
      </c>
      <c r="AC101" t="s">
        <v>197</v>
      </c>
      <c r="AD101" s="51">
        <v>0.91833885883789901</v>
      </c>
      <c r="AE101" s="51">
        <v>0.91170144412897103</v>
      </c>
      <c r="AK101" s="1" t="s">
        <v>30</v>
      </c>
      <c r="AL101" s="17">
        <f>AL94/AL99*100</f>
        <v>100</v>
      </c>
      <c r="AM101" s="17">
        <f>AM95/AM99*100</f>
        <v>57.419139761296556</v>
      </c>
      <c r="AN101" s="17">
        <f>AN96/AN99*100</f>
        <v>97.849476671103162</v>
      </c>
      <c r="AO101" s="17">
        <f>AO97/AO99*100</f>
        <v>91.653706329224988</v>
      </c>
      <c r="AP101" s="17">
        <f>AP98/AP99*100</f>
        <v>88.04874879558588</v>
      </c>
      <c r="AQ101" s="1"/>
      <c r="BF101" s="51">
        <v>0.91170144412897103</v>
      </c>
      <c r="BG101" s="1">
        <v>38</v>
      </c>
      <c r="BH101">
        <f t="shared" si="13"/>
        <v>-0.31781741294915428</v>
      </c>
      <c r="BI101">
        <f t="shared" si="14"/>
        <v>-3.186933784587348E-2</v>
      </c>
      <c r="BJ101">
        <f t="shared" si="11"/>
        <v>-2.9055321337516923E-2</v>
      </c>
    </row>
    <row r="102" spans="1:62" x14ac:dyDescent="0.3">
      <c r="A102" t="s">
        <v>3</v>
      </c>
      <c r="B102" s="13">
        <v>0</v>
      </c>
      <c r="C102" s="26">
        <v>259</v>
      </c>
      <c r="D102" s="3">
        <v>0</v>
      </c>
      <c r="E102" s="3">
        <v>0</v>
      </c>
      <c r="F102" s="3">
        <v>0</v>
      </c>
      <c r="G102" s="4">
        <v>0</v>
      </c>
      <c r="H102" s="1">
        <f>SUM(C102:G102)</f>
        <v>259</v>
      </c>
      <c r="I102" s="10">
        <f>C102/H102</f>
        <v>1</v>
      </c>
      <c r="J102" s="11">
        <f>1-I102</f>
        <v>0</v>
      </c>
      <c r="K102">
        <f>H102-C107</f>
        <v>0</v>
      </c>
      <c r="N102" s="10">
        <f>2*(C108*I102)/(C108+I102)</f>
        <v>1</v>
      </c>
      <c r="O102" s="1"/>
      <c r="P102" s="1"/>
      <c r="S102" s="66" t="s">
        <v>56</v>
      </c>
      <c r="T102" s="67">
        <f>N247*100</f>
        <v>100</v>
      </c>
      <c r="U102" s="67">
        <f>N248*100</f>
        <v>55.984919886899156</v>
      </c>
      <c r="V102" s="67">
        <f>N249*100</f>
        <v>96.12392331203111</v>
      </c>
      <c r="W102" s="67">
        <f>N250*100</f>
        <v>94.085389737563645</v>
      </c>
      <c r="X102" s="67">
        <f>N251*100</f>
        <v>79.761258817145958</v>
      </c>
      <c r="AC102" t="s">
        <v>198</v>
      </c>
      <c r="AD102" s="51">
        <v>0.91694294189495695</v>
      </c>
      <c r="AE102" s="51">
        <v>0.90987718026283404</v>
      </c>
      <c r="AH102" s="78"/>
      <c r="AI102" s="78"/>
      <c r="AK102" s="16" t="s">
        <v>39</v>
      </c>
      <c r="AL102" s="18">
        <f>SQRT((AL105+AL106)/(AL99*AL99))</f>
        <v>0</v>
      </c>
      <c r="AM102" s="18">
        <f>SQRT((AM105+AM106)/(AM99*AM99))</f>
        <v>5.3923953967050879</v>
      </c>
      <c r="AN102" s="18">
        <f>SQRT((AN105+AN106)/(AN99*AN99))</f>
        <v>0.23337877767773202</v>
      </c>
      <c r="AO102" s="18">
        <f>SQRT((AO105+AO106)/(AO99*AO99))</f>
        <v>0.63536852981085323</v>
      </c>
      <c r="AP102" s="18">
        <f>SQRT((AP105+AP106)/(AP99*AP99))</f>
        <v>2.0471241424842521</v>
      </c>
      <c r="AQ102" s="1"/>
      <c r="BF102" s="51">
        <v>0.911747923779755</v>
      </c>
      <c r="BG102" s="1">
        <v>39</v>
      </c>
      <c r="BH102">
        <f t="shared" si="13"/>
        <v>-0.29162472875305201</v>
      </c>
      <c r="BI102">
        <f t="shared" si="14"/>
        <v>-2.9242850222083651E-2</v>
      </c>
      <c r="BJ102">
        <f t="shared" si="11"/>
        <v>-2.6662107975387116E-2</v>
      </c>
    </row>
    <row r="103" spans="1:62" x14ac:dyDescent="0.3">
      <c r="A103" t="s">
        <v>4</v>
      </c>
      <c r="B103" s="13">
        <v>1</v>
      </c>
      <c r="C103" s="5">
        <v>0</v>
      </c>
      <c r="D103" s="27">
        <v>288</v>
      </c>
      <c r="E103" s="1">
        <v>51</v>
      </c>
      <c r="F103" s="1">
        <v>0</v>
      </c>
      <c r="G103" s="6">
        <v>0</v>
      </c>
      <c r="H103" s="1">
        <f>SUM(C103:G103)</f>
        <v>339</v>
      </c>
      <c r="I103" s="10">
        <f>D103/H103</f>
        <v>0.84955752212389379</v>
      </c>
      <c r="J103" s="11">
        <f>1-I103</f>
        <v>0.15044247787610621</v>
      </c>
      <c r="K103">
        <f>H103-D107</f>
        <v>-360</v>
      </c>
      <c r="N103" s="10">
        <f>2*(D108*I103)/(D108+I103)</f>
        <v>0.55491329479768792</v>
      </c>
      <c r="O103" s="1"/>
      <c r="P103" s="1"/>
      <c r="R103" s="16" t="s">
        <v>66</v>
      </c>
      <c r="S103" t="s">
        <v>9</v>
      </c>
      <c r="T103" s="30">
        <f>N258</f>
        <v>2536.61</v>
      </c>
      <c r="U103" s="30">
        <f>N259</f>
        <v>10947.75</v>
      </c>
      <c r="V103" s="30">
        <f>N260</f>
        <v>106856.18</v>
      </c>
      <c r="W103" s="30">
        <f>N261</f>
        <v>37448.06</v>
      </c>
      <c r="X103" s="30">
        <f>N262</f>
        <v>20527.55</v>
      </c>
      <c r="Z103" t="s">
        <v>36</v>
      </c>
      <c r="AA103" s="1">
        <f>N263</f>
        <v>178316.14999999997</v>
      </c>
      <c r="AC103" t="s">
        <v>199</v>
      </c>
      <c r="AD103" s="51">
        <v>0.91458733205374199</v>
      </c>
      <c r="AE103" s="51">
        <v>0.90852666302212604</v>
      </c>
      <c r="AK103" s="1" t="s">
        <v>37</v>
      </c>
      <c r="AL103" s="18">
        <f>100-AL101</f>
        <v>0</v>
      </c>
      <c r="AM103" s="18">
        <f>100-AM101</f>
        <v>42.580860238703444</v>
      </c>
      <c r="AN103" s="18">
        <f>100-AN101</f>
        <v>2.1505233288968384</v>
      </c>
      <c r="AO103" s="18">
        <f>100-AO101</f>
        <v>8.3462936707750117</v>
      </c>
      <c r="AP103" s="18">
        <f>100-AP101</f>
        <v>11.95125120441412</v>
      </c>
      <c r="BF103" s="51">
        <v>0.91179580565519802</v>
      </c>
      <c r="BG103" s="1">
        <v>40</v>
      </c>
      <c r="BH103">
        <f t="shared" si="13"/>
        <v>-0.26563063350790211</v>
      </c>
      <c r="BI103">
        <f t="shared" si="14"/>
        <v>-2.6636276228298016E-2</v>
      </c>
      <c r="BJ103">
        <f t="shared" si="11"/>
        <v>-2.4286844943235388E-2</v>
      </c>
    </row>
    <row r="104" spans="1:62" ht="15.6" x14ac:dyDescent="0.35">
      <c r="A104" t="s">
        <v>5</v>
      </c>
      <c r="B104" s="13">
        <v>2</v>
      </c>
      <c r="C104" s="5">
        <v>0</v>
      </c>
      <c r="D104" s="1">
        <v>310</v>
      </c>
      <c r="E104" s="27">
        <v>6914</v>
      </c>
      <c r="F104" s="1">
        <v>117</v>
      </c>
      <c r="G104" s="6">
        <v>58</v>
      </c>
      <c r="H104" s="1">
        <f>SUM(C104:G104)</f>
        <v>7399</v>
      </c>
      <c r="I104" s="10">
        <f>E104/H104</f>
        <v>0.93445060143262604</v>
      </c>
      <c r="J104" s="11">
        <f>1-I104</f>
        <v>6.5549398567373962E-2</v>
      </c>
      <c r="K104">
        <f>H104-E107</f>
        <v>388</v>
      </c>
      <c r="N104" s="10">
        <f>2*(E108*I104)/(E108+I104)</f>
        <v>0.95961138098542675</v>
      </c>
      <c r="O104" s="1"/>
      <c r="P104" s="1"/>
      <c r="R104" s="16" t="s">
        <v>323</v>
      </c>
      <c r="S104" t="s">
        <v>68</v>
      </c>
      <c r="T104" s="57">
        <f>$AA103*T96/100</f>
        <v>2536.61</v>
      </c>
      <c r="U104" s="57">
        <f>$AA103*U96/100</f>
        <v>16551.905176988268</v>
      </c>
      <c r="V104" s="57">
        <f>$AA103*V96/100</f>
        <v>101932.01511596171</v>
      </c>
      <c r="W104" s="57">
        <f>$AA103*W96/100</f>
        <v>38934.28723878102</v>
      </c>
      <c r="X104" s="57">
        <f>$AA103*X96/100</f>
        <v>18361.332468268985</v>
      </c>
      <c r="Z104" t="s">
        <v>36</v>
      </c>
      <c r="AA104" s="25">
        <f>SUM(T104:X104)</f>
        <v>178316.14999999997</v>
      </c>
      <c r="AC104" t="s">
        <v>200</v>
      </c>
      <c r="AD104" s="51">
        <v>0.92043273425231198</v>
      </c>
      <c r="AE104" s="51">
        <v>0.91226210762172999</v>
      </c>
      <c r="AH104" s="78"/>
      <c r="AI104" s="78"/>
      <c r="AK104" s="1" t="s">
        <v>25</v>
      </c>
      <c r="AL104" s="1">
        <f>AL88</f>
        <v>259</v>
      </c>
      <c r="AM104" s="1">
        <f>AM88</f>
        <v>729</v>
      </c>
      <c r="AN104" s="1">
        <f>AN88</f>
        <v>6996</v>
      </c>
      <c r="AO104" s="1">
        <f>AO88</f>
        <v>2604</v>
      </c>
      <c r="AP104" s="1">
        <f>AP88</f>
        <v>874</v>
      </c>
      <c r="BF104" s="51">
        <v>0.91197923676500403</v>
      </c>
      <c r="BG104" s="1">
        <v>41</v>
      </c>
      <c r="BH104">
        <f t="shared" si="13"/>
        <v>-0.23981482260806397</v>
      </c>
      <c r="BI104">
        <f t="shared" si="14"/>
        <v>-2.4047579807615273E-2</v>
      </c>
      <c r="BJ104">
        <f t="shared" si="11"/>
        <v>-2.19308934789945E-2</v>
      </c>
    </row>
    <row r="105" spans="1:62" x14ac:dyDescent="0.3">
      <c r="A105" t="s">
        <v>6</v>
      </c>
      <c r="B105" s="13">
        <v>3</v>
      </c>
      <c r="C105" s="5">
        <v>0</v>
      </c>
      <c r="D105" s="1">
        <v>0</v>
      </c>
      <c r="E105" s="1">
        <v>18</v>
      </c>
      <c r="F105" s="27">
        <v>2398</v>
      </c>
      <c r="G105" s="6">
        <v>104</v>
      </c>
      <c r="H105" s="1">
        <f>SUM(C105:G105)</f>
        <v>2520</v>
      </c>
      <c r="I105" s="10">
        <f>F105/H105</f>
        <v>0.95158730158730154</v>
      </c>
      <c r="J105" s="11">
        <f>1-I105</f>
        <v>4.8412698412698463E-2</v>
      </c>
      <c r="K105">
        <f>H105-F107</f>
        <v>-84</v>
      </c>
      <c r="N105" s="10">
        <f>2*(F108*I105)/(F108+I105)</f>
        <v>0.93598750975800149</v>
      </c>
      <c r="O105" s="1"/>
      <c r="P105" s="1"/>
      <c r="R105" s="66"/>
      <c r="S105" s="66" t="s">
        <v>67</v>
      </c>
      <c r="T105" s="67">
        <f>$AA103*T97/100</f>
        <v>0</v>
      </c>
      <c r="U105" s="67">
        <f>$AA103*U97/100</f>
        <v>384.25222849522436</v>
      </c>
      <c r="V105" s="67">
        <f>$AA103*V97/100</f>
        <v>379.52111188532479</v>
      </c>
      <c r="W105" s="67">
        <f>$AA103*W97/100</f>
        <v>284.2131712654068</v>
      </c>
      <c r="X105" s="67">
        <f>$AA103*X97/100</f>
        <v>333.62606382132145</v>
      </c>
      <c r="AA105" s="1"/>
      <c r="AC105" t="s">
        <v>201</v>
      </c>
      <c r="AD105" s="51">
        <v>0.91807712441109701</v>
      </c>
      <c r="AE105" s="51">
        <v>0.91123082673608802</v>
      </c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2392.480680311508</v>
      </c>
      <c r="AN105" s="18">
        <f>(AX96*AX96*(100-AN101)*(100-AN101)*(AR96)*(100-AR96))/((AU96-1)*100)</f>
        <v>13.962743867385061</v>
      </c>
      <c r="AO105" s="18">
        <f>(AX97*AX97*(100-AO101)*(100-AO101)*(AR97)*(100-AR97))/((AU97-1)*100)</f>
        <v>47.21123702558323</v>
      </c>
      <c r="AP105" s="18">
        <f>(AX98*AX98*(100-AP101)*(100-AP101)*(AR98)*(100-AR98))/((AU98-1)*100)</f>
        <v>334.19878404448326</v>
      </c>
      <c r="BF105" s="51">
        <v>0.9120656247072505</v>
      </c>
      <c r="BG105" s="1">
        <v>42</v>
      </c>
      <c r="BH105">
        <f t="shared" si="13"/>
        <v>-0.21415788100561844</v>
      </c>
      <c r="BI105">
        <f t="shared" si="14"/>
        <v>-2.1474814104085378E-2</v>
      </c>
      <c r="BJ105">
        <f t="shared" si="11"/>
        <v>-1.9586439741314705E-2</v>
      </c>
    </row>
    <row r="106" spans="1:62" x14ac:dyDescent="0.3">
      <c r="A106" t="s">
        <v>7</v>
      </c>
      <c r="B106" s="13">
        <v>4</v>
      </c>
      <c r="C106" s="7">
        <v>0</v>
      </c>
      <c r="D106" s="8">
        <v>101</v>
      </c>
      <c r="E106" s="8">
        <v>28</v>
      </c>
      <c r="F106" s="8">
        <v>89</v>
      </c>
      <c r="G106" s="28">
        <v>727</v>
      </c>
      <c r="H106" s="1">
        <f>SUM(C106:G106)</f>
        <v>945</v>
      </c>
      <c r="I106" s="10">
        <f>G106/H106</f>
        <v>0.76931216931216928</v>
      </c>
      <c r="J106" s="11">
        <f>1-I106</f>
        <v>0.23068783068783072</v>
      </c>
      <c r="K106">
        <f>H106-G107</f>
        <v>56</v>
      </c>
      <c r="N106" s="10">
        <f>2*(G108*I106)/(G108+I106)</f>
        <v>0.79280261723009815</v>
      </c>
      <c r="O106" s="1"/>
      <c r="P106" s="1"/>
      <c r="R106" t="s">
        <v>102</v>
      </c>
      <c r="S106" t="s">
        <v>28</v>
      </c>
      <c r="T106" s="57">
        <f>C292</f>
        <v>1.4261691944335946</v>
      </c>
      <c r="U106" s="57">
        <f t="shared" ref="U106:X109" si="22">D292</f>
        <v>9.7439351981331317</v>
      </c>
      <c r="V106" s="57">
        <f t="shared" si="22"/>
        <v>57.040130916843552</v>
      </c>
      <c r="W106" s="57">
        <f t="shared" si="22"/>
        <v>21.647349428031355</v>
      </c>
      <c r="X106" s="57">
        <f t="shared" si="22"/>
        <v>10.142415262558378</v>
      </c>
      <c r="Y106" s="60"/>
      <c r="Z106" s="74"/>
      <c r="AA106" s="12"/>
      <c r="AC106" t="s">
        <v>202</v>
      </c>
      <c r="AD106" s="51">
        <v>0.924184261036468</v>
      </c>
      <c r="AE106" s="51">
        <v>0.91625879363237295</v>
      </c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113.0294412207347</v>
      </c>
      <c r="AN106" s="18">
        <f>AN101*AN101*(SUM((AQ94*AN94*(1-AN83/AQ83))/(AQ83-1),(AQ95*AN95*(1-AN84/AQ84))/(AQ84-1), (AQ97*AN97*(1-AN86/AQ86))/(AQ86-1),(AQ98*AN98*(1-AN87/AQ87))/(AQ87-1)))</f>
        <v>165.97553426714038</v>
      </c>
      <c r="AO106" s="18">
        <f>AO101*AO101*(SUM((AQ94*AO94*(1-AO83/AQ83))/(AQ83-1),(AQ95*AO95*(1-AO84/AQ84))/(AQ84-1), (AQ96*AO96*(1-AO85/AQ85))/(AQ85-1),(AQ98*AO98*(1-AO87/AQ87))/(AQ87-1)))</f>
        <v>147.27715494345591</v>
      </c>
      <c r="AP106" s="18">
        <f>AP101*AP101*(SUM((AQ94*AP94*(1-AP83/AQ83))/(AQ83-1),(AQ95*AP95*(1-AP84/AQ84))/(AQ84-1), (AQ96*AP96*(1-AP85/AQ85))/(AQ85-1),(AQ97*AP97*(1-AP86/AQ86))/(AQ86-1)))</f>
        <v>73.646735709898408</v>
      </c>
      <c r="BF106" s="51">
        <v>0.91207754805590102</v>
      </c>
      <c r="BG106" s="1">
        <v>43</v>
      </c>
      <c r="BH106">
        <f t="shared" si="13"/>
        <v>-0.18864116776152437</v>
      </c>
      <c r="BI106">
        <f t="shared" si="14"/>
        <v>-1.891610988600527E-2</v>
      </c>
      <c r="BJ106">
        <f t="shared" si="11"/>
        <v>-1.7252959123583676E-2</v>
      </c>
    </row>
    <row r="107" spans="1:62" ht="15.6" x14ac:dyDescent="0.35">
      <c r="B107" s="1" t="s">
        <v>19</v>
      </c>
      <c r="C107" s="1">
        <f>SUM(C102:C106)</f>
        <v>259</v>
      </c>
      <c r="D107" s="1">
        <f>SUM(D102:D106)</f>
        <v>699</v>
      </c>
      <c r="E107" s="1">
        <f>SUM(E102:E106)</f>
        <v>7011</v>
      </c>
      <c r="F107" s="1">
        <f>SUM(F102:F106)</f>
        <v>2604</v>
      </c>
      <c r="G107" s="1">
        <f>SUM(G102:G106)</f>
        <v>889</v>
      </c>
      <c r="H107" s="1">
        <f>SUM(H101:H106)</f>
        <v>11462</v>
      </c>
      <c r="I107" s="13" t="s">
        <v>12</v>
      </c>
      <c r="N107" s="16" t="s">
        <v>36</v>
      </c>
      <c r="O107" s="1">
        <f>SUM(O102:O106)</f>
        <v>0</v>
      </c>
      <c r="P107" s="1">
        <f>SUM(P102:P106)</f>
        <v>0</v>
      </c>
      <c r="S107" s="66" t="s">
        <v>39</v>
      </c>
      <c r="T107" s="67">
        <f>C293</f>
        <v>0</v>
      </c>
      <c r="U107" s="67">
        <f t="shared" si="22"/>
        <v>0.22193676299647977</v>
      </c>
      <c r="V107" s="67">
        <f t="shared" si="22"/>
        <v>0.22871975243098974</v>
      </c>
      <c r="W107" s="67">
        <f t="shared" si="22"/>
        <v>0.16411278401505769</v>
      </c>
      <c r="X107" s="67">
        <f t="shared" si="22"/>
        <v>0.1912155069223534</v>
      </c>
      <c r="AC107" t="s">
        <v>203</v>
      </c>
      <c r="AD107" s="51">
        <v>0.92182865119525303</v>
      </c>
      <c r="AE107" s="51">
        <v>0.91431575622815897</v>
      </c>
      <c r="BF107" s="51">
        <v>0.91226210762172999</v>
      </c>
      <c r="BG107" s="1">
        <v>44</v>
      </c>
      <c r="BH107">
        <f t="shared" si="13"/>
        <v>-0.16324671084032114</v>
      </c>
      <c r="BI107">
        <f t="shared" si="14"/>
        <v>-1.6369664996392561E-2</v>
      </c>
      <c r="BJ107">
        <f t="shared" si="11"/>
        <v>-1.4933425090670737E-2</v>
      </c>
    </row>
    <row r="108" spans="1:62" x14ac:dyDescent="0.3">
      <c r="A108" s="1" t="s">
        <v>321</v>
      </c>
      <c r="B108" s="1" t="s">
        <v>2</v>
      </c>
      <c r="C108" s="10">
        <f>C102/C107</f>
        <v>1</v>
      </c>
      <c r="D108" s="10">
        <f>D103/D107</f>
        <v>0.41201716738197425</v>
      </c>
      <c r="E108" s="10">
        <f>E104/E107</f>
        <v>0.98616459848809013</v>
      </c>
      <c r="F108" s="10">
        <f>F105/F107</f>
        <v>0.92089093701996927</v>
      </c>
      <c r="G108" s="10">
        <f>G106/G107</f>
        <v>0.81777277840269968</v>
      </c>
      <c r="H108" s="10"/>
      <c r="I108" s="14">
        <f>(C102+D103+E104+F105+G106)/H107</f>
        <v>0.92357354737393127</v>
      </c>
      <c r="S108" t="s">
        <v>30</v>
      </c>
      <c r="T108" s="57">
        <f>C294</f>
        <v>100</v>
      </c>
      <c r="U108" s="57">
        <f t="shared" si="22"/>
        <v>56.623000370188173</v>
      </c>
      <c r="V108" s="57">
        <f t="shared" si="22"/>
        <v>97.534694444423366</v>
      </c>
      <c r="W108" s="57">
        <f t="shared" si="22"/>
        <v>90.931838304983756</v>
      </c>
      <c r="X108" s="57">
        <f t="shared" si="22"/>
        <v>86.788186751460998</v>
      </c>
      <c r="AC108" t="s">
        <v>204</v>
      </c>
      <c r="AD108" s="51">
        <v>0.92209038562205503</v>
      </c>
      <c r="AE108" s="51">
        <v>0.91383637968141695</v>
      </c>
      <c r="AH108" s="78"/>
      <c r="AI108" s="78"/>
      <c r="AJ108" s="118" t="s">
        <v>375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  <c r="BF108" s="51">
        <v>0.912293340431098</v>
      </c>
      <c r="BG108" s="1">
        <v>45</v>
      </c>
      <c r="BH108">
        <f t="shared" si="13"/>
        <v>-0.13795711049811366</v>
      </c>
      <c r="BI108">
        <f t="shared" si="14"/>
        <v>-1.3833734665155898E-2</v>
      </c>
      <c r="BJ108">
        <f t="shared" si="11"/>
        <v>-1.262042400831255E-2</v>
      </c>
    </row>
    <row r="109" spans="1:62" x14ac:dyDescent="0.3">
      <c r="B109" s="1" t="s">
        <v>14</v>
      </c>
      <c r="C109" s="11">
        <f>1-C108</f>
        <v>0</v>
      </c>
      <c r="D109" s="11">
        <f>1-D108</f>
        <v>0.58798283261802575</v>
      </c>
      <c r="E109" s="11">
        <f>1-E108</f>
        <v>1.3835401511909873E-2</v>
      </c>
      <c r="F109" s="11">
        <f>1-F108</f>
        <v>7.9109062980030731E-2</v>
      </c>
      <c r="G109" s="11">
        <f>1-G108</f>
        <v>0.18222722159730032</v>
      </c>
      <c r="S109" s="66" t="s">
        <v>39</v>
      </c>
      <c r="T109" s="67">
        <f>C295</f>
        <v>0</v>
      </c>
      <c r="U109" s="67">
        <f t="shared" si="22"/>
        <v>5.1453478985044878</v>
      </c>
      <c r="V109" s="67">
        <f t="shared" si="22"/>
        <v>0.25124267235961795</v>
      </c>
      <c r="W109" s="67">
        <f t="shared" si="22"/>
        <v>0.68903906532748493</v>
      </c>
      <c r="X109" s="67">
        <f t="shared" si="22"/>
        <v>2.2765449474357182</v>
      </c>
      <c r="AC109" t="s">
        <v>205</v>
      </c>
      <c r="AD109" s="51">
        <v>0.91720467632175795</v>
      </c>
      <c r="AE109" s="51">
        <v>0.90915494801892405</v>
      </c>
      <c r="AJ109" s="106" t="s">
        <v>403</v>
      </c>
      <c r="AK109" s="107" t="s">
        <v>28</v>
      </c>
      <c r="AL109" s="108">
        <f t="shared" ref="AL109:AP112" si="23">AL99</f>
        <v>1.4251597513741745</v>
      </c>
      <c r="AM109" s="108">
        <f t="shared" si="23"/>
        <v>9.2825297859057727</v>
      </c>
      <c r="AN109" s="108">
        <f t="shared" si="23"/>
        <v>57.477837372966789</v>
      </c>
      <c r="AO109" s="108">
        <f t="shared" si="23"/>
        <v>21.949323663938312</v>
      </c>
      <c r="AP109" s="108">
        <f t="shared" si="23"/>
        <v>9.8651494258149484</v>
      </c>
      <c r="AQ109" s="107"/>
      <c r="AR109" s="232" t="s">
        <v>77</v>
      </c>
      <c r="AS109" s="233">
        <f>AR100</f>
        <v>0.91800380862285236</v>
      </c>
      <c r="BF109" s="51">
        <v>0.91232376053581898</v>
      </c>
      <c r="BG109" s="1">
        <v>46</v>
      </c>
      <c r="BH109">
        <f t="shared" si="13"/>
        <v>-0.1127554498305592</v>
      </c>
      <c r="BI109">
        <f t="shared" si="14"/>
        <v>-1.1306622539238973E-2</v>
      </c>
      <c r="BJ109">
        <f t="shared" si="11"/>
        <v>-1.031530039395755E-2</v>
      </c>
    </row>
    <row r="110" spans="1:62" x14ac:dyDescent="0.3">
      <c r="C110" s="2"/>
      <c r="S110" s="15" t="s">
        <v>31</v>
      </c>
      <c r="T110" s="71">
        <f>I287</f>
        <v>100</v>
      </c>
      <c r="U110" s="71">
        <f>I288</f>
        <v>87.610619469026545</v>
      </c>
      <c r="V110" s="71">
        <f>I289</f>
        <v>92.715231788079478</v>
      </c>
      <c r="W110" s="71">
        <f>I290</f>
        <v>95.158730158730151</v>
      </c>
      <c r="X110" s="71">
        <f>I291</f>
        <v>75.978835978835974</v>
      </c>
      <c r="AC110" t="s">
        <v>206</v>
      </c>
      <c r="AD110" s="51">
        <v>0.92051997906124505</v>
      </c>
      <c r="AE110" s="51">
        <v>0.91284711902271298</v>
      </c>
      <c r="AH110" s="78"/>
      <c r="AI110" s="78"/>
      <c r="AJ110" s="107"/>
      <c r="AK110" s="109" t="s">
        <v>39</v>
      </c>
      <c r="AL110" s="110">
        <f t="shared" si="23"/>
        <v>0</v>
      </c>
      <c r="AM110" s="110">
        <f t="shared" si="23"/>
        <v>0.21776644384079916</v>
      </c>
      <c r="AN110" s="110">
        <f t="shared" si="23"/>
        <v>0.21789884340582333</v>
      </c>
      <c r="AO110" s="110">
        <f t="shared" si="23"/>
        <v>0.15586637111937232</v>
      </c>
      <c r="AP110" s="110">
        <f t="shared" si="23"/>
        <v>0.18130110595069546</v>
      </c>
      <c r="AQ110" s="107"/>
      <c r="AR110" s="232" t="s">
        <v>29</v>
      </c>
      <c r="AS110" s="234">
        <f>AS100</f>
        <v>2.7122304755798632E-3</v>
      </c>
      <c r="AX110" s="103" t="s">
        <v>386</v>
      </c>
      <c r="BF110" s="51">
        <v>0.91240905573185005</v>
      </c>
      <c r="BG110" s="1">
        <v>47</v>
      </c>
      <c r="BH110">
        <f t="shared" si="13"/>
        <v>-8.7625211222515251E-2</v>
      </c>
      <c r="BI110">
        <f t="shared" si="14"/>
        <v>-8.7866723045572307E-3</v>
      </c>
      <c r="BJ110">
        <f t="shared" si="11"/>
        <v>-8.0170393804262618E-3</v>
      </c>
    </row>
    <row r="111" spans="1:62" ht="15.6" x14ac:dyDescent="0.35">
      <c r="A111" t="s">
        <v>322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</v>
      </c>
      <c r="U111" s="76">
        <f>J288</f>
        <v>1.7920281254034289</v>
      </c>
      <c r="V111" s="76">
        <f>J289</f>
        <v>0.30215254014202847</v>
      </c>
      <c r="W111" s="76">
        <f>J290</f>
        <v>0.42765138234751204</v>
      </c>
      <c r="X111" s="76">
        <f>J291</f>
        <v>1.3904563028260104</v>
      </c>
      <c r="AC111" t="s">
        <v>160</v>
      </c>
      <c r="AD111" s="51">
        <v>0.92235212004885703</v>
      </c>
      <c r="AE111" s="51">
        <v>0.91548513415893695</v>
      </c>
      <c r="AJ111" s="107"/>
      <c r="AK111" s="107" t="s">
        <v>30</v>
      </c>
      <c r="AL111" s="108">
        <f t="shared" si="23"/>
        <v>100</v>
      </c>
      <c r="AM111" s="108">
        <f t="shared" si="23"/>
        <v>57.419139761296556</v>
      </c>
      <c r="AN111" s="108">
        <f t="shared" si="23"/>
        <v>97.849476671103162</v>
      </c>
      <c r="AO111" s="108">
        <f t="shared" si="23"/>
        <v>91.653706329224988</v>
      </c>
      <c r="AP111" s="108">
        <f t="shared" si="23"/>
        <v>88.04874879558588</v>
      </c>
      <c r="AQ111" s="107"/>
      <c r="AR111" s="107"/>
      <c r="AS111" s="107"/>
      <c r="AU111" s="103" t="s">
        <v>386</v>
      </c>
      <c r="AW111" s="101"/>
      <c r="AX111" s="1" t="s">
        <v>380</v>
      </c>
      <c r="AY111" s="96"/>
      <c r="BF111" s="51">
        <v>0.91252683318462902</v>
      </c>
      <c r="BG111" s="1">
        <v>48</v>
      </c>
      <c r="BH111">
        <f t="shared" si="13"/>
        <v>-6.2550197581039788E-2</v>
      </c>
      <c r="BI111">
        <f t="shared" si="14"/>
        <v>-6.2722597875882035E-3</v>
      </c>
      <c r="BJ111">
        <f t="shared" si="11"/>
        <v>-5.723605360879157E-3</v>
      </c>
    </row>
    <row r="112" spans="1:62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56</v>
      </c>
      <c r="T112" s="67">
        <f>N276*100</f>
        <v>100</v>
      </c>
      <c r="U112" s="67">
        <f>N277*100</f>
        <v>53.707052441229663</v>
      </c>
      <c r="V112" s="67">
        <f>N278*100</f>
        <v>95.549829375304682</v>
      </c>
      <c r="W112" s="67">
        <f>N279*100</f>
        <v>93.78177551818537</v>
      </c>
      <c r="X112" s="67">
        <f>N280*100</f>
        <v>78.598795840175157</v>
      </c>
      <c r="AC112" t="s">
        <v>207</v>
      </c>
      <c r="AD112" s="51">
        <v>0.92592915721514502</v>
      </c>
      <c r="AE112" s="51">
        <v>0.91960918614884202</v>
      </c>
      <c r="AH112" s="78"/>
      <c r="AI112" s="78"/>
      <c r="AJ112" s="107"/>
      <c r="AK112" s="109" t="s">
        <v>39</v>
      </c>
      <c r="AL112" s="110">
        <f t="shared" si="23"/>
        <v>0</v>
      </c>
      <c r="AM112" s="110">
        <f t="shared" si="23"/>
        <v>5.3923953967050879</v>
      </c>
      <c r="AN112" s="110">
        <f t="shared" si="23"/>
        <v>0.23337877767773202</v>
      </c>
      <c r="AO112" s="110">
        <f t="shared" si="23"/>
        <v>0.63536852981085323</v>
      </c>
      <c r="AP112" s="110">
        <f t="shared" si="23"/>
        <v>2.0471241424842521</v>
      </c>
      <c r="AQ112" s="107"/>
      <c r="AR112" s="107"/>
      <c r="AS112" s="107"/>
      <c r="AU112" s="93"/>
      <c r="AV112" s="1" t="s">
        <v>380</v>
      </c>
      <c r="AW112" s="97"/>
      <c r="AX112" s="71" t="s">
        <v>381</v>
      </c>
      <c r="AY112" s="95"/>
      <c r="BF112" s="51">
        <v>0.91283545225867369</v>
      </c>
      <c r="BG112" s="1">
        <v>49</v>
      </c>
      <c r="BH112">
        <f t="shared" si="13"/>
        <v>-3.7514457344072563E-2</v>
      </c>
      <c r="BI112">
        <f t="shared" si="14"/>
        <v>-3.7617854355706075E-3</v>
      </c>
      <c r="BJ112">
        <f t="shared" si="11"/>
        <v>-3.4338911093791872E-3</v>
      </c>
    </row>
    <row r="113" spans="1:62" x14ac:dyDescent="0.3">
      <c r="A113" t="s">
        <v>3</v>
      </c>
      <c r="B113" s="13">
        <v>0</v>
      </c>
      <c r="C113" s="29">
        <f>(C102/$L113)*$O113</f>
        <v>1.4241503083147544</v>
      </c>
      <c r="D113" s="31">
        <f>(D102/$L113)*$O113</f>
        <v>0</v>
      </c>
      <c r="E113" s="31">
        <f>(E102/$L113)*$O113</f>
        <v>0</v>
      </c>
      <c r="F113" s="31">
        <f>(F102/$L113)*$O113</f>
        <v>0</v>
      </c>
      <c r="G113" s="32">
        <f>(G102/$L113)*$O113</f>
        <v>0</v>
      </c>
      <c r="H113" s="17">
        <f>SUM(C113:G113)</f>
        <v>1.4241503083147544</v>
      </c>
      <c r="I113" s="17">
        <f>C113/H113*100</f>
        <v>100</v>
      </c>
      <c r="J113" s="17">
        <f>SQRT(I113*(100-I113)/(L113-1))</f>
        <v>0</v>
      </c>
      <c r="K113" s="18">
        <f>100-I113</f>
        <v>0</v>
      </c>
      <c r="L113" s="1">
        <f>H102</f>
        <v>259</v>
      </c>
      <c r="M113">
        <v>0</v>
      </c>
      <c r="N113" s="1">
        <v>2539.4899999999998</v>
      </c>
      <c r="O113" s="17">
        <f>N113/N118*100</f>
        <v>1.4241503083147544</v>
      </c>
      <c r="P113" s="52">
        <f>((O113*O113*(I113/100)*(K113/100))/(L113-1))</f>
        <v>0</v>
      </c>
      <c r="R113" s="16" t="s">
        <v>66</v>
      </c>
      <c r="S113" t="s">
        <v>9</v>
      </c>
      <c r="T113" s="30">
        <f>N287</f>
        <v>2543.09</v>
      </c>
      <c r="U113" s="30">
        <f>N288</f>
        <v>11229.52</v>
      </c>
      <c r="V113" s="30">
        <f>N289</f>
        <v>106998.88</v>
      </c>
      <c r="W113" s="30">
        <f>N290</f>
        <v>36886.1</v>
      </c>
      <c r="X113" s="30">
        <f>N291</f>
        <v>20658.560000000001</v>
      </c>
      <c r="Z113" t="s">
        <v>36</v>
      </c>
      <c r="AA113" s="1">
        <f>N292</f>
        <v>178316.15</v>
      </c>
      <c r="AC113" t="s">
        <v>161</v>
      </c>
      <c r="AD113" s="51">
        <v>0.921915896004187</v>
      </c>
      <c r="AE113" s="51">
        <v>0.91438794074617102</v>
      </c>
      <c r="AJ113" s="107"/>
      <c r="AK113" s="111" t="s">
        <v>31</v>
      </c>
      <c r="AL113" s="112">
        <f>AR94</f>
        <v>100</v>
      </c>
      <c r="AM113" s="112">
        <f>AR95</f>
        <v>86.430678466076699</v>
      </c>
      <c r="AN113" s="112">
        <f>AR96</f>
        <v>93.40451412353022</v>
      </c>
      <c r="AO113" s="112">
        <f>AR97</f>
        <v>95.952380952380949</v>
      </c>
      <c r="AP113" s="112">
        <f>AR98</f>
        <v>77.354497354497369</v>
      </c>
      <c r="AQ113" s="107"/>
      <c r="AR113" s="107"/>
      <c r="AS113" s="107"/>
      <c r="AU113" s="94"/>
      <c r="AV113" s="71" t="s">
        <v>383</v>
      </c>
      <c r="AW113" s="98"/>
      <c r="AX113" s="71" t="s">
        <v>382</v>
      </c>
      <c r="AY113" s="93"/>
      <c r="BF113" s="79">
        <v>0.91284711902271298</v>
      </c>
      <c r="BG113" s="1">
        <v>50</v>
      </c>
      <c r="BH113">
        <f t="shared" si="13"/>
        <v>-1.2502212342580959E-2</v>
      </c>
      <c r="BI113">
        <f t="shared" si="14"/>
        <v>-1.25366708283635E-3</v>
      </c>
      <c r="BJ113">
        <f t="shared" si="11"/>
        <v>-1.144406384780771E-3</v>
      </c>
    </row>
    <row r="114" spans="1:62" ht="15.6" x14ac:dyDescent="0.35">
      <c r="A114" t="s">
        <v>4</v>
      </c>
      <c r="B114" s="13">
        <v>1</v>
      </c>
      <c r="C114" s="33">
        <f t="shared" ref="C114:G117" si="24">(C103/$L114)*$O114</f>
        <v>0</v>
      </c>
      <c r="D114" s="34">
        <f t="shared" si="24"/>
        <v>5.252038738126795</v>
      </c>
      <c r="E114" s="19">
        <f t="shared" si="24"/>
        <v>0.93004852654328662</v>
      </c>
      <c r="F114" s="18">
        <f t="shared" si="24"/>
        <v>0</v>
      </c>
      <c r="G114" s="20">
        <f t="shared" si="24"/>
        <v>0</v>
      </c>
      <c r="H114" s="17">
        <f>SUM(C114:G114)</f>
        <v>6.1820872646700815</v>
      </c>
      <c r="I114" s="17">
        <f>D114/H114*100</f>
        <v>84.955752212389385</v>
      </c>
      <c r="J114" s="17">
        <f>SQRT(I114*(100-I114)/(L114-1))</f>
        <v>1.9445686667237165</v>
      </c>
      <c r="K114" s="18">
        <f>100-I114</f>
        <v>15.044247787610615</v>
      </c>
      <c r="L114" s="1">
        <f>H103</f>
        <v>339</v>
      </c>
      <c r="M114">
        <v>1</v>
      </c>
      <c r="N114" s="1">
        <v>11023.66</v>
      </c>
      <c r="O114" s="17">
        <f>N114/N118*100</f>
        <v>6.1820872646700815</v>
      </c>
      <c r="P114" s="52">
        <f>((O114*O114*(I114/100)*(K114/100))/(L114-1))</f>
        <v>1.4451629851310908E-2</v>
      </c>
      <c r="R114" s="16" t="s">
        <v>323</v>
      </c>
      <c r="S114" t="s">
        <v>68</v>
      </c>
      <c r="T114" s="57">
        <f>$AA113*T106/100</f>
        <v>2543.09</v>
      </c>
      <c r="U114" s="57">
        <f>$AA113*U106/100</f>
        <v>17375.010103805871</v>
      </c>
      <c r="V114" s="57">
        <f>$AA113*V106/100</f>
        <v>101711.76540587512</v>
      </c>
      <c r="W114" s="57">
        <f>$AA113*W106/100</f>
        <v>38600.720077112528</v>
      </c>
      <c r="X114" s="57">
        <f>$AA113*X106/100</f>
        <v>18085.564413206492</v>
      </c>
      <c r="Z114" t="s">
        <v>36</v>
      </c>
      <c r="AA114" s="25">
        <f>SUM(T114:X114)</f>
        <v>178316.15000000002</v>
      </c>
      <c r="AC114" t="s">
        <v>208</v>
      </c>
      <c r="AD114" s="51">
        <v>0.91842610364683297</v>
      </c>
      <c r="AE114" s="51">
        <v>0.91143932597671196</v>
      </c>
      <c r="AH114" s="78"/>
      <c r="AI114" s="78"/>
      <c r="AJ114" s="107"/>
      <c r="AK114" s="113" t="s">
        <v>39</v>
      </c>
      <c r="AL114" s="114">
        <f>AS94</f>
        <v>0</v>
      </c>
      <c r="AM114" s="114">
        <f>AS95</f>
        <v>1.8627504529603398</v>
      </c>
      <c r="AN114" s="114">
        <f>AS96</f>
        <v>0.28856932705211469</v>
      </c>
      <c r="AO114" s="114">
        <f>AS97</f>
        <v>0.39265724002115482</v>
      </c>
      <c r="AP114" s="114">
        <f>AS98</f>
        <v>1.3622216223481378</v>
      </c>
      <c r="AQ114" s="107"/>
      <c r="AR114" s="107"/>
      <c r="AS114" s="107"/>
      <c r="AU114" s="95"/>
      <c r="AV114" s="1" t="s">
        <v>384</v>
      </c>
      <c r="AW114" s="99"/>
      <c r="AX114" s="1" t="s">
        <v>387</v>
      </c>
      <c r="AY114" s="99"/>
      <c r="BF114" s="51">
        <v>0.91289365211461304</v>
      </c>
      <c r="BG114" s="1">
        <v>51</v>
      </c>
      <c r="BH114">
        <f t="shared" si="13"/>
        <v>1.2502212342580959E-2</v>
      </c>
      <c r="BI114">
        <f t="shared" si="14"/>
        <v>1.25366708283635E-3</v>
      </c>
      <c r="BJ114">
        <f t="shared" si="11"/>
        <v>1.1444647217863486E-3</v>
      </c>
    </row>
    <row r="115" spans="1:62" x14ac:dyDescent="0.3">
      <c r="A115" t="s">
        <v>5</v>
      </c>
      <c r="B115" s="13">
        <v>2</v>
      </c>
      <c r="C115" s="33">
        <f t="shared" si="24"/>
        <v>0</v>
      </c>
      <c r="D115" s="19">
        <f t="shared" si="24"/>
        <v>2.5163229110234453</v>
      </c>
      <c r="E115" s="34">
        <f t="shared" si="24"/>
        <v>56.122118086503548</v>
      </c>
      <c r="F115" s="19">
        <f t="shared" si="24"/>
        <v>0.94970896964433249</v>
      </c>
      <c r="G115" s="20">
        <f t="shared" si="24"/>
        <v>0.47079589948180589</v>
      </c>
      <c r="H115" s="17">
        <f>SUM(C115:G115)</f>
        <v>60.058945866653133</v>
      </c>
      <c r="I115" s="17">
        <f>E115/H115*100</f>
        <v>93.445060143262609</v>
      </c>
      <c r="J115" s="17">
        <f>SQRT(I115*(100-I115)/(L115-1))</f>
        <v>0.28774339677610827</v>
      </c>
      <c r="K115" s="18">
        <f>100-I115</f>
        <v>6.5549398567373913</v>
      </c>
      <c r="L115" s="1">
        <f>H104</f>
        <v>7399</v>
      </c>
      <c r="M115">
        <v>2</v>
      </c>
      <c r="N115" s="1">
        <v>107094.8</v>
      </c>
      <c r="O115" s="17">
        <f>N115/N118*100</f>
        <v>60.058945866653133</v>
      </c>
      <c r="P115" s="52">
        <f>((O115*O115*(I115/100)*(K115/100))/(L115-1))</f>
        <v>2.9865249197591561E-2</v>
      </c>
      <c r="R115" s="66"/>
      <c r="S115" s="66" t="s">
        <v>67</v>
      </c>
      <c r="T115" s="67">
        <f>$AA113*T107/100</f>
        <v>0</v>
      </c>
      <c r="U115" s="67">
        <f>$AA113*U107/100</f>
        <v>395.74909120994738</v>
      </c>
      <c r="V115" s="67">
        <f>$AA113*V107/100</f>
        <v>407.84425682447232</v>
      </c>
      <c r="W115" s="67">
        <f>$AA113*W107/100</f>
        <v>292.63959811346626</v>
      </c>
      <c r="X115" s="67">
        <f>$AA113*X107/100</f>
        <v>340.96813014692407</v>
      </c>
      <c r="AA115" s="1"/>
      <c r="AC115" t="s">
        <v>209</v>
      </c>
      <c r="AD115" s="51">
        <v>0.916070493805618</v>
      </c>
      <c r="AE115" s="51">
        <v>0.90941685595306998</v>
      </c>
      <c r="AJ115" s="107"/>
      <c r="AK115" s="109" t="s">
        <v>56</v>
      </c>
      <c r="AL115" s="110">
        <f>AW83*100</f>
        <v>100</v>
      </c>
      <c r="AM115" s="110">
        <f>AW84*100</f>
        <v>54.868913857677903</v>
      </c>
      <c r="AN115" s="110">
        <f>AW85*100</f>
        <v>96.01945119833276</v>
      </c>
      <c r="AO115" s="110">
        <f>AW86*100</f>
        <v>94.379391100702577</v>
      </c>
      <c r="AP115" s="110">
        <f>AW87*100</f>
        <v>80.37383177570095</v>
      </c>
      <c r="AQ115" s="107"/>
      <c r="AR115" s="107"/>
      <c r="AS115" s="107"/>
      <c r="AU115" s="96"/>
      <c r="AV115" s="1" t="s">
        <v>385</v>
      </c>
      <c r="AW115" s="100"/>
      <c r="AX115" s="71" t="s">
        <v>388</v>
      </c>
      <c r="AY115" s="102"/>
      <c r="BF115" s="51">
        <v>0.91294032178332896</v>
      </c>
      <c r="BG115" s="1">
        <v>52</v>
      </c>
      <c r="BH115">
        <f t="shared" si="13"/>
        <v>3.7514457344072417E-2</v>
      </c>
      <c r="BI115">
        <f t="shared" si="14"/>
        <v>3.7617854355705927E-3</v>
      </c>
      <c r="BJ115">
        <f t="shared" si="11"/>
        <v>3.434285606029657E-3</v>
      </c>
    </row>
    <row r="116" spans="1:62" x14ac:dyDescent="0.3">
      <c r="A116" t="s">
        <v>6</v>
      </c>
      <c r="B116" s="13">
        <v>3</v>
      </c>
      <c r="C116" s="33">
        <f t="shared" si="24"/>
        <v>0</v>
      </c>
      <c r="D116" s="19">
        <f t="shared" si="24"/>
        <v>0</v>
      </c>
      <c r="E116" s="19">
        <f t="shared" si="24"/>
        <v>0.14946174453151245</v>
      </c>
      <c r="F116" s="34">
        <f t="shared" si="24"/>
        <v>19.91162574369816</v>
      </c>
      <c r="G116" s="20">
        <f t="shared" si="24"/>
        <v>0.86355674618207201</v>
      </c>
      <c r="H116" s="17">
        <f>SUM(C116:G116)</f>
        <v>20.924644234411744</v>
      </c>
      <c r="I116" s="17">
        <f>F116/H116*100</f>
        <v>95.158730158730165</v>
      </c>
      <c r="J116" s="17">
        <f>SQRT(I116*(100-I116)/(L116-1))</f>
        <v>0.42765138234751149</v>
      </c>
      <c r="K116" s="18">
        <f>100-I116</f>
        <v>4.8412698412698347</v>
      </c>
      <c r="L116" s="1">
        <f>H105</f>
        <v>2520</v>
      </c>
      <c r="M116">
        <v>3</v>
      </c>
      <c r="N116" s="1">
        <v>37312.019999999997</v>
      </c>
      <c r="O116" s="17">
        <f>N116/N118*100</f>
        <v>20.924644234411744</v>
      </c>
      <c r="P116" s="52">
        <f>((O116*O116*(I116/100)*(K116/100))/(L116-1))</f>
        <v>8.0074811665481679E-3</v>
      </c>
      <c r="R116" t="s">
        <v>103</v>
      </c>
      <c r="S116" t="s">
        <v>28</v>
      </c>
      <c r="T116" s="57">
        <f>C321</f>
        <v>1.4057729154522971</v>
      </c>
      <c r="U116" s="57">
        <f t="shared" ref="U116:X119" si="25">D321</f>
        <v>8.9466919189947411</v>
      </c>
      <c r="V116" s="57">
        <f t="shared" si="25"/>
        <v>57.65723290433364</v>
      </c>
      <c r="W116" s="57">
        <f t="shared" si="25"/>
        <v>22.081821874348048</v>
      </c>
      <c r="X116" s="57">
        <f t="shared" si="25"/>
        <v>9.9084803868712754</v>
      </c>
      <c r="Z116" s="74"/>
      <c r="AA116" s="12"/>
      <c r="AD116" s="51"/>
      <c r="AE116" s="51"/>
      <c r="AH116" s="78"/>
      <c r="AI116" s="78"/>
      <c r="AJ116" s="115" t="s">
        <v>409</v>
      </c>
      <c r="AK116" s="107" t="s">
        <v>9</v>
      </c>
      <c r="AL116" s="116">
        <f>AW94</f>
        <v>2541.29</v>
      </c>
      <c r="AM116" s="116">
        <f>AW95</f>
        <v>10996.28</v>
      </c>
      <c r="AN116" s="116">
        <f>AW96</f>
        <v>107369.7</v>
      </c>
      <c r="AO116" s="116">
        <f>AW97</f>
        <v>37385.75</v>
      </c>
      <c r="AP116" s="116">
        <f>AW98</f>
        <v>20023.13</v>
      </c>
      <c r="AQ116" s="107"/>
      <c r="AR116" s="115" t="s">
        <v>36</v>
      </c>
      <c r="AS116" s="111">
        <f>AW99</f>
        <v>178316.15</v>
      </c>
      <c r="AW116" s="102"/>
      <c r="AX116" s="1" t="s">
        <v>385</v>
      </c>
      <c r="AY116" s="104"/>
      <c r="BF116" s="51">
        <v>0.91296328331224297</v>
      </c>
      <c r="BG116" s="1">
        <v>53</v>
      </c>
      <c r="BH116">
        <f t="shared" si="13"/>
        <v>6.2550197581039788E-2</v>
      </c>
      <c r="BI116">
        <f t="shared" si="14"/>
        <v>6.2722597875882035E-3</v>
      </c>
      <c r="BJ116">
        <f t="shared" si="11"/>
        <v>5.7263428894638781E-3</v>
      </c>
    </row>
    <row r="117" spans="1:62" ht="15.6" x14ac:dyDescent="0.35">
      <c r="A117" t="s">
        <v>7</v>
      </c>
      <c r="B117" s="13">
        <v>4</v>
      </c>
      <c r="C117" s="35">
        <f t="shared" si="24"/>
        <v>0</v>
      </c>
      <c r="D117" s="36">
        <f t="shared" si="24"/>
        <v>1.2194998993872792</v>
      </c>
      <c r="E117" s="21">
        <f t="shared" si="24"/>
        <v>0.33807918002815662</v>
      </c>
      <c r="F117" s="21">
        <f t="shared" si="24"/>
        <v>1.0746088222323551</v>
      </c>
      <c r="G117" s="37">
        <f t="shared" si="24"/>
        <v>8.7779844243024954</v>
      </c>
      <c r="H117" s="17">
        <f>SUM(C117:G117)</f>
        <v>11.410172325950287</v>
      </c>
      <c r="I117" s="17">
        <f>G117/H117*100</f>
        <v>76.931216931216923</v>
      </c>
      <c r="J117" s="17">
        <f>SQRT(I117*(100-I117)/(L117-1))</f>
        <v>1.3711268850699352</v>
      </c>
      <c r="K117" s="18">
        <f>100-I117</f>
        <v>23.068783068783077</v>
      </c>
      <c r="L117" s="1">
        <f>H106</f>
        <v>945</v>
      </c>
      <c r="M117">
        <v>4</v>
      </c>
      <c r="N117" s="1">
        <v>20346.18</v>
      </c>
      <c r="O117" s="17">
        <f>N117/N118*100</f>
        <v>11.410172325950287</v>
      </c>
      <c r="P117" s="52">
        <f>((O117*O117*(I117/100)*(K117/100))/(L117-1))</f>
        <v>2.4475958053497657E-2</v>
      </c>
      <c r="S117" s="66" t="s">
        <v>39</v>
      </c>
      <c r="T117" s="67">
        <f>C322</f>
        <v>0</v>
      </c>
      <c r="U117" s="67">
        <f t="shared" si="25"/>
        <v>0.21542098701609602</v>
      </c>
      <c r="V117" s="67">
        <f t="shared" si="25"/>
        <v>0.2153212633466173</v>
      </c>
      <c r="W117" s="67">
        <f t="shared" si="25"/>
        <v>0.15784810319855572</v>
      </c>
      <c r="X117" s="67">
        <f t="shared" si="25"/>
        <v>0.18040867061253565</v>
      </c>
      <c r="AD117" s="51"/>
      <c r="AE117" s="51"/>
      <c r="AJ117" s="115" t="s">
        <v>378</v>
      </c>
      <c r="AK117" s="107" t="s">
        <v>68</v>
      </c>
      <c r="AL117" s="108">
        <f>$AS116*AL109/100</f>
        <v>2541.29</v>
      </c>
      <c r="AM117" s="108">
        <f>$AS116*AM109/100</f>
        <v>16552.249736830414</v>
      </c>
      <c r="AN117" s="108">
        <f>$AS116*AN109/100</f>
        <v>102492.26670673551</v>
      </c>
      <c r="AO117" s="108">
        <f>$AS116*AO109/100</f>
        <v>39139.188908573735</v>
      </c>
      <c r="AP117" s="108">
        <f>$AS116*AP109/100</f>
        <v>17591.154647860323</v>
      </c>
      <c r="AQ117" s="107"/>
      <c r="AR117" s="115" t="s">
        <v>36</v>
      </c>
      <c r="AS117" s="137">
        <f>SUM(AL117:AP117)</f>
        <v>178316.14999999997</v>
      </c>
      <c r="BF117" s="51">
        <v>0.91306879738576796</v>
      </c>
      <c r="BG117" s="1">
        <v>54</v>
      </c>
      <c r="BH117">
        <f t="shared" si="13"/>
        <v>8.762521122251539E-2</v>
      </c>
      <c r="BI117">
        <f t="shared" si="14"/>
        <v>8.7866723045572446E-3</v>
      </c>
      <c r="BJ117">
        <f t="shared" si="11"/>
        <v>8.0228363141449169E-3</v>
      </c>
    </row>
    <row r="118" spans="1:62" x14ac:dyDescent="0.3">
      <c r="B118" t="s">
        <v>28</v>
      </c>
      <c r="C118" s="17">
        <f t="shared" ref="C118:H118" si="26">SUM(C113:C117)</f>
        <v>1.4241503083147544</v>
      </c>
      <c r="D118" s="17">
        <f t="shared" si="26"/>
        <v>8.98786154853752</v>
      </c>
      <c r="E118" s="17">
        <f t="shared" si="26"/>
        <v>57.53970753760651</v>
      </c>
      <c r="F118" s="17">
        <f t="shared" si="26"/>
        <v>21.93594353557485</v>
      </c>
      <c r="G118" s="17">
        <f t="shared" si="26"/>
        <v>10.112337069966372</v>
      </c>
      <c r="H118" s="18">
        <f t="shared" si="26"/>
        <v>100</v>
      </c>
      <c r="I118" s="13" t="s">
        <v>24</v>
      </c>
      <c r="J118" s="12" t="s">
        <v>29</v>
      </c>
      <c r="N118" s="1">
        <f>SUM(N113:N117)</f>
        <v>178316.15</v>
      </c>
      <c r="O118" s="17">
        <f>SUM(O113:O117)</f>
        <v>100</v>
      </c>
      <c r="S118" t="s">
        <v>30</v>
      </c>
      <c r="T118" s="57">
        <f>C323</f>
        <v>100</v>
      </c>
      <c r="U118" s="57">
        <f t="shared" si="25"/>
        <v>58.046692788065322</v>
      </c>
      <c r="V118" s="57">
        <f t="shared" si="25"/>
        <v>97.728445424646296</v>
      </c>
      <c r="W118" s="57">
        <f t="shared" si="25"/>
        <v>91.559342344227986</v>
      </c>
      <c r="X118" s="57">
        <f t="shared" si="25"/>
        <v>88.716562549985582</v>
      </c>
      <c r="AD118" s="51"/>
      <c r="AE118" s="51"/>
      <c r="AH118" s="78"/>
      <c r="AI118" s="78"/>
      <c r="AJ118" s="107"/>
      <c r="AK118" s="109" t="s">
        <v>377</v>
      </c>
      <c r="AL118" s="110">
        <f>$AS116*AL110/100</f>
        <v>0</v>
      </c>
      <c r="AM118" s="110">
        <f>$AS116*AM110/100</f>
        <v>388.31273864882519</v>
      </c>
      <c r="AN118" s="110">
        <f>$AS116*AN110/100</f>
        <v>388.54882845579306</v>
      </c>
      <c r="AO118" s="110">
        <f>$AS116*AO110/100</f>
        <v>277.93491212477659</v>
      </c>
      <c r="AP118" s="110">
        <f>$AS116*AP110/100</f>
        <v>323.28915203870105</v>
      </c>
      <c r="AQ118" s="107"/>
      <c r="AR118" s="107"/>
      <c r="AS118" s="107"/>
      <c r="BF118" s="51">
        <v>0.91308803130918303</v>
      </c>
      <c r="BG118" s="1">
        <v>55</v>
      </c>
      <c r="BH118">
        <f t="shared" si="13"/>
        <v>0.1127554498305592</v>
      </c>
      <c r="BI118">
        <f t="shared" si="14"/>
        <v>1.1306622539238973E-2</v>
      </c>
      <c r="BJ118">
        <f t="shared" si="11"/>
        <v>1.0323941715109751E-2</v>
      </c>
    </row>
    <row r="119" spans="1:62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0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0.21709321969810788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0.22240390731492532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0.16536160642879741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0.18739314331428669</v>
      </c>
      <c r="H119" s="1"/>
      <c r="I119" s="56">
        <f>(C113+D114+E115+F116+G117)/H118</f>
        <v>0.91487917300945754</v>
      </c>
      <c r="J119" s="53">
        <f>SQRT(SUM(P113:P117))/100</f>
        <v>2.7712870343749724E-3</v>
      </c>
      <c r="M119" s="1"/>
      <c r="N119" s="9"/>
      <c r="S119" s="66" t="s">
        <v>39</v>
      </c>
      <c r="T119" s="67">
        <f>C324</f>
        <v>0</v>
      </c>
      <c r="U119" s="67">
        <f t="shared" si="25"/>
        <v>5.5708640730308581</v>
      </c>
      <c r="V119" s="67">
        <f t="shared" si="25"/>
        <v>0.23629323161411173</v>
      </c>
      <c r="W119" s="67">
        <f t="shared" si="25"/>
        <v>0.64034873356180477</v>
      </c>
      <c r="X119" s="67">
        <f t="shared" si="25"/>
        <v>1.9433181959844956</v>
      </c>
      <c r="AD119" s="51"/>
      <c r="AE119" s="51"/>
      <c r="AJ119" s="115" t="s">
        <v>410</v>
      </c>
      <c r="AK119" s="122" t="s">
        <v>9</v>
      </c>
      <c r="AL119" s="136">
        <f>AVERAGE(AR195:AR214)</f>
        <v>2531.4524999999999</v>
      </c>
      <c r="AM119" s="136">
        <f>AVERAGE(AS195:AS214)</f>
        <v>11069.595000000001</v>
      </c>
      <c r="AN119" s="136">
        <f>AVERAGE(AT195:AT214)</f>
        <v>106994.75</v>
      </c>
      <c r="AO119" s="136">
        <f>AVERAGE(AU195:AU214)</f>
        <v>37367.996499999994</v>
      </c>
      <c r="AP119" s="140">
        <f>AVERAGE(AV195:AV214)</f>
        <v>20352.357500000002</v>
      </c>
      <c r="AQ119" s="107"/>
      <c r="AR119" s="115" t="s">
        <v>36</v>
      </c>
      <c r="AS119" s="137">
        <f>SUM(AL119:AP119)</f>
        <v>178316.15150000001</v>
      </c>
      <c r="BF119" s="51">
        <v>0.91321416000954003</v>
      </c>
      <c r="BG119" s="1">
        <v>56</v>
      </c>
      <c r="BH119">
        <f t="shared" si="13"/>
        <v>0.13795711049811366</v>
      </c>
      <c r="BI119">
        <f t="shared" si="14"/>
        <v>1.3833734665155898E-2</v>
      </c>
      <c r="BJ119">
        <f t="shared" si="11"/>
        <v>1.2633162382035198E-2</v>
      </c>
    </row>
    <row r="120" spans="1:62" x14ac:dyDescent="0.3">
      <c r="B120" s="1" t="s">
        <v>30</v>
      </c>
      <c r="C120" s="17">
        <f>C113/C118*100</f>
        <v>100</v>
      </c>
      <c r="D120" s="17">
        <f>D114/D118*100</f>
        <v>58.434797974623805</v>
      </c>
      <c r="E120" s="17">
        <f>E115/E118*100</f>
        <v>97.536328369106741</v>
      </c>
      <c r="F120" s="17">
        <f>F116/F118*100</f>
        <v>90.771685801462183</v>
      </c>
      <c r="G120" s="17">
        <f>G117/G118*100</f>
        <v>86.804705614225398</v>
      </c>
      <c r="H120" s="1"/>
      <c r="S120" s="15" t="s">
        <v>31</v>
      </c>
      <c r="T120" s="71">
        <f>I316</f>
        <v>100</v>
      </c>
      <c r="U120" s="71">
        <f>I317</f>
        <v>85.545722713864308</v>
      </c>
      <c r="V120" s="71">
        <f>I318</f>
        <v>93.769428301121778</v>
      </c>
      <c r="W120" s="71">
        <f>I319</f>
        <v>95.753968253968253</v>
      </c>
      <c r="X120" s="71">
        <f>I320</f>
        <v>77.671957671957671</v>
      </c>
      <c r="AD120" s="51"/>
      <c r="AE120" s="51"/>
      <c r="AH120" s="78"/>
      <c r="AI120" s="78"/>
      <c r="AJ120" s="141"/>
      <c r="AK120" s="129" t="s">
        <v>394</v>
      </c>
      <c r="AL120" s="125">
        <f>_xlfn.STDEV.S(AR195:AR214)/SQRT($AK$108)</f>
        <v>3.6858700233387789</v>
      </c>
      <c r="AM120" s="125">
        <f>_xlfn.STDEV.S(AS195:AS214)/SQRT($AK$108)</f>
        <v>68.134879824391078</v>
      </c>
      <c r="AN120" s="125">
        <f>_xlfn.STDEV.S(AT195:AT214)/SQRT($AK$108)</f>
        <v>140.29912046091076</v>
      </c>
      <c r="AO120" s="125">
        <f>_xlfn.STDEV.S(AU195:AU214)/SQRT($AK$108)</f>
        <v>64.672480876925633</v>
      </c>
      <c r="AP120" s="125">
        <f>_xlfn.STDEV.S(AV195:AV214)/SQRT($AK$108)</f>
        <v>66.796331946546019</v>
      </c>
      <c r="AQ120" s="107"/>
      <c r="AR120" s="107"/>
      <c r="AS120" s="107"/>
      <c r="BF120" s="51">
        <v>0.91327570586332696</v>
      </c>
      <c r="BG120" s="1">
        <v>57</v>
      </c>
      <c r="BH120">
        <f t="shared" si="13"/>
        <v>0.163246710840321</v>
      </c>
      <c r="BI120">
        <f t="shared" si="14"/>
        <v>1.6369664996392547E-2</v>
      </c>
      <c r="BJ120">
        <f t="shared" si="11"/>
        <v>1.4950017354326599E-2</v>
      </c>
    </row>
    <row r="121" spans="1:62" x14ac:dyDescent="0.3">
      <c r="B121" s="16" t="s">
        <v>39</v>
      </c>
      <c r="C121" s="18">
        <f>SQRT((C124+C125)/(C118*C118))</f>
        <v>0</v>
      </c>
      <c r="D121" s="18">
        <f>SQRT((D124+D125)/(D118*D118))</f>
        <v>5.6825424240024311</v>
      </c>
      <c r="E121" s="18">
        <f>SQRT((E124+E125)/(E118*E118))</f>
        <v>0.2488704535522549</v>
      </c>
      <c r="F121" s="18">
        <f>SQRT((F124+F125)/(F118*F118))</f>
        <v>0.68783543367595401</v>
      </c>
      <c r="G121" s="18">
        <f>SQRT((G124+G125)/(G118*G118))</f>
        <v>2.22568482298353</v>
      </c>
      <c r="H121" s="1"/>
      <c r="S121" s="75" t="s">
        <v>39</v>
      </c>
      <c r="T121" s="76">
        <f>J316</f>
        <v>0</v>
      </c>
      <c r="U121" s="76">
        <f>J317</f>
        <v>1.9126653517482657</v>
      </c>
      <c r="V121" s="76">
        <f>J318</f>
        <v>0.28102012306808649</v>
      </c>
      <c r="W121" s="76">
        <f>J319</f>
        <v>0.40175003684622229</v>
      </c>
      <c r="X121" s="76">
        <f>J320</f>
        <v>1.3554123921359515</v>
      </c>
      <c r="AD121" s="51"/>
      <c r="AE121" s="51"/>
      <c r="AJ121" s="119" t="s">
        <v>404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  <c r="BF121" s="51">
        <v>0.91328844139678</v>
      </c>
      <c r="BG121" s="1">
        <v>58</v>
      </c>
      <c r="BH121">
        <f t="shared" si="13"/>
        <v>0.18864116776152437</v>
      </c>
      <c r="BI121">
        <f t="shared" si="14"/>
        <v>1.891610988600527E-2</v>
      </c>
      <c r="BJ121">
        <f t="shared" si="11"/>
        <v>1.7275864515079974E-2</v>
      </c>
    </row>
    <row r="122" spans="1:62" x14ac:dyDescent="0.3">
      <c r="B122" s="1" t="s">
        <v>37</v>
      </c>
      <c r="C122" s="18">
        <f>100-C120</f>
        <v>0</v>
      </c>
      <c r="D122" s="18">
        <f>100-D120</f>
        <v>41.565202025376195</v>
      </c>
      <c r="E122" s="18">
        <f>100-E120</f>
        <v>2.4636716308932591</v>
      </c>
      <c r="F122" s="18">
        <f>100-F120</f>
        <v>9.2283141985378165</v>
      </c>
      <c r="G122" s="18">
        <f>100-G120</f>
        <v>13.195294385774602</v>
      </c>
      <c r="S122" s="66" t="s">
        <v>56</v>
      </c>
      <c r="T122" s="67">
        <f>N305*100</f>
        <v>100</v>
      </c>
      <c r="U122" s="67">
        <f>N306*100</f>
        <v>55.876685934489402</v>
      </c>
      <c r="V122" s="67">
        <f>N307*100</f>
        <v>96.167440571072149</v>
      </c>
      <c r="W122" s="67">
        <f>N308*100</f>
        <v>94.165853658536605</v>
      </c>
      <c r="X122" s="67">
        <f>N309*100</f>
        <v>80.926130099228217</v>
      </c>
      <c r="AD122" s="51"/>
      <c r="AE122" s="51"/>
      <c r="AH122" s="78"/>
      <c r="AI122" s="78"/>
      <c r="AJ122" s="115" t="s">
        <v>409</v>
      </c>
      <c r="AK122" s="122" t="s">
        <v>9</v>
      </c>
      <c r="AL122" s="136">
        <v>272.33999999999997</v>
      </c>
      <c r="AM122" s="136">
        <v>1576.42</v>
      </c>
      <c r="AN122" s="136">
        <v>15782.98</v>
      </c>
      <c r="AO122" s="136">
        <v>2166.17</v>
      </c>
      <c r="AP122" s="136">
        <v>1724.85</v>
      </c>
      <c r="AQ122" s="107"/>
      <c r="AR122" s="115" t="s">
        <v>36</v>
      </c>
      <c r="AS122" s="137">
        <f>SUM(AL122:AP122)</f>
        <v>21522.759999999995</v>
      </c>
      <c r="AU122">
        <v>1</v>
      </c>
      <c r="AV122">
        <v>68</v>
      </c>
      <c r="BF122" s="51">
        <v>0.91331558273775204</v>
      </c>
      <c r="BG122" s="1">
        <v>59</v>
      </c>
      <c r="BH122">
        <f t="shared" si="13"/>
        <v>0.21415788100561858</v>
      </c>
      <c r="BI122">
        <f t="shared" si="14"/>
        <v>2.1474814104085391E-2</v>
      </c>
      <c r="BJ122">
        <f t="shared" si="11"/>
        <v>1.9613282357657646E-2</v>
      </c>
    </row>
    <row r="123" spans="1:62" ht="15.6" x14ac:dyDescent="0.35">
      <c r="B123" s="1" t="s">
        <v>25</v>
      </c>
      <c r="C123" s="1">
        <f>C107</f>
        <v>259</v>
      </c>
      <c r="D123" s="1">
        <f>D107</f>
        <v>699</v>
      </c>
      <c r="E123" s="1">
        <f>E107</f>
        <v>7011</v>
      </c>
      <c r="F123" s="1">
        <f>F107</f>
        <v>2604</v>
      </c>
      <c r="G123" s="1">
        <f>G107</f>
        <v>889</v>
      </c>
      <c r="R123" s="16" t="s">
        <v>66</v>
      </c>
      <c r="S123" t="s">
        <v>9</v>
      </c>
      <c r="T123" s="30">
        <f>N316</f>
        <v>2506.7199999999998</v>
      </c>
      <c r="U123" s="30">
        <f>N317</f>
        <v>10825.11</v>
      </c>
      <c r="V123" s="30">
        <f>N318</f>
        <v>107152.96000000001</v>
      </c>
      <c r="W123" s="30">
        <f>N319</f>
        <v>37650.559999999998</v>
      </c>
      <c r="X123" s="30">
        <f>N320</f>
        <v>20180.79</v>
      </c>
      <c r="Z123" t="s">
        <v>36</v>
      </c>
      <c r="AA123" s="1">
        <f>N321</f>
        <v>178316.14</v>
      </c>
      <c r="AD123" s="51"/>
      <c r="AE123" s="51"/>
      <c r="AJ123" s="107"/>
      <c r="AK123" s="107" t="s">
        <v>391</v>
      </c>
      <c r="AL123" s="108">
        <f>(AL122/$AS122)*100</f>
        <v>1.2653581603846349</v>
      </c>
      <c r="AM123" s="108">
        <f>(AM122/$AS122)*100</f>
        <v>7.3244323683393784</v>
      </c>
      <c r="AN123" s="108">
        <f>(AN122/$AS122)*100</f>
        <v>73.331580150501168</v>
      </c>
      <c r="AO123" s="108">
        <f>(AO122/$AS122)*100</f>
        <v>10.064554917677846</v>
      </c>
      <c r="AP123" s="108">
        <f>(AP122/$AS122)*100</f>
        <v>8.0140744030970019</v>
      </c>
      <c r="AQ123" s="107"/>
      <c r="AR123" s="107"/>
      <c r="AS123" s="107"/>
      <c r="AU123">
        <v>2</v>
      </c>
      <c r="AV123">
        <v>97</v>
      </c>
      <c r="BF123" s="51">
        <v>0.91347018810470904</v>
      </c>
      <c r="BG123" s="1">
        <v>60</v>
      </c>
      <c r="BH123">
        <f t="shared" si="13"/>
        <v>0.23981482260806397</v>
      </c>
      <c r="BI123">
        <f t="shared" si="14"/>
        <v>2.4047579807615273E-2</v>
      </c>
      <c r="BJ123">
        <f t="shared" si="11"/>
        <v>2.1966747250325325E-2</v>
      </c>
    </row>
    <row r="124" spans="1:62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2496.7589819205919</v>
      </c>
      <c r="E124" s="18">
        <f>(O115*O115*(100-E120)*(100-E120)*(I115)*(100-I115))/((L115-1)*100)</f>
        <v>18.127244317800582</v>
      </c>
      <c r="F124" s="18">
        <f>(O116*O116*(100-F120)*(100-F120)*(I116)*(100-I116))/((L116-1)*100)</f>
        <v>68.193137305724221</v>
      </c>
      <c r="G124" s="18">
        <f>(O117*O117*(100-G120)*(100-G120)*(I117)*(100-I117))/((L117-1)*100)</f>
        <v>426.1650868614928</v>
      </c>
      <c r="R124" s="16" t="s">
        <v>323</v>
      </c>
      <c r="S124" t="s">
        <v>68</v>
      </c>
      <c r="T124" s="57">
        <f>$AA123*T116/100</f>
        <v>2506.7199999999998</v>
      </c>
      <c r="U124" s="57">
        <f>$AA123*U116/100</f>
        <v>15953.395687643349</v>
      </c>
      <c r="V124" s="57">
        <f>$AA123*V116/100</f>
        <v>102812.15214581766</v>
      </c>
      <c r="W124" s="57">
        <f>$AA123*W116/100</f>
        <v>39375.452408013094</v>
      </c>
      <c r="X124" s="57">
        <f>$AA123*X116/100</f>
        <v>17668.419758525924</v>
      </c>
      <c r="Z124" t="s">
        <v>36</v>
      </c>
      <c r="AA124" s="25">
        <f>SUM(T124:X124)</f>
        <v>178316.14</v>
      </c>
      <c r="AD124" s="51"/>
      <c r="AE124" s="51"/>
      <c r="AH124" s="78"/>
      <c r="AI124" s="78"/>
      <c r="AJ124" s="115" t="s">
        <v>410</v>
      </c>
      <c r="AK124" s="122" t="s">
        <v>9</v>
      </c>
      <c r="AL124" s="136">
        <f>AVERAGE(AR216:AR235)</f>
        <v>271.13549999999998</v>
      </c>
      <c r="AM124" s="136">
        <f>AVERAGE(AS216:AS235)</f>
        <v>1596.4944999999996</v>
      </c>
      <c r="AN124" s="136">
        <f>AVERAGE(AT216:AT235)</f>
        <v>15718.704999999998</v>
      </c>
      <c r="AO124" s="136">
        <f>AVERAGE(AU216:AU235)</f>
        <v>2168.3575000000001</v>
      </c>
      <c r="AP124" s="136">
        <f>AVERAGE(AV216:AV235)</f>
        <v>1768.0710000000004</v>
      </c>
      <c r="AQ124" s="107"/>
      <c r="AR124" s="115" t="s">
        <v>36</v>
      </c>
      <c r="AS124" s="137">
        <f>SUM(AL124:AP124)</f>
        <v>21522.763499999997</v>
      </c>
      <c r="AU124">
        <v>3</v>
      </c>
      <c r="AV124">
        <v>126</v>
      </c>
      <c r="BF124" s="51">
        <v>0.91349198275439403</v>
      </c>
      <c r="BG124" s="1">
        <v>61</v>
      </c>
      <c r="BH124">
        <f t="shared" si="13"/>
        <v>0.26563063350790211</v>
      </c>
      <c r="BI124">
        <f t="shared" si="14"/>
        <v>2.6636276228298016E-2</v>
      </c>
      <c r="BJ124">
        <f t="shared" si="11"/>
        <v>2.4332024784981688E-2</v>
      </c>
    </row>
    <row r="125" spans="1:62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111.78474412572439</v>
      </c>
      <c r="E125" s="18">
        <f>E120*E120*(SUM((H113*E113*(1-E102/H102))/(H102-1),(H114*E114*(1-E103/H103))/(H103-1), (H116*E116*(1-E105/H105))/(H105-1),(H117*E117*(1-E106/H106))/(H106-1)))</f>
        <v>186.93324001859878</v>
      </c>
      <c r="F125" s="18">
        <f>F120*F120*(SUM((H113*F113*(1-F102/H102))/(H102-1),(H114*F114*(1-F103/H103))/(H103-1), (H115*F115*(1-F104/H104))/(H104-1),(H117*F117*(1-F106/H106))/(H106-1)))</f>
        <v>159.46424002802721</v>
      </c>
      <c r="G125" s="18">
        <f>G120*G120*(SUM((H113*G113*(1-G102/H102))/(H102-1),(H114*G114*(1-G103/H103))/(H103-1), (H115*G115*(1-G104/H104))/(H104-1),(H116*G116*(1-G105/H105))/(H105-1)))</f>
        <v>80.394341774383236</v>
      </c>
      <c r="R125" s="66"/>
      <c r="S125" s="66" t="s">
        <v>67</v>
      </c>
      <c r="T125" s="67">
        <f>$AA123*T117/100</f>
        <v>0</v>
      </c>
      <c r="U125" s="67">
        <f>$AA123*U117/100</f>
        <v>384.1303887970036</v>
      </c>
      <c r="V125" s="67">
        <f>$AA123*V117/100</f>
        <v>383.95256539892284</v>
      </c>
      <c r="W125" s="67">
        <f>$AA123*W117/100</f>
        <v>281.46864468688113</v>
      </c>
      <c r="X125" s="67">
        <f>$AA123*X117/100</f>
        <v>321.69777766158796</v>
      </c>
      <c r="AA125" s="1"/>
      <c r="AD125" s="51"/>
      <c r="AE125" s="51"/>
      <c r="AJ125" s="107"/>
      <c r="AK125" s="129" t="s">
        <v>394</v>
      </c>
      <c r="AL125" s="125">
        <f>_xlfn.STDEV.S(AR216:AR235)/SQRT($AK$108)</f>
        <v>0.70161373201168831</v>
      </c>
      <c r="AM125" s="125">
        <f>_xlfn.STDEV.S(AS216:AS235)/SQRT($AK$108)</f>
        <v>12.318300559373135</v>
      </c>
      <c r="AN125" s="125">
        <f>_xlfn.STDEV.S(AT216:AT235)/SQRT($AK$108)</f>
        <v>23.591357522127488</v>
      </c>
      <c r="AO125" s="125">
        <f>_xlfn.STDEV.S(AU216:AU235)/SQRT($AK$108)</f>
        <v>7.9132746523600472</v>
      </c>
      <c r="AP125" s="125">
        <f>_xlfn.STDEV.S(AV216:AV235)/SQRT($AK$108)</f>
        <v>12.601356274122578</v>
      </c>
      <c r="AQ125" s="107"/>
      <c r="AR125" s="107"/>
      <c r="AS125" s="107"/>
      <c r="AU125">
        <v>4</v>
      </c>
      <c r="AV125">
        <v>155</v>
      </c>
      <c r="BF125" s="51">
        <v>0.91352047304765505</v>
      </c>
      <c r="BG125" s="1">
        <v>62</v>
      </c>
      <c r="BH125">
        <f t="shared" si="13"/>
        <v>0.29162472875305195</v>
      </c>
      <c r="BI125">
        <f t="shared" si="14"/>
        <v>2.9242850222083644E-2</v>
      </c>
      <c r="BJ125">
        <f t="shared" si="11"/>
        <v>2.6713942368139575E-2</v>
      </c>
    </row>
    <row r="126" spans="1:62" x14ac:dyDescent="0.3">
      <c r="A126" s="105" t="s">
        <v>390</v>
      </c>
      <c r="B126" s="69" t="s">
        <v>9</v>
      </c>
      <c r="C126" s="1">
        <v>271.44</v>
      </c>
      <c r="D126" s="1">
        <v>1609.28</v>
      </c>
      <c r="E126" s="1">
        <v>15731.3</v>
      </c>
      <c r="F126" s="1">
        <v>2151.86</v>
      </c>
      <c r="G126" s="1">
        <v>1758.88</v>
      </c>
      <c r="I126" t="s">
        <v>36</v>
      </c>
      <c r="J126" s="57">
        <f>SUM(C126:G126)</f>
        <v>21522.760000000002</v>
      </c>
      <c r="R126" t="s">
        <v>104</v>
      </c>
      <c r="S126" t="s">
        <v>28</v>
      </c>
      <c r="T126" s="57">
        <f>C350</f>
        <v>1.4189012044057701</v>
      </c>
      <c r="U126" s="57">
        <f t="shared" ref="U126:X129" si="27">D350</f>
        <v>9.298543134797983</v>
      </c>
      <c r="V126" s="57">
        <f t="shared" si="27"/>
        <v>57.43793432730196</v>
      </c>
      <c r="W126" s="57">
        <f t="shared" si="27"/>
        <v>21.933300136097831</v>
      </c>
      <c r="X126" s="57">
        <f t="shared" si="27"/>
        <v>9.9113211973964397</v>
      </c>
      <c r="Y126" s="13"/>
      <c r="Z126" s="74"/>
      <c r="AA126" s="12"/>
      <c r="AD126" s="51"/>
      <c r="AE126" s="51"/>
      <c r="AH126" s="78"/>
      <c r="AI126" s="78"/>
      <c r="AJ126" s="119" t="s">
        <v>427</v>
      </c>
      <c r="AK126" s="107"/>
      <c r="AL126" s="116"/>
      <c r="AM126" s="116"/>
      <c r="AN126" s="116"/>
      <c r="AO126" s="116"/>
      <c r="AP126" s="116"/>
      <c r="AQ126" s="107"/>
      <c r="AR126" s="107"/>
      <c r="AS126" s="107"/>
      <c r="AU126">
        <v>5</v>
      </c>
      <c r="AV126">
        <v>184</v>
      </c>
      <c r="BF126" s="51">
        <v>0.91353164518107599</v>
      </c>
      <c r="BG126" s="1">
        <v>63</v>
      </c>
      <c r="BH126">
        <f t="shared" si="13"/>
        <v>0.31781741294915428</v>
      </c>
      <c r="BI126">
        <f t="shared" si="14"/>
        <v>3.186933784587348E-2</v>
      </c>
      <c r="BJ126">
        <f t="shared" si="11"/>
        <v>2.9113648633172329E-2</v>
      </c>
    </row>
    <row r="127" spans="1:62" x14ac:dyDescent="0.3">
      <c r="B127" t="s">
        <v>391</v>
      </c>
      <c r="C127" s="57">
        <f>(C126/$J126)*100</f>
        <v>1.2611765405552076</v>
      </c>
      <c r="D127" s="57">
        <f>(D126/$J126)*100</f>
        <v>7.4771079545560131</v>
      </c>
      <c r="E127" s="57">
        <f>(E126/$J126)*100</f>
        <v>73.091462247406923</v>
      </c>
      <c r="F127" s="57">
        <f>(F126/$J126)*100</f>
        <v>9.9980671623899529</v>
      </c>
      <c r="G127" s="57">
        <f>(G126/$J126)*100</f>
        <v>8.1721860950918934</v>
      </c>
      <c r="S127" s="66" t="s">
        <v>39</v>
      </c>
      <c r="T127" s="67">
        <f>C351</f>
        <v>0</v>
      </c>
      <c r="U127" s="67">
        <f t="shared" si="27"/>
        <v>0.21528504744025032</v>
      </c>
      <c r="V127" s="67">
        <f t="shared" si="27"/>
        <v>0.22114721248730942</v>
      </c>
      <c r="W127" s="67">
        <f t="shared" si="27"/>
        <v>0.15857418073231516</v>
      </c>
      <c r="X127" s="67">
        <f t="shared" si="27"/>
        <v>0.18175610945947945</v>
      </c>
      <c r="AD127" s="51"/>
      <c r="AE127" s="51"/>
      <c r="AJ127" s="115" t="s">
        <v>409</v>
      </c>
      <c r="AK127" s="122" t="s">
        <v>9</v>
      </c>
      <c r="AL127" s="136">
        <v>78.010000000000005</v>
      </c>
      <c r="AM127" s="136">
        <v>772.25</v>
      </c>
      <c r="AN127" s="136">
        <v>15605.63</v>
      </c>
      <c r="AO127" s="136">
        <v>12772.47</v>
      </c>
      <c r="AP127" s="136">
        <v>11117.02</v>
      </c>
      <c r="AQ127" s="107"/>
      <c r="AR127" s="115" t="s">
        <v>36</v>
      </c>
      <c r="AS127" s="137">
        <f>SUM(AL127:AP127)</f>
        <v>40345.380000000005</v>
      </c>
      <c r="AU127">
        <v>6</v>
      </c>
      <c r="AV127">
        <v>213</v>
      </c>
      <c r="BF127" s="51">
        <v>0.91354355955084798</v>
      </c>
      <c r="BG127" s="1">
        <v>64</v>
      </c>
      <c r="BH127">
        <f t="shared" si="13"/>
        <v>0.34423000787040914</v>
      </c>
      <c r="BI127">
        <f t="shared" si="14"/>
        <v>3.4517877153775842E-2</v>
      </c>
      <c r="BJ127">
        <f t="shared" si="11"/>
        <v>3.1533584363199273E-2</v>
      </c>
    </row>
    <row r="128" spans="1:62" x14ac:dyDescent="0.3">
      <c r="A128" s="361" t="s">
        <v>401</v>
      </c>
      <c r="B128" s="361"/>
      <c r="C128" s="361"/>
      <c r="D128" s="361"/>
      <c r="E128" s="361"/>
      <c r="F128" s="361"/>
      <c r="G128" s="361"/>
      <c r="H128" s="361"/>
      <c r="I128" s="361"/>
      <c r="J128" s="361"/>
      <c r="K128" s="361"/>
      <c r="L128" s="361" t="s">
        <v>64</v>
      </c>
      <c r="M128" s="361"/>
      <c r="N128" s="361"/>
      <c r="O128" s="361"/>
      <c r="P128" s="361"/>
      <c r="S128" t="s">
        <v>30</v>
      </c>
      <c r="T128" s="57">
        <f>C352</f>
        <v>100</v>
      </c>
      <c r="U128" s="57">
        <f t="shared" si="27"/>
        <v>57.769656035104376</v>
      </c>
      <c r="V128" s="57">
        <f t="shared" si="27"/>
        <v>97.71581185687694</v>
      </c>
      <c r="W128" s="57">
        <f t="shared" si="27"/>
        <v>91.432116737276075</v>
      </c>
      <c r="X128" s="57">
        <f t="shared" si="27"/>
        <v>87.84287713635004</v>
      </c>
      <c r="AD128" s="51"/>
      <c r="AE128" s="51"/>
      <c r="AH128" s="78"/>
      <c r="AI128" s="78"/>
      <c r="AJ128" s="107"/>
      <c r="AK128" s="107" t="s">
        <v>391</v>
      </c>
      <c r="AL128" s="108">
        <f>(AL127/$AS127)*100</f>
        <v>0.19335547217550064</v>
      </c>
      <c r="AM128" s="108">
        <f>(AM127/$AS127)*100</f>
        <v>1.9140977232089522</v>
      </c>
      <c r="AN128" s="108">
        <f>(AN127/$AS127)*100</f>
        <v>38.680091747803587</v>
      </c>
      <c r="AO128" s="108">
        <f>(AO127/$AS127)*100</f>
        <v>31.657825505671276</v>
      </c>
      <c r="AP128" s="108">
        <f>(AP127/$AS127)*100</f>
        <v>27.554629551140675</v>
      </c>
      <c r="AQ128" s="107"/>
      <c r="AR128" s="107"/>
      <c r="AS128" s="107"/>
      <c r="AU128">
        <v>7</v>
      </c>
      <c r="AV128">
        <v>242</v>
      </c>
      <c r="BF128" s="51">
        <v>0.91355489397109202</v>
      </c>
      <c r="BG128" s="1">
        <v>65</v>
      </c>
      <c r="BH128">
        <f t="shared" si="13"/>
        <v>0.37088499448209117</v>
      </c>
      <c r="BI128">
        <f t="shared" si="14"/>
        <v>3.7190722438501737E-2</v>
      </c>
      <c r="BJ128">
        <f t="shared" si="11"/>
        <v>3.3975766494013765E-2</v>
      </c>
    </row>
    <row r="129" spans="1:62" x14ac:dyDescent="0.3">
      <c r="A129" t="s">
        <v>320</v>
      </c>
      <c r="B129" t="s">
        <v>21</v>
      </c>
      <c r="I129" s="1" t="s">
        <v>58</v>
      </c>
      <c r="O129" s="360" t="s">
        <v>411</v>
      </c>
      <c r="P129" s="360"/>
      <c r="S129" s="66" t="s">
        <v>39</v>
      </c>
      <c r="T129" s="67">
        <f>C353</f>
        <v>0</v>
      </c>
      <c r="U129" s="67">
        <f t="shared" si="27"/>
        <v>5.1858261992917756</v>
      </c>
      <c r="V129" s="67">
        <f t="shared" si="27"/>
        <v>0.23849454576465889</v>
      </c>
      <c r="W129" s="67">
        <f t="shared" si="27"/>
        <v>0.64934586357239377</v>
      </c>
      <c r="X129" s="67">
        <f t="shared" si="27"/>
        <v>2.0681195567725505</v>
      </c>
      <c r="AD129" s="51"/>
      <c r="AE129" s="51"/>
      <c r="AJ129" s="115" t="s">
        <v>410</v>
      </c>
      <c r="AK129" s="122" t="s">
        <v>9</v>
      </c>
      <c r="AL129" s="136">
        <f>AVERAGE(AL195:AL214)</f>
        <v>77.895500000000013</v>
      </c>
      <c r="AM129" s="136">
        <f>AVERAGE(AM195:AM214)</f>
        <v>786.88400000000001</v>
      </c>
      <c r="AN129" s="136">
        <f>AVERAGE(AN195:AN214)</f>
        <v>15525.892000000002</v>
      </c>
      <c r="AO129" s="136">
        <f>AVERAGE(AO195:AO214)</f>
        <v>12738.239</v>
      </c>
      <c r="AP129" s="140">
        <f>AVERAGE(AP195:AP214)</f>
        <v>11216.472000000002</v>
      </c>
      <c r="AQ129" s="107"/>
      <c r="AR129" s="115" t="s">
        <v>36</v>
      </c>
      <c r="AS129" s="137">
        <f>SUM(AL129:AP129)</f>
        <v>40345.3825</v>
      </c>
      <c r="AU129">
        <v>8</v>
      </c>
      <c r="AV129">
        <v>271</v>
      </c>
      <c r="BF129" s="51">
        <v>0.913820493155866</v>
      </c>
      <c r="BG129" s="1">
        <v>66</v>
      </c>
      <c r="BH129">
        <f t="shared" si="13"/>
        <v>0.39780617203394558</v>
      </c>
      <c r="BI129">
        <f t="shared" si="14"/>
        <v>3.9890260184553598E-2</v>
      </c>
      <c r="BJ129">
        <f t="shared" ref="BJ129:BJ160" si="28">BI129*BF129</f>
        <v>3.6452537233964577E-2</v>
      </c>
    </row>
    <row r="130" spans="1:62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56</v>
      </c>
      <c r="O130" s="13" t="s">
        <v>412</v>
      </c>
      <c r="P130" s="13" t="s">
        <v>41</v>
      </c>
      <c r="S130" s="15" t="s">
        <v>31</v>
      </c>
      <c r="T130" s="71">
        <f>I345</f>
        <v>100</v>
      </c>
      <c r="U130" s="71">
        <f>I346</f>
        <v>87.315634218289091</v>
      </c>
      <c r="V130" s="71">
        <f>I347</f>
        <v>93.215299364779014</v>
      </c>
      <c r="W130" s="71">
        <f>I348</f>
        <v>95.595238095238088</v>
      </c>
      <c r="X130" s="71">
        <f>I349</f>
        <v>77.460317460317469</v>
      </c>
      <c r="AD130" s="51"/>
      <c r="AE130" s="51"/>
      <c r="AH130" s="78"/>
      <c r="AI130" s="78"/>
      <c r="AJ130" s="107"/>
      <c r="AK130" s="129" t="s">
        <v>394</v>
      </c>
      <c r="AL130" s="125">
        <f>_xlfn.STDEV.S(AL195:AL214)/SQRT($AK$108)</f>
        <v>1.4244776466443669</v>
      </c>
      <c r="AM130" s="125">
        <f>_xlfn.STDEV.S(AM195:AM214)/SQRT($AK$108)</f>
        <v>12.625683543767774</v>
      </c>
      <c r="AN130" s="125">
        <f>_xlfn.STDEV.S(AN195:AN214)/SQRT($AK$108)</f>
        <v>31.540410917458019</v>
      </c>
      <c r="AO130" s="125">
        <f>_xlfn.STDEV.S(AO195:AO214)/SQRT($AK$108)</f>
        <v>23.144598948214345</v>
      </c>
      <c r="AP130" s="125">
        <f>_xlfn.STDEV.S(AP195:AP214)/SQRT($AK$108)</f>
        <v>21.116242271867634</v>
      </c>
      <c r="AQ130" s="107"/>
      <c r="AR130" s="107"/>
      <c r="AS130" s="107"/>
      <c r="AU130">
        <v>9</v>
      </c>
      <c r="AV130">
        <v>300</v>
      </c>
      <c r="BF130" s="51">
        <v>0.91383637968141695</v>
      </c>
      <c r="BG130" s="1">
        <v>67</v>
      </c>
      <c r="BH130">
        <f t="shared" si="13"/>
        <v>0.42501883739125573</v>
      </c>
      <c r="BI130">
        <f t="shared" si="14"/>
        <v>4.261902705075913E-2</v>
      </c>
      <c r="BJ130">
        <f t="shared" si="28"/>
        <v>3.8946817385610101E-2</v>
      </c>
    </row>
    <row r="131" spans="1:62" x14ac:dyDescent="0.3">
      <c r="A131" t="s">
        <v>3</v>
      </c>
      <c r="B131" s="13">
        <v>0</v>
      </c>
      <c r="C131" s="26">
        <v>259</v>
      </c>
      <c r="D131" s="3">
        <v>0</v>
      </c>
      <c r="E131" s="3">
        <v>0</v>
      </c>
      <c r="F131" s="3">
        <v>0</v>
      </c>
      <c r="G131" s="4">
        <v>0</v>
      </c>
      <c r="H131" s="1">
        <f>SUM(C131:G131)</f>
        <v>259</v>
      </c>
      <c r="I131" s="10">
        <f>C131/H131</f>
        <v>1</v>
      </c>
      <c r="J131" s="11">
        <f>1-I131</f>
        <v>0</v>
      </c>
      <c r="K131">
        <f>H131-C136</f>
        <v>0</v>
      </c>
      <c r="N131" s="10">
        <f>2*(C137*I131)/(C137+I131)</f>
        <v>1</v>
      </c>
      <c r="O131" s="1"/>
      <c r="P131" s="1"/>
      <c r="S131" s="75" t="s">
        <v>39</v>
      </c>
      <c r="T131" s="76">
        <f>J345</f>
        <v>0</v>
      </c>
      <c r="U131" s="76">
        <f>J346</f>
        <v>1.8101811368440324</v>
      </c>
      <c r="V131" s="76">
        <f>J347</f>
        <v>0.29238277304053778</v>
      </c>
      <c r="W131" s="76">
        <f>J348</f>
        <v>0.40885118879200699</v>
      </c>
      <c r="X131" s="76">
        <f>J349</f>
        <v>1.3599643895584705</v>
      </c>
      <c r="AD131" s="51"/>
      <c r="AE131" s="51"/>
      <c r="AJ131" s="119" t="s">
        <v>428</v>
      </c>
      <c r="AK131" s="107"/>
      <c r="AL131" s="116"/>
      <c r="AM131" s="116"/>
      <c r="AN131" s="116"/>
      <c r="AO131" s="116"/>
      <c r="AP131" s="116"/>
      <c r="AQ131" s="107"/>
      <c r="AR131" s="107"/>
      <c r="AS131" s="107"/>
      <c r="AU131">
        <v>10</v>
      </c>
      <c r="AV131">
        <v>329</v>
      </c>
      <c r="BF131" s="51">
        <v>0.91431575622815897</v>
      </c>
      <c r="BG131" s="1">
        <v>68</v>
      </c>
      <c r="BH131">
        <f t="shared" ref="BH131:BH160" si="29">_xlfn.NORM.S.INV((BG131-0.375)/($BI$61+0.25))</f>
        <v>0.4525499884018015</v>
      </c>
      <c r="BI131">
        <f t="shared" ref="BI131:BI160" si="30">BH131/SQRT($BL$65)</f>
        <v>4.5379730263018975E-2</v>
      </c>
      <c r="BJ131">
        <f t="shared" si="28"/>
        <v>4.1491402392862066E-2</v>
      </c>
    </row>
    <row r="132" spans="1:62" x14ac:dyDescent="0.3">
      <c r="A132" t="s">
        <v>4</v>
      </c>
      <c r="B132" s="13">
        <v>1</v>
      </c>
      <c r="C132" s="5">
        <v>0</v>
      </c>
      <c r="D132" s="27">
        <v>297</v>
      </c>
      <c r="E132" s="1">
        <v>42</v>
      </c>
      <c r="F132" s="1">
        <v>0</v>
      </c>
      <c r="G132" s="6">
        <v>0</v>
      </c>
      <c r="H132" s="1">
        <f>SUM(C132:G132)</f>
        <v>339</v>
      </c>
      <c r="I132" s="10">
        <f>D132/H132</f>
        <v>0.87610619469026552</v>
      </c>
      <c r="J132" s="11">
        <f>1-I132</f>
        <v>0.12389380530973448</v>
      </c>
      <c r="K132">
        <f>H132-D136</f>
        <v>-446</v>
      </c>
      <c r="N132" s="10">
        <f>2*(D137*I132)/(D137+I132)</f>
        <v>0.52846975088967985</v>
      </c>
      <c r="O132" s="1"/>
      <c r="P132" s="1"/>
      <c r="S132" s="66" t="s">
        <v>56</v>
      </c>
      <c r="T132" s="67">
        <f>N334*100</f>
        <v>100</v>
      </c>
      <c r="U132" s="67">
        <f>N335*100</f>
        <v>55.327102803738313</v>
      </c>
      <c r="V132" s="67">
        <f>N336*100</f>
        <v>95.858234885337041</v>
      </c>
      <c r="W132" s="67">
        <f>N337*100</f>
        <v>94.046457154011321</v>
      </c>
      <c r="X132" s="67">
        <f>N338*100</f>
        <v>80.307185957213392</v>
      </c>
      <c r="AD132" s="51"/>
      <c r="AE132" s="51"/>
      <c r="AH132" s="78"/>
      <c r="AI132" s="78"/>
      <c r="AJ132" s="115" t="s">
        <v>409</v>
      </c>
      <c r="AK132" s="122" t="s">
        <v>9</v>
      </c>
      <c r="AL132" s="136">
        <v>0</v>
      </c>
      <c r="AM132" s="136">
        <v>9.9</v>
      </c>
      <c r="AN132" s="136">
        <v>1312.2</v>
      </c>
      <c r="AO132" s="136">
        <v>390.77</v>
      </c>
      <c r="AP132" s="136">
        <v>87.67</v>
      </c>
      <c r="AQ132" s="107"/>
      <c r="AR132" s="115" t="s">
        <v>36</v>
      </c>
      <c r="AS132" s="137">
        <f>SUM(AL132:AP132)</f>
        <v>1800.5400000000002</v>
      </c>
      <c r="AU132">
        <v>11</v>
      </c>
      <c r="AV132">
        <v>358</v>
      </c>
      <c r="BF132" s="51">
        <v>0.91438794074617102</v>
      </c>
      <c r="BG132" s="1">
        <v>69</v>
      </c>
      <c r="BH132">
        <f t="shared" si="29"/>
        <v>0.48042855588587835</v>
      </c>
      <c r="BI132">
        <f t="shared" si="30"/>
        <v>4.8175270877249481E-2</v>
      </c>
      <c r="BJ132">
        <f t="shared" si="28"/>
        <v>4.405088673233714E-2</v>
      </c>
    </row>
    <row r="133" spans="1:62" x14ac:dyDescent="0.3">
      <c r="A133" t="s">
        <v>5</v>
      </c>
      <c r="B133" s="13">
        <v>2</v>
      </c>
      <c r="C133" s="5">
        <v>0</v>
      </c>
      <c r="D133" s="1">
        <v>393</v>
      </c>
      <c r="E133" s="27">
        <v>6825</v>
      </c>
      <c r="F133" s="1">
        <v>123</v>
      </c>
      <c r="G133" s="6">
        <v>58</v>
      </c>
      <c r="H133" s="1">
        <f>SUM(C133:G133)</f>
        <v>7399</v>
      </c>
      <c r="I133" s="10">
        <f>E133/H133</f>
        <v>0.92242194891201512</v>
      </c>
      <c r="J133" s="11">
        <f>1-I133</f>
        <v>7.7578051087984878E-2</v>
      </c>
      <c r="K133">
        <f>H133-E136</f>
        <v>484</v>
      </c>
      <c r="N133" s="10">
        <f>2*(E137*I133)/(E137+I133)</f>
        <v>0.953611848539891</v>
      </c>
      <c r="O133" s="1"/>
      <c r="P133" s="1"/>
      <c r="R133" s="16" t="s">
        <v>66</v>
      </c>
      <c r="S133" t="s">
        <v>9</v>
      </c>
      <c r="T133" s="30">
        <f>N345</f>
        <v>2530.13</v>
      </c>
      <c r="U133" s="30">
        <f>N346</f>
        <v>10970.17</v>
      </c>
      <c r="V133" s="30">
        <f>N347</f>
        <v>107366.09</v>
      </c>
      <c r="W133" s="30">
        <f>N348</f>
        <v>37407.370000000003</v>
      </c>
      <c r="X133" s="30">
        <f>N349</f>
        <v>20042.39</v>
      </c>
      <c r="Z133" t="s">
        <v>36</v>
      </c>
      <c r="AA133" s="1">
        <f>N350</f>
        <v>178316.15000000002</v>
      </c>
      <c r="AD133" s="51"/>
      <c r="AE133" s="51"/>
      <c r="AJ133" s="107"/>
      <c r="AK133" s="107" t="s">
        <v>391</v>
      </c>
      <c r="AL133" s="108">
        <f>(AL132/$AS132)*100</f>
        <v>0</v>
      </c>
      <c r="AM133" s="108">
        <f>(AM132/$AS132)*100</f>
        <v>0.54983504948515438</v>
      </c>
      <c r="AN133" s="108">
        <f>(AN132/$AS132)*100</f>
        <v>72.878136559032285</v>
      </c>
      <c r="AO133" s="108">
        <f>(AO132/$AS132)*100</f>
        <v>21.70293356437513</v>
      </c>
      <c r="AP133" s="108">
        <f>(AP132/$AS132)*100</f>
        <v>4.869094827107423</v>
      </c>
      <c r="AQ133" s="107"/>
      <c r="AR133" s="107"/>
      <c r="AS133" s="107"/>
      <c r="AU133">
        <v>12</v>
      </c>
      <c r="AV133">
        <v>387</v>
      </c>
      <c r="BF133" s="51">
        <v>0.91445298715046996</v>
      </c>
      <c r="BG133" s="1">
        <v>70</v>
      </c>
      <c r="BH133">
        <f t="shared" si="29"/>
        <v>0.50868566982760044</v>
      </c>
      <c r="BI133">
        <f t="shared" si="30"/>
        <v>5.1008770471880419E-2</v>
      </c>
      <c r="BJ133">
        <f t="shared" si="28"/>
        <v>4.664512252888374E-2</v>
      </c>
    </row>
    <row r="134" spans="1:62" ht="15.6" x14ac:dyDescent="0.35">
      <c r="A134" t="s">
        <v>6</v>
      </c>
      <c r="B134" s="13">
        <v>3</v>
      </c>
      <c r="C134" s="5">
        <v>0</v>
      </c>
      <c r="D134" s="1">
        <v>0</v>
      </c>
      <c r="E134" s="1">
        <v>17</v>
      </c>
      <c r="F134" s="27">
        <v>2418</v>
      </c>
      <c r="G134" s="6">
        <v>85</v>
      </c>
      <c r="H134" s="1">
        <f>SUM(C134:G134)</f>
        <v>2520</v>
      </c>
      <c r="I134" s="10">
        <f>F134/H134</f>
        <v>0.95952380952380956</v>
      </c>
      <c r="J134" s="11">
        <f>1-I134</f>
        <v>4.0476190476190443E-2</v>
      </c>
      <c r="K134">
        <f>H134-F136</f>
        <v>-118</v>
      </c>
      <c r="N134" s="10">
        <f>2*(F137*I134)/(F137+I134)</f>
        <v>0.93757270259790626</v>
      </c>
      <c r="O134" s="1"/>
      <c r="P134" s="1"/>
      <c r="R134" s="16" t="s">
        <v>323</v>
      </c>
      <c r="S134" t="s">
        <v>68</v>
      </c>
      <c r="T134" s="57">
        <f>$AA133*T126/100</f>
        <v>2530.13</v>
      </c>
      <c r="U134" s="57">
        <f>$AA133*U126/100</f>
        <v>16580.804124061076</v>
      </c>
      <c r="V134" s="57">
        <f>$AA133*V126/100</f>
        <v>102421.11313197325</v>
      </c>
      <c r="W134" s="57">
        <f>$AA133*W126/100</f>
        <v>39110.616370634416</v>
      </c>
      <c r="X134" s="57">
        <f>$AA133*X126/100</f>
        <v>17673.486373331234</v>
      </c>
      <c r="Z134" t="s">
        <v>36</v>
      </c>
      <c r="AA134" s="25">
        <f>SUM(T134:X134)</f>
        <v>178316.14999999997</v>
      </c>
      <c r="AD134" s="51"/>
      <c r="AE134" s="51"/>
      <c r="AH134" s="78"/>
      <c r="AI134" s="78"/>
      <c r="AJ134" s="115" t="s">
        <v>410</v>
      </c>
      <c r="AK134" s="122" t="s">
        <v>9</v>
      </c>
      <c r="AL134" s="136">
        <f>AVERAGE(AL216:AL235)</f>
        <v>0</v>
      </c>
      <c r="AM134" s="136">
        <f>AVERAGE(AM216:AM235)</f>
        <v>10.417999999999999</v>
      </c>
      <c r="AN134" s="140">
        <f>AVERAGE(AN216:AN235)</f>
        <v>1303.0029999999999</v>
      </c>
      <c r="AO134" s="140">
        <f>AVERAGE(AO216:AO235)</f>
        <v>395.07799999999997</v>
      </c>
      <c r="AP134" s="136">
        <f>AVERAGE(AP216:AP235)</f>
        <v>92.042000000000002</v>
      </c>
      <c r="AQ134" s="107"/>
      <c r="AR134" s="115" t="s">
        <v>36</v>
      </c>
      <c r="AS134" s="137">
        <f>SUM(AL134:AP134)</f>
        <v>1800.5409999999997</v>
      </c>
      <c r="AU134">
        <v>13</v>
      </c>
      <c r="AV134">
        <v>416</v>
      </c>
      <c r="BF134" s="51">
        <v>0.91481609885038995</v>
      </c>
      <c r="BG134" s="1">
        <v>71</v>
      </c>
      <c r="BH134">
        <f t="shared" si="29"/>
        <v>0.53735496659792537</v>
      </c>
      <c r="BI134">
        <f t="shared" si="30"/>
        <v>5.3883601954834021E-2</v>
      </c>
      <c r="BJ134">
        <f t="shared" si="28"/>
        <v>4.9293586532328501E-2</v>
      </c>
    </row>
    <row r="135" spans="1:62" x14ac:dyDescent="0.3">
      <c r="A135" t="s">
        <v>7</v>
      </c>
      <c r="B135" s="13">
        <v>4</v>
      </c>
      <c r="C135" s="7">
        <v>0</v>
      </c>
      <c r="D135" s="8">
        <v>95</v>
      </c>
      <c r="E135" s="8">
        <v>31</v>
      </c>
      <c r="F135" s="8">
        <v>97</v>
      </c>
      <c r="G135" s="28">
        <v>722</v>
      </c>
      <c r="H135" s="1">
        <f>SUM(C135:G135)</f>
        <v>945</v>
      </c>
      <c r="I135" s="10">
        <f>G135/H135</f>
        <v>0.76402116402116405</v>
      </c>
      <c r="J135" s="11">
        <f>1-I135</f>
        <v>0.23597883597883595</v>
      </c>
      <c r="K135">
        <f>H135-G136</f>
        <v>80</v>
      </c>
      <c r="N135" s="10">
        <f>2*(G137*I135)/(G137+I135)</f>
        <v>0.79779005524861879</v>
      </c>
      <c r="O135" s="1"/>
      <c r="P135" s="1"/>
      <c r="R135" s="66"/>
      <c r="S135" s="66" t="s">
        <v>67</v>
      </c>
      <c r="T135" s="67">
        <f>$AA133*T127/100</f>
        <v>0</v>
      </c>
      <c r="U135" s="67">
        <f>$AA133*U127/100</f>
        <v>383.88800812112794</v>
      </c>
      <c r="V135" s="67">
        <f>$AA133*V127/100</f>
        <v>394.34119513968943</v>
      </c>
      <c r="W135" s="67">
        <f>$AA133*W127/100</f>
        <v>282.76337397590623</v>
      </c>
      <c r="X135" s="67">
        <f>$AA133*X127/100</f>
        <v>324.10049677792961</v>
      </c>
      <c r="AA135" s="1"/>
      <c r="AD135" s="51"/>
      <c r="AE135" s="51"/>
      <c r="AJ135" s="141"/>
      <c r="AK135" s="129" t="s">
        <v>394</v>
      </c>
      <c r="AL135" s="125">
        <f>_xlfn.STDEV.S(AL216:AL235)/SQRT($AK$108)</f>
        <v>0</v>
      </c>
      <c r="AM135" s="125">
        <f>_xlfn.STDEV.S(AM216:AM235)/SQRT($AK$108)</f>
        <v>0.15700251422727027</v>
      </c>
      <c r="AN135" s="125">
        <f>_xlfn.STDEV.S(AN216:AN235)/SQRT($AK$108)</f>
        <v>2.6323372744228242</v>
      </c>
      <c r="AO135" s="125">
        <f>_xlfn.STDEV.S(AO216:AO235)/SQRT($AK$108)</f>
        <v>1.8163612555123263</v>
      </c>
      <c r="AP135" s="125">
        <f>_xlfn.STDEV.S(AP216:AP235)/SQRT($AK$108)</f>
        <v>1.2935918171794702</v>
      </c>
      <c r="AQ135" s="107"/>
      <c r="AR135" s="107"/>
      <c r="AS135" s="107"/>
      <c r="AU135">
        <v>14</v>
      </c>
      <c r="AV135">
        <v>445</v>
      </c>
      <c r="BF135" s="51">
        <v>0.91487002607337187</v>
      </c>
      <c r="BG135" s="1">
        <v>72</v>
      </c>
      <c r="BH135">
        <f t="shared" si="29"/>
        <v>0.56647294563250516</v>
      </c>
      <c r="BI135">
        <f t="shared" si="30"/>
        <v>5.6803425329617283E-2</v>
      </c>
      <c r="BJ135">
        <f t="shared" si="28"/>
        <v>5.1967751212363793E-2</v>
      </c>
    </row>
    <row r="136" spans="1:62" ht="15.6" x14ac:dyDescent="0.35">
      <c r="B136" s="1" t="s">
        <v>19</v>
      </c>
      <c r="C136" s="1">
        <f>SUM(C131:C135)</f>
        <v>259</v>
      </c>
      <c r="D136" s="1">
        <f>SUM(D131:D135)</f>
        <v>785</v>
      </c>
      <c r="E136" s="1">
        <f>SUM(E131:E135)</f>
        <v>6915</v>
      </c>
      <c r="F136" s="1">
        <f>SUM(F131:F135)</f>
        <v>2638</v>
      </c>
      <c r="G136" s="1">
        <f>SUM(G131:G135)</f>
        <v>865</v>
      </c>
      <c r="H136" s="1">
        <f>SUM(H130:H135)</f>
        <v>11462</v>
      </c>
      <c r="I136" s="13" t="s">
        <v>12</v>
      </c>
      <c r="N136" s="16" t="s">
        <v>36</v>
      </c>
      <c r="O136" s="1">
        <f>SUM(O131:O135)</f>
        <v>0</v>
      </c>
      <c r="P136" s="1">
        <f>SUM(P131:P135)</f>
        <v>0</v>
      </c>
      <c r="R136" t="s">
        <v>105</v>
      </c>
      <c r="S136" t="s">
        <v>28</v>
      </c>
      <c r="T136" s="57">
        <f>C379</f>
        <v>1.4162765730262474</v>
      </c>
      <c r="U136" s="57">
        <f t="shared" ref="U136:X139" si="31">D379</f>
        <v>9.046657265643141</v>
      </c>
      <c r="V136" s="57">
        <f t="shared" si="31"/>
        <v>57.426869485320267</v>
      </c>
      <c r="W136" s="57">
        <f t="shared" si="31"/>
        <v>21.796579502247873</v>
      </c>
      <c r="X136" s="57">
        <f t="shared" si="31"/>
        <v>10.313617173762484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  <c r="BF136" s="51">
        <v>0.91487897932867313</v>
      </c>
      <c r="BG136" s="1">
        <v>73</v>
      </c>
      <c r="BH136">
        <f t="shared" si="29"/>
        <v>0.59607938602766308</v>
      </c>
      <c r="BI136">
        <f t="shared" si="30"/>
        <v>5.9772229469741457E-2</v>
      </c>
      <c r="BJ136">
        <f t="shared" si="28"/>
        <v>5.4684356289476301E-2</v>
      </c>
    </row>
    <row r="137" spans="1:62" x14ac:dyDescent="0.3">
      <c r="A137" s="1" t="s">
        <v>321</v>
      </c>
      <c r="B137" s="1" t="s">
        <v>2</v>
      </c>
      <c r="C137" s="10">
        <f>C131/C136</f>
        <v>1</v>
      </c>
      <c r="D137" s="10">
        <f>D132/D136</f>
        <v>0.37834394904458601</v>
      </c>
      <c r="E137" s="10">
        <f>E133/E136</f>
        <v>0.98698481561822127</v>
      </c>
      <c r="F137" s="10">
        <f>F134/F136</f>
        <v>0.91660348749052312</v>
      </c>
      <c r="G137" s="10">
        <f>G135/G136</f>
        <v>0.83468208092485552</v>
      </c>
      <c r="H137" s="10"/>
      <c r="I137" s="14">
        <f>(C131+D132+E133+F134+G135)/H136</f>
        <v>0.91790263479322975</v>
      </c>
      <c r="S137" s="66" t="s">
        <v>39</v>
      </c>
      <c r="T137" s="67">
        <f>C380</f>
        <v>0</v>
      </c>
      <c r="U137" s="67">
        <f t="shared" si="31"/>
        <v>0.2210454982214887</v>
      </c>
      <c r="V137" s="67">
        <f t="shared" si="31"/>
        <v>0.21811540003733534</v>
      </c>
      <c r="W137" s="67">
        <f t="shared" si="31"/>
        <v>0.15602868135726328</v>
      </c>
      <c r="X137" s="67">
        <f t="shared" si="31"/>
        <v>0.18479906311030334</v>
      </c>
      <c r="AD137" s="51"/>
      <c r="AE137" s="51"/>
      <c r="AU137">
        <v>16</v>
      </c>
      <c r="AV137">
        <v>503</v>
      </c>
      <c r="BF137" s="51">
        <v>0.91489526346055849</v>
      </c>
      <c r="BG137" s="1">
        <v>74</v>
      </c>
      <c r="BH137">
        <f t="shared" si="29"/>
        <v>0.62621783615158144</v>
      </c>
      <c r="BI137">
        <f t="shared" si="30"/>
        <v>6.2794381214787046E-2</v>
      </c>
      <c r="BJ137">
        <f t="shared" si="28"/>
        <v>5.7450281945345343E-2</v>
      </c>
    </row>
    <row r="138" spans="1:62" x14ac:dyDescent="0.3">
      <c r="B138" s="1" t="s">
        <v>14</v>
      </c>
      <c r="C138" s="11">
        <f>1-C137</f>
        <v>0</v>
      </c>
      <c r="D138" s="11">
        <f>1-D137</f>
        <v>0.62165605095541399</v>
      </c>
      <c r="E138" s="11">
        <f>1-E137</f>
        <v>1.3015184381778733E-2</v>
      </c>
      <c r="F138" s="11">
        <f>1-F137</f>
        <v>8.3396512509476883E-2</v>
      </c>
      <c r="G138" s="11">
        <f>1-G137</f>
        <v>0.16531791907514448</v>
      </c>
      <c r="S138" t="s">
        <v>30</v>
      </c>
      <c r="T138" s="57">
        <f>C381</f>
        <v>100</v>
      </c>
      <c r="U138" s="57">
        <f t="shared" si="31"/>
        <v>56.749188993107467</v>
      </c>
      <c r="V138" s="57">
        <f t="shared" si="31"/>
        <v>97.686036415208477</v>
      </c>
      <c r="W138" s="57">
        <f t="shared" si="31"/>
        <v>92.121590982498716</v>
      </c>
      <c r="X138" s="57">
        <f t="shared" si="31"/>
        <v>87.261771463884727</v>
      </c>
      <c r="AA138" s="54"/>
      <c r="AD138" s="51"/>
      <c r="AE138" s="51"/>
      <c r="AH138" s="78"/>
      <c r="AI138" s="78"/>
      <c r="AU138">
        <v>17</v>
      </c>
      <c r="AV138">
        <v>532</v>
      </c>
      <c r="BF138" s="51">
        <v>0.91531828638316337</v>
      </c>
      <c r="BG138" s="1">
        <v>75</v>
      </c>
      <c r="BH138">
        <f t="shared" si="29"/>
        <v>0.65693619279658544</v>
      </c>
      <c r="BI138">
        <f t="shared" si="30"/>
        <v>6.5874683445257612E-2</v>
      </c>
      <c r="BJ138">
        <f t="shared" si="28"/>
        <v>6.0296302367146538E-2</v>
      </c>
    </row>
    <row r="139" spans="1:62" x14ac:dyDescent="0.3">
      <c r="C139" s="2"/>
      <c r="S139" s="66" t="s">
        <v>39</v>
      </c>
      <c r="T139" s="67">
        <f>C382</f>
        <v>0</v>
      </c>
      <c r="U139" s="67">
        <f t="shared" si="31"/>
        <v>5.8639468419269667</v>
      </c>
      <c r="V139" s="67">
        <f t="shared" si="31"/>
        <v>0.2406701194577166</v>
      </c>
      <c r="W139" s="67">
        <f t="shared" si="31"/>
        <v>0.63039153837952411</v>
      </c>
      <c r="X139" s="67">
        <f t="shared" si="31"/>
        <v>2.0878439649422855</v>
      </c>
      <c r="AD139" s="51"/>
      <c r="AE139" s="51"/>
      <c r="AU139">
        <v>18</v>
      </c>
      <c r="AV139">
        <v>561</v>
      </c>
      <c r="BF139" s="51">
        <v>0.915475490559016</v>
      </c>
      <c r="BG139" s="1">
        <v>76</v>
      </c>
      <c r="BH139">
        <f t="shared" si="29"/>
        <v>0.68828739090267188</v>
      </c>
      <c r="BI139">
        <f t="shared" si="30"/>
        <v>6.9018444245033631E-2</v>
      </c>
      <c r="BJ139">
        <f t="shared" si="28"/>
        <v>6.3184694102842262E-2</v>
      </c>
    </row>
    <row r="140" spans="1:62" ht="15.6" x14ac:dyDescent="0.35">
      <c r="A140" t="s">
        <v>322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100</v>
      </c>
      <c r="U140" s="57">
        <f>I375</f>
        <v>84.365781710914462</v>
      </c>
      <c r="V140" s="57">
        <f>I376</f>
        <v>93.56669820245979</v>
      </c>
      <c r="W140" s="57">
        <f>I377</f>
        <v>95.317460317460316</v>
      </c>
      <c r="X140" s="57">
        <f>I378</f>
        <v>78.412698412698418</v>
      </c>
      <c r="AD140" s="51"/>
      <c r="AE140" s="51"/>
      <c r="AH140" s="78"/>
      <c r="AI140" s="78"/>
      <c r="AU140">
        <v>19</v>
      </c>
      <c r="AV140">
        <v>590</v>
      </c>
      <c r="BF140" s="51">
        <v>0.91548513415893695</v>
      </c>
      <c r="BG140" s="1">
        <v>77</v>
      </c>
      <c r="BH140">
        <f t="shared" si="29"/>
        <v>0.72033023085752279</v>
      </c>
      <c r="BI140">
        <f t="shared" si="30"/>
        <v>7.2231559859393529E-2</v>
      </c>
      <c r="BJ140">
        <f t="shared" si="28"/>
        <v>6.6126919268386167E-2</v>
      </c>
    </row>
    <row r="141" spans="1:62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</v>
      </c>
      <c r="U141" s="67">
        <f>J375</f>
        <v>1.9754357225878709</v>
      </c>
      <c r="V141" s="67">
        <f>J376</f>
        <v>0.28524658345599047</v>
      </c>
      <c r="W141" s="67">
        <f>J377</f>
        <v>0.42093290895930463</v>
      </c>
      <c r="X141" s="67">
        <f>J378</f>
        <v>1.3390795634442927</v>
      </c>
      <c r="AD141" s="51"/>
      <c r="AE141" s="51"/>
      <c r="BF141" s="51">
        <v>0.91572462638685204</v>
      </c>
      <c r="BG141" s="1">
        <v>78</v>
      </c>
      <c r="BH141">
        <f t="shared" si="29"/>
        <v>0.75313037838845598</v>
      </c>
      <c r="BI141">
        <f t="shared" si="30"/>
        <v>7.5520614959798102E-2</v>
      </c>
      <c r="BJ141">
        <f t="shared" si="28"/>
        <v>6.9156086918566423E-2</v>
      </c>
    </row>
    <row r="142" spans="1:62" x14ac:dyDescent="0.3">
      <c r="A142" t="s">
        <v>3</v>
      </c>
      <c r="B142" s="13">
        <v>0</v>
      </c>
      <c r="C142" s="29">
        <f>(C131/$L142)*$O142</f>
        <v>1.4216771728191751</v>
      </c>
      <c r="D142" s="31">
        <f>(D131/$L142)*$O142</f>
        <v>0</v>
      </c>
      <c r="E142" s="31">
        <f>(E131/$L142)*$O142</f>
        <v>0</v>
      </c>
      <c r="F142" s="31">
        <f>(F131/$L142)*$O142</f>
        <v>0</v>
      </c>
      <c r="G142" s="32">
        <f>(G131/$L142)*$O142</f>
        <v>0</v>
      </c>
      <c r="H142" s="17">
        <f>SUM(C142:G142)</f>
        <v>1.4216771728191751</v>
      </c>
      <c r="I142" s="17">
        <f>C142/H142*100</f>
        <v>100</v>
      </c>
      <c r="J142" s="17">
        <f>SQRT(I142*(100-I142)/(L142-1))</f>
        <v>0</v>
      </c>
      <c r="K142" s="18">
        <f>100-I142</f>
        <v>0</v>
      </c>
      <c r="L142" s="1">
        <f>H131</f>
        <v>259</v>
      </c>
      <c r="M142">
        <v>0</v>
      </c>
      <c r="N142" s="1">
        <v>2535.08</v>
      </c>
      <c r="O142" s="17">
        <f>N142/N147*100</f>
        <v>1.4216771728191751</v>
      </c>
      <c r="P142" s="52">
        <f>((O142*O142*(I142/100)*(K142/100))/(L142-1))</f>
        <v>0</v>
      </c>
      <c r="S142" s="66" t="s">
        <v>56</v>
      </c>
      <c r="T142" s="67">
        <f>N363*100</f>
        <v>100</v>
      </c>
      <c r="U142" s="67">
        <f>N364*100</f>
        <v>54.476190476190482</v>
      </c>
      <c r="V142" s="67">
        <f>N365*100</f>
        <v>96.072717180127682</v>
      </c>
      <c r="W142" s="67">
        <f>N366*100</f>
        <v>94.21455187291626</v>
      </c>
      <c r="X142" s="67">
        <f>N367*100</f>
        <v>80.325203252032523</v>
      </c>
      <c r="AD142" s="51"/>
      <c r="AE142" s="51"/>
      <c r="AH142" s="78"/>
      <c r="AI142" s="78"/>
      <c r="BF142" s="51">
        <v>0.91577375873157196</v>
      </c>
      <c r="BG142" s="1">
        <v>79</v>
      </c>
      <c r="BH142">
        <f t="shared" si="29"/>
        <v>0.78676158292306597</v>
      </c>
      <c r="BI142">
        <f t="shared" si="30"/>
        <v>7.8893004815758033E-2</v>
      </c>
      <c r="BJ142">
        <f t="shared" si="28"/>
        <v>7.2248143557754746E-2</v>
      </c>
    </row>
    <row r="143" spans="1:62" x14ac:dyDescent="0.3">
      <c r="A143" t="s">
        <v>4</v>
      </c>
      <c r="B143" s="13">
        <v>1</v>
      </c>
      <c r="C143" s="33">
        <f t="shared" ref="C143:G146" si="32">(C132/$L143)*$O143</f>
        <v>0</v>
      </c>
      <c r="D143" s="34">
        <f t="shared" si="32"/>
        <v>5.7100982413161914</v>
      </c>
      <c r="E143" s="19">
        <f t="shared" si="32"/>
        <v>0.80748864018612809</v>
      </c>
      <c r="F143" s="18">
        <f t="shared" si="32"/>
        <v>0</v>
      </c>
      <c r="G143" s="20">
        <f t="shared" si="32"/>
        <v>0</v>
      </c>
      <c r="H143" s="17">
        <f>SUM(C143:G143)</f>
        <v>6.5175868815023197</v>
      </c>
      <c r="I143" s="17">
        <f>D143/H143*100</f>
        <v>87.610619469026545</v>
      </c>
      <c r="J143" s="17">
        <f>SQRT(I143*(100-I143)/(L143-1))</f>
        <v>1.7920281254034289</v>
      </c>
      <c r="K143" s="18">
        <f>100-I143</f>
        <v>12.389380530973455</v>
      </c>
      <c r="L143" s="1">
        <f>H132</f>
        <v>339</v>
      </c>
      <c r="M143">
        <v>1</v>
      </c>
      <c r="N143" s="1">
        <v>11621.91</v>
      </c>
      <c r="O143" s="17">
        <f>N143/N147*100</f>
        <v>6.5175868815023197</v>
      </c>
      <c r="P143" s="52">
        <f>((O143*O143*(I143/100)*(K143/100))/(L143-1))</f>
        <v>1.3641536876359803E-2</v>
      </c>
      <c r="R143" s="16" t="s">
        <v>66</v>
      </c>
      <c r="S143" t="s">
        <v>9</v>
      </c>
      <c r="T143" s="30">
        <f>N374</f>
        <v>2525.4499999999998</v>
      </c>
      <c r="U143" s="30">
        <f>N375</f>
        <v>10851.06</v>
      </c>
      <c r="V143" s="30">
        <f>N376</f>
        <v>106909.68</v>
      </c>
      <c r="W143" s="30">
        <f>N377</f>
        <v>37563.67</v>
      </c>
      <c r="X143" s="30">
        <f>N378</f>
        <v>20466.3</v>
      </c>
      <c r="Z143" t="s">
        <v>36</v>
      </c>
      <c r="AA143" s="1">
        <f>N379</f>
        <v>178316.15999999997</v>
      </c>
      <c r="AD143" s="51"/>
      <c r="AE143" s="51"/>
      <c r="BF143" s="51">
        <v>0.91591672397736545</v>
      </c>
      <c r="BG143" s="1">
        <v>80</v>
      </c>
      <c r="BH143">
        <f t="shared" si="29"/>
        <v>0.82130717520561125</v>
      </c>
      <c r="BI143">
        <f t="shared" si="30"/>
        <v>8.2357085469244348E-2</v>
      </c>
      <c r="BJ143">
        <f t="shared" si="28"/>
        <v>7.5432231919314169E-2</v>
      </c>
    </row>
    <row r="144" spans="1:62" ht="15.6" x14ac:dyDescent="0.35">
      <c r="A144" t="s">
        <v>5</v>
      </c>
      <c r="B144" s="13">
        <v>2</v>
      </c>
      <c r="C144" s="33">
        <f t="shared" si="32"/>
        <v>0</v>
      </c>
      <c r="D144" s="19">
        <f t="shared" si="32"/>
        <v>3.1430934131836108</v>
      </c>
      <c r="E144" s="34">
        <f t="shared" si="32"/>
        <v>54.584255839639034</v>
      </c>
      <c r="F144" s="19">
        <f t="shared" si="32"/>
        <v>0.9837162590880002</v>
      </c>
      <c r="G144" s="20">
        <f t="shared" si="32"/>
        <v>0.46386620347239038</v>
      </c>
      <c r="H144" s="17">
        <f>SUM(C144:G144)</f>
        <v>59.174931715383039</v>
      </c>
      <c r="I144" s="17">
        <f>E144/H144*100</f>
        <v>92.242194891201507</v>
      </c>
      <c r="J144" s="17">
        <f>SQRT(I144*(100-I144)/(L144-1))</f>
        <v>0.31101195502486717</v>
      </c>
      <c r="K144" s="18">
        <f>100-I144</f>
        <v>7.7578051087984932</v>
      </c>
      <c r="L144" s="1">
        <f>H133</f>
        <v>7399</v>
      </c>
      <c r="M144">
        <v>2</v>
      </c>
      <c r="N144" s="1">
        <v>105518.46</v>
      </c>
      <c r="O144" s="17">
        <f>N144/N147*100</f>
        <v>59.174931715383039</v>
      </c>
      <c r="P144" s="52">
        <f>((O144*O144*(I144/100)*(K144/100))/(L144-1))</f>
        <v>3.38711309108502E-2</v>
      </c>
      <c r="R144" s="16" t="s">
        <v>323</v>
      </c>
      <c r="S144" t="s">
        <v>68</v>
      </c>
      <c r="T144" s="57">
        <f>$AA143*T136/100</f>
        <v>2525.4499999999998</v>
      </c>
      <c r="U144" s="57">
        <f>$AA143*U136/100</f>
        <v>16131.651844455846</v>
      </c>
      <c r="V144" s="57">
        <f>$AA143*V136/100</f>
        <v>102401.38847443486</v>
      </c>
      <c r="W144" s="57">
        <f>$AA143*W136/100</f>
        <v>38866.823579755517</v>
      </c>
      <c r="X144" s="57">
        <f>$AA143*X136/100</f>
        <v>18390.846101353789</v>
      </c>
      <c r="Z144" t="s">
        <v>36</v>
      </c>
      <c r="AA144" s="25">
        <f>SUM(T144:X144)</f>
        <v>178316.16</v>
      </c>
      <c r="AD144" s="51"/>
      <c r="AE144" s="51"/>
      <c r="AH144" s="78"/>
      <c r="AI144" s="78"/>
      <c r="BF144" s="51">
        <v>0.91592231703358695</v>
      </c>
      <c r="BG144" s="1">
        <v>81</v>
      </c>
      <c r="BH144">
        <f t="shared" si="29"/>
        <v>0.8568619257010005</v>
      </c>
      <c r="BI144">
        <f t="shared" si="30"/>
        <v>8.5922360087298644E-2</v>
      </c>
      <c r="BJ144">
        <f t="shared" si="28"/>
        <v>7.8698207136152762E-2</v>
      </c>
    </row>
    <row r="145" spans="1:62" x14ac:dyDescent="0.3">
      <c r="A145" t="s">
        <v>6</v>
      </c>
      <c r="B145" s="13">
        <v>3</v>
      </c>
      <c r="C145" s="33">
        <f t="shared" si="32"/>
        <v>0</v>
      </c>
      <c r="D145" s="19">
        <f t="shared" si="32"/>
        <v>0</v>
      </c>
      <c r="E145" s="19">
        <f t="shared" si="32"/>
        <v>0.14400637241641825</v>
      </c>
      <c r="F145" s="34">
        <f t="shared" si="32"/>
        <v>20.482788735464666</v>
      </c>
      <c r="G145" s="20">
        <f t="shared" si="32"/>
        <v>0.72003186208209113</v>
      </c>
      <c r="H145" s="17">
        <f>SUM(C145:G145)</f>
        <v>21.346826969963175</v>
      </c>
      <c r="I145" s="17">
        <f>F145/H145*100</f>
        <v>95.952380952380949</v>
      </c>
      <c r="J145" s="17">
        <f>SQRT(I145*(100-I145)/(L145-1))</f>
        <v>0.39265724002115482</v>
      </c>
      <c r="K145" s="18">
        <f>100-I145</f>
        <v>4.047619047619051</v>
      </c>
      <c r="L145" s="1">
        <f>H134</f>
        <v>2520</v>
      </c>
      <c r="M145">
        <v>3</v>
      </c>
      <c r="N145" s="1">
        <v>38064.839999999997</v>
      </c>
      <c r="O145" s="17">
        <f>N145/N147*100</f>
        <v>21.346826969963175</v>
      </c>
      <c r="P145" s="52">
        <f>((O145*O145*(I145/100)*(K145/100))/(L145-1))</f>
        <v>7.0257692007133221E-3</v>
      </c>
      <c r="R145" s="66"/>
      <c r="S145" s="66" t="s">
        <v>67</v>
      </c>
      <c r="T145" s="67">
        <f>$AA143*T137/100</f>
        <v>0</v>
      </c>
      <c r="U145" s="67">
        <f>$AA143*U137/100</f>
        <v>394.15984428142684</v>
      </c>
      <c r="V145" s="67">
        <f>$AA143*V137/100</f>
        <v>388.93500571521486</v>
      </c>
      <c r="W145" s="67">
        <f>$AA143*W137/100</f>
        <v>278.22435309490771</v>
      </c>
      <c r="X145" s="67">
        <f>$AA143*X137/100</f>
        <v>329.52659305426937</v>
      </c>
      <c r="AA145" s="1"/>
      <c r="AD145" s="51"/>
      <c r="AE145" s="51"/>
      <c r="BF145" s="51">
        <v>0.91598193547010098</v>
      </c>
      <c r="BG145" s="1">
        <v>82</v>
      </c>
      <c r="BH145">
        <f t="shared" si="29"/>
        <v>0.89353437460601337</v>
      </c>
      <c r="BI145">
        <f t="shared" si="30"/>
        <v>8.9599712605350768E-2</v>
      </c>
      <c r="BJ145">
        <f t="shared" si="28"/>
        <v>8.2071718169813998E-2</v>
      </c>
    </row>
    <row r="146" spans="1:62" x14ac:dyDescent="0.3">
      <c r="A146" t="s">
        <v>7</v>
      </c>
      <c r="B146" s="13">
        <v>4</v>
      </c>
      <c r="C146" s="35">
        <f t="shared" si="32"/>
        <v>0</v>
      </c>
      <c r="D146" s="36">
        <f t="shared" si="32"/>
        <v>1.1600030050069488</v>
      </c>
      <c r="E146" s="21">
        <f t="shared" si="32"/>
        <v>0.37852729637068849</v>
      </c>
      <c r="F146" s="21">
        <f t="shared" si="32"/>
        <v>1.1844241209018318</v>
      </c>
      <c r="G146" s="37">
        <f t="shared" si="32"/>
        <v>8.8160228380528114</v>
      </c>
      <c r="H146" s="17">
        <f>SUM(C146:G146)</f>
        <v>11.538977260332281</v>
      </c>
      <c r="I146" s="17">
        <f>G146/H146*100</f>
        <v>76.402116402116405</v>
      </c>
      <c r="J146" s="17">
        <f>SQRT(I146*(100-I146)/(L146-1))</f>
        <v>1.3819846671441403</v>
      </c>
      <c r="K146" s="18">
        <f>100-I146</f>
        <v>23.597883597883595</v>
      </c>
      <c r="L146" s="1">
        <f>H135</f>
        <v>945</v>
      </c>
      <c r="M146">
        <v>4</v>
      </c>
      <c r="N146" s="1">
        <v>20575.86</v>
      </c>
      <c r="O146" s="17">
        <f>N146/N147*100</f>
        <v>11.538977260332279</v>
      </c>
      <c r="P146" s="52">
        <f>((O146*O146*(I146/100)*(K146/100))/(L146-1))</f>
        <v>2.5429691073932933E-2</v>
      </c>
      <c r="R146" t="s">
        <v>106</v>
      </c>
      <c r="S146" t="s">
        <v>28</v>
      </c>
      <c r="T146" s="57">
        <f>C408</f>
        <v>1.4069840893837104</v>
      </c>
      <c r="U146" s="57">
        <f t="shared" ref="U146:X149" si="33">D408</f>
        <v>8.8232154653819759</v>
      </c>
      <c r="V146" s="57">
        <f t="shared" si="33"/>
        <v>58.000042626041477</v>
      </c>
      <c r="W146" s="57">
        <f t="shared" si="33"/>
        <v>21.815230471070468</v>
      </c>
      <c r="X146" s="57">
        <f t="shared" si="33"/>
        <v>9.9545273481223564</v>
      </c>
      <c r="Y146" s="60"/>
      <c r="Z146" s="74"/>
      <c r="AA146" s="12"/>
      <c r="AD146" s="51"/>
      <c r="AE146" s="51"/>
      <c r="AH146" s="78"/>
      <c r="AI146" s="78"/>
      <c r="BF146" s="51">
        <v>0.916026994446271</v>
      </c>
      <c r="BG146" s="1">
        <v>83</v>
      </c>
      <c r="BH146">
        <f t="shared" si="29"/>
        <v>0.93144978630264041</v>
      </c>
      <c r="BI146">
        <f t="shared" si="30"/>
        <v>9.3401703986856682E-2</v>
      </c>
      <c r="BJ146">
        <f t="shared" si="28"/>
        <v>8.5558482179240614E-2</v>
      </c>
    </row>
    <row r="147" spans="1:62" x14ac:dyDescent="0.3">
      <c r="B147" t="s">
        <v>28</v>
      </c>
      <c r="C147" s="17">
        <f t="shared" ref="C147:H147" si="34">SUM(C142:C146)</f>
        <v>1.4216771728191751</v>
      </c>
      <c r="D147" s="17">
        <f t="shared" si="34"/>
        <v>10.013194659506752</v>
      </c>
      <c r="E147" s="17">
        <f t="shared" si="34"/>
        <v>55.914278148612276</v>
      </c>
      <c r="F147" s="17">
        <f t="shared" si="34"/>
        <v>22.650929115454495</v>
      </c>
      <c r="G147" s="17">
        <f t="shared" si="34"/>
        <v>9.9999209036072934</v>
      </c>
      <c r="H147" s="18">
        <f t="shared" si="34"/>
        <v>100</v>
      </c>
      <c r="I147" s="13" t="s">
        <v>24</v>
      </c>
      <c r="J147" s="12" t="s">
        <v>29</v>
      </c>
      <c r="N147" s="1">
        <f>SUM(N142:N146)</f>
        <v>178316.15000000002</v>
      </c>
      <c r="O147" s="17">
        <f>SUM(O142:O146)</f>
        <v>99.999999999999986</v>
      </c>
      <c r="S147" s="66" t="s">
        <v>39</v>
      </c>
      <c r="T147" s="67">
        <f>C409</f>
        <v>0</v>
      </c>
      <c r="U147" s="67">
        <f t="shared" si="33"/>
        <v>0.21453010487725294</v>
      </c>
      <c r="V147" s="67">
        <f t="shared" si="33"/>
        <v>0.22157331928991847</v>
      </c>
      <c r="W147" s="67">
        <f t="shared" si="33"/>
        <v>0.16389605520843673</v>
      </c>
      <c r="X147" s="67">
        <f t="shared" si="33"/>
        <v>0.19040555295352565</v>
      </c>
      <c r="AD147" s="51"/>
      <c r="AE147" s="51"/>
      <c r="BF147" s="51">
        <v>0.91625879363237295</v>
      </c>
      <c r="BG147" s="1">
        <v>84</v>
      </c>
      <c r="BH147">
        <f t="shared" si="29"/>
        <v>0.97075394243172153</v>
      </c>
      <c r="BI147">
        <f t="shared" si="30"/>
        <v>9.7342952576105757E-2</v>
      </c>
      <c r="BJ147">
        <f t="shared" si="28"/>
        <v>8.9191336295995946E-2</v>
      </c>
    </row>
    <row r="148" spans="1:62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0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0.22392849064947529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0.23054262119499772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0.16654616556802918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0.18702189854149401</v>
      </c>
      <c r="H148" s="1"/>
      <c r="I148" s="56">
        <f>(C142+D143+E144+F145+G146)/H147</f>
        <v>0.91014842827291886</v>
      </c>
      <c r="J148" s="53">
        <f>SQRT(SUM(P142:P146))/100</f>
        <v>2.8278636470285522E-3</v>
      </c>
      <c r="M148" s="1"/>
      <c r="N148" s="9"/>
      <c r="S148" t="s">
        <v>30</v>
      </c>
      <c r="T148" s="57">
        <f>C410</f>
        <v>100</v>
      </c>
      <c r="U148" s="57">
        <f t="shared" si="33"/>
        <v>57.914967489250323</v>
      </c>
      <c r="V148" s="57">
        <f t="shared" si="33"/>
        <v>97.463012429065373</v>
      </c>
      <c r="W148" s="57">
        <f t="shared" si="33"/>
        <v>90.883856884598799</v>
      </c>
      <c r="X148" s="57">
        <f t="shared" si="33"/>
        <v>86.542508710969869</v>
      </c>
      <c r="AD148" s="51"/>
      <c r="AE148" s="51"/>
      <c r="AH148" s="78"/>
      <c r="AI148" s="78"/>
      <c r="BF148" s="51">
        <v>0.91626707233036397</v>
      </c>
      <c r="BG148" s="1">
        <v>85</v>
      </c>
      <c r="BH148">
        <f t="shared" si="29"/>
        <v>1.0116180790824523</v>
      </c>
      <c r="BI148">
        <f t="shared" si="30"/>
        <v>0.10144062917795522</v>
      </c>
      <c r="BJ148">
        <f t="shared" si="28"/>
        <v>9.294670831223513E-2</v>
      </c>
    </row>
    <row r="149" spans="1:62" x14ac:dyDescent="0.3">
      <c r="B149" s="1" t="s">
        <v>30</v>
      </c>
      <c r="C149" s="17">
        <f>C142/C147*100</f>
        <v>100</v>
      </c>
      <c r="D149" s="17">
        <f>D143/D147*100</f>
        <v>57.025738892381327</v>
      </c>
      <c r="E149" s="17">
        <f>E144/E147*100</f>
        <v>97.621319002924039</v>
      </c>
      <c r="F149" s="17">
        <f>F145/F147*100</f>
        <v>90.428028938951883</v>
      </c>
      <c r="G149" s="17">
        <f>G146/G147*100</f>
        <v>88.160925701648182</v>
      </c>
      <c r="H149" s="1"/>
      <c r="S149" s="66" t="s">
        <v>39</v>
      </c>
      <c r="T149" s="67">
        <f>C411</f>
        <v>0</v>
      </c>
      <c r="U149" s="67">
        <f t="shared" si="33"/>
        <v>5.6407261912274631</v>
      </c>
      <c r="V149" s="67">
        <f t="shared" si="33"/>
        <v>0.24757419484749907</v>
      </c>
      <c r="W149" s="67">
        <f t="shared" si="33"/>
        <v>0.68361403375948249</v>
      </c>
      <c r="X149" s="67">
        <f t="shared" si="33"/>
        <v>2.3418573759716912</v>
      </c>
      <c r="AD149" s="51"/>
      <c r="AE149" s="51"/>
      <c r="BF149" s="51">
        <v>0.91645628813278401</v>
      </c>
      <c r="BG149" s="1">
        <v>86</v>
      </c>
      <c r="BH149">
        <f t="shared" si="29"/>
        <v>1.0542454124924514</v>
      </c>
      <c r="BI149">
        <f t="shared" si="30"/>
        <v>0.10571511142644452</v>
      </c>
      <c r="BJ149">
        <f t="shared" si="28"/>
        <v>9.6883278617423005E-2</v>
      </c>
    </row>
    <row r="150" spans="1:62" x14ac:dyDescent="0.3">
      <c r="B150" s="16" t="s">
        <v>39</v>
      </c>
      <c r="C150" s="18">
        <f>SQRT((C153+C154)/(C147*C147))</f>
        <v>0</v>
      </c>
      <c r="D150" s="18">
        <f>SQRT((D153+D154)/(D147*D147))</f>
        <v>5.1295632866221528</v>
      </c>
      <c r="E150" s="18">
        <f>SQRT((E153+E154)/(E147*E147))</f>
        <v>0.25504522466001561</v>
      </c>
      <c r="F150" s="18">
        <f>SQRT((F153+F154)/(F147*F147))</f>
        <v>0.67516779931471271</v>
      </c>
      <c r="G150" s="18">
        <f>SQRT((G153+G154)/(G147*G147))</f>
        <v>2.0757563071685854</v>
      </c>
      <c r="H150" s="1"/>
      <c r="S150" s="15" t="s">
        <v>31</v>
      </c>
      <c r="T150" s="71">
        <f>I403</f>
        <v>100</v>
      </c>
      <c r="U150" s="71">
        <f>I404</f>
        <v>85.250737463126853</v>
      </c>
      <c r="V150" s="71">
        <f>I405</f>
        <v>93.62075956210299</v>
      </c>
      <c r="W150" s="71">
        <f>I406</f>
        <v>95.317460317460316</v>
      </c>
      <c r="X150" s="71">
        <f>I407</f>
        <v>75.449735449735442</v>
      </c>
      <c r="AD150" s="51"/>
      <c r="AE150" s="51"/>
      <c r="AH150" s="78"/>
      <c r="AI150" s="78"/>
      <c r="BF150" s="51">
        <v>0.91652606195005304</v>
      </c>
      <c r="BG150" s="1">
        <v>87</v>
      </c>
      <c r="BH150">
        <f t="shared" si="29"/>
        <v>1.0988799140705434</v>
      </c>
      <c r="BI150">
        <f t="shared" si="30"/>
        <v>0.11019086370563748</v>
      </c>
      <c r="BJ150">
        <f t="shared" si="28"/>
        <v>0.10099279837500295</v>
      </c>
    </row>
    <row r="151" spans="1:62" x14ac:dyDescent="0.3">
      <c r="B151" s="1" t="s">
        <v>37</v>
      </c>
      <c r="C151" s="18">
        <f>100-C149</f>
        <v>0</v>
      </c>
      <c r="D151" s="18">
        <f>100-D149</f>
        <v>42.974261107618673</v>
      </c>
      <c r="E151" s="18">
        <f>100-E149</f>
        <v>2.3786809970759606</v>
      </c>
      <c r="F151" s="18">
        <f>100-F149</f>
        <v>9.5719710610481172</v>
      </c>
      <c r="G151" s="18">
        <f>100-G149</f>
        <v>11.839074298351818</v>
      </c>
      <c r="S151" s="75" t="s">
        <v>39</v>
      </c>
      <c r="T151" s="76">
        <f>J403</f>
        <v>0</v>
      </c>
      <c r="U151" s="76">
        <f>J404</f>
        <v>1.9287497163603353</v>
      </c>
      <c r="V151" s="76">
        <f>J405</f>
        <v>0.28412758653798581</v>
      </c>
      <c r="W151" s="76">
        <f>J406</f>
        <v>0.42093290895930463</v>
      </c>
      <c r="X151" s="76">
        <f>J407</f>
        <v>1.4007832878166255</v>
      </c>
      <c r="AD151" s="51"/>
      <c r="AE151" s="51"/>
      <c r="BF151" s="51">
        <v>0.91672506751653215</v>
      </c>
      <c r="BG151" s="1">
        <v>88</v>
      </c>
      <c r="BH151">
        <f t="shared" si="29"/>
        <v>1.1458183419972177</v>
      </c>
      <c r="BI151">
        <f t="shared" si="30"/>
        <v>0.11489764362580719</v>
      </c>
      <c r="BJ151">
        <f t="shared" si="28"/>
        <v>0.10532955011035855</v>
      </c>
    </row>
    <row r="152" spans="1:62" ht="15.6" x14ac:dyDescent="0.35">
      <c r="B152" s="1" t="s">
        <v>25</v>
      </c>
      <c r="C152" s="1">
        <f>C136</f>
        <v>259</v>
      </c>
      <c r="D152" s="1">
        <f>D136</f>
        <v>785</v>
      </c>
      <c r="E152" s="1">
        <f>E136</f>
        <v>6915</v>
      </c>
      <c r="F152" s="1">
        <f>F136</f>
        <v>2638</v>
      </c>
      <c r="G152" s="1">
        <f>G136</f>
        <v>865</v>
      </c>
      <c r="S152" s="66" t="s">
        <v>56</v>
      </c>
      <c r="T152" s="67">
        <f>N392*100</f>
        <v>100</v>
      </c>
      <c r="U152" s="67">
        <f>N393*100</f>
        <v>55.899419729206954</v>
      </c>
      <c r="V152" s="67">
        <f>N394*100</f>
        <v>96.008316008316001</v>
      </c>
      <c r="W152" s="67">
        <f>N395*100</f>
        <v>93.809802772895921</v>
      </c>
      <c r="X152" s="67">
        <f>N396*100</f>
        <v>78.308621636463471</v>
      </c>
      <c r="AD152" s="51"/>
      <c r="AE152" s="51"/>
      <c r="AH152" s="78"/>
      <c r="AI152" s="78"/>
      <c r="BF152" s="51">
        <v>0.9167707199585986</v>
      </c>
      <c r="BG152" s="1">
        <v>89</v>
      </c>
      <c r="BH152">
        <f t="shared" si="29"/>
        <v>1.1954271085021428</v>
      </c>
      <c r="BI152">
        <f t="shared" si="30"/>
        <v>0.11987219340013137</v>
      </c>
      <c r="BJ152">
        <f t="shared" si="28"/>
        <v>0.10989531704645482</v>
      </c>
    </row>
    <row r="153" spans="1:62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2519.3014569515394</v>
      </c>
      <c r="E153" s="18">
        <f>(O144*O144*(100-E149)*(100-E149)*(I144)*(100-I144))/((L144-1)*100)</f>
        <v>19.164703452476491</v>
      </c>
      <c r="F153" s="18">
        <f>(O145*O145*(100-F149)*(100-F149)*(I145)*(100-I145))/((L145-1)*100)</f>
        <v>64.371945189698451</v>
      </c>
      <c r="G153" s="18">
        <f>(O146*O146*(100-G149)*(100-G149)*(I146)*(100-I146))/((L146-1)*100)</f>
        <v>356.4319088336897</v>
      </c>
      <c r="R153" s="16" t="s">
        <v>66</v>
      </c>
      <c r="S153" t="s">
        <v>9</v>
      </c>
      <c r="T153" s="30">
        <f>N403</f>
        <v>2508.88</v>
      </c>
      <c r="U153" s="30">
        <f>N404</f>
        <v>10688.34</v>
      </c>
      <c r="V153" s="30">
        <f>N405</f>
        <v>107668.01</v>
      </c>
      <c r="W153" s="30">
        <f>N406</f>
        <v>37090.68</v>
      </c>
      <c r="X153" s="30">
        <f>N407</f>
        <v>20360.25</v>
      </c>
      <c r="Z153" t="s">
        <v>36</v>
      </c>
      <c r="AA153" s="1">
        <f>N408</f>
        <v>178316.16</v>
      </c>
      <c r="AD153" s="51"/>
      <c r="AE153" s="51"/>
      <c r="BF153" s="51">
        <v>0.91678692375816595</v>
      </c>
      <c r="BG153" s="1">
        <v>90</v>
      </c>
      <c r="BH153">
        <f t="shared" si="29"/>
        <v>1.248166539458073</v>
      </c>
      <c r="BI153">
        <f t="shared" si="30"/>
        <v>0.12516067249049057</v>
      </c>
      <c r="BJ153">
        <f t="shared" si="28"/>
        <v>0.11474566790806015</v>
      </c>
    </row>
    <row r="154" spans="1:62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118.88874348666148</v>
      </c>
      <c r="E154" s="18">
        <f>E149*E149*(SUM((H142*E142*(1-E131/H131))/(H131-1),(H143*E143*(1-E132/H132))/(H132-1), (H145*E145*(1-E134/H134))/(H134-1),(H146*E146*(1-E135/H135))/(H135-1)))</f>
        <v>184.20199490386244</v>
      </c>
      <c r="F154" s="18">
        <f>F149*F149*(SUM((H142*F142*(1-F131/H131))/(H131-1),(H143*F143*(1-F132/H132))/(H132-1), (H144*F144*(1-F133/H133))/(H133-1),(H146*F146*(1-F135/H135))/(H135-1)))</f>
        <v>169.50934702792398</v>
      </c>
      <c r="G154" s="18">
        <f>G149*G149*(SUM((H142*G142*(1-G131/H131))/(H131-1),(H143*G143*(1-G132/H132))/(H132-1), (H144*G144*(1-G133/H133))/(H133-1),(H145*G145*(1-G134/H134))/(H134-1)))</f>
        <v>74.437699714104383</v>
      </c>
      <c r="R154" s="16" t="s">
        <v>323</v>
      </c>
      <c r="S154" t="s">
        <v>68</v>
      </c>
      <c r="T154" s="57">
        <f>$AA153*T146/100</f>
        <v>2508.88</v>
      </c>
      <c r="U154" s="57">
        <f>$AA153*U146/100</f>
        <v>15733.219006395269</v>
      </c>
      <c r="V154" s="57">
        <f>$AA153*V146/100</f>
        <v>103423.44880912032</v>
      </c>
      <c r="W154" s="57">
        <f>$AA153*W146/100</f>
        <v>38900.081271162766</v>
      </c>
      <c r="X154" s="57">
        <f>$AA153*X146/100</f>
        <v>17750.530913321618</v>
      </c>
      <c r="Z154" t="s">
        <v>36</v>
      </c>
      <c r="AA154" s="25">
        <f>SUM(T154:X154)</f>
        <v>178316.16</v>
      </c>
      <c r="AD154" s="51"/>
      <c r="AE154" s="51"/>
      <c r="AH154" s="78"/>
      <c r="AI154" s="78"/>
      <c r="BF154" s="51">
        <v>0.91707296257343895</v>
      </c>
      <c r="BG154" s="1">
        <v>91</v>
      </c>
      <c r="BH154">
        <f t="shared" si="29"/>
        <v>1.3046268229653302</v>
      </c>
      <c r="BI154">
        <f t="shared" si="30"/>
        <v>0.13082226237403305</v>
      </c>
      <c r="BJ154">
        <f t="shared" si="28"/>
        <v>0.11997355972591423</v>
      </c>
    </row>
    <row r="155" spans="1:62" x14ac:dyDescent="0.3">
      <c r="A155" s="105" t="s">
        <v>390</v>
      </c>
      <c r="B155" s="69" t="s">
        <v>9</v>
      </c>
      <c r="C155" s="1">
        <v>270.89999999999998</v>
      </c>
      <c r="D155" s="1">
        <v>1650.06</v>
      </c>
      <c r="E155" s="1">
        <v>15477.43</v>
      </c>
      <c r="F155" s="1">
        <v>2207.2199999999998</v>
      </c>
      <c r="G155" s="1">
        <v>1917.15</v>
      </c>
      <c r="I155" t="s">
        <v>36</v>
      </c>
      <c r="J155" s="57">
        <f>SUM(C155:G155)</f>
        <v>21522.760000000002</v>
      </c>
      <c r="R155" s="66"/>
      <c r="S155" s="66" t="s">
        <v>67</v>
      </c>
      <c r="T155" s="67">
        <f>$AA153*T147/100</f>
        <v>0</v>
      </c>
      <c r="U155" s="67">
        <f>$AA153*U147/100</f>
        <v>382.54184506109016</v>
      </c>
      <c r="V155" s="67">
        <f>$AA153*V147/100</f>
        <v>395.10103454232188</v>
      </c>
      <c r="W155" s="67">
        <f>$AA153*W147/100</f>
        <v>292.25315203916438</v>
      </c>
      <c r="X155" s="67">
        <f>$AA153*X147/100</f>
        <v>339.52387045349349</v>
      </c>
      <c r="AA155" s="1"/>
      <c r="AD155" s="51"/>
      <c r="AE155" s="51"/>
      <c r="BF155" s="51">
        <v>0.91724866110388703</v>
      </c>
      <c r="BG155" s="1">
        <v>92</v>
      </c>
      <c r="BH155">
        <f t="shared" si="29"/>
        <v>1.3655831908785105</v>
      </c>
      <c r="BI155">
        <f t="shared" si="30"/>
        <v>0.13693469990492851</v>
      </c>
      <c r="BJ155">
        <f t="shared" si="28"/>
        <v>0.12560317014645825</v>
      </c>
    </row>
    <row r="156" spans="1:62" x14ac:dyDescent="0.3">
      <c r="B156" t="s">
        <v>391</v>
      </c>
      <c r="C156" s="57">
        <f>(C155/$J155)*100</f>
        <v>1.2586675686575513</v>
      </c>
      <c r="D156" s="57">
        <f>(D155/$J155)*100</f>
        <v>7.6665817952716093</v>
      </c>
      <c r="E156" s="57">
        <f>(E155/$J155)*100</f>
        <v>71.911920218410643</v>
      </c>
      <c r="F156" s="57">
        <f>(F155/$J155)*100</f>
        <v>10.255283244342268</v>
      </c>
      <c r="G156" s="57">
        <f>(G155/$J155)*100</f>
        <v>8.9075471733179192</v>
      </c>
      <c r="R156" t="s">
        <v>107</v>
      </c>
      <c r="S156" t="s">
        <v>28</v>
      </c>
      <c r="T156" s="57">
        <f>C437</f>
        <v>1.4102143069927031</v>
      </c>
      <c r="U156" s="57">
        <f t="shared" ref="U156:X159" si="35">D437</f>
        <v>10.243413815597837</v>
      </c>
      <c r="V156" s="57">
        <f t="shared" si="35"/>
        <v>56.013285235392807</v>
      </c>
      <c r="W156" s="57">
        <f t="shared" si="35"/>
        <v>22.060184086507505</v>
      </c>
      <c r="X156" s="57">
        <f t="shared" si="35"/>
        <v>10.272902555509154</v>
      </c>
      <c r="Z156" s="74"/>
      <c r="AA156" s="12"/>
      <c r="AD156" s="51"/>
      <c r="AE156" s="51"/>
      <c r="AH156" s="78"/>
      <c r="AI156" s="78"/>
      <c r="BF156" s="51">
        <v>0.917274286505388</v>
      </c>
      <c r="BG156" s="1">
        <v>93</v>
      </c>
      <c r="BH156">
        <f t="shared" si="29"/>
        <v>1.43208428708654</v>
      </c>
      <c r="BI156">
        <f t="shared" si="30"/>
        <v>0.14360313849835979</v>
      </c>
      <c r="BJ156">
        <f t="shared" si="28"/>
        <v>0.1317234664060174</v>
      </c>
    </row>
    <row r="157" spans="1:62" x14ac:dyDescent="0.3">
      <c r="A157" s="361" t="s">
        <v>401</v>
      </c>
      <c r="B157" s="361"/>
      <c r="C157" s="361"/>
      <c r="D157" s="361"/>
      <c r="E157" s="361"/>
      <c r="F157" s="361"/>
      <c r="G157" s="361"/>
      <c r="H157" s="361"/>
      <c r="I157" s="361"/>
      <c r="J157" s="361"/>
      <c r="K157" s="361"/>
      <c r="L157" s="361" t="s">
        <v>83</v>
      </c>
      <c r="M157" s="361"/>
      <c r="N157" s="361"/>
      <c r="O157" s="361"/>
      <c r="P157" s="361"/>
      <c r="S157" s="66" t="s">
        <v>39</v>
      </c>
      <c r="T157" s="67">
        <f>C438</f>
        <v>0</v>
      </c>
      <c r="U157" s="67">
        <f t="shared" si="35"/>
        <v>0.23022402246422585</v>
      </c>
      <c r="V157" s="67">
        <f t="shared" si="35"/>
        <v>0.22721283287205007</v>
      </c>
      <c r="W157" s="67">
        <f t="shared" si="35"/>
        <v>0.1591276451920686</v>
      </c>
      <c r="X157" s="67">
        <f t="shared" si="35"/>
        <v>0.1833628756600619</v>
      </c>
      <c r="AD157" s="51"/>
      <c r="AE157" s="51"/>
      <c r="BF157" s="51">
        <v>0.91744833233055401</v>
      </c>
      <c r="BG157" s="1">
        <v>94</v>
      </c>
      <c r="BH157">
        <f t="shared" si="29"/>
        <v>1.5056012163044223</v>
      </c>
      <c r="BI157">
        <f t="shared" si="30"/>
        <v>0.15097509409039242</v>
      </c>
      <c r="BJ157">
        <f t="shared" si="28"/>
        <v>0.13851184829667901</v>
      </c>
    </row>
    <row r="158" spans="1:62" x14ac:dyDescent="0.3">
      <c r="A158" t="s">
        <v>320</v>
      </c>
      <c r="B158" t="s">
        <v>21</v>
      </c>
      <c r="I158" s="1" t="s">
        <v>58</v>
      </c>
      <c r="O158" s="360" t="s">
        <v>411</v>
      </c>
      <c r="P158" s="360"/>
      <c r="S158" t="s">
        <v>30</v>
      </c>
      <c r="T158" s="57">
        <f>C439</f>
        <v>100</v>
      </c>
      <c r="U158" s="57">
        <f t="shared" si="35"/>
        <v>54.837584386446359</v>
      </c>
      <c r="V158" s="57">
        <f t="shared" si="35"/>
        <v>97.945994272535003</v>
      </c>
      <c r="W158" s="57">
        <f t="shared" si="35"/>
        <v>91.399402653114379</v>
      </c>
      <c r="X158" s="57">
        <f t="shared" si="35"/>
        <v>88.31596647396664</v>
      </c>
      <c r="AD158" s="51"/>
      <c r="AE158" s="51"/>
      <c r="AH158" s="78"/>
      <c r="AI158" s="78"/>
      <c r="BF158" s="51">
        <v>0.91757212887966499</v>
      </c>
      <c r="BG158" s="1">
        <v>95</v>
      </c>
      <c r="BH158">
        <f t="shared" si="29"/>
        <v>1.5882958682169486</v>
      </c>
      <c r="BI158">
        <f t="shared" si="30"/>
        <v>0.15926735150760582</v>
      </c>
      <c r="BJ158">
        <f t="shared" si="28"/>
        <v>0.14613928278385979</v>
      </c>
    </row>
    <row r="159" spans="1:62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56</v>
      </c>
      <c r="O159" s="13" t="s">
        <v>412</v>
      </c>
      <c r="P159" s="13" t="s">
        <v>41</v>
      </c>
      <c r="S159" s="66" t="s">
        <v>39</v>
      </c>
      <c r="T159" s="67">
        <f>C440</f>
        <v>0</v>
      </c>
      <c r="U159" s="67">
        <f t="shared" si="35"/>
        <v>5.2434349664638829</v>
      </c>
      <c r="V159" s="67">
        <f t="shared" si="35"/>
        <v>0.23761479178615308</v>
      </c>
      <c r="W159" s="67">
        <f t="shared" si="35"/>
        <v>0.64895464093870836</v>
      </c>
      <c r="X159" s="67">
        <f t="shared" si="35"/>
        <v>1.9540072197052913</v>
      </c>
      <c r="AD159" s="51"/>
      <c r="AE159" s="51"/>
      <c r="BF159" s="51">
        <v>0.91810191179827993</v>
      </c>
      <c r="BG159" s="1">
        <v>96</v>
      </c>
      <c r="BH159">
        <f t="shared" si="29"/>
        <v>1.6835465976780204</v>
      </c>
      <c r="BI159">
        <f t="shared" si="30"/>
        <v>0.16881867737453193</v>
      </c>
      <c r="BJ159">
        <f t="shared" si="28"/>
        <v>0.15499275044481478</v>
      </c>
    </row>
    <row r="160" spans="1:62" x14ac:dyDescent="0.3">
      <c r="A160" t="s">
        <v>3</v>
      </c>
      <c r="B160" s="13">
        <v>0</v>
      </c>
      <c r="C160" s="26">
        <v>259</v>
      </c>
      <c r="D160" s="3">
        <v>0</v>
      </c>
      <c r="E160" s="3">
        <v>0</v>
      </c>
      <c r="F160" s="3">
        <v>0</v>
      </c>
      <c r="G160" s="4">
        <v>0</v>
      </c>
      <c r="H160" s="1">
        <f>SUM(C160:G160)</f>
        <v>259</v>
      </c>
      <c r="I160" s="10">
        <f>C160/H160</f>
        <v>1</v>
      </c>
      <c r="J160" s="11">
        <f>1-I160</f>
        <v>0</v>
      </c>
      <c r="K160">
        <f>H160-C165</f>
        <v>0</v>
      </c>
      <c r="N160" s="10">
        <f>2*(C166*I160)/(C166+I160)</f>
        <v>1</v>
      </c>
      <c r="O160" s="1"/>
      <c r="P160" s="1"/>
      <c r="S160" s="15" t="s">
        <v>31</v>
      </c>
      <c r="T160" s="71">
        <f>I432</f>
        <v>100</v>
      </c>
      <c r="U160" s="71">
        <f>I433</f>
        <v>87.315634218289077</v>
      </c>
      <c r="V160" s="71">
        <f>I434</f>
        <v>92.134072171915122</v>
      </c>
      <c r="W160" s="71">
        <f>I435</f>
        <v>95.833333333333343</v>
      </c>
      <c r="X160" s="71">
        <f>I436</f>
        <v>78.412698412698418</v>
      </c>
      <c r="AD160" s="51"/>
      <c r="AE160" s="51"/>
      <c r="AH160" s="78"/>
      <c r="AI160" s="78"/>
      <c r="BF160" s="51">
        <v>0.91873670846466082</v>
      </c>
      <c r="BG160" s="1">
        <v>97</v>
      </c>
      <c r="BH160">
        <f t="shared" si="29"/>
        <v>1.7971034256260585</v>
      </c>
      <c r="BI160">
        <f t="shared" si="30"/>
        <v>0.18020565860063842</v>
      </c>
      <c r="BJ160">
        <f t="shared" si="28"/>
        <v>0.16556155362945693</v>
      </c>
    </row>
    <row r="161" spans="1:62" x14ac:dyDescent="0.3">
      <c r="A161" t="s">
        <v>4</v>
      </c>
      <c r="B161" s="13">
        <v>1</v>
      </c>
      <c r="C161" s="5">
        <v>0</v>
      </c>
      <c r="D161" s="27">
        <v>301</v>
      </c>
      <c r="E161" s="1">
        <v>38</v>
      </c>
      <c r="F161" s="1">
        <v>0</v>
      </c>
      <c r="G161" s="6">
        <v>0</v>
      </c>
      <c r="H161" s="1">
        <f>SUM(C161:G161)</f>
        <v>339</v>
      </c>
      <c r="I161" s="10">
        <f>D161/H161</f>
        <v>0.88790560471976399</v>
      </c>
      <c r="J161" s="11">
        <f>1-I161</f>
        <v>0.11209439528023601</v>
      </c>
      <c r="K161">
        <f>H161-D165</f>
        <v>-436</v>
      </c>
      <c r="N161" s="10">
        <f>2*(D166*I161)/(D166+I161)</f>
        <v>0.54039497307001783</v>
      </c>
      <c r="O161" s="1"/>
      <c r="P161" s="1"/>
      <c r="S161" s="75" t="s">
        <v>39</v>
      </c>
      <c r="T161" s="76">
        <f>J432</f>
        <v>0</v>
      </c>
      <c r="U161" s="76">
        <f>J433</f>
        <v>1.8101811368440333</v>
      </c>
      <c r="V161" s="76">
        <f>J434</f>
        <v>0.31298818849661914</v>
      </c>
      <c r="W161" s="76">
        <f>J435</f>
        <v>0.39814254897400148</v>
      </c>
      <c r="X161" s="76">
        <f>J436</f>
        <v>1.3390795634442927</v>
      </c>
      <c r="AD161" s="51"/>
      <c r="AE161" s="51"/>
      <c r="BF161" s="51">
        <v>0.91889826754976001</v>
      </c>
      <c r="BG161" s="1">
        <v>98</v>
      </c>
      <c r="BH161">
        <f>_xlfn.NORM.S.INV((BG161-0.375)/($BI$61+0.25))</f>
        <v>1.9400873318827654</v>
      </c>
      <c r="BI161">
        <f>BH161/SQRT($BL$65)</f>
        <v>0.19454345832260239</v>
      </c>
      <c r="BJ161">
        <f>BI161*BF161</f>
        <v>0.17876564681577828</v>
      </c>
    </row>
    <row r="162" spans="1:62" x14ac:dyDescent="0.3">
      <c r="A162" t="s">
        <v>5</v>
      </c>
      <c r="B162" s="13">
        <v>2</v>
      </c>
      <c r="C162" s="5">
        <v>0</v>
      </c>
      <c r="D162" s="1">
        <v>376</v>
      </c>
      <c r="E162" s="27">
        <v>6866</v>
      </c>
      <c r="F162" s="1">
        <v>104</v>
      </c>
      <c r="G162" s="6">
        <v>53</v>
      </c>
      <c r="H162" s="1">
        <f>SUM(C162:G162)</f>
        <v>7399</v>
      </c>
      <c r="I162" s="10">
        <f>E162/H162</f>
        <v>0.92796323827544258</v>
      </c>
      <c r="J162" s="11">
        <f>1-I162</f>
        <v>7.2036761724557419E-2</v>
      </c>
      <c r="K162">
        <f>H162-E165</f>
        <v>441</v>
      </c>
      <c r="N162" s="10">
        <f>2*(E166*I162)/(E166+I162)</f>
        <v>0.95646722852963706</v>
      </c>
      <c r="O162" s="1"/>
      <c r="P162" s="1"/>
      <c r="S162" s="66" t="s">
        <v>56</v>
      </c>
      <c r="T162" s="67">
        <f>N421*100</f>
        <v>100</v>
      </c>
      <c r="U162" s="67">
        <f>N422*100</f>
        <v>51.344319167389429</v>
      </c>
      <c r="V162" s="67">
        <f>N423*100</f>
        <v>95.389351430770304</v>
      </c>
      <c r="W162" s="67">
        <f>N424*100</f>
        <v>94.188767550702025</v>
      </c>
      <c r="X162" s="67">
        <f>N425*100</f>
        <v>80.895196506550221</v>
      </c>
      <c r="AD162" s="51"/>
      <c r="AE162" s="51"/>
      <c r="AH162" s="78"/>
      <c r="AI162" s="78"/>
      <c r="BF162" s="51">
        <v>0.91954992713177197</v>
      </c>
      <c r="BG162" s="27">
        <v>99</v>
      </c>
      <c r="BH162" s="84">
        <f>_xlfn.NORM.S.INV((BG162-0.375)/($BI$61+0.25))</f>
        <v>2.139206442985977</v>
      </c>
      <c r="BI162" s="84">
        <f>-3.562633*($BL$63)^5+5.682633*($BL$63)^4-1.752461*($BL$63)^3-0.293762*($BL$63)^2+0.042981*$BL$63+BH162*($BL$64^-0.5)</f>
        <v>0.21748422717250435</v>
      </c>
      <c r="BJ162">
        <f>BI162*BF162</f>
        <v>0.19998760524878612</v>
      </c>
    </row>
    <row r="163" spans="1:62" x14ac:dyDescent="0.3">
      <c r="A163" t="s">
        <v>6</v>
      </c>
      <c r="B163" s="13">
        <v>3</v>
      </c>
      <c r="C163" s="5">
        <v>0</v>
      </c>
      <c r="D163" s="1">
        <v>0</v>
      </c>
      <c r="E163" s="1">
        <v>22</v>
      </c>
      <c r="F163" s="27">
        <v>2402</v>
      </c>
      <c r="G163" s="6">
        <v>96</v>
      </c>
      <c r="H163" s="1">
        <f>SUM(C163:G163)</f>
        <v>2520</v>
      </c>
      <c r="I163" s="10">
        <f>F163/H163</f>
        <v>0.95317460317460323</v>
      </c>
      <c r="J163" s="11">
        <f>1-I163</f>
        <v>4.682539682539677E-2</v>
      </c>
      <c r="K163">
        <f>H163-F165</f>
        <v>-67</v>
      </c>
      <c r="N163" s="10">
        <f>2*(F166*I163)/(F166+I163)</f>
        <v>0.94066966908165262</v>
      </c>
      <c r="O163" s="1"/>
      <c r="P163" s="1"/>
      <c r="R163" s="16" t="s">
        <v>66</v>
      </c>
      <c r="S163" t="s">
        <v>9</v>
      </c>
      <c r="T163" s="30">
        <f>N432</f>
        <v>2514.64</v>
      </c>
      <c r="U163" s="30">
        <f>N433</f>
        <v>11471.54</v>
      </c>
      <c r="V163" s="30">
        <f>N434</f>
        <v>106181.33</v>
      </c>
      <c r="W163" s="30">
        <f>N435</f>
        <v>37516.870000000003</v>
      </c>
      <c r="X163" s="30">
        <f>N436</f>
        <v>20631.78</v>
      </c>
      <c r="Z163" t="s">
        <v>36</v>
      </c>
      <c r="AA163" s="1">
        <f>N437</f>
        <v>178316.16</v>
      </c>
      <c r="AD163" s="51"/>
      <c r="AE163" s="51"/>
      <c r="BF163" s="51">
        <v>0.91960918614884202</v>
      </c>
      <c r="BG163" s="27">
        <v>100</v>
      </c>
      <c r="BH163" s="84">
        <f>_xlfn.NORM.S.INV((BG163-0.375)/($BI$61+0.25))</f>
        <v>2.4985905609622558</v>
      </c>
      <c r="BI163" s="84">
        <f>-2.70605*($BL$63)^5+4.4334685*($BL$63)^4-2.07119*($BL$63)^3-0.147981*($BL$63)^2+0.221157*$BL$63+BH163*($BL$64^-0.5)</f>
        <v>0.27283801696664034</v>
      </c>
      <c r="BJ163">
        <f>BI163*BF163</f>
        <v>0.25090434673315609</v>
      </c>
    </row>
    <row r="164" spans="1:62" ht="15.6" x14ac:dyDescent="0.35">
      <c r="A164" t="s">
        <v>7</v>
      </c>
      <c r="B164" s="13">
        <v>4</v>
      </c>
      <c r="C164" s="7">
        <v>0</v>
      </c>
      <c r="D164" s="8">
        <v>98</v>
      </c>
      <c r="E164" s="8">
        <v>32</v>
      </c>
      <c r="F164" s="8">
        <v>81</v>
      </c>
      <c r="G164" s="28">
        <v>734</v>
      </c>
      <c r="H164" s="1">
        <f>SUM(C164:G164)</f>
        <v>945</v>
      </c>
      <c r="I164" s="10">
        <f>G164/H164</f>
        <v>0.7767195767195767</v>
      </c>
      <c r="J164" s="11">
        <f>1-I164</f>
        <v>0.2232804232804233</v>
      </c>
      <c r="K164">
        <f>H164-G165</f>
        <v>62</v>
      </c>
      <c r="N164" s="10">
        <f>2*(G166*I164)/(G166+I164)</f>
        <v>0.80306345733041573</v>
      </c>
      <c r="O164" s="1"/>
      <c r="P164" s="1"/>
      <c r="R164" s="16" t="s">
        <v>323</v>
      </c>
      <c r="S164" t="s">
        <v>68</v>
      </c>
      <c r="T164" s="57">
        <f>$AA163*T156/100</f>
        <v>2514.64</v>
      </c>
      <c r="U164" s="57">
        <f>$AA163*U156/100</f>
        <v>18265.662168883544</v>
      </c>
      <c r="V164" s="57">
        <f>$AA163*V156/100</f>
        <v>99880.739321599423</v>
      </c>
      <c r="W164" s="57">
        <f>$AA163*W156/100</f>
        <v>39336.873151991262</v>
      </c>
      <c r="X164" s="57">
        <f>$AA163*X156/100</f>
        <v>18318.24535752579</v>
      </c>
      <c r="Z164" t="s">
        <v>36</v>
      </c>
      <c r="AA164" s="25">
        <f>SUM(T164:X164)</f>
        <v>178316.16000000003</v>
      </c>
      <c r="AD164" s="51"/>
      <c r="AE164" s="51"/>
      <c r="AH164" s="78"/>
      <c r="AI164" s="78"/>
      <c r="BI164" t="s">
        <v>365</v>
      </c>
      <c r="BJ164">
        <f>SUM(BJ64:BJ163)</f>
        <v>3.2479505561750444E-2</v>
      </c>
    </row>
    <row r="165" spans="1:62" ht="15.6" x14ac:dyDescent="0.35">
      <c r="B165" s="1" t="s">
        <v>19</v>
      </c>
      <c r="C165" s="1">
        <f>SUM(C160:C164)</f>
        <v>259</v>
      </c>
      <c r="D165" s="1">
        <f>SUM(D160:D164)</f>
        <v>775</v>
      </c>
      <c r="E165" s="1">
        <f>SUM(E160:E164)</f>
        <v>6958</v>
      </c>
      <c r="F165" s="1">
        <f>SUM(F160:F164)</f>
        <v>2587</v>
      </c>
      <c r="G165" s="1">
        <f>SUM(G160:G164)</f>
        <v>883</v>
      </c>
      <c r="H165" s="1">
        <f>SUM(H159:H164)</f>
        <v>11462</v>
      </c>
      <c r="I165" s="13" t="s">
        <v>12</v>
      </c>
      <c r="N165" s="16" t="s">
        <v>36</v>
      </c>
      <c r="O165" s="1">
        <f>SUM(O160:O164)</f>
        <v>0</v>
      </c>
      <c r="P165" s="1">
        <f>SUM(P160:P164)</f>
        <v>0</v>
      </c>
      <c r="R165" s="66"/>
      <c r="S165" s="66" t="s">
        <v>67</v>
      </c>
      <c r="T165" s="67">
        <f>$AA163*T157/100</f>
        <v>0</v>
      </c>
      <c r="U165" s="67">
        <f>$AA163*U157/100</f>
        <v>410.5266362557449</v>
      </c>
      <c r="V165" s="67">
        <f>$AA163*V157/100</f>
        <v>405.15719860465737</v>
      </c>
      <c r="W165" s="67">
        <f>$AA163*W157/100</f>
        <v>283.75030640492133</v>
      </c>
      <c r="X165" s="67">
        <f>$AA163*X157/100</f>
        <v>326.96563874259704</v>
      </c>
      <c r="AA165" s="1"/>
      <c r="AD165" s="51"/>
      <c r="AE165" s="51"/>
      <c r="BF165" s="51"/>
      <c r="BG165" s="1"/>
    </row>
    <row r="166" spans="1:62" x14ac:dyDescent="0.3">
      <c r="A166" s="1" t="s">
        <v>321</v>
      </c>
      <c r="B166" s="1" t="s">
        <v>2</v>
      </c>
      <c r="C166" s="10">
        <f>C160/C165</f>
        <v>1</v>
      </c>
      <c r="D166" s="10">
        <f>D161/D165</f>
        <v>0.38838709677419353</v>
      </c>
      <c r="E166" s="10">
        <f>E162/E165</f>
        <v>0.98677780971543549</v>
      </c>
      <c r="F166" s="10">
        <f>F163/F165</f>
        <v>0.92848859683030538</v>
      </c>
      <c r="G166" s="10">
        <f>G164/G165</f>
        <v>0.83125707814269534</v>
      </c>
      <c r="H166" s="10"/>
      <c r="I166" s="14">
        <f>(C160+D161+E162+F163+G164)/H165</f>
        <v>0.92147967195951841</v>
      </c>
      <c r="R166" t="s">
        <v>108</v>
      </c>
      <c r="S166" t="s">
        <v>28</v>
      </c>
      <c r="T166" s="57">
        <f>C466</f>
        <v>1.4198600956862242</v>
      </c>
      <c r="U166" s="57">
        <f t="shared" ref="U166:X169" si="36">D466</f>
        <v>10.090713346040017</v>
      </c>
      <c r="V166" s="57">
        <f t="shared" si="36"/>
        <v>56.352798338847329</v>
      </c>
      <c r="W166" s="57">
        <f t="shared" si="36"/>
        <v>22.119454539305547</v>
      </c>
      <c r="X166" s="57">
        <f t="shared" si="36"/>
        <v>10.017173680120893</v>
      </c>
      <c r="Z166" s="74"/>
      <c r="AA166" s="12"/>
      <c r="AD166" s="51"/>
      <c r="AE166" s="51"/>
      <c r="AH166" s="78"/>
      <c r="AI166" s="78"/>
      <c r="BF166" s="51"/>
      <c r="BG166" s="1"/>
    </row>
    <row r="167" spans="1:62" x14ac:dyDescent="0.3">
      <c r="B167" s="1" t="s">
        <v>14</v>
      </c>
      <c r="C167" s="11">
        <f>1-C166</f>
        <v>0</v>
      </c>
      <c r="D167" s="11">
        <f>1-D166</f>
        <v>0.61161290322580641</v>
      </c>
      <c r="E167" s="11">
        <f>1-E166</f>
        <v>1.3222190284564506E-2</v>
      </c>
      <c r="F167" s="11">
        <f>1-F166</f>
        <v>7.1511403169694621E-2</v>
      </c>
      <c r="G167" s="11">
        <f>1-G166</f>
        <v>0.16874292185730466</v>
      </c>
      <c r="S167" s="66" t="s">
        <v>39</v>
      </c>
      <c r="T167" s="67">
        <f>C467</f>
        <v>0</v>
      </c>
      <c r="U167" s="67">
        <f t="shared" si="36"/>
        <v>0.22706074877502225</v>
      </c>
      <c r="V167" s="67">
        <f t="shared" si="36"/>
        <v>0.22864126528727555</v>
      </c>
      <c r="W167" s="67">
        <f t="shared" si="36"/>
        <v>0.16781802754075534</v>
      </c>
      <c r="X167" s="67">
        <f t="shared" si="36"/>
        <v>0.19026234036465328</v>
      </c>
      <c r="AD167" s="51"/>
      <c r="AE167" s="51"/>
      <c r="BF167" s="51"/>
      <c r="BG167" s="1"/>
    </row>
    <row r="168" spans="1:62" x14ac:dyDescent="0.3">
      <c r="C168" s="2"/>
      <c r="S168" t="s">
        <v>30</v>
      </c>
      <c r="T168" s="57">
        <f>C468</f>
        <v>100</v>
      </c>
      <c r="U168" s="57">
        <f t="shared" si="36"/>
        <v>55.687858754821086</v>
      </c>
      <c r="V168" s="57">
        <f t="shared" si="36"/>
        <v>97.756786189148258</v>
      </c>
      <c r="W168" s="57">
        <f t="shared" si="36"/>
        <v>90.681501602534993</v>
      </c>
      <c r="X168" s="57">
        <f t="shared" si="36"/>
        <v>86.052702537398019</v>
      </c>
      <c r="AD168" s="51"/>
      <c r="AE168" s="51"/>
      <c r="AH168" s="78"/>
      <c r="AI168" s="78"/>
      <c r="BF168" s="51"/>
      <c r="BG168" s="1"/>
    </row>
    <row r="169" spans="1:62" ht="15.6" x14ac:dyDescent="0.35">
      <c r="A169" t="s">
        <v>322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0</v>
      </c>
      <c r="U169" s="67">
        <f t="shared" si="36"/>
        <v>5.227812750853464</v>
      </c>
      <c r="V169" s="67">
        <f t="shared" si="36"/>
        <v>0.24577989056740573</v>
      </c>
      <c r="W169" s="67">
        <f t="shared" si="36"/>
        <v>0.69397648637155396</v>
      </c>
      <c r="X169" s="67">
        <f t="shared" si="36"/>
        <v>2.3830337014895084</v>
      </c>
      <c r="AD169" s="51"/>
      <c r="AE169" s="51"/>
      <c r="BF169" s="51"/>
      <c r="BG169" s="1"/>
    </row>
    <row r="170" spans="1:62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100</v>
      </c>
      <c r="U170" s="71">
        <f>I462</f>
        <v>87.315634218289091</v>
      </c>
      <c r="V170" s="71">
        <f>I463</f>
        <v>92.33680227057711</v>
      </c>
      <c r="W170" s="71">
        <f>I464</f>
        <v>94.960317460317469</v>
      </c>
      <c r="X170" s="71">
        <f>I465</f>
        <v>75.873015873015873</v>
      </c>
      <c r="AD170" s="51"/>
      <c r="AE170" s="51"/>
      <c r="AH170" s="78"/>
      <c r="AI170" s="78"/>
      <c r="BF170" s="51"/>
      <c r="BG170" s="1"/>
    </row>
    <row r="171" spans="1:62" x14ac:dyDescent="0.3">
      <c r="A171" t="s">
        <v>3</v>
      </c>
      <c r="B171" s="13">
        <v>0</v>
      </c>
      <c r="C171" s="29">
        <f>(C160/$L171)*$O171</f>
        <v>1.4178412891933792</v>
      </c>
      <c r="D171" s="31">
        <f>(D160/$L171)*$O171</f>
        <v>0</v>
      </c>
      <c r="E171" s="31">
        <f>(E160/$L171)*$O171</f>
        <v>0</v>
      </c>
      <c r="F171" s="31">
        <f>(F160/$L171)*$O171</f>
        <v>0</v>
      </c>
      <c r="G171" s="32">
        <f>(G160/$L171)*$O171</f>
        <v>0</v>
      </c>
      <c r="H171" s="17">
        <f>SUM(C171:G171)</f>
        <v>1.4178412891933792</v>
      </c>
      <c r="I171" s="17">
        <f>C171/H171*100</f>
        <v>100</v>
      </c>
      <c r="J171" s="17">
        <f>SQRT(I171*(100-I171)/(L171-1))</f>
        <v>0</v>
      </c>
      <c r="K171" s="18">
        <f>100-I171</f>
        <v>0</v>
      </c>
      <c r="L171" s="1">
        <f>H160</f>
        <v>259</v>
      </c>
      <c r="M171">
        <v>0</v>
      </c>
      <c r="N171" s="1">
        <v>2528.2399999999998</v>
      </c>
      <c r="O171" s="17">
        <f>N171/N176*100</f>
        <v>1.4178412891933792</v>
      </c>
      <c r="P171" s="52">
        <f>((O171*O171*(I171/100)*(K171/100))/(L171-1))</f>
        <v>0</v>
      </c>
      <c r="S171" s="75" t="s">
        <v>39</v>
      </c>
      <c r="T171" s="76">
        <f>J461</f>
        <v>0</v>
      </c>
      <c r="U171" s="76">
        <f>J462</f>
        <v>1.8101811368440324</v>
      </c>
      <c r="V171" s="76">
        <f>J463</f>
        <v>0.30926820057036319</v>
      </c>
      <c r="W171" s="76">
        <f>J464</f>
        <v>0.43587161260019169</v>
      </c>
      <c r="X171" s="76">
        <f>J465</f>
        <v>1.3925448634233997</v>
      </c>
      <c r="AD171" s="51"/>
      <c r="AE171" s="51"/>
      <c r="BF171" s="51"/>
      <c r="BG171" s="1"/>
    </row>
    <row r="172" spans="1:62" x14ac:dyDescent="0.3">
      <c r="A172" t="s">
        <v>4</v>
      </c>
      <c r="B172" s="13">
        <v>1</v>
      </c>
      <c r="C172" s="33">
        <f t="shared" ref="C172:G175" si="37">(C161/$L172)*$O172</f>
        <v>0</v>
      </c>
      <c r="D172" s="34">
        <f t="shared" si="37"/>
        <v>5.4338735609721889</v>
      </c>
      <c r="E172" s="19">
        <f t="shared" si="37"/>
        <v>0.68600397115263512</v>
      </c>
      <c r="F172" s="18">
        <f t="shared" si="37"/>
        <v>0</v>
      </c>
      <c r="G172" s="20">
        <f t="shared" si="37"/>
        <v>0</v>
      </c>
      <c r="H172" s="17">
        <f>SUM(C172:G172)</f>
        <v>6.119877532124824</v>
      </c>
      <c r="I172" s="17">
        <f>D172/H172*100</f>
        <v>88.790560471976391</v>
      </c>
      <c r="J172" s="17">
        <f>SQRT(I172*(100-I172)/(L172-1))</f>
        <v>1.7159988709375662</v>
      </c>
      <c r="K172" s="18">
        <f>100-I172</f>
        <v>11.209439528023609</v>
      </c>
      <c r="L172" s="1">
        <f>H161</f>
        <v>339</v>
      </c>
      <c r="M172">
        <v>1</v>
      </c>
      <c r="N172" s="1">
        <v>10912.73</v>
      </c>
      <c r="O172" s="17">
        <f>N172/N176*100</f>
        <v>6.119877532124824</v>
      </c>
      <c r="P172" s="52">
        <f>((O172*O172*(I172/100)*(K172/100))/(L172-1))</f>
        <v>1.1028576454343891E-2</v>
      </c>
      <c r="S172" s="66" t="s">
        <v>56</v>
      </c>
      <c r="T172" s="67">
        <f>N450*100</f>
        <v>100</v>
      </c>
      <c r="U172" s="67">
        <f>N451*100</f>
        <v>52.066842568161817</v>
      </c>
      <c r="V172" s="67">
        <f>N452*100</f>
        <v>95.43898861493328</v>
      </c>
      <c r="W172" s="67">
        <f>N453*100</f>
        <v>93.458308924038263</v>
      </c>
      <c r="X172" s="67">
        <f>N454*100</f>
        <v>78.317859093391576</v>
      </c>
      <c r="AD172" s="51"/>
      <c r="AE172" s="51"/>
      <c r="AH172" s="78"/>
      <c r="AI172" s="78"/>
      <c r="BF172" s="51"/>
      <c r="BG172" s="1"/>
    </row>
    <row r="173" spans="1:62" x14ac:dyDescent="0.3">
      <c r="A173" t="s">
        <v>5</v>
      </c>
      <c r="B173" s="13">
        <v>2</v>
      </c>
      <c r="C173" s="33">
        <f t="shared" si="37"/>
        <v>0</v>
      </c>
      <c r="D173" s="19">
        <f t="shared" si="37"/>
        <v>3.0767767514477287</v>
      </c>
      <c r="E173" s="34">
        <f t="shared" si="37"/>
        <v>56.183907381489639</v>
      </c>
      <c r="F173" s="19">
        <f t="shared" si="37"/>
        <v>0.85102335678341434</v>
      </c>
      <c r="G173" s="20">
        <f t="shared" si="37"/>
        <v>0.4336945952838554</v>
      </c>
      <c r="H173" s="17">
        <f>SUM(C173:G173)</f>
        <v>60.545402085004639</v>
      </c>
      <c r="I173" s="17">
        <f>E173/H173*100</f>
        <v>92.796323827544256</v>
      </c>
      <c r="J173" s="17">
        <f>SQRT(I173*(100-I173)/(L173-1))</f>
        <v>0.30059746463646841</v>
      </c>
      <c r="K173" s="18">
        <f>100-I173</f>
        <v>7.2036761724557437</v>
      </c>
      <c r="L173" s="1">
        <f>H162</f>
        <v>7399</v>
      </c>
      <c r="M173">
        <v>2</v>
      </c>
      <c r="N173" s="1">
        <v>107962.23</v>
      </c>
      <c r="O173" s="17">
        <f>N173/N176*100</f>
        <v>60.545402085004639</v>
      </c>
      <c r="P173" s="52">
        <f>((O173*O173*(I173/100)*(K173/100))/(L173-1))</f>
        <v>3.3123251482447214E-2</v>
      </c>
      <c r="R173" s="16" t="s">
        <v>66</v>
      </c>
      <c r="S173" t="s">
        <v>9</v>
      </c>
      <c r="T173" s="1">
        <f>N461</f>
        <v>2531.84</v>
      </c>
      <c r="U173" s="1">
        <f>N462</f>
        <v>11475.75</v>
      </c>
      <c r="V173" s="1">
        <f>N463</f>
        <v>106384.48</v>
      </c>
      <c r="W173" s="1">
        <f>N464</f>
        <v>37665.32</v>
      </c>
      <c r="X173" s="1">
        <f>N465</f>
        <v>20258.77</v>
      </c>
      <c r="Z173" t="s">
        <v>36</v>
      </c>
      <c r="AA173" s="1">
        <f>N466</f>
        <v>178316.15999999997</v>
      </c>
      <c r="AD173" s="51"/>
      <c r="AE173" s="51"/>
      <c r="BF173" s="51"/>
      <c r="BG173" s="1"/>
    </row>
    <row r="174" spans="1:62" ht="15.6" x14ac:dyDescent="0.35">
      <c r="A174" t="s">
        <v>6</v>
      </c>
      <c r="B174" s="13">
        <v>3</v>
      </c>
      <c r="C174" s="33">
        <f t="shared" si="37"/>
        <v>0</v>
      </c>
      <c r="D174" s="19">
        <f t="shared" si="37"/>
        <v>0</v>
      </c>
      <c r="E174" s="19">
        <f t="shared" si="37"/>
        <v>0.1812502725841198</v>
      </c>
      <c r="F174" s="34">
        <f t="shared" si="37"/>
        <v>19.789234306684353</v>
      </c>
      <c r="G174" s="20">
        <f t="shared" si="37"/>
        <v>0.79091028036706834</v>
      </c>
      <c r="H174" s="17">
        <f>SUM(C174:G174)</f>
        <v>20.761394859635541</v>
      </c>
      <c r="I174" s="17">
        <f>F174/H174*100</f>
        <v>95.317460317460316</v>
      </c>
      <c r="J174" s="17">
        <f>SQRT(I174*(100-I174)/(L174-1))</f>
        <v>0.42093290895930463</v>
      </c>
      <c r="K174" s="18">
        <f>100-I174</f>
        <v>4.6825396825396837</v>
      </c>
      <c r="L174" s="1">
        <f>H163</f>
        <v>2520</v>
      </c>
      <c r="M174">
        <v>3</v>
      </c>
      <c r="N174" s="1">
        <v>37020.92</v>
      </c>
      <c r="O174" s="17">
        <f>N174/N176*100</f>
        <v>20.761394859635541</v>
      </c>
      <c r="P174" s="52">
        <f>((O174*O174*(I174/100)*(K174/100))/(L174-1))</f>
        <v>7.637281844409244E-3</v>
      </c>
      <c r="R174" s="16" t="s">
        <v>323</v>
      </c>
      <c r="S174" t="s">
        <v>68</v>
      </c>
      <c r="T174" s="57">
        <f>$AA173*T166/100</f>
        <v>2531.84</v>
      </c>
      <c r="U174" s="57">
        <f>$AA173*U166/100</f>
        <v>17993.372555266065</v>
      </c>
      <c r="V174" s="57">
        <f>$AA173*V166/100</f>
        <v>100486.14605037634</v>
      </c>
      <c r="W174" s="57">
        <f>$AA173*W166/100</f>
        <v>39442.561947435337</v>
      </c>
      <c r="X174" s="57">
        <f>$AA173*X166/100</f>
        <v>17862.239446922256</v>
      </c>
      <c r="Z174" t="s">
        <v>36</v>
      </c>
      <c r="AA174" s="25">
        <f>SUM(T174:X174)</f>
        <v>178316.16</v>
      </c>
      <c r="AD174" s="51"/>
      <c r="AE174" s="51"/>
      <c r="AH174" s="78"/>
      <c r="AI174" s="78"/>
      <c r="BF174" s="51"/>
      <c r="BG174" s="1"/>
    </row>
    <row r="175" spans="1:62" x14ac:dyDescent="0.3">
      <c r="A175" t="s">
        <v>7</v>
      </c>
      <c r="B175" s="13">
        <v>4</v>
      </c>
      <c r="C175" s="35">
        <f t="shared" si="37"/>
        <v>0</v>
      </c>
      <c r="D175" s="36">
        <f t="shared" si="37"/>
        <v>1.1568650316783899</v>
      </c>
      <c r="E175" s="21">
        <f t="shared" si="37"/>
        <v>0.377751847078658</v>
      </c>
      <c r="F175" s="21">
        <f t="shared" si="37"/>
        <v>0.95618436291785291</v>
      </c>
      <c r="G175" s="37">
        <f t="shared" si="37"/>
        <v>8.6646829923667159</v>
      </c>
      <c r="H175" s="17">
        <f>SUM(C175:G175)</f>
        <v>11.155484234041616</v>
      </c>
      <c r="I175" s="17">
        <f>G175/H175*100</f>
        <v>77.671957671957685</v>
      </c>
      <c r="J175" s="17">
        <f>SQRT(I175*(100-I175)/(L175-1))</f>
        <v>1.3554123921359513</v>
      </c>
      <c r="K175" s="18">
        <f>100-I175</f>
        <v>22.328042328042315</v>
      </c>
      <c r="L175" s="1">
        <f>H164</f>
        <v>945</v>
      </c>
      <c r="M175">
        <v>4</v>
      </c>
      <c r="N175" s="1">
        <v>19892.03</v>
      </c>
      <c r="O175" s="17">
        <f>N175/N176*100</f>
        <v>11.155484234041618</v>
      </c>
      <c r="P175" s="52">
        <f>((O175*O175*(I175/100)*(K175/100))/(L175-1))</f>
        <v>2.2862291478926277E-2</v>
      </c>
      <c r="R175" s="66"/>
      <c r="S175" s="66" t="s">
        <v>67</v>
      </c>
      <c r="T175" s="67">
        <f>$AA173*T167/100</f>
        <v>0</v>
      </c>
      <c r="U175" s="67">
        <f>$AA173*U167/100</f>
        <v>404.88600808286668</v>
      </c>
      <c r="V175" s="67">
        <f>$AA173*V167/100</f>
        <v>407.70432443568262</v>
      </c>
      <c r="W175" s="67">
        <f>$AA173*W167/100</f>
        <v>299.24666249841732</v>
      </c>
      <c r="X175" s="67">
        <f>$AA173*X167/100</f>
        <v>339.26849926437973</v>
      </c>
      <c r="AA175" s="1"/>
      <c r="AD175" s="51"/>
      <c r="AE175" s="51"/>
      <c r="BF175" s="51"/>
      <c r="BG175" s="1"/>
    </row>
    <row r="176" spans="1:62" x14ac:dyDescent="0.3">
      <c r="B176" t="s">
        <v>28</v>
      </c>
      <c r="C176" s="17">
        <f t="shared" ref="C176:H176" si="38">SUM(C171:C175)</f>
        <v>1.4178412891933792</v>
      </c>
      <c r="D176" s="17">
        <f t="shared" si="38"/>
        <v>9.667515344098307</v>
      </c>
      <c r="E176" s="17">
        <f t="shared" si="38"/>
        <v>57.428913472305055</v>
      </c>
      <c r="F176" s="17">
        <f t="shared" si="38"/>
        <v>21.59644202638562</v>
      </c>
      <c r="G176" s="17">
        <f t="shared" si="38"/>
        <v>9.8892878680176395</v>
      </c>
      <c r="H176" s="18">
        <f t="shared" si="38"/>
        <v>100</v>
      </c>
      <c r="I176" s="13" t="s">
        <v>24</v>
      </c>
      <c r="J176" s="12" t="s">
        <v>29</v>
      </c>
      <c r="N176" s="1">
        <f>SUM(N171:N175)</f>
        <v>178316.15</v>
      </c>
      <c r="O176" s="17">
        <f>SUM(O171:O175)</f>
        <v>100.00000000000001</v>
      </c>
      <c r="R176" t="s">
        <v>109</v>
      </c>
      <c r="S176" t="s">
        <v>28</v>
      </c>
      <c r="T176" s="57">
        <f>C495</f>
        <v>1.4222828386548274</v>
      </c>
      <c r="U176" s="57">
        <f t="shared" ref="U176:X179" si="39">D495</f>
        <v>9.3258380868200206</v>
      </c>
      <c r="V176" s="57">
        <f t="shared" si="39"/>
        <v>57.910254781456018</v>
      </c>
      <c r="W176" s="57">
        <f t="shared" si="39"/>
        <v>21.982399171875262</v>
      </c>
      <c r="X176" s="57">
        <f t="shared" si="39"/>
        <v>9.3592251211938731</v>
      </c>
      <c r="AD176" s="51"/>
      <c r="AE176" s="51"/>
      <c r="AH176" s="78"/>
      <c r="AI176" s="78"/>
      <c r="BF176" s="51"/>
      <c r="BG176" s="1"/>
    </row>
    <row r="177" spans="1:59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0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0.21710339187482594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0.22339047041101265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0.1575443831806419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0.18063600547740155</v>
      </c>
      <c r="H177" s="1"/>
      <c r="I177" s="14">
        <f>(C171+D172+E173+F174+G175)/H176</f>
        <v>0.91489539530706276</v>
      </c>
      <c r="J177" s="53">
        <f>SQRT(SUM(P171:P175))/100</f>
        <v>2.7322408616395192E-3</v>
      </c>
      <c r="M177" s="1"/>
      <c r="N177" s="9"/>
      <c r="S177" s="66" t="s">
        <v>39</v>
      </c>
      <c r="T177" s="67">
        <f>C496</f>
        <v>0</v>
      </c>
      <c r="U177" s="67">
        <f t="shared" si="39"/>
        <v>0.21735454162824983</v>
      </c>
      <c r="V177" s="67">
        <f t="shared" si="39"/>
        <v>0.22071626122607779</v>
      </c>
      <c r="W177" s="67">
        <f t="shared" si="39"/>
        <v>0.15602020076080009</v>
      </c>
      <c r="X177" s="67">
        <f t="shared" si="39"/>
        <v>0.17799064471425857</v>
      </c>
      <c r="AD177" s="51"/>
      <c r="AE177" s="51"/>
      <c r="BF177" s="51"/>
      <c r="BG177" s="1"/>
    </row>
    <row r="178" spans="1:59" x14ac:dyDescent="0.3">
      <c r="B178" s="1" t="s">
        <v>30</v>
      </c>
      <c r="C178" s="17">
        <f>C171/C176*100</f>
        <v>100</v>
      </c>
      <c r="D178" s="17">
        <f>D172/D176*100</f>
        <v>56.207550415623452</v>
      </c>
      <c r="E178" s="17">
        <f>E173/E176*100</f>
        <v>97.832091858370589</v>
      </c>
      <c r="F178" s="17">
        <f>F174/F176*100</f>
        <v>91.631919195331818</v>
      </c>
      <c r="G178" s="17">
        <f>G175/G176*100</f>
        <v>87.616854802949504</v>
      </c>
      <c r="H178" s="1"/>
      <c r="S178" s="70" t="s">
        <v>30</v>
      </c>
      <c r="T178" s="64">
        <f>C497</f>
        <v>100</v>
      </c>
      <c r="U178" s="64">
        <f t="shared" si="39"/>
        <v>56.516459795070176</v>
      </c>
      <c r="V178" s="64">
        <f t="shared" si="39"/>
        <v>97.68762461770433</v>
      </c>
      <c r="W178" s="64">
        <f t="shared" si="39"/>
        <v>91.595474072882013</v>
      </c>
      <c r="X178" s="64">
        <f t="shared" si="39"/>
        <v>88.399905046475368</v>
      </c>
      <c r="AD178" s="51"/>
      <c r="AE178" s="51"/>
      <c r="AH178" s="78"/>
      <c r="AI178" s="78"/>
      <c r="BF178" s="51"/>
      <c r="BG178" s="1"/>
    </row>
    <row r="179" spans="1:59" x14ac:dyDescent="0.3">
      <c r="B179" s="16" t="s">
        <v>39</v>
      </c>
      <c r="C179" s="18">
        <f>SQRT((C182+C183)/(C176*C176))</f>
        <v>0</v>
      </c>
      <c r="D179" s="18">
        <f>SQRT((D182+D183)/(D176*D176))</f>
        <v>4.8838833736736689</v>
      </c>
      <c r="E179" s="18">
        <f>SQRT((E182+E183)/(E176*E176))</f>
        <v>0.23138418502200869</v>
      </c>
      <c r="F179" s="18">
        <f>SQRT((F182+F183)/(F176*F176))</f>
        <v>0.65135649123855521</v>
      </c>
      <c r="G179" s="18">
        <f>SQRT((G182+G183)/(G176*G176))</f>
        <v>2.0865029270894522</v>
      </c>
      <c r="H179" s="1"/>
      <c r="S179" s="66" t="s">
        <v>39</v>
      </c>
      <c r="T179" s="67">
        <f>C498</f>
        <v>0</v>
      </c>
      <c r="U179" s="67">
        <f t="shared" si="39"/>
        <v>5.3501814490683266</v>
      </c>
      <c r="V179" s="67">
        <f t="shared" si="39"/>
        <v>0.236989487710665</v>
      </c>
      <c r="W179" s="67">
        <f t="shared" si="39"/>
        <v>0.63520784260490404</v>
      </c>
      <c r="X179" s="67">
        <f t="shared" si="39"/>
        <v>2.074904678345773</v>
      </c>
      <c r="AD179" s="51"/>
      <c r="AE179" s="51"/>
      <c r="BF179" s="51"/>
      <c r="BG179" s="1"/>
    </row>
    <row r="180" spans="1:59" x14ac:dyDescent="0.3">
      <c r="B180" s="1" t="s">
        <v>37</v>
      </c>
      <c r="C180" s="18">
        <f>100-C178</f>
        <v>0</v>
      </c>
      <c r="D180" s="18">
        <f>100-D178</f>
        <v>43.792449584376548</v>
      </c>
      <c r="E180" s="18">
        <f>100-E178</f>
        <v>2.167908141629411</v>
      </c>
      <c r="F180" s="18">
        <f>100-F178</f>
        <v>8.3680808046681818</v>
      </c>
      <c r="G180" s="18">
        <f>100-G178</f>
        <v>12.383145197050496</v>
      </c>
      <c r="S180" s="70" t="s">
        <v>31</v>
      </c>
      <c r="T180" s="64">
        <f>I490</f>
        <v>100</v>
      </c>
      <c r="U180" s="64">
        <f>I491</f>
        <v>86.725663716814154</v>
      </c>
      <c r="V180" s="64">
        <f>I492</f>
        <v>93.363968103797816</v>
      </c>
      <c r="W180" s="64">
        <f>I493</f>
        <v>95.793650793650798</v>
      </c>
      <c r="X180" s="64">
        <f>I494</f>
        <v>75.978835978835974</v>
      </c>
      <c r="AD180" s="51"/>
      <c r="AE180" s="51"/>
      <c r="AH180" s="78"/>
      <c r="AI180" s="78"/>
      <c r="BF180" s="51"/>
      <c r="BG180" s="1"/>
    </row>
    <row r="181" spans="1:59" ht="15.6" x14ac:dyDescent="0.35">
      <c r="B181" s="1" t="s">
        <v>25</v>
      </c>
      <c r="C181" s="1">
        <f>C165</f>
        <v>259</v>
      </c>
      <c r="D181" s="1">
        <f>D165</f>
        <v>775</v>
      </c>
      <c r="E181" s="1">
        <f>E165</f>
        <v>6958</v>
      </c>
      <c r="F181" s="1">
        <f>F165</f>
        <v>2587</v>
      </c>
      <c r="G181" s="1">
        <f>G165</f>
        <v>883</v>
      </c>
      <c r="S181" s="66" t="s">
        <v>39</v>
      </c>
      <c r="T181" s="67">
        <f>J490</f>
        <v>0</v>
      </c>
      <c r="U181" s="67">
        <f>J491</f>
        <v>1.8455332487033302</v>
      </c>
      <c r="V181" s="67">
        <f>J492</f>
        <v>0.28939213224171639</v>
      </c>
      <c r="W181" s="67">
        <f>J493</f>
        <v>0.39995114181024394</v>
      </c>
      <c r="X181" s="67">
        <f>J494</f>
        <v>1.3904563028260104</v>
      </c>
      <c r="AD181" s="51"/>
      <c r="AE181" s="51"/>
      <c r="AN181" s="2"/>
      <c r="AO181" s="2"/>
      <c r="BF181" s="51"/>
      <c r="BG181" s="1"/>
    </row>
    <row r="182" spans="1:59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2115.0368360366579</v>
      </c>
      <c r="E182" s="18">
        <f>(O173*O173*(100-E178)*(100-E178)*(I173)*(100-I173))/((L173-1)*100)</f>
        <v>15.567350893398983</v>
      </c>
      <c r="F182" s="18">
        <f>(O174*O174*(100-F178)*(100-F178)*(I174)*(100-I174))/((L174-1)*100)</f>
        <v>53.479895310306787</v>
      </c>
      <c r="G182" s="18">
        <f>(O175*O175*(100-G178)*(100-G178)*(I175)*(100-I175))/((L175-1)*100)</f>
        <v>350.57560150569458</v>
      </c>
      <c r="S182" s="68" t="s">
        <v>56</v>
      </c>
      <c r="T182" s="65">
        <f>N479*100</f>
        <v>100</v>
      </c>
      <c r="U182" s="65">
        <f>N480*100</f>
        <v>54.29362880886427</v>
      </c>
      <c r="V182" s="65">
        <f>N481*100</f>
        <v>95.917800610941413</v>
      </c>
      <c r="W182" s="65">
        <f>N482*100</f>
        <v>94.2048780487805</v>
      </c>
      <c r="X182" s="65">
        <f>N483*100</f>
        <v>80.044593088071352</v>
      </c>
      <c r="AD182" s="51"/>
      <c r="AE182" s="51"/>
      <c r="AH182" s="78"/>
      <c r="AI182" s="78"/>
      <c r="BF182" s="51"/>
      <c r="BG182" s="1"/>
    </row>
    <row r="183" spans="1:59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114.22103712378986</v>
      </c>
      <c r="E183" s="18">
        <f>E178*E178*(SUM((H171*E171*(1-E160/H160))/(H160-1),(H172*E172*(1-E161/H161))/(H161-1), (H174*E174*(1-E163/H163))/(H163-1),(H175*E175*(1-E164/H164))/(H164-1)))</f>
        <v>161.00737596769113</v>
      </c>
      <c r="F183" s="18">
        <f>F178*F178*(SUM((H171*F171*(1-F160/H160))/(H160-1),(H172*F172*(1-F161/H161))/(H161-1), (H173*F173*(1-F162/H162))/(H162-1),(H175*F175*(1-F164/H164))/(H164-1)))</f>
        <v>144.40010701521479</v>
      </c>
      <c r="G183" s="18">
        <f>G178*G178*(SUM((H171*G171*(1-G160/H160))/(H160-1),(H172*G172*(1-G161/H161))/(H161-1), (H173*G173*(1-G162/H162))/(H162-1),(H174*G174*(1-G163/H163))/(H163-1)))</f>
        <v>75.187513442867981</v>
      </c>
      <c r="R183" s="16" t="s">
        <v>66</v>
      </c>
      <c r="S183" t="s">
        <v>9</v>
      </c>
      <c r="T183" s="1">
        <f>N490</f>
        <v>2536.16</v>
      </c>
      <c r="U183" s="1">
        <f>N491</f>
        <v>10836.92</v>
      </c>
      <c r="V183" s="1">
        <f>N492</f>
        <v>108045.43</v>
      </c>
      <c r="W183" s="1">
        <f>N493</f>
        <v>37480.300000000003</v>
      </c>
      <c r="X183" s="1">
        <f>N494</f>
        <v>19417.34</v>
      </c>
      <c r="Z183" t="s">
        <v>36</v>
      </c>
      <c r="AA183" s="1">
        <f>N495</f>
        <v>178316.15</v>
      </c>
      <c r="AD183" s="51"/>
      <c r="AE183" s="51"/>
      <c r="AN183" s="78"/>
      <c r="AO183" s="78"/>
      <c r="BF183" s="51"/>
      <c r="BG183" s="1"/>
    </row>
    <row r="184" spans="1:59" ht="15.6" x14ac:dyDescent="0.35">
      <c r="A184" s="105" t="s">
        <v>390</v>
      </c>
      <c r="B184" s="69" t="s">
        <v>9</v>
      </c>
      <c r="C184" s="1">
        <v>273.88</v>
      </c>
      <c r="D184" s="1">
        <v>1561.65</v>
      </c>
      <c r="E184" s="1">
        <v>15874.9</v>
      </c>
      <c r="F184" s="1">
        <v>2110.98</v>
      </c>
      <c r="G184" s="1">
        <v>1701.36</v>
      </c>
      <c r="I184" t="s">
        <v>36</v>
      </c>
      <c r="J184" s="57">
        <f>SUM(C184:G184)</f>
        <v>21522.77</v>
      </c>
      <c r="R184" s="16" t="s">
        <v>323</v>
      </c>
      <c r="S184" t="s">
        <v>68</v>
      </c>
      <c r="T184" s="57">
        <f>$AA183*T176/100</f>
        <v>2536.16</v>
      </c>
      <c r="U184" s="57">
        <f>$AA183*U176/100</f>
        <v>16629.475431651117</v>
      </c>
      <c r="V184" s="57">
        <f>$AA183*V176/100</f>
        <v>103263.33678148327</v>
      </c>
      <c r="W184" s="57">
        <f>$AA183*W176/100</f>
        <v>39198.167880919849</v>
      </c>
      <c r="X184" s="57">
        <f>$AA183*X176/100</f>
        <v>16689.009905945746</v>
      </c>
      <c r="Z184" t="s">
        <v>36</v>
      </c>
      <c r="AA184" s="25">
        <f>SUM(T184:X184)</f>
        <v>178316.14999999997</v>
      </c>
      <c r="AD184" s="51"/>
      <c r="AE184" s="51"/>
      <c r="AH184" s="78"/>
      <c r="AI184" s="78"/>
      <c r="BF184" s="51"/>
      <c r="BG184" s="1"/>
    </row>
    <row r="185" spans="1:59" x14ac:dyDescent="0.3">
      <c r="B185" t="s">
        <v>391</v>
      </c>
      <c r="C185" s="57">
        <f>(C184/$J184)*100</f>
        <v>1.272512785296688</v>
      </c>
      <c r="D185" s="57">
        <f>(D184/$J184)*100</f>
        <v>7.255803969470473</v>
      </c>
      <c r="E185" s="57">
        <f>(E184/$J184)*100</f>
        <v>73.758628652352826</v>
      </c>
      <c r="F185" s="57">
        <f>(F184/$J184)*100</f>
        <v>9.8081241401548223</v>
      </c>
      <c r="G185" s="57">
        <f>(G184/$J184)*100</f>
        <v>7.9049304527251829</v>
      </c>
      <c r="R185" s="66"/>
      <c r="S185" s="66" t="s">
        <v>67</v>
      </c>
      <c r="T185" s="67">
        <f>$AA183*T177/100</f>
        <v>0</v>
      </c>
      <c r="U185" s="67">
        <f>$AA183*U177/100</f>
        <v>387.57825048164239</v>
      </c>
      <c r="V185" s="67">
        <f>$AA183*V177/100</f>
        <v>393.57273944228473</v>
      </c>
      <c r="W185" s="67">
        <f>$AA183*W177/100</f>
        <v>278.20921521892944</v>
      </c>
      <c r="X185" s="67">
        <f>$AA183*X177/100</f>
        <v>317.38606501464437</v>
      </c>
      <c r="AA185" s="1"/>
      <c r="AD185" s="51"/>
      <c r="AE185" s="51"/>
      <c r="AN185" s="78"/>
      <c r="AO185" s="78"/>
      <c r="BF185" s="51"/>
      <c r="BG185" s="1"/>
    </row>
    <row r="186" spans="1:59" x14ac:dyDescent="0.3">
      <c r="A186" s="361" t="s">
        <v>401</v>
      </c>
      <c r="B186" s="361"/>
      <c r="C186" s="361"/>
      <c r="D186" s="361"/>
      <c r="E186" s="361"/>
      <c r="F186" s="361"/>
      <c r="G186" s="361"/>
      <c r="H186" s="361"/>
      <c r="I186" s="361"/>
      <c r="J186" s="361"/>
      <c r="K186" s="361"/>
      <c r="L186" s="361" t="s">
        <v>84</v>
      </c>
      <c r="M186" s="361"/>
      <c r="N186" s="361"/>
      <c r="O186" s="361"/>
      <c r="P186" s="361"/>
      <c r="R186" t="s">
        <v>110</v>
      </c>
      <c r="S186" s="70" t="s">
        <v>28</v>
      </c>
      <c r="T186" s="64">
        <f>C524</f>
        <v>1.4340484583140676</v>
      </c>
      <c r="U186" s="64">
        <f t="shared" ref="U186:X189" si="40">D524</f>
        <v>10.011071842633518</v>
      </c>
      <c r="V186" s="64">
        <f t="shared" si="40"/>
        <v>56.434287252200967</v>
      </c>
      <c r="W186" s="64">
        <f t="shared" si="40"/>
        <v>22.12077885877455</v>
      </c>
      <c r="X186" s="64">
        <f t="shared" si="40"/>
        <v>9.9998135880769023</v>
      </c>
      <c r="AA186" s="12"/>
      <c r="AD186" s="51"/>
      <c r="AE186" s="51"/>
      <c r="BF186" s="51"/>
      <c r="BG186" s="1"/>
    </row>
    <row r="187" spans="1:59" x14ac:dyDescent="0.3">
      <c r="A187" t="s">
        <v>320</v>
      </c>
      <c r="B187" t="s">
        <v>21</v>
      </c>
      <c r="I187" s="1" t="s">
        <v>58</v>
      </c>
      <c r="O187" s="360" t="s">
        <v>411</v>
      </c>
      <c r="P187" s="360"/>
      <c r="S187" s="66" t="s">
        <v>39</v>
      </c>
      <c r="T187" s="67">
        <f>C525</f>
        <v>0</v>
      </c>
      <c r="U187" s="67">
        <f t="shared" si="40"/>
        <v>0.22469771728736121</v>
      </c>
      <c r="V187" s="67">
        <f t="shared" si="40"/>
        <v>0.22701285760282242</v>
      </c>
      <c r="W187" s="67">
        <f t="shared" si="40"/>
        <v>0.16299004700456327</v>
      </c>
      <c r="X187" s="67">
        <f t="shared" si="40"/>
        <v>0.18468039109067161</v>
      </c>
      <c r="AD187" s="51"/>
      <c r="AE187" s="51"/>
      <c r="AN187" s="78"/>
      <c r="AO187" s="78"/>
      <c r="BF187" s="51"/>
      <c r="BG187" s="1"/>
    </row>
    <row r="188" spans="1:59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56</v>
      </c>
      <c r="O188" s="13" t="s">
        <v>412</v>
      </c>
      <c r="P188" s="13" t="s">
        <v>41</v>
      </c>
      <c r="S188" t="s">
        <v>30</v>
      </c>
      <c r="T188" s="57">
        <f>C526</f>
        <v>100</v>
      </c>
      <c r="U188" s="57">
        <f t="shared" si="40"/>
        <v>56.265002181869775</v>
      </c>
      <c r="V188" s="57">
        <f t="shared" si="40"/>
        <v>97.816172878835033</v>
      </c>
      <c r="W188" s="57">
        <f t="shared" si="40"/>
        <v>90.897118375303847</v>
      </c>
      <c r="X188" s="57">
        <f t="shared" si="40"/>
        <v>87.81244893834949</v>
      </c>
      <c r="AD188" s="51"/>
      <c r="AE188" s="51"/>
      <c r="BF188" s="51"/>
      <c r="BG188" s="1"/>
    </row>
    <row r="189" spans="1:59" x14ac:dyDescent="0.3">
      <c r="A189" t="s">
        <v>3</v>
      </c>
      <c r="B189" s="13">
        <v>0</v>
      </c>
      <c r="C189" s="26">
        <v>259</v>
      </c>
      <c r="D189" s="3">
        <v>0</v>
      </c>
      <c r="E189" s="3">
        <v>0</v>
      </c>
      <c r="F189" s="3">
        <v>0</v>
      </c>
      <c r="G189" s="4">
        <v>0</v>
      </c>
      <c r="H189" s="1">
        <f>SUM(C189:G189)</f>
        <v>259</v>
      </c>
      <c r="I189" s="10">
        <f>C189/H189</f>
        <v>1</v>
      </c>
      <c r="J189" s="11">
        <f>1-I189</f>
        <v>0</v>
      </c>
      <c r="K189">
        <f>H189-C194</f>
        <v>0</v>
      </c>
      <c r="N189" s="10">
        <f>2*(C195*I189)/(C195+I189)</f>
        <v>1</v>
      </c>
      <c r="O189" s="1"/>
      <c r="P189" s="1"/>
      <c r="S189" s="66" t="s">
        <v>39</v>
      </c>
      <c r="T189" s="67">
        <f>C527</f>
        <v>0</v>
      </c>
      <c r="U189" s="67">
        <f t="shared" si="40"/>
        <v>5.1489532731826095</v>
      </c>
      <c r="V189" s="67">
        <f t="shared" si="40"/>
        <v>0.24226104442960555</v>
      </c>
      <c r="W189" s="67">
        <f t="shared" si="40"/>
        <v>0.67022475336206211</v>
      </c>
      <c r="X189" s="67">
        <f t="shared" si="40"/>
        <v>2.0907896163080038</v>
      </c>
      <c r="AD189" s="51"/>
      <c r="AE189" s="51"/>
      <c r="AN189" s="78"/>
      <c r="AO189" s="78"/>
      <c r="BF189" s="51"/>
      <c r="BG189" s="1"/>
    </row>
    <row r="190" spans="1:59" x14ac:dyDescent="0.3">
      <c r="A190" t="s">
        <v>4</v>
      </c>
      <c r="B190" s="13">
        <v>1</v>
      </c>
      <c r="C190" s="5">
        <v>0</v>
      </c>
      <c r="D190" s="27">
        <v>296</v>
      </c>
      <c r="E190" s="1">
        <v>43</v>
      </c>
      <c r="F190" s="1">
        <v>0</v>
      </c>
      <c r="G190" s="6">
        <v>0</v>
      </c>
      <c r="H190" s="1">
        <f>SUM(C190:G190)</f>
        <v>339</v>
      </c>
      <c r="I190" s="10">
        <f>D190/H190</f>
        <v>0.87315634218289084</v>
      </c>
      <c r="J190" s="11">
        <f>1-I190</f>
        <v>0.12684365781710916</v>
      </c>
      <c r="K190">
        <f>H190-D194</f>
        <v>-401</v>
      </c>
      <c r="N190" s="10">
        <f>2*(D195*I190)/(D195+I190)</f>
        <v>0.54865616311399446</v>
      </c>
      <c r="O190" s="1"/>
      <c r="P190" s="1"/>
      <c r="S190" t="s">
        <v>31</v>
      </c>
      <c r="T190" s="57">
        <f>I519</f>
        <v>100</v>
      </c>
      <c r="U190" s="57">
        <f>I520</f>
        <v>87.610619469026545</v>
      </c>
      <c r="V190" s="57">
        <f>I521</f>
        <v>92.431409649952698</v>
      </c>
      <c r="W190" s="57">
        <f>I522</f>
        <v>95.674603174603163</v>
      </c>
      <c r="X190" s="57">
        <f>I523</f>
        <v>77.037037037037038</v>
      </c>
      <c r="AD190" s="51"/>
      <c r="AE190" s="51"/>
      <c r="BF190" s="51"/>
      <c r="BG190" s="1"/>
    </row>
    <row r="191" spans="1:59" x14ac:dyDescent="0.3">
      <c r="A191" t="s">
        <v>5</v>
      </c>
      <c r="B191" s="13">
        <v>2</v>
      </c>
      <c r="C191" s="5">
        <v>0</v>
      </c>
      <c r="D191" s="1">
        <v>329</v>
      </c>
      <c r="E191" s="27">
        <v>6908</v>
      </c>
      <c r="F191" s="1">
        <v>109</v>
      </c>
      <c r="G191" s="6">
        <v>53</v>
      </c>
      <c r="H191" s="1">
        <f>SUM(C191:G191)</f>
        <v>7399</v>
      </c>
      <c r="I191" s="10">
        <f>E191/H191</f>
        <v>0.93363968103797812</v>
      </c>
      <c r="J191" s="11">
        <f>1-I191</f>
        <v>6.636031896202188E-2</v>
      </c>
      <c r="K191">
        <f>H191-E194</f>
        <v>413</v>
      </c>
      <c r="N191" s="10">
        <f>2*(E195*I191)/(E195+I191)</f>
        <v>0.96044490789016346</v>
      </c>
      <c r="O191" s="1"/>
      <c r="P191" s="1"/>
      <c r="S191" s="66" t="s">
        <v>39</v>
      </c>
      <c r="T191" s="67">
        <f>J519</f>
        <v>0</v>
      </c>
      <c r="U191" s="67">
        <f>J520</f>
        <v>1.7920281254034289</v>
      </c>
      <c r="V191" s="67">
        <f>J521</f>
        <v>0.30751062400580526</v>
      </c>
      <c r="W191" s="67">
        <f>J522</f>
        <v>0.4053192493129934</v>
      </c>
      <c r="X191" s="67">
        <f>J523</f>
        <v>1.3689189986443526</v>
      </c>
      <c r="AD191" s="51"/>
      <c r="AE191" s="51"/>
      <c r="AN191" s="78"/>
      <c r="AO191" s="78"/>
      <c r="BF191" s="51"/>
      <c r="BG191" s="1"/>
    </row>
    <row r="192" spans="1:59" x14ac:dyDescent="0.3">
      <c r="A192" t="s">
        <v>6</v>
      </c>
      <c r="B192" s="13">
        <v>3</v>
      </c>
      <c r="C192" s="5">
        <v>0</v>
      </c>
      <c r="D192" s="1">
        <v>0</v>
      </c>
      <c r="E192" s="1">
        <v>21</v>
      </c>
      <c r="F192" s="27">
        <v>2409</v>
      </c>
      <c r="G192" s="6">
        <v>90</v>
      </c>
      <c r="H192" s="1">
        <f>SUM(C192:G192)</f>
        <v>2520</v>
      </c>
      <c r="I192" s="10">
        <f>F192/H192</f>
        <v>0.955952380952381</v>
      </c>
      <c r="J192" s="11">
        <f>1-I192</f>
        <v>4.4047619047619002E-2</v>
      </c>
      <c r="K192">
        <f>H192-F194</f>
        <v>-91</v>
      </c>
      <c r="N192" s="10">
        <f>2*(F195*I192)/(F195+I192)</f>
        <v>0.93899824595595405</v>
      </c>
      <c r="O192" s="1"/>
      <c r="P192" s="1"/>
      <c r="S192" s="66" t="s">
        <v>56</v>
      </c>
      <c r="T192" s="67">
        <f>N508*100</f>
        <v>100</v>
      </c>
      <c r="U192" s="67">
        <f>N509*100</f>
        <v>52.612931798051378</v>
      </c>
      <c r="V192" s="67">
        <f>N510*100</f>
        <v>95.50342130987292</v>
      </c>
      <c r="W192" s="67">
        <f>N511*100</f>
        <v>93.922867160109078</v>
      </c>
      <c r="X192" s="67">
        <f>N512*100</f>
        <v>79.956068094453599</v>
      </c>
      <c r="AD192" s="51"/>
      <c r="AE192" s="51"/>
      <c r="BF192" s="51"/>
      <c r="BG192" s="1"/>
    </row>
    <row r="193" spans="1:59" x14ac:dyDescent="0.3">
      <c r="A193" t="s">
        <v>7</v>
      </c>
      <c r="B193" s="13">
        <v>4</v>
      </c>
      <c r="C193" s="7">
        <v>0</v>
      </c>
      <c r="D193" s="8">
        <v>115</v>
      </c>
      <c r="E193" s="8">
        <v>14</v>
      </c>
      <c r="F193" s="8">
        <v>93</v>
      </c>
      <c r="G193" s="28">
        <v>723</v>
      </c>
      <c r="H193" s="1">
        <f>SUM(C193:G193)</f>
        <v>945</v>
      </c>
      <c r="I193" s="10">
        <f>G193/H193</f>
        <v>0.76507936507936503</v>
      </c>
      <c r="J193" s="11">
        <f>1-I193</f>
        <v>0.23492063492063497</v>
      </c>
      <c r="K193">
        <f>H193-G194</f>
        <v>79</v>
      </c>
      <c r="N193" s="10">
        <f>2*(G195*I193)/(G195+I193)</f>
        <v>0.79845389287686352</v>
      </c>
      <c r="O193" s="1"/>
      <c r="P193" s="1"/>
      <c r="R193" s="16" t="s">
        <v>66</v>
      </c>
      <c r="S193" t="s">
        <v>9</v>
      </c>
      <c r="T193" s="1">
        <f>N519</f>
        <v>2557.14</v>
      </c>
      <c r="U193" s="1">
        <f>N520</f>
        <v>11464.44</v>
      </c>
      <c r="V193" s="1">
        <f>N521</f>
        <v>106493.92</v>
      </c>
      <c r="W193" s="1">
        <f>N522</f>
        <v>37475.25</v>
      </c>
      <c r="X193" s="1">
        <f>N523</f>
        <v>20325.400000000001</v>
      </c>
      <c r="Z193" t="s">
        <v>36</v>
      </c>
      <c r="AA193" s="1">
        <f>N524</f>
        <v>178316.15</v>
      </c>
      <c r="AD193" s="51"/>
      <c r="AE193" s="51"/>
      <c r="AL193" s="132">
        <v>0</v>
      </c>
      <c r="AM193" s="133">
        <v>1</v>
      </c>
      <c r="AN193" s="133">
        <v>2</v>
      </c>
      <c r="AO193" s="133">
        <v>3</v>
      </c>
      <c r="AP193" s="134">
        <v>4</v>
      </c>
      <c r="BF193" s="51"/>
      <c r="BG193" s="1"/>
    </row>
    <row r="194" spans="1:59" ht="15.6" x14ac:dyDescent="0.35">
      <c r="B194" s="1" t="s">
        <v>19</v>
      </c>
      <c r="C194" s="1">
        <f>SUM(C189:C193)</f>
        <v>259</v>
      </c>
      <c r="D194" s="1">
        <f>SUM(D189:D193)</f>
        <v>740</v>
      </c>
      <c r="E194" s="1">
        <f>SUM(E189:E193)</f>
        <v>6986</v>
      </c>
      <c r="F194" s="1">
        <f>SUM(F189:F193)</f>
        <v>2611</v>
      </c>
      <c r="G194" s="1">
        <f>SUM(G189:G193)</f>
        <v>866</v>
      </c>
      <c r="H194" s="1">
        <f>SUM(H188:H193)</f>
        <v>11462</v>
      </c>
      <c r="I194" s="13" t="s">
        <v>12</v>
      </c>
      <c r="N194" s="16" t="s">
        <v>36</v>
      </c>
      <c r="O194" s="1">
        <f>SUM(O189:O193)</f>
        <v>0</v>
      </c>
      <c r="P194" s="1">
        <f>SUM(P189:P193)</f>
        <v>0</v>
      </c>
      <c r="R194" s="16" t="s">
        <v>323</v>
      </c>
      <c r="S194" t="s">
        <v>68</v>
      </c>
      <c r="T194" s="57">
        <f>$AA193*T186/100</f>
        <v>2557.14</v>
      </c>
      <c r="U194" s="57">
        <f>$AA193*U186/100</f>
        <v>17851.357883518147</v>
      </c>
      <c r="V194" s="57">
        <f>$AA193*V186/100</f>
        <v>100631.44830806555</v>
      </c>
      <c r="W194" s="57">
        <f>$AA193*W186/100</f>
        <v>39444.921210980712</v>
      </c>
      <c r="X194" s="57">
        <f>$AA193*X186/100</f>
        <v>17831.282597435591</v>
      </c>
      <c r="Z194" t="s">
        <v>36</v>
      </c>
      <c r="AA194" s="25">
        <f>SUM(T194:X194)</f>
        <v>178316.15</v>
      </c>
      <c r="AD194" s="51"/>
      <c r="AE194" s="51"/>
      <c r="AJ194" t="s">
        <v>2</v>
      </c>
      <c r="AQ194" t="s">
        <v>41</v>
      </c>
      <c r="BF194" s="51"/>
      <c r="BG194" s="1"/>
    </row>
    <row r="195" spans="1:59" x14ac:dyDescent="0.3">
      <c r="A195" s="1" t="s">
        <v>321</v>
      </c>
      <c r="B195" s="1" t="s">
        <v>2</v>
      </c>
      <c r="C195" s="10">
        <f>C189/C194</f>
        <v>1</v>
      </c>
      <c r="D195" s="10">
        <f>D190/D194</f>
        <v>0.4</v>
      </c>
      <c r="E195" s="10">
        <f>E191/E194</f>
        <v>0.98883481248210703</v>
      </c>
      <c r="F195" s="10">
        <f>F192/F194</f>
        <v>0.9226350057449253</v>
      </c>
      <c r="G195" s="10">
        <f>G193/G194</f>
        <v>0.83487297921478065</v>
      </c>
      <c r="H195" s="10"/>
      <c r="I195" s="14">
        <f>(C189+D190+E191+F192+G193)/H194</f>
        <v>0.92435875065433604</v>
      </c>
      <c r="R195" s="66"/>
      <c r="S195" s="66" t="s">
        <v>67</v>
      </c>
      <c r="T195" s="67">
        <f>$AA193*T187/100</f>
        <v>0</v>
      </c>
      <c r="U195" s="67">
        <f>$AA193*U187/100</f>
        <v>400.67231860470696</v>
      </c>
      <c r="V195" s="67">
        <f>$AA193*V187/100</f>
        <v>404.80058768233522</v>
      </c>
      <c r="W195" s="67">
        <f>$AA193*W187/100</f>
        <v>290.63757670172754</v>
      </c>
      <c r="X195" s="67">
        <f>$AA193*X187/100</f>
        <v>329.3149631978286</v>
      </c>
      <c r="AA195" s="1"/>
      <c r="AD195" s="51"/>
      <c r="AE195" s="51"/>
      <c r="AJ195" t="s">
        <v>415</v>
      </c>
      <c r="AK195">
        <v>0</v>
      </c>
      <c r="AL195" s="1">
        <v>77.92</v>
      </c>
      <c r="AM195" s="1">
        <v>730.76</v>
      </c>
      <c r="AN195" s="1">
        <v>15502.47</v>
      </c>
      <c r="AO195" s="1">
        <v>12714.95</v>
      </c>
      <c r="AP195" s="1">
        <v>11319.28</v>
      </c>
      <c r="AR195" s="1">
        <v>2514.73</v>
      </c>
      <c r="AS195" s="1">
        <v>11132.4</v>
      </c>
      <c r="AT195" s="1">
        <v>106934.37</v>
      </c>
      <c r="AU195" s="1">
        <v>37357.11</v>
      </c>
      <c r="AV195" s="1">
        <v>20377.54</v>
      </c>
      <c r="BF195" s="51"/>
      <c r="BG195" s="1"/>
    </row>
    <row r="196" spans="1:59" x14ac:dyDescent="0.3">
      <c r="B196" s="1" t="s">
        <v>14</v>
      </c>
      <c r="C196" s="11">
        <f>1-C195</f>
        <v>0</v>
      </c>
      <c r="D196" s="11">
        <f>1-D195</f>
        <v>0.6</v>
      </c>
      <c r="E196" s="11">
        <f>1-E195</f>
        <v>1.1165187517892972E-2</v>
      </c>
      <c r="F196" s="11">
        <f>1-F195</f>
        <v>7.7364994255074704E-2</v>
      </c>
      <c r="G196" s="11">
        <f>1-G195</f>
        <v>0.16512702078521935</v>
      </c>
      <c r="R196" t="s">
        <v>111</v>
      </c>
      <c r="S196" t="s">
        <v>28</v>
      </c>
      <c r="T196" s="57">
        <f>C553</f>
        <v>1.4176898727344662</v>
      </c>
      <c r="U196" s="57">
        <f t="shared" ref="U196:X199" si="41">D553</f>
        <v>8.9170170733176715</v>
      </c>
      <c r="V196" s="57">
        <f t="shared" si="41"/>
        <v>57.65929392489064</v>
      </c>
      <c r="W196" s="57">
        <f t="shared" si="41"/>
        <v>22.023349868103601</v>
      </c>
      <c r="X196" s="57">
        <f t="shared" si="41"/>
        <v>9.9826492609536253</v>
      </c>
      <c r="Y196" s="13"/>
      <c r="Z196" s="74"/>
      <c r="AA196" s="12"/>
      <c r="AD196" s="51"/>
      <c r="AE196" s="51"/>
      <c r="AJ196" t="s">
        <v>415</v>
      </c>
      <c r="AK196">
        <v>1</v>
      </c>
      <c r="AL196" s="1">
        <v>92.94</v>
      </c>
      <c r="AM196" s="1">
        <v>722.18</v>
      </c>
      <c r="AN196" s="1">
        <v>15618.45</v>
      </c>
      <c r="AO196" s="1">
        <v>12659.67</v>
      </c>
      <c r="AP196" s="1">
        <v>11252.15</v>
      </c>
      <c r="AR196" s="1">
        <v>2549.13</v>
      </c>
      <c r="AS196" s="1">
        <v>10673.67</v>
      </c>
      <c r="AT196" s="1">
        <v>107741.48</v>
      </c>
      <c r="AU196" s="1">
        <v>37091.589999999997</v>
      </c>
      <c r="AV196" s="1">
        <v>20260.28</v>
      </c>
      <c r="BF196" s="51"/>
      <c r="BG196" s="1"/>
    </row>
    <row r="197" spans="1:59" x14ac:dyDescent="0.3">
      <c r="C197" s="2"/>
      <c r="S197" s="66" t="s">
        <v>39</v>
      </c>
      <c r="T197" s="67">
        <f>C554</f>
        <v>0</v>
      </c>
      <c r="U197" s="67">
        <f t="shared" si="41"/>
        <v>0.22072220460486802</v>
      </c>
      <c r="V197" s="67">
        <f t="shared" si="41"/>
        <v>0.22060770557572393</v>
      </c>
      <c r="W197" s="67">
        <f t="shared" si="41"/>
        <v>0.15999324850260302</v>
      </c>
      <c r="X197" s="67">
        <f t="shared" si="41"/>
        <v>0.18938214678553122</v>
      </c>
      <c r="AD197" s="51"/>
      <c r="AE197" s="51"/>
      <c r="AJ197" t="s">
        <v>415</v>
      </c>
      <c r="AK197">
        <v>2</v>
      </c>
      <c r="AL197" s="1">
        <v>77.290000000000006</v>
      </c>
      <c r="AM197" s="1">
        <v>689.58</v>
      </c>
      <c r="AN197" s="1">
        <v>15682.13</v>
      </c>
      <c r="AO197" s="1">
        <v>12743.64</v>
      </c>
      <c r="AP197" s="1">
        <v>11152.74</v>
      </c>
      <c r="AR197" s="1">
        <v>2545.89</v>
      </c>
      <c r="AS197" s="1">
        <v>10629.17</v>
      </c>
      <c r="AT197" s="1">
        <v>107441.04</v>
      </c>
      <c r="AU197" s="1">
        <v>37210.81</v>
      </c>
      <c r="AV197" s="1">
        <v>20489.240000000002</v>
      </c>
      <c r="BF197" s="51"/>
      <c r="BG197" s="1"/>
    </row>
    <row r="198" spans="1:59" ht="15.6" x14ac:dyDescent="0.35">
      <c r="A198" t="s">
        <v>322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100</v>
      </c>
      <c r="U198" s="57">
        <f t="shared" si="41"/>
        <v>56.756498571934969</v>
      </c>
      <c r="V198" s="57">
        <f t="shared" si="41"/>
        <v>97.48353125952444</v>
      </c>
      <c r="W198" s="57">
        <f t="shared" si="41"/>
        <v>91.334198490823411</v>
      </c>
      <c r="X198" s="57">
        <f t="shared" si="41"/>
        <v>87.451646404917355</v>
      </c>
      <c r="AD198" s="51"/>
      <c r="AE198" s="51"/>
      <c r="AJ198" t="s">
        <v>415</v>
      </c>
      <c r="AK198">
        <v>3</v>
      </c>
      <c r="AL198" s="1">
        <v>79.81</v>
      </c>
      <c r="AM198" s="1">
        <v>809.58</v>
      </c>
      <c r="AN198" s="1">
        <v>15560.18</v>
      </c>
      <c r="AO198" s="1">
        <v>12660.78</v>
      </c>
      <c r="AP198" s="1">
        <v>11235.03</v>
      </c>
      <c r="AR198" s="1">
        <v>2539.4899999999998</v>
      </c>
      <c r="AS198" s="1">
        <v>11023.66</v>
      </c>
      <c r="AT198" s="1">
        <v>107094.8</v>
      </c>
      <c r="AU198" s="1">
        <v>37312.019999999997</v>
      </c>
      <c r="AV198" s="1">
        <v>20346.18</v>
      </c>
      <c r="BF198" s="51"/>
      <c r="BG198" s="1"/>
    </row>
    <row r="199" spans="1:59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</v>
      </c>
      <c r="U199" s="67">
        <f t="shared" si="41"/>
        <v>5.9913334451987632</v>
      </c>
      <c r="V199" s="67">
        <f t="shared" si="41"/>
        <v>0.24895084014657146</v>
      </c>
      <c r="W199" s="67">
        <f t="shared" si="41"/>
        <v>0.65454620122152374</v>
      </c>
      <c r="X199" s="67">
        <f t="shared" si="41"/>
        <v>2.2029885885487621</v>
      </c>
      <c r="AD199" s="51"/>
      <c r="AE199" s="51"/>
      <c r="AJ199" t="s">
        <v>415</v>
      </c>
      <c r="AK199">
        <v>4</v>
      </c>
      <c r="AL199" s="1">
        <v>74.77</v>
      </c>
      <c r="AM199" s="1">
        <v>888.8</v>
      </c>
      <c r="AN199" s="1">
        <v>15148.59</v>
      </c>
      <c r="AO199" s="1">
        <v>13050.08</v>
      </c>
      <c r="AP199" s="1">
        <v>11183.15</v>
      </c>
      <c r="AR199" s="1">
        <v>2535.08</v>
      </c>
      <c r="AS199" s="1">
        <v>11621.91</v>
      </c>
      <c r="AT199" s="1">
        <v>105518.46</v>
      </c>
      <c r="AU199" s="1">
        <v>38064.839999999997</v>
      </c>
      <c r="AV199" s="1">
        <v>20575.86</v>
      </c>
      <c r="BF199" s="51"/>
      <c r="BG199" s="1"/>
    </row>
    <row r="200" spans="1:59" x14ac:dyDescent="0.3">
      <c r="A200" t="s">
        <v>3</v>
      </c>
      <c r="B200" s="13">
        <v>0</v>
      </c>
      <c r="C200" s="29">
        <f>(C189/$L200)*$O200</f>
        <v>1.401886480837546</v>
      </c>
      <c r="D200" s="31">
        <f>(D189/$L200)*$O200</f>
        <v>0</v>
      </c>
      <c r="E200" s="31">
        <f>(E189/$L200)*$O200</f>
        <v>0</v>
      </c>
      <c r="F200" s="31">
        <f>(F189/$L200)*$O200</f>
        <v>0</v>
      </c>
      <c r="G200" s="32">
        <f>(G189/$L200)*$O200</f>
        <v>0</v>
      </c>
      <c r="H200" s="17">
        <f>SUM(C200:G200)</f>
        <v>1.401886480837546</v>
      </c>
      <c r="I200" s="17">
        <f>C200/H200*100</f>
        <v>100</v>
      </c>
      <c r="J200" s="17">
        <f>SQRT(I200*(100-I200)/(L200-1))</f>
        <v>0</v>
      </c>
      <c r="K200" s="18">
        <f>100-I200</f>
        <v>0</v>
      </c>
      <c r="L200" s="1">
        <f>H189</f>
        <v>259</v>
      </c>
      <c r="M200">
        <v>0</v>
      </c>
      <c r="N200" s="1">
        <v>2499.79</v>
      </c>
      <c r="O200" s="17">
        <f>N200/N205*100</f>
        <v>1.401886480837546</v>
      </c>
      <c r="P200" s="52">
        <f>((O200*O200*(I200/100)*(K200/100))/(L200-1))</f>
        <v>0</v>
      </c>
      <c r="S200" t="s">
        <v>31</v>
      </c>
      <c r="T200" s="57">
        <f>I548</f>
        <v>100</v>
      </c>
      <c r="U200" s="57">
        <f>I549</f>
        <v>83.775811209439539</v>
      </c>
      <c r="V200" s="57">
        <f>I550</f>
        <v>93.647790241924582</v>
      </c>
      <c r="W200" s="57">
        <f>I551</f>
        <v>95.793650793650798</v>
      </c>
      <c r="X200" s="57">
        <f>I552</f>
        <v>75.767195767195773</v>
      </c>
      <c r="AD200" s="51"/>
      <c r="AE200" s="51"/>
      <c r="AJ200" t="s">
        <v>415</v>
      </c>
      <c r="AK200">
        <v>5</v>
      </c>
      <c r="AL200" s="1">
        <v>79.5</v>
      </c>
      <c r="AM200" s="1">
        <v>772.23</v>
      </c>
      <c r="AN200" s="1">
        <v>15775.17</v>
      </c>
      <c r="AO200" s="1">
        <v>12674.74</v>
      </c>
      <c r="AP200" s="1">
        <v>11043.74</v>
      </c>
      <c r="AR200" s="1">
        <v>2528.2399999999998</v>
      </c>
      <c r="AS200" s="1">
        <v>10912.73</v>
      </c>
      <c r="AT200" s="1">
        <v>107962.23</v>
      </c>
      <c r="AU200" s="1">
        <v>37020.92</v>
      </c>
      <c r="AV200" s="1">
        <v>19892.03</v>
      </c>
      <c r="BF200" s="51"/>
      <c r="BG200" s="1"/>
    </row>
    <row r="201" spans="1:59" x14ac:dyDescent="0.3">
      <c r="A201" t="s">
        <v>4</v>
      </c>
      <c r="B201" s="13">
        <v>1</v>
      </c>
      <c r="C201" s="33">
        <f t="shared" ref="C201:G204" si="42">(C190/$L201)*$O201</f>
        <v>0</v>
      </c>
      <c r="D201" s="34">
        <f t="shared" si="42"/>
        <v>5.5164772195397465</v>
      </c>
      <c r="E201" s="19">
        <f t="shared" si="42"/>
        <v>0.8013801366223281</v>
      </c>
      <c r="F201" s="18">
        <f t="shared" si="42"/>
        <v>0</v>
      </c>
      <c r="G201" s="20">
        <f t="shared" si="42"/>
        <v>0</v>
      </c>
      <c r="H201" s="17">
        <f>SUM(C201:G201)</f>
        <v>6.3178573561620741</v>
      </c>
      <c r="I201" s="17">
        <f>D201/H201*100</f>
        <v>87.315634218289091</v>
      </c>
      <c r="J201" s="17">
        <f>SQRT(I201*(100-I201)/(L201-1))</f>
        <v>1.8101811368440324</v>
      </c>
      <c r="K201" s="18">
        <f>100-I201</f>
        <v>12.684365781710909</v>
      </c>
      <c r="L201" s="1">
        <f>H190</f>
        <v>339</v>
      </c>
      <c r="M201">
        <v>1</v>
      </c>
      <c r="N201" s="1">
        <v>11265.76</v>
      </c>
      <c r="O201" s="17">
        <f>N201/N205*100</f>
        <v>6.3178573561620741</v>
      </c>
      <c r="P201" s="52">
        <f>((O201*O201*(I201/100)*(K201/100))/(L201-1))</f>
        <v>1.307927594044E-2</v>
      </c>
      <c r="S201" s="66" t="s">
        <v>39</v>
      </c>
      <c r="T201" s="67">
        <f>J548</f>
        <v>0</v>
      </c>
      <c r="U201" s="67">
        <f>J549</f>
        <v>2.0053143721611701</v>
      </c>
      <c r="V201" s="67">
        <f>J550</f>
        <v>0.28356590974331303</v>
      </c>
      <c r="W201" s="67">
        <f>J551</f>
        <v>0.39995114181024394</v>
      </c>
      <c r="X201" s="67">
        <f>J552</f>
        <v>1.3946217906198908</v>
      </c>
      <c r="AD201" s="51"/>
      <c r="AE201" s="51"/>
      <c r="AJ201" t="s">
        <v>415</v>
      </c>
      <c r="AK201">
        <v>6</v>
      </c>
      <c r="AL201" s="1">
        <v>73.58</v>
      </c>
      <c r="AM201" s="1">
        <v>798.84</v>
      </c>
      <c r="AN201" s="1">
        <v>15561.28</v>
      </c>
      <c r="AO201" s="1">
        <v>12595.84</v>
      </c>
      <c r="AP201" s="1">
        <v>11315.85</v>
      </c>
      <c r="AR201" s="1">
        <v>2499.79</v>
      </c>
      <c r="AS201" s="1">
        <v>11265.76</v>
      </c>
      <c r="AT201" s="1">
        <v>107161.72</v>
      </c>
      <c r="AU201" s="1">
        <v>36823.9</v>
      </c>
      <c r="AV201" s="1">
        <v>20564.98</v>
      </c>
      <c r="BF201" s="51"/>
      <c r="BG201" s="1"/>
    </row>
    <row r="202" spans="1:59" x14ac:dyDescent="0.3">
      <c r="A202" t="s">
        <v>5</v>
      </c>
      <c r="B202" s="13">
        <v>2</v>
      </c>
      <c r="C202" s="33">
        <f t="shared" si="42"/>
        <v>0</v>
      </c>
      <c r="D202" s="19">
        <f t="shared" si="42"/>
        <v>2.6722178918359427</v>
      </c>
      <c r="E202" s="34">
        <f t="shared" si="42"/>
        <v>56.108453485722471</v>
      </c>
      <c r="F202" s="19">
        <f t="shared" si="42"/>
        <v>0.88532446872376214</v>
      </c>
      <c r="G202" s="20">
        <f t="shared" si="42"/>
        <v>0.43047887011338898</v>
      </c>
      <c r="H202" s="17">
        <f>SUM(C202:G202)</f>
        <v>60.096474716395562</v>
      </c>
      <c r="I202" s="17">
        <f>E202/H202*100</f>
        <v>93.363968103797816</v>
      </c>
      <c r="J202" s="17">
        <f>SQRT(I202*(100-I202)/(L202-1))</f>
        <v>0.28939213224171639</v>
      </c>
      <c r="K202" s="18">
        <f>100-I202</f>
        <v>6.6360318962021836</v>
      </c>
      <c r="L202" s="1">
        <f>H191</f>
        <v>7399</v>
      </c>
      <c r="M202">
        <v>2</v>
      </c>
      <c r="N202" s="1">
        <v>107161.72</v>
      </c>
      <c r="O202" s="17">
        <f>N202/N205*100</f>
        <v>60.096474716395562</v>
      </c>
      <c r="P202" s="52">
        <f>((O202*O202*(I202/100)*(K202/100))/(L202-1))</f>
        <v>3.0246242730642709E-2</v>
      </c>
      <c r="S202" s="66" t="s">
        <v>56</v>
      </c>
      <c r="T202" s="67">
        <f>N537*100</f>
        <v>100</v>
      </c>
      <c r="U202" s="67">
        <f>N538*100</f>
        <v>54.56292026897215</v>
      </c>
      <c r="V202" s="67">
        <f>N539*100</f>
        <v>96.056006099674235</v>
      </c>
      <c r="W202" s="67">
        <f>N540*100</f>
        <v>94.2048780487805</v>
      </c>
      <c r="X202" s="67">
        <f>N541*100</f>
        <v>78.985107556536136</v>
      </c>
      <c r="AD202" s="51"/>
      <c r="AE202" s="51"/>
      <c r="AJ202" t="s">
        <v>415</v>
      </c>
      <c r="AK202">
        <v>7</v>
      </c>
      <c r="AL202" s="1">
        <v>70.239999999999995</v>
      </c>
      <c r="AM202" s="1">
        <v>804.23</v>
      </c>
      <c r="AN202" s="1">
        <v>15483.05</v>
      </c>
      <c r="AO202" s="1">
        <v>12728.15</v>
      </c>
      <c r="AP202" s="1">
        <v>11259.71</v>
      </c>
      <c r="AR202" s="1">
        <v>2562.36</v>
      </c>
      <c r="AS202" s="1">
        <v>11250.03</v>
      </c>
      <c r="AT202" s="1">
        <v>106464.87</v>
      </c>
      <c r="AU202" s="1">
        <v>37407.01</v>
      </c>
      <c r="AV202" s="1">
        <v>20631.88</v>
      </c>
      <c r="BF202" s="51"/>
      <c r="BG202" s="1"/>
    </row>
    <row r="203" spans="1:59" x14ac:dyDescent="0.3">
      <c r="A203" t="s">
        <v>6</v>
      </c>
      <c r="B203" s="13">
        <v>3</v>
      </c>
      <c r="C203" s="33">
        <f t="shared" si="42"/>
        <v>0</v>
      </c>
      <c r="D203" s="19">
        <f t="shared" si="42"/>
        <v>0</v>
      </c>
      <c r="E203" s="19">
        <f t="shared" si="42"/>
        <v>0.1720908809063752</v>
      </c>
      <c r="F203" s="34">
        <f t="shared" si="42"/>
        <v>19.74128248111704</v>
      </c>
      <c r="G203" s="20">
        <f t="shared" si="42"/>
        <v>0.73753234674160795</v>
      </c>
      <c r="H203" s="17">
        <f>SUM(C203:G203)</f>
        <v>20.650905708765023</v>
      </c>
      <c r="I203" s="17">
        <f>F203/H203*100</f>
        <v>95.595238095238088</v>
      </c>
      <c r="J203" s="17">
        <f>SQRT(I203*(100-I203)/(L203-1))</f>
        <v>0.40885118879200699</v>
      </c>
      <c r="K203" s="18">
        <f>100-I203</f>
        <v>4.4047619047619122</v>
      </c>
      <c r="L203" s="1">
        <f>H192</f>
        <v>2520</v>
      </c>
      <c r="M203">
        <v>3</v>
      </c>
      <c r="N203" s="1">
        <v>36823.9</v>
      </c>
      <c r="O203" s="17">
        <f>N203/N205*100</f>
        <v>20.650905708765023</v>
      </c>
      <c r="P203" s="52">
        <f>((O203*O203*(I203/100)*(K203/100))/(L203-1))</f>
        <v>7.1286737151188152E-3</v>
      </c>
      <c r="R203" s="16" t="s">
        <v>66</v>
      </c>
      <c r="S203" t="s">
        <v>9</v>
      </c>
      <c r="T203" s="1">
        <f>N548</f>
        <v>2527.9699999999998</v>
      </c>
      <c r="U203" s="1">
        <f>N549</f>
        <v>10772.27</v>
      </c>
      <c r="V203" s="1">
        <f>N550</f>
        <v>107027.09</v>
      </c>
      <c r="W203" s="1">
        <f>N551</f>
        <v>37443.01</v>
      </c>
      <c r="X203" s="1">
        <f>N552</f>
        <v>20545.810000000001</v>
      </c>
      <c r="Z203" t="s">
        <v>36</v>
      </c>
      <c r="AA203" s="1">
        <f>N553</f>
        <v>178316.15</v>
      </c>
      <c r="AD203" s="51"/>
      <c r="AE203" s="51"/>
      <c r="AJ203" t="s">
        <v>415</v>
      </c>
      <c r="AK203">
        <v>8</v>
      </c>
      <c r="AL203" s="1">
        <v>84.67</v>
      </c>
      <c r="AM203" s="1">
        <v>755.23</v>
      </c>
      <c r="AN203" s="1">
        <v>15497.03</v>
      </c>
      <c r="AO203" s="1">
        <v>12788.34</v>
      </c>
      <c r="AP203" s="1">
        <v>11220.11</v>
      </c>
      <c r="AR203" s="1">
        <v>2536.61</v>
      </c>
      <c r="AS203" s="1">
        <v>10947.75</v>
      </c>
      <c r="AT203" s="1">
        <v>106856.18</v>
      </c>
      <c r="AU203" s="1">
        <v>37448.06</v>
      </c>
      <c r="AV203" s="1">
        <v>20527.55</v>
      </c>
      <c r="BF203" s="56"/>
      <c r="BG203" s="1"/>
    </row>
    <row r="204" spans="1:59" ht="15.6" x14ac:dyDescent="0.35">
      <c r="A204" t="s">
        <v>7</v>
      </c>
      <c r="B204" s="13">
        <v>4</v>
      </c>
      <c r="C204" s="35">
        <f t="shared" si="42"/>
        <v>0</v>
      </c>
      <c r="D204" s="36">
        <f t="shared" si="42"/>
        <v>1.4034716506365874</v>
      </c>
      <c r="E204" s="21">
        <f t="shared" si="42"/>
        <v>0.17085741833836718</v>
      </c>
      <c r="F204" s="21">
        <f t="shared" si="42"/>
        <v>1.1349814218191534</v>
      </c>
      <c r="G204" s="37">
        <f t="shared" si="42"/>
        <v>8.8235652470456767</v>
      </c>
      <c r="H204" s="17">
        <f>SUM(C204:G204)</f>
        <v>11.532875737839785</v>
      </c>
      <c r="I204" s="17">
        <f>G204/H204*100</f>
        <v>76.50793650793652</v>
      </c>
      <c r="J204" s="17">
        <f>SQRT(I204*(100-I204)/(L204-1))</f>
        <v>1.3798371396205706</v>
      </c>
      <c r="K204" s="18">
        <f>100-I204</f>
        <v>23.49206349206348</v>
      </c>
      <c r="L204" s="1">
        <f>H193</f>
        <v>945</v>
      </c>
      <c r="M204">
        <v>4</v>
      </c>
      <c r="N204" s="1">
        <v>20564.98</v>
      </c>
      <c r="O204" s="17">
        <f>N204/N205*100</f>
        <v>11.532875737839785</v>
      </c>
      <c r="P204" s="52">
        <f>((O204*O204*(I204/100)*(K204/100))/(L204-1))</f>
        <v>2.5323917256384693E-2</v>
      </c>
      <c r="R204" s="16" t="s">
        <v>323</v>
      </c>
      <c r="S204" t="s">
        <v>68</v>
      </c>
      <c r="T204" s="57">
        <f>$AA203*T196/100</f>
        <v>2527.9699999999998</v>
      </c>
      <c r="U204" s="57">
        <f>$AA203*U196/100</f>
        <v>15900.481539982748</v>
      </c>
      <c r="V204" s="57">
        <f>$AA203*V196/100</f>
        <v>102815.83304404888</v>
      </c>
      <c r="W204" s="57">
        <f>$AA203*W196/100</f>
        <v>39271.189585832421</v>
      </c>
      <c r="X204" s="57">
        <f>$AA203*X196/100</f>
        <v>17800.675830135959</v>
      </c>
      <c r="Z204" t="s">
        <v>36</v>
      </c>
      <c r="AA204" s="25">
        <f>SUM(T204:X204)</f>
        <v>178316.15000000002</v>
      </c>
      <c r="AD204" s="51"/>
      <c r="AE204" s="51"/>
      <c r="AJ204" t="s">
        <v>415</v>
      </c>
      <c r="AK204">
        <v>9</v>
      </c>
      <c r="AL204" s="1">
        <v>80.19</v>
      </c>
      <c r="AM204" s="1">
        <v>870.15</v>
      </c>
      <c r="AN204" s="1">
        <v>15501.93</v>
      </c>
      <c r="AO204" s="1">
        <v>12544.39</v>
      </c>
      <c r="AP204" s="1">
        <v>11348.72</v>
      </c>
      <c r="AR204" s="1">
        <v>2543.09</v>
      </c>
      <c r="AS204" s="1">
        <v>11229.52</v>
      </c>
      <c r="AT204" s="1">
        <v>106998.88</v>
      </c>
      <c r="AU204" s="1">
        <v>36886.1</v>
      </c>
      <c r="AV204" s="1">
        <v>20658.560000000001</v>
      </c>
      <c r="BF204" s="51"/>
      <c r="BG204" s="1"/>
    </row>
    <row r="205" spans="1:59" x14ac:dyDescent="0.3">
      <c r="B205" t="s">
        <v>28</v>
      </c>
      <c r="C205" s="17">
        <f t="shared" ref="C205:H205" si="43">SUM(C200:C204)</f>
        <v>1.401886480837546</v>
      </c>
      <c r="D205" s="17">
        <f t="shared" si="43"/>
        <v>9.5921667620122779</v>
      </c>
      <c r="E205" s="17">
        <f t="shared" si="43"/>
        <v>57.252781921589538</v>
      </c>
      <c r="F205" s="17">
        <f t="shared" si="43"/>
        <v>21.761588371659954</v>
      </c>
      <c r="G205" s="17">
        <f t="shared" si="43"/>
        <v>9.9915764639006746</v>
      </c>
      <c r="H205" s="18">
        <f t="shared" si="43"/>
        <v>100</v>
      </c>
      <c r="I205" s="13" t="s">
        <v>24</v>
      </c>
      <c r="J205" s="12" t="s">
        <v>29</v>
      </c>
      <c r="N205" s="1">
        <f>SUM(N200:N204)</f>
        <v>178316.15000000002</v>
      </c>
      <c r="O205" s="17">
        <f>SUM(O200:O204)</f>
        <v>100</v>
      </c>
      <c r="R205" s="66"/>
      <c r="S205" s="66" t="s">
        <v>67</v>
      </c>
      <c r="T205" s="67">
        <f>$AA203*T197/100</f>
        <v>0</v>
      </c>
      <c r="U205" s="67">
        <f>$AA203*U197/100</f>
        <v>393.58333744652339</v>
      </c>
      <c r="V205" s="67">
        <f>$AA203*V197/100</f>
        <v>393.3791671859662</v>
      </c>
      <c r="W205" s="67">
        <f>$AA203*W197/100</f>
        <v>285.29380098977435</v>
      </c>
      <c r="X205" s="67">
        <f>$AA203*X197/100</f>
        <v>337.69895293530806</v>
      </c>
      <c r="AA205" s="1"/>
      <c r="AD205" s="51"/>
      <c r="AE205" s="51"/>
      <c r="AJ205" t="s">
        <v>415</v>
      </c>
      <c r="AK205">
        <v>10</v>
      </c>
      <c r="AL205" s="1">
        <v>88.09</v>
      </c>
      <c r="AM205" s="1">
        <v>757.12</v>
      </c>
      <c r="AN205" s="1">
        <v>15485.32</v>
      </c>
      <c r="AO205" s="1">
        <v>12743.26</v>
      </c>
      <c r="AP205" s="1">
        <v>11271.6</v>
      </c>
      <c r="AR205" s="1">
        <v>2506.7199999999998</v>
      </c>
      <c r="AS205" s="1">
        <v>10825.11</v>
      </c>
      <c r="AT205" s="1">
        <v>107152.96000000001</v>
      </c>
      <c r="AU205" s="1">
        <v>37650.559999999998</v>
      </c>
      <c r="AV205" s="1">
        <v>20180.79</v>
      </c>
      <c r="BF205" s="51"/>
      <c r="BG205" s="1"/>
    </row>
    <row r="206" spans="1:59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0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0.22096094045537859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0.21618422176697913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0.16339829823678353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0.18600162900536329</v>
      </c>
      <c r="H206" s="1"/>
      <c r="I206" s="14">
        <f>(C200+D201+E202+F203+G204)/H205</f>
        <v>0.91591664914262483</v>
      </c>
      <c r="J206" s="53">
        <f>SQRT(SUM(P200:P204))/100</f>
        <v>2.7527824040883835E-3</v>
      </c>
      <c r="M206" s="1"/>
      <c r="N206" s="9"/>
      <c r="R206" t="s">
        <v>112</v>
      </c>
      <c r="S206" t="s">
        <v>28</v>
      </c>
      <c r="T206" s="57">
        <f>C582</f>
        <v>1.4220304778899724</v>
      </c>
      <c r="U206" s="57">
        <f t="shared" ref="U206:X209" si="44">D582</f>
        <v>9.9697677577141981</v>
      </c>
      <c r="V206" s="57">
        <f t="shared" si="44"/>
        <v>56.471326182988534</v>
      </c>
      <c r="W206" s="57">
        <f t="shared" si="44"/>
        <v>22.000043510844975</v>
      </c>
      <c r="X206" s="57">
        <f>G582</f>
        <v>10.136832070562324</v>
      </c>
      <c r="Y206" s="60"/>
      <c r="Z206" s="74"/>
      <c r="AA206" s="12"/>
      <c r="AD206" s="51"/>
      <c r="AE206" s="51"/>
      <c r="AJ206" t="s">
        <v>415</v>
      </c>
      <c r="AK206">
        <v>11</v>
      </c>
      <c r="AL206" s="1">
        <v>73.760000000000005</v>
      </c>
      <c r="AM206" s="1">
        <v>732.56</v>
      </c>
      <c r="AN206" s="1">
        <v>15642.88</v>
      </c>
      <c r="AO206" s="1">
        <v>12710.64</v>
      </c>
      <c r="AP206" s="1">
        <v>11185.54</v>
      </c>
      <c r="AR206" s="1">
        <v>2530.13</v>
      </c>
      <c r="AS206" s="1">
        <v>10970.17</v>
      </c>
      <c r="AT206" s="1">
        <v>107366.09</v>
      </c>
      <c r="AU206" s="1">
        <v>37407.370000000003</v>
      </c>
      <c r="AV206" s="1">
        <v>20042.39</v>
      </c>
      <c r="BF206" s="51"/>
      <c r="BG206" s="1"/>
    </row>
    <row r="207" spans="1:59" x14ac:dyDescent="0.3">
      <c r="B207" s="1" t="s">
        <v>30</v>
      </c>
      <c r="C207" s="17">
        <f>C200/C205*100</f>
        <v>100</v>
      </c>
      <c r="D207" s="17">
        <f>D201/D205*100</f>
        <v>57.510230549645705</v>
      </c>
      <c r="E207" s="17">
        <f>E202/E205*100</f>
        <v>98.001270161100152</v>
      </c>
      <c r="F207" s="17">
        <f>F203/F205*100</f>
        <v>90.716183690093359</v>
      </c>
      <c r="G207" s="17">
        <f>G204/G205*100</f>
        <v>88.310040752077569</v>
      </c>
      <c r="H207" s="1"/>
      <c r="S207" s="66" t="s">
        <v>39</v>
      </c>
      <c r="T207" s="67">
        <f>C583</f>
        <v>0</v>
      </c>
      <c r="U207" s="67">
        <f t="shared" si="44"/>
        <v>0.22516190486149271</v>
      </c>
      <c r="V207" s="67">
        <f t="shared" si="44"/>
        <v>0.23022493930306268</v>
      </c>
      <c r="W207" s="67">
        <f t="shared" si="44"/>
        <v>0.15989811832369241</v>
      </c>
      <c r="X207" s="67">
        <f t="shared" si="44"/>
        <v>0.18132158984452906</v>
      </c>
      <c r="AD207" s="51"/>
      <c r="AE207" s="51"/>
      <c r="AJ207" t="s">
        <v>415</v>
      </c>
      <c r="AK207">
        <v>12</v>
      </c>
      <c r="AL207" s="1">
        <v>69.87</v>
      </c>
      <c r="AM207" s="1">
        <v>803.36</v>
      </c>
      <c r="AN207" s="1">
        <v>15436.09</v>
      </c>
      <c r="AO207" s="1">
        <v>12733.12</v>
      </c>
      <c r="AP207" s="1">
        <v>11302.95</v>
      </c>
      <c r="AR207" s="1">
        <v>2525.4499999999998</v>
      </c>
      <c r="AS207" s="1">
        <v>10851.06</v>
      </c>
      <c r="AT207" s="1">
        <v>106909.68</v>
      </c>
      <c r="AU207" s="1">
        <v>37563.67</v>
      </c>
      <c r="AV207" s="1">
        <v>20466.3</v>
      </c>
      <c r="BF207" s="51"/>
      <c r="BG207" s="1"/>
    </row>
    <row r="208" spans="1:59" x14ac:dyDescent="0.3">
      <c r="B208" s="16" t="s">
        <v>39</v>
      </c>
      <c r="C208" s="18">
        <f>SQRT((C211+C212)/(C205*C205))</f>
        <v>0</v>
      </c>
      <c r="D208" s="18">
        <f>SQRT((D211+D212)/(D205*D205))</f>
        <v>5.1913999998272455</v>
      </c>
      <c r="E208" s="18">
        <f>SQRT((E211+E212)/(E205*E205))</f>
        <v>0.22832750212759456</v>
      </c>
      <c r="F208" s="18">
        <f>SQRT((F211+F212)/(F205*F205))</f>
        <v>0.68565439406536965</v>
      </c>
      <c r="G208" s="18">
        <f>SQRT((G211+G212)/(G205*G205))</f>
        <v>2.0477200929686896</v>
      </c>
      <c r="H208" s="1"/>
      <c r="S208" t="s">
        <v>30</v>
      </c>
      <c r="T208" s="57">
        <f>C584</f>
        <v>100</v>
      </c>
      <c r="U208" s="57">
        <f t="shared" si="44"/>
        <v>55.744326745138515</v>
      </c>
      <c r="V208" s="57">
        <f t="shared" si="44"/>
        <v>97.635891084569522</v>
      </c>
      <c r="W208" s="57">
        <f t="shared" si="44"/>
        <v>91.321061451829891</v>
      </c>
      <c r="X208" s="57">
        <f t="shared" si="44"/>
        <v>88.784749655099489</v>
      </c>
      <c r="AD208" s="51"/>
      <c r="AE208" s="51"/>
      <c r="AJ208" t="s">
        <v>415</v>
      </c>
      <c r="AK208">
        <v>13</v>
      </c>
      <c r="AL208" s="1">
        <v>67.27</v>
      </c>
      <c r="AM208" s="1">
        <v>723.57</v>
      </c>
      <c r="AN208" s="1">
        <v>15685.03</v>
      </c>
      <c r="AO208" s="1">
        <v>12667.19</v>
      </c>
      <c r="AP208" s="1">
        <v>11202.32</v>
      </c>
      <c r="AR208" s="1">
        <v>2508.88</v>
      </c>
      <c r="AS208" s="1">
        <v>10688.34</v>
      </c>
      <c r="AT208" s="1">
        <v>107668.01</v>
      </c>
      <c r="AU208" s="1">
        <v>37090.68</v>
      </c>
      <c r="AV208" s="1">
        <v>20360.25</v>
      </c>
      <c r="BF208" s="51"/>
      <c r="BG208" s="1"/>
    </row>
    <row r="209" spans="1:59" x14ac:dyDescent="0.3">
      <c r="B209" s="1" t="s">
        <v>37</v>
      </c>
      <c r="C209" s="18">
        <f>100-C207</f>
        <v>0</v>
      </c>
      <c r="D209" s="18">
        <f>100-D207</f>
        <v>42.489769450354295</v>
      </c>
      <c r="E209" s="18">
        <f>100-E207</f>
        <v>1.9987298388998482</v>
      </c>
      <c r="F209" s="18">
        <f>100-F207</f>
        <v>9.2838163099066406</v>
      </c>
      <c r="G209" s="18">
        <f>100-G207</f>
        <v>11.689959247922431</v>
      </c>
      <c r="S209" s="66" t="s">
        <v>39</v>
      </c>
      <c r="T209" s="67">
        <f>C585</f>
        <v>0</v>
      </c>
      <c r="U209" s="67">
        <f t="shared" si="44"/>
        <v>5.2277514276113237</v>
      </c>
      <c r="V209" s="67">
        <f t="shared" si="44"/>
        <v>0.24987401994193642</v>
      </c>
      <c r="W209" s="67">
        <f t="shared" si="44"/>
        <v>0.6547702214008867</v>
      </c>
      <c r="X209" s="67">
        <f t="shared" si="44"/>
        <v>1.9001266326425936</v>
      </c>
      <c r="AD209" s="51"/>
      <c r="AE209" s="51"/>
      <c r="AJ209" t="s">
        <v>415</v>
      </c>
      <c r="AK209">
        <v>14</v>
      </c>
      <c r="AL209" s="1">
        <v>80.900000000000006</v>
      </c>
      <c r="AM209" s="1">
        <v>866.26</v>
      </c>
      <c r="AN209" s="1">
        <v>15399.16</v>
      </c>
      <c r="AO209" s="1">
        <v>12786.1</v>
      </c>
      <c r="AP209" s="1">
        <v>11212.96</v>
      </c>
      <c r="AR209" s="1">
        <v>2514.64</v>
      </c>
      <c r="AS209" s="1">
        <v>11471.54</v>
      </c>
      <c r="AT209" s="1">
        <v>106181.33</v>
      </c>
      <c r="AU209" s="1">
        <v>37516.870000000003</v>
      </c>
      <c r="AV209" s="1">
        <v>20631.78</v>
      </c>
      <c r="BF209" s="51"/>
      <c r="BG209" s="1"/>
    </row>
    <row r="210" spans="1:59" ht="15.6" x14ac:dyDescent="0.35">
      <c r="B210" s="1" t="s">
        <v>25</v>
      </c>
      <c r="C210" s="1">
        <f>C194</f>
        <v>259</v>
      </c>
      <c r="D210" s="1">
        <f>D194</f>
        <v>740</v>
      </c>
      <c r="E210" s="1">
        <f>E194</f>
        <v>6986</v>
      </c>
      <c r="F210" s="1">
        <f>F194</f>
        <v>2611</v>
      </c>
      <c r="G210" s="1">
        <f>G194</f>
        <v>866</v>
      </c>
      <c r="S210" s="15" t="s">
        <v>31</v>
      </c>
      <c r="T210" s="71">
        <f>I577</f>
        <v>100</v>
      </c>
      <c r="U210" s="71">
        <f>I578</f>
        <v>87.315634218289091</v>
      </c>
      <c r="V210" s="71">
        <f>I579</f>
        <v>92.323286930666299</v>
      </c>
      <c r="W210" s="71">
        <f>I580</f>
        <v>95.674603174603163</v>
      </c>
      <c r="X210" s="71">
        <f>I581</f>
        <v>78.306878306878303</v>
      </c>
      <c r="AD210" s="51"/>
      <c r="AE210" s="51"/>
      <c r="AJ210" t="s">
        <v>415</v>
      </c>
      <c r="AK210">
        <v>15</v>
      </c>
      <c r="AL210" s="1">
        <v>70.5</v>
      </c>
      <c r="AM210" s="1">
        <v>830.16</v>
      </c>
      <c r="AN210" s="1">
        <v>15411.65</v>
      </c>
      <c r="AO210" s="1">
        <v>12800.69</v>
      </c>
      <c r="AP210" s="1">
        <v>11232.38</v>
      </c>
      <c r="AR210" s="1">
        <v>2531.84</v>
      </c>
      <c r="AS210" s="1">
        <v>11475.75</v>
      </c>
      <c r="AT210" s="1">
        <v>106384.48</v>
      </c>
      <c r="AU210" s="1">
        <v>37665.32</v>
      </c>
      <c r="AV210" s="1">
        <v>20258.77</v>
      </c>
      <c r="BF210" s="51"/>
      <c r="BG210" s="1"/>
    </row>
    <row r="211" spans="1:59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2361.3069840894723</v>
      </c>
      <c r="E211" s="18">
        <f>(O202*O202*(100-E207)*(100-E207)*(I202)*(100-I202))/((L202-1)*100)</f>
        <v>12.083134931534426</v>
      </c>
      <c r="F211" s="18">
        <f>(O203*O203*(100-F207)*(100-F207)*(I203)*(100-I203))/((L203-1)*100)</f>
        <v>61.441500732558097</v>
      </c>
      <c r="G211" s="18">
        <f>(O204*O204*(100-G207)*(100-G207)*(I204)*(100-I204))/((L204-1)*100)</f>
        <v>346.0643640809908</v>
      </c>
      <c r="S211" s="75" t="s">
        <v>39</v>
      </c>
      <c r="T211" s="76">
        <f>J577</f>
        <v>0</v>
      </c>
      <c r="U211" s="76">
        <f>J578</f>
        <v>1.8101811368440324</v>
      </c>
      <c r="V211" s="76">
        <f>J579</f>
        <v>0.30951814913248976</v>
      </c>
      <c r="W211" s="76">
        <f>J580</f>
        <v>0.4053192493129934</v>
      </c>
      <c r="X211" s="76">
        <f>J581</f>
        <v>1.3414515287330495</v>
      </c>
      <c r="AD211" s="51"/>
      <c r="AE211" s="51"/>
      <c r="AJ211" t="s">
        <v>415</v>
      </c>
      <c r="AK211">
        <v>16</v>
      </c>
      <c r="AL211" s="1">
        <v>78.17</v>
      </c>
      <c r="AM211" s="1">
        <v>772.52</v>
      </c>
      <c r="AN211" s="1">
        <v>15727.64</v>
      </c>
      <c r="AO211" s="1">
        <v>12826.25</v>
      </c>
      <c r="AP211" s="1">
        <v>10940.79</v>
      </c>
      <c r="AR211" s="1">
        <v>2536.16</v>
      </c>
      <c r="AS211" s="1">
        <v>10836.92</v>
      </c>
      <c r="AT211" s="1">
        <v>108045.43</v>
      </c>
      <c r="AU211" s="1">
        <v>37480.300000000003</v>
      </c>
      <c r="AV211" s="1">
        <v>19417.34</v>
      </c>
      <c r="BF211" s="51"/>
      <c r="BG211" s="1"/>
    </row>
    <row r="212" spans="1:59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118.41176916888941</v>
      </c>
      <c r="E212" s="18">
        <f>E207*E207*(SUM((H200*E200*(1-E189/H189))/(H189-1),(H201*E201*(1-E190/H190))/(H190-1), (H203*E203*(1-E192/H192))/(H192-1),(H204*E204*(1-E193/H193))/(H193-1)))</f>
        <v>158.80410644755821</v>
      </c>
      <c r="F212" s="18">
        <f>F207*F207*(SUM((H200*F200*(1-F189/H189))/(H189-1),(H201*F201*(1-F190/H190))/(H190-1), (H202*F202*(1-F191/H191))/(H191-1),(H204*F204*(1-F193/H193))/(H193-1)))</f>
        <v>161.19261220580063</v>
      </c>
      <c r="G212" s="18">
        <f>G207*G207*(SUM((H200*G200*(1-G189/H189))/(H189-1),(H201*G201*(1-G190/H190))/(H190-1), (H202*G202*(1-G191/H191))/(H191-1),(H203*G203*(1-G192/H192))/(H192-1)))</f>
        <v>72.545267078540007</v>
      </c>
      <c r="S212" s="66" t="s">
        <v>56</v>
      </c>
      <c r="T212" s="67">
        <f>N566*100</f>
        <v>100</v>
      </c>
      <c r="U212" s="67">
        <f>N567*100</f>
        <v>52.204585537918867</v>
      </c>
      <c r="V212" s="67">
        <f>N568*100</f>
        <v>95.385045032465257</v>
      </c>
      <c r="W212" s="67">
        <f>N569*100</f>
        <v>94.069449863441278</v>
      </c>
      <c r="X212" s="67">
        <f>N570*100</f>
        <v>81.184860120680199</v>
      </c>
      <c r="AD212" s="51"/>
      <c r="AE212" s="51"/>
      <c r="AJ212" t="s">
        <v>415</v>
      </c>
      <c r="AK212">
        <v>17</v>
      </c>
      <c r="AL212" s="1">
        <v>75.67</v>
      </c>
      <c r="AM212" s="1">
        <v>867.71</v>
      </c>
      <c r="AN212" s="1">
        <v>15413.39</v>
      </c>
      <c r="AO212" s="1">
        <v>12805.57</v>
      </c>
      <c r="AP212" s="1">
        <v>11183.04</v>
      </c>
      <c r="AR212" s="1">
        <v>2557.14</v>
      </c>
      <c r="AS212" s="1">
        <v>11464.44</v>
      </c>
      <c r="AT212" s="1">
        <v>106493.92</v>
      </c>
      <c r="AU212" s="1">
        <v>37475.25</v>
      </c>
      <c r="AV212" s="1">
        <v>20325.400000000001</v>
      </c>
      <c r="BF212" s="51"/>
      <c r="BG212" s="1"/>
    </row>
    <row r="213" spans="1:59" x14ac:dyDescent="0.3">
      <c r="A213" s="105" t="s">
        <v>390</v>
      </c>
      <c r="B213" s="69" t="s">
        <v>9</v>
      </c>
      <c r="C213" s="1">
        <v>275.41000000000003</v>
      </c>
      <c r="D213" s="1">
        <v>1618.73</v>
      </c>
      <c r="E213" s="1">
        <v>15715.28</v>
      </c>
      <c r="F213" s="1">
        <v>2145.46</v>
      </c>
      <c r="G213" s="1">
        <v>1767.89</v>
      </c>
      <c r="I213" t="s">
        <v>36</v>
      </c>
      <c r="J213" s="57">
        <f>SUM(C213:G213)</f>
        <v>21522.77</v>
      </c>
      <c r="R213" s="16" t="s">
        <v>66</v>
      </c>
      <c r="S213" t="s">
        <v>9</v>
      </c>
      <c r="T213" s="1">
        <f>N577</f>
        <v>2535.71</v>
      </c>
      <c r="U213" s="1">
        <f>N578</f>
        <v>11349.7</v>
      </c>
      <c r="V213" s="1">
        <f>N579</f>
        <v>106491.98</v>
      </c>
      <c r="W213" s="1">
        <f>N580</f>
        <v>37444.54</v>
      </c>
      <c r="X213" s="1">
        <f>N581</f>
        <v>20494.22</v>
      </c>
      <c r="Z213" t="s">
        <v>36</v>
      </c>
      <c r="AA213" s="1">
        <f>N582</f>
        <v>178316.15</v>
      </c>
      <c r="AD213" s="51"/>
      <c r="AE213" s="51"/>
      <c r="AJ213" t="s">
        <v>415</v>
      </c>
      <c r="AK213">
        <v>18</v>
      </c>
      <c r="AL213" s="1">
        <v>79.319999999999993</v>
      </c>
      <c r="AM213" s="1">
        <v>751.84</v>
      </c>
      <c r="AN213" s="1">
        <v>15515.56</v>
      </c>
      <c r="AO213" s="1">
        <v>12805.87</v>
      </c>
      <c r="AP213" s="1">
        <v>11192.79</v>
      </c>
      <c r="AR213" s="1">
        <v>2527.9699999999998</v>
      </c>
      <c r="AS213" s="1">
        <v>10772.27</v>
      </c>
      <c r="AT213" s="1">
        <v>107027.09</v>
      </c>
      <c r="AU213" s="1">
        <v>37443.01</v>
      </c>
      <c r="AV213" s="1">
        <v>20545.810000000001</v>
      </c>
      <c r="BF213" s="51"/>
      <c r="BG213" s="1"/>
    </row>
    <row r="214" spans="1:59" ht="15.6" x14ac:dyDescent="0.35">
      <c r="B214" t="s">
        <v>391</v>
      </c>
      <c r="C214" s="57">
        <f>(C213/$J213)*100</f>
        <v>1.2796215357038152</v>
      </c>
      <c r="D214" s="57">
        <f>(D213/$J213)*100</f>
        <v>7.5210114683193661</v>
      </c>
      <c r="E214" s="57">
        <f>(E213/$J213)*100</f>
        <v>73.016995488963559</v>
      </c>
      <c r="F214" s="57">
        <f>(F213/$J213)*100</f>
        <v>9.9683265676304664</v>
      </c>
      <c r="G214" s="57">
        <f>(G213/$J213)*100</f>
        <v>8.2140449393828021</v>
      </c>
      <c r="R214" s="16" t="s">
        <v>323</v>
      </c>
      <c r="S214" t="s">
        <v>68</v>
      </c>
      <c r="T214" s="57">
        <f>$AA213*T206/100</f>
        <v>2535.71</v>
      </c>
      <c r="U214" s="57">
        <f>$AA213*U206/100</f>
        <v>17777.706029497283</v>
      </c>
      <c r="V214" s="57">
        <f>$AA213*V206/100</f>
        <v>100697.49470344711</v>
      </c>
      <c r="W214" s="57">
        <f>$AA213*W206/100</f>
        <v>39229.63058686359</v>
      </c>
      <c r="X214" s="57">
        <f>$AA213*X206/100</f>
        <v>18075.608680192017</v>
      </c>
      <c r="Z214" t="s">
        <v>36</v>
      </c>
      <c r="AA214" s="25">
        <f>SUM(T214:X214)</f>
        <v>178316.15000000002</v>
      </c>
      <c r="AD214" s="51"/>
      <c r="AE214" s="51"/>
      <c r="AJ214" t="s">
        <v>415</v>
      </c>
      <c r="AK214">
        <v>19</v>
      </c>
      <c r="AL214" s="1">
        <v>83.45</v>
      </c>
      <c r="AM214" s="1">
        <v>791</v>
      </c>
      <c r="AN214" s="1">
        <v>15470.84</v>
      </c>
      <c r="AO214" s="1">
        <v>12725.51</v>
      </c>
      <c r="AP214" s="1">
        <v>11274.59</v>
      </c>
      <c r="AR214" s="1">
        <v>2535.71</v>
      </c>
      <c r="AS214" s="1">
        <v>11349.7</v>
      </c>
      <c r="AT214" s="1">
        <v>106491.98</v>
      </c>
      <c r="AU214" s="1">
        <v>37444.54</v>
      </c>
      <c r="AV214" s="1">
        <v>20494.22</v>
      </c>
      <c r="BF214" s="51"/>
      <c r="BG214" s="1"/>
    </row>
    <row r="215" spans="1:59" x14ac:dyDescent="0.3">
      <c r="A215" s="361" t="s">
        <v>401</v>
      </c>
      <c r="B215" s="361"/>
      <c r="C215" s="361"/>
      <c r="D215" s="361"/>
      <c r="E215" s="361"/>
      <c r="F215" s="361"/>
      <c r="G215" s="361"/>
      <c r="H215" s="361"/>
      <c r="I215" s="361"/>
      <c r="J215" s="361"/>
      <c r="K215" s="361"/>
      <c r="L215" s="361" t="s">
        <v>85</v>
      </c>
      <c r="M215" s="361"/>
      <c r="N215" s="361"/>
      <c r="O215" s="361"/>
      <c r="P215" s="361"/>
      <c r="R215" s="66"/>
      <c r="S215" s="66" t="s">
        <v>67</v>
      </c>
      <c r="T215" s="67">
        <f>$AA213*T207/100</f>
        <v>0</v>
      </c>
      <c r="U215" s="67">
        <f>$AA213*U207/100</f>
        <v>401.50004001567663</v>
      </c>
      <c r="V215" s="67">
        <f>$AA213*V207/100</f>
        <v>410.52824810505814</v>
      </c>
      <c r="W215" s="67">
        <f>$AA213*W207/100</f>
        <v>285.12416851725283</v>
      </c>
      <c r="X215" s="67">
        <f>$AA213*X207/100</f>
        <v>323.32567812955517</v>
      </c>
      <c r="AA215" s="1"/>
      <c r="AD215" s="51"/>
      <c r="AE215" s="51"/>
      <c r="AL215" s="1"/>
      <c r="AM215" s="1"/>
      <c r="AN215" s="1"/>
      <c r="AO215" s="1"/>
      <c r="AP215" s="1"/>
      <c r="AQ215" t="s">
        <v>412</v>
      </c>
      <c r="BF215" s="51"/>
      <c r="BG215" s="1"/>
    </row>
    <row r="216" spans="1:59" x14ac:dyDescent="0.3">
      <c r="A216" t="s">
        <v>320</v>
      </c>
      <c r="B216" t="s">
        <v>21</v>
      </c>
      <c r="I216" s="1" t="s">
        <v>58</v>
      </c>
      <c r="O216" s="360" t="s">
        <v>411</v>
      </c>
      <c r="P216" s="360"/>
      <c r="AJ216" t="s">
        <v>416</v>
      </c>
      <c r="AK216">
        <v>0</v>
      </c>
      <c r="AL216" s="1">
        <v>0</v>
      </c>
      <c r="AM216" s="1">
        <v>10.74</v>
      </c>
      <c r="AN216" s="1">
        <v>1303.6600000000001</v>
      </c>
      <c r="AO216" s="1">
        <v>388.19</v>
      </c>
      <c r="AP216" s="1">
        <v>97.95</v>
      </c>
      <c r="AR216" s="1">
        <v>271.17</v>
      </c>
      <c r="AS216" s="1">
        <v>1645.2</v>
      </c>
      <c r="AT216" s="1">
        <v>15667.2</v>
      </c>
      <c r="AU216" s="1">
        <v>2148.34</v>
      </c>
      <c r="AV216" s="1">
        <v>1790.84</v>
      </c>
      <c r="BF216" s="51"/>
      <c r="BG216" s="1"/>
    </row>
    <row r="217" spans="1:59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56</v>
      </c>
      <c r="O217" s="13" t="s">
        <v>412</v>
      </c>
      <c r="P217" s="13" t="s">
        <v>41</v>
      </c>
      <c r="AJ217" t="s">
        <v>416</v>
      </c>
      <c r="AK217">
        <v>1</v>
      </c>
      <c r="AL217" s="1">
        <v>0</v>
      </c>
      <c r="AM217" s="1">
        <v>10.24</v>
      </c>
      <c r="AN217" s="1">
        <v>1303.4100000000001</v>
      </c>
      <c r="AO217" s="1">
        <v>396.81</v>
      </c>
      <c r="AP217" s="1">
        <v>90.08</v>
      </c>
      <c r="AR217" s="1">
        <v>270</v>
      </c>
      <c r="AS217" s="1">
        <v>1526.45</v>
      </c>
      <c r="AT217" s="1">
        <v>15830.97</v>
      </c>
      <c r="AU217" s="1">
        <v>2172.65</v>
      </c>
      <c r="AV217" s="1">
        <v>1722.69</v>
      </c>
      <c r="BF217" s="51"/>
      <c r="BG217" s="1"/>
    </row>
    <row r="218" spans="1:59" x14ac:dyDescent="0.3">
      <c r="A218" t="s">
        <v>3</v>
      </c>
      <c r="B218" s="13">
        <v>0</v>
      </c>
      <c r="C218" s="26">
        <v>259</v>
      </c>
      <c r="D218" s="3">
        <v>0</v>
      </c>
      <c r="E218" s="3">
        <v>0</v>
      </c>
      <c r="F218" s="3">
        <v>0</v>
      </c>
      <c r="G218" s="4">
        <v>0</v>
      </c>
      <c r="H218" s="1">
        <f>SUM(C218:G218)</f>
        <v>259</v>
      </c>
      <c r="I218" s="10">
        <f>C218/H218</f>
        <v>1</v>
      </c>
      <c r="J218" s="11">
        <f>1-I218</f>
        <v>0</v>
      </c>
      <c r="K218">
        <f>H218-C223</f>
        <v>0</v>
      </c>
      <c r="N218" s="10">
        <f>2*(C224*I218)/(C224+I218)</f>
        <v>1</v>
      </c>
      <c r="O218" s="1"/>
      <c r="P218" s="1"/>
      <c r="R218" s="66"/>
      <c r="S218" s="66"/>
      <c r="T218" s="66"/>
      <c r="U218" s="66"/>
      <c r="V218" s="66"/>
      <c r="W218" s="66"/>
      <c r="X218" s="66"/>
      <c r="AJ218" t="s">
        <v>416</v>
      </c>
      <c r="AK218">
        <v>2</v>
      </c>
      <c r="AL218" s="1">
        <v>0</v>
      </c>
      <c r="AM218" s="1">
        <v>9.67</v>
      </c>
      <c r="AN218" s="1">
        <v>1306.44</v>
      </c>
      <c r="AO218" s="1">
        <v>393.91</v>
      </c>
      <c r="AP218" s="1">
        <v>90.52</v>
      </c>
      <c r="AR218" s="1">
        <v>277.48</v>
      </c>
      <c r="AS218" s="1">
        <v>1560.75</v>
      </c>
      <c r="AT218" s="1">
        <v>15722.57</v>
      </c>
      <c r="AU218" s="1">
        <v>2170.4899999999998</v>
      </c>
      <c r="AV218" s="1">
        <v>1791.47</v>
      </c>
      <c r="BF218" s="51"/>
      <c r="BG218" s="1"/>
    </row>
    <row r="219" spans="1:59" x14ac:dyDescent="0.3">
      <c r="A219" t="s">
        <v>4</v>
      </c>
      <c r="B219" s="13">
        <v>1</v>
      </c>
      <c r="C219" s="5">
        <v>0</v>
      </c>
      <c r="D219" s="27">
        <v>299</v>
      </c>
      <c r="E219" s="1">
        <v>40</v>
      </c>
      <c r="F219" s="1">
        <v>0</v>
      </c>
      <c r="G219" s="6">
        <v>0</v>
      </c>
      <c r="H219" s="1">
        <f>SUM(C219:G219)</f>
        <v>339</v>
      </c>
      <c r="I219" s="10">
        <f>D219/H219</f>
        <v>0.88200589970501475</v>
      </c>
      <c r="J219" s="11">
        <f>1-I219</f>
        <v>0.11799410029498525</v>
      </c>
      <c r="K219">
        <f>H219-D223</f>
        <v>-416</v>
      </c>
      <c r="N219" s="10">
        <f>2*(D224*I219)/(D224+I219)</f>
        <v>0.54661791590493602</v>
      </c>
      <c r="O219" s="1"/>
      <c r="P219" s="1"/>
      <c r="R219" t="s">
        <v>371</v>
      </c>
      <c r="S219" t="s">
        <v>28</v>
      </c>
      <c r="T219" s="57">
        <f>AVERAGE(T16,T26,T36,T46,T56,T66,T76,T86,T96,T106,T116,T126,T136,T146,T156,T166,T176,T186,T196,T206)</f>
        <v>1.4196428527433937</v>
      </c>
      <c r="U219" s="57">
        <f>AVERAGE(U16,U26,U36,U46,U56,U66,U76,U86,U96,U106,U116,U126,U136,U146,U156,U166,U176,U186,U196,U206)</f>
        <v>9.4168175932169476</v>
      </c>
      <c r="V219" s="57">
        <f>AVERAGE(V16,V26,V36,V46,V56,V66,V76,V86,V96,V106,V116,V126,V136,V146,V156,V166,V176,V186,V196,V206)</f>
        <v>57.194156032230545</v>
      </c>
      <c r="W219" s="57">
        <f>AVERAGE(W16,W26,W36,W46,W56,W66,W76,W86,W96,W106,W116,W126,W136,W146,W156,W166,W176,W186,W196,W206)</f>
        <v>21.942033159329974</v>
      </c>
      <c r="X219" s="57">
        <f>AVERAGE(X16,X26,X36,X46,X56,X66,X76,X86,X96,X106,X116,X126,X136,X146,X156,X166,X176,X186,X196,X206)</f>
        <v>10.027350362479149</v>
      </c>
      <c r="AJ219" t="s">
        <v>416</v>
      </c>
      <c r="AK219">
        <v>3</v>
      </c>
      <c r="AL219" s="1">
        <v>0</v>
      </c>
      <c r="AM219" s="1">
        <v>10.52</v>
      </c>
      <c r="AN219" s="1">
        <v>1301.8</v>
      </c>
      <c r="AO219" s="1">
        <v>398.89</v>
      </c>
      <c r="AP219" s="1">
        <v>89.33</v>
      </c>
      <c r="AR219" s="1">
        <v>271.44</v>
      </c>
      <c r="AS219" s="1">
        <v>1609.28</v>
      </c>
      <c r="AT219" s="1">
        <v>15731.3</v>
      </c>
      <c r="AU219" s="1">
        <v>2151.86</v>
      </c>
      <c r="AV219" s="1">
        <v>1758.88</v>
      </c>
      <c r="BF219" s="51"/>
      <c r="BG219" s="1"/>
    </row>
    <row r="220" spans="1:59" x14ac:dyDescent="0.3">
      <c r="A220" t="s">
        <v>5</v>
      </c>
      <c r="B220" s="13">
        <v>2</v>
      </c>
      <c r="C220" s="5">
        <v>0</v>
      </c>
      <c r="D220" s="1">
        <v>363</v>
      </c>
      <c r="E220" s="27">
        <v>6862</v>
      </c>
      <c r="F220" s="1">
        <v>109</v>
      </c>
      <c r="G220" s="6">
        <v>65</v>
      </c>
      <c r="H220" s="1">
        <f>SUM(C220:G220)</f>
        <v>7399</v>
      </c>
      <c r="I220" s="10">
        <f>E220/H220</f>
        <v>0.92742262467901071</v>
      </c>
      <c r="J220" s="11">
        <f>1-I220</f>
        <v>7.257737532098929E-2</v>
      </c>
      <c r="K220">
        <f>H220-E223</f>
        <v>441</v>
      </c>
      <c r="N220" s="10">
        <f>2*(E224*I220)/(E224+I220)</f>
        <v>0.9559100090548166</v>
      </c>
      <c r="O220" s="1"/>
      <c r="P220" s="1"/>
      <c r="S220" s="66" t="s">
        <v>39</v>
      </c>
      <c r="T220" s="67">
        <f t="shared" ref="T220:X228" si="45">AVERAGE(T17,T27,T37,T47,T57,T67,T77,T87,T97,T107,T117,T127,T137,T147,T157,T167,T177,T187,T197,T207)</f>
        <v>0</v>
      </c>
      <c r="U220" s="67">
        <f t="shared" si="45"/>
        <v>0.21924982130103449</v>
      </c>
      <c r="V220" s="67">
        <f t="shared" si="45"/>
        <v>0.22167566028706859</v>
      </c>
      <c r="W220" s="67">
        <f t="shared" si="45"/>
        <v>0.16149300282622986</v>
      </c>
      <c r="X220" s="67">
        <f t="shared" si="45"/>
        <v>0.18561883856996983</v>
      </c>
      <c r="AC220" t="s">
        <v>123</v>
      </c>
      <c r="AD220" t="s">
        <v>162</v>
      </c>
      <c r="AE220" t="s">
        <v>124</v>
      </c>
      <c r="AJ220" t="s">
        <v>416</v>
      </c>
      <c r="AK220">
        <v>4</v>
      </c>
      <c r="AL220" s="1">
        <v>0</v>
      </c>
      <c r="AM220" s="1">
        <v>10.35</v>
      </c>
      <c r="AN220" s="1">
        <v>1263.46</v>
      </c>
      <c r="AO220" s="1">
        <v>420.95</v>
      </c>
      <c r="AP220" s="1">
        <v>105.77</v>
      </c>
      <c r="AR220" s="1">
        <v>270.89999999999998</v>
      </c>
      <c r="AS220" s="1">
        <v>1650.06</v>
      </c>
      <c r="AT220" s="1">
        <v>15477.43</v>
      </c>
      <c r="AU220" s="1">
        <v>2207.2199999999998</v>
      </c>
      <c r="AV220" s="1">
        <v>1917.15</v>
      </c>
      <c r="BF220" s="51"/>
      <c r="BG220" s="1"/>
    </row>
    <row r="221" spans="1:59" x14ac:dyDescent="0.3">
      <c r="A221" t="s">
        <v>6</v>
      </c>
      <c r="B221" s="13">
        <v>3</v>
      </c>
      <c r="C221" s="5">
        <v>0</v>
      </c>
      <c r="D221" s="1">
        <v>0</v>
      </c>
      <c r="E221" s="1">
        <v>19</v>
      </c>
      <c r="F221" s="27">
        <v>2405</v>
      </c>
      <c r="G221" s="6">
        <v>96</v>
      </c>
      <c r="H221" s="1">
        <f>SUM(C221:G221)</f>
        <v>2520</v>
      </c>
      <c r="I221" s="10">
        <f>F221/H221</f>
        <v>0.95436507936507942</v>
      </c>
      <c r="J221" s="11">
        <f>1-I221</f>
        <v>4.5634920634920584E-2</v>
      </c>
      <c r="K221">
        <f>H221-F223</f>
        <v>-83</v>
      </c>
      <c r="N221" s="10">
        <f>2*(F224*I221)/(F224+I221)</f>
        <v>0.93890298653132931</v>
      </c>
      <c r="O221" s="1"/>
      <c r="P221" s="1"/>
      <c r="S221" t="s">
        <v>30</v>
      </c>
      <c r="T221" s="57">
        <f t="shared" si="45"/>
        <v>100</v>
      </c>
      <c r="U221" s="57">
        <f t="shared" si="45"/>
        <v>57.179402113510108</v>
      </c>
      <c r="V221" s="57">
        <f t="shared" si="45"/>
        <v>97.719138235535326</v>
      </c>
      <c r="W221" s="57">
        <f t="shared" si="45"/>
        <v>91.190538349293746</v>
      </c>
      <c r="X221" s="57">
        <f t="shared" si="45"/>
        <v>87.561243420077133</v>
      </c>
      <c r="AB221">
        <v>0</v>
      </c>
      <c r="AC221">
        <v>31</v>
      </c>
      <c r="AD221">
        <v>26</v>
      </c>
      <c r="AE221">
        <v>15</v>
      </c>
      <c r="AJ221" t="s">
        <v>416</v>
      </c>
      <c r="AK221">
        <v>5</v>
      </c>
      <c r="AL221" s="1">
        <v>0</v>
      </c>
      <c r="AM221" s="1">
        <v>10.25</v>
      </c>
      <c r="AN221" s="1">
        <v>1314.87</v>
      </c>
      <c r="AO221" s="1">
        <v>390.04</v>
      </c>
      <c r="AP221" s="1">
        <v>85.38</v>
      </c>
      <c r="AR221" s="1">
        <v>273.88</v>
      </c>
      <c r="AS221" s="1">
        <v>1561.65</v>
      </c>
      <c r="AT221" s="1">
        <v>15874.9</v>
      </c>
      <c r="AU221" s="1">
        <v>2110.98</v>
      </c>
      <c r="AV221" s="1">
        <v>1701.36</v>
      </c>
      <c r="BF221" s="51"/>
      <c r="BG221" s="1"/>
    </row>
    <row r="222" spans="1:59" x14ac:dyDescent="0.3">
      <c r="A222" t="s">
        <v>7</v>
      </c>
      <c r="B222" s="13">
        <v>4</v>
      </c>
      <c r="C222" s="7">
        <v>0</v>
      </c>
      <c r="D222" s="8">
        <v>93</v>
      </c>
      <c r="E222" s="8">
        <v>37</v>
      </c>
      <c r="F222" s="8">
        <v>89</v>
      </c>
      <c r="G222" s="28">
        <v>726</v>
      </c>
      <c r="H222" s="1">
        <f>SUM(C222:G222)</f>
        <v>945</v>
      </c>
      <c r="I222" s="10">
        <f>G222/H222</f>
        <v>0.7682539682539683</v>
      </c>
      <c r="J222" s="11">
        <f>1-I222</f>
        <v>0.2317460317460317</v>
      </c>
      <c r="K222">
        <f>H222-G223</f>
        <v>58</v>
      </c>
      <c r="N222" s="10">
        <f>2*(G224*I222)/(G224+I222)</f>
        <v>0.79257641921397393</v>
      </c>
      <c r="O222" s="1"/>
      <c r="P222" s="1"/>
      <c r="S222" s="66" t="s">
        <v>39</v>
      </c>
      <c r="T222" s="67">
        <f t="shared" si="45"/>
        <v>0</v>
      </c>
      <c r="U222" s="67">
        <f t="shared" si="45"/>
        <v>5.3425225625021495</v>
      </c>
      <c r="V222" s="67">
        <f t="shared" si="45"/>
        <v>0.24073382993527209</v>
      </c>
      <c r="W222" s="67">
        <f t="shared" si="45"/>
        <v>0.66480916861523132</v>
      </c>
      <c r="X222" s="67">
        <f t="shared" si="45"/>
        <v>2.1292696000560221</v>
      </c>
      <c r="AB222">
        <v>1</v>
      </c>
      <c r="AC222">
        <v>60</v>
      </c>
      <c r="AD222">
        <v>55</v>
      </c>
      <c r="AE222">
        <v>44</v>
      </c>
      <c r="AJ222" t="s">
        <v>416</v>
      </c>
      <c r="AK222">
        <v>6</v>
      </c>
      <c r="AL222" s="1">
        <v>0</v>
      </c>
      <c r="AM222" s="1">
        <v>9.6300000000000008</v>
      </c>
      <c r="AN222" s="1">
        <v>1309.69</v>
      </c>
      <c r="AO222" s="1">
        <v>386.94</v>
      </c>
      <c r="AP222" s="1">
        <v>94.28</v>
      </c>
      <c r="AR222" s="1">
        <v>275.41000000000003</v>
      </c>
      <c r="AS222" s="1">
        <v>1618.73</v>
      </c>
      <c r="AT222" s="1">
        <v>15715.28</v>
      </c>
      <c r="AU222" s="1">
        <v>2145.46</v>
      </c>
      <c r="AV222" s="1">
        <v>1767.89</v>
      </c>
      <c r="BF222" s="51"/>
      <c r="BG222" s="1"/>
    </row>
    <row r="223" spans="1:59" ht="15.6" x14ac:dyDescent="0.35">
      <c r="B223" s="1" t="s">
        <v>19</v>
      </c>
      <c r="C223" s="1">
        <f>SUM(C218:C222)</f>
        <v>259</v>
      </c>
      <c r="D223" s="1">
        <f>SUM(D218:D222)</f>
        <v>755</v>
      </c>
      <c r="E223" s="1">
        <f>SUM(E218:E222)</f>
        <v>6958</v>
      </c>
      <c r="F223" s="1">
        <f>SUM(F218:F222)</f>
        <v>2603</v>
      </c>
      <c r="G223" s="1">
        <f>SUM(G218:G222)</f>
        <v>887</v>
      </c>
      <c r="H223" s="1">
        <f>SUM(H217:H222)</f>
        <v>11462</v>
      </c>
      <c r="I223" s="13" t="s">
        <v>12</v>
      </c>
      <c r="N223" s="16" t="s">
        <v>36</v>
      </c>
      <c r="O223" s="1">
        <f>SUM(O218:O222)</f>
        <v>0</v>
      </c>
      <c r="P223" s="1">
        <f>SUM(P218:P222)</f>
        <v>0</v>
      </c>
      <c r="S223" s="15" t="s">
        <v>31</v>
      </c>
      <c r="T223" s="71">
        <f t="shared" si="45"/>
        <v>100</v>
      </c>
      <c r="U223" s="71">
        <f t="shared" si="45"/>
        <v>86.651917404129776</v>
      </c>
      <c r="V223" s="71">
        <f t="shared" si="45"/>
        <v>93.142316529260697</v>
      </c>
      <c r="W223" s="71">
        <f t="shared" si="45"/>
        <v>95.478174603174608</v>
      </c>
      <c r="X223" s="71">
        <f t="shared" si="45"/>
        <v>76.920634920634924</v>
      </c>
      <c r="AB223">
        <v>2</v>
      </c>
      <c r="AC223">
        <v>89</v>
      </c>
      <c r="AD223">
        <v>84</v>
      </c>
      <c r="AE223">
        <v>73</v>
      </c>
      <c r="AJ223" t="s">
        <v>416</v>
      </c>
      <c r="AK223">
        <v>7</v>
      </c>
      <c r="AL223" s="1">
        <v>0</v>
      </c>
      <c r="AM223" s="1">
        <v>11.11</v>
      </c>
      <c r="AN223" s="1">
        <v>1302.1600000000001</v>
      </c>
      <c r="AO223" s="1">
        <v>396.02</v>
      </c>
      <c r="AP223" s="1">
        <v>91.25</v>
      </c>
      <c r="AR223" s="1">
        <v>272.7</v>
      </c>
      <c r="AS223" s="1">
        <v>1670.77</v>
      </c>
      <c r="AT223" s="1">
        <v>15639.21</v>
      </c>
      <c r="AU223" s="1">
        <v>2172.11</v>
      </c>
      <c r="AV223" s="1">
        <v>1767.98</v>
      </c>
      <c r="BF223" s="51"/>
      <c r="BG223" s="1"/>
    </row>
    <row r="224" spans="1:59" x14ac:dyDescent="0.3">
      <c r="A224" s="1" t="s">
        <v>321</v>
      </c>
      <c r="B224" s="1" t="s">
        <v>2</v>
      </c>
      <c r="C224" s="10">
        <f>C218/C223</f>
        <v>1</v>
      </c>
      <c r="D224" s="10">
        <f>D219/D223</f>
        <v>0.39602649006622515</v>
      </c>
      <c r="E224" s="10">
        <f>E220/E223</f>
        <v>0.98620293187697616</v>
      </c>
      <c r="F224" s="10">
        <f>F221/F223</f>
        <v>0.92393392239723393</v>
      </c>
      <c r="G224" s="10">
        <f>G222/G223</f>
        <v>0.81848928974069901</v>
      </c>
      <c r="H224" s="10"/>
      <c r="I224" s="14">
        <f>(C218+D219+E220+F221+G222)/H223</f>
        <v>0.92051997906124583</v>
      </c>
      <c r="S224" s="75" t="s">
        <v>39</v>
      </c>
      <c r="T224" s="76">
        <f t="shared" si="45"/>
        <v>0</v>
      </c>
      <c r="U224" s="76">
        <f t="shared" si="45"/>
        <v>1.8466390592936075</v>
      </c>
      <c r="V224" s="76">
        <f t="shared" si="45"/>
        <v>0.29351335426923164</v>
      </c>
      <c r="W224" s="76">
        <f t="shared" si="45"/>
        <v>0.41377554220551327</v>
      </c>
      <c r="X224" s="76">
        <f t="shared" si="45"/>
        <v>1.3708821357714722</v>
      </c>
      <c r="AB224">
        <v>3</v>
      </c>
      <c r="AC224">
        <v>118</v>
      </c>
      <c r="AD224">
        <v>113</v>
      </c>
      <c r="AE224">
        <v>102</v>
      </c>
      <c r="AJ224" t="s">
        <v>416</v>
      </c>
      <c r="AK224">
        <v>8</v>
      </c>
      <c r="AL224" s="1">
        <v>0</v>
      </c>
      <c r="AM224" s="1">
        <v>10.52</v>
      </c>
      <c r="AN224" s="1">
        <v>1296.67</v>
      </c>
      <c r="AO224" s="1">
        <v>405.08</v>
      </c>
      <c r="AP224" s="1">
        <v>88.26</v>
      </c>
      <c r="AR224" s="1">
        <v>269.64</v>
      </c>
      <c r="AS224" s="1">
        <v>1560.3</v>
      </c>
      <c r="AT224" s="1">
        <v>15743.64</v>
      </c>
      <c r="AU224" s="1">
        <v>2216.77</v>
      </c>
      <c r="AV224" s="1">
        <v>1732.41</v>
      </c>
      <c r="BF224" s="51"/>
      <c r="BG224" s="1"/>
    </row>
    <row r="225" spans="1:59" x14ac:dyDescent="0.3">
      <c r="B225" s="1" t="s">
        <v>14</v>
      </c>
      <c r="C225" s="11">
        <f>1-C224</f>
        <v>0</v>
      </c>
      <c r="D225" s="11">
        <f>1-D224</f>
        <v>0.60397350993377485</v>
      </c>
      <c r="E225" s="11">
        <f>1-E224</f>
        <v>1.3797068123023837E-2</v>
      </c>
      <c r="F225" s="11">
        <f>1-F224</f>
        <v>7.6066077602766069E-2</v>
      </c>
      <c r="G225" s="11">
        <f>1-G224</f>
        <v>0.18151071025930099</v>
      </c>
      <c r="S225" s="66" t="s">
        <v>56</v>
      </c>
      <c r="T225" s="67">
        <f t="shared" si="45"/>
        <v>100</v>
      </c>
      <c r="U225" s="67">
        <f t="shared" si="45"/>
        <v>54.4913437857047</v>
      </c>
      <c r="V225" s="67">
        <f t="shared" si="45"/>
        <v>95.838817601898171</v>
      </c>
      <c r="W225" s="67">
        <f t="shared" si="45"/>
        <v>93.952482737523212</v>
      </c>
      <c r="X225" s="67">
        <f t="shared" si="45"/>
        <v>79.73031305342947</v>
      </c>
      <c r="AB225">
        <v>4</v>
      </c>
      <c r="AC225">
        <v>147</v>
      </c>
      <c r="AD225">
        <v>142</v>
      </c>
      <c r="AE225">
        <v>131</v>
      </c>
      <c r="AJ225" t="s">
        <v>416</v>
      </c>
      <c r="AK225">
        <v>9</v>
      </c>
      <c r="AL225" s="1">
        <v>0</v>
      </c>
      <c r="AM225" s="1">
        <v>10.41</v>
      </c>
      <c r="AN225" s="1">
        <v>1310.48</v>
      </c>
      <c r="AO225" s="1">
        <v>390.7</v>
      </c>
      <c r="AP225" s="1">
        <v>88.96</v>
      </c>
      <c r="AR225" s="1">
        <v>267.93</v>
      </c>
      <c r="AS225" s="1">
        <v>1563.19</v>
      </c>
      <c r="AT225" s="1">
        <v>15786.85</v>
      </c>
      <c r="AU225" s="1">
        <v>2094.15</v>
      </c>
      <c r="AV225" s="1">
        <v>1810.65</v>
      </c>
      <c r="BF225" s="51"/>
      <c r="BG225" s="1"/>
    </row>
    <row r="226" spans="1:59" x14ac:dyDescent="0.3">
      <c r="C226" s="2"/>
      <c r="R226" s="16" t="s">
        <v>66</v>
      </c>
      <c r="S226" t="s">
        <v>9</v>
      </c>
      <c r="T226" s="1">
        <f t="shared" si="45"/>
        <v>2531.4524999999999</v>
      </c>
      <c r="U226" s="1">
        <f t="shared" si="45"/>
        <v>11069.595000000001</v>
      </c>
      <c r="V226" s="1">
        <f t="shared" si="45"/>
        <v>106994.75</v>
      </c>
      <c r="W226" s="1">
        <f t="shared" si="45"/>
        <v>37367.996499999994</v>
      </c>
      <c r="X226" s="1">
        <f t="shared" si="45"/>
        <v>20352.357500000002</v>
      </c>
      <c r="AB226">
        <v>5</v>
      </c>
      <c r="AC226">
        <v>176</v>
      </c>
      <c r="AD226">
        <v>171</v>
      </c>
      <c r="AE226">
        <v>160</v>
      </c>
      <c r="AJ226" t="s">
        <v>416</v>
      </c>
      <c r="AK226">
        <v>10</v>
      </c>
      <c r="AL226" s="1">
        <v>0</v>
      </c>
      <c r="AM226" s="1">
        <v>10.08</v>
      </c>
      <c r="AN226" s="1">
        <v>1299.8599999999999</v>
      </c>
      <c r="AO226" s="1">
        <v>398.93</v>
      </c>
      <c r="AP226" s="1">
        <v>91.68</v>
      </c>
      <c r="AR226" s="1">
        <v>273.24</v>
      </c>
      <c r="AS226" s="1">
        <v>1556.97</v>
      </c>
      <c r="AT226" s="1">
        <v>15787.75</v>
      </c>
      <c r="AU226" s="1">
        <v>2178.41</v>
      </c>
      <c r="AV226" s="1">
        <v>1726.38</v>
      </c>
      <c r="BF226" s="51"/>
      <c r="BG226" s="1"/>
    </row>
    <row r="227" spans="1:59" ht="15.6" x14ac:dyDescent="0.35">
      <c r="A227" t="s">
        <v>322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323</v>
      </c>
      <c r="S227" t="s">
        <v>68</v>
      </c>
      <c r="T227" s="57">
        <f>AVERAGE(T24,T34,T44,T54,T64,T74,T84,T94,T104,T114,T124,T134,T144,T154,T164,T174,T184,T194,T204,T214)</f>
        <v>2531.4524999999999</v>
      </c>
      <c r="U227" s="57">
        <f t="shared" si="45"/>
        <v>16791.706731033653</v>
      </c>
      <c r="V227" s="57">
        <f t="shared" si="45"/>
        <v>101986.41791234509</v>
      </c>
      <c r="W227" s="57">
        <f t="shared" si="45"/>
        <v>39126.189089988708</v>
      </c>
      <c r="X227" s="57">
        <f t="shared" si="45"/>
        <v>17880.385266632562</v>
      </c>
      <c r="AB227">
        <v>6</v>
      </c>
      <c r="AC227">
        <v>205</v>
      </c>
      <c r="AD227">
        <v>200</v>
      </c>
      <c r="AE227">
        <v>189</v>
      </c>
      <c r="AJ227" t="s">
        <v>416</v>
      </c>
      <c r="AK227">
        <v>11</v>
      </c>
      <c r="AL227" s="1">
        <v>0</v>
      </c>
      <c r="AM227" s="1">
        <v>9.8800000000000008</v>
      </c>
      <c r="AN227" s="1">
        <v>1318.26</v>
      </c>
      <c r="AO227" s="1">
        <v>387.61</v>
      </c>
      <c r="AP227" s="1">
        <v>84.79</v>
      </c>
      <c r="AR227" s="1">
        <v>263.16000000000003</v>
      </c>
      <c r="AS227" s="1">
        <v>1588.66</v>
      </c>
      <c r="AT227" s="1">
        <v>15785.14</v>
      </c>
      <c r="AU227" s="1">
        <v>2137.81</v>
      </c>
      <c r="AV227" s="1">
        <v>1747.99</v>
      </c>
      <c r="BF227" s="51"/>
      <c r="BG227" s="1"/>
    </row>
    <row r="228" spans="1:59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67</v>
      </c>
      <c r="T228" s="67">
        <f>AVERAGE(T25,T35,T45,T55,T65,T75,T85,T95,T105,T115,T125,T135,T145,T155,T165,T175,T185,T195,T205,T215)</f>
        <v>0</v>
      </c>
      <c r="U228" s="67">
        <f t="shared" si="45"/>
        <v>390.95784361308159</v>
      </c>
      <c r="V228" s="67">
        <f t="shared" si="45"/>
        <v>395.28350631208752</v>
      </c>
      <c r="W228" s="67">
        <f t="shared" si="45"/>
        <v>287.9681076042358</v>
      </c>
      <c r="X228" s="67">
        <f t="shared" si="45"/>
        <v>330.98836945479098</v>
      </c>
      <c r="AB228">
        <v>7</v>
      </c>
      <c r="AC228">
        <v>234</v>
      </c>
      <c r="AD228">
        <v>229</v>
      </c>
      <c r="AE228">
        <v>218</v>
      </c>
      <c r="AJ228" t="s">
        <v>416</v>
      </c>
      <c r="AK228">
        <v>12</v>
      </c>
      <c r="AL228" s="1">
        <v>0</v>
      </c>
      <c r="AM228" s="1">
        <v>9.2200000000000006</v>
      </c>
      <c r="AN228" s="1">
        <v>1299.04</v>
      </c>
      <c r="AO228" s="1">
        <v>398.62</v>
      </c>
      <c r="AP228" s="1">
        <v>93.66</v>
      </c>
      <c r="AR228" s="1">
        <v>273.24</v>
      </c>
      <c r="AS228" s="1">
        <v>1517.81</v>
      </c>
      <c r="AT228" s="1">
        <v>15744.54</v>
      </c>
      <c r="AU228" s="1">
        <v>2219.02</v>
      </c>
      <c r="AV228" s="1">
        <v>1768.16</v>
      </c>
      <c r="BF228" s="51"/>
      <c r="BG228" s="1"/>
    </row>
    <row r="229" spans="1:59" x14ac:dyDescent="0.3">
      <c r="A229" t="s">
        <v>3</v>
      </c>
      <c r="B229" s="13">
        <v>0</v>
      </c>
      <c r="C229" s="29">
        <f>(C218/$L229)*$O229</f>
        <v>1.4369758431863857</v>
      </c>
      <c r="D229" s="31">
        <f>(D218/$L229)*$O229</f>
        <v>0</v>
      </c>
      <c r="E229" s="31">
        <f>(E218/$L229)*$O229</f>
        <v>0</v>
      </c>
      <c r="F229" s="31">
        <f>(F218/$L229)*$O229</f>
        <v>0</v>
      </c>
      <c r="G229" s="32">
        <f>(G218/$L229)*$O229</f>
        <v>0</v>
      </c>
      <c r="H229" s="17">
        <f>SUM(C229:G229)</f>
        <v>1.4369758431863857</v>
      </c>
      <c r="I229" s="17">
        <f>C229/H229*100</f>
        <v>100</v>
      </c>
      <c r="J229" s="17">
        <f>SQRT(I229*(100-I229)/(L229-1))</f>
        <v>0</v>
      </c>
      <c r="K229" s="18">
        <f>100-I229</f>
        <v>0</v>
      </c>
      <c r="L229" s="1">
        <f>H218</f>
        <v>259</v>
      </c>
      <c r="M229">
        <v>0</v>
      </c>
      <c r="N229" s="1">
        <v>2562.36</v>
      </c>
      <c r="O229" s="17">
        <f>N229/N234*100</f>
        <v>1.4369758431863857</v>
      </c>
      <c r="P229" s="52">
        <f>((O229*O229*(I229/100)*(K229/100))/(L229-1))</f>
        <v>0</v>
      </c>
      <c r="AB229">
        <v>8</v>
      </c>
      <c r="AC229">
        <v>263</v>
      </c>
      <c r="AD229">
        <v>258</v>
      </c>
      <c r="AE229">
        <v>247</v>
      </c>
      <c r="AJ229" t="s">
        <v>416</v>
      </c>
      <c r="AK229">
        <v>13</v>
      </c>
      <c r="AL229" s="1">
        <v>0</v>
      </c>
      <c r="AM229" s="1">
        <v>11.07</v>
      </c>
      <c r="AN229" s="1">
        <v>1312.01</v>
      </c>
      <c r="AO229" s="1">
        <v>384.83</v>
      </c>
      <c r="AP229" s="1">
        <v>92.64</v>
      </c>
      <c r="AR229" s="1">
        <v>266.39999999999998</v>
      </c>
      <c r="AS229" s="1">
        <v>1572.28</v>
      </c>
      <c r="AT229" s="1">
        <v>15770.29</v>
      </c>
      <c r="AU229" s="1">
        <v>2150.7800000000002</v>
      </c>
      <c r="AV229" s="1">
        <v>1763.03</v>
      </c>
      <c r="BF229" s="51"/>
      <c r="BG229" s="1"/>
    </row>
    <row r="230" spans="1:59" x14ac:dyDescent="0.3">
      <c r="A230" t="s">
        <v>4</v>
      </c>
      <c r="B230" s="13">
        <v>1</v>
      </c>
      <c r="C230" s="33">
        <f t="shared" ref="C230:G233" si="46">(C219/$L230)*$O230</f>
        <v>0</v>
      </c>
      <c r="D230" s="34">
        <f t="shared" si="46"/>
        <v>5.5646069253168644</v>
      </c>
      <c r="E230" s="19">
        <f t="shared" si="46"/>
        <v>0.74442902010927958</v>
      </c>
      <c r="F230" s="18">
        <f t="shared" si="46"/>
        <v>0</v>
      </c>
      <c r="G230" s="20">
        <f t="shared" si="46"/>
        <v>0</v>
      </c>
      <c r="H230" s="17">
        <f>SUM(C230:G230)</f>
        <v>6.3090359454261442</v>
      </c>
      <c r="I230" s="17">
        <f>D230/H230*100</f>
        <v>88.200589970501468</v>
      </c>
      <c r="J230" s="17">
        <f>SQRT(I230*(100-I230)/(L230-1))</f>
        <v>1.7547188499370283</v>
      </c>
      <c r="K230" s="18">
        <f>100-I230</f>
        <v>11.799410029498532</v>
      </c>
      <c r="L230" s="1">
        <f>H219</f>
        <v>339</v>
      </c>
      <c r="M230">
        <v>1</v>
      </c>
      <c r="N230" s="1">
        <v>11250.03</v>
      </c>
      <c r="O230" s="17">
        <f>N230/N234*100</f>
        <v>6.3090359454261442</v>
      </c>
      <c r="P230" s="52">
        <f>((O230*O230*(I230/100)*(K230/100))/(L230-1))</f>
        <v>1.2255783670730611E-2</v>
      </c>
      <c r="S230" t="s">
        <v>69</v>
      </c>
      <c r="T230" s="1" t="s">
        <v>418</v>
      </c>
      <c r="U230" s="1" t="s">
        <v>419</v>
      </c>
      <c r="V230" s="1" t="s">
        <v>420</v>
      </c>
      <c r="W230" s="1" t="s">
        <v>421</v>
      </c>
      <c r="X230" s="1" t="s">
        <v>422</v>
      </c>
      <c r="AB230">
        <v>9</v>
      </c>
      <c r="AC230">
        <v>292</v>
      </c>
      <c r="AD230">
        <v>287</v>
      </c>
      <c r="AE230">
        <v>276</v>
      </c>
      <c r="AJ230" t="s">
        <v>416</v>
      </c>
      <c r="AK230">
        <v>14</v>
      </c>
      <c r="AL230" s="1">
        <v>0</v>
      </c>
      <c r="AM230" s="1">
        <v>11.26</v>
      </c>
      <c r="AN230" s="1">
        <v>1299.71</v>
      </c>
      <c r="AO230" s="1">
        <v>388.87</v>
      </c>
      <c r="AP230" s="1">
        <v>100.7</v>
      </c>
      <c r="AR230" s="1">
        <v>269.91000000000003</v>
      </c>
      <c r="AS230" s="1">
        <v>1698.59</v>
      </c>
      <c r="AT230" s="1">
        <v>15537.38</v>
      </c>
      <c r="AU230" s="1">
        <v>2169.6799999999998</v>
      </c>
      <c r="AV230" s="1">
        <v>1847.2</v>
      </c>
      <c r="BF230" s="51"/>
      <c r="BG230" s="1"/>
    </row>
    <row r="231" spans="1:59" x14ac:dyDescent="0.3">
      <c r="A231" t="s">
        <v>5</v>
      </c>
      <c r="B231" s="13">
        <v>2</v>
      </c>
      <c r="C231" s="33">
        <f t="shared" si="46"/>
        <v>0</v>
      </c>
      <c r="D231" s="19">
        <f t="shared" si="46"/>
        <v>2.9292014946434599</v>
      </c>
      <c r="E231" s="34">
        <f t="shared" si="46"/>
        <v>55.372398502047993</v>
      </c>
      <c r="F231" s="19">
        <f t="shared" si="46"/>
        <v>0.87956739095354575</v>
      </c>
      <c r="G231" s="20">
        <f t="shared" si="46"/>
        <v>0.52451266433009613</v>
      </c>
      <c r="H231" s="17">
        <f>SUM(C231:G231)</f>
        <v>59.705680051975094</v>
      </c>
      <c r="I231" s="17">
        <f>E231/H231*100</f>
        <v>92.742262467901071</v>
      </c>
      <c r="J231" s="17">
        <f>SQRT(I231*(100-I231)/(L231-1))</f>
        <v>0.30163539986751903</v>
      </c>
      <c r="K231" s="18">
        <f>100-I231</f>
        <v>7.257737532098929</v>
      </c>
      <c r="L231" s="1">
        <f>H220</f>
        <v>7399</v>
      </c>
      <c r="M231">
        <v>2</v>
      </c>
      <c r="N231" s="1">
        <v>106464.87</v>
      </c>
      <c r="O231" s="17">
        <f>N231/N234*100</f>
        <v>59.705680051975094</v>
      </c>
      <c r="P231" s="52">
        <f>((O231*O231*(I231/100)*(K231/100))/(L231-1))</f>
        <v>3.2433656772659573E-2</v>
      </c>
      <c r="T231" s="57">
        <f>T24</f>
        <v>2514.73</v>
      </c>
      <c r="U231" s="57">
        <f>U24</f>
        <v>16531.154848828734</v>
      </c>
      <c r="V231" s="57">
        <f>V24</f>
        <v>102322.43979730715</v>
      </c>
      <c r="W231" s="57">
        <f>W24</f>
        <v>39356.724823046665</v>
      </c>
      <c r="X231" s="57">
        <f>X24</f>
        <v>17591.100530817475</v>
      </c>
      <c r="AB231">
        <v>10</v>
      </c>
      <c r="AC231">
        <v>321</v>
      </c>
      <c r="AD231">
        <v>316</v>
      </c>
      <c r="AE231">
        <v>305</v>
      </c>
      <c r="AJ231" t="s">
        <v>416</v>
      </c>
      <c r="AK231">
        <v>15</v>
      </c>
      <c r="AL231" s="1">
        <v>0</v>
      </c>
      <c r="AM231" s="1">
        <v>9.51</v>
      </c>
      <c r="AN231" s="1">
        <v>1304.2</v>
      </c>
      <c r="AO231" s="1">
        <v>392.52</v>
      </c>
      <c r="AP231" s="1">
        <v>94.31</v>
      </c>
      <c r="AR231" s="1">
        <v>269.73</v>
      </c>
      <c r="AS231" s="1">
        <v>1653.12</v>
      </c>
      <c r="AT231" s="1">
        <v>15631.37</v>
      </c>
      <c r="AU231" s="1">
        <v>2236.39</v>
      </c>
      <c r="AV231" s="1">
        <v>1732.15</v>
      </c>
      <c r="BF231" s="51"/>
      <c r="BG231" s="1"/>
    </row>
    <row r="232" spans="1:59" x14ac:dyDescent="0.3">
      <c r="A232" t="s">
        <v>6</v>
      </c>
      <c r="B232" s="13">
        <v>3</v>
      </c>
      <c r="C232" s="33">
        <f t="shared" si="46"/>
        <v>0</v>
      </c>
      <c r="D232" s="19">
        <f t="shared" si="46"/>
        <v>0</v>
      </c>
      <c r="E232" s="19">
        <f t="shared" si="46"/>
        <v>0.15816681784500741</v>
      </c>
      <c r="F232" s="34">
        <f t="shared" si="46"/>
        <v>20.020589311433834</v>
      </c>
      <c r="G232" s="20">
        <f t="shared" si="46"/>
        <v>0.79915865858530066</v>
      </c>
      <c r="H232" s="17">
        <f>SUM(C232:G232)</f>
        <v>20.977914787864144</v>
      </c>
      <c r="I232" s="17">
        <f>F232/H232*100</f>
        <v>95.436507936507937</v>
      </c>
      <c r="J232" s="17">
        <f>SQRT(I232*(100-I232)/(L232-1))</f>
        <v>0.41580703802179714</v>
      </c>
      <c r="K232" s="18">
        <f>100-I232</f>
        <v>4.5634920634920633</v>
      </c>
      <c r="L232" s="1">
        <f>H221</f>
        <v>2520</v>
      </c>
      <c r="M232">
        <v>3</v>
      </c>
      <c r="N232" s="1">
        <v>37407.01</v>
      </c>
      <c r="O232" s="17">
        <f>N232/N234*100</f>
        <v>20.97791478786414</v>
      </c>
      <c r="P232" s="52">
        <f>((O232*O232*(I232/100)*(K232/100))/(L232-1))</f>
        <v>7.6086622473139839E-3</v>
      </c>
      <c r="T232" s="57">
        <f>T34</f>
        <v>2549.1299999999997</v>
      </c>
      <c r="U232" s="57">
        <f>U34</f>
        <v>15722.72212818044</v>
      </c>
      <c r="V232" s="57">
        <f>V34</f>
        <v>103602.97382075785</v>
      </c>
      <c r="W232" s="57">
        <f>W34</f>
        <v>38619.207371246361</v>
      </c>
      <c r="X232" s="57">
        <f>X34</f>
        <v>17822.116679815339</v>
      </c>
      <c r="AB232">
        <v>11</v>
      </c>
      <c r="AC232">
        <v>350</v>
      </c>
      <c r="AD232">
        <v>345</v>
      </c>
      <c r="AE232">
        <v>334</v>
      </c>
      <c r="AJ232" t="s">
        <v>416</v>
      </c>
      <c r="AK232">
        <v>16</v>
      </c>
      <c r="AL232" s="1">
        <v>0</v>
      </c>
      <c r="AM232" s="1">
        <v>10.039999999999999</v>
      </c>
      <c r="AN232" s="1">
        <v>1319.19</v>
      </c>
      <c r="AO232" s="1">
        <v>392.23</v>
      </c>
      <c r="AP232" s="1">
        <v>79.069999999999993</v>
      </c>
      <c r="AR232" s="1">
        <v>272.79000000000002</v>
      </c>
      <c r="AS232" s="1">
        <v>1541.67</v>
      </c>
      <c r="AT232" s="1">
        <v>15910.73</v>
      </c>
      <c r="AU232" s="1">
        <v>2151.14</v>
      </c>
      <c r="AV232" s="1">
        <v>1646.44</v>
      </c>
      <c r="BF232" s="51"/>
      <c r="BG232" s="1"/>
    </row>
    <row r="233" spans="1:59" x14ac:dyDescent="0.3">
      <c r="A233" t="s">
        <v>7</v>
      </c>
      <c r="B233" s="13">
        <v>4</v>
      </c>
      <c r="C233" s="35">
        <f t="shared" si="46"/>
        <v>0</v>
      </c>
      <c r="D233" s="36">
        <f t="shared" si="46"/>
        <v>1.1386736333904608</v>
      </c>
      <c r="E233" s="21">
        <f t="shared" si="46"/>
        <v>0.45302069285426938</v>
      </c>
      <c r="F233" s="21">
        <f t="shared" si="46"/>
        <v>1.0896984233521616</v>
      </c>
      <c r="G233" s="37">
        <f t="shared" si="46"/>
        <v>8.8890006219513396</v>
      </c>
      <c r="H233" s="17">
        <f>SUM(C233:G233)</f>
        <v>11.570393371548231</v>
      </c>
      <c r="I233" s="17">
        <f>G233/H233*100</f>
        <v>76.825396825396822</v>
      </c>
      <c r="J233" s="17">
        <f>SQRT(I233*(100-I233)/(L233-1))</f>
        <v>1.3733225843625847</v>
      </c>
      <c r="K233" s="18">
        <f>100-I233</f>
        <v>23.174603174603178</v>
      </c>
      <c r="L233" s="1">
        <f>H222</f>
        <v>945</v>
      </c>
      <c r="M233">
        <v>4</v>
      </c>
      <c r="N233" s="1">
        <v>20631.88</v>
      </c>
      <c r="O233" s="17">
        <f>N233/N234*100</f>
        <v>11.570393371548231</v>
      </c>
      <c r="P233" s="52">
        <f>((O233*O233*(I233/100)*(K233/100))/(L233-1))</f>
        <v>2.5248836672523926E-2</v>
      </c>
      <c r="T233" s="57">
        <f>T44</f>
        <v>2545.89</v>
      </c>
      <c r="U233" s="57">
        <f>U44</f>
        <v>15434.869421163467</v>
      </c>
      <c r="V233" s="57">
        <f>V44</f>
        <v>103368.08768028542</v>
      </c>
      <c r="W233" s="57">
        <f>W44</f>
        <v>38805.096006859036</v>
      </c>
      <c r="X233" s="57">
        <f>X44</f>
        <v>18162.206891692073</v>
      </c>
      <c r="AB233">
        <v>12</v>
      </c>
      <c r="AC233">
        <v>379</v>
      </c>
      <c r="AD233">
        <v>374</v>
      </c>
      <c r="AE233">
        <v>363</v>
      </c>
      <c r="AJ233" t="s">
        <v>416</v>
      </c>
      <c r="AK233">
        <v>17</v>
      </c>
      <c r="AL233" s="1">
        <v>0</v>
      </c>
      <c r="AM233" s="1">
        <v>11.47</v>
      </c>
      <c r="AN233" s="1">
        <v>1306.08</v>
      </c>
      <c r="AO233" s="1">
        <v>391.31</v>
      </c>
      <c r="AP233" s="1">
        <v>91.68</v>
      </c>
      <c r="AR233" s="1">
        <v>269.82</v>
      </c>
      <c r="AS233" s="1">
        <v>1644.12</v>
      </c>
      <c r="AT233" s="1">
        <v>15677.38</v>
      </c>
      <c r="AU233" s="1">
        <v>2172.65</v>
      </c>
      <c r="AV233" s="1">
        <v>1758.79</v>
      </c>
      <c r="BF233" s="51"/>
      <c r="BG233" s="1"/>
    </row>
    <row r="234" spans="1:59" x14ac:dyDescent="0.3">
      <c r="B234" t="s">
        <v>28</v>
      </c>
      <c r="C234" s="17">
        <f>SUM(C229:C233)</f>
        <v>1.4369758431863857</v>
      </c>
      <c r="D234" s="17">
        <f>SUM(D229:D233)</f>
        <v>9.6324820533507847</v>
      </c>
      <c r="E234" s="17">
        <f>SUM(E229:E233)</f>
        <v>56.728015032856547</v>
      </c>
      <c r="F234" s="17">
        <f>SUM(F229:F233)</f>
        <v>21.989855125739542</v>
      </c>
      <c r="G234" s="17">
        <f>SUM(G229:G233)</f>
        <v>10.212671944866736</v>
      </c>
      <c r="H234" s="1">
        <f>SUM(H228:H233)</f>
        <v>100.00000000000001</v>
      </c>
      <c r="I234" s="13" t="s">
        <v>24</v>
      </c>
      <c r="J234" s="12" t="s">
        <v>29</v>
      </c>
      <c r="N234" s="1">
        <f>SUM(N229:N233)</f>
        <v>178316.15</v>
      </c>
      <c r="O234" s="17">
        <f>SUM(O229:O233)</f>
        <v>100</v>
      </c>
      <c r="T234" s="57">
        <f>T54</f>
        <v>2539.4899999999998</v>
      </c>
      <c r="U234" s="57">
        <f>U54</f>
        <v>16026.808680682487</v>
      </c>
      <c r="V234" s="57">
        <f>V54</f>
        <v>102602.59120231973</v>
      </c>
      <c r="W234" s="57">
        <f>W54</f>
        <v>39115.329978810951</v>
      </c>
      <c r="X234" s="57">
        <f>X54</f>
        <v>18031.930138186839</v>
      </c>
      <c r="AB234">
        <v>13</v>
      </c>
      <c r="AC234">
        <v>408</v>
      </c>
      <c r="AD234">
        <v>403</v>
      </c>
      <c r="AE234">
        <v>392</v>
      </c>
      <c r="AJ234" t="s">
        <v>416</v>
      </c>
      <c r="AK234">
        <v>18</v>
      </c>
      <c r="AL234" s="1">
        <v>0</v>
      </c>
      <c r="AM234" s="1">
        <v>10.4</v>
      </c>
      <c r="AN234" s="1">
        <v>1292.71</v>
      </c>
      <c r="AO234" s="1">
        <v>401.86</v>
      </c>
      <c r="AP234" s="1">
        <v>95.58</v>
      </c>
      <c r="AR234" s="1">
        <v>272.43</v>
      </c>
      <c r="AS234" s="1">
        <v>1527.62</v>
      </c>
      <c r="AT234" s="1">
        <v>15722.66</v>
      </c>
      <c r="AU234" s="1">
        <v>2200.02</v>
      </c>
      <c r="AV234" s="1">
        <v>1800.03</v>
      </c>
      <c r="BF234" s="51"/>
      <c r="BG234" s="1"/>
    </row>
    <row r="235" spans="1:59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0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0.2174088628112498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0.22646229534515422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0.16335294875712897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0.18925292350339198</v>
      </c>
      <c r="H235" s="1"/>
      <c r="I235" s="14">
        <f>(C229+D230+E231+F232+G233)/H234</f>
        <v>0.91283571203936409</v>
      </c>
      <c r="J235" s="53">
        <f>SQRT(SUM(P229:P233))/100</f>
        <v>2.7847251096513653E-3</v>
      </c>
      <c r="M235" s="1"/>
      <c r="N235" s="9"/>
      <c r="T235" s="57">
        <f>T64</f>
        <v>2535.08</v>
      </c>
      <c r="U235" s="57">
        <f>U64</f>
        <v>17855.143208838053</v>
      </c>
      <c r="V235" s="57">
        <f>V64</f>
        <v>99704.188094896686</v>
      </c>
      <c r="W235" s="57">
        <f>W64</f>
        <v>40390.264737907521</v>
      </c>
      <c r="X235" s="57">
        <f>X64</f>
        <v>17831.473958357739</v>
      </c>
      <c r="AB235">
        <v>14</v>
      </c>
      <c r="AC235">
        <v>437</v>
      </c>
      <c r="AD235">
        <v>432</v>
      </c>
      <c r="AE235">
        <v>421</v>
      </c>
      <c r="AJ235" t="s">
        <v>416</v>
      </c>
      <c r="AK235">
        <v>19</v>
      </c>
      <c r="AL235" s="1">
        <v>0</v>
      </c>
      <c r="AM235" s="1">
        <v>11.99</v>
      </c>
      <c r="AN235" s="1">
        <v>1296.3599999999999</v>
      </c>
      <c r="AO235" s="1">
        <v>397.25</v>
      </c>
      <c r="AP235" s="1">
        <v>94.95</v>
      </c>
      <c r="AR235" s="1">
        <v>271.44</v>
      </c>
      <c r="AS235" s="1">
        <v>1662.67</v>
      </c>
      <c r="AT235" s="1">
        <v>15617.51</v>
      </c>
      <c r="AU235" s="1">
        <v>2161.2199999999998</v>
      </c>
      <c r="AV235" s="1">
        <v>1809.93</v>
      </c>
      <c r="BF235" s="51"/>
      <c r="BG235" s="1"/>
    </row>
    <row r="236" spans="1:59" x14ac:dyDescent="0.3">
      <c r="B236" s="1" t="s">
        <v>30</v>
      </c>
      <c r="C236" s="17">
        <f>C229/C234*100</f>
        <v>100</v>
      </c>
      <c r="D236" s="17">
        <f>D230/D234*100</f>
        <v>57.769190687265734</v>
      </c>
      <c r="E236" s="17">
        <f>E231/E234*100</f>
        <v>97.610322642131251</v>
      </c>
      <c r="F236" s="17">
        <f>F232/F234*100</f>
        <v>91.044662172418569</v>
      </c>
      <c r="G236" s="17">
        <f>G233/G234*100</f>
        <v>87.038932317994195</v>
      </c>
      <c r="H236" s="1"/>
      <c r="T236" s="57">
        <f>T74</f>
        <v>2528.2399999999998</v>
      </c>
      <c r="U236" s="57">
        <f>U74</f>
        <v>17238.741162255352</v>
      </c>
      <c r="V236" s="57">
        <f>V74</f>
        <v>102405.02749064569</v>
      </c>
      <c r="W236" s="57">
        <f>W74</f>
        <v>38509.943958432821</v>
      </c>
      <c r="X236" s="57">
        <f>X74</f>
        <v>17634.197388666136</v>
      </c>
      <c r="AB236">
        <v>15</v>
      </c>
      <c r="AC236">
        <v>466</v>
      </c>
      <c r="AD236">
        <v>461</v>
      </c>
      <c r="AE236">
        <v>450</v>
      </c>
      <c r="BF236" s="51"/>
      <c r="BG236" s="1"/>
    </row>
    <row r="237" spans="1:59" x14ac:dyDescent="0.3">
      <c r="B237" s="16" t="s">
        <v>39</v>
      </c>
      <c r="C237" s="18">
        <f>SQRT((C240+C241)/(C234*C234))</f>
        <v>0</v>
      </c>
      <c r="D237" s="18">
        <f>SQRT((D240+D241)/(D234*D234))</f>
        <v>4.9818016135513146</v>
      </c>
      <c r="E237" s="18">
        <f>SQRT((E240+E241)/(E234*E234))</f>
        <v>0.24841023049168512</v>
      </c>
      <c r="F237" s="18">
        <f>SQRT((F240+F241)/(F234*F234))</f>
        <v>0.67340394071303911</v>
      </c>
      <c r="G237" s="18">
        <f>SQRT((G240+G241)/(G234*G234))</f>
        <v>2.199200806452255</v>
      </c>
      <c r="H237" s="1"/>
      <c r="T237" s="57">
        <f>T84</f>
        <v>2499.79</v>
      </c>
      <c r="U237" s="57">
        <f>U84</f>
        <v>17104.382471599958</v>
      </c>
      <c r="V237" s="57">
        <f>V84</f>
        <v>102090.95649047449</v>
      </c>
      <c r="W237" s="57">
        <f>W84</f>
        <v>38804.426563191722</v>
      </c>
      <c r="X237" s="57">
        <f>X84</f>
        <v>17816.594474733825</v>
      </c>
      <c r="AB237">
        <v>16</v>
      </c>
      <c r="AC237">
        <v>495</v>
      </c>
      <c r="AD237">
        <v>490</v>
      </c>
      <c r="AE237">
        <v>479</v>
      </c>
      <c r="AN237" s="78"/>
      <c r="AO237" s="78"/>
      <c r="BF237" s="51"/>
      <c r="BG237" s="1"/>
    </row>
    <row r="238" spans="1:59" x14ac:dyDescent="0.3">
      <c r="B238" s="1" t="s">
        <v>37</v>
      </c>
      <c r="C238" s="18">
        <f>100-C236</f>
        <v>0</v>
      </c>
      <c r="D238" s="18">
        <f>100-D236</f>
        <v>42.230809312734266</v>
      </c>
      <c r="E238" s="18">
        <f>100-E236</f>
        <v>2.3896773578687487</v>
      </c>
      <c r="F238" s="18">
        <f>100-F236</f>
        <v>8.955337827581431</v>
      </c>
      <c r="G238" s="18">
        <f>100-G236</f>
        <v>12.961067682005805</v>
      </c>
      <c r="T238" s="57">
        <f>T94</f>
        <v>2562.36</v>
      </c>
      <c r="U238" s="57">
        <f>U94</f>
        <v>17176.271146976065</v>
      </c>
      <c r="V238" s="57">
        <f>V94</f>
        <v>101155.21237801103</v>
      </c>
      <c r="W238" s="57">
        <f>W94</f>
        <v>39211.46305079641</v>
      </c>
      <c r="X238" s="57">
        <f>X94</f>
        <v>18210.843424216484</v>
      </c>
      <c r="AB238">
        <v>17</v>
      </c>
      <c r="AC238">
        <v>524</v>
      </c>
      <c r="AD238">
        <v>519</v>
      </c>
      <c r="AE238">
        <v>508</v>
      </c>
      <c r="BF238" s="51"/>
      <c r="BG238" s="1"/>
    </row>
    <row r="239" spans="1:59" ht="15.6" x14ac:dyDescent="0.35">
      <c r="B239" s="1" t="s">
        <v>25</v>
      </c>
      <c r="C239" s="1">
        <f>C223</f>
        <v>259</v>
      </c>
      <c r="D239" s="1">
        <f>D223</f>
        <v>755</v>
      </c>
      <c r="E239" s="1">
        <f>E223</f>
        <v>6958</v>
      </c>
      <c r="F239" s="1">
        <f>F223</f>
        <v>2603</v>
      </c>
      <c r="G239" s="1">
        <f>G223</f>
        <v>887</v>
      </c>
      <c r="T239" s="57">
        <f>T104</f>
        <v>2536.61</v>
      </c>
      <c r="U239" s="57">
        <f>U104</f>
        <v>16551.905176988268</v>
      </c>
      <c r="V239" s="57">
        <f>V104</f>
        <v>101932.01511596171</v>
      </c>
      <c r="W239" s="57">
        <f>W104</f>
        <v>38934.28723878102</v>
      </c>
      <c r="X239" s="57">
        <f>X104</f>
        <v>18361.332468268985</v>
      </c>
      <c r="AB239">
        <v>18</v>
      </c>
      <c r="AC239">
        <v>553</v>
      </c>
      <c r="AD239">
        <v>548</v>
      </c>
      <c r="AE239">
        <v>537</v>
      </c>
      <c r="AN239" s="78"/>
      <c r="AO239" s="78"/>
      <c r="BF239" s="51"/>
      <c r="BG239" s="1"/>
    </row>
    <row r="240" spans="1:59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2185.7470213291922</v>
      </c>
      <c r="E240" s="18">
        <f>(O231*O231*(100-E236)*(100-E236)*(I231)*(100-I231))/((L231-1)*100)</f>
        <v>18.52142740887707</v>
      </c>
      <c r="F240" s="18">
        <f>(O232*O232*(100-F236)*(100-F236)*(I232)*(100-I232))/((L232-1)*100)</f>
        <v>61.02000701714487</v>
      </c>
      <c r="G240" s="18">
        <f>(O233*O233*(100-G236)*(100-G236)*(I233)*(100-I233))/((L233-1)*100)</f>
        <v>424.1533778762942</v>
      </c>
      <c r="T240" s="57">
        <f>T114</f>
        <v>2543.09</v>
      </c>
      <c r="U240" s="57">
        <f>U114</f>
        <v>17375.010103805871</v>
      </c>
      <c r="V240" s="57">
        <f>V114</f>
        <v>101711.76540587512</v>
      </c>
      <c r="W240" s="57">
        <f>W114</f>
        <v>38600.720077112528</v>
      </c>
      <c r="X240" s="57">
        <f>X114</f>
        <v>18085.564413206492</v>
      </c>
      <c r="AB240">
        <v>19</v>
      </c>
      <c r="AC240">
        <v>582</v>
      </c>
      <c r="AD240">
        <v>577</v>
      </c>
      <c r="AE240">
        <v>566</v>
      </c>
      <c r="BF240" s="51"/>
      <c r="BG240" s="1"/>
    </row>
    <row r="241" spans="1:59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117.01614974857004</v>
      </c>
      <c r="E241" s="18">
        <f>E236*E236*(SUM((H229*E229*(1-E218/H218))/(H218-1),(H230*E230*(1-E219/H219))/(H219-1), (H232*E232*(1-E221/H221))/(H221-1),(H233*E233*(1-E222/H222))/(H222-1)))</f>
        <v>180.05794348320919</v>
      </c>
      <c r="F241" s="18">
        <f>F236*F236*(SUM((H229*F229*(1-F218/H218))/(H218-1),(H230*F230*(1-F219/H219))/(H219-1), (H231*F231*(1-F220/H220))/(H220-1),(H233*F233*(1-F222/H222))/(H222-1)))</f>
        <v>158.25848874995114</v>
      </c>
      <c r="G241" s="18">
        <f>G236*G236*(SUM((H229*G229*(1-G218/H218))/(H218-1),(H230*G230*(1-G219/H219))/(H219-1), (H231*G231*(1-G220/H220))/(H220-1),(H232*G232*(1-G221/H221))/(H221-1)))</f>
        <v>80.285481867219104</v>
      </c>
      <c r="T241" s="57">
        <f>T124</f>
        <v>2506.7199999999998</v>
      </c>
      <c r="U241" s="57">
        <f>U124</f>
        <v>15953.395687643349</v>
      </c>
      <c r="V241" s="57">
        <f>V124</f>
        <v>102812.15214581766</v>
      </c>
      <c r="W241" s="57">
        <f>W124</f>
        <v>39375.452408013094</v>
      </c>
      <c r="X241" s="57">
        <f>X124</f>
        <v>17668.419758525924</v>
      </c>
      <c r="AB241">
        <v>20</v>
      </c>
      <c r="AC241">
        <v>611</v>
      </c>
      <c r="AD241">
        <v>606</v>
      </c>
      <c r="AE241">
        <v>595</v>
      </c>
      <c r="AN241" s="78"/>
      <c r="AO241" s="78"/>
      <c r="BF241" s="51"/>
      <c r="BG241" s="1"/>
    </row>
    <row r="242" spans="1:59" x14ac:dyDescent="0.3">
      <c r="A242" s="105" t="s">
        <v>390</v>
      </c>
      <c r="B242" s="69" t="s">
        <v>9</v>
      </c>
      <c r="C242" s="1">
        <v>272.7</v>
      </c>
      <c r="D242" s="1">
        <v>1670.77</v>
      </c>
      <c r="E242" s="1">
        <v>15639.21</v>
      </c>
      <c r="F242" s="1">
        <v>2172.11</v>
      </c>
      <c r="G242" s="1">
        <v>1767.98</v>
      </c>
      <c r="I242" t="s">
        <v>36</v>
      </c>
      <c r="J242" s="57">
        <f>SUM(C242:G242)</f>
        <v>21522.77</v>
      </c>
      <c r="T242" s="57">
        <f>T134</f>
        <v>2530.13</v>
      </c>
      <c r="U242" s="57">
        <f>U134</f>
        <v>16580.804124061076</v>
      </c>
      <c r="V242" s="57">
        <f>V134</f>
        <v>102421.11313197325</v>
      </c>
      <c r="W242" s="57">
        <f>W134</f>
        <v>39110.616370634416</v>
      </c>
      <c r="X242" s="57">
        <f>X134</f>
        <v>17673.486373331234</v>
      </c>
      <c r="AB242">
        <v>21</v>
      </c>
      <c r="AC242">
        <v>640</v>
      </c>
      <c r="AD242">
        <v>635</v>
      </c>
      <c r="AE242">
        <v>624</v>
      </c>
      <c r="BF242" s="51"/>
      <c r="BG242" s="1"/>
    </row>
    <row r="243" spans="1:59" x14ac:dyDescent="0.3">
      <c r="B243" t="s">
        <v>391</v>
      </c>
      <c r="C243" s="57">
        <f>(C242/$J242)*100</f>
        <v>1.2670302196232175</v>
      </c>
      <c r="D243" s="57">
        <f>(D242/$J242)*100</f>
        <v>7.7628019070036052</v>
      </c>
      <c r="E243" s="57">
        <f>(E242/$J242)*100</f>
        <v>72.663555852708541</v>
      </c>
      <c r="F243" s="57">
        <f>(F242/$J242)*100</f>
        <v>10.09214891949317</v>
      </c>
      <c r="G243" s="57">
        <f>(G242/$J242)*100</f>
        <v>8.2144631011714573</v>
      </c>
      <c r="T243" s="57">
        <f>T144</f>
        <v>2525.4499999999998</v>
      </c>
      <c r="U243" s="57">
        <f>U144</f>
        <v>16131.651844455846</v>
      </c>
      <c r="V243" s="57">
        <f>V144</f>
        <v>102401.38847443486</v>
      </c>
      <c r="W243" s="57">
        <f>W144</f>
        <v>38866.823579755517</v>
      </c>
      <c r="X243" s="57">
        <f>X144</f>
        <v>18390.846101353789</v>
      </c>
      <c r="AB243">
        <v>22</v>
      </c>
      <c r="AC243">
        <v>669</v>
      </c>
      <c r="AD243">
        <v>664</v>
      </c>
      <c r="AE243">
        <v>653</v>
      </c>
      <c r="AN243" s="78"/>
      <c r="AO243" s="78"/>
      <c r="BF243" s="51"/>
      <c r="BG243" s="1"/>
    </row>
    <row r="244" spans="1:59" x14ac:dyDescent="0.3">
      <c r="A244" s="361" t="s">
        <v>401</v>
      </c>
      <c r="B244" s="361"/>
      <c r="C244" s="361"/>
      <c r="D244" s="361"/>
      <c r="E244" s="361"/>
      <c r="F244" s="361"/>
      <c r="G244" s="361"/>
      <c r="H244" s="361"/>
      <c r="I244" s="361"/>
      <c r="J244" s="361"/>
      <c r="K244" s="361"/>
      <c r="L244" s="361" t="s">
        <v>86</v>
      </c>
      <c r="M244" s="361"/>
      <c r="N244" s="361"/>
      <c r="O244" s="361"/>
      <c r="P244" s="361"/>
      <c r="T244" s="57">
        <f>T154</f>
        <v>2508.88</v>
      </c>
      <c r="U244" s="57">
        <f>U154</f>
        <v>15733.219006395269</v>
      </c>
      <c r="V244" s="57">
        <f>V154</f>
        <v>103423.44880912032</v>
      </c>
      <c r="W244" s="57">
        <f>W154</f>
        <v>38900.081271162766</v>
      </c>
      <c r="X244" s="57">
        <f>X154</f>
        <v>17750.530913321618</v>
      </c>
      <c r="AB244">
        <v>23</v>
      </c>
      <c r="AC244">
        <v>698</v>
      </c>
      <c r="AD244">
        <v>693</v>
      </c>
      <c r="AE244">
        <v>682</v>
      </c>
      <c r="BF244" s="51"/>
      <c r="BG244" s="1"/>
    </row>
    <row r="245" spans="1:59" x14ac:dyDescent="0.3">
      <c r="A245" t="s">
        <v>320</v>
      </c>
      <c r="B245" t="s">
        <v>21</v>
      </c>
      <c r="I245" s="1" t="s">
        <v>58</v>
      </c>
      <c r="O245" s="360" t="s">
        <v>411</v>
      </c>
      <c r="P245" s="360"/>
      <c r="T245" s="57">
        <f>T164</f>
        <v>2514.64</v>
      </c>
      <c r="U245" s="57">
        <f>U164</f>
        <v>18265.662168883544</v>
      </c>
      <c r="V245" s="57">
        <f>V164</f>
        <v>99880.739321599423</v>
      </c>
      <c r="W245" s="57">
        <f>W164</f>
        <v>39336.873151991262</v>
      </c>
      <c r="X245" s="57">
        <f>X164</f>
        <v>18318.24535752579</v>
      </c>
      <c r="AB245">
        <v>24</v>
      </c>
      <c r="AC245">
        <v>727</v>
      </c>
      <c r="AD245">
        <v>722</v>
      </c>
      <c r="AE245">
        <v>711</v>
      </c>
      <c r="AN245" s="78"/>
      <c r="AO245" s="78"/>
      <c r="BF245" s="51"/>
      <c r="BG245" s="1"/>
    </row>
    <row r="246" spans="1:59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56</v>
      </c>
      <c r="O246" s="13" t="s">
        <v>412</v>
      </c>
      <c r="P246" s="13" t="s">
        <v>41</v>
      </c>
      <c r="T246" s="57">
        <f>T174</f>
        <v>2531.84</v>
      </c>
      <c r="U246" s="57">
        <f>U174</f>
        <v>17993.372555266065</v>
      </c>
      <c r="V246" s="57">
        <f>V174</f>
        <v>100486.14605037634</v>
      </c>
      <c r="W246" s="57">
        <f>W174</f>
        <v>39442.561947435337</v>
      </c>
      <c r="X246" s="57">
        <f>X174</f>
        <v>17862.239446922256</v>
      </c>
      <c r="AB246">
        <v>25</v>
      </c>
      <c r="AC246">
        <v>756</v>
      </c>
      <c r="AD246">
        <v>751</v>
      </c>
      <c r="AE246">
        <v>740</v>
      </c>
      <c r="BF246" s="51"/>
      <c r="BG246" s="1"/>
    </row>
    <row r="247" spans="1:59" x14ac:dyDescent="0.3">
      <c r="A247" t="s">
        <v>3</v>
      </c>
      <c r="B247" s="13">
        <v>0</v>
      </c>
      <c r="C247" s="26">
        <v>259</v>
      </c>
      <c r="D247" s="3">
        <v>0</v>
      </c>
      <c r="E247" s="3">
        <v>0</v>
      </c>
      <c r="F247" s="3">
        <v>0</v>
      </c>
      <c r="G247" s="4">
        <v>0</v>
      </c>
      <c r="H247" s="1">
        <f>SUM(C247:G247)</f>
        <v>259</v>
      </c>
      <c r="I247" s="10">
        <f>C247/H247</f>
        <v>1</v>
      </c>
      <c r="J247" s="11">
        <f>1-I247</f>
        <v>0</v>
      </c>
      <c r="K247">
        <f>H247-C252</f>
        <v>0</v>
      </c>
      <c r="N247" s="10">
        <f>2*(C253*I247)/(C253+I247)</f>
        <v>1</v>
      </c>
      <c r="O247" s="1"/>
      <c r="P247" s="1"/>
      <c r="T247" s="57">
        <f>T184</f>
        <v>2536.16</v>
      </c>
      <c r="U247" s="57">
        <f>U184</f>
        <v>16629.475431651117</v>
      </c>
      <c r="V247" s="57">
        <f>V184</f>
        <v>103263.33678148327</v>
      </c>
      <c r="W247" s="57">
        <f>W184</f>
        <v>39198.167880919849</v>
      </c>
      <c r="X247" s="57">
        <f>X184</f>
        <v>16689.009905945746</v>
      </c>
      <c r="AB247">
        <v>26</v>
      </c>
      <c r="AC247">
        <v>785</v>
      </c>
      <c r="AD247">
        <v>780</v>
      </c>
      <c r="AE247">
        <v>769</v>
      </c>
      <c r="AN247" s="78"/>
      <c r="AO247" s="78"/>
      <c r="BF247" s="51"/>
      <c r="BG247" s="1"/>
    </row>
    <row r="248" spans="1:59" x14ac:dyDescent="0.3">
      <c r="A248" t="s">
        <v>4</v>
      </c>
      <c r="B248" s="13">
        <v>1</v>
      </c>
      <c r="C248" s="5">
        <v>0</v>
      </c>
      <c r="D248" s="27">
        <v>297</v>
      </c>
      <c r="E248" s="1">
        <v>42</v>
      </c>
      <c r="F248" s="1">
        <v>0</v>
      </c>
      <c r="G248" s="6">
        <v>0</v>
      </c>
      <c r="H248" s="1">
        <f>SUM(C248:G248)</f>
        <v>339</v>
      </c>
      <c r="I248" s="10">
        <f>D248/H248</f>
        <v>0.87610619469026552</v>
      </c>
      <c r="J248" s="11">
        <f>1-I248</f>
        <v>0.12389380530973448</v>
      </c>
      <c r="K248">
        <f>H248-D252</f>
        <v>-383</v>
      </c>
      <c r="N248" s="10">
        <f>2*(D253*I248)/(D253+I248)</f>
        <v>0.55984919886899154</v>
      </c>
      <c r="O248" s="1"/>
      <c r="P248" s="1"/>
      <c r="T248" s="57">
        <f>T194</f>
        <v>2557.14</v>
      </c>
      <c r="U248" s="57">
        <f>U194</f>
        <v>17851.357883518147</v>
      </c>
      <c r="V248" s="57">
        <f>V194</f>
        <v>100631.44830806555</v>
      </c>
      <c r="W248" s="57">
        <f>W194</f>
        <v>39444.921210980712</v>
      </c>
      <c r="X248" s="57">
        <f>X194</f>
        <v>17831.282597435591</v>
      </c>
      <c r="AB248">
        <v>27</v>
      </c>
      <c r="AC248">
        <v>814</v>
      </c>
      <c r="AD248">
        <v>809</v>
      </c>
      <c r="AE248">
        <v>798</v>
      </c>
      <c r="BF248" s="51"/>
      <c r="BG248" s="1"/>
    </row>
    <row r="249" spans="1:59" x14ac:dyDescent="0.3">
      <c r="A249" t="s">
        <v>5</v>
      </c>
      <c r="B249" s="13">
        <v>2</v>
      </c>
      <c r="C249" s="5">
        <v>0</v>
      </c>
      <c r="D249" s="1">
        <v>312</v>
      </c>
      <c r="E249" s="27">
        <v>6919</v>
      </c>
      <c r="F249" s="1">
        <v>104</v>
      </c>
      <c r="G249" s="6">
        <v>64</v>
      </c>
      <c r="H249" s="1">
        <f>SUM(C249:G249)</f>
        <v>7399</v>
      </c>
      <c r="I249" s="10">
        <f>E249/H249</f>
        <v>0.93512636842816599</v>
      </c>
      <c r="J249" s="11">
        <f>1-I249</f>
        <v>6.4873631571834012E-2</v>
      </c>
      <c r="K249">
        <f>H249-E252</f>
        <v>402</v>
      </c>
      <c r="N249" s="10">
        <f>2*(E253*I249)/(E253+I249)</f>
        <v>0.96123923312031112</v>
      </c>
      <c r="O249" s="1"/>
      <c r="P249" s="1"/>
      <c r="T249" s="57">
        <f>T204</f>
        <v>2527.9699999999998</v>
      </c>
      <c r="U249" s="57">
        <f>U204</f>
        <v>15900.481539982748</v>
      </c>
      <c r="V249" s="57">
        <f>V204</f>
        <v>102815.83304404888</v>
      </c>
      <c r="W249" s="57">
        <f>W204</f>
        <v>39271.189585832421</v>
      </c>
      <c r="X249" s="57">
        <f>X204</f>
        <v>17800.675830135959</v>
      </c>
      <c r="AB249">
        <v>28</v>
      </c>
      <c r="AC249">
        <v>843</v>
      </c>
      <c r="AD249">
        <v>838</v>
      </c>
      <c r="AE249">
        <v>827</v>
      </c>
      <c r="AN249" s="78"/>
      <c r="AO249" s="78"/>
      <c r="BF249" s="51"/>
      <c r="BG249" s="1"/>
    </row>
    <row r="250" spans="1:59" x14ac:dyDescent="0.3">
      <c r="A250" t="s">
        <v>6</v>
      </c>
      <c r="B250" s="13">
        <v>3</v>
      </c>
      <c r="C250" s="5">
        <v>0</v>
      </c>
      <c r="D250" s="1">
        <v>0</v>
      </c>
      <c r="E250" s="1">
        <v>19</v>
      </c>
      <c r="F250" s="27">
        <v>2402</v>
      </c>
      <c r="G250" s="6">
        <v>99</v>
      </c>
      <c r="H250" s="1">
        <f>SUM(C250:G250)</f>
        <v>2520</v>
      </c>
      <c r="I250" s="10">
        <f>F250/H250</f>
        <v>0.95317460317460323</v>
      </c>
      <c r="J250" s="11">
        <f>1-I250</f>
        <v>4.682539682539677E-2</v>
      </c>
      <c r="K250">
        <f>H250-F252</f>
        <v>-66</v>
      </c>
      <c r="N250" s="10">
        <f>2*(F253*I250)/(F253+I250)</f>
        <v>0.94085389737563652</v>
      </c>
      <c r="O250" s="1"/>
      <c r="P250" s="1"/>
      <c r="T250" s="57">
        <f>T214</f>
        <v>2535.71</v>
      </c>
      <c r="U250" s="57">
        <f>U214</f>
        <v>17777.706029497283</v>
      </c>
      <c r="V250" s="57">
        <f>V214</f>
        <v>100697.49470344711</v>
      </c>
      <c r="W250" s="57">
        <f>W214</f>
        <v>39229.63058686359</v>
      </c>
      <c r="X250" s="57">
        <f>X214</f>
        <v>18075.608680192017</v>
      </c>
      <c r="AB250">
        <v>29</v>
      </c>
      <c r="AC250">
        <v>872</v>
      </c>
      <c r="AD250">
        <v>867</v>
      </c>
      <c r="AE250">
        <v>856</v>
      </c>
      <c r="BF250" s="51"/>
      <c r="BG250" s="1"/>
    </row>
    <row r="251" spans="1:59" x14ac:dyDescent="0.3">
      <c r="A251" t="s">
        <v>7</v>
      </c>
      <c r="B251" s="13">
        <v>4</v>
      </c>
      <c r="C251" s="7">
        <v>0</v>
      </c>
      <c r="D251" s="8">
        <v>113</v>
      </c>
      <c r="E251" s="8">
        <v>17</v>
      </c>
      <c r="F251" s="8">
        <v>80</v>
      </c>
      <c r="G251" s="28">
        <v>735</v>
      </c>
      <c r="H251" s="1">
        <f>SUM(C251:G251)</f>
        <v>945</v>
      </c>
      <c r="I251" s="10">
        <f>G251/H251</f>
        <v>0.77777777777777779</v>
      </c>
      <c r="J251" s="11">
        <f>1-I251</f>
        <v>0.22222222222222221</v>
      </c>
      <c r="K251">
        <f>H251-G252</f>
        <v>47</v>
      </c>
      <c r="N251" s="10">
        <f>2*(G253*I251)/(G253+I251)</f>
        <v>0.79761258817145964</v>
      </c>
      <c r="O251" s="1"/>
      <c r="P251" s="1"/>
      <c r="AN251" s="78"/>
      <c r="AO251" s="78"/>
      <c r="BF251" s="51"/>
      <c r="BG251" s="1"/>
    </row>
    <row r="252" spans="1:59" ht="15.6" x14ac:dyDescent="0.35">
      <c r="B252" s="1" t="s">
        <v>19</v>
      </c>
      <c r="C252" s="1">
        <f>SUM(C247:C251)</f>
        <v>259</v>
      </c>
      <c r="D252" s="1">
        <f>SUM(D247:D251)</f>
        <v>722</v>
      </c>
      <c r="E252" s="1">
        <f>SUM(E247:E251)</f>
        <v>6997</v>
      </c>
      <c r="F252" s="1">
        <f>SUM(F247:F251)</f>
        <v>2586</v>
      </c>
      <c r="G252" s="1">
        <f>SUM(G247:G251)</f>
        <v>898</v>
      </c>
      <c r="H252" s="1">
        <f>SUM(H246:H251)</f>
        <v>11462</v>
      </c>
      <c r="I252" s="13" t="s">
        <v>12</v>
      </c>
      <c r="N252" s="16" t="s">
        <v>36</v>
      </c>
      <c r="O252" s="1">
        <f>SUM(O247:O251)</f>
        <v>0</v>
      </c>
      <c r="P252" s="1">
        <f>SUM(P247:P251)</f>
        <v>0</v>
      </c>
      <c r="BF252" s="51"/>
      <c r="BG252" s="1"/>
    </row>
    <row r="253" spans="1:59" x14ac:dyDescent="0.3">
      <c r="A253" s="1" t="s">
        <v>321</v>
      </c>
      <c r="B253" s="1" t="s">
        <v>2</v>
      </c>
      <c r="C253" s="10">
        <f>C247/C252</f>
        <v>1</v>
      </c>
      <c r="D253" s="10">
        <f>D248/D252</f>
        <v>0.41135734072022162</v>
      </c>
      <c r="E253" s="10">
        <f>E249/E252</f>
        <v>0.988852365299414</v>
      </c>
      <c r="F253" s="10">
        <f>F250/F252</f>
        <v>0.92884764114462492</v>
      </c>
      <c r="G253" s="10">
        <f>G251/G252</f>
        <v>0.81848552338530067</v>
      </c>
      <c r="H253" s="10"/>
      <c r="I253" s="14">
        <f>(C247+D248+E249+F250+G251)/H252</f>
        <v>0.92584191240621183</v>
      </c>
      <c r="AN253" s="78"/>
      <c r="AO253" s="78"/>
      <c r="BF253" s="51"/>
      <c r="BG253" s="1"/>
    </row>
    <row r="254" spans="1:59" x14ac:dyDescent="0.3">
      <c r="B254" s="1" t="s">
        <v>14</v>
      </c>
      <c r="C254" s="11">
        <f>1-C253</f>
        <v>0</v>
      </c>
      <c r="D254" s="11">
        <f>1-D253</f>
        <v>0.58864265927977844</v>
      </c>
      <c r="E254" s="11">
        <f>1-E253</f>
        <v>1.1147634700585995E-2</v>
      </c>
      <c r="F254" s="11">
        <f>1-F253</f>
        <v>7.1152358855375075E-2</v>
      </c>
      <c r="G254" s="11">
        <f>1-G253</f>
        <v>0.18151447661469933</v>
      </c>
      <c r="BF254" s="51"/>
      <c r="BG254" s="1"/>
    </row>
    <row r="255" spans="1:59" x14ac:dyDescent="0.3">
      <c r="C255" s="2"/>
      <c r="AN255" s="78"/>
      <c r="AO255" s="78"/>
      <c r="BF255" s="51"/>
      <c r="BG255" s="1"/>
    </row>
    <row r="256" spans="1:59" ht="15.6" x14ac:dyDescent="0.35">
      <c r="A256" t="s">
        <v>322</v>
      </c>
      <c r="B256" s="15" t="s">
        <v>23</v>
      </c>
      <c r="N256" s="12" t="s">
        <v>17</v>
      </c>
      <c r="O256" s="1" t="s">
        <v>27</v>
      </c>
      <c r="P256" s="1" t="s">
        <v>33</v>
      </c>
      <c r="BF256" s="51"/>
      <c r="BG256" s="1"/>
    </row>
    <row r="257" spans="1:59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N257" s="78"/>
      <c r="AO257" s="78"/>
      <c r="BF257" s="51"/>
      <c r="BG257" s="1"/>
    </row>
    <row r="258" spans="1:59" x14ac:dyDescent="0.3">
      <c r="A258" t="s">
        <v>3</v>
      </c>
      <c r="B258" s="13">
        <v>0</v>
      </c>
      <c r="C258" s="29">
        <f>(C247/$L258)*$O258</f>
        <v>1.4225351994196829</v>
      </c>
      <c r="D258" s="31">
        <f>(D247/$L258)*$O258</f>
        <v>0</v>
      </c>
      <c r="E258" s="31">
        <f>(E247/$L258)*$O258</f>
        <v>0</v>
      </c>
      <c r="F258" s="31">
        <f>(F247/$L258)*$O258</f>
        <v>0</v>
      </c>
      <c r="G258" s="32">
        <f>(G247/$L258)*$O258</f>
        <v>0</v>
      </c>
      <c r="H258" s="17">
        <f>SUM(C258:G258)</f>
        <v>1.4225351994196829</v>
      </c>
      <c r="I258" s="17">
        <f>C258/H258*100</f>
        <v>100</v>
      </c>
      <c r="J258" s="17">
        <f>SQRT(I258*(100-I258)/(L258-1))</f>
        <v>0</v>
      </c>
      <c r="K258" s="18">
        <f>100-I258</f>
        <v>0</v>
      </c>
      <c r="L258" s="1">
        <f>H247</f>
        <v>259</v>
      </c>
      <c r="M258">
        <v>0</v>
      </c>
      <c r="N258" s="1">
        <v>2536.61</v>
      </c>
      <c r="O258" s="17">
        <f>N258/N263*100</f>
        <v>1.4225351994196829</v>
      </c>
      <c r="P258" s="52">
        <f>((O258*O258*(I258/100)*(K258/100))/(L258-1))</f>
        <v>0</v>
      </c>
      <c r="BF258" s="51"/>
      <c r="BG258" s="1"/>
    </row>
    <row r="259" spans="1:59" x14ac:dyDescent="0.3">
      <c r="A259" t="s">
        <v>4</v>
      </c>
      <c r="B259" s="13">
        <v>1</v>
      </c>
      <c r="C259" s="33">
        <f t="shared" ref="C259:G262" si="47">(C248/$L259)*$O259</f>
        <v>0</v>
      </c>
      <c r="D259" s="34">
        <f t="shared" si="47"/>
        <v>5.3788687075850143</v>
      </c>
      <c r="E259" s="19">
        <f t="shared" si="47"/>
        <v>0.76064810006252725</v>
      </c>
      <c r="F259" s="18">
        <f t="shared" si="47"/>
        <v>0</v>
      </c>
      <c r="G259" s="20">
        <f t="shared" si="47"/>
        <v>0</v>
      </c>
      <c r="H259" s="17">
        <f>SUM(C259:G259)</f>
        <v>6.1395168076475413</v>
      </c>
      <c r="I259" s="17">
        <f>D259/H259*100</f>
        <v>87.610619469026545</v>
      </c>
      <c r="J259" s="17">
        <f>SQRT(I259*(100-I259)/(L259-1))</f>
        <v>1.7920281254034289</v>
      </c>
      <c r="K259" s="18">
        <f>100-I259</f>
        <v>12.389380530973455</v>
      </c>
      <c r="L259" s="1">
        <f>H248</f>
        <v>339</v>
      </c>
      <c r="M259">
        <v>1</v>
      </c>
      <c r="N259" s="1">
        <v>10947.75</v>
      </c>
      <c r="O259" s="17">
        <f>N259/N263*100</f>
        <v>6.1395168076475413</v>
      </c>
      <c r="P259" s="52">
        <f>((O259*O259*(I259/100)*(K259/100))/(L259-1))</f>
        <v>1.2104811428728764E-2</v>
      </c>
      <c r="AN259" s="78"/>
      <c r="AO259" s="78"/>
      <c r="BF259" s="51"/>
      <c r="BG259" s="1"/>
    </row>
    <row r="260" spans="1:59" x14ac:dyDescent="0.3">
      <c r="A260" t="s">
        <v>5</v>
      </c>
      <c r="B260" s="13">
        <v>2</v>
      </c>
      <c r="C260" s="33">
        <f t="shared" si="47"/>
        <v>0</v>
      </c>
      <c r="D260" s="19">
        <f t="shared" si="47"/>
        <v>2.5269144124751612</v>
      </c>
      <c r="E260" s="34">
        <f t="shared" si="47"/>
        <v>56.037566730498853</v>
      </c>
      <c r="F260" s="19">
        <f t="shared" si="47"/>
        <v>0.84230480415838715</v>
      </c>
      <c r="G260" s="20">
        <f t="shared" si="47"/>
        <v>0.51834141794362287</v>
      </c>
      <c r="H260" s="17">
        <f>SUM(C260:G260)</f>
        <v>59.92512736507603</v>
      </c>
      <c r="I260" s="17">
        <f>E260/H260*100</f>
        <v>93.51263684281659</v>
      </c>
      <c r="J260" s="17">
        <f>SQRT(I260*(100-I260)/(L260-1))</f>
        <v>0.28635982819002725</v>
      </c>
      <c r="K260" s="18">
        <f>100-I260</f>
        <v>6.4873631571834096</v>
      </c>
      <c r="L260" s="1">
        <f>H249</f>
        <v>7399</v>
      </c>
      <c r="M260">
        <v>2</v>
      </c>
      <c r="N260" s="1">
        <v>106856.18</v>
      </c>
      <c r="O260" s="17">
        <f>N260/N263*100</f>
        <v>59.925127365076023</v>
      </c>
      <c r="P260" s="52">
        <f>((O260*O260*(I260/100)*(K260/100))/(L260-1))</f>
        <v>2.944707197607176E-2</v>
      </c>
      <c r="BF260" s="51"/>
      <c r="BG260" s="1"/>
    </row>
    <row r="261" spans="1:59" x14ac:dyDescent="0.3">
      <c r="A261" t="s">
        <v>6</v>
      </c>
      <c r="B261" s="13">
        <v>3</v>
      </c>
      <c r="C261" s="33">
        <f t="shared" si="47"/>
        <v>0</v>
      </c>
      <c r="D261" s="19">
        <f t="shared" si="47"/>
        <v>0</v>
      </c>
      <c r="E261" s="19">
        <f t="shared" si="47"/>
        <v>0.15834038819646126</v>
      </c>
      <c r="F261" s="34">
        <f t="shared" si="47"/>
        <v>20.017558549889472</v>
      </c>
      <c r="G261" s="20">
        <f t="shared" si="47"/>
        <v>0.82503675954998235</v>
      </c>
      <c r="H261" s="17">
        <f>SUM(C261:G261)</f>
        <v>21.000935697635914</v>
      </c>
      <c r="I261" s="17">
        <f>F261/H261*100</f>
        <v>95.317460317460316</v>
      </c>
      <c r="J261" s="17">
        <f>SQRT(I261*(100-I261)/(L261-1))</f>
        <v>0.42093290895930463</v>
      </c>
      <c r="K261" s="18">
        <f>100-I261</f>
        <v>4.6825396825396837</v>
      </c>
      <c r="L261" s="1">
        <f>H250</f>
        <v>2520</v>
      </c>
      <c r="M261">
        <v>3</v>
      </c>
      <c r="N261" s="1">
        <v>37448.06</v>
      </c>
      <c r="O261" s="17">
        <f>N261/N263*100</f>
        <v>21.000935697635914</v>
      </c>
      <c r="P261" s="52">
        <f>((O261*O261*(I261/100)*(K261/100))/(L261-1))</f>
        <v>7.8145333988240365E-3</v>
      </c>
      <c r="AN261" s="78"/>
      <c r="AO261" s="78"/>
    </row>
    <row r="262" spans="1:59" x14ac:dyDescent="0.3">
      <c r="A262" t="s">
        <v>7</v>
      </c>
      <c r="B262" s="13">
        <v>4</v>
      </c>
      <c r="C262" s="35">
        <f t="shared" si="47"/>
        <v>0</v>
      </c>
      <c r="D262" s="36">
        <f t="shared" si="47"/>
        <v>1.3765534361004823</v>
      </c>
      <c r="E262" s="21">
        <f t="shared" si="47"/>
        <v>0.20709210985582477</v>
      </c>
      <c r="F262" s="21">
        <f t="shared" si="47"/>
        <v>0.97455110520388122</v>
      </c>
      <c r="G262" s="37">
        <f t="shared" si="47"/>
        <v>8.9536882790606604</v>
      </c>
      <c r="H262" s="17">
        <f>SUM(C262:G262)</f>
        <v>11.511884930220848</v>
      </c>
      <c r="I262" s="17">
        <f>G262/H262*100</f>
        <v>77.777777777777786</v>
      </c>
      <c r="J262" s="17">
        <f>SQRT(I262*(100-I262)/(L262-1))</f>
        <v>1.3531175012429297</v>
      </c>
      <c r="K262" s="18">
        <f>100-I262</f>
        <v>22.222222222222214</v>
      </c>
      <c r="L262" s="1">
        <f>H251</f>
        <v>945</v>
      </c>
      <c r="M262">
        <v>4</v>
      </c>
      <c r="N262" s="1">
        <v>20527.55</v>
      </c>
      <c r="O262" s="17">
        <f>N262/N263*100</f>
        <v>11.511884930220848</v>
      </c>
      <c r="P262" s="52">
        <f>((O262*O262*(I262/100)*(K262/100))/(L262-1))</f>
        <v>2.4264084079475858E-2</v>
      </c>
    </row>
    <row r="263" spans="1:59" x14ac:dyDescent="0.3">
      <c r="B263" t="s">
        <v>28</v>
      </c>
      <c r="C263" s="17">
        <f>SUM(C258:C262)</f>
        <v>1.4225351994196829</v>
      </c>
      <c r="D263" s="17">
        <f>SUM(D258:D262)</f>
        <v>9.2823365561606579</v>
      </c>
      <c r="E263" s="17">
        <f>SUM(E258:E262)</f>
        <v>57.163647328613663</v>
      </c>
      <c r="F263" s="17">
        <f>SUM(F258:F262)</f>
        <v>21.834414459251743</v>
      </c>
      <c r="G263" s="17">
        <f>SUM(G258:G262)</f>
        <v>10.297066456554266</v>
      </c>
      <c r="H263" s="1">
        <f>SUM(H257:H262)</f>
        <v>100.00000000000001</v>
      </c>
      <c r="I263" s="13" t="s">
        <v>24</v>
      </c>
      <c r="J263" s="12" t="s">
        <v>29</v>
      </c>
      <c r="N263" s="1">
        <f>SUM(N258:N262)</f>
        <v>178316.14999999997</v>
      </c>
      <c r="O263" s="17">
        <f>SUM(O258:O262)</f>
        <v>100</v>
      </c>
      <c r="AM263" s="78"/>
      <c r="AN263" s="78"/>
      <c r="AO263" s="78"/>
    </row>
    <row r="264" spans="1:59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0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0.21548930284510093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0.21283608460889542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0.1593872295164554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0.1870980636478084</v>
      </c>
      <c r="H264" s="1"/>
      <c r="I264" s="56">
        <f>(C258+D259+E260+F261+G262)/H263</f>
        <v>0.9181021746645367</v>
      </c>
      <c r="J264" s="53">
        <f>SQRT(SUM(P258:P262))/100</f>
        <v>2.7134940737562042E-3</v>
      </c>
      <c r="M264" s="1"/>
      <c r="N264" s="9"/>
    </row>
    <row r="265" spans="1:59" x14ac:dyDescent="0.3">
      <c r="B265" s="1" t="s">
        <v>30</v>
      </c>
      <c r="C265" s="17">
        <f>C258/C263*100</f>
        <v>100</v>
      </c>
      <c r="D265" s="17">
        <f>D259/D263*100</f>
        <v>57.947357058660799</v>
      </c>
      <c r="E265" s="17">
        <f>E260/E263*100</f>
        <v>98.030075667423091</v>
      </c>
      <c r="F265" s="17">
        <f>F261/F263*100</f>
        <v>91.67893458854617</v>
      </c>
      <c r="G265" s="17">
        <f>G262/G263*100</f>
        <v>86.953777727262107</v>
      </c>
      <c r="H265" s="1"/>
      <c r="AM265" s="78"/>
      <c r="AN265" s="78"/>
      <c r="AO265" s="78"/>
    </row>
    <row r="266" spans="1:59" x14ac:dyDescent="0.3">
      <c r="B266" s="16" t="s">
        <v>39</v>
      </c>
      <c r="C266" s="18">
        <f>SQRT((C269+C270)/(C263*C263))</f>
        <v>0</v>
      </c>
      <c r="D266" s="18">
        <f>SQRT((D269+D270)/(D263*D263))</f>
        <v>5.1170821961381439</v>
      </c>
      <c r="E266" s="18">
        <f>SQRT((E269+E270)/(E263*E263))</f>
        <v>0.22414810710512112</v>
      </c>
      <c r="F266" s="18">
        <f>SQRT((F269+F270)/(F263*F263))</f>
        <v>0.65105988193722009</v>
      </c>
      <c r="G266" s="18">
        <f>SQRT((G269+G270)/(G263*G263))</f>
        <v>2.1594053174557972</v>
      </c>
      <c r="H266" s="1"/>
    </row>
    <row r="267" spans="1:59" x14ac:dyDescent="0.3">
      <c r="B267" s="1" t="s">
        <v>37</v>
      </c>
      <c r="C267" s="18">
        <f>100-C265</f>
        <v>0</v>
      </c>
      <c r="D267" s="18">
        <f>100-D265</f>
        <v>42.052642941339201</v>
      </c>
      <c r="E267" s="18">
        <f>100-E265</f>
        <v>1.9699243325769089</v>
      </c>
      <c r="F267" s="18">
        <f>100-F265</f>
        <v>8.3210654114538301</v>
      </c>
      <c r="G267" s="18">
        <f>100-G265</f>
        <v>13.046222272737893</v>
      </c>
      <c r="AM267" s="78"/>
      <c r="AN267" s="78"/>
      <c r="AO267" s="78"/>
    </row>
    <row r="268" spans="1:59" ht="15.6" x14ac:dyDescent="0.35">
      <c r="B268" s="1" t="s">
        <v>25</v>
      </c>
      <c r="C268" s="1">
        <f>C252</f>
        <v>259</v>
      </c>
      <c r="D268" s="1">
        <f>D252</f>
        <v>722</v>
      </c>
      <c r="E268" s="1">
        <f>E252</f>
        <v>6997</v>
      </c>
      <c r="F268" s="1">
        <f>F252</f>
        <v>2586</v>
      </c>
      <c r="G268" s="1">
        <f>G252</f>
        <v>898</v>
      </c>
    </row>
    <row r="269" spans="1:59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2140.6448467839582</v>
      </c>
      <c r="E269" s="18">
        <f>(O260*O260*(100-E265)*(100-E265)*(I260)*(100-I260))/((L260-1)*100)</f>
        <v>11.427236275536503</v>
      </c>
      <c r="F269" s="18">
        <f>(O261*O261*(100-F265)*(100-F265)*(I261)*(100-I261))/((L261-1)*100)</f>
        <v>54.107930515504634</v>
      </c>
      <c r="G269" s="18">
        <f>(O262*O262*(100-G265)*(100-G265)*(I262)*(100-I262))/((L262-1)*100)</f>
        <v>412.98421185240625</v>
      </c>
      <c r="AM269" s="78"/>
      <c r="AN269" s="78"/>
      <c r="AO269" s="78"/>
    </row>
    <row r="270" spans="1:59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115.46067288782253</v>
      </c>
      <c r="E270" s="18">
        <f>E265*E265*(SUM((H258*E258*(1-E247/H247))/(H247-1),(H259*E259*(1-E248/H248))/(H248-1), (H261*E261*(1-E250/H250))/(H250-1),(H262*E262*(1-E251/H251))/(H251-1)))</f>
        <v>152.74889355131623</v>
      </c>
      <c r="F270" s="18">
        <f>F265*F265*(SUM((H258*F258*(1-F247/H247))/(H247-1),(H259*F259*(1-F248/H248))/(H248-1), (H260*F260*(1-F249/H249))/(H249-1),(H262*F262*(1-F251/H251))/(H251-1)))</f>
        <v>147.97283100517245</v>
      </c>
      <c r="G270" s="18">
        <f>G265*G265*(SUM((H258*G258*(1-G247/H247))/(H247-1),(H259*G259*(1-G248/H248))/(H248-1), (H260*G260*(1-G249/H249))/(H249-1),(H261*G261*(1-G250/H250))/(H250-1)))</f>
        <v>81.4350299287605</v>
      </c>
    </row>
    <row r="271" spans="1:59" x14ac:dyDescent="0.3">
      <c r="A271" s="105" t="s">
        <v>390</v>
      </c>
      <c r="B271" s="69" t="s">
        <v>9</v>
      </c>
      <c r="C271" s="1">
        <v>269.64</v>
      </c>
      <c r="D271" s="1">
        <v>1560.3</v>
      </c>
      <c r="E271" s="1">
        <v>15743.64</v>
      </c>
      <c r="F271" s="1">
        <v>2216.77</v>
      </c>
      <c r="G271" s="1">
        <v>1732.41</v>
      </c>
      <c r="I271" t="s">
        <v>36</v>
      </c>
      <c r="J271" s="57">
        <f>SUM(C271:G271)</f>
        <v>21522.76</v>
      </c>
      <c r="AM271" s="78"/>
      <c r="AN271" s="78"/>
      <c r="AO271" s="78"/>
    </row>
    <row r="272" spans="1:59" x14ac:dyDescent="0.3">
      <c r="B272" t="s">
        <v>391</v>
      </c>
      <c r="C272" s="57">
        <f>(C271/$J271)*100</f>
        <v>1.2528133008963536</v>
      </c>
      <c r="D272" s="57">
        <f>(D271/$J271)*100</f>
        <v>7.2495349109500822</v>
      </c>
      <c r="E272" s="57">
        <f>(E271/$J271)*100</f>
        <v>73.14879690151264</v>
      </c>
      <c r="F272" s="57">
        <f>(F271/$J271)*100</f>
        <v>10.299654876976746</v>
      </c>
      <c r="G272" s="57">
        <f>(G271/$J271)*100</f>
        <v>8.0492000096641902</v>
      </c>
      <c r="T272" s="2"/>
    </row>
    <row r="273" spans="1:41" x14ac:dyDescent="0.3">
      <c r="A273" s="361" t="s">
        <v>401</v>
      </c>
      <c r="B273" s="361"/>
      <c r="C273" s="361"/>
      <c r="D273" s="361"/>
      <c r="E273" s="361"/>
      <c r="F273" s="361"/>
      <c r="G273" s="361"/>
      <c r="H273" s="361"/>
      <c r="I273" s="361"/>
      <c r="J273" s="361"/>
      <c r="K273" s="361"/>
      <c r="L273" s="361" t="s">
        <v>87</v>
      </c>
      <c r="M273" s="361"/>
      <c r="N273" s="361"/>
      <c r="O273" s="361"/>
      <c r="P273" s="361"/>
      <c r="AM273" s="78"/>
      <c r="AN273" s="78"/>
      <c r="AO273" s="78"/>
    </row>
    <row r="274" spans="1:41" ht="15" thickBot="1" x14ac:dyDescent="0.35">
      <c r="A274" t="s">
        <v>320</v>
      </c>
      <c r="B274" t="s">
        <v>21</v>
      </c>
      <c r="I274" s="1" t="s">
        <v>58</v>
      </c>
      <c r="O274" s="360" t="s">
        <v>411</v>
      </c>
      <c r="P274" s="360"/>
      <c r="R274" s="59" t="s">
        <v>78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77</v>
      </c>
      <c r="AA274" s="12" t="s">
        <v>29</v>
      </c>
    </row>
    <row r="275" spans="1:41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56</v>
      </c>
      <c r="O275" s="13" t="s">
        <v>412</v>
      </c>
      <c r="P275" s="13" t="s">
        <v>41</v>
      </c>
      <c r="S275" t="s">
        <v>28</v>
      </c>
      <c r="T275" s="57">
        <f t="shared" ref="T275:X276" si="48">AVERAGE(T16,T26,T36,T46,T56)</f>
        <v>1.4226776430514003</v>
      </c>
      <c r="U275" s="57">
        <f t="shared" si="48"/>
        <v>9.1489972487285289</v>
      </c>
      <c r="V275" s="57">
        <f t="shared" si="48"/>
        <v>57.381261382725782</v>
      </c>
      <c r="W275" s="57">
        <f t="shared" si="48"/>
        <v>22.015574351271102</v>
      </c>
      <c r="X275" s="57">
        <f t="shared" si="48"/>
        <v>10.031489374223195</v>
      </c>
      <c r="Z275" s="14">
        <f>AVERAGE(AE16,AE17,AE18,AE19,AE20)</f>
        <v>0.91594708072429643</v>
      </c>
      <c r="AA275" s="72">
        <f>AVERAGE(AF16,AF17,AF18,AF19,AF20)</f>
        <v>2.7476527801997544E-3</v>
      </c>
      <c r="AM275" s="78"/>
      <c r="AN275" s="78"/>
      <c r="AO275" s="78"/>
    </row>
    <row r="276" spans="1:41" x14ac:dyDescent="0.3">
      <c r="A276" t="s">
        <v>3</v>
      </c>
      <c r="B276" s="13">
        <v>0</v>
      </c>
      <c r="C276" s="26">
        <v>259</v>
      </c>
      <c r="D276" s="3">
        <v>0</v>
      </c>
      <c r="E276" s="3">
        <v>0</v>
      </c>
      <c r="F276" s="3">
        <v>0</v>
      </c>
      <c r="G276" s="4">
        <v>0</v>
      </c>
      <c r="H276" s="1">
        <f>SUM(C276:G276)</f>
        <v>259</v>
      </c>
      <c r="I276" s="10">
        <f>C276/H276</f>
        <v>1</v>
      </c>
      <c r="J276" s="11">
        <f>1-I276</f>
        <v>0</v>
      </c>
      <c r="K276">
        <f>H276-C281</f>
        <v>0</v>
      </c>
      <c r="N276" s="10">
        <f>2*(C282*I276)/(C282+I276)</f>
        <v>1</v>
      </c>
      <c r="O276" s="1"/>
      <c r="P276" s="1"/>
      <c r="S276" t="s">
        <v>39</v>
      </c>
      <c r="T276" s="57">
        <f t="shared" si="48"/>
        <v>0</v>
      </c>
      <c r="U276" s="57">
        <f t="shared" si="48"/>
        <v>0.2161188775722695</v>
      </c>
      <c r="V276" s="57">
        <f t="shared" si="48"/>
        <v>0.21906946483002968</v>
      </c>
      <c r="W276" s="57">
        <f t="shared" si="48"/>
        <v>0.16397402099949526</v>
      </c>
      <c r="X276" s="57">
        <f t="shared" si="48"/>
        <v>0.18676065164950553</v>
      </c>
    </row>
    <row r="277" spans="1:41" x14ac:dyDescent="0.3">
      <c r="A277" t="s">
        <v>4</v>
      </c>
      <c r="B277" s="13">
        <v>1</v>
      </c>
      <c r="C277" s="5">
        <v>0</v>
      </c>
      <c r="D277" s="27">
        <v>297</v>
      </c>
      <c r="E277" s="1">
        <v>42</v>
      </c>
      <c r="F277" s="1">
        <v>0</v>
      </c>
      <c r="G277" s="6">
        <v>0</v>
      </c>
      <c r="H277" s="1">
        <f>SUM(C277:G277)</f>
        <v>339</v>
      </c>
      <c r="I277" s="10">
        <f>D277/H277</f>
        <v>0.87610619469026552</v>
      </c>
      <c r="J277" s="11">
        <f>1-I277</f>
        <v>0.12389380530973448</v>
      </c>
      <c r="K277">
        <f>H277-D281</f>
        <v>-428</v>
      </c>
      <c r="N277" s="10">
        <f>2*(D282*I277)/(D282+I277)</f>
        <v>0.53707052441229663</v>
      </c>
      <c r="O277" s="1"/>
      <c r="P277" s="1"/>
      <c r="S277" s="66" t="s">
        <v>65</v>
      </c>
      <c r="T277" s="67">
        <f>1.96*T276</f>
        <v>0</v>
      </c>
      <c r="U277" s="67">
        <f>1.96*U276</f>
        <v>0.42359300004164818</v>
      </c>
      <c r="V277" s="67">
        <f>1.96*V276</f>
        <v>0.42937615106685817</v>
      </c>
      <c r="W277" s="67">
        <f>1.96*W276</f>
        <v>0.32138908115901071</v>
      </c>
      <c r="X277" s="67">
        <f>1.96*X276</f>
        <v>0.36605087723303081</v>
      </c>
      <c r="AM277" s="78"/>
      <c r="AN277" s="78"/>
      <c r="AO277" s="78"/>
    </row>
    <row r="278" spans="1:41" x14ac:dyDescent="0.3">
      <c r="A278" t="s">
        <v>5</v>
      </c>
      <c r="B278" s="13">
        <v>2</v>
      </c>
      <c r="C278" s="5">
        <v>0</v>
      </c>
      <c r="D278" s="1">
        <v>370</v>
      </c>
      <c r="E278" s="27">
        <v>6860</v>
      </c>
      <c r="F278" s="1">
        <v>106</v>
      </c>
      <c r="G278" s="6">
        <v>63</v>
      </c>
      <c r="H278" s="1">
        <f>SUM(C278:G278)</f>
        <v>7399</v>
      </c>
      <c r="I278" s="10">
        <f>E278/H278</f>
        <v>0.92715231788079466</v>
      </c>
      <c r="J278" s="11">
        <f>1-I278</f>
        <v>7.2847682119205337E-2</v>
      </c>
      <c r="K278">
        <f>H278-E281</f>
        <v>439</v>
      </c>
      <c r="N278" s="10">
        <f>2*(E282*I278)/(E282+I278)</f>
        <v>0.95549829375304685</v>
      </c>
      <c r="O278" s="1"/>
      <c r="P278" s="1"/>
      <c r="S278" t="s">
        <v>30</v>
      </c>
      <c r="T278" s="57">
        <f t="shared" ref="T278:X279" si="49">AVERAGE(T18,T28,T38,T48,T58)</f>
        <v>100</v>
      </c>
      <c r="U278" s="57">
        <f t="shared" si="49"/>
        <v>58.248495489601964</v>
      </c>
      <c r="V278" s="57">
        <f t="shared" si="49"/>
        <v>97.691000701828884</v>
      </c>
      <c r="W278" s="57">
        <f t="shared" si="49"/>
        <v>90.91631308788223</v>
      </c>
      <c r="X278" s="57">
        <f t="shared" si="49"/>
        <v>87.467187426480308</v>
      </c>
    </row>
    <row r="279" spans="1:41" x14ac:dyDescent="0.3">
      <c r="A279" t="s">
        <v>6</v>
      </c>
      <c r="B279" s="13">
        <v>3</v>
      </c>
      <c r="C279" s="5">
        <v>0</v>
      </c>
      <c r="D279" s="1">
        <v>0</v>
      </c>
      <c r="E279" s="1">
        <v>21</v>
      </c>
      <c r="F279" s="27">
        <v>2398</v>
      </c>
      <c r="G279" s="6">
        <v>101</v>
      </c>
      <c r="H279" s="1">
        <f>SUM(C279:G279)</f>
        <v>2520</v>
      </c>
      <c r="I279" s="10">
        <f>F279/H279</f>
        <v>0.95158730158730154</v>
      </c>
      <c r="J279" s="11">
        <f>1-I279</f>
        <v>4.8412698412698463E-2</v>
      </c>
      <c r="K279">
        <f>H279-F281</f>
        <v>-74</v>
      </c>
      <c r="N279" s="10">
        <f>2*(F282*I279)/(F282+I279)</f>
        <v>0.93781775518185373</v>
      </c>
      <c r="O279" s="1"/>
      <c r="P279" s="1"/>
      <c r="S279" t="s">
        <v>39</v>
      </c>
      <c r="T279" s="57">
        <f t="shared" si="49"/>
        <v>0</v>
      </c>
      <c r="U279" s="57">
        <f t="shared" si="49"/>
        <v>5.4160211100985407</v>
      </c>
      <c r="V279" s="57">
        <f t="shared" si="49"/>
        <v>0.24133234706661821</v>
      </c>
      <c r="W279" s="57">
        <f t="shared" si="49"/>
        <v>0.67685785677002297</v>
      </c>
      <c r="X279" s="57">
        <f t="shared" si="49"/>
        <v>2.1538056758015141</v>
      </c>
      <c r="AM279" s="78"/>
      <c r="AN279" s="78"/>
      <c r="AO279" s="78"/>
    </row>
    <row r="280" spans="1:41" x14ac:dyDescent="0.3">
      <c r="A280" t="s">
        <v>7</v>
      </c>
      <c r="B280" s="13">
        <v>4</v>
      </c>
      <c r="C280" s="7">
        <v>0</v>
      </c>
      <c r="D280" s="8">
        <v>100</v>
      </c>
      <c r="E280" s="8">
        <v>37</v>
      </c>
      <c r="F280" s="8">
        <v>90</v>
      </c>
      <c r="G280" s="28">
        <v>718</v>
      </c>
      <c r="H280" s="1">
        <f>SUM(C280:G280)</f>
        <v>945</v>
      </c>
      <c r="I280" s="10">
        <f>G280/H280</f>
        <v>0.75978835978835979</v>
      </c>
      <c r="J280" s="11">
        <f>1-I280</f>
        <v>0.24021164021164021</v>
      </c>
      <c r="K280">
        <f>H280-G281</f>
        <v>63</v>
      </c>
      <c r="N280" s="10">
        <f>2*(G282*I280)/(G282+I280)</f>
        <v>0.78598795840175151</v>
      </c>
      <c r="O280" s="1"/>
      <c r="P280" s="1"/>
      <c r="S280" s="66" t="s">
        <v>65</v>
      </c>
      <c r="T280" s="67">
        <f>1.96*T279</f>
        <v>0</v>
      </c>
      <c r="U280" s="67">
        <f>1.96*U279</f>
        <v>10.615401375793139</v>
      </c>
      <c r="V280" s="67">
        <f>1.96*V279</f>
        <v>0.4730114002505717</v>
      </c>
      <c r="W280" s="67">
        <f>1.96*W279</f>
        <v>1.326641399269245</v>
      </c>
      <c r="X280" s="67">
        <f>1.96*X279</f>
        <v>4.2214591245709672</v>
      </c>
    </row>
    <row r="281" spans="1:41" ht="15.6" x14ac:dyDescent="0.35">
      <c r="B281" s="1" t="s">
        <v>19</v>
      </c>
      <c r="C281" s="1">
        <f>SUM(C276:C280)</f>
        <v>259</v>
      </c>
      <c r="D281" s="1">
        <f>SUM(D276:D280)</f>
        <v>767</v>
      </c>
      <c r="E281" s="1">
        <f>SUM(E276:E280)</f>
        <v>6960</v>
      </c>
      <c r="F281" s="1">
        <f>SUM(F276:F280)</f>
        <v>2594</v>
      </c>
      <c r="G281" s="1">
        <f>SUM(G276:G280)</f>
        <v>882</v>
      </c>
      <c r="H281" s="1">
        <f>SUM(H275:H280)</f>
        <v>11462</v>
      </c>
      <c r="I281" s="13" t="s">
        <v>12</v>
      </c>
      <c r="N281" s="16" t="s">
        <v>36</v>
      </c>
      <c r="O281" s="1">
        <f>SUM(O276:O280)</f>
        <v>0</v>
      </c>
      <c r="P281" s="1">
        <f>SUM(P276:P280)</f>
        <v>0</v>
      </c>
      <c r="S281" t="s">
        <v>31</v>
      </c>
      <c r="T281" s="57">
        <f t="shared" ref="T281:X282" si="50">AVERAGE(T20,T30,T40,T50,T60)</f>
        <v>100</v>
      </c>
      <c r="U281" s="57">
        <f t="shared" si="50"/>
        <v>86.194690265486727</v>
      </c>
      <c r="V281" s="57">
        <f t="shared" si="50"/>
        <v>93.461278551155573</v>
      </c>
      <c r="W281" s="57">
        <f t="shared" si="50"/>
        <v>95.404761904761898</v>
      </c>
      <c r="X281" s="57">
        <f t="shared" si="50"/>
        <v>76.656084656084658</v>
      </c>
      <c r="AM281" s="78"/>
      <c r="AN281" s="78"/>
      <c r="AO281" s="78"/>
    </row>
    <row r="282" spans="1:41" x14ac:dyDescent="0.3">
      <c r="A282" s="1" t="s">
        <v>321</v>
      </c>
      <c r="B282" s="1" t="s">
        <v>2</v>
      </c>
      <c r="C282" s="10">
        <f>C276/C281</f>
        <v>1</v>
      </c>
      <c r="D282" s="10">
        <f>D277/D281</f>
        <v>0.38722294654498046</v>
      </c>
      <c r="E282" s="10">
        <f>E278/E281</f>
        <v>0.98563218390804597</v>
      </c>
      <c r="F282" s="10">
        <f>F279/F281</f>
        <v>0.92444101773323051</v>
      </c>
      <c r="G282" s="10">
        <f>G280/G281</f>
        <v>0.81405895691609975</v>
      </c>
      <c r="H282" s="10"/>
      <c r="I282" s="14">
        <f>(C276+D277+E278+F279+G280)/H281</f>
        <v>0.91886232769150233</v>
      </c>
      <c r="S282" t="s">
        <v>39</v>
      </c>
      <c r="T282" s="57">
        <f t="shared" si="50"/>
        <v>0</v>
      </c>
      <c r="U282" s="57">
        <f t="shared" si="50"/>
        <v>1.8734749986012258</v>
      </c>
      <c r="V282" s="57">
        <f t="shared" si="50"/>
        <v>0.2870218900027931</v>
      </c>
      <c r="W282" s="57">
        <f t="shared" si="50"/>
        <v>0.41686268593056647</v>
      </c>
      <c r="X282" s="57">
        <f t="shared" si="50"/>
        <v>1.3766368229190122</v>
      </c>
    </row>
    <row r="283" spans="1:41" x14ac:dyDescent="0.3">
      <c r="B283" s="1" t="s">
        <v>14</v>
      </c>
      <c r="C283" s="11">
        <f>1-C282</f>
        <v>0</v>
      </c>
      <c r="D283" s="11">
        <f>1-D282</f>
        <v>0.61277705345501954</v>
      </c>
      <c r="E283" s="11">
        <f>1-E282</f>
        <v>1.4367816091954033E-2</v>
      </c>
      <c r="F283" s="11">
        <f>1-F282</f>
        <v>7.5558982266769492E-2</v>
      </c>
      <c r="G283" s="11">
        <f>1-G282</f>
        <v>0.18594104308390025</v>
      </c>
      <c r="S283" s="66" t="s">
        <v>65</v>
      </c>
      <c r="T283" s="67">
        <f>1.96*T282</f>
        <v>0</v>
      </c>
      <c r="U283" s="67">
        <f>1.96*U282</f>
        <v>3.6720109972584023</v>
      </c>
      <c r="V283" s="67">
        <f>1.96*V282</f>
        <v>0.56256290440547452</v>
      </c>
      <c r="W283" s="67">
        <f>1.96*W282</f>
        <v>0.81705086442391028</v>
      </c>
      <c r="X283" s="67">
        <f>1.96*X282</f>
        <v>2.6982081729212641</v>
      </c>
      <c r="AM283" s="78"/>
      <c r="AN283" s="78"/>
      <c r="AO283" s="78"/>
    </row>
    <row r="284" spans="1:41" x14ac:dyDescent="0.3">
      <c r="C284" s="2"/>
      <c r="S284" t="s">
        <v>56</v>
      </c>
      <c r="T284" s="57">
        <f>AVERAGE(T22,T32,T42,T52,T62)</f>
        <v>100</v>
      </c>
      <c r="U284" s="57">
        <f>AVERAGE(U22,U32,U42,U52,U62)</f>
        <v>55.580674216817485</v>
      </c>
      <c r="V284" s="57">
        <f>AVERAGE(V22,V32,V42,V52,V62)</f>
        <v>96.004612611931066</v>
      </c>
      <c r="W284" s="57">
        <f>AVERAGE(W22,W32,W42,W52,W62)</f>
        <v>93.807916856722002</v>
      </c>
      <c r="X284" s="57">
        <f>AVERAGE(X22,X32,X42,X52,X62)</f>
        <v>79.517200812904434</v>
      </c>
    </row>
    <row r="285" spans="1:41" ht="15.6" x14ac:dyDescent="0.35">
      <c r="A285" t="s">
        <v>322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</v>
      </c>
      <c r="U285" s="57">
        <f>_xlfn.STDEV.S(U22,U32,U42,U52,U62)</f>
        <v>1.6840225488891247</v>
      </c>
      <c r="V285" s="57">
        <f>_xlfn.STDEV.S(V22,V32,V42,V52,V62)</f>
        <v>0.38787823927818194</v>
      </c>
      <c r="W285" s="57">
        <f>_xlfn.STDEV.S(W22,W32,W42,W52,W62)</f>
        <v>0.15715591928576444</v>
      </c>
      <c r="X285" s="57">
        <f>_xlfn.STDEV.S(X22,X32,X42,X52,X62)</f>
        <v>0.40605877761551729</v>
      </c>
      <c r="AM285" s="78"/>
      <c r="AN285" s="78"/>
      <c r="AO285" s="78"/>
    </row>
    <row r="286" spans="1:41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65</v>
      </c>
      <c r="T286" s="67">
        <f>1.96*T285</f>
        <v>0</v>
      </c>
      <c r="U286" s="67">
        <f>1.96*U285</f>
        <v>3.3006841958226842</v>
      </c>
      <c r="V286" s="67">
        <f>1.96*V285</f>
        <v>0.76024134898523654</v>
      </c>
      <c r="W286" s="67">
        <f>1.96*W285</f>
        <v>0.3080256018000983</v>
      </c>
      <c r="X286" s="67">
        <f>1.96*X285</f>
        <v>0.79587520412641388</v>
      </c>
    </row>
    <row r="287" spans="1:41" x14ac:dyDescent="0.3">
      <c r="A287" t="s">
        <v>3</v>
      </c>
      <c r="B287" s="13">
        <v>0</v>
      </c>
      <c r="C287" s="29">
        <f>(C276/$L287)*$O287</f>
        <v>1.4261691944335946</v>
      </c>
      <c r="D287" s="31">
        <f>(D276/$L287)*$O287</f>
        <v>0</v>
      </c>
      <c r="E287" s="31">
        <f>(E276/$L287)*$O287</f>
        <v>0</v>
      </c>
      <c r="F287" s="31">
        <f>(F276/$L287)*$O287</f>
        <v>0</v>
      </c>
      <c r="G287" s="32">
        <f>(G276/$L287)*$O287</f>
        <v>0</v>
      </c>
      <c r="H287" s="17">
        <f>SUM(C287:G287)</f>
        <v>1.4261691944335946</v>
      </c>
      <c r="I287" s="17">
        <f>C287/H287*100</f>
        <v>100</v>
      </c>
      <c r="J287" s="17">
        <f>SQRT(I287*(100-I287)/(L287-1))</f>
        <v>0</v>
      </c>
      <c r="K287" s="18">
        <f>100-I287</f>
        <v>0</v>
      </c>
      <c r="L287" s="1">
        <f>H276</f>
        <v>259</v>
      </c>
      <c r="M287">
        <v>0</v>
      </c>
      <c r="N287" s="1">
        <v>2543.09</v>
      </c>
      <c r="O287" s="17">
        <f>N287/N292*100</f>
        <v>1.4261691944335946</v>
      </c>
      <c r="P287" s="52">
        <f>((O287*O287*(I287/100)*(K287/100))/(L287-1))</f>
        <v>0</v>
      </c>
      <c r="R287" s="16" t="s">
        <v>75</v>
      </c>
      <c r="S287" t="s">
        <v>9</v>
      </c>
      <c r="T287" s="57">
        <f>AVERAGE(T23,T33,T43,T53,T63)</f>
        <v>2536.864</v>
      </c>
      <c r="U287" s="57">
        <f>AVERAGE(U23,U33,U43,U53,U63)</f>
        <v>11016.162</v>
      </c>
      <c r="V287" s="57">
        <f>AVERAGE(V23,V33,V43,V53,V63)</f>
        <v>106946.02999999998</v>
      </c>
      <c r="W287" s="57">
        <f>AVERAGE(W23,W33,W43,W53,W63)</f>
        <v>37407.273999999998</v>
      </c>
      <c r="X287" s="57">
        <f>AVERAGE(X23,X33,X43,X53,X63)</f>
        <v>20409.82</v>
      </c>
      <c r="Z287" t="s">
        <v>36</v>
      </c>
      <c r="AA287" s="57">
        <f>AVERAGE(AA23,AA33,AA43,AA53,AA63)</f>
        <v>178316.15</v>
      </c>
      <c r="AM287" s="78"/>
      <c r="AN287" s="78"/>
      <c r="AO287" s="78"/>
    </row>
    <row r="288" spans="1:41" x14ac:dyDescent="0.3">
      <c r="A288" t="s">
        <v>4</v>
      </c>
      <c r="B288" s="13">
        <v>1</v>
      </c>
      <c r="C288" s="33">
        <f t="shared" ref="C288:G291" si="51">(C277/$L288)*$O288</f>
        <v>0</v>
      </c>
      <c r="D288" s="34">
        <f t="shared" si="51"/>
        <v>5.5173084633098188</v>
      </c>
      <c r="E288" s="19">
        <f t="shared" si="51"/>
        <v>0.78022543925593391</v>
      </c>
      <c r="F288" s="18">
        <f t="shared" si="51"/>
        <v>0</v>
      </c>
      <c r="G288" s="20">
        <f t="shared" si="51"/>
        <v>0</v>
      </c>
      <c r="H288" s="17">
        <f>SUM(C288:G288)</f>
        <v>6.2975339025657524</v>
      </c>
      <c r="I288" s="17">
        <f>D288/H288*100</f>
        <v>87.610619469026545</v>
      </c>
      <c r="J288" s="17">
        <f>SQRT(I288*(100-I288)/(L288-1))</f>
        <v>1.7920281254034289</v>
      </c>
      <c r="K288" s="18">
        <f>100-I288</f>
        <v>12.389380530973455</v>
      </c>
      <c r="L288" s="1">
        <f>H277</f>
        <v>339</v>
      </c>
      <c r="M288">
        <v>1</v>
      </c>
      <c r="N288" s="1">
        <v>11229.52</v>
      </c>
      <c r="O288" s="17">
        <f>N288/N292*100</f>
        <v>6.2975339025657524</v>
      </c>
      <c r="P288" s="52">
        <f>((O288*O288*(I288/100)*(K288/100))/(L288-1))</f>
        <v>1.2735930234604693E-2</v>
      </c>
      <c r="S288" t="s">
        <v>29</v>
      </c>
      <c r="T288" s="57">
        <f>_xlfn.STDEV.S(T23,T33,T43,T53,T63)</f>
        <v>13.526972314601656</v>
      </c>
      <c r="U288" s="57">
        <f>_xlfn.STDEV.S(U23,U33,U43,U53,U63)</f>
        <v>402.35609548011064</v>
      </c>
      <c r="V288" s="57">
        <f>_xlfn.STDEV.S(V23,V33,V43,V53,V63)</f>
        <v>857.02978011268226</v>
      </c>
      <c r="W288" s="57">
        <f>_xlfn.STDEV.S(W23,W33,W43,W53,W63)</f>
        <v>381.52237382622764</v>
      </c>
      <c r="X288" s="57">
        <f>_xlfn.STDEV.S(X23,X33,X43,X53,X63)</f>
        <v>123.82556036618682</v>
      </c>
      <c r="Z288" t="s">
        <v>29</v>
      </c>
      <c r="AA288" s="57">
        <f>_xlfn.STDEV.S(AA23,AA33,AA43,AA53,AA63)</f>
        <v>2.0579515874459978E-11</v>
      </c>
    </row>
    <row r="289" spans="1:41" x14ac:dyDescent="0.3">
      <c r="A289" t="s">
        <v>5</v>
      </c>
      <c r="B289" s="13">
        <v>2</v>
      </c>
      <c r="C289" s="33">
        <f t="shared" si="51"/>
        <v>0</v>
      </c>
      <c r="D289" s="19">
        <f t="shared" si="51"/>
        <v>3.0006631834057869</v>
      </c>
      <c r="E289" s="34">
        <f t="shared" si="51"/>
        <v>55.633917400442421</v>
      </c>
      <c r="F289" s="19">
        <f t="shared" si="51"/>
        <v>0.85964945254327951</v>
      </c>
      <c r="G289" s="20">
        <f t="shared" si="51"/>
        <v>0.51092373122855295</v>
      </c>
      <c r="H289" s="17">
        <f>SUM(C289:G289)</f>
        <v>60.005153767620037</v>
      </c>
      <c r="I289" s="17">
        <f>E289/H289*100</f>
        <v>92.715231788079478</v>
      </c>
      <c r="J289" s="17">
        <f>SQRT(I289*(100-I289)/(L289-1))</f>
        <v>0.30215254014202847</v>
      </c>
      <c r="K289" s="18">
        <f>100-I289</f>
        <v>7.2847682119205217</v>
      </c>
      <c r="L289" s="1">
        <f>H278</f>
        <v>7399</v>
      </c>
      <c r="M289">
        <v>2</v>
      </c>
      <c r="N289" s="1">
        <v>106998.88</v>
      </c>
      <c r="O289" s="17">
        <f>N289/N292*100</f>
        <v>60.005153767620044</v>
      </c>
      <c r="P289" s="52">
        <f>((O289*O289*(I289/100)*(K289/100))/(L289-1))</f>
        <v>3.2872263177800676E-2</v>
      </c>
      <c r="S289" t="s">
        <v>65</v>
      </c>
      <c r="T289" s="57">
        <f>1.96*T288</f>
        <v>26.512865736619244</v>
      </c>
      <c r="U289" s="57">
        <f>1.96*U288</f>
        <v>788.61794714101688</v>
      </c>
      <c r="V289" s="57">
        <f>1.96*V288</f>
        <v>1679.7783690208571</v>
      </c>
      <c r="W289" s="57">
        <f>1.96*W288</f>
        <v>747.78385269940611</v>
      </c>
      <c r="X289" s="57">
        <f>1.96*X288</f>
        <v>242.69809831772616</v>
      </c>
      <c r="AM289" s="78"/>
      <c r="AN289" s="78"/>
      <c r="AO289" s="78"/>
    </row>
    <row r="290" spans="1:41" x14ac:dyDescent="0.3">
      <c r="A290" t="s">
        <v>6</v>
      </c>
      <c r="B290" s="13">
        <v>3</v>
      </c>
      <c r="C290" s="33">
        <f t="shared" si="51"/>
        <v>0</v>
      </c>
      <c r="D290" s="19">
        <f t="shared" si="51"/>
        <v>0</v>
      </c>
      <c r="E290" s="19">
        <f t="shared" si="51"/>
        <v>0.17238156312070818</v>
      </c>
      <c r="F290" s="34">
        <f t="shared" si="51"/>
        <v>19.684332779212298</v>
      </c>
      <c r="G290" s="20">
        <f t="shared" si="51"/>
        <v>0.82907323215197759</v>
      </c>
      <c r="H290" s="17">
        <f>SUM(C290:G290)</f>
        <v>20.685787574484984</v>
      </c>
      <c r="I290" s="17">
        <f>F290/H290*100</f>
        <v>95.158730158730151</v>
      </c>
      <c r="J290" s="17">
        <f>SQRT(I290*(100-I290)/(L290-1))</f>
        <v>0.42765138234751204</v>
      </c>
      <c r="K290" s="18">
        <f>100-I290</f>
        <v>4.8412698412698489</v>
      </c>
      <c r="L290" s="1">
        <f>H279</f>
        <v>2520</v>
      </c>
      <c r="M290">
        <v>3</v>
      </c>
      <c r="N290" s="1">
        <v>36886.1</v>
      </c>
      <c r="O290" s="17">
        <f>N290/N292*100</f>
        <v>20.685787574484984</v>
      </c>
      <c r="P290" s="52">
        <f>((O290*O290*(I290/100)*(K290/100))/(L290-1))</f>
        <v>7.8257123674019442E-3</v>
      </c>
      <c r="R290" s="16" t="s">
        <v>74</v>
      </c>
      <c r="S290" t="s">
        <v>9</v>
      </c>
      <c r="T290" s="57">
        <f>AVERAGE(T24,T34,T44,T54,T64)</f>
        <v>2536.864</v>
      </c>
      <c r="U290" s="57">
        <f>AVERAGE(U24,U34,U44,U54,U64)</f>
        <v>16314.139657538635</v>
      </c>
      <c r="V290" s="57">
        <f>AVERAGE(V24,V34,V44,V54,V64)</f>
        <v>102320.05611911336</v>
      </c>
      <c r="W290" s="57">
        <f>AVERAGE(W24,W34,W44,W54,W64)</f>
        <v>39257.324583574104</v>
      </c>
      <c r="X290" s="57">
        <f>AVERAGE(X24,X34,X44,X54,X64)</f>
        <v>17887.765639773897</v>
      </c>
      <c r="Z290" t="s">
        <v>36</v>
      </c>
      <c r="AA290" s="24">
        <f>SUM(T290:X290)</f>
        <v>178316.15</v>
      </c>
    </row>
    <row r="291" spans="1:41" x14ac:dyDescent="0.3">
      <c r="A291" t="s">
        <v>7</v>
      </c>
      <c r="B291" s="13">
        <v>4</v>
      </c>
      <c r="C291" s="35">
        <f t="shared" si="51"/>
        <v>0</v>
      </c>
      <c r="D291" s="36">
        <f t="shared" si="51"/>
        <v>1.2259635514175276</v>
      </c>
      <c r="E291" s="21">
        <f t="shared" si="51"/>
        <v>0.45360651402448521</v>
      </c>
      <c r="F291" s="21">
        <f t="shared" si="51"/>
        <v>1.1033671962757747</v>
      </c>
      <c r="G291" s="37">
        <f t="shared" si="51"/>
        <v>8.8024182991778481</v>
      </c>
      <c r="H291" s="17">
        <f>SUM(C291:G291)</f>
        <v>11.585355560895636</v>
      </c>
      <c r="I291" s="17">
        <f>G291/H291*100</f>
        <v>75.978835978835974</v>
      </c>
      <c r="J291" s="17">
        <f>SQRT(I291*(100-I291)/(L291-1))</f>
        <v>1.3904563028260104</v>
      </c>
      <c r="K291" s="18">
        <f>100-I291</f>
        <v>24.021164021164026</v>
      </c>
      <c r="L291" s="1">
        <f>H280</f>
        <v>945</v>
      </c>
      <c r="M291">
        <v>4</v>
      </c>
      <c r="N291" s="1">
        <v>20658.560000000001</v>
      </c>
      <c r="O291" s="17">
        <f>N291/N292*100</f>
        <v>11.585355560895636</v>
      </c>
      <c r="P291" s="52">
        <f>((O291*O291*(I291/100)*(K291/100))/(L291-1))</f>
        <v>2.5949764701280246E-2</v>
      </c>
      <c r="S291" t="s">
        <v>29</v>
      </c>
      <c r="T291" s="57">
        <f>_xlfn.STDEV.S(T24,T34,T44,T54,T64)</f>
        <v>13.526972314601553</v>
      </c>
      <c r="U291" s="57">
        <f>_xlfn.STDEV.S(U24,U34,U44,U54,U64)</f>
        <v>952.26538727875152</v>
      </c>
      <c r="V291" s="57">
        <f>_xlfn.STDEV.S(V24,V34,V44,V54,V64)</f>
        <v>1554.577535673995</v>
      </c>
      <c r="W291" s="57">
        <f>_xlfn.STDEV.S(W24,W34,W44,W54,W64)</f>
        <v>693.77599608172147</v>
      </c>
      <c r="X291" s="57">
        <f>_xlfn.STDEV.S(X24,X34,X44,X54,X64)</f>
        <v>218.85504881627401</v>
      </c>
      <c r="AM291" s="78"/>
      <c r="AN291" s="78"/>
      <c r="AO291" s="78"/>
    </row>
    <row r="292" spans="1:41" x14ac:dyDescent="0.3">
      <c r="B292" t="s">
        <v>28</v>
      </c>
      <c r="C292" s="17">
        <f>SUM(C287:C291)</f>
        <v>1.4261691944335946</v>
      </c>
      <c r="D292" s="17">
        <f>SUM(D287:D291)</f>
        <v>9.7439351981331317</v>
      </c>
      <c r="E292" s="17">
        <f>SUM(E287:E291)</f>
        <v>57.040130916843552</v>
      </c>
      <c r="F292" s="17">
        <f>SUM(F287:F291)</f>
        <v>21.647349428031355</v>
      </c>
      <c r="G292" s="17">
        <f>SUM(G287:G291)</f>
        <v>10.142415262558378</v>
      </c>
      <c r="H292" s="1">
        <f>SUM(H286:H291)</f>
        <v>100</v>
      </c>
      <c r="I292" s="13" t="s">
        <v>24</v>
      </c>
      <c r="J292" s="12" t="s">
        <v>29</v>
      </c>
      <c r="N292" s="1">
        <f>SUM(N287:N291)</f>
        <v>178316.15</v>
      </c>
      <c r="O292" s="17">
        <f>SUM(O287:O291)</f>
        <v>100</v>
      </c>
      <c r="S292" s="66" t="s">
        <v>65</v>
      </c>
      <c r="T292" s="67">
        <f>1.96*T291</f>
        <v>26.512865736619041</v>
      </c>
      <c r="U292" s="67">
        <f>1.96*U291</f>
        <v>1866.4401590663529</v>
      </c>
      <c r="V292" s="67">
        <f>1.96*V291</f>
        <v>3046.9719699210304</v>
      </c>
      <c r="W292" s="67">
        <f>1.96*W291</f>
        <v>1359.800952320174</v>
      </c>
      <c r="X292" s="67">
        <f>1.96*X291</f>
        <v>428.95589567989703</v>
      </c>
    </row>
    <row r="293" spans="1:41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0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0.22193676299647977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0.22871975243098974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0.16411278401505769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0.1912155069223534</v>
      </c>
      <c r="H293" s="1"/>
      <c r="I293" s="56">
        <f>(C287+D288+E289+F290+G291)/H292</f>
        <v>0.91064146136575974</v>
      </c>
      <c r="J293" s="53">
        <f>SQRT(SUM(P287:P291))/100</f>
        <v>2.8175107893509046E-3</v>
      </c>
      <c r="M293" s="1"/>
      <c r="N293" s="9"/>
      <c r="AM293" s="78"/>
      <c r="AN293" s="78"/>
      <c r="AO293" s="78"/>
    </row>
    <row r="294" spans="1:41" x14ac:dyDescent="0.3">
      <c r="B294" s="1" t="s">
        <v>30</v>
      </c>
      <c r="C294" s="17">
        <f>C287/C292*100</f>
        <v>100</v>
      </c>
      <c r="D294" s="17">
        <f>D288/D292*100</f>
        <v>56.623000370188173</v>
      </c>
      <c r="E294" s="17">
        <f>E289/E292*100</f>
        <v>97.534694444423366</v>
      </c>
      <c r="F294" s="17">
        <f>F290/F292*100</f>
        <v>90.931838304983756</v>
      </c>
      <c r="G294" s="17">
        <f>G291/G292*100</f>
        <v>86.788186751460998</v>
      </c>
      <c r="H294" s="1"/>
    </row>
    <row r="295" spans="1:41" x14ac:dyDescent="0.3">
      <c r="B295" s="16" t="s">
        <v>39</v>
      </c>
      <c r="C295" s="18">
        <f>SQRT((C298+C299)/(C292*C292))</f>
        <v>0</v>
      </c>
      <c r="D295" s="18">
        <f>SQRT((D298+D299)/(D292*D292))</f>
        <v>5.1453478985044878</v>
      </c>
      <c r="E295" s="18">
        <f>SQRT((E298+E299)/(E292*E292))</f>
        <v>0.25124267235961795</v>
      </c>
      <c r="F295" s="18">
        <f>SQRT((F298+F299)/(F292*F292))</f>
        <v>0.68903906532748493</v>
      </c>
      <c r="G295" s="18">
        <f>SQRT((G298+G299)/(G292*G292))</f>
        <v>2.2765449474357182</v>
      </c>
      <c r="H295" s="1"/>
      <c r="AM295" s="78"/>
      <c r="AN295" s="78"/>
      <c r="AO295" s="78"/>
    </row>
    <row r="296" spans="1:41" x14ac:dyDescent="0.3">
      <c r="B296" s="1" t="s">
        <v>37</v>
      </c>
      <c r="C296" s="18">
        <f>100-C294</f>
        <v>0</v>
      </c>
      <c r="D296" s="18">
        <f>100-D294</f>
        <v>43.376999629811827</v>
      </c>
      <c r="E296" s="18">
        <f>100-E294</f>
        <v>2.4653055555766343</v>
      </c>
      <c r="F296" s="18">
        <f>100-F294</f>
        <v>9.0681616950162436</v>
      </c>
      <c r="G296" s="18">
        <f>100-G294</f>
        <v>13.211813248539002</v>
      </c>
    </row>
    <row r="297" spans="1:41" ht="15.6" x14ac:dyDescent="0.35">
      <c r="B297" s="1" t="s">
        <v>25</v>
      </c>
      <c r="C297" s="1">
        <f>C281</f>
        <v>259</v>
      </c>
      <c r="D297" s="1">
        <f>D281</f>
        <v>767</v>
      </c>
      <c r="E297" s="1">
        <f>E281</f>
        <v>6960</v>
      </c>
      <c r="F297" s="1">
        <f>F281</f>
        <v>2594</v>
      </c>
      <c r="G297" s="1">
        <f>G281</f>
        <v>882</v>
      </c>
      <c r="AM297" s="78"/>
      <c r="AN297" s="78"/>
      <c r="AO297" s="78"/>
    </row>
    <row r="298" spans="1:41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2396.3469069860466</v>
      </c>
      <c r="E298" s="18">
        <f>(O289*O289*(100-E294)*(100-E294)*(I289)*(100-I289))/((L289-1)*100)</f>
        <v>19.978878881204452</v>
      </c>
      <c r="F298" s="18">
        <f>(O290*O290*(100-F294)*(100-F294)*(I290)*(100-I290))/((L290-1)*100)</f>
        <v>64.352050890374173</v>
      </c>
      <c r="G298" s="18">
        <f>(O291*O291*(100-G294)*(100-G294)*(I291)*(100-I291))/((L291-1)*100)</f>
        <v>452.95835698410013</v>
      </c>
    </row>
    <row r="299" spans="1:41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117.26522123241516</v>
      </c>
      <c r="E299" s="18">
        <f>E294*E294*(SUM((H287*E287*(1-E276/H276))/(H276-1),(H288*E288*(1-E277/H277))/(H277-1), (H290*E290*(1-E279/H279))/(H279-1),(H291*E291*(1-E280/H280))/(H280-1)))</f>
        <v>185.39624365737839</v>
      </c>
      <c r="F299" s="18">
        <f>F294*F294*(SUM((H287*F287*(1-F276/H276))/(H276-1),(H288*F288*(1-F277/H277))/(H277-1), (H289*F289*(1-F278/H278))/(H278-1),(H291*F291*(1-F280/H280))/(H280-1)))</f>
        <v>158.13110956591657</v>
      </c>
      <c r="G299" s="18">
        <f>G294*G294*(SUM((H287*G287*(1-G276/H276))/(H276-1),(H288*G288*(1-G277/H277))/(H277-1), (H289*G289*(1-G278/H278))/(H278-1),(H290*G290*(1-G279/H279))/(H279-1)))</f>
        <v>80.174236843907266</v>
      </c>
      <c r="AM299" s="78"/>
      <c r="AN299" s="78"/>
      <c r="AO299" s="78"/>
    </row>
    <row r="300" spans="1:41" x14ac:dyDescent="0.3">
      <c r="A300" s="105" t="s">
        <v>390</v>
      </c>
      <c r="B300" s="69" t="s">
        <v>9</v>
      </c>
      <c r="C300" s="1">
        <v>267.93</v>
      </c>
      <c r="D300" s="1">
        <v>1563.19</v>
      </c>
      <c r="E300" s="1">
        <v>15786.85</v>
      </c>
      <c r="F300" s="1">
        <v>2094.15</v>
      </c>
      <c r="G300" s="1">
        <v>1810.65</v>
      </c>
      <c r="I300" t="s">
        <v>36</v>
      </c>
      <c r="J300" s="57">
        <f>SUM(C300:G300)</f>
        <v>21522.770000000004</v>
      </c>
    </row>
    <row r="301" spans="1:41" x14ac:dyDescent="0.3">
      <c r="B301" t="s">
        <v>391</v>
      </c>
      <c r="C301" s="57">
        <f>(C300/$J300)*100</f>
        <v>1.2448676448245275</v>
      </c>
      <c r="D301" s="57">
        <f>(D300/$J300)*100</f>
        <v>7.2629591822985606</v>
      </c>
      <c r="E301" s="57">
        <f>(E300/$J300)*100</f>
        <v>73.349527035785812</v>
      </c>
      <c r="F301" s="57">
        <f>(F300/$J300)*100</f>
        <v>9.7299278856764246</v>
      </c>
      <c r="G301" s="57">
        <f>(G300/$J300)*100</f>
        <v>8.4127182514146632</v>
      </c>
      <c r="AM301" s="78"/>
      <c r="AN301" s="78"/>
      <c r="AO301" s="78"/>
    </row>
    <row r="302" spans="1:41" x14ac:dyDescent="0.3">
      <c r="A302" s="361" t="s">
        <v>401</v>
      </c>
      <c r="B302" s="361"/>
      <c r="C302" s="361"/>
      <c r="D302" s="361"/>
      <c r="E302" s="361"/>
      <c r="F302" s="361"/>
      <c r="G302" s="361"/>
      <c r="H302" s="361"/>
      <c r="I302" s="361"/>
      <c r="J302" s="361"/>
      <c r="K302" s="361"/>
      <c r="L302" s="361" t="s">
        <v>88</v>
      </c>
      <c r="M302" s="361"/>
      <c r="N302" s="361"/>
      <c r="O302" s="361"/>
      <c r="P302" s="361"/>
    </row>
    <row r="303" spans="1:41" x14ac:dyDescent="0.3">
      <c r="A303" t="s">
        <v>320</v>
      </c>
      <c r="B303" t="s">
        <v>21</v>
      </c>
      <c r="I303" s="1" t="s">
        <v>58</v>
      </c>
      <c r="O303" s="360" t="s">
        <v>411</v>
      </c>
      <c r="P303" s="360"/>
      <c r="AM303" s="78"/>
      <c r="AN303" s="78"/>
      <c r="AO303" s="78"/>
    </row>
    <row r="304" spans="1:41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56</v>
      </c>
      <c r="O304" s="13" t="s">
        <v>412</v>
      </c>
      <c r="P304" s="13" t="s">
        <v>41</v>
      </c>
    </row>
    <row r="305" spans="1:41" x14ac:dyDescent="0.3">
      <c r="A305" t="s">
        <v>3</v>
      </c>
      <c r="B305" s="13">
        <v>0</v>
      </c>
      <c r="C305" s="26">
        <v>259</v>
      </c>
      <c r="D305" s="3">
        <v>0</v>
      </c>
      <c r="E305" s="3">
        <v>0</v>
      </c>
      <c r="F305" s="3">
        <v>0</v>
      </c>
      <c r="G305" s="4">
        <v>0</v>
      </c>
      <c r="H305" s="1">
        <f>SUM(C305:G305)</f>
        <v>259</v>
      </c>
      <c r="I305" s="10">
        <f>C305/H305</f>
        <v>1</v>
      </c>
      <c r="J305" s="11">
        <f>1-I305</f>
        <v>0</v>
      </c>
      <c r="K305">
        <f>H305-C310</f>
        <v>0</v>
      </c>
      <c r="N305" s="10">
        <f>2*(C311*I305)/(C311+I305)</f>
        <v>1</v>
      </c>
      <c r="O305" s="1"/>
      <c r="P305" s="1"/>
      <c r="AM305" s="78"/>
      <c r="AN305" s="78"/>
      <c r="AO305" s="78"/>
    </row>
    <row r="306" spans="1:41" x14ac:dyDescent="0.3">
      <c r="A306" t="s">
        <v>4</v>
      </c>
      <c r="B306" s="13">
        <v>1</v>
      </c>
      <c r="C306" s="5">
        <v>0</v>
      </c>
      <c r="D306" s="27">
        <v>290</v>
      </c>
      <c r="E306" s="1">
        <v>49</v>
      </c>
      <c r="F306" s="1">
        <v>0</v>
      </c>
      <c r="G306" s="6">
        <v>0</v>
      </c>
      <c r="H306" s="1">
        <f>SUM(C306:G306)</f>
        <v>339</v>
      </c>
      <c r="I306" s="10">
        <f>D306/H306</f>
        <v>0.85545722713864303</v>
      </c>
      <c r="J306" s="11">
        <f>1-I306</f>
        <v>0.14454277286135697</v>
      </c>
      <c r="K306">
        <f>H306-D310</f>
        <v>-360</v>
      </c>
      <c r="N306" s="10">
        <f>2*(D311*I306)/(D311+I306)</f>
        <v>0.55876685934489401</v>
      </c>
      <c r="O306" s="1"/>
      <c r="P306" s="1"/>
    </row>
    <row r="307" spans="1:41" x14ac:dyDescent="0.3">
      <c r="A307" t="s">
        <v>5</v>
      </c>
      <c r="B307" s="13">
        <v>2</v>
      </c>
      <c r="C307" s="5">
        <v>0</v>
      </c>
      <c r="D307" s="1">
        <v>297</v>
      </c>
      <c r="E307" s="27">
        <v>6938</v>
      </c>
      <c r="F307" s="1">
        <v>113</v>
      </c>
      <c r="G307" s="6">
        <v>51</v>
      </c>
      <c r="H307" s="1">
        <f>SUM(C307:G307)</f>
        <v>7399</v>
      </c>
      <c r="I307" s="10">
        <f>E307/H307</f>
        <v>0.93769428301121771</v>
      </c>
      <c r="J307" s="11">
        <f>1-I307</f>
        <v>6.2305716988782289E-2</v>
      </c>
      <c r="K307">
        <f>H307-E310</f>
        <v>369</v>
      </c>
      <c r="N307" s="10">
        <f>2*(E311*I307)/(E311+I307)</f>
        <v>0.96167440571072149</v>
      </c>
      <c r="O307" s="1"/>
      <c r="P307" s="1"/>
      <c r="AM307" s="78"/>
      <c r="AN307" s="78"/>
      <c r="AO307" s="78"/>
    </row>
    <row r="308" spans="1:41" x14ac:dyDescent="0.3">
      <c r="A308" t="s">
        <v>6</v>
      </c>
      <c r="B308" s="13">
        <v>3</v>
      </c>
      <c r="C308" s="5">
        <v>0</v>
      </c>
      <c r="D308" s="1">
        <v>0</v>
      </c>
      <c r="E308" s="1">
        <v>23</v>
      </c>
      <c r="F308" s="27">
        <v>2413</v>
      </c>
      <c r="G308" s="6">
        <v>84</v>
      </c>
      <c r="H308" s="1">
        <f>SUM(C308:G308)</f>
        <v>2520</v>
      </c>
      <c r="I308" s="10">
        <f>F308/H308</f>
        <v>0.95753968253968258</v>
      </c>
      <c r="J308" s="11">
        <f>1-I308</f>
        <v>4.246031746031742E-2</v>
      </c>
      <c r="K308">
        <f>H308-F310</f>
        <v>-85</v>
      </c>
      <c r="N308" s="10">
        <f>2*(F311*I308)/(F311+I308)</f>
        <v>0.94165853658536602</v>
      </c>
      <c r="O308" s="1"/>
      <c r="P308" s="1"/>
    </row>
    <row r="309" spans="1:41" x14ac:dyDescent="0.3">
      <c r="A309" t="s">
        <v>7</v>
      </c>
      <c r="B309" s="13">
        <v>4</v>
      </c>
      <c r="C309" s="7">
        <v>0</v>
      </c>
      <c r="D309" s="8">
        <v>112</v>
      </c>
      <c r="E309" s="8">
        <v>20</v>
      </c>
      <c r="F309" s="8">
        <v>79</v>
      </c>
      <c r="G309" s="28">
        <v>734</v>
      </c>
      <c r="H309" s="1">
        <f>SUM(C309:G309)</f>
        <v>945</v>
      </c>
      <c r="I309" s="10">
        <f>G309/H309</f>
        <v>0.7767195767195767</v>
      </c>
      <c r="J309" s="11">
        <f>1-I309</f>
        <v>0.2232804232804233</v>
      </c>
      <c r="K309">
        <f>H309-G310</f>
        <v>76</v>
      </c>
      <c r="N309" s="10">
        <f>2*(G311*I309)/(G311+I309)</f>
        <v>0.80926130099228222</v>
      </c>
      <c r="O309" s="1"/>
      <c r="P309" s="1"/>
      <c r="AM309" s="78"/>
      <c r="AN309" s="78"/>
      <c r="AO309" s="78"/>
    </row>
    <row r="310" spans="1:41" ht="15.6" x14ac:dyDescent="0.35">
      <c r="B310" s="1" t="s">
        <v>19</v>
      </c>
      <c r="C310" s="1">
        <f>SUM(C305:C309)</f>
        <v>259</v>
      </c>
      <c r="D310" s="1">
        <f>SUM(D305:D309)</f>
        <v>699</v>
      </c>
      <c r="E310" s="1">
        <f>SUM(E305:E309)</f>
        <v>7030</v>
      </c>
      <c r="F310" s="1">
        <f>SUM(F305:F309)</f>
        <v>2605</v>
      </c>
      <c r="G310" s="1">
        <f>SUM(G305:G309)</f>
        <v>869</v>
      </c>
      <c r="H310" s="1">
        <f>SUM(H304:H309)</f>
        <v>11462</v>
      </c>
      <c r="I310" s="13" t="s">
        <v>12</v>
      </c>
      <c r="N310" s="16" t="s">
        <v>36</v>
      </c>
      <c r="O310" s="1">
        <f>SUM(O305:O309)</f>
        <v>0</v>
      </c>
      <c r="P310" s="1">
        <f>SUM(P305:P309)</f>
        <v>0</v>
      </c>
    </row>
    <row r="311" spans="1:41" x14ac:dyDescent="0.3">
      <c r="A311" s="1" t="s">
        <v>321</v>
      </c>
      <c r="B311" s="1" t="s">
        <v>2</v>
      </c>
      <c r="C311" s="10">
        <f>C305/C310</f>
        <v>1</v>
      </c>
      <c r="D311" s="10">
        <f>D306/D310</f>
        <v>0.41487839771101576</v>
      </c>
      <c r="E311" s="10">
        <f>E307/E310</f>
        <v>0.98691322901849221</v>
      </c>
      <c r="F311" s="10">
        <f>F308/F310</f>
        <v>0.92629558541266799</v>
      </c>
      <c r="G311" s="10">
        <f>G309/G310</f>
        <v>0.84464902186421176</v>
      </c>
      <c r="H311" s="10"/>
      <c r="I311" s="14">
        <f>(C305+D306+E307+F308+G309)/H310</f>
        <v>0.92776129820275699</v>
      </c>
      <c r="AM311" s="78"/>
      <c r="AN311" s="78"/>
      <c r="AO311" s="78"/>
    </row>
    <row r="312" spans="1:41" x14ac:dyDescent="0.3">
      <c r="B312" s="1" t="s">
        <v>14</v>
      </c>
      <c r="C312" s="11">
        <f>1-C311</f>
        <v>0</v>
      </c>
      <c r="D312" s="11">
        <f>1-D311</f>
        <v>0.58512160228898424</v>
      </c>
      <c r="E312" s="11">
        <f>1-E311</f>
        <v>1.3086770981507789E-2</v>
      </c>
      <c r="F312" s="11">
        <f>1-F311</f>
        <v>7.3704414587332012E-2</v>
      </c>
      <c r="G312" s="11">
        <f>1-G311</f>
        <v>0.15535097813578824</v>
      </c>
      <c r="Q312" s="25"/>
    </row>
    <row r="313" spans="1:41" x14ac:dyDescent="0.3">
      <c r="C313" s="2"/>
      <c r="Q313" s="25"/>
      <c r="AM313" s="78"/>
      <c r="AN313" s="78"/>
      <c r="AO313" s="78"/>
    </row>
    <row r="314" spans="1:41" ht="15.6" x14ac:dyDescent="0.35">
      <c r="A314" t="s">
        <v>322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1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  <c r="AO315" s="78"/>
    </row>
    <row r="316" spans="1:41" x14ac:dyDescent="0.3">
      <c r="A316" t="s">
        <v>3</v>
      </c>
      <c r="B316" s="13">
        <v>0</v>
      </c>
      <c r="C316" s="29">
        <f>(C305/$L316)*$O316</f>
        <v>1.4057729154522971</v>
      </c>
      <c r="D316" s="31">
        <f>(D305/$L316)*$O316</f>
        <v>0</v>
      </c>
      <c r="E316" s="31">
        <f>(E305/$L316)*$O316</f>
        <v>0</v>
      </c>
      <c r="F316" s="31">
        <f>(F305/$L316)*$O316</f>
        <v>0</v>
      </c>
      <c r="G316" s="32">
        <f>(G305/$L316)*$O316</f>
        <v>0</v>
      </c>
      <c r="H316" s="17">
        <f>SUM(C316:G316)</f>
        <v>1.4057729154522971</v>
      </c>
      <c r="I316" s="17">
        <f>C316/H316*100</f>
        <v>100</v>
      </c>
      <c r="J316" s="17">
        <f>SQRT(I316*(100-I316)/(L316-1))</f>
        <v>0</v>
      </c>
      <c r="K316" s="18">
        <f>100-I316</f>
        <v>0</v>
      </c>
      <c r="L316" s="1">
        <f>H305</f>
        <v>259</v>
      </c>
      <c r="M316">
        <v>0</v>
      </c>
      <c r="N316" s="1">
        <v>2506.7199999999998</v>
      </c>
      <c r="O316" s="17">
        <f>N316/N321*100</f>
        <v>1.4057729154522971</v>
      </c>
      <c r="P316" s="52">
        <f>((O316*O316*(I316/100)*(K316/100))/(L316-1))</f>
        <v>0</v>
      </c>
    </row>
    <row r="317" spans="1:41" x14ac:dyDescent="0.3">
      <c r="A317" t="s">
        <v>4</v>
      </c>
      <c r="B317" s="13">
        <v>1</v>
      </c>
      <c r="C317" s="33">
        <f t="shared" ref="C317:G320" si="52">(C306/$L317)*$O317</f>
        <v>0</v>
      </c>
      <c r="D317" s="34">
        <f t="shared" si="52"/>
        <v>5.1932587729135431</v>
      </c>
      <c r="E317" s="19">
        <f t="shared" si="52"/>
        <v>0.87748165473366768</v>
      </c>
      <c r="F317" s="18">
        <f t="shared" si="52"/>
        <v>0</v>
      </c>
      <c r="G317" s="20">
        <f t="shared" si="52"/>
        <v>0</v>
      </c>
      <c r="H317" s="17">
        <f>SUM(C317:G317)</f>
        <v>6.0707404276472108</v>
      </c>
      <c r="I317" s="17">
        <f>D317/H317*100</f>
        <v>85.545722713864308</v>
      </c>
      <c r="J317" s="17">
        <f>SQRT(I317*(100-I317)/(L317-1))</f>
        <v>1.9126653517482657</v>
      </c>
      <c r="K317" s="18">
        <f>100-I317</f>
        <v>14.454277286135692</v>
      </c>
      <c r="L317" s="1">
        <f>H306</f>
        <v>339</v>
      </c>
      <c r="M317">
        <v>1</v>
      </c>
      <c r="N317" s="1">
        <v>10825.11</v>
      </c>
      <c r="O317" s="17">
        <f>N317/N321*100</f>
        <v>6.0707404276472108</v>
      </c>
      <c r="P317" s="52">
        <f>((O317*O317*(I317/100)*(K317/100))/(L317-1))</f>
        <v>1.3482216868391452E-2</v>
      </c>
      <c r="AM317" s="78"/>
      <c r="AN317" s="78"/>
      <c r="AO317" s="78"/>
    </row>
    <row r="318" spans="1:41" x14ac:dyDescent="0.3">
      <c r="A318" t="s">
        <v>5</v>
      </c>
      <c r="B318" s="13">
        <v>2</v>
      </c>
      <c r="C318" s="33">
        <f t="shared" si="52"/>
        <v>0</v>
      </c>
      <c r="D318" s="19">
        <f t="shared" si="52"/>
        <v>2.4121090610413738</v>
      </c>
      <c r="E318" s="34">
        <f t="shared" si="52"/>
        <v>56.347517392272906</v>
      </c>
      <c r="F318" s="19">
        <f t="shared" si="52"/>
        <v>0.91773846430193684</v>
      </c>
      <c r="G318" s="20">
        <f t="shared" si="52"/>
        <v>0.4142005458353874</v>
      </c>
      <c r="H318" s="17">
        <f>SUM(C318:G318)</f>
        <v>60.091565463451602</v>
      </c>
      <c r="I318" s="17">
        <f>E318/H318*100</f>
        <v>93.769428301121778</v>
      </c>
      <c r="J318" s="17">
        <f>SQRT(I318*(100-I318)/(L318-1))</f>
        <v>0.28102012306808649</v>
      </c>
      <c r="K318" s="18">
        <f>100-I318</f>
        <v>6.2305716988782223</v>
      </c>
      <c r="L318" s="1">
        <f>H307</f>
        <v>7399</v>
      </c>
      <c r="M318">
        <v>2</v>
      </c>
      <c r="N318" s="1">
        <v>107152.96000000001</v>
      </c>
      <c r="O318" s="17">
        <f>N318/N321*100</f>
        <v>60.091565463451602</v>
      </c>
      <c r="P318" s="52">
        <f>((O318*O318*(I318/100)*(K318/100))/(L318-1))</f>
        <v>2.8516871290652529E-2</v>
      </c>
    </row>
    <row r="319" spans="1:41" x14ac:dyDescent="0.3">
      <c r="A319" t="s">
        <v>6</v>
      </c>
      <c r="B319" s="13">
        <v>3</v>
      </c>
      <c r="C319" s="33">
        <f t="shared" si="52"/>
        <v>0</v>
      </c>
      <c r="D319" s="19">
        <f t="shared" si="52"/>
        <v>0</v>
      </c>
      <c r="E319" s="19">
        <f t="shared" si="52"/>
        <v>0.19271169928423948</v>
      </c>
      <c r="F319" s="34">
        <f t="shared" si="52"/>
        <v>20.21797088577695</v>
      </c>
      <c r="G319" s="20">
        <f t="shared" si="52"/>
        <v>0.70381664086417894</v>
      </c>
      <c r="H319" s="17">
        <f>SUM(C319:G319)</f>
        <v>21.114499225925368</v>
      </c>
      <c r="I319" s="17">
        <f>F319/H319*100</f>
        <v>95.753968253968253</v>
      </c>
      <c r="J319" s="17">
        <f>SQRT(I319*(100-I319)/(L319-1))</f>
        <v>0.40175003684622229</v>
      </c>
      <c r="K319" s="18">
        <f>100-I319</f>
        <v>4.2460317460317469</v>
      </c>
      <c r="L319" s="1">
        <f>H308</f>
        <v>2520</v>
      </c>
      <c r="M319">
        <v>3</v>
      </c>
      <c r="N319" s="1">
        <v>37650.559999999998</v>
      </c>
      <c r="O319" s="17">
        <f>N319/N321*100</f>
        <v>21.114499225925368</v>
      </c>
      <c r="P319" s="52">
        <f>((O319*O319*(I319/100)*(K319/100))/(L319-1))</f>
        <v>7.1957061847537354E-3</v>
      </c>
      <c r="AM319" s="78"/>
      <c r="AN319" s="78"/>
      <c r="AO319" s="78"/>
    </row>
    <row r="320" spans="1:41" x14ac:dyDescent="0.3">
      <c r="A320" t="s">
        <v>7</v>
      </c>
      <c r="B320" s="13">
        <v>4</v>
      </c>
      <c r="C320" s="35">
        <f t="shared" si="52"/>
        <v>0</v>
      </c>
      <c r="D320" s="36">
        <f t="shared" si="52"/>
        <v>1.3413240850398249</v>
      </c>
      <c r="E320" s="21">
        <f t="shared" si="52"/>
        <v>0.23952215804282584</v>
      </c>
      <c r="F320" s="21">
        <f t="shared" si="52"/>
        <v>0.94611252426916226</v>
      </c>
      <c r="G320" s="37">
        <f t="shared" si="52"/>
        <v>8.7904632001717093</v>
      </c>
      <c r="H320" s="17">
        <f>SUM(C320:G320)</f>
        <v>11.317421967523522</v>
      </c>
      <c r="I320" s="17">
        <f>G320/H320*100</f>
        <v>77.671957671957671</v>
      </c>
      <c r="J320" s="17">
        <f>SQRT(I320*(100-I320)/(L320-1))</f>
        <v>1.3554123921359515</v>
      </c>
      <c r="K320" s="18">
        <f>100-I320</f>
        <v>22.328042328042329</v>
      </c>
      <c r="L320" s="1">
        <f>H309</f>
        <v>945</v>
      </c>
      <c r="M320">
        <v>4</v>
      </c>
      <c r="N320" s="1">
        <v>20180.79</v>
      </c>
      <c r="O320" s="17">
        <f>N320/N321*100</f>
        <v>11.317421967523522</v>
      </c>
      <c r="P320" s="52">
        <f>((O320*O320*(I320/100)*(K320/100))/(L320-1))</f>
        <v>2.3530866581310778E-2</v>
      </c>
    </row>
    <row r="321" spans="1:41" x14ac:dyDescent="0.3">
      <c r="B321" t="s">
        <v>28</v>
      </c>
      <c r="C321" s="17">
        <f t="shared" ref="C321:H321" si="53">SUM(C316:C320)</f>
        <v>1.4057729154522971</v>
      </c>
      <c r="D321" s="17">
        <f t="shared" si="53"/>
        <v>8.9466919189947411</v>
      </c>
      <c r="E321" s="17">
        <f t="shared" si="53"/>
        <v>57.65723290433364</v>
      </c>
      <c r="F321" s="17">
        <f t="shared" si="53"/>
        <v>22.081821874348048</v>
      </c>
      <c r="G321" s="17">
        <f t="shared" si="53"/>
        <v>9.9084803868712754</v>
      </c>
      <c r="H321" s="18">
        <f t="shared" si="53"/>
        <v>100</v>
      </c>
      <c r="I321" s="13" t="s">
        <v>24</v>
      </c>
      <c r="J321" s="12" t="s">
        <v>29</v>
      </c>
      <c r="N321" s="1">
        <f>SUM(N316:N320)</f>
        <v>178316.14</v>
      </c>
      <c r="O321" s="17">
        <f>SUM(O316:O320)</f>
        <v>100</v>
      </c>
      <c r="AM321" s="78"/>
      <c r="AN321" s="78"/>
      <c r="AO321" s="78"/>
    </row>
    <row r="322" spans="1:41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0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0.21542098701609602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0.2153212633466173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0.15784810319855572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0.18040867061253565</v>
      </c>
      <c r="H322" s="1"/>
      <c r="I322" s="14">
        <f>(C316+D317+E318+F319+G320)/H321</f>
        <v>0.91954983166587412</v>
      </c>
      <c r="J322" s="53">
        <f>SQRT(SUM(P316:P320))/100</f>
        <v>2.6967695660754646E-3</v>
      </c>
      <c r="M322" s="1"/>
      <c r="N322" s="9"/>
    </row>
    <row r="323" spans="1:41" x14ac:dyDescent="0.3">
      <c r="B323" s="1" t="s">
        <v>30</v>
      </c>
      <c r="C323" s="17">
        <f>C316/C321*100</f>
        <v>100</v>
      </c>
      <c r="D323" s="17">
        <f>D317/D321*100</f>
        <v>58.046692788065322</v>
      </c>
      <c r="E323" s="17">
        <f>E318/E321*100</f>
        <v>97.728445424646296</v>
      </c>
      <c r="F323" s="17">
        <f>F319/F321*100</f>
        <v>91.559342344227986</v>
      </c>
      <c r="G323" s="17">
        <f>G320/G321*100</f>
        <v>88.716562549985582</v>
      </c>
      <c r="H323" s="1"/>
      <c r="AM323" s="78"/>
      <c r="AN323" s="78"/>
      <c r="AO323" s="78"/>
    </row>
    <row r="324" spans="1:41" x14ac:dyDescent="0.3">
      <c r="B324" s="16" t="s">
        <v>39</v>
      </c>
      <c r="C324" s="18">
        <f>SQRT((C327+C328)/(C321*C321))</f>
        <v>0</v>
      </c>
      <c r="D324" s="18">
        <f>SQRT((D327+D328)/(D321*D321))</f>
        <v>5.5708640730308581</v>
      </c>
      <c r="E324" s="18">
        <f>SQRT((E327+E328)/(E321*E321))</f>
        <v>0.23629323161411173</v>
      </c>
      <c r="F324" s="18">
        <f>SQRT((F327+F328)/(F321*F321))</f>
        <v>0.64034873356180477</v>
      </c>
      <c r="G324" s="18">
        <f>SQRT((G327+G328)/(G321*G321))</f>
        <v>1.9433181959844956</v>
      </c>
      <c r="H324" s="1"/>
    </row>
    <row r="325" spans="1:41" x14ac:dyDescent="0.3">
      <c r="B325" s="1" t="s">
        <v>37</v>
      </c>
      <c r="C325" s="18">
        <f>100-C323</f>
        <v>0</v>
      </c>
      <c r="D325" s="18">
        <f>100-D323</f>
        <v>41.953307211934678</v>
      </c>
      <c r="E325" s="18">
        <f>100-E323</f>
        <v>2.2715545753537043</v>
      </c>
      <c r="F325" s="18">
        <f>100-F323</f>
        <v>8.4406576557720143</v>
      </c>
      <c r="G325" s="18">
        <f>100-G323</f>
        <v>11.283437450014418</v>
      </c>
      <c r="AM325" s="78"/>
      <c r="AN325" s="78"/>
      <c r="AO325" s="78"/>
    </row>
    <row r="326" spans="1:41" ht="15.6" x14ac:dyDescent="0.35">
      <c r="B326" s="1" t="s">
        <v>25</v>
      </c>
      <c r="C326" s="1">
        <f>C310</f>
        <v>259</v>
      </c>
      <c r="D326" s="1">
        <f>D310</f>
        <v>699</v>
      </c>
      <c r="E326" s="1">
        <f>E310</f>
        <v>7030</v>
      </c>
      <c r="F326" s="1">
        <f>F310</f>
        <v>2605</v>
      </c>
      <c r="G326" s="1">
        <f>G310</f>
        <v>869</v>
      </c>
    </row>
    <row r="327" spans="1:41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2372.9780077223159</v>
      </c>
      <c r="E327" s="18">
        <f>(O318*O318*(100-E323)*(100-E323)*(I318)*(100-I318))/((L318-1)*100)</f>
        <v>14.714592056919576</v>
      </c>
      <c r="F327" s="18">
        <f>(O319*O319*(100-F323)*(100-F323)*(I319)*(100-I319))/((L319-1)*100)</f>
        <v>51.265594037977593</v>
      </c>
      <c r="G327" s="18">
        <f>(O320*O320*(100-G323)*(100-G323)*(I320)*(100-I320))/((L320-1)*100)</f>
        <v>299.58548846298629</v>
      </c>
      <c r="AM327" s="78"/>
    </row>
    <row r="328" spans="1:41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111.12779385848917</v>
      </c>
      <c r="E328" s="18">
        <f>E323*E323*(SUM((H316*E316*(1-E305/H305))/(H305-1),(H317*E317*(1-E306/H306))/(H306-1), (H319*E319*(1-E308/H308))/(H308-1),(H320*E320*(1-E309/H309))/(H309-1)))</f>
        <v>170.89916238781598</v>
      </c>
      <c r="F328" s="18">
        <f>F323*F323*(SUM((H316*F316*(1-F305/H305))/(H305-1),(H317*F317*(1-F306/H306))/(H306-1), (H318*F318*(1-F307/H307))/(H307-1),(H320*F320*(1-F309/H309))/(H309-1)))</f>
        <v>148.67589144995253</v>
      </c>
      <c r="G328" s="18">
        <f>G323*G323*(SUM((H316*G316*(1-G305/H305))/(H305-1),(H317*G317*(1-G306/H306))/(H306-1), (H318*G318*(1-G307/H307))/(H307-1),(H319*G319*(1-G308/H308))/(H308-1)))</f>
        <v>71.182253817323542</v>
      </c>
    </row>
    <row r="329" spans="1:41" x14ac:dyDescent="0.3">
      <c r="A329" s="105" t="s">
        <v>390</v>
      </c>
      <c r="B329" s="69" t="s">
        <v>9</v>
      </c>
      <c r="C329" s="1">
        <v>273.24</v>
      </c>
      <c r="D329" s="1">
        <v>1556.97</v>
      </c>
      <c r="E329" s="1">
        <v>15787.75</v>
      </c>
      <c r="F329" s="1">
        <v>2178.41</v>
      </c>
      <c r="G329" s="1">
        <v>1726.38</v>
      </c>
      <c r="I329" t="s">
        <v>36</v>
      </c>
      <c r="J329" s="57">
        <f>SUM(C329:G329)</f>
        <v>21522.75</v>
      </c>
      <c r="AM329" s="78"/>
    </row>
    <row r="330" spans="1:41" x14ac:dyDescent="0.3">
      <c r="B330" t="s">
        <v>391</v>
      </c>
      <c r="C330" s="57">
        <f>(C329/$J329)*100</f>
        <v>1.269540370073527</v>
      </c>
      <c r="D330" s="57">
        <f>(D329/$J329)*100</f>
        <v>7.2340662787050913</v>
      </c>
      <c r="E330" s="57">
        <f>(E329/$J329)*100</f>
        <v>73.353776817553523</v>
      </c>
      <c r="F330" s="57">
        <f>(F329/$J329)*100</f>
        <v>10.121429650021488</v>
      </c>
      <c r="G330" s="57">
        <f>(G329/$J329)*100</f>
        <v>8.0211868836463758</v>
      </c>
    </row>
    <row r="331" spans="1:41" x14ac:dyDescent="0.3">
      <c r="A331" s="361" t="s">
        <v>401</v>
      </c>
      <c r="B331" s="361"/>
      <c r="C331" s="361"/>
      <c r="D331" s="361"/>
      <c r="E331" s="361"/>
      <c r="F331" s="361"/>
      <c r="G331" s="361"/>
      <c r="H331" s="361"/>
      <c r="I331" s="361"/>
      <c r="J331" s="361"/>
      <c r="K331" s="361"/>
      <c r="L331" s="361" t="s">
        <v>89</v>
      </c>
      <c r="M331" s="361"/>
      <c r="N331" s="361"/>
      <c r="O331" s="361"/>
      <c r="P331" s="361"/>
      <c r="AM331" s="78"/>
    </row>
    <row r="332" spans="1:41" x14ac:dyDescent="0.3">
      <c r="A332" t="s">
        <v>320</v>
      </c>
      <c r="B332" t="s">
        <v>21</v>
      </c>
      <c r="I332" s="1" t="s">
        <v>58</v>
      </c>
      <c r="O332" s="360" t="s">
        <v>411</v>
      </c>
      <c r="P332" s="360"/>
    </row>
    <row r="333" spans="1:41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56</v>
      </c>
      <c r="O333" s="13" t="s">
        <v>412</v>
      </c>
      <c r="P333" s="13" t="s">
        <v>41</v>
      </c>
      <c r="AM333" s="78"/>
    </row>
    <row r="334" spans="1:41" x14ac:dyDescent="0.3">
      <c r="A334" t="s">
        <v>3</v>
      </c>
      <c r="B334" s="13">
        <v>0</v>
      </c>
      <c r="C334" s="26">
        <v>259</v>
      </c>
      <c r="D334" s="3">
        <v>0</v>
      </c>
      <c r="E334" s="3">
        <v>0</v>
      </c>
      <c r="F334" s="3">
        <v>0</v>
      </c>
      <c r="G334" s="4">
        <v>0</v>
      </c>
      <c r="H334" s="1">
        <f>SUM(C334:G334)</f>
        <v>259</v>
      </c>
      <c r="I334" s="10">
        <f>C334/H334</f>
        <v>1</v>
      </c>
      <c r="J334" s="11">
        <f>1-I334</f>
        <v>0</v>
      </c>
      <c r="K334">
        <f>H334-C339</f>
        <v>0</v>
      </c>
      <c r="N334" s="10">
        <f>2*(C340*I334)/(C340+I334)</f>
        <v>1</v>
      </c>
      <c r="O334" s="1"/>
      <c r="P334" s="1"/>
    </row>
    <row r="335" spans="1:41" x14ac:dyDescent="0.3">
      <c r="A335" t="s">
        <v>4</v>
      </c>
      <c r="B335" s="13">
        <v>1</v>
      </c>
      <c r="C335" s="5">
        <v>0</v>
      </c>
      <c r="D335" s="27">
        <v>296</v>
      </c>
      <c r="E335" s="1">
        <v>43</v>
      </c>
      <c r="F335" s="1">
        <v>0</v>
      </c>
      <c r="G335" s="6">
        <v>0</v>
      </c>
      <c r="H335" s="1">
        <f>SUM(C335:G335)</f>
        <v>339</v>
      </c>
      <c r="I335" s="10">
        <f>D335/H335</f>
        <v>0.87315634218289084</v>
      </c>
      <c r="J335" s="11">
        <f>1-I335</f>
        <v>0.12684365781710916</v>
      </c>
      <c r="K335">
        <f>H335-D339</f>
        <v>-392</v>
      </c>
      <c r="N335" s="10">
        <f>2*(D340*I335)/(D340+I335)</f>
        <v>0.55327102803738315</v>
      </c>
      <c r="O335" s="1"/>
      <c r="P335" s="1"/>
      <c r="AM335" s="78"/>
    </row>
    <row r="336" spans="1:41" x14ac:dyDescent="0.3">
      <c r="A336" t="s">
        <v>5</v>
      </c>
      <c r="B336" s="13">
        <v>2</v>
      </c>
      <c r="C336" s="5">
        <v>0</v>
      </c>
      <c r="D336" s="1">
        <v>332</v>
      </c>
      <c r="E336" s="27">
        <v>6897</v>
      </c>
      <c r="F336" s="1">
        <v>114</v>
      </c>
      <c r="G336" s="6">
        <v>56</v>
      </c>
      <c r="H336" s="1">
        <f>SUM(C336:G336)</f>
        <v>7399</v>
      </c>
      <c r="I336" s="10">
        <f>E336/H336</f>
        <v>0.93215299364779025</v>
      </c>
      <c r="J336" s="11">
        <f>1-I336</f>
        <v>6.7847006352209749E-2</v>
      </c>
      <c r="K336">
        <f>H336-E339</f>
        <v>408</v>
      </c>
      <c r="N336" s="10">
        <f>2*(E340*I336)/(E340+I336)</f>
        <v>0.95858234885337035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0</v>
      </c>
      <c r="E337" s="1">
        <v>21</v>
      </c>
      <c r="F337" s="27">
        <v>2409</v>
      </c>
      <c r="G337" s="6">
        <v>90</v>
      </c>
      <c r="H337" s="1">
        <f>SUM(C337:G337)</f>
        <v>2520</v>
      </c>
      <c r="I337" s="10">
        <f>F337/H337</f>
        <v>0.955952380952381</v>
      </c>
      <c r="J337" s="11">
        <f>1-I337</f>
        <v>4.4047619047619002E-2</v>
      </c>
      <c r="K337">
        <f>H337-F339</f>
        <v>-83</v>
      </c>
      <c r="N337" s="10">
        <f>2*(F340*I337)/(F340+I337)</f>
        <v>0.9404645715401132</v>
      </c>
      <c r="O337" s="1"/>
      <c r="P337" s="1"/>
      <c r="AM337" s="78"/>
    </row>
    <row r="338" spans="1:40" x14ac:dyDescent="0.3">
      <c r="A338" t="s">
        <v>7</v>
      </c>
      <c r="B338" s="13">
        <v>4</v>
      </c>
      <c r="C338" s="7">
        <v>0</v>
      </c>
      <c r="D338" s="8">
        <v>103</v>
      </c>
      <c r="E338" s="8">
        <v>30</v>
      </c>
      <c r="F338" s="8">
        <v>80</v>
      </c>
      <c r="G338" s="28">
        <v>732</v>
      </c>
      <c r="H338" s="1">
        <f>SUM(C338:G338)</f>
        <v>945</v>
      </c>
      <c r="I338" s="10">
        <f>G338/H338</f>
        <v>0.77460317460317463</v>
      </c>
      <c r="J338" s="11">
        <f>1-I338</f>
        <v>0.22539682539682537</v>
      </c>
      <c r="K338">
        <f>H338-G339</f>
        <v>67</v>
      </c>
      <c r="N338" s="10">
        <f>2*(G340*I338)/(G340+I338)</f>
        <v>0.80307185957213389</v>
      </c>
      <c r="O338" s="1"/>
      <c r="P338" s="1"/>
    </row>
    <row r="339" spans="1:40" ht="15.6" x14ac:dyDescent="0.35">
      <c r="B339" s="1" t="s">
        <v>19</v>
      </c>
      <c r="C339" s="1">
        <f>SUM(C334:C338)</f>
        <v>259</v>
      </c>
      <c r="D339" s="1">
        <f>SUM(D334:D338)</f>
        <v>731</v>
      </c>
      <c r="E339" s="1">
        <f>SUM(E334:E338)</f>
        <v>6991</v>
      </c>
      <c r="F339" s="1">
        <f>SUM(F334:F338)</f>
        <v>2603</v>
      </c>
      <c r="G339" s="1">
        <f>SUM(G334:G338)</f>
        <v>878</v>
      </c>
      <c r="H339" s="1">
        <f>SUM(H333:H338)</f>
        <v>11462</v>
      </c>
      <c r="I339" s="13" t="s">
        <v>12</v>
      </c>
      <c r="N339" s="16" t="s">
        <v>36</v>
      </c>
      <c r="O339" s="1">
        <f>SUM(O334:O338)</f>
        <v>0</v>
      </c>
      <c r="P339" s="1">
        <f>SUM(P334:P338)</f>
        <v>0</v>
      </c>
      <c r="AM339" s="78"/>
    </row>
    <row r="340" spans="1:40" x14ac:dyDescent="0.3">
      <c r="A340" s="1" t="s">
        <v>321</v>
      </c>
      <c r="B340" s="1" t="s">
        <v>2</v>
      </c>
      <c r="C340" s="10">
        <f>C334/C339</f>
        <v>1</v>
      </c>
      <c r="D340" s="10">
        <f>D335/D339</f>
        <v>0.40492476060191518</v>
      </c>
      <c r="E340" s="10">
        <f>E336/E339</f>
        <v>0.98655414103847805</v>
      </c>
      <c r="F340" s="10">
        <f>F337/F339</f>
        <v>0.92547061083365345</v>
      </c>
      <c r="G340" s="10">
        <f>G338/G339</f>
        <v>0.83371298405466976</v>
      </c>
      <c r="H340" s="10"/>
      <c r="I340" s="14">
        <f>(C334+D335+E336+F337+G338)/H339</f>
        <v>0.92418426103646834</v>
      </c>
    </row>
    <row r="341" spans="1:40" x14ac:dyDescent="0.3">
      <c r="B341" s="1" t="s">
        <v>14</v>
      </c>
      <c r="C341" s="11">
        <f>1-C340</f>
        <v>0</v>
      </c>
      <c r="D341" s="11">
        <f>1-D340</f>
        <v>0.59507523939808482</v>
      </c>
      <c r="E341" s="11">
        <f>1-E340</f>
        <v>1.344585896152195E-2</v>
      </c>
      <c r="F341" s="11">
        <f>1-F340</f>
        <v>7.4529389166346549E-2</v>
      </c>
      <c r="G341" s="11">
        <f>1-G340</f>
        <v>0.16628701594533024</v>
      </c>
      <c r="AM341" s="78"/>
      <c r="AN341" s="78"/>
    </row>
    <row r="342" spans="1:40" x14ac:dyDescent="0.3">
      <c r="C342" s="2"/>
    </row>
    <row r="343" spans="1:40" ht="15.6" x14ac:dyDescent="0.35">
      <c r="A343" t="s">
        <v>322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1.4189012044057701</v>
      </c>
      <c r="D345" s="31">
        <f>(D334/$L345)*$O345</f>
        <v>0</v>
      </c>
      <c r="E345" s="31">
        <f>(E334/$L345)*$O345</f>
        <v>0</v>
      </c>
      <c r="F345" s="31">
        <f>(F334/$L345)*$O345</f>
        <v>0</v>
      </c>
      <c r="G345" s="32">
        <f>(G334/$L345)*$O345</f>
        <v>0</v>
      </c>
      <c r="H345" s="17">
        <f>SUM(C345:G345)</f>
        <v>1.4189012044057701</v>
      </c>
      <c r="I345" s="17">
        <f>C345/H345*100</f>
        <v>100</v>
      </c>
      <c r="J345" s="17">
        <f>SQRT(I345*(100-I345)/(L345-1))</f>
        <v>0</v>
      </c>
      <c r="K345" s="18">
        <f>100-I345</f>
        <v>0</v>
      </c>
      <c r="L345" s="1">
        <f>H334</f>
        <v>259</v>
      </c>
      <c r="M345">
        <v>0</v>
      </c>
      <c r="N345" s="1">
        <v>2530.13</v>
      </c>
      <c r="O345" s="17">
        <f>N345/N350*100</f>
        <v>1.4189012044057701</v>
      </c>
      <c r="P345" s="52">
        <f>((O345*O345*(I345/100)*(K345/100))/(L345-1))</f>
        <v>0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54">(C335/$L346)*$O346</f>
        <v>0</v>
      </c>
      <c r="D346" s="34">
        <f t="shared" si="54"/>
        <v>5.3717363852486066</v>
      </c>
      <c r="E346" s="19">
        <f t="shared" si="54"/>
        <v>0.78035359650570979</v>
      </c>
      <c r="F346" s="18">
        <f t="shared" si="54"/>
        <v>0</v>
      </c>
      <c r="G346" s="20">
        <f t="shared" si="54"/>
        <v>0</v>
      </c>
      <c r="H346" s="17">
        <f>SUM(C346:G346)</f>
        <v>6.1520899817543162</v>
      </c>
      <c r="I346" s="17">
        <f>D346/H346*100</f>
        <v>87.315634218289091</v>
      </c>
      <c r="J346" s="17">
        <f>SQRT(I346*(100-I346)/(L346-1))</f>
        <v>1.8101811368440324</v>
      </c>
      <c r="K346" s="18">
        <f>100-I346</f>
        <v>12.684365781710909</v>
      </c>
      <c r="L346" s="1">
        <f>H335</f>
        <v>339</v>
      </c>
      <c r="M346">
        <v>1</v>
      </c>
      <c r="N346" s="1">
        <v>10970.17</v>
      </c>
      <c r="O346" s="17">
        <f>N346/N350*100</f>
        <v>6.1520899817543162</v>
      </c>
      <c r="P346" s="52">
        <f>((O346*O346*(I346/100)*(K346/100))/(L346-1))</f>
        <v>1.2401934342335295E-2</v>
      </c>
    </row>
    <row r="347" spans="1:40" x14ac:dyDescent="0.3">
      <c r="A347" t="s">
        <v>5</v>
      </c>
      <c r="B347" s="13">
        <v>2</v>
      </c>
      <c r="C347" s="33">
        <f t="shared" si="54"/>
        <v>0</v>
      </c>
      <c r="D347" s="19">
        <f t="shared" si="54"/>
        <v>2.7017273242654269</v>
      </c>
      <c r="E347" s="34">
        <f t="shared" si="54"/>
        <v>56.125943841742917</v>
      </c>
      <c r="F347" s="19">
        <f t="shared" si="54"/>
        <v>0.92770155110318875</v>
      </c>
      <c r="G347" s="20">
        <f t="shared" si="54"/>
        <v>0.45571304264718038</v>
      </c>
      <c r="H347" s="17">
        <f>SUM(C347:G347)</f>
        <v>60.211085759758717</v>
      </c>
      <c r="I347" s="17">
        <f>E347/H347*100</f>
        <v>93.215299364779014</v>
      </c>
      <c r="J347" s="17">
        <f>SQRT(I347*(100-I347)/(L347-1))</f>
        <v>0.29238277304053778</v>
      </c>
      <c r="K347" s="18">
        <f>100-I347</f>
        <v>6.784700635220986</v>
      </c>
      <c r="L347" s="1">
        <f>H336</f>
        <v>7399</v>
      </c>
      <c r="M347">
        <v>2</v>
      </c>
      <c r="N347" s="1">
        <v>107366.09</v>
      </c>
      <c r="O347" s="17">
        <f>N347/N350*100</f>
        <v>60.21108575975871</v>
      </c>
      <c r="P347" s="52">
        <f>((O347*O347*(I347/100)*(K347/100))/(L347-1))</f>
        <v>3.0992490656407787E-2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54"/>
        <v>0</v>
      </c>
      <c r="D348" s="19">
        <f t="shared" si="54"/>
        <v>0</v>
      </c>
      <c r="E348" s="19">
        <f t="shared" si="54"/>
        <v>0.17481763897063349</v>
      </c>
      <c r="F348" s="34">
        <f t="shared" si="54"/>
        <v>20.054080584774102</v>
      </c>
      <c r="G348" s="20">
        <f t="shared" si="54"/>
        <v>0.7492184527312864</v>
      </c>
      <c r="H348" s="17">
        <f>SUM(C348:G348)</f>
        <v>20.978116676476024</v>
      </c>
      <c r="I348" s="17">
        <f>F348/H348*100</f>
        <v>95.595238095238088</v>
      </c>
      <c r="J348" s="17">
        <f>SQRT(I348*(100-I348)/(L348-1))</f>
        <v>0.40885118879200699</v>
      </c>
      <c r="K348" s="18">
        <f>100-I348</f>
        <v>4.4047619047619122</v>
      </c>
      <c r="L348" s="1">
        <f>H337</f>
        <v>2520</v>
      </c>
      <c r="M348">
        <v>3</v>
      </c>
      <c r="N348" s="1">
        <v>37407.370000000003</v>
      </c>
      <c r="O348" s="17">
        <f>N348/N350*100</f>
        <v>20.97811667647602</v>
      </c>
      <c r="P348" s="52">
        <f>((O348*O348*(I348/100)*(K348/100))/(L348-1))</f>
        <v>7.3563692918737758E-3</v>
      </c>
    </row>
    <row r="349" spans="1:40" x14ac:dyDescent="0.3">
      <c r="A349" t="s">
        <v>7</v>
      </c>
      <c r="B349" s="13">
        <v>4</v>
      </c>
      <c r="C349" s="35">
        <f t="shared" si="54"/>
        <v>0</v>
      </c>
      <c r="D349" s="36">
        <f t="shared" si="54"/>
        <v>1.2250794252839494</v>
      </c>
      <c r="E349" s="21">
        <f t="shared" si="54"/>
        <v>0.35681925008270371</v>
      </c>
      <c r="F349" s="21">
        <f t="shared" si="54"/>
        <v>0.95151800022054334</v>
      </c>
      <c r="G349" s="37">
        <f t="shared" si="54"/>
        <v>8.7063897020179724</v>
      </c>
      <c r="H349" s="17">
        <f>SUM(C349:G349)</f>
        <v>11.239806377605168</v>
      </c>
      <c r="I349" s="17">
        <f>G349/H349*100</f>
        <v>77.460317460317469</v>
      </c>
      <c r="J349" s="17">
        <f>SQRT(I349*(100-I349)/(L349-1))</f>
        <v>1.3599643895584705</v>
      </c>
      <c r="K349" s="18">
        <f>100-I349</f>
        <v>22.539682539682531</v>
      </c>
      <c r="L349" s="1">
        <f>H338</f>
        <v>945</v>
      </c>
      <c r="M349">
        <v>4</v>
      </c>
      <c r="N349" s="1">
        <v>20042.39</v>
      </c>
      <c r="O349" s="17">
        <f>N349/N350*100</f>
        <v>11.239806377605168</v>
      </c>
      <c r="P349" s="52">
        <f>((O349*O349*(I349/100)*(K349/100))/(L349-1))</f>
        <v>2.3365373787344251E-2</v>
      </c>
      <c r="AM349" s="78"/>
      <c r="AN349" s="78"/>
    </row>
    <row r="350" spans="1:40" x14ac:dyDescent="0.3">
      <c r="B350" t="s">
        <v>28</v>
      </c>
      <c r="C350" s="17">
        <f t="shared" ref="C350:H350" si="55">SUM(C345:C349)</f>
        <v>1.4189012044057701</v>
      </c>
      <c r="D350" s="17">
        <f t="shared" si="55"/>
        <v>9.298543134797983</v>
      </c>
      <c r="E350" s="17">
        <f t="shared" si="55"/>
        <v>57.43793432730196</v>
      </c>
      <c r="F350" s="17">
        <f t="shared" si="55"/>
        <v>21.933300136097831</v>
      </c>
      <c r="G350" s="17">
        <f t="shared" si="55"/>
        <v>9.9113211973964397</v>
      </c>
      <c r="H350" s="18">
        <f t="shared" si="55"/>
        <v>99.999999999999986</v>
      </c>
      <c r="I350" s="13" t="s">
        <v>24</v>
      </c>
      <c r="J350" s="12" t="s">
        <v>29</v>
      </c>
      <c r="N350" s="1">
        <f>SUM(N345:N349)</f>
        <v>178316.15000000002</v>
      </c>
      <c r="O350" s="17">
        <f>SUM(O345:O349)</f>
        <v>99.999999999999972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0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0.21528504744025032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0.22114721248730942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0.15857418073231516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0.18175610945947945</v>
      </c>
      <c r="H351" s="1"/>
      <c r="I351" s="14">
        <f>(C345+D346+E347+F348+G349)/H350</f>
        <v>0.91677051718189373</v>
      </c>
      <c r="J351" s="53">
        <f>SQRT(SUM(P345:P349))/100</f>
        <v>2.722428476158026E-3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57.769656035104376</v>
      </c>
      <c r="E352" s="17">
        <f>E347/E350*100</f>
        <v>97.71581185687694</v>
      </c>
      <c r="F352" s="17">
        <f>F348/F350*100</f>
        <v>91.432116737276075</v>
      </c>
      <c r="G352" s="17">
        <f>G349/G350*100</f>
        <v>87.84287713635004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5.1858261992917756</v>
      </c>
      <c r="E353" s="18">
        <f>SQRT((E356+E357)/(E350*E350))</f>
        <v>0.23849454576465889</v>
      </c>
      <c r="F353" s="18">
        <f>SQRT((F356+F357)/(F350*F350))</f>
        <v>0.64934586357239377</v>
      </c>
      <c r="G353" s="18">
        <f>SQRT((G356+G357)/(G350*G350))</f>
        <v>2.0681195567725505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42.230343964895624</v>
      </c>
      <c r="E354" s="18">
        <f>100-E352</f>
        <v>2.2841881431230604</v>
      </c>
      <c r="F354" s="18">
        <f>100-F352</f>
        <v>8.5678832627239245</v>
      </c>
      <c r="G354" s="18">
        <f>100-G352</f>
        <v>12.15712286364996</v>
      </c>
    </row>
    <row r="355" spans="1:40" ht="15.6" x14ac:dyDescent="0.35">
      <c r="B355" s="1" t="s">
        <v>25</v>
      </c>
      <c r="C355" s="1">
        <f>C339</f>
        <v>259</v>
      </c>
      <c r="D355" s="1">
        <f>D339</f>
        <v>731</v>
      </c>
      <c r="E355" s="1">
        <f>E339</f>
        <v>6991</v>
      </c>
      <c r="F355" s="1">
        <f>F339</f>
        <v>2603</v>
      </c>
      <c r="G355" s="1">
        <f>G339</f>
        <v>878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2211.763390717354</v>
      </c>
      <c r="E356" s="18">
        <f>(O347*O347*(100-E352)*(100-E352)*(I347)*(100-I347))/((L347-1)*100)</f>
        <v>16.170379955231738</v>
      </c>
      <c r="F356" s="18">
        <f>(O348*O348*(100-F352)*(100-F352)*(I348)*(100-I348))/((L348-1)*100)</f>
        <v>54.002094443671993</v>
      </c>
      <c r="G356" s="18">
        <f>(O349*O349*(100-G352)*(100-G352)*(I349)*(100-I349))/((L349-1)*100)</f>
        <v>345.33002867991326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113.46563221669318</v>
      </c>
      <c r="E357" s="18">
        <f>E352*E352*(SUM((H345*E345*(1-E334/H334))/(H334-1),(H346*E346*(1-E335/H335))/(H335-1), (H348*E348*(1-E337/H337))/(H337-1),(H349*E349*(1-E338/H338))/(H338-1)))</f>
        <v>171.48219507374361</v>
      </c>
      <c r="F357" s="18">
        <f>F352*F352*(SUM((H345*F345*(1-F334/H334))/(H334-1),(H346*F346*(1-F335/H335))/(H335-1), (H347*F347*(1-F336/H336))/(H336-1),(H349*F349*(1-F338/H338))/(H338-1)))</f>
        <v>148.84094984068611</v>
      </c>
      <c r="G357" s="18">
        <f>G352*G352*(SUM((H345*G345*(1-G334/H334))/(H334-1),(H346*G346*(1-G335/H335))/(H335-1), (H347*G347*(1-G336/H336))/(H336-1),(H348*G348*(1-G337/H337))/(H337-1)))</f>
        <v>74.82966144579305</v>
      </c>
      <c r="AM357" s="78"/>
      <c r="AN357" s="78"/>
    </row>
    <row r="358" spans="1:40" x14ac:dyDescent="0.3">
      <c r="A358" s="105" t="s">
        <v>390</v>
      </c>
      <c r="B358" s="69" t="s">
        <v>9</v>
      </c>
      <c r="C358" s="1">
        <v>263.16000000000003</v>
      </c>
      <c r="D358" s="1">
        <v>1588.66</v>
      </c>
      <c r="E358" s="1">
        <v>15785.14</v>
      </c>
      <c r="F358" s="1">
        <v>2137.81</v>
      </c>
      <c r="G358" s="1">
        <v>1747.99</v>
      </c>
      <c r="I358" t="s">
        <v>36</v>
      </c>
      <c r="J358" s="57">
        <f>SUM(C358:G358)</f>
        <v>21522.760000000002</v>
      </c>
    </row>
    <row r="359" spans="1:40" x14ac:dyDescent="0.3">
      <c r="B359" t="s">
        <v>391</v>
      </c>
      <c r="C359" s="57">
        <f>(C358/$J358)*100</f>
        <v>1.2227056381244783</v>
      </c>
      <c r="D359" s="57">
        <f>(D358/$J358)*100</f>
        <v>7.3813023980195851</v>
      </c>
      <c r="E359" s="57">
        <f>(E358/$J358)*100</f>
        <v>73.341616038091757</v>
      </c>
      <c r="F359" s="57">
        <f>(F358/$J358)*100</f>
        <v>9.9327874306083412</v>
      </c>
      <c r="G359" s="57">
        <f>(G358/$J358)*100</f>
        <v>8.1215884951558248</v>
      </c>
      <c r="AM359" s="78"/>
      <c r="AN359" s="78"/>
    </row>
    <row r="360" spans="1:40" x14ac:dyDescent="0.3">
      <c r="A360" s="361" t="s">
        <v>401</v>
      </c>
      <c r="B360" s="361"/>
      <c r="C360" s="361"/>
      <c r="D360" s="361"/>
      <c r="E360" s="361"/>
      <c r="F360" s="361"/>
      <c r="G360" s="361"/>
      <c r="H360" s="361"/>
      <c r="I360" s="361"/>
      <c r="J360" s="361"/>
      <c r="K360" s="361"/>
      <c r="L360" s="361" t="s">
        <v>90</v>
      </c>
      <c r="M360" s="361"/>
      <c r="N360" s="361"/>
      <c r="O360" s="361"/>
      <c r="P360" s="361"/>
    </row>
    <row r="361" spans="1:40" x14ac:dyDescent="0.3">
      <c r="A361" t="s">
        <v>15</v>
      </c>
      <c r="B361" t="s">
        <v>21</v>
      </c>
      <c r="I361" s="1" t="s">
        <v>58</v>
      </c>
      <c r="O361" s="360" t="s">
        <v>411</v>
      </c>
      <c r="P361" s="360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56</v>
      </c>
      <c r="O362" s="13" t="s">
        <v>412</v>
      </c>
      <c r="P362" s="13" t="s">
        <v>41</v>
      </c>
    </row>
    <row r="363" spans="1:40" x14ac:dyDescent="0.3">
      <c r="A363" t="s">
        <v>3</v>
      </c>
      <c r="B363" s="13">
        <v>0</v>
      </c>
      <c r="C363" s="26">
        <v>259</v>
      </c>
      <c r="D363" s="3">
        <v>0</v>
      </c>
      <c r="E363" s="3">
        <v>0</v>
      </c>
      <c r="F363" s="3">
        <v>0</v>
      </c>
      <c r="G363" s="4">
        <v>0</v>
      </c>
      <c r="H363" s="1">
        <f>SUM(C363:G363)</f>
        <v>259</v>
      </c>
      <c r="I363" s="10">
        <f>C363/H363</f>
        <v>1</v>
      </c>
      <c r="J363" s="11">
        <f>1-I363</f>
        <v>0</v>
      </c>
      <c r="K363">
        <f>H363-C368</f>
        <v>0</v>
      </c>
      <c r="N363" s="10">
        <f>2*(C369*I363)/(C369+I363)</f>
        <v>1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286</v>
      </c>
      <c r="E364" s="1">
        <v>53</v>
      </c>
      <c r="F364" s="1">
        <v>0</v>
      </c>
      <c r="G364" s="6">
        <v>0</v>
      </c>
      <c r="H364" s="1">
        <f>SUM(C364:G364)</f>
        <v>339</v>
      </c>
      <c r="I364" s="10">
        <f>D364/H364</f>
        <v>0.84365781710914456</v>
      </c>
      <c r="J364" s="11">
        <f>1-I364</f>
        <v>0.15634218289085544</v>
      </c>
      <c r="K364">
        <f>H364-D368</f>
        <v>-372</v>
      </c>
      <c r="N364" s="10">
        <f>2*(D369*I364)/(D369+I364)</f>
        <v>0.54476190476190478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309</v>
      </c>
      <c r="E365" s="27">
        <v>6923</v>
      </c>
      <c r="F365" s="1">
        <v>107</v>
      </c>
      <c r="G365" s="6">
        <v>60</v>
      </c>
      <c r="H365" s="1">
        <f>SUM(C365:G365)</f>
        <v>7399</v>
      </c>
      <c r="I365" s="10">
        <f>E365/H365</f>
        <v>0.93566698202459797</v>
      </c>
      <c r="J365" s="11">
        <f>1-I365</f>
        <v>6.4333017975402029E-2</v>
      </c>
      <c r="K365">
        <f>H365-E368</f>
        <v>386</v>
      </c>
      <c r="N365" s="10">
        <f>2*(E369*I365)/(E369+I365)</f>
        <v>0.96072717180127676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0</v>
      </c>
      <c r="E366" s="1">
        <v>19</v>
      </c>
      <c r="F366" s="27">
        <v>2402</v>
      </c>
      <c r="G366" s="6">
        <v>99</v>
      </c>
      <c r="H366" s="1">
        <f>SUM(C366:G366)</f>
        <v>2520</v>
      </c>
      <c r="I366" s="10">
        <f>F366/H366</f>
        <v>0.95317460317460323</v>
      </c>
      <c r="J366" s="11">
        <f>1-I366</f>
        <v>4.682539682539677E-2</v>
      </c>
      <c r="K366">
        <f>H366-F368</f>
        <v>-59</v>
      </c>
      <c r="N366" s="10">
        <f>2*(F369*I366)/(F369+I366)</f>
        <v>0.94214551872916263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116</v>
      </c>
      <c r="E367" s="8">
        <v>18</v>
      </c>
      <c r="F367" s="8">
        <v>70</v>
      </c>
      <c r="G367" s="28">
        <v>741</v>
      </c>
      <c r="H367" s="1">
        <f>SUM(C367:G367)</f>
        <v>945</v>
      </c>
      <c r="I367" s="10">
        <f>G367/H367</f>
        <v>0.78412698412698412</v>
      </c>
      <c r="J367" s="11">
        <f>1-I367</f>
        <v>0.21587301587301588</v>
      </c>
      <c r="K367">
        <f>H367-G368</f>
        <v>45</v>
      </c>
      <c r="N367" s="10">
        <f>2*(G369*I367)/(G369+I367)</f>
        <v>0.80325203252032518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259</v>
      </c>
      <c r="D368" s="1">
        <f>SUM(D363:D367)</f>
        <v>711</v>
      </c>
      <c r="E368" s="1">
        <f>SUM(E363:E367)</f>
        <v>7013</v>
      </c>
      <c r="F368" s="1">
        <f>SUM(F363:F367)</f>
        <v>2579</v>
      </c>
      <c r="G368" s="1">
        <f>SUM(G363:G367)</f>
        <v>900</v>
      </c>
      <c r="H368" s="1">
        <f>SUM(H362:H367)</f>
        <v>11462</v>
      </c>
      <c r="I368" s="13" t="s">
        <v>12</v>
      </c>
      <c r="N368" s="16" t="s">
        <v>36</v>
      </c>
      <c r="O368" s="1">
        <f>SUM(O363:O367)</f>
        <v>0</v>
      </c>
      <c r="P368" s="1">
        <f>SUM(P363:P367)</f>
        <v>0</v>
      </c>
    </row>
    <row r="369" spans="1:40" x14ac:dyDescent="0.3">
      <c r="A369" s="1" t="s">
        <v>57</v>
      </c>
      <c r="B369" s="1" t="s">
        <v>2</v>
      </c>
      <c r="C369" s="10">
        <f>C363/C368</f>
        <v>1</v>
      </c>
      <c r="D369" s="10">
        <f>D364/D368</f>
        <v>0.40225035161744022</v>
      </c>
      <c r="E369" s="10">
        <f>E365/E368</f>
        <v>0.98716669043205474</v>
      </c>
      <c r="F369" s="10">
        <f>F366/F368</f>
        <v>0.93136874757658006</v>
      </c>
      <c r="G369" s="10">
        <f>G367/G368</f>
        <v>0.82333333333333336</v>
      </c>
      <c r="H369" s="10"/>
      <c r="I369" s="14">
        <f>(C363+D364+E365+F366+G367)/H368</f>
        <v>0.92575466759727798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0.59774964838255973</v>
      </c>
      <c r="E370" s="11">
        <f>1-E369</f>
        <v>1.2833309567945261E-2</v>
      </c>
      <c r="F370" s="11">
        <f>1-F369</f>
        <v>6.8631252423419942E-2</v>
      </c>
      <c r="G370" s="11">
        <f>1-G369</f>
        <v>0.17666666666666664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1.4162765730262474</v>
      </c>
      <c r="D374" s="31">
        <f>(D363/$L374)*$O374</f>
        <v>0</v>
      </c>
      <c r="E374" s="31">
        <f>(E363/$L374)*$O374</f>
        <v>0</v>
      </c>
      <c r="F374" s="31">
        <f>(F363/$L374)*$O374</f>
        <v>0</v>
      </c>
      <c r="G374" s="32">
        <f>(G363/$L374)*$O374</f>
        <v>0</v>
      </c>
      <c r="H374" s="17">
        <f>SUM(C374:G374)</f>
        <v>1.4162765730262474</v>
      </c>
      <c r="I374" s="17">
        <f>C374/H374*100</f>
        <v>100</v>
      </c>
      <c r="J374" s="17">
        <f>SQRT(I374*(100-I374)/(L374-1))</f>
        <v>0</v>
      </c>
      <c r="K374" s="18">
        <f>100-I374</f>
        <v>0</v>
      </c>
      <c r="L374" s="1">
        <f>H363</f>
        <v>259</v>
      </c>
      <c r="M374">
        <v>0</v>
      </c>
      <c r="N374" s="1">
        <v>2525.4499999999998</v>
      </c>
      <c r="O374" s="17">
        <f>N374/N379*100</f>
        <v>1.4162765730262474</v>
      </c>
      <c r="P374" s="52">
        <f>((O374*O374*(I374/100)*(K374/100))/(L374-1))</f>
        <v>0</v>
      </c>
    </row>
    <row r="375" spans="1:40" x14ac:dyDescent="0.3">
      <c r="A375" t="s">
        <v>4</v>
      </c>
      <c r="B375" s="13">
        <v>1</v>
      </c>
      <c r="C375" s="33">
        <f t="shared" ref="C375:G378" si="56">(C364/$L375)*$O375</f>
        <v>0</v>
      </c>
      <c r="D375" s="34">
        <f t="shared" si="56"/>
        <v>5.133904629238514</v>
      </c>
      <c r="E375" s="19">
        <f t="shared" si="56"/>
        <v>0.95138792080294143</v>
      </c>
      <c r="F375" s="18">
        <f t="shared" si="56"/>
        <v>0</v>
      </c>
      <c r="G375" s="20">
        <f t="shared" si="56"/>
        <v>0</v>
      </c>
      <c r="H375" s="17">
        <f>SUM(C375:G375)</f>
        <v>6.085292550041455</v>
      </c>
      <c r="I375" s="17">
        <f>D375/H375*100</f>
        <v>84.365781710914462</v>
      </c>
      <c r="J375" s="17">
        <f>SQRT(I375*(100-I375)/(L375-1))</f>
        <v>1.9754357225878709</v>
      </c>
      <c r="K375" s="18">
        <f>100-I375</f>
        <v>15.634218289085538</v>
      </c>
      <c r="L375" s="1">
        <f>H364</f>
        <v>339</v>
      </c>
      <c r="M375">
        <v>1</v>
      </c>
      <c r="N375" s="1">
        <v>10851.06</v>
      </c>
      <c r="O375" s="17">
        <f>N375/N379*100</f>
        <v>6.085292550041455</v>
      </c>
      <c r="P375" s="52">
        <f>((O375*O375*(I375/100)*(K375/100))/(L375-1))</f>
        <v>1.4450694824887053E-2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56"/>
        <v>0</v>
      </c>
      <c r="D376" s="19">
        <f t="shared" si="56"/>
        <v>2.5038700108336207</v>
      </c>
      <c r="E376" s="34">
        <f t="shared" si="56"/>
        <v>56.0980326375442</v>
      </c>
      <c r="F376" s="19">
        <f t="shared" si="56"/>
        <v>0.86703589371908552</v>
      </c>
      <c r="G376" s="20">
        <f t="shared" si="56"/>
        <v>0.48618835161817875</v>
      </c>
      <c r="H376" s="17">
        <f>SUM(C376:G376)</f>
        <v>59.955126893715089</v>
      </c>
      <c r="I376" s="17">
        <f>E376/H376*100</f>
        <v>93.56669820245979</v>
      </c>
      <c r="J376" s="17">
        <f>SQRT(I376*(100-I376)/(L376-1))</f>
        <v>0.28524658345599047</v>
      </c>
      <c r="K376" s="18">
        <f>100-I376</f>
        <v>6.43330179754021</v>
      </c>
      <c r="L376" s="1">
        <f>H365</f>
        <v>7399</v>
      </c>
      <c r="M376">
        <v>2</v>
      </c>
      <c r="N376" s="1">
        <v>106909.68</v>
      </c>
      <c r="O376" s="17">
        <f>N376/N379*100</f>
        <v>59.955126893715082</v>
      </c>
      <c r="P376" s="52">
        <f>((O376*O376*(I376/100)*(K376/100))/(L376-1))</f>
        <v>2.9247823664336123E-2</v>
      </c>
    </row>
    <row r="377" spans="1:40" x14ac:dyDescent="0.3">
      <c r="A377" t="s">
        <v>6</v>
      </c>
      <c r="B377" s="13">
        <v>3</v>
      </c>
      <c r="C377" s="33">
        <f t="shared" si="56"/>
        <v>0</v>
      </c>
      <c r="D377" s="19">
        <f t="shared" si="56"/>
        <v>0</v>
      </c>
      <c r="E377" s="19">
        <f t="shared" si="56"/>
        <v>0.15882920921210777</v>
      </c>
      <c r="F377" s="34">
        <f t="shared" si="56"/>
        <v>20.079355817235939</v>
      </c>
      <c r="G377" s="20">
        <f t="shared" si="56"/>
        <v>0.82758377431571939</v>
      </c>
      <c r="H377" s="17">
        <f>SUM(C377:G377)</f>
        <v>21.065768800763767</v>
      </c>
      <c r="I377" s="17">
        <f>F377/H377*100</f>
        <v>95.317460317460316</v>
      </c>
      <c r="J377" s="17">
        <f>SQRT(I377*(100-I377)/(L377-1))</f>
        <v>0.42093290895930463</v>
      </c>
      <c r="K377" s="18">
        <f>100-I377</f>
        <v>4.6825396825396837</v>
      </c>
      <c r="L377" s="1">
        <f>H366</f>
        <v>2520</v>
      </c>
      <c r="M377">
        <v>3</v>
      </c>
      <c r="N377" s="1">
        <v>37563.67</v>
      </c>
      <c r="O377" s="17">
        <f>N377/N379*100</f>
        <v>21.065768800763767</v>
      </c>
      <c r="P377" s="52">
        <f>((O377*O377*(I377/100)*(K377/100))/(L377-1))</f>
        <v>7.8628571969021604E-3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56"/>
        <v>0</v>
      </c>
      <c r="D378" s="36">
        <f t="shared" si="56"/>
        <v>1.4088826255710067</v>
      </c>
      <c r="E378" s="21">
        <f t="shared" si="56"/>
        <v>0.2186197177610183</v>
      </c>
      <c r="F378" s="21">
        <f t="shared" si="56"/>
        <v>0.85018779129284883</v>
      </c>
      <c r="G378" s="37">
        <f t="shared" si="56"/>
        <v>8.9998450478285861</v>
      </c>
      <c r="H378" s="17">
        <f>SUM(C378:G378)</f>
        <v>11.47753518245346</v>
      </c>
      <c r="I378" s="17">
        <f>G378/H378*100</f>
        <v>78.412698412698418</v>
      </c>
      <c r="J378" s="17">
        <f>SQRT(I378*(100-I378)/(L378-1))</f>
        <v>1.3390795634442927</v>
      </c>
      <c r="K378" s="18">
        <f>100-I378</f>
        <v>21.587301587301582</v>
      </c>
      <c r="L378" s="1">
        <f>H367</f>
        <v>945</v>
      </c>
      <c r="M378">
        <v>4</v>
      </c>
      <c r="N378" s="1">
        <v>20466.3</v>
      </c>
      <c r="O378" s="17">
        <f>N378/N379*100</f>
        <v>11.47753518245346</v>
      </c>
      <c r="P378" s="52">
        <f>((O378*O378*(I378/100)*(K378/100))/(L378-1))</f>
        <v>2.3621639076437936E-2</v>
      </c>
    </row>
    <row r="379" spans="1:40" x14ac:dyDescent="0.3">
      <c r="B379" t="s">
        <v>28</v>
      </c>
      <c r="C379" s="17">
        <f t="shared" ref="C379:H379" si="57">SUM(C374:C378)</f>
        <v>1.4162765730262474</v>
      </c>
      <c r="D379" s="17">
        <f t="shared" si="57"/>
        <v>9.046657265643141</v>
      </c>
      <c r="E379" s="17">
        <f t="shared" si="57"/>
        <v>57.426869485320267</v>
      </c>
      <c r="F379" s="17">
        <f t="shared" si="57"/>
        <v>21.796579502247873</v>
      </c>
      <c r="G379" s="17">
        <f t="shared" si="57"/>
        <v>10.313617173762484</v>
      </c>
      <c r="H379" s="18">
        <f t="shared" si="57"/>
        <v>100.00000000000001</v>
      </c>
      <c r="I379" s="13" t="s">
        <v>24</v>
      </c>
      <c r="J379" s="12" t="s">
        <v>29</v>
      </c>
      <c r="N379" s="1">
        <f>SUM(N374:N378)</f>
        <v>178316.15999999997</v>
      </c>
      <c r="O379" s="17">
        <f>SUM(O374:O378)</f>
        <v>100.00000000000001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0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0.2210454982214887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0.21811540003733534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0.15602868135726328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0.18479906311030334</v>
      </c>
      <c r="H380" s="1"/>
      <c r="I380" s="14">
        <f>(C374+D375+E376+F377+G378)/H379</f>
        <v>0.91727414704873467</v>
      </c>
      <c r="J380" s="53">
        <f>SQRT(SUM(P374:P378))/100</f>
        <v>2.7419521287317043E-3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56.749188993107467</v>
      </c>
      <c r="E381" s="17">
        <f>E376/E379*100</f>
        <v>97.686036415208477</v>
      </c>
      <c r="F381" s="17">
        <f>F377/F379*100</f>
        <v>92.121590982498716</v>
      </c>
      <c r="G381" s="17">
        <f>G378/G379*100</f>
        <v>87.261771463884727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5.8639468419269667</v>
      </c>
      <c r="E382" s="18">
        <f>SQRT((E385+E386)/(E379*E379))</f>
        <v>0.2406701194577166</v>
      </c>
      <c r="F382" s="18">
        <f>SQRT((F385+F386)/(F379*F379))</f>
        <v>0.63039153837952411</v>
      </c>
      <c r="G382" s="18">
        <f>SQRT((G385+G386)/(G379*G379))</f>
        <v>2.0878439649422855</v>
      </c>
      <c r="H382" s="1"/>
    </row>
    <row r="383" spans="1:40" x14ac:dyDescent="0.3">
      <c r="B383" s="1" t="s">
        <v>37</v>
      </c>
      <c r="C383" s="18">
        <f>100-C381</f>
        <v>0</v>
      </c>
      <c r="D383" s="18">
        <f>100-D381</f>
        <v>43.250811006892533</v>
      </c>
      <c r="E383" s="18">
        <f>100-E381</f>
        <v>2.313963584791523</v>
      </c>
      <c r="F383" s="18">
        <f>100-F381</f>
        <v>7.8784090175012835</v>
      </c>
      <c r="G383" s="18">
        <f>100-G381</f>
        <v>12.738228536115273</v>
      </c>
      <c r="AM383" s="78"/>
      <c r="AN383" s="78"/>
    </row>
    <row r="384" spans="1:40" ht="15.6" x14ac:dyDescent="0.35">
      <c r="B384" s="1" t="s">
        <v>25</v>
      </c>
      <c r="C384" s="1">
        <f>C368</f>
        <v>259</v>
      </c>
      <c r="D384" s="1">
        <f>D368</f>
        <v>711</v>
      </c>
      <c r="E384" s="1">
        <f>E368</f>
        <v>7013</v>
      </c>
      <c r="F384" s="1">
        <f>F368</f>
        <v>2579</v>
      </c>
      <c r="G384" s="1">
        <f>G368</f>
        <v>900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2703.1941594416044</v>
      </c>
      <c r="E385" s="18">
        <f>(O376*O376*(100-E381)*(100-E381)*(I376)*(100-I376))/((L376-1)*100)</f>
        <v>15.660535051696474</v>
      </c>
      <c r="F385" s="18">
        <f>(O377*O377*(100-F381)*(100-F381)*(I377)*(100-I377))/((L377-1)*100)</f>
        <v>48.804226745930741</v>
      </c>
      <c r="G385" s="18">
        <f>(O378*O378*(100-G381)*(100-G381)*(I378)*(100-I378))/((L378-1)*100)</f>
        <v>383.29054131338523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111.01468717139312</v>
      </c>
      <c r="E386" s="18">
        <f>E381*E381*(SUM((H374*E374*(1-E363/H363))/(H363-1),(H375*E375*(1-E364/H364))/(H364-1), (H377*E377*(1-E366/H366))/(H366-1),(H378*E378*(1-E367/H367))/(H367-1)))</f>
        <v>175.35761355719976</v>
      </c>
      <c r="F386" s="18">
        <f>F381*F381*(SUM((H374*F374*(1-F363/H363))/(H363-1),(H375*F375*(1-F364/H364))/(H364-1), (H376*F376*(1-F365/H365))/(H365-1),(H378*F378*(1-F367/H367))/(H367-1)))</f>
        <v>139.99379611767387</v>
      </c>
      <c r="G386" s="18">
        <f>G381*G381*(SUM((H374*G374*(1-G363/H363))/(H363-1),(H375*G375*(1-G364/H364))/(H364-1), (H376*G376*(1-G365/H365))/(H365-1),(H377*G377*(1-G366/H366))/(H366-1)))</f>
        <v>80.389167516625918</v>
      </c>
    </row>
    <row r="387" spans="1:40" x14ac:dyDescent="0.3">
      <c r="A387" s="105" t="s">
        <v>390</v>
      </c>
      <c r="B387" s="69" t="s">
        <v>9</v>
      </c>
      <c r="C387" s="1">
        <v>273.24</v>
      </c>
      <c r="D387" s="1">
        <v>1517.81</v>
      </c>
      <c r="E387" s="1">
        <v>15744.54</v>
      </c>
      <c r="F387" s="1">
        <v>2219.02</v>
      </c>
      <c r="G387" s="1">
        <v>1768.16</v>
      </c>
      <c r="I387" t="s">
        <v>36</v>
      </c>
      <c r="J387" s="57">
        <f>SUM(C387:G387)</f>
        <v>21522.77</v>
      </c>
      <c r="AM387" s="78"/>
      <c r="AN387" s="78"/>
    </row>
    <row r="388" spans="1:40" x14ac:dyDescent="0.3">
      <c r="B388" t="s">
        <v>391</v>
      </c>
      <c r="C388" s="57">
        <f>(C387/$J387)*100</f>
        <v>1.2695391903551447</v>
      </c>
      <c r="D388" s="57">
        <f>(D387/$J387)*100</f>
        <v>7.0521127159747552</v>
      </c>
      <c r="E388" s="57">
        <f>(E387/$J387)*100</f>
        <v>73.152944532697234</v>
      </c>
      <c r="F388" s="57">
        <f>(F387/$J387)*100</f>
        <v>10.310104136224101</v>
      </c>
      <c r="G388" s="57">
        <f>(G387/$J387)*100</f>
        <v>8.2152994247487658</v>
      </c>
    </row>
    <row r="389" spans="1:40" x14ac:dyDescent="0.3">
      <c r="A389" s="361" t="s">
        <v>401</v>
      </c>
      <c r="B389" s="361"/>
      <c r="C389" s="361"/>
      <c r="D389" s="361"/>
      <c r="E389" s="361"/>
      <c r="F389" s="361"/>
      <c r="G389" s="361"/>
      <c r="H389" s="361"/>
      <c r="I389" s="361"/>
      <c r="J389" s="361"/>
      <c r="K389" s="361"/>
      <c r="L389" s="361" t="s">
        <v>91</v>
      </c>
      <c r="M389" s="361"/>
      <c r="N389" s="361"/>
      <c r="O389" s="361"/>
      <c r="P389" s="361"/>
      <c r="AM389" s="78"/>
      <c r="AN389" s="78"/>
    </row>
    <row r="390" spans="1:40" x14ac:dyDescent="0.3">
      <c r="A390" t="s">
        <v>15</v>
      </c>
      <c r="B390" t="s">
        <v>21</v>
      </c>
      <c r="I390" s="1" t="s">
        <v>58</v>
      </c>
      <c r="O390" s="360" t="s">
        <v>411</v>
      </c>
      <c r="P390" s="360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56</v>
      </c>
      <c r="O391" s="13" t="s">
        <v>412</v>
      </c>
      <c r="P391" s="13" t="s">
        <v>41</v>
      </c>
      <c r="AM391" s="78"/>
      <c r="AN391" s="78"/>
    </row>
    <row r="392" spans="1:40" x14ac:dyDescent="0.3">
      <c r="A392" t="s">
        <v>3</v>
      </c>
      <c r="B392" s="13">
        <v>0</v>
      </c>
      <c r="C392" s="26">
        <v>259</v>
      </c>
      <c r="D392" s="3">
        <v>0</v>
      </c>
      <c r="E392" s="3">
        <v>0</v>
      </c>
      <c r="F392" s="3">
        <v>0</v>
      </c>
      <c r="G392" s="4">
        <v>0</v>
      </c>
      <c r="H392" s="1">
        <f>SUM(C392:G392)</f>
        <v>259</v>
      </c>
      <c r="I392" s="10">
        <f>C392/H392</f>
        <v>1</v>
      </c>
      <c r="J392" s="11">
        <f>1-I392</f>
        <v>0</v>
      </c>
      <c r="K392">
        <f>H392-C397</f>
        <v>0</v>
      </c>
      <c r="N392" s="10">
        <f>2*(C398*I392)/(C398+I392)</f>
        <v>1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289</v>
      </c>
      <c r="E393" s="1">
        <v>50</v>
      </c>
      <c r="F393" s="1">
        <v>0</v>
      </c>
      <c r="G393" s="6">
        <v>0</v>
      </c>
      <c r="H393" s="1">
        <f>SUM(C393:G393)</f>
        <v>339</v>
      </c>
      <c r="I393" s="10">
        <f>D393/H393</f>
        <v>0.85250737463126847</v>
      </c>
      <c r="J393" s="11">
        <f>1-I393</f>
        <v>0.14749262536873153</v>
      </c>
      <c r="K393">
        <f>H393-D397</f>
        <v>-356</v>
      </c>
      <c r="N393" s="10">
        <f>2*(D398*I393)/(D398+I393)</f>
        <v>0.55899419729206956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304</v>
      </c>
      <c r="E394" s="27">
        <v>6927</v>
      </c>
      <c r="F394" s="1">
        <v>106</v>
      </c>
      <c r="G394" s="6">
        <v>62</v>
      </c>
      <c r="H394" s="1">
        <f>SUM(C394:G394)</f>
        <v>7399</v>
      </c>
      <c r="I394" s="10">
        <f>E394/H394</f>
        <v>0.93620759562102984</v>
      </c>
      <c r="J394" s="11">
        <f>1-I394</f>
        <v>6.3792404378970158E-2</v>
      </c>
      <c r="K394">
        <f>H394-E397</f>
        <v>368</v>
      </c>
      <c r="N394" s="10">
        <f>2*(E398*I394)/(E398+I394)</f>
        <v>0.96008316008316008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0</v>
      </c>
      <c r="E395" s="1">
        <v>17</v>
      </c>
      <c r="F395" s="27">
        <v>2402</v>
      </c>
      <c r="G395" s="6">
        <v>101</v>
      </c>
      <c r="H395" s="1">
        <f>SUM(C395:G395)</f>
        <v>2520</v>
      </c>
      <c r="I395" s="10">
        <f>F395/H395</f>
        <v>0.95317460317460323</v>
      </c>
      <c r="J395" s="11">
        <f>1-I395</f>
        <v>4.682539682539677E-2</v>
      </c>
      <c r="K395">
        <f>H395-F397</f>
        <v>-81</v>
      </c>
      <c r="N395" s="10">
        <f>2*(F398*I395)/(F398+I395)</f>
        <v>0.93809802772895923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102</v>
      </c>
      <c r="E396" s="8">
        <v>37</v>
      </c>
      <c r="F396" s="8">
        <v>93</v>
      </c>
      <c r="G396" s="28">
        <v>713</v>
      </c>
      <c r="H396" s="1">
        <f>SUM(C396:G396)</f>
        <v>945</v>
      </c>
      <c r="I396" s="10">
        <f>G396/H396</f>
        <v>0.75449735449735444</v>
      </c>
      <c r="J396" s="11">
        <f>1-I396</f>
        <v>0.24550264550264556</v>
      </c>
      <c r="K396">
        <f>H396-G397</f>
        <v>69</v>
      </c>
      <c r="N396" s="10">
        <f>2*(G398*I396)/(G398+I396)</f>
        <v>0.78308621636463471</v>
      </c>
      <c r="O396" s="1"/>
      <c r="P396" s="1"/>
    </row>
    <row r="397" spans="1:40" ht="15.6" x14ac:dyDescent="0.35">
      <c r="B397" s="1" t="s">
        <v>19</v>
      </c>
      <c r="C397" s="1">
        <f>SUM(C392:C396)</f>
        <v>259</v>
      </c>
      <c r="D397" s="1">
        <f>SUM(D392:D396)</f>
        <v>695</v>
      </c>
      <c r="E397" s="1">
        <f>SUM(E392:E396)</f>
        <v>7031</v>
      </c>
      <c r="F397" s="1">
        <f>SUM(F392:F396)</f>
        <v>2601</v>
      </c>
      <c r="G397" s="1">
        <f>SUM(G392:G396)</f>
        <v>876</v>
      </c>
      <c r="H397" s="1">
        <f>SUM(H391:H396)</f>
        <v>11462</v>
      </c>
      <c r="I397" s="13" t="s">
        <v>12</v>
      </c>
      <c r="N397" s="16" t="s">
        <v>36</v>
      </c>
      <c r="O397" s="1">
        <f>SUM(O392:O396)</f>
        <v>0</v>
      </c>
      <c r="P397" s="1">
        <f>SUM(P392:P396)</f>
        <v>0</v>
      </c>
      <c r="AM397" s="78"/>
      <c r="AN397" s="78"/>
    </row>
    <row r="398" spans="1:40" x14ac:dyDescent="0.3">
      <c r="A398" s="1" t="s">
        <v>57</v>
      </c>
      <c r="B398" s="1" t="s">
        <v>2</v>
      </c>
      <c r="C398" s="10">
        <f>C392/C397</f>
        <v>1</v>
      </c>
      <c r="D398" s="10">
        <f>D393/D397</f>
        <v>0.4158273381294964</v>
      </c>
      <c r="E398" s="10">
        <f>E394/E397</f>
        <v>0.98520836296401648</v>
      </c>
      <c r="F398" s="10">
        <f>F395/F397</f>
        <v>0.9234909650134564</v>
      </c>
      <c r="G398" s="10">
        <f>G396/G397</f>
        <v>0.8139269406392694</v>
      </c>
      <c r="H398" s="10"/>
      <c r="I398" s="14">
        <f>(C392+D393+E394+F395+G396)/H397</f>
        <v>0.92392252660966667</v>
      </c>
    </row>
    <row r="399" spans="1:40" x14ac:dyDescent="0.3">
      <c r="B399" s="1" t="s">
        <v>14</v>
      </c>
      <c r="C399" s="11">
        <f>1-C398</f>
        <v>0</v>
      </c>
      <c r="D399" s="11">
        <f>1-D398</f>
        <v>0.58417266187050365</v>
      </c>
      <c r="E399" s="11">
        <f>1-E398</f>
        <v>1.4791637035983518E-2</v>
      </c>
      <c r="F399" s="11">
        <f>1-F398</f>
        <v>7.65090349865436E-2</v>
      </c>
      <c r="G399" s="11">
        <f>1-G398</f>
        <v>0.1860730593607306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1.4069840893837104</v>
      </c>
      <c r="D403" s="31">
        <f>(D392/$L403)*$O403</f>
        <v>0</v>
      </c>
      <c r="E403" s="31">
        <f>(E392/$L403)*$O403</f>
        <v>0</v>
      </c>
      <c r="F403" s="31">
        <f>(F392/$L403)*$O403</f>
        <v>0</v>
      </c>
      <c r="G403" s="32">
        <f>(G392/$L403)*$O403</f>
        <v>0</v>
      </c>
      <c r="H403" s="17">
        <f>SUM(C403:G403)</f>
        <v>1.4069840893837104</v>
      </c>
      <c r="I403" s="17">
        <f>C403/H403*100</f>
        <v>100</v>
      </c>
      <c r="J403" s="17">
        <f>SQRT(I403*(100-I403)/(L403-1))</f>
        <v>0</v>
      </c>
      <c r="K403" s="18">
        <f>100-I403</f>
        <v>0</v>
      </c>
      <c r="L403" s="1">
        <f>H392</f>
        <v>259</v>
      </c>
      <c r="M403">
        <v>0</v>
      </c>
      <c r="N403" s="1">
        <v>2508.88</v>
      </c>
      <c r="O403" s="17">
        <f>N403/N408*100</f>
        <v>1.4069840893837104</v>
      </c>
      <c r="P403" s="52">
        <f>((O403*O403*(I403/100)*(K403/100))/(L403-1))</f>
        <v>0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58">(C393/$L404)*$O404</f>
        <v>0</v>
      </c>
      <c r="D404" s="34">
        <f t="shared" si="58"/>
        <v>5.1099623682824777</v>
      </c>
      <c r="E404" s="19">
        <f t="shared" si="58"/>
        <v>0.88407653430492694</v>
      </c>
      <c r="F404" s="18">
        <f t="shared" si="58"/>
        <v>0</v>
      </c>
      <c r="G404" s="20">
        <f t="shared" si="58"/>
        <v>0</v>
      </c>
      <c r="H404" s="17">
        <f>SUM(C404:G404)</f>
        <v>5.9940389025874046</v>
      </c>
      <c r="I404" s="17">
        <f>D404/H404*100</f>
        <v>85.250737463126853</v>
      </c>
      <c r="J404" s="17">
        <f>SQRT(I404*(100-I404)/(L404-1))</f>
        <v>1.9287497163603353</v>
      </c>
      <c r="K404" s="18">
        <f>100-I404</f>
        <v>14.749262536873147</v>
      </c>
      <c r="L404" s="1">
        <f>H393</f>
        <v>339</v>
      </c>
      <c r="M404">
        <v>1</v>
      </c>
      <c r="N404" s="1">
        <v>10688.34</v>
      </c>
      <c r="O404" s="17">
        <f>N404/N408*100</f>
        <v>5.9940389025874046</v>
      </c>
      <c r="P404" s="52">
        <f>((O404*O404*(I404/100)*(K404/100))/(L404-1))</f>
        <v>1.336567402656736E-2</v>
      </c>
    </row>
    <row r="405" spans="1:40" x14ac:dyDescent="0.3">
      <c r="A405" t="s">
        <v>5</v>
      </c>
      <c r="B405" s="13">
        <v>2</v>
      </c>
      <c r="C405" s="33">
        <f t="shared" si="58"/>
        <v>0</v>
      </c>
      <c r="D405" s="19">
        <f t="shared" si="58"/>
        <v>2.4808273395493767</v>
      </c>
      <c r="E405" s="34">
        <f t="shared" si="58"/>
        <v>56.528588753482012</v>
      </c>
      <c r="F405" s="19">
        <f t="shared" si="58"/>
        <v>0.86502532234287477</v>
      </c>
      <c r="G405" s="20">
        <f t="shared" si="58"/>
        <v>0.50595820740809661</v>
      </c>
      <c r="H405" s="17">
        <f>SUM(C405:G405)</f>
        <v>60.380399622782363</v>
      </c>
      <c r="I405" s="17">
        <f>E405/H405*100</f>
        <v>93.62075956210299</v>
      </c>
      <c r="J405" s="17">
        <f>SQRT(I405*(100-I405)/(L405-1))</f>
        <v>0.28412758653798581</v>
      </c>
      <c r="K405" s="18">
        <f>100-I405</f>
        <v>6.3792404378970105</v>
      </c>
      <c r="L405" s="1">
        <f>H394</f>
        <v>7399</v>
      </c>
      <c r="M405">
        <v>2</v>
      </c>
      <c r="N405" s="1">
        <v>107668.01</v>
      </c>
      <c r="O405" s="17">
        <f>N405/N408*100</f>
        <v>60.380399622782363</v>
      </c>
      <c r="P405" s="52">
        <f>((O405*O405*(I405/100)*(K405/100))/(L405-1))</f>
        <v>2.9431931952807695E-2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58"/>
        <v>0</v>
      </c>
      <c r="D406" s="19">
        <f t="shared" si="58"/>
        <v>0</v>
      </c>
      <c r="E406" s="19">
        <f t="shared" si="58"/>
        <v>0.14032093600597095</v>
      </c>
      <c r="F406" s="34">
        <f t="shared" si="58"/>
        <v>19.826522840373073</v>
      </c>
      <c r="G406" s="20">
        <f t="shared" si="58"/>
        <v>0.8336714433295922</v>
      </c>
      <c r="H406" s="17">
        <f>SUM(C406:G406)</f>
        <v>20.800515219708636</v>
      </c>
      <c r="I406" s="17">
        <f>F406/H406*100</f>
        <v>95.317460317460316</v>
      </c>
      <c r="J406" s="17">
        <f>SQRT(I406*(100-I406)/(L406-1))</f>
        <v>0.42093290895930463</v>
      </c>
      <c r="K406" s="18">
        <f>100-I406</f>
        <v>4.6825396825396837</v>
      </c>
      <c r="L406" s="1">
        <f>H395</f>
        <v>2520</v>
      </c>
      <c r="M406">
        <v>3</v>
      </c>
      <c r="N406" s="1">
        <v>37090.68</v>
      </c>
      <c r="O406" s="17">
        <f>N406/N408*100</f>
        <v>20.800515219708636</v>
      </c>
      <c r="P406" s="52">
        <f>((O406*O406*(I406/100)*(K406/100))/(L406-1))</f>
        <v>7.6660905737379369E-3</v>
      </c>
    </row>
    <row r="407" spans="1:40" x14ac:dyDescent="0.3">
      <c r="A407" t="s">
        <v>7</v>
      </c>
      <c r="B407" s="13">
        <v>4</v>
      </c>
      <c r="C407" s="35">
        <f t="shared" si="58"/>
        <v>0</v>
      </c>
      <c r="D407" s="36">
        <f t="shared" si="58"/>
        <v>1.232425757550121</v>
      </c>
      <c r="E407" s="21">
        <f t="shared" si="58"/>
        <v>0.44705640224857329</v>
      </c>
      <c r="F407" s="21">
        <f t="shared" si="58"/>
        <v>1.123682308354522</v>
      </c>
      <c r="G407" s="37">
        <f t="shared" si="58"/>
        <v>8.6148976973846683</v>
      </c>
      <c r="H407" s="17">
        <f>SUM(C407:G407)</f>
        <v>11.418062165537885</v>
      </c>
      <c r="I407" s="17">
        <f>G407/H407*100</f>
        <v>75.449735449735442</v>
      </c>
      <c r="J407" s="17">
        <f>SQRT(I407*(100-I407)/(L407-1))</f>
        <v>1.4007832878166255</v>
      </c>
      <c r="K407" s="18">
        <f>100-I407</f>
        <v>24.550264550264558</v>
      </c>
      <c r="L407" s="1">
        <f>H396</f>
        <v>945</v>
      </c>
      <c r="M407">
        <v>4</v>
      </c>
      <c r="N407" s="1">
        <v>20360.25</v>
      </c>
      <c r="O407" s="17">
        <f>N407/N408*100</f>
        <v>11.418062165537885</v>
      </c>
      <c r="P407" s="52">
        <f>((O407*O407*(I407/100)*(K407/100))/(L407-1))</f>
        <v>2.5581541442885242E-2</v>
      </c>
      <c r="AM407" s="78"/>
      <c r="AN407" s="78"/>
    </row>
    <row r="408" spans="1:40" x14ac:dyDescent="0.3">
      <c r="B408" t="s">
        <v>28</v>
      </c>
      <c r="C408" s="17">
        <f t="shared" ref="C408:H408" si="59">SUM(C403:C407)</f>
        <v>1.4069840893837104</v>
      </c>
      <c r="D408" s="17">
        <f t="shared" si="59"/>
        <v>8.8232154653819759</v>
      </c>
      <c r="E408" s="17">
        <f t="shared" si="59"/>
        <v>58.000042626041477</v>
      </c>
      <c r="F408" s="17">
        <f t="shared" si="59"/>
        <v>21.815230471070468</v>
      </c>
      <c r="G408" s="17">
        <f t="shared" si="59"/>
        <v>9.9545273481223564</v>
      </c>
      <c r="H408" s="18">
        <f t="shared" si="59"/>
        <v>100</v>
      </c>
      <c r="I408" s="13" t="s">
        <v>24</v>
      </c>
      <c r="J408" s="12" t="s">
        <v>29</v>
      </c>
      <c r="N408" s="1">
        <f>SUM(N403:N407)</f>
        <v>178316.16</v>
      </c>
      <c r="O408" s="17">
        <f>SUM(O403:O407)</f>
        <v>100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0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0.21453010487725294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0.22157331928991847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0.16389605520843673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0.19040555295352565</v>
      </c>
      <c r="H409" s="1"/>
      <c r="I409" s="56">
        <f>(C403+D404+E405+F406+G407)/H408</f>
        <v>0.91486955748905929</v>
      </c>
      <c r="J409" s="53">
        <f>SQRT(SUM(P403:P407))/100</f>
        <v>2.7576301056522834E-3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57.914967489250323</v>
      </c>
      <c r="E410" s="17">
        <f>E405/E408*100</f>
        <v>97.463012429065373</v>
      </c>
      <c r="F410" s="17">
        <f>F406/F408*100</f>
        <v>90.883856884598799</v>
      </c>
      <c r="G410" s="17">
        <f>G407/G408*100</f>
        <v>86.542508710969869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5.6407261912274631</v>
      </c>
      <c r="E411" s="18">
        <f>SQRT((E414+E415)/(E408*E408))</f>
        <v>0.24757419484749907</v>
      </c>
      <c r="F411" s="18">
        <f>SQRT((F414+F415)/(F408*F408))</f>
        <v>0.68361403375948249</v>
      </c>
      <c r="G411" s="18">
        <f>SQRT((G414+G415)/(G408*G408))</f>
        <v>2.3418573759716912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42.085032510749677</v>
      </c>
      <c r="E412" s="18">
        <f>100-E410</f>
        <v>2.5369875709346275</v>
      </c>
      <c r="F412" s="18">
        <f>100-F410</f>
        <v>9.1161431154012007</v>
      </c>
      <c r="G412" s="18">
        <f>100-G410</f>
        <v>13.457491289030131</v>
      </c>
    </row>
    <row r="413" spans="1:40" ht="15.6" x14ac:dyDescent="0.35">
      <c r="B413" s="1" t="s">
        <v>25</v>
      </c>
      <c r="C413" s="1">
        <f>C397</f>
        <v>259</v>
      </c>
      <c r="D413" s="1">
        <f>D397</f>
        <v>695</v>
      </c>
      <c r="E413" s="1">
        <f>E397</f>
        <v>7031</v>
      </c>
      <c r="F413" s="1">
        <f>F397</f>
        <v>2601</v>
      </c>
      <c r="G413" s="1">
        <f>G397</f>
        <v>876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2367.2613036652192</v>
      </c>
      <c r="E414" s="18">
        <f>(O405*O405*(100-E410)*(100-E410)*(I405)*(100-I405))/((L405-1)*100)</f>
        <v>18.943291830863213</v>
      </c>
      <c r="F414" s="18">
        <f>(O406*O406*(100-F410)*(100-F410)*(I406)*(100-I406))/((L406-1)*100)</f>
        <v>63.708329163928639</v>
      </c>
      <c r="G414" s="18">
        <f>(O407*O407*(100-G410)*(100-G410)*(I407)*(100-I407))/((L407-1)*100)</f>
        <v>463.29213180817089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109.72615582877671</v>
      </c>
      <c r="E415" s="18">
        <f>E410*E410*(SUM((H403*E403*(1-E392/H392))/(H392-1),(H404*E404*(1-E393/H393))/(H393-1), (H406*E406*(1-E395/H395))/(H395-1),(H407*E407*(1-E396/H396))/(H396-1)))</f>
        <v>187.24660253436167</v>
      </c>
      <c r="F415" s="18">
        <f>F410*F410*(SUM((H403*F403*(1-F392/H392))/(H392-1),(H404*F404*(1-F393/H393))/(H393-1), (H405*F405*(1-F394/H394))/(H394-1),(H407*F407*(1-F396/H396))/(H396-1)))</f>
        <v>158.69513646704277</v>
      </c>
      <c r="G415" s="18">
        <f>G410*G410*(SUM((H403*G403*(1-G392/H392))/(H392-1),(H404*G404*(1-G393/H393))/(H393-1), (H405*G405*(1-G394/H394))/(H394-1),(H406*G406*(1-G395/H395))/(H395-1)))</f>
        <v>80.161095722106509</v>
      </c>
      <c r="AM415" s="78"/>
      <c r="AN415" s="78"/>
    </row>
    <row r="416" spans="1:40" x14ac:dyDescent="0.3">
      <c r="A416" s="105" t="s">
        <v>390</v>
      </c>
      <c r="B416" s="69" t="s">
        <v>9</v>
      </c>
      <c r="C416" s="1">
        <v>266.39999999999998</v>
      </c>
      <c r="D416" s="1">
        <v>1572.28</v>
      </c>
      <c r="E416" s="1">
        <v>15770.29</v>
      </c>
      <c r="F416" s="1">
        <v>2150.7800000000002</v>
      </c>
      <c r="G416" s="1">
        <v>1763.03</v>
      </c>
      <c r="I416" t="s">
        <v>36</v>
      </c>
      <c r="J416" s="57">
        <f>SUM(C416:G416)</f>
        <v>21522.78</v>
      </c>
    </row>
    <row r="417" spans="1:40" x14ac:dyDescent="0.3">
      <c r="B417" t="s">
        <v>391</v>
      </c>
      <c r="C417" s="57">
        <f>(C416/$J416)*100</f>
        <v>1.23775831932492</v>
      </c>
      <c r="D417" s="57">
        <f>(D416/$J416)*100</f>
        <v>7.3051901287844796</v>
      </c>
      <c r="E417" s="57">
        <f>(E416/$J416)*100</f>
        <v>73.272551222472188</v>
      </c>
      <c r="F417" s="57">
        <f>(F416/$J416)*100</f>
        <v>9.9930399325737671</v>
      </c>
      <c r="G417" s="57">
        <f>(G416/$J416)*100</f>
        <v>8.1914603968446471</v>
      </c>
      <c r="AM417" s="78"/>
      <c r="AN417" s="78"/>
    </row>
    <row r="418" spans="1:40" x14ac:dyDescent="0.3">
      <c r="A418" s="361" t="s">
        <v>401</v>
      </c>
      <c r="B418" s="361"/>
      <c r="C418" s="361"/>
      <c r="D418" s="361"/>
      <c r="E418" s="361"/>
      <c r="F418" s="361"/>
      <c r="G418" s="361"/>
      <c r="H418" s="361"/>
      <c r="I418" s="361"/>
      <c r="J418" s="361"/>
      <c r="K418" s="361"/>
      <c r="L418" s="361" t="s">
        <v>92</v>
      </c>
      <c r="M418" s="361"/>
      <c r="N418" s="361"/>
      <c r="O418" s="361"/>
      <c r="P418" s="361"/>
    </row>
    <row r="419" spans="1:40" x14ac:dyDescent="0.3">
      <c r="A419" t="s">
        <v>15</v>
      </c>
      <c r="B419" t="s">
        <v>21</v>
      </c>
      <c r="I419" s="1" t="s">
        <v>58</v>
      </c>
      <c r="O419" s="360" t="s">
        <v>411</v>
      </c>
      <c r="P419" s="360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56</v>
      </c>
      <c r="O420" s="13" t="s">
        <v>412</v>
      </c>
      <c r="P420" s="13" t="s">
        <v>41</v>
      </c>
    </row>
    <row r="421" spans="1:40" x14ac:dyDescent="0.3">
      <c r="A421" t="s">
        <v>3</v>
      </c>
      <c r="B421" s="13">
        <v>0</v>
      </c>
      <c r="C421" s="26">
        <v>259</v>
      </c>
      <c r="D421" s="3">
        <v>0</v>
      </c>
      <c r="E421" s="3">
        <v>0</v>
      </c>
      <c r="F421" s="3">
        <v>0</v>
      </c>
      <c r="G421" s="4">
        <v>0</v>
      </c>
      <c r="H421" s="1">
        <f>SUM(C421:G421)</f>
        <v>259</v>
      </c>
      <c r="I421" s="10">
        <f>C421/H421</f>
        <v>1</v>
      </c>
      <c r="J421" s="11">
        <f>1-I421</f>
        <v>0</v>
      </c>
      <c r="K421">
        <f>H421-C426</f>
        <v>0</v>
      </c>
      <c r="N421" s="10">
        <f>2*(C427*I421)/(C427+I421)</f>
        <v>1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296</v>
      </c>
      <c r="E422" s="1">
        <v>43</v>
      </c>
      <c r="F422" s="1">
        <v>0</v>
      </c>
      <c r="G422" s="6">
        <v>0</v>
      </c>
      <c r="H422" s="1">
        <f>SUM(C422:G422)</f>
        <v>339</v>
      </c>
      <c r="I422" s="10">
        <f>D422/H422</f>
        <v>0.87315634218289084</v>
      </c>
      <c r="J422" s="11">
        <f>1-I422</f>
        <v>0.12684365781710916</v>
      </c>
      <c r="K422">
        <f>H422-D426</f>
        <v>-475</v>
      </c>
      <c r="N422" s="10">
        <f>2*(D427*I422)/(D427+I422)</f>
        <v>0.51344319167389429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409</v>
      </c>
      <c r="E423" s="27">
        <v>6817</v>
      </c>
      <c r="F423" s="1">
        <v>111</v>
      </c>
      <c r="G423" s="6">
        <v>62</v>
      </c>
      <c r="H423" s="1">
        <f>SUM(C423:G423)</f>
        <v>7399</v>
      </c>
      <c r="I423" s="10">
        <f>E423/H423</f>
        <v>0.92134072171915127</v>
      </c>
      <c r="J423" s="11">
        <f>1-I423</f>
        <v>7.8659278280848732E-2</v>
      </c>
      <c r="K423">
        <f>H423-E426</f>
        <v>505</v>
      </c>
      <c r="N423" s="10">
        <f>2*(E427*I423)/(E427+I423)</f>
        <v>0.95389351430770308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0</v>
      </c>
      <c r="E424" s="1">
        <v>21</v>
      </c>
      <c r="F424" s="27">
        <v>2415</v>
      </c>
      <c r="G424" s="6">
        <v>84</v>
      </c>
      <c r="H424" s="1">
        <f>SUM(C424:G424)</f>
        <v>2520</v>
      </c>
      <c r="I424" s="10">
        <f>F424/H424</f>
        <v>0.95833333333333337</v>
      </c>
      <c r="J424" s="11">
        <f>1-I424</f>
        <v>4.166666666666663E-2</v>
      </c>
      <c r="K424">
        <f>H424-F426</f>
        <v>-88</v>
      </c>
      <c r="N424" s="10">
        <f>2*(F427*I424)/(F427+I424)</f>
        <v>0.94188767550702024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109</v>
      </c>
      <c r="E425" s="8">
        <v>13</v>
      </c>
      <c r="F425" s="8">
        <v>82</v>
      </c>
      <c r="G425" s="28">
        <v>741</v>
      </c>
      <c r="H425" s="1">
        <f>SUM(C425:G425)</f>
        <v>945</v>
      </c>
      <c r="I425" s="10">
        <f>G425/H425</f>
        <v>0.78412698412698412</v>
      </c>
      <c r="J425" s="11">
        <f>1-I425</f>
        <v>0.21587301587301588</v>
      </c>
      <c r="K425">
        <f>H425-G426</f>
        <v>58</v>
      </c>
      <c r="N425" s="10">
        <f>2*(G427*I425)/(G427+I425)</f>
        <v>0.80895196506550215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259</v>
      </c>
      <c r="D426" s="1">
        <f>SUM(D421:D425)</f>
        <v>814</v>
      </c>
      <c r="E426" s="1">
        <f>SUM(E421:E425)</f>
        <v>6894</v>
      </c>
      <c r="F426" s="1">
        <f>SUM(F421:F425)</f>
        <v>2608</v>
      </c>
      <c r="G426" s="1">
        <f>SUM(G421:G425)</f>
        <v>887</v>
      </c>
      <c r="H426" s="1">
        <f>SUM(H420:H425)</f>
        <v>11462</v>
      </c>
      <c r="I426" s="13" t="s">
        <v>12</v>
      </c>
      <c r="N426" s="16" t="s">
        <v>36</v>
      </c>
      <c r="O426" s="1">
        <f>SUM(O421:O425)</f>
        <v>0</v>
      </c>
      <c r="P426" s="1">
        <f>SUM(P421:P425)</f>
        <v>0</v>
      </c>
    </row>
    <row r="427" spans="1:40" x14ac:dyDescent="0.3">
      <c r="A427" s="1" t="s">
        <v>57</v>
      </c>
      <c r="B427" s="1" t="s">
        <v>2</v>
      </c>
      <c r="C427" s="10">
        <f>C421/C426</f>
        <v>1</v>
      </c>
      <c r="D427" s="10">
        <f>D422/D426</f>
        <v>0.36363636363636365</v>
      </c>
      <c r="E427" s="10">
        <f>E423/E426</f>
        <v>0.98883086742094572</v>
      </c>
      <c r="F427" s="10">
        <f>F424/F426</f>
        <v>0.92599693251533743</v>
      </c>
      <c r="G427" s="10">
        <f>G425/G426</f>
        <v>0.83540022547914317</v>
      </c>
      <c r="H427" s="10"/>
      <c r="I427" s="14">
        <f>(C421+D422+E423+F424+G425)/H426</f>
        <v>0.91851334845576693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0.63636363636363635</v>
      </c>
      <c r="E428" s="11">
        <f>1-E427</f>
        <v>1.1169132579054275E-2</v>
      </c>
      <c r="F428" s="11">
        <f>1-F427</f>
        <v>7.4003067484662566E-2</v>
      </c>
      <c r="G428" s="11">
        <f>1-G427</f>
        <v>0.16459977452085683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1.4102143069927031</v>
      </c>
      <c r="D432" s="31">
        <f>(D421/$L432)*$O432</f>
        <v>0</v>
      </c>
      <c r="E432" s="31">
        <f>(E421/$L432)*$O432</f>
        <v>0</v>
      </c>
      <c r="F432" s="31">
        <f>(F421/$L432)*$O432</f>
        <v>0</v>
      </c>
      <c r="G432" s="32">
        <f>(G421/$L432)*$O432</f>
        <v>0</v>
      </c>
      <c r="H432" s="17">
        <f>SUM(C432:G432)</f>
        <v>1.4102143069927031</v>
      </c>
      <c r="I432" s="17">
        <f>C432/H432*100</f>
        <v>100</v>
      </c>
      <c r="J432" s="17">
        <f>SQRT(I432*(100-I432)/(L432-1))</f>
        <v>0</v>
      </c>
      <c r="K432" s="18">
        <f>100-I432</f>
        <v>0</v>
      </c>
      <c r="L432" s="1">
        <f>H421</f>
        <v>259</v>
      </c>
      <c r="M432">
        <v>0</v>
      </c>
      <c r="N432" s="1">
        <v>2514.64</v>
      </c>
      <c r="O432" s="17">
        <f>N432/N437*100</f>
        <v>1.4102143069927031</v>
      </c>
      <c r="P432" s="52">
        <f>((O432*O432*(I432/100)*(K432/100))/(L432-1))</f>
        <v>0</v>
      </c>
    </row>
    <row r="433" spans="1:40" x14ac:dyDescent="0.3">
      <c r="A433" t="s">
        <v>4</v>
      </c>
      <c r="B433" s="13">
        <v>1</v>
      </c>
      <c r="C433" s="33">
        <f t="shared" ref="C433:G436" si="60">(C422/$L433)*$O433</f>
        <v>0</v>
      </c>
      <c r="D433" s="34">
        <f t="shared" si="60"/>
        <v>5.6172406951813683</v>
      </c>
      <c r="E433" s="19">
        <f t="shared" si="60"/>
        <v>0.81601807396215842</v>
      </c>
      <c r="F433" s="18">
        <f t="shared" si="60"/>
        <v>0</v>
      </c>
      <c r="G433" s="20">
        <f t="shared" si="60"/>
        <v>0</v>
      </c>
      <c r="H433" s="17">
        <f>SUM(C433:G433)</f>
        <v>6.433258769143527</v>
      </c>
      <c r="I433" s="17">
        <f>D433/H433*100</f>
        <v>87.315634218289077</v>
      </c>
      <c r="J433" s="17">
        <f>SQRT(I433*(100-I433)/(L433-1))</f>
        <v>1.8101811368440333</v>
      </c>
      <c r="K433" s="18">
        <f>100-I433</f>
        <v>12.684365781710923</v>
      </c>
      <c r="L433" s="1">
        <f>H422</f>
        <v>339</v>
      </c>
      <c r="M433">
        <v>1</v>
      </c>
      <c r="N433" s="1">
        <v>11471.54</v>
      </c>
      <c r="O433" s="17">
        <f>N433/N437*100</f>
        <v>6.433258769143527</v>
      </c>
      <c r="P433" s="52">
        <f>((O433*O433*(I433/100)*(K433/100))/(L433-1))</f>
        <v>1.3561449506105792E-2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60"/>
        <v>0</v>
      </c>
      <c r="D434" s="19">
        <f t="shared" si="60"/>
        <v>3.2916051902219832</v>
      </c>
      <c r="E434" s="34">
        <f t="shared" si="60"/>
        <v>54.862769148516534</v>
      </c>
      <c r="F434" s="19">
        <f t="shared" si="60"/>
        <v>0.89332072399667517</v>
      </c>
      <c r="G434" s="20">
        <f t="shared" si="60"/>
        <v>0.49897193592607081</v>
      </c>
      <c r="H434" s="17">
        <f>SUM(C434:G434)</f>
        <v>59.546666998661266</v>
      </c>
      <c r="I434" s="17">
        <f>E434/H434*100</f>
        <v>92.134072171915122</v>
      </c>
      <c r="J434" s="17">
        <f>SQRT(I434*(100-I434)/(L434-1))</f>
        <v>0.31298818849661914</v>
      </c>
      <c r="K434" s="18">
        <f>100-I434</f>
        <v>7.8659278280848781</v>
      </c>
      <c r="L434" s="1">
        <f>H423</f>
        <v>7399</v>
      </c>
      <c r="M434">
        <v>2</v>
      </c>
      <c r="N434" s="1">
        <v>106181.33</v>
      </c>
      <c r="O434" s="17">
        <f>N434/N437*100</f>
        <v>59.546666998661259</v>
      </c>
      <c r="P434" s="52">
        <f>((O434*O434*(I434/100)*(K434/100))/(L434-1))</f>
        <v>3.4735280679605733E-2</v>
      </c>
    </row>
    <row r="435" spans="1:40" x14ac:dyDescent="0.3">
      <c r="A435" t="s">
        <v>6</v>
      </c>
      <c r="B435" s="13">
        <v>3</v>
      </c>
      <c r="C435" s="33">
        <f t="shared" si="60"/>
        <v>0</v>
      </c>
      <c r="D435" s="19">
        <f t="shared" si="60"/>
        <v>0</v>
      </c>
      <c r="E435" s="19">
        <f t="shared" si="60"/>
        <v>0.17532936068908919</v>
      </c>
      <c r="F435" s="34">
        <f t="shared" si="60"/>
        <v>20.162876479245256</v>
      </c>
      <c r="G435" s="20">
        <f t="shared" si="60"/>
        <v>0.70131744275635677</v>
      </c>
      <c r="H435" s="17">
        <f>SUM(C435:G435)</f>
        <v>21.039523282690702</v>
      </c>
      <c r="I435" s="17">
        <f>F435/H435*100</f>
        <v>95.833333333333343</v>
      </c>
      <c r="J435" s="17">
        <f>SQRT(I435*(100-I435)/(L435-1))</f>
        <v>0.39814254897400148</v>
      </c>
      <c r="K435" s="18">
        <f>100-I435</f>
        <v>4.1666666666666572</v>
      </c>
      <c r="L435" s="1">
        <f>H424</f>
        <v>2520</v>
      </c>
      <c r="M435">
        <v>3</v>
      </c>
      <c r="N435" s="1">
        <v>37516.870000000003</v>
      </c>
      <c r="O435" s="17">
        <f>N435/N437*100</f>
        <v>21.039523282690702</v>
      </c>
      <c r="P435" s="52">
        <f>((O435*O435*(I435/100)*(K435/100))/(L435-1))</f>
        <v>7.0169595926144034E-3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60"/>
        <v>0</v>
      </c>
      <c r="D436" s="36">
        <f t="shared" si="60"/>
        <v>1.3345679301944848</v>
      </c>
      <c r="E436" s="21">
        <f t="shared" si="60"/>
        <v>0.15916865222503029</v>
      </c>
      <c r="F436" s="21">
        <f t="shared" si="60"/>
        <v>1.0039868832655758</v>
      </c>
      <c r="G436" s="37">
        <f t="shared" si="60"/>
        <v>9.0726131768267262</v>
      </c>
      <c r="H436" s="17">
        <f>SUM(C436:G436)</f>
        <v>11.570336642511817</v>
      </c>
      <c r="I436" s="17">
        <f>G436/H436*100</f>
        <v>78.412698412698418</v>
      </c>
      <c r="J436" s="17">
        <f>SQRT(I436*(100-I436)/(L436-1))</f>
        <v>1.3390795634442927</v>
      </c>
      <c r="K436" s="18">
        <f>100-I436</f>
        <v>21.587301587301582</v>
      </c>
      <c r="L436" s="1">
        <f>H425</f>
        <v>945</v>
      </c>
      <c r="M436">
        <v>4</v>
      </c>
      <c r="N436" s="1">
        <v>20631.78</v>
      </c>
      <c r="O436" s="17">
        <f>N436/N437*100</f>
        <v>11.570336642511817</v>
      </c>
      <c r="P436" s="52">
        <f>((O436*O436*(I436/100)*(K436/100))/(L436-1))</f>
        <v>2.4005168248775285E-2</v>
      </c>
    </row>
    <row r="437" spans="1:40" x14ac:dyDescent="0.3">
      <c r="B437" t="s">
        <v>28</v>
      </c>
      <c r="C437" s="17">
        <f t="shared" ref="C437:H437" si="61">SUM(C432:C436)</f>
        <v>1.4102143069927031</v>
      </c>
      <c r="D437" s="17">
        <f t="shared" si="61"/>
        <v>10.243413815597837</v>
      </c>
      <c r="E437" s="17">
        <f t="shared" si="61"/>
        <v>56.013285235392807</v>
      </c>
      <c r="F437" s="17">
        <f t="shared" si="61"/>
        <v>22.060184086507505</v>
      </c>
      <c r="G437" s="17">
        <f t="shared" si="61"/>
        <v>10.272902555509154</v>
      </c>
      <c r="H437" s="18">
        <f t="shared" si="61"/>
        <v>100.00000000000003</v>
      </c>
      <c r="I437" s="13" t="s">
        <v>24</v>
      </c>
      <c r="J437" s="12" t="s">
        <v>29</v>
      </c>
      <c r="N437" s="1">
        <f>SUM(N432:N436)</f>
        <v>178316.16</v>
      </c>
      <c r="O437" s="17">
        <f>SUM(O432:O436)</f>
        <v>100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0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0.23022402246422585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0.22721283287205007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0.1591276451920686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0.1833628756600619</v>
      </c>
      <c r="H438" s="1"/>
      <c r="I438" s="56">
        <f>(C432+D433+E434+F435+G436)/H437</f>
        <v>0.91125713806762565</v>
      </c>
      <c r="J438" s="53">
        <f>SQRT(SUM(P432:P436))/100</f>
        <v>2.816360382250489E-3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54.837584386446359</v>
      </c>
      <c r="E439" s="17">
        <f>E434/E437*100</f>
        <v>97.945994272535003</v>
      </c>
      <c r="F439" s="17">
        <f>F435/F437*100</f>
        <v>91.399402653114379</v>
      </c>
      <c r="G439" s="17">
        <f>G436/G437*100</f>
        <v>88.31596647396664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5.2434349664638829</v>
      </c>
      <c r="E440" s="18">
        <f>SQRT((E443+E444)/(E437*E437))</f>
        <v>0.23761479178615308</v>
      </c>
      <c r="F440" s="18">
        <f>SQRT((F443+F444)/(F437*F437))</f>
        <v>0.64895464093870836</v>
      </c>
      <c r="G440" s="18">
        <f>SQRT((G443+G444)/(G437*G437))</f>
        <v>1.9540072197052913</v>
      </c>
      <c r="H440" s="1"/>
    </row>
    <row r="441" spans="1:40" x14ac:dyDescent="0.3">
      <c r="B441" s="1" t="s">
        <v>37</v>
      </c>
      <c r="C441" s="18">
        <f>100-C439</f>
        <v>0</v>
      </c>
      <c r="D441" s="18">
        <f>100-D439</f>
        <v>45.162415613553641</v>
      </c>
      <c r="E441" s="18">
        <f>100-E439</f>
        <v>2.0540057274649968</v>
      </c>
      <c r="F441" s="18">
        <f>100-F439</f>
        <v>8.6005973468856212</v>
      </c>
      <c r="G441" s="18">
        <f>100-G439</f>
        <v>11.68403352603336</v>
      </c>
      <c r="AM441" s="78"/>
      <c r="AN441" s="78"/>
    </row>
    <row r="442" spans="1:40" ht="15.6" x14ac:dyDescent="0.35">
      <c r="B442" s="1" t="s">
        <v>25</v>
      </c>
      <c r="C442" s="1">
        <f>C426</f>
        <v>259</v>
      </c>
      <c r="D442" s="1">
        <f>D426</f>
        <v>814</v>
      </c>
      <c r="E442" s="1">
        <f>E426</f>
        <v>6894</v>
      </c>
      <c r="F442" s="1">
        <f>F426</f>
        <v>2608</v>
      </c>
      <c r="G442" s="1">
        <f>G426</f>
        <v>887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2766.052618785498</v>
      </c>
      <c r="E443" s="18">
        <f>(O434*O434*(100-E439)*(100-E439)*(I434)*(100-I434))/((L434-1)*100)</f>
        <v>14.65460486913072</v>
      </c>
      <c r="F443" s="18">
        <f>(O435*O435*(100-F439)*(100-F439)*(I435)*(100-I435))/((L435-1)*100)</f>
        <v>51.904642878767383</v>
      </c>
      <c r="G443" s="18">
        <f>(O436*O436*(100-G439)*(100-G439)*(I436)*(100-I436))/((L436-1)*100)</f>
        <v>327.71048984538953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118.78390172636195</v>
      </c>
      <c r="E444" s="18">
        <f>E439*E439*(SUM((H432*E432*(1-E421/H421))/(H421-1),(H433*E433*(1-E422/H422))/(H422-1), (H435*E435*(1-E424/H424))/(H424-1),(H436*E436*(1-E425/H425))/(H425-1)))</f>
        <v>162.49045089037625</v>
      </c>
      <c r="F444" s="18">
        <f>F439*F439*(SUM((H432*F432*(1-F421/H421))/(H421-1),(H433*F433*(1-F422/H422))/(H422-1), (H434*F434*(1-F423/H423))/(H423-1),(H436*F436*(1-F425/H425))/(H425-1)))</f>
        <v>153.04489791464471</v>
      </c>
      <c r="G444" s="18">
        <f>G439*G439*(SUM((H432*G432*(1-G421/H421))/(H421-1),(H433*G433*(1-G422/H422))/(H422-1), (H434*G434*(1-G423/H423))/(H423-1),(H435*G435*(1-G424/H424))/(H424-1)))</f>
        <v>75.227917253559397</v>
      </c>
    </row>
    <row r="445" spans="1:40" x14ac:dyDescent="0.3">
      <c r="A445" s="105" t="s">
        <v>390</v>
      </c>
      <c r="B445" s="69" t="s">
        <v>9</v>
      </c>
      <c r="C445" s="1">
        <v>269.91000000000003</v>
      </c>
      <c r="D445" s="1">
        <v>1698.59</v>
      </c>
      <c r="E445" s="1">
        <v>15537.38</v>
      </c>
      <c r="F445" s="1">
        <v>2169.6799999999998</v>
      </c>
      <c r="G445" s="1">
        <v>1847.2</v>
      </c>
      <c r="I445" t="s">
        <v>36</v>
      </c>
      <c r="J445" s="57">
        <f>SUM(C445:G445)</f>
        <v>21522.76</v>
      </c>
      <c r="AM445" s="78"/>
      <c r="AN445" s="78"/>
    </row>
    <row r="446" spans="1:40" x14ac:dyDescent="0.3">
      <c r="B446" t="s">
        <v>391</v>
      </c>
      <c r="C446" s="57">
        <f>(C445/$J445)*100</f>
        <v>1.2540677868451817</v>
      </c>
      <c r="D446" s="57">
        <f>(D445/$J445)*100</f>
        <v>7.8920640289628281</v>
      </c>
      <c r="E446" s="57">
        <f>(E445/$J445)*100</f>
        <v>72.190462561493035</v>
      </c>
      <c r="F446" s="57">
        <f>(F445/$J445)*100</f>
        <v>10.080863235012611</v>
      </c>
      <c r="G446" s="57">
        <f>(G445/$J445)*100</f>
        <v>8.5825423876863383</v>
      </c>
    </row>
    <row r="447" spans="1:40" x14ac:dyDescent="0.3">
      <c r="A447" s="361" t="s">
        <v>401</v>
      </c>
      <c r="B447" s="361"/>
      <c r="C447" s="361"/>
      <c r="D447" s="361"/>
      <c r="E447" s="361"/>
      <c r="F447" s="361"/>
      <c r="G447" s="361"/>
      <c r="H447" s="361"/>
      <c r="I447" s="361"/>
      <c r="J447" s="361"/>
      <c r="K447" s="361"/>
      <c r="L447" s="361" t="s">
        <v>93</v>
      </c>
      <c r="M447" s="361"/>
      <c r="N447" s="361"/>
      <c r="O447" s="361"/>
      <c r="P447" s="361"/>
      <c r="AM447" s="78"/>
      <c r="AN447" s="78"/>
    </row>
    <row r="448" spans="1:40" x14ac:dyDescent="0.3">
      <c r="A448" t="s">
        <v>15</v>
      </c>
      <c r="B448" t="s">
        <v>21</v>
      </c>
      <c r="I448" s="1" t="s">
        <v>58</v>
      </c>
      <c r="O448" s="360" t="s">
        <v>411</v>
      </c>
      <c r="P448" s="360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56</v>
      </c>
      <c r="O449" s="13" t="s">
        <v>412</v>
      </c>
      <c r="P449" s="13" t="s">
        <v>41</v>
      </c>
      <c r="AM449" s="78"/>
      <c r="AN449" s="78"/>
    </row>
    <row r="450" spans="1:40" x14ac:dyDescent="0.3">
      <c r="A450" t="s">
        <v>3</v>
      </c>
      <c r="B450" s="13">
        <v>0</v>
      </c>
      <c r="C450" s="26">
        <v>259</v>
      </c>
      <c r="D450" s="3">
        <v>0</v>
      </c>
      <c r="E450" s="3">
        <v>0</v>
      </c>
      <c r="F450" s="3">
        <v>0</v>
      </c>
      <c r="G450" s="4">
        <v>0</v>
      </c>
      <c r="H450" s="1">
        <f>SUM(C450:G450)</f>
        <v>259</v>
      </c>
      <c r="I450" s="10">
        <f>C450/H450</f>
        <v>1</v>
      </c>
      <c r="J450" s="11">
        <f>1-I450</f>
        <v>0</v>
      </c>
      <c r="K450">
        <f>H450-C455</f>
        <v>0</v>
      </c>
      <c r="N450" s="10">
        <f>2*(C456*I450)/(C456+I450)</f>
        <v>1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296</v>
      </c>
      <c r="E451" s="1">
        <v>43</v>
      </c>
      <c r="F451" s="1">
        <v>0</v>
      </c>
      <c r="G451" s="6">
        <v>0</v>
      </c>
      <c r="H451" s="1">
        <f>SUM(C451:G451)</f>
        <v>339</v>
      </c>
      <c r="I451" s="10">
        <f>D451/H451</f>
        <v>0.87315634218289084</v>
      </c>
      <c r="J451" s="11">
        <f>1-I451</f>
        <v>0.12684365781710916</v>
      </c>
      <c r="K451">
        <f>H451-D455</f>
        <v>-459</v>
      </c>
      <c r="N451" s="10">
        <f>2*(D456*I451)/(D456+I451)</f>
        <v>0.5206684256816182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395</v>
      </c>
      <c r="E452" s="27">
        <v>6832</v>
      </c>
      <c r="F452" s="1">
        <v>111</v>
      </c>
      <c r="G452" s="6">
        <v>61</v>
      </c>
      <c r="H452" s="1">
        <f>SUM(C452:G452)</f>
        <v>7399</v>
      </c>
      <c r="I452" s="10">
        <f>E452/H452</f>
        <v>0.92336802270577101</v>
      </c>
      <c r="J452" s="11">
        <f>1-I452</f>
        <v>7.6631977294228992E-2</v>
      </c>
      <c r="K452">
        <f>H452-E455</f>
        <v>481</v>
      </c>
      <c r="N452" s="10">
        <f>2*(E456*I452)/(E456+I452)</f>
        <v>0.95438988614933284</v>
      </c>
      <c r="O452" s="1"/>
      <c r="P452" s="1"/>
    </row>
    <row r="453" spans="1:40" x14ac:dyDescent="0.3">
      <c r="A453" t="s">
        <v>6</v>
      </c>
      <c r="B453" s="13">
        <v>3</v>
      </c>
      <c r="C453" s="5">
        <v>0</v>
      </c>
      <c r="D453" s="1">
        <v>0</v>
      </c>
      <c r="E453" s="1">
        <v>19</v>
      </c>
      <c r="F453" s="27">
        <v>2393</v>
      </c>
      <c r="G453" s="6">
        <v>108</v>
      </c>
      <c r="H453" s="1">
        <f>SUM(C453:G453)</f>
        <v>2520</v>
      </c>
      <c r="I453" s="10">
        <f>F453/H453</f>
        <v>0.94960317460317456</v>
      </c>
      <c r="J453" s="11">
        <f>1-I453</f>
        <v>5.039682539682544E-2</v>
      </c>
      <c r="K453">
        <f>H453-F455</f>
        <v>-81</v>
      </c>
      <c r="N453" s="10">
        <f>2*(F456*I453)/(F456+I453)</f>
        <v>0.93458308924038269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107</v>
      </c>
      <c r="E454" s="8">
        <v>24</v>
      </c>
      <c r="F454" s="8">
        <v>97</v>
      </c>
      <c r="G454" s="28">
        <v>717</v>
      </c>
      <c r="H454" s="1">
        <f>SUM(C454:G454)</f>
        <v>945</v>
      </c>
      <c r="I454" s="10">
        <f>G454/H454</f>
        <v>0.7587301587301587</v>
      </c>
      <c r="J454" s="11">
        <f>1-I454</f>
        <v>0.2412698412698413</v>
      </c>
      <c r="K454">
        <f>H454-G455</f>
        <v>59</v>
      </c>
      <c r="N454" s="10">
        <f>2*(G456*I454)/(G456+I454)</f>
        <v>0.78317859093391573</v>
      </c>
      <c r="O454" s="1"/>
      <c r="P454" s="1"/>
    </row>
    <row r="455" spans="1:40" ht="15.6" x14ac:dyDescent="0.35">
      <c r="B455" s="1" t="s">
        <v>19</v>
      </c>
      <c r="C455" s="1">
        <f>SUM(C450:C454)</f>
        <v>259</v>
      </c>
      <c r="D455" s="1">
        <f>SUM(D450:D454)</f>
        <v>798</v>
      </c>
      <c r="E455" s="1">
        <f>SUM(E450:E454)</f>
        <v>6918</v>
      </c>
      <c r="F455" s="1">
        <f>SUM(F450:F454)</f>
        <v>2601</v>
      </c>
      <c r="G455" s="1">
        <f>SUM(G450:G454)</f>
        <v>886</v>
      </c>
      <c r="H455" s="1">
        <f>SUM(H449:H454)</f>
        <v>11462</v>
      </c>
      <c r="I455" s="13" t="s">
        <v>12</v>
      </c>
      <c r="N455" s="16" t="s">
        <v>36</v>
      </c>
      <c r="O455" s="1">
        <f>SUM(O450:O454)</f>
        <v>0</v>
      </c>
      <c r="P455" s="1">
        <f>SUM(P450:P454)</f>
        <v>0</v>
      </c>
      <c r="AM455" s="78"/>
      <c r="AN455" s="78"/>
    </row>
    <row r="456" spans="1:40" x14ac:dyDescent="0.3">
      <c r="A456" s="1" t="s">
        <v>57</v>
      </c>
      <c r="B456" s="1" t="s">
        <v>2</v>
      </c>
      <c r="C456" s="10">
        <f>C450/C455</f>
        <v>1</v>
      </c>
      <c r="D456" s="10">
        <f>D451/D455</f>
        <v>0.37092731829573933</v>
      </c>
      <c r="E456" s="10">
        <f>E452/E455</f>
        <v>0.98756866146285049</v>
      </c>
      <c r="F456" s="10">
        <f>F453/F455</f>
        <v>0.9200307574009996</v>
      </c>
      <c r="G456" s="10">
        <f>G454/G455</f>
        <v>0.80925507900677196</v>
      </c>
      <c r="H456" s="10"/>
      <c r="I456" s="14">
        <f>(C450+D451+E452+F453+G454)/H455</f>
        <v>0.91580875937881701</v>
      </c>
    </row>
    <row r="457" spans="1:40" x14ac:dyDescent="0.3">
      <c r="B457" s="1" t="s">
        <v>14</v>
      </c>
      <c r="C457" s="11">
        <f>1-C456</f>
        <v>0</v>
      </c>
      <c r="D457" s="11">
        <f>1-D456</f>
        <v>0.62907268170426067</v>
      </c>
      <c r="E457" s="11">
        <f>1-E456</f>
        <v>1.2431338537149506E-2</v>
      </c>
      <c r="F457" s="11">
        <f>1-F456</f>
        <v>7.9969242599000401E-2</v>
      </c>
      <c r="G457" s="11">
        <f>1-G456</f>
        <v>0.19074492099322804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1.4198600956862242</v>
      </c>
      <c r="D461" s="31">
        <f>(D450/$L461)*$O461</f>
        <v>0</v>
      </c>
      <c r="E461" s="31">
        <f>(E450/$L461)*$O461</f>
        <v>0</v>
      </c>
      <c r="F461" s="31">
        <f>(F450/$L461)*$O461</f>
        <v>0</v>
      </c>
      <c r="G461" s="32">
        <f>(G450/$L461)*$O461</f>
        <v>0</v>
      </c>
      <c r="H461" s="17">
        <f>SUM(C461:G461)</f>
        <v>1.4198600956862242</v>
      </c>
      <c r="I461" s="17">
        <f>C461/H461*100</f>
        <v>100</v>
      </c>
      <c r="J461" s="17">
        <f>SQRT(I461*(100-I461)/(L461-1))</f>
        <v>0</v>
      </c>
      <c r="K461" s="18">
        <f>100-I461</f>
        <v>0</v>
      </c>
      <c r="L461" s="1">
        <f>H450</f>
        <v>259</v>
      </c>
      <c r="M461">
        <v>0</v>
      </c>
      <c r="N461" s="1">
        <v>2531.84</v>
      </c>
      <c r="O461" s="17">
        <f>N461/N466*100</f>
        <v>1.4198600956862242</v>
      </c>
      <c r="P461" s="52">
        <f>((O461*O461*(I461/100)*(K461/100))/(L461-1))</f>
        <v>0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62">(C451/$L462)*$O462</f>
        <v>0</v>
      </c>
      <c r="D462" s="34">
        <f t="shared" si="62"/>
        <v>5.6193021954966458</v>
      </c>
      <c r="E462" s="19">
        <f t="shared" si="62"/>
        <v>0.81631754867012085</v>
      </c>
      <c r="F462" s="18">
        <f t="shared" si="62"/>
        <v>0</v>
      </c>
      <c r="G462" s="20">
        <f t="shared" si="62"/>
        <v>0</v>
      </c>
      <c r="H462" s="17">
        <f>SUM(C462:G462)</f>
        <v>6.4356197441667664</v>
      </c>
      <c r="I462" s="17">
        <f>D462/H462*100</f>
        <v>87.315634218289091</v>
      </c>
      <c r="J462" s="17">
        <f>SQRT(I462*(100-I462)/(L462-1))</f>
        <v>1.8101811368440324</v>
      </c>
      <c r="K462" s="18">
        <f>100-I462</f>
        <v>12.684365781710909</v>
      </c>
      <c r="L462" s="1">
        <f>H451</f>
        <v>339</v>
      </c>
      <c r="M462">
        <v>1</v>
      </c>
      <c r="N462" s="1">
        <v>11475.75</v>
      </c>
      <c r="O462" s="17">
        <f>N462/N466*100</f>
        <v>6.4356197441667664</v>
      </c>
      <c r="P462" s="52">
        <f>((O462*O462*(I462/100)*(K462/100))/(L462-1))</f>
        <v>1.3571405306107839E-2</v>
      </c>
    </row>
    <row r="463" spans="1:40" x14ac:dyDescent="0.3">
      <c r="A463" t="s">
        <v>5</v>
      </c>
      <c r="B463" s="13">
        <v>2</v>
      </c>
      <c r="C463" s="33">
        <f t="shared" si="62"/>
        <v>0</v>
      </c>
      <c r="D463" s="19">
        <f t="shared" si="62"/>
        <v>3.185016160796986</v>
      </c>
      <c r="E463" s="34">
        <f t="shared" si="62"/>
        <v>55.088684583708876</v>
      </c>
      <c r="F463" s="19">
        <f t="shared" si="62"/>
        <v>0.89502985784421629</v>
      </c>
      <c r="G463" s="20">
        <f t="shared" si="62"/>
        <v>0.49186325521168639</v>
      </c>
      <c r="H463" s="17">
        <f>SUM(C463:G463)</f>
        <v>59.660593857561757</v>
      </c>
      <c r="I463" s="17">
        <f>E463/H463*100</f>
        <v>92.33680227057711</v>
      </c>
      <c r="J463" s="17">
        <f>SQRT(I463*(100-I463)/(L463-1))</f>
        <v>0.30926820057036319</v>
      </c>
      <c r="K463" s="18">
        <f>100-I463</f>
        <v>7.6631977294228903</v>
      </c>
      <c r="L463" s="1">
        <f>H452</f>
        <v>7399</v>
      </c>
      <c r="M463">
        <v>2</v>
      </c>
      <c r="N463" s="1">
        <v>106384.48</v>
      </c>
      <c r="O463" s="17">
        <f>N463/N466*100</f>
        <v>59.660593857561764</v>
      </c>
      <c r="P463" s="52">
        <f>((O463*O463*(I463/100)*(K463/100))/(L463-1))</f>
        <v>3.4044399558342139E-2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62"/>
        <v>0</v>
      </c>
      <c r="D464" s="19">
        <f t="shared" si="62"/>
        <v>0</v>
      </c>
      <c r="E464" s="19">
        <f t="shared" si="62"/>
        <v>0.15925901250652524</v>
      </c>
      <c r="F464" s="34">
        <f t="shared" si="62"/>
        <v>20.058253522532361</v>
      </c>
      <c r="G464" s="20">
        <f t="shared" si="62"/>
        <v>0.90526175530024877</v>
      </c>
      <c r="H464" s="17">
        <f>SUM(C464:G464)</f>
        <v>21.122774290339134</v>
      </c>
      <c r="I464" s="17">
        <f>F464/H464*100</f>
        <v>94.960317460317469</v>
      </c>
      <c r="J464" s="17">
        <f>SQRT(I464*(100-I464)/(L464-1))</f>
        <v>0.43587161260019169</v>
      </c>
      <c r="K464" s="18">
        <f>100-I464</f>
        <v>5.0396825396825307</v>
      </c>
      <c r="L464" s="1">
        <f>H453</f>
        <v>2520</v>
      </c>
      <c r="M464">
        <v>3</v>
      </c>
      <c r="N464" s="1">
        <v>37665.32</v>
      </c>
      <c r="O464" s="17">
        <f>N464/N466*100</f>
        <v>21.122774290339137</v>
      </c>
      <c r="P464" s="52">
        <f>((O464*O464*(I464/100)*(K464/100))/(L464-1))</f>
        <v>8.4765492023299114E-3</v>
      </c>
    </row>
    <row r="465" spans="1:40" x14ac:dyDescent="0.3">
      <c r="A465" t="s">
        <v>7</v>
      </c>
      <c r="B465" s="13">
        <v>4</v>
      </c>
      <c r="C465" s="35">
        <f t="shared" si="62"/>
        <v>0</v>
      </c>
      <c r="D465" s="36">
        <f t="shared" si="62"/>
        <v>1.2863949897463856</v>
      </c>
      <c r="E465" s="21">
        <f t="shared" si="62"/>
        <v>0.2885371939618061</v>
      </c>
      <c r="F465" s="21">
        <f t="shared" si="62"/>
        <v>1.1661711589289665</v>
      </c>
      <c r="G465" s="37">
        <f t="shared" si="62"/>
        <v>8.6200486696089573</v>
      </c>
      <c r="H465" s="17">
        <f>SUM(C465:G465)</f>
        <v>11.361152012246116</v>
      </c>
      <c r="I465" s="17">
        <f>G465/H465*100</f>
        <v>75.873015873015873</v>
      </c>
      <c r="J465" s="17">
        <f>SQRT(I465*(100-I465)/(L465-1))</f>
        <v>1.3925448634233997</v>
      </c>
      <c r="K465" s="18">
        <f>100-I465</f>
        <v>24.126984126984127</v>
      </c>
      <c r="L465" s="1">
        <f>H454</f>
        <v>945</v>
      </c>
      <c r="M465">
        <v>4</v>
      </c>
      <c r="N465" s="1">
        <v>20258.77</v>
      </c>
      <c r="O465" s="17">
        <f>N465/N466*100</f>
        <v>11.361152012246116</v>
      </c>
      <c r="P465" s="52">
        <f>((O465*O465*(I465/100)*(K465/100))/(L465-1))</f>
        <v>2.5030131591059431E-2</v>
      </c>
      <c r="AM465" s="78"/>
      <c r="AN465" s="78"/>
    </row>
    <row r="466" spans="1:40" x14ac:dyDescent="0.3">
      <c r="B466" t="s">
        <v>28</v>
      </c>
      <c r="C466" s="17">
        <f t="shared" ref="C466:H466" si="63">SUM(C461:C465)</f>
        <v>1.4198600956862242</v>
      </c>
      <c r="D466" s="17">
        <f t="shared" si="63"/>
        <v>10.090713346040017</v>
      </c>
      <c r="E466" s="17">
        <f t="shared" si="63"/>
        <v>56.352798338847329</v>
      </c>
      <c r="F466" s="17">
        <f t="shared" si="63"/>
        <v>22.119454539305547</v>
      </c>
      <c r="G466" s="17">
        <f t="shared" si="63"/>
        <v>10.017173680120893</v>
      </c>
      <c r="H466" s="18">
        <f t="shared" si="63"/>
        <v>100</v>
      </c>
      <c r="I466" s="13" t="s">
        <v>24</v>
      </c>
      <c r="J466" s="12" t="s">
        <v>29</v>
      </c>
      <c r="N466" s="1">
        <f>SUM(N461:N465)</f>
        <v>178316.15999999997</v>
      </c>
      <c r="O466" s="17">
        <f>SUM(O461:O465)</f>
        <v>100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0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0.22706074877502225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0.22864126528727555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0.16781802754075534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0.19026234036465328</v>
      </c>
      <c r="H467" s="1"/>
      <c r="I467" s="14">
        <f>(C461+D462+E463+F464+G465)/H466</f>
        <v>0.9080614906703306</v>
      </c>
      <c r="J467" s="53">
        <f>SQRT(SUM(P461:P465))/100</f>
        <v>2.8482009349383923E-3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100</v>
      </c>
      <c r="D468" s="17">
        <f>D462/D466*100</f>
        <v>55.687858754821086</v>
      </c>
      <c r="E468" s="17">
        <f>E463/E466*100</f>
        <v>97.756786189148258</v>
      </c>
      <c r="F468" s="17">
        <f>F464/F466*100</f>
        <v>90.681501602534993</v>
      </c>
      <c r="G468" s="17">
        <f>G465/G466*100</f>
        <v>86.052702537398019</v>
      </c>
      <c r="H468" s="1"/>
    </row>
    <row r="469" spans="1:40" x14ac:dyDescent="0.3">
      <c r="B469" s="16" t="s">
        <v>39</v>
      </c>
      <c r="C469" s="18">
        <f>SQRT((C472+C473)/(C466*C466))</f>
        <v>0</v>
      </c>
      <c r="D469" s="18">
        <f>SQRT((D472+D473)/(D466*D466))</f>
        <v>5.227812750853464</v>
      </c>
      <c r="E469" s="18">
        <f>SQRT((E472+E473)/(E466*E466))</f>
        <v>0.24577989056740573</v>
      </c>
      <c r="F469" s="18">
        <f>SQRT((F472+F473)/(F466*F466))</f>
        <v>0.69397648637155396</v>
      </c>
      <c r="G469" s="18">
        <f>SQRT((G472+G473)/(G466*G466))</f>
        <v>2.3830337014895084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0</v>
      </c>
      <c r="D470" s="18">
        <f>100-D468</f>
        <v>44.312141245178914</v>
      </c>
      <c r="E470" s="18">
        <f>100-E468</f>
        <v>2.2432138108517421</v>
      </c>
      <c r="F470" s="18">
        <f>100-F468</f>
        <v>9.3184983974650066</v>
      </c>
      <c r="G470" s="18">
        <f>100-G468</f>
        <v>13.947297462601981</v>
      </c>
    </row>
    <row r="471" spans="1:40" ht="15.6" x14ac:dyDescent="0.35">
      <c r="B471" s="1" t="s">
        <v>25</v>
      </c>
      <c r="C471" s="1">
        <f>C455</f>
        <v>259</v>
      </c>
      <c r="D471" s="1">
        <f>D455</f>
        <v>798</v>
      </c>
      <c r="E471" s="1">
        <f>E455</f>
        <v>6918</v>
      </c>
      <c r="F471" s="1">
        <f>F455</f>
        <v>2601</v>
      </c>
      <c r="G471" s="1">
        <f>G455</f>
        <v>886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2664.8348154811188</v>
      </c>
      <c r="E472" s="18">
        <f>(O463*O463*(100-E468)*(100-E468)*(I463)*(100-I463))/((L463-1)*100)</f>
        <v>17.131169778237094</v>
      </c>
      <c r="F472" s="18">
        <f>(O464*O464*(100-F468)*(100-F468)*(I464)*(100-I464))/((L464-1)*100)</f>
        <v>73.60561690246341</v>
      </c>
      <c r="G472" s="18">
        <f>(O465*O465*(100-G468)*(100-G468)*(I465)*(100-I465))/((L465-1)*100)</f>
        <v>486.90390739809345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117.97665907750543</v>
      </c>
      <c r="E473" s="18">
        <f>E468*E468*(SUM((H461*E461*(1-E450/H450))/(H450-1),(H462*E462*(1-E451/H451))/(H451-1), (H464*E464*(1-E453/H453))/(H453-1),(H465*E465*(1-E454/H454))/(H454-1)))</f>
        <v>174.70198403591164</v>
      </c>
      <c r="F473" s="18">
        <f>F468*F468*(SUM((H461*F461*(1-F450/H450))/(H450-1),(H462*F462*(1-F451/H451))/(H451-1), (H463*F463*(1-F452/H452))/(H452-1),(H465*F465*(1-F454/H454))/(H454-1)))</f>
        <v>162.02859043138537</v>
      </c>
      <c r="G473" s="18">
        <f>G468*G468*(SUM((H461*G461*(1-G450/H450))/(H450-1),(H462*G462*(1-G451/H451))/(H451-1), (H463*G463*(1-G452/H452))/(H452-1),(H464*G464*(1-G453/H453))/(H453-1)))</f>
        <v>82.933264675946234</v>
      </c>
      <c r="AM473" s="78"/>
      <c r="AN473" s="78"/>
    </row>
    <row r="474" spans="1:40" x14ac:dyDescent="0.3">
      <c r="A474" s="105" t="s">
        <v>390</v>
      </c>
      <c r="B474" s="69" t="s">
        <v>9</v>
      </c>
      <c r="C474" s="1">
        <v>269.73</v>
      </c>
      <c r="D474" s="1">
        <v>1653.12</v>
      </c>
      <c r="E474" s="1">
        <v>15631.37</v>
      </c>
      <c r="F474" s="1">
        <v>2236.39</v>
      </c>
      <c r="G474" s="1">
        <v>1732.15</v>
      </c>
      <c r="I474" t="s">
        <v>36</v>
      </c>
      <c r="J474" s="57">
        <f>SUM(C474:G474)</f>
        <v>21522.760000000002</v>
      </c>
    </row>
    <row r="475" spans="1:40" x14ac:dyDescent="0.3">
      <c r="B475" t="s">
        <v>391</v>
      </c>
      <c r="C475" s="57">
        <f>(C474/$J474)*100</f>
        <v>1.2532314628792962</v>
      </c>
      <c r="D475" s="57">
        <f>(D474/$J474)*100</f>
        <v>7.6807993026916614</v>
      </c>
      <c r="E475" s="57">
        <f>(E474/$J474)*100</f>
        <v>72.627163059012872</v>
      </c>
      <c r="F475" s="57">
        <f>(F474/$J474)*100</f>
        <v>10.390814189258252</v>
      </c>
      <c r="G475" s="57">
        <f>(G474/$J474)*100</f>
        <v>8.0479919861579088</v>
      </c>
      <c r="AM475" s="78"/>
      <c r="AN475" s="78"/>
    </row>
    <row r="476" spans="1:40" x14ac:dyDescent="0.3">
      <c r="A476" s="361" t="s">
        <v>401</v>
      </c>
      <c r="B476" s="361"/>
      <c r="C476" s="361"/>
      <c r="D476" s="361"/>
      <c r="E476" s="361"/>
      <c r="F476" s="361"/>
      <c r="G476" s="361"/>
      <c r="H476" s="361"/>
      <c r="I476" s="361"/>
      <c r="J476" s="361"/>
      <c r="K476" s="361"/>
      <c r="L476" s="361" t="s">
        <v>94</v>
      </c>
      <c r="M476" s="361"/>
      <c r="N476" s="361"/>
      <c r="O476" s="361"/>
      <c r="P476" s="361"/>
    </row>
    <row r="477" spans="1:40" x14ac:dyDescent="0.3">
      <c r="A477" t="s">
        <v>15</v>
      </c>
      <c r="B477" t="s">
        <v>21</v>
      </c>
      <c r="I477" s="1" t="s">
        <v>58</v>
      </c>
      <c r="O477" s="360" t="s">
        <v>411</v>
      </c>
      <c r="P477" s="360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56</v>
      </c>
      <c r="O478" s="13" t="s">
        <v>412</v>
      </c>
      <c r="P478" s="13" t="s">
        <v>41</v>
      </c>
    </row>
    <row r="479" spans="1:40" x14ac:dyDescent="0.3">
      <c r="A479" t="s">
        <v>3</v>
      </c>
      <c r="B479" s="13">
        <v>0</v>
      </c>
      <c r="C479" s="26">
        <v>259</v>
      </c>
      <c r="D479" s="3">
        <v>0</v>
      </c>
      <c r="E479" s="3">
        <v>0</v>
      </c>
      <c r="F479" s="3">
        <v>0</v>
      </c>
      <c r="G479" s="4">
        <v>0</v>
      </c>
      <c r="H479" s="1">
        <f>SUM(C479:G479)</f>
        <v>259</v>
      </c>
      <c r="I479" s="10">
        <f>C479/H479</f>
        <v>1</v>
      </c>
      <c r="J479" s="11">
        <f>1-I479</f>
        <v>0</v>
      </c>
      <c r="K479">
        <f>H479-C484</f>
        <v>0</v>
      </c>
      <c r="N479" s="10">
        <f>2*(C485*I479)/(C485+I479)</f>
        <v>1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294</v>
      </c>
      <c r="E480" s="1">
        <v>45</v>
      </c>
      <c r="F480" s="1">
        <v>0</v>
      </c>
      <c r="G480" s="6">
        <v>0</v>
      </c>
      <c r="H480" s="1">
        <f>SUM(C480:G480)</f>
        <v>339</v>
      </c>
      <c r="I480" s="10">
        <f>D480/H480</f>
        <v>0.86725663716814161</v>
      </c>
      <c r="J480" s="11">
        <f>1-I480</f>
        <v>0.13274336283185839</v>
      </c>
      <c r="K480">
        <f>H480-D484</f>
        <v>-405</v>
      </c>
      <c r="N480" s="10">
        <f>2*(D485*I480)/(D485+I480)</f>
        <v>0.54293628808864269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339</v>
      </c>
      <c r="E481" s="27">
        <v>6908</v>
      </c>
      <c r="F481" s="1">
        <v>106</v>
      </c>
      <c r="G481" s="6">
        <v>46</v>
      </c>
      <c r="H481" s="1">
        <f>SUM(C481:G481)</f>
        <v>7399</v>
      </c>
      <c r="I481" s="10">
        <f>E481/H481</f>
        <v>0.93363968103797812</v>
      </c>
      <c r="J481" s="11">
        <f>1-I481</f>
        <v>6.636031896202188E-2</v>
      </c>
      <c r="K481">
        <f>H481-E484</f>
        <v>394</v>
      </c>
      <c r="N481" s="10">
        <f>2*(E485*I481)/(E485+I481)</f>
        <v>0.95917800610941406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0</v>
      </c>
      <c r="E482" s="1">
        <v>21</v>
      </c>
      <c r="F482" s="27">
        <v>2414</v>
      </c>
      <c r="G482" s="6">
        <v>85</v>
      </c>
      <c r="H482" s="1">
        <f>SUM(C482:G482)</f>
        <v>2520</v>
      </c>
      <c r="I482" s="10">
        <f>F482/H482</f>
        <v>0.95793650793650797</v>
      </c>
      <c r="J482" s="11">
        <f>1-I482</f>
        <v>4.2063492063492025E-2</v>
      </c>
      <c r="K482">
        <f>H482-F484</f>
        <v>-85</v>
      </c>
      <c r="N482" s="10">
        <f>2*(F485*I482)/(F485+I482)</f>
        <v>0.94204878048780494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111</v>
      </c>
      <c r="E483" s="8">
        <v>31</v>
      </c>
      <c r="F483" s="8">
        <v>85</v>
      </c>
      <c r="G483" s="28">
        <v>718</v>
      </c>
      <c r="H483" s="1">
        <f>SUM(C483:G483)</f>
        <v>945</v>
      </c>
      <c r="I483" s="10">
        <f>G483/H483</f>
        <v>0.75978835978835979</v>
      </c>
      <c r="J483" s="11">
        <f>1-I483</f>
        <v>0.24021164021164021</v>
      </c>
      <c r="K483">
        <f>H483-G484</f>
        <v>96</v>
      </c>
      <c r="N483" s="10">
        <f>2*(G485*I483)/(G485+I483)</f>
        <v>0.80044593088071359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259</v>
      </c>
      <c r="D484" s="1">
        <f>SUM(D479:D483)</f>
        <v>744</v>
      </c>
      <c r="E484" s="1">
        <f>SUM(E479:E483)</f>
        <v>7005</v>
      </c>
      <c r="F484" s="1">
        <f>SUM(F479:F483)</f>
        <v>2605</v>
      </c>
      <c r="G484" s="1">
        <f>SUM(G479:G483)</f>
        <v>849</v>
      </c>
      <c r="H484" s="1">
        <f>SUM(H478:H483)</f>
        <v>11462</v>
      </c>
      <c r="I484" s="13" t="s">
        <v>12</v>
      </c>
      <c r="N484" s="16" t="s">
        <v>36</v>
      </c>
      <c r="O484" s="1">
        <f>SUM(O479:O483)</f>
        <v>0</v>
      </c>
      <c r="P484" s="1">
        <f>SUM(P479:P483)</f>
        <v>0</v>
      </c>
    </row>
    <row r="485" spans="1:40" x14ac:dyDescent="0.3">
      <c r="A485" s="1" t="s">
        <v>57</v>
      </c>
      <c r="B485" s="1" t="s">
        <v>2</v>
      </c>
      <c r="C485" s="10">
        <f>C479/C484</f>
        <v>1</v>
      </c>
      <c r="D485" s="10">
        <f>D480/D484</f>
        <v>0.39516129032258063</v>
      </c>
      <c r="E485" s="10">
        <f>E481/E484</f>
        <v>0.98615274803711639</v>
      </c>
      <c r="F485" s="10">
        <f>F482/F484</f>
        <v>0.92667946257197698</v>
      </c>
      <c r="G485" s="10">
        <f>G483/G484</f>
        <v>0.84570082449941109</v>
      </c>
      <c r="H485" s="10"/>
      <c r="I485" s="14">
        <f>(C479+D480+E481+F482+G483)/H484</f>
        <v>0.92418426103646834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0.60483870967741937</v>
      </c>
      <c r="E486" s="11">
        <f>1-E485</f>
        <v>1.3847251962883611E-2</v>
      </c>
      <c r="F486" s="11">
        <f>1-F485</f>
        <v>7.3320537428023025E-2</v>
      </c>
      <c r="G486" s="11">
        <f>1-G485</f>
        <v>0.15429917550058891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1.4222828386548274</v>
      </c>
      <c r="D490" s="31">
        <f>(D479/$L490)*$O490</f>
        <v>0</v>
      </c>
      <c r="E490" s="31">
        <f>(E479/$L490)*$O490</f>
        <v>0</v>
      </c>
      <c r="F490" s="31">
        <f>(F479/$L490)*$O490</f>
        <v>0</v>
      </c>
      <c r="G490" s="32">
        <f>(G479/$L490)*$O490</f>
        <v>0</v>
      </c>
      <c r="H490" s="17">
        <f>SUM(C490:G490)</f>
        <v>1.4222828386548274</v>
      </c>
      <c r="I490" s="17">
        <f>C490/H490*100</f>
        <v>100</v>
      </c>
      <c r="J490" s="17">
        <f>SQRT(I490*(100-I490)/(L490-1))</f>
        <v>0</v>
      </c>
      <c r="K490" s="18">
        <f>100-I490</f>
        <v>0</v>
      </c>
      <c r="L490" s="1">
        <f>H479</f>
        <v>259</v>
      </c>
      <c r="M490">
        <v>0</v>
      </c>
      <c r="N490" s="1">
        <v>2536.16</v>
      </c>
      <c r="O490" s="17">
        <f>N490/N495*100</f>
        <v>1.4222828386548274</v>
      </c>
      <c r="P490" s="52">
        <f>((O490*O490*(I490/100)*(K490/100))/(L490-1))</f>
        <v>0</v>
      </c>
    </row>
    <row r="491" spans="1:40" x14ac:dyDescent="0.3">
      <c r="A491" t="s">
        <v>4</v>
      </c>
      <c r="B491" s="13">
        <v>1</v>
      </c>
      <c r="C491" s="33">
        <f t="shared" ref="C491:G494" si="64">(C480/$L491)*$O491</f>
        <v>0</v>
      </c>
      <c r="D491" s="34">
        <f t="shared" si="64"/>
        <v>5.2706335328909786</v>
      </c>
      <c r="E491" s="19">
        <f t="shared" si="64"/>
        <v>0.80672962238127233</v>
      </c>
      <c r="F491" s="18">
        <f t="shared" si="64"/>
        <v>0</v>
      </c>
      <c r="G491" s="20">
        <f t="shared" si="64"/>
        <v>0</v>
      </c>
      <c r="H491" s="17">
        <f>SUM(C491:G491)</f>
        <v>6.0773631552722511</v>
      </c>
      <c r="I491" s="17">
        <f>D491/H491*100</f>
        <v>86.725663716814154</v>
      </c>
      <c r="J491" s="17">
        <f>SQRT(I491*(100-I491)/(L491-1))</f>
        <v>1.8455332487033302</v>
      </c>
      <c r="K491" s="18">
        <f>100-I491</f>
        <v>13.274336283185846</v>
      </c>
      <c r="L491" s="1">
        <f>H480</f>
        <v>339</v>
      </c>
      <c r="M491">
        <v>1</v>
      </c>
      <c r="N491" s="1">
        <v>10836.92</v>
      </c>
      <c r="O491" s="17">
        <f>N491/N495*100</f>
        <v>6.0773631552722511</v>
      </c>
      <c r="P491" s="52">
        <f>((O491*O491*(I491/100)*(K491/100))/(L491-1))</f>
        <v>1.2579811241713644E-2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64"/>
        <v>0</v>
      </c>
      <c r="D492" s="19">
        <f t="shared" si="64"/>
        <v>2.7761465882680967</v>
      </c>
      <c r="E492" s="34">
        <f t="shared" si="64"/>
        <v>56.571152306064924</v>
      </c>
      <c r="F492" s="19">
        <f t="shared" si="64"/>
        <v>0.86805763526967028</v>
      </c>
      <c r="G492" s="20">
        <f t="shared" si="64"/>
        <v>0.37670425681513992</v>
      </c>
      <c r="H492" s="17">
        <f>SUM(C492:G492)</f>
        <v>60.592060786417832</v>
      </c>
      <c r="I492" s="17">
        <f>E492/H492*100</f>
        <v>93.363968103797816</v>
      </c>
      <c r="J492" s="17">
        <f>SQRT(I492*(100-I492)/(L492-1))</f>
        <v>0.28939213224171639</v>
      </c>
      <c r="K492" s="18">
        <f>100-I492</f>
        <v>6.6360318962021836</v>
      </c>
      <c r="L492" s="1">
        <f>H481</f>
        <v>7399</v>
      </c>
      <c r="M492">
        <v>2</v>
      </c>
      <c r="N492" s="1">
        <v>108045.43</v>
      </c>
      <c r="O492" s="17">
        <f>N492/N495*100</f>
        <v>60.592060786417832</v>
      </c>
      <c r="P492" s="52">
        <f>((O492*O492*(I492/100)*(K492/100))/(L492-1))</f>
        <v>3.0747151399133837E-2</v>
      </c>
    </row>
    <row r="493" spans="1:40" x14ac:dyDescent="0.3">
      <c r="A493" t="s">
        <v>6</v>
      </c>
      <c r="B493" s="13">
        <v>3</v>
      </c>
      <c r="C493" s="33">
        <f t="shared" si="64"/>
        <v>0</v>
      </c>
      <c r="D493" s="19">
        <f t="shared" si="64"/>
        <v>0</v>
      </c>
      <c r="E493" s="19">
        <f t="shared" si="64"/>
        <v>0.17515846620361272</v>
      </c>
      <c r="F493" s="34">
        <f t="shared" si="64"/>
        <v>20.134882734072434</v>
      </c>
      <c r="G493" s="20">
        <f t="shared" si="64"/>
        <v>0.70897474415748007</v>
      </c>
      <c r="H493" s="17">
        <f>SUM(C493:G493)</f>
        <v>21.019015944433526</v>
      </c>
      <c r="I493" s="17">
        <f>F493/H493*100</f>
        <v>95.793650793650798</v>
      </c>
      <c r="J493" s="17">
        <f>SQRT(I493*(100-I493)/(L493-1))</f>
        <v>0.39995114181024394</v>
      </c>
      <c r="K493" s="18">
        <f>100-I493</f>
        <v>4.2063492063492021</v>
      </c>
      <c r="L493" s="1">
        <f>H482</f>
        <v>2520</v>
      </c>
      <c r="M493">
        <v>3</v>
      </c>
      <c r="N493" s="1">
        <v>37480.300000000003</v>
      </c>
      <c r="O493" s="17">
        <f>N493/N495*100</f>
        <v>21.019015944433526</v>
      </c>
      <c r="P493" s="52">
        <f>((O493*O493*(I493/100)*(K493/100))/(L493-1))</f>
        <v>7.0670577657481462E-3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64"/>
        <v>0</v>
      </c>
      <c r="D494" s="36">
        <f t="shared" si="64"/>
        <v>1.2790579656609458</v>
      </c>
      <c r="E494" s="21">
        <f t="shared" si="64"/>
        <v>0.35721438680621009</v>
      </c>
      <c r="F494" s="21">
        <f t="shared" si="64"/>
        <v>0.97945880253315665</v>
      </c>
      <c r="G494" s="37">
        <f t="shared" si="64"/>
        <v>8.273546120221253</v>
      </c>
      <c r="H494" s="17">
        <f>SUM(C494:G494)</f>
        <v>10.889277275221566</v>
      </c>
      <c r="I494" s="17">
        <f>G494/H494*100</f>
        <v>75.978835978835974</v>
      </c>
      <c r="J494" s="17">
        <f>SQRT(I494*(100-I494)/(L494-1))</f>
        <v>1.3904563028260104</v>
      </c>
      <c r="K494" s="18">
        <f>100-I494</f>
        <v>24.021164021164026</v>
      </c>
      <c r="L494" s="1">
        <f>H483</f>
        <v>945</v>
      </c>
      <c r="M494">
        <v>4</v>
      </c>
      <c r="N494" s="1">
        <v>19417.34</v>
      </c>
      <c r="O494" s="17">
        <f>N494/N495*100</f>
        <v>10.889277275221566</v>
      </c>
      <c r="P494" s="52">
        <f>((O494*O494*(I494/100)*(K494/100))/(L494-1))</f>
        <v>2.2925182573087607E-2</v>
      </c>
    </row>
    <row r="495" spans="1:40" x14ac:dyDescent="0.3">
      <c r="B495" t="s">
        <v>28</v>
      </c>
      <c r="C495" s="17">
        <f t="shared" ref="C495:H495" si="65">SUM(C490:C494)</f>
        <v>1.4222828386548274</v>
      </c>
      <c r="D495" s="17">
        <f t="shared" si="65"/>
        <v>9.3258380868200206</v>
      </c>
      <c r="E495" s="17">
        <f t="shared" si="65"/>
        <v>57.910254781456018</v>
      </c>
      <c r="F495" s="17">
        <f t="shared" si="65"/>
        <v>21.982399171875262</v>
      </c>
      <c r="G495" s="17">
        <f t="shared" si="65"/>
        <v>9.3592251211938731</v>
      </c>
      <c r="H495" s="18">
        <f t="shared" si="65"/>
        <v>100</v>
      </c>
      <c r="I495" s="13" t="s">
        <v>24</v>
      </c>
      <c r="J495" s="12" t="s">
        <v>29</v>
      </c>
      <c r="N495" s="1">
        <f>SUM(N490:N494)</f>
        <v>178316.15</v>
      </c>
      <c r="O495" s="17">
        <f>SUM(O490:O494)</f>
        <v>100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0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0.21735454162824983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0.22071626122607779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0.15602020076080009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0.17799064471425857</v>
      </c>
      <c r="H496" s="1"/>
      <c r="I496" s="14">
        <f>(C490+D491+E492+F493+G494)/H495</f>
        <v>0.91672497531904407</v>
      </c>
      <c r="J496" s="53">
        <f>SQRT(SUM(P490:P494))/100</f>
        <v>2.7077518900313459E-3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56.516459795070176</v>
      </c>
      <c r="E497" s="17">
        <f>E492/E495*100</f>
        <v>97.68762461770433</v>
      </c>
      <c r="F497" s="17">
        <f>F493/F495*100</f>
        <v>91.595474072882013</v>
      </c>
      <c r="G497" s="17">
        <f>G494/G495*100</f>
        <v>88.399905046475368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5.3501814490683266</v>
      </c>
      <c r="E498" s="18">
        <f>SQRT((E501+E502)/(E495*E495))</f>
        <v>0.236989487710665</v>
      </c>
      <c r="F498" s="18">
        <f>SQRT((F501+F502)/(F495*F495))</f>
        <v>0.63520784260490404</v>
      </c>
      <c r="G498" s="18">
        <f>SQRT((G501+G502)/(G495*G495))</f>
        <v>2.074904678345773</v>
      </c>
      <c r="H498" s="1"/>
    </row>
    <row r="499" spans="1:40" x14ac:dyDescent="0.3">
      <c r="B499" s="1" t="s">
        <v>37</v>
      </c>
      <c r="C499" s="18">
        <f>100-C497</f>
        <v>0</v>
      </c>
      <c r="D499" s="18">
        <f>100-D497</f>
        <v>43.483540204929824</v>
      </c>
      <c r="E499" s="18">
        <f>100-E497</f>
        <v>2.3123753822956701</v>
      </c>
      <c r="F499" s="18">
        <f>100-F497</f>
        <v>8.4045259271179873</v>
      </c>
      <c r="G499" s="18">
        <f>100-G497</f>
        <v>11.600094953524632</v>
      </c>
      <c r="AM499" s="78"/>
      <c r="AN499" s="78"/>
    </row>
    <row r="500" spans="1:40" ht="15.6" x14ac:dyDescent="0.35">
      <c r="B500" s="1" t="s">
        <v>25</v>
      </c>
      <c r="C500" s="1">
        <f>C484</f>
        <v>259</v>
      </c>
      <c r="D500" s="1">
        <f>D484</f>
        <v>744</v>
      </c>
      <c r="E500" s="1">
        <f>E484</f>
        <v>7005</v>
      </c>
      <c r="F500" s="1">
        <f>F484</f>
        <v>2605</v>
      </c>
      <c r="G500" s="1">
        <f>G484</f>
        <v>849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2378.6136913305932</v>
      </c>
      <c r="E501" s="18">
        <f>(O492*O492*(100-E497)*(100-E497)*(I492)*(100-I492))/((L492-1)*100)</f>
        <v>16.440747549443749</v>
      </c>
      <c r="F501" s="18">
        <f>(O493*O493*(100-F497)*(100-F497)*(I493)*(100-I493))/((L493-1)*100)</f>
        <v>49.918908851780671</v>
      </c>
      <c r="G501" s="18">
        <f>(O494*O494*(100-G497)*(100-G497)*(I494)*(100-I494))/((L494-1)*100)</f>
        <v>308.48630696251706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110.88994214171151</v>
      </c>
      <c r="E502" s="18">
        <f>E497*E497*(SUM((H490*E490*(1-E479/H479))/(H479-1),(H491*E491*(1-E480/H480))/(H480-1), (H493*E493*(1-E482/H482))/(H482-1),(H494*E494*(1-E483/H483))/(H483-1)))</f>
        <v>171.91076652233804</v>
      </c>
      <c r="F502" s="18">
        <f>F497*F497*(SUM((H490*F490*(1-F479/H479))/(H479-1),(H491*F491*(1-F480/H480))/(H480-1), (H492*F492*(1-F481/H481))/(H481-1),(H494*F494*(1-F483/H483))/(H483-1)))</f>
        <v>145.05741715892813</v>
      </c>
      <c r="G502" s="18">
        <f>G497*G497*(SUM((H490*G490*(1-G479/H479))/(H479-1),(H491*G491*(1-G480/H480))/(H480-1), (H492*G492*(1-G481/H481))/(H481-1),(H493*G493*(1-G482/H482))/(H482-1)))</f>
        <v>68.630672885749775</v>
      </c>
    </row>
    <row r="503" spans="1:40" x14ac:dyDescent="0.3">
      <c r="A503" s="105" t="s">
        <v>390</v>
      </c>
      <c r="B503" s="69" t="s">
        <v>9</v>
      </c>
      <c r="C503" s="1">
        <v>272.79000000000002</v>
      </c>
      <c r="D503" s="1">
        <v>1541.67</v>
      </c>
      <c r="E503" s="1">
        <v>15910.73</v>
      </c>
      <c r="F503" s="1">
        <v>2151.14</v>
      </c>
      <c r="G503" s="1">
        <v>1646.44</v>
      </c>
      <c r="I503" t="s">
        <v>36</v>
      </c>
      <c r="J503" s="57">
        <f>SUM(C503:G503)</f>
        <v>21522.769999999997</v>
      </c>
      <c r="AM503" s="78"/>
      <c r="AN503" s="78"/>
    </row>
    <row r="504" spans="1:40" x14ac:dyDescent="0.3">
      <c r="B504" t="s">
        <v>391</v>
      </c>
      <c r="C504" s="57">
        <f>(C503/$J503)*100</f>
        <v>1.2674483814118724</v>
      </c>
      <c r="D504" s="57">
        <f>(D503/$J503)*100</f>
        <v>7.1629720523891685</v>
      </c>
      <c r="E504" s="57">
        <f>(E503/$J503)*100</f>
        <v>73.925103506658303</v>
      </c>
      <c r="F504" s="57">
        <f>(F503/$J503)*100</f>
        <v>9.9947172227366661</v>
      </c>
      <c r="G504" s="57">
        <f>(G503/$J503)*100</f>
        <v>7.6497588368040006</v>
      </c>
    </row>
    <row r="505" spans="1:40" x14ac:dyDescent="0.3">
      <c r="A505" s="361" t="s">
        <v>401</v>
      </c>
      <c r="B505" s="361"/>
      <c r="C505" s="361"/>
      <c r="D505" s="361"/>
      <c r="E505" s="361"/>
      <c r="F505" s="361"/>
      <c r="G505" s="361"/>
      <c r="H505" s="361"/>
      <c r="I505" s="361"/>
      <c r="J505" s="361"/>
      <c r="K505" s="361"/>
      <c r="L505" s="361" t="s">
        <v>95</v>
      </c>
      <c r="M505" s="361"/>
      <c r="N505" s="361"/>
      <c r="O505" s="361"/>
      <c r="P505" s="361"/>
      <c r="AM505" s="78"/>
      <c r="AN505" s="78"/>
    </row>
    <row r="506" spans="1:40" x14ac:dyDescent="0.3">
      <c r="A506" t="s">
        <v>15</v>
      </c>
      <c r="B506" t="s">
        <v>21</v>
      </c>
      <c r="I506" s="1" t="s">
        <v>58</v>
      </c>
      <c r="O506" s="360" t="s">
        <v>411</v>
      </c>
      <c r="P506" s="360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56</v>
      </c>
      <c r="O507" s="13" t="s">
        <v>412</v>
      </c>
      <c r="P507" s="13" t="s">
        <v>41</v>
      </c>
      <c r="AM507" s="78"/>
      <c r="AN507" s="78"/>
    </row>
    <row r="508" spans="1:40" x14ac:dyDescent="0.3">
      <c r="A508" t="s">
        <v>3</v>
      </c>
      <c r="B508" s="13">
        <v>0</v>
      </c>
      <c r="C508" s="26">
        <v>259</v>
      </c>
      <c r="D508" s="3">
        <v>0</v>
      </c>
      <c r="E508" s="3">
        <v>0</v>
      </c>
      <c r="F508" s="3">
        <v>0</v>
      </c>
      <c r="G508" s="4">
        <v>0</v>
      </c>
      <c r="H508" s="1">
        <f>SUM(C508:G508)</f>
        <v>259</v>
      </c>
      <c r="I508" s="10">
        <f>C508/H508</f>
        <v>1</v>
      </c>
      <c r="J508" s="11">
        <f>1-I508</f>
        <v>0</v>
      </c>
      <c r="K508">
        <f>H508-C513</f>
        <v>0</v>
      </c>
      <c r="N508" s="10">
        <f>2*(C514*I508)/(C514+I508)</f>
        <v>1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297</v>
      </c>
      <c r="E509" s="1">
        <v>42</v>
      </c>
      <c r="F509" s="1">
        <v>0</v>
      </c>
      <c r="G509" s="6">
        <v>0</v>
      </c>
      <c r="H509" s="1">
        <f>SUM(C509:G509)</f>
        <v>339</v>
      </c>
      <c r="I509" s="10">
        <f>D509/H509</f>
        <v>0.87610619469026552</v>
      </c>
      <c r="J509" s="11">
        <f>1-I509</f>
        <v>0.12389380530973448</v>
      </c>
      <c r="K509">
        <f>H509-D513</f>
        <v>-451</v>
      </c>
      <c r="N509" s="10">
        <f>2*(D514*I509)/(D514+I509)</f>
        <v>0.52612931798051377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393</v>
      </c>
      <c r="E510" s="27">
        <v>6839</v>
      </c>
      <c r="F510" s="1">
        <v>109</v>
      </c>
      <c r="G510" s="6">
        <v>58</v>
      </c>
      <c r="H510" s="1">
        <f>SUM(C510:G510)</f>
        <v>7399</v>
      </c>
      <c r="I510" s="10">
        <f>E510/H510</f>
        <v>0.924314096499527</v>
      </c>
      <c r="J510" s="11">
        <f>1-I510</f>
        <v>7.5685903500472995E-2</v>
      </c>
      <c r="K510">
        <f>H510-E513</f>
        <v>476</v>
      </c>
      <c r="N510" s="10">
        <f>2*(E514*I510)/(E514+I510)</f>
        <v>0.95503421309872927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0</v>
      </c>
      <c r="E511" s="1">
        <v>19</v>
      </c>
      <c r="F511" s="27">
        <v>2411</v>
      </c>
      <c r="G511" s="6">
        <v>90</v>
      </c>
      <c r="H511" s="1">
        <f>SUM(C511:G511)</f>
        <v>2520</v>
      </c>
      <c r="I511" s="10">
        <f>F511/H511</f>
        <v>0.95674603174603179</v>
      </c>
      <c r="J511" s="11">
        <f>1-I511</f>
        <v>4.3253968253968211E-2</v>
      </c>
      <c r="K511">
        <f>H511-F513</f>
        <v>-94</v>
      </c>
      <c r="N511" s="10">
        <f>2*(F514*I511)/(F514+I511)</f>
        <v>0.9392286716010908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100</v>
      </c>
      <c r="E512" s="8">
        <v>23</v>
      </c>
      <c r="F512" s="8">
        <v>94</v>
      </c>
      <c r="G512" s="28">
        <v>728</v>
      </c>
      <c r="H512" s="1">
        <f>SUM(C512:G512)</f>
        <v>945</v>
      </c>
      <c r="I512" s="10">
        <f>G512/H512</f>
        <v>0.77037037037037037</v>
      </c>
      <c r="J512" s="11">
        <f>1-I512</f>
        <v>0.22962962962962963</v>
      </c>
      <c r="K512">
        <f>H512-G513</f>
        <v>69</v>
      </c>
      <c r="N512" s="10">
        <f>2*(G514*I512)/(G514+I512)</f>
        <v>0.79956068094453603</v>
      </c>
      <c r="O512" s="1"/>
      <c r="P512" s="1"/>
    </row>
    <row r="513" spans="1:40" ht="15.6" x14ac:dyDescent="0.35">
      <c r="B513" s="1" t="s">
        <v>19</v>
      </c>
      <c r="C513" s="1">
        <f>SUM(C508:C512)</f>
        <v>259</v>
      </c>
      <c r="D513" s="1">
        <f>SUM(D508:D512)</f>
        <v>790</v>
      </c>
      <c r="E513" s="1">
        <f>SUM(E508:E512)</f>
        <v>6923</v>
      </c>
      <c r="F513" s="1">
        <f>SUM(F508:F512)</f>
        <v>2614</v>
      </c>
      <c r="G513" s="1">
        <f>SUM(G508:G512)</f>
        <v>876</v>
      </c>
      <c r="H513" s="1">
        <f>SUM(H507:H512)</f>
        <v>11462</v>
      </c>
      <c r="I513" s="13" t="s">
        <v>12</v>
      </c>
      <c r="N513" s="16" t="s">
        <v>36</v>
      </c>
      <c r="O513" s="1">
        <f>SUM(O508:O512)</f>
        <v>0</v>
      </c>
      <c r="P513" s="1">
        <f>SUM(P508:P512)</f>
        <v>0</v>
      </c>
      <c r="AM513" s="78"/>
      <c r="AN513" s="78"/>
    </row>
    <row r="514" spans="1:40" x14ac:dyDescent="0.3">
      <c r="A514" s="1" t="s">
        <v>57</v>
      </c>
      <c r="B514" s="1" t="s">
        <v>2</v>
      </c>
      <c r="C514" s="10">
        <f>C508/C513</f>
        <v>1</v>
      </c>
      <c r="D514" s="10">
        <f>D509/D513</f>
        <v>0.3759493670886076</v>
      </c>
      <c r="E514" s="10">
        <f>E510/E513</f>
        <v>0.98786653185035389</v>
      </c>
      <c r="F514" s="10">
        <f>F511/F513</f>
        <v>0.92234123947972457</v>
      </c>
      <c r="G514" s="10">
        <f>G512/G513</f>
        <v>0.83105022831050224</v>
      </c>
      <c r="H514" s="10"/>
      <c r="I514" s="14">
        <f>(C508+D509+E510+F511+G512)/H513</f>
        <v>0.91903681730937015</v>
      </c>
    </row>
    <row r="515" spans="1:40" x14ac:dyDescent="0.3">
      <c r="B515" s="1" t="s">
        <v>14</v>
      </c>
      <c r="C515" s="11">
        <f>1-C514</f>
        <v>0</v>
      </c>
      <c r="D515" s="11">
        <f>1-D514</f>
        <v>0.6240506329113924</v>
      </c>
      <c r="E515" s="11">
        <f>1-E514</f>
        <v>1.2133468149646109E-2</v>
      </c>
      <c r="F515" s="11">
        <f>1-F514</f>
        <v>7.7658760520275427E-2</v>
      </c>
      <c r="G515" s="11">
        <f>1-G514</f>
        <v>0.16894977168949776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1.4340484583140676</v>
      </c>
      <c r="D519" s="31">
        <f>(D508/$L519)*$O519</f>
        <v>0</v>
      </c>
      <c r="E519" s="31">
        <f>(E508/$L519)*$O519</f>
        <v>0</v>
      </c>
      <c r="F519" s="31">
        <f>(F508/$L519)*$O519</f>
        <v>0</v>
      </c>
      <c r="G519" s="32">
        <f>(G508/$L519)*$O519</f>
        <v>0</v>
      </c>
      <c r="H519" s="17">
        <f>SUM(C519:G519)</f>
        <v>1.4340484583140676</v>
      </c>
      <c r="I519" s="17">
        <f>C519/H519*100</f>
        <v>100</v>
      </c>
      <c r="J519" s="17">
        <f>SQRT(I519*(100-I519)/(L519-1))</f>
        <v>0</v>
      </c>
      <c r="K519" s="18">
        <f>100-I519</f>
        <v>0</v>
      </c>
      <c r="L519" s="1">
        <f>H508</f>
        <v>259</v>
      </c>
      <c r="M519">
        <v>0</v>
      </c>
      <c r="N519" s="1">
        <v>2557.14</v>
      </c>
      <c r="O519" s="17">
        <f>N519/N524*100</f>
        <v>1.4340484583140676</v>
      </c>
      <c r="P519" s="52">
        <f>((O519*O519*(I519/100)*(K519/100))/(L519-1))</f>
        <v>0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66">(C509/$L520)*$O520</f>
        <v>0</v>
      </c>
      <c r="D520" s="34">
        <f t="shared" si="66"/>
        <v>5.632729790686299</v>
      </c>
      <c r="E520" s="19">
        <f t="shared" si="66"/>
        <v>0.7965476471677595</v>
      </c>
      <c r="F520" s="18">
        <f t="shared" si="66"/>
        <v>0</v>
      </c>
      <c r="G520" s="20">
        <f t="shared" si="66"/>
        <v>0</v>
      </c>
      <c r="H520" s="17">
        <f>SUM(C520:G520)</f>
        <v>6.4292774378540587</v>
      </c>
      <c r="I520" s="17">
        <f>D520/H520*100</f>
        <v>87.610619469026545</v>
      </c>
      <c r="J520" s="17">
        <f>SQRT(I520*(100-I520)/(L520-1))</f>
        <v>1.7920281254034289</v>
      </c>
      <c r="K520" s="18">
        <f>100-I520</f>
        <v>12.389380530973455</v>
      </c>
      <c r="L520" s="1">
        <f>H509</f>
        <v>339</v>
      </c>
      <c r="M520">
        <v>1</v>
      </c>
      <c r="N520" s="1">
        <v>11464.44</v>
      </c>
      <c r="O520" s="17">
        <f>N520/N524*100</f>
        <v>6.4292774378540587</v>
      </c>
      <c r="P520" s="52">
        <f>((O520*O520*(I520/100)*(K520/100))/(L520-1))</f>
        <v>1.3274371780777866E-2</v>
      </c>
    </row>
    <row r="521" spans="1:40" x14ac:dyDescent="0.3">
      <c r="A521" t="s">
        <v>5</v>
      </c>
      <c r="B521" s="13">
        <v>2</v>
      </c>
      <c r="C521" s="33">
        <f t="shared" si="66"/>
        <v>0</v>
      </c>
      <c r="D521" s="19">
        <f t="shared" si="66"/>
        <v>3.1721495792878556</v>
      </c>
      <c r="E521" s="34">
        <f t="shared" si="66"/>
        <v>55.201859981551259</v>
      </c>
      <c r="F521" s="19">
        <f t="shared" si="66"/>
        <v>0.87980738967525762</v>
      </c>
      <c r="G521" s="20">
        <f t="shared" si="66"/>
        <v>0.46815439083637567</v>
      </c>
      <c r="H521" s="17">
        <f>SUM(C521:G521)</f>
        <v>59.721971341350745</v>
      </c>
      <c r="I521" s="17">
        <f>E521/H521*100</f>
        <v>92.431409649952698</v>
      </c>
      <c r="J521" s="17">
        <f>SQRT(I521*(100-I521)/(L521-1))</f>
        <v>0.30751062400580526</v>
      </c>
      <c r="K521" s="18">
        <f>100-I521</f>
        <v>7.5685903500473017</v>
      </c>
      <c r="L521" s="1">
        <f>H510</f>
        <v>7399</v>
      </c>
      <c r="M521">
        <v>2</v>
      </c>
      <c r="N521" s="1">
        <v>106493.92</v>
      </c>
      <c r="O521" s="17">
        <f>N521/N524*100</f>
        <v>59.721971341350745</v>
      </c>
      <c r="P521" s="52">
        <f>((O521*O521*(I521/100)*(K521/100))/(L521-1))</f>
        <v>3.372783919771162E-2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66"/>
        <v>0</v>
      </c>
      <c r="D522" s="19">
        <f t="shared" si="66"/>
        <v>0</v>
      </c>
      <c r="E522" s="19">
        <f t="shared" si="66"/>
        <v>0.15845535477029876</v>
      </c>
      <c r="F522" s="34">
        <f t="shared" si="66"/>
        <v>20.107150544799492</v>
      </c>
      <c r="G522" s="20">
        <f t="shared" si="66"/>
        <v>0.75057799628036248</v>
      </c>
      <c r="H522" s="17">
        <f>SUM(C522:G522)</f>
        <v>21.016183895850155</v>
      </c>
      <c r="I522" s="17">
        <f>F522/H522*100</f>
        <v>95.674603174603163</v>
      </c>
      <c r="J522" s="17">
        <f>SQRT(I522*(100-I522)/(L522-1))</f>
        <v>0.4053192493129934</v>
      </c>
      <c r="K522" s="18">
        <f>100-I522</f>
        <v>4.3253968253968367</v>
      </c>
      <c r="L522" s="1">
        <f>H511</f>
        <v>2520</v>
      </c>
      <c r="M522">
        <v>3</v>
      </c>
      <c r="N522" s="1">
        <v>37475.25</v>
      </c>
      <c r="O522" s="17">
        <f>N522/N524*100</f>
        <v>21.016183895850151</v>
      </c>
      <c r="P522" s="52">
        <f>((O522*O522*(I522/100)*(K522/100))/(L522-1))</f>
        <v>7.2560819530842618E-3</v>
      </c>
    </row>
    <row r="523" spans="1:40" x14ac:dyDescent="0.3">
      <c r="A523" t="s">
        <v>7</v>
      </c>
      <c r="B523" s="13">
        <v>4</v>
      </c>
      <c r="C523" s="35">
        <f t="shared" si="66"/>
        <v>0</v>
      </c>
      <c r="D523" s="36">
        <f t="shared" si="66"/>
        <v>1.2061924726593631</v>
      </c>
      <c r="E523" s="21">
        <f t="shared" si="66"/>
        <v>0.2774242687116536</v>
      </c>
      <c r="F523" s="21">
        <f t="shared" si="66"/>
        <v>1.1338209242998016</v>
      </c>
      <c r="G523" s="37">
        <f t="shared" si="66"/>
        <v>8.7810812009601644</v>
      </c>
      <c r="H523" s="17">
        <f>SUM(C523:G523)</f>
        <v>11.398518866630983</v>
      </c>
      <c r="I523" s="17">
        <f>G523/H523*100</f>
        <v>77.037037037037038</v>
      </c>
      <c r="J523" s="17">
        <f>SQRT(I523*(100-I523)/(L523-1))</f>
        <v>1.3689189986443526</v>
      </c>
      <c r="K523" s="18">
        <f>100-I523</f>
        <v>22.962962962962962</v>
      </c>
      <c r="L523" s="1">
        <f>H512</f>
        <v>945</v>
      </c>
      <c r="M523">
        <v>4</v>
      </c>
      <c r="N523" s="1">
        <v>20325.400000000001</v>
      </c>
      <c r="O523" s="17">
        <f>N523/N524*100</f>
        <v>11.398518866630983</v>
      </c>
      <c r="P523" s="52">
        <f>((O523*O523*(I523/100)*(K523/100))/(L523-1))</f>
        <v>2.4347386314308345E-2</v>
      </c>
      <c r="AM523" s="78"/>
      <c r="AN523" s="78"/>
    </row>
    <row r="524" spans="1:40" x14ac:dyDescent="0.3">
      <c r="B524" t="s">
        <v>28</v>
      </c>
      <c r="C524" s="17">
        <f>SUM(C519:C523)</f>
        <v>1.4340484583140676</v>
      </c>
      <c r="D524" s="17">
        <f>SUM(D519:D523)</f>
        <v>10.011071842633518</v>
      </c>
      <c r="E524" s="17">
        <f>SUM(E519:E523)</f>
        <v>56.434287252200967</v>
      </c>
      <c r="F524" s="17">
        <f>SUM(F519:F523)</f>
        <v>22.12077885877455</v>
      </c>
      <c r="G524" s="17">
        <f>SUM(G519:G523)</f>
        <v>9.9998135880769023</v>
      </c>
      <c r="H524" s="1">
        <f>SUM(H518:H523)</f>
        <v>100</v>
      </c>
      <c r="I524" s="13" t="s">
        <v>24</v>
      </c>
      <c r="J524" s="12" t="s">
        <v>29</v>
      </c>
      <c r="N524" s="1">
        <f>SUM(N519:N523)</f>
        <v>178316.15</v>
      </c>
      <c r="O524" s="17">
        <f>SUM(O519:O523)</f>
        <v>100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0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0.22469771728736121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0.22701285760282242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0.16299004700456327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0.18468039109067161</v>
      </c>
      <c r="H525" s="1"/>
      <c r="I525" s="14">
        <f>(C519+D520+E521+F522+G523)/H524</f>
        <v>0.91156869976311272</v>
      </c>
      <c r="J525" s="53">
        <f>SQRT(SUM(P519:P523))/100</f>
        <v>2.803670437941701E-3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100</v>
      </c>
      <c r="D526" s="17">
        <f>D520/D524*100</f>
        <v>56.265002181869775</v>
      </c>
      <c r="E526" s="17">
        <f>E521/E524*100</f>
        <v>97.816172878835033</v>
      </c>
      <c r="F526" s="17">
        <f>F522/F524*100</f>
        <v>90.897118375303847</v>
      </c>
      <c r="G526" s="17">
        <f>G523/G524*100</f>
        <v>87.81244893834949</v>
      </c>
      <c r="H526" s="1"/>
    </row>
    <row r="527" spans="1:40" x14ac:dyDescent="0.3">
      <c r="B527" s="16" t="s">
        <v>39</v>
      </c>
      <c r="C527" s="18">
        <f>SQRT((C530+C531)/(C524*C524))</f>
        <v>0</v>
      </c>
      <c r="D527" s="18">
        <f>SQRT((D530+D531)/(D524*D524))</f>
        <v>5.1489532731826095</v>
      </c>
      <c r="E527" s="18">
        <f>SQRT((E530+E531)/(E524*E524))</f>
        <v>0.24226104442960555</v>
      </c>
      <c r="F527" s="18">
        <f>SQRT((F530+F531)/(F524*F524))</f>
        <v>0.67022475336206211</v>
      </c>
      <c r="G527" s="18">
        <f>SQRT((G530+G531)/(G524*G524))</f>
        <v>2.0907896163080038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0</v>
      </c>
      <c r="D528" s="18">
        <f>100-D526</f>
        <v>43.734997818130225</v>
      </c>
      <c r="E528" s="18">
        <f>100-E526</f>
        <v>2.1838271211649669</v>
      </c>
      <c r="F528" s="18">
        <f>100-F526</f>
        <v>9.1028816246961526</v>
      </c>
      <c r="G528" s="18">
        <f>100-G526</f>
        <v>12.18755106165051</v>
      </c>
    </row>
    <row r="529" spans="1:40" ht="15.6" x14ac:dyDescent="0.35">
      <c r="B529" s="1" t="s">
        <v>25</v>
      </c>
      <c r="C529" s="1">
        <f>C513</f>
        <v>259</v>
      </c>
      <c r="D529" s="1">
        <f>D513</f>
        <v>790</v>
      </c>
      <c r="E529" s="1">
        <f>E513</f>
        <v>6923</v>
      </c>
      <c r="F529" s="1">
        <f>F513</f>
        <v>2614</v>
      </c>
      <c r="G529" s="1">
        <f>G513</f>
        <v>876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2539.0555077027298</v>
      </c>
      <c r="E530" s="18">
        <f>(O521*O521*(100-E526)*(100-E526)*(I521)*(100-I521))/((L521-1)*100)</f>
        <v>16.085146810879834</v>
      </c>
      <c r="F530" s="18">
        <f>(O522*O522*(100-F526)*(100-F526)*(I522)*(100-I522))/((L522-1)*100)</f>
        <v>60.125675613782768</v>
      </c>
      <c r="G530" s="18">
        <f>(O523*O523*(100-G526)*(100-G526)*(I523)*(100-I523))/((L523-1)*100)</f>
        <v>361.64731339705708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117.99039499024974</v>
      </c>
      <c r="E531" s="18">
        <f>E526*E526*(SUM((H519*E519*(1-E508/H508))/(H508-1),(H520*E520*(1-E509/H509))/(H509-1), (H522*E522*(1-E511/H511))/(H511-1),(H523*E523*(1-E512/H512))/(H512-1)))</f>
        <v>170.83377154866332</v>
      </c>
      <c r="F531" s="18">
        <f>F526*F526*(SUM((H519*F519*(1-F508/H508))/(H508-1),(H520*F520*(1-F509/H509))/(H509-1), (H521*F521*(1-F510/H510))/(H510-1),(H523*F523*(1-F512/H512))/(H512-1)))</f>
        <v>159.68144408444451</v>
      </c>
      <c r="G531" s="18">
        <f>G526*G526*(SUM((H519*G519*(1-G508/H508))/(H508-1),(H520*G520*(1-G509/H509))/(H509-1), (H521*G521*(1-G510/H510))/(H510-1),(H522*G522*(1-G511/H511))/(H511-1)))</f>
        <v>75.476511094823692</v>
      </c>
      <c r="AM531" s="78"/>
      <c r="AN531" s="78"/>
    </row>
    <row r="532" spans="1:40" x14ac:dyDescent="0.3">
      <c r="A532" s="105" t="s">
        <v>390</v>
      </c>
      <c r="B532" s="69" t="s">
        <v>9</v>
      </c>
      <c r="C532" s="1">
        <v>269.82</v>
      </c>
      <c r="D532" s="1">
        <v>1644.12</v>
      </c>
      <c r="E532" s="1">
        <v>15677.38</v>
      </c>
      <c r="F532" s="1">
        <v>2172.65</v>
      </c>
      <c r="G532" s="1">
        <v>1758.79</v>
      </c>
      <c r="I532" t="s">
        <v>36</v>
      </c>
      <c r="J532" s="57">
        <f>SUM(C532:G532)</f>
        <v>21522.760000000002</v>
      </c>
    </row>
    <row r="533" spans="1:40" x14ac:dyDescent="0.3">
      <c r="B533" t="s">
        <v>391</v>
      </c>
      <c r="C533" s="57">
        <f>(C532/$J532)*100</f>
        <v>1.2536496248622389</v>
      </c>
      <c r="D533" s="57">
        <f>(D532/$J532)*100</f>
        <v>7.6389831043973899</v>
      </c>
      <c r="E533" s="57">
        <f>(E532/$J532)*100</f>
        <v>72.84093675718168</v>
      </c>
      <c r="F533" s="57">
        <f>(F532/$J532)*100</f>
        <v>10.094662580449718</v>
      </c>
      <c r="G533" s="57">
        <f>(G532/$J532)*100</f>
        <v>8.171767933108951</v>
      </c>
      <c r="AM533" s="78"/>
      <c r="AN533" s="78"/>
    </row>
    <row r="534" spans="1:40" x14ac:dyDescent="0.3">
      <c r="A534" s="361" t="s">
        <v>401</v>
      </c>
      <c r="B534" s="361"/>
      <c r="C534" s="361"/>
      <c r="D534" s="361"/>
      <c r="E534" s="361"/>
      <c r="F534" s="361"/>
      <c r="G534" s="361"/>
      <c r="H534" s="361"/>
      <c r="I534" s="361"/>
      <c r="J534" s="361"/>
      <c r="K534" s="361"/>
      <c r="L534" s="361" t="s">
        <v>96</v>
      </c>
      <c r="M534" s="361"/>
      <c r="N534" s="361"/>
      <c r="O534" s="361"/>
      <c r="P534" s="361"/>
    </row>
    <row r="535" spans="1:40" x14ac:dyDescent="0.3">
      <c r="A535" t="s">
        <v>15</v>
      </c>
      <c r="B535" t="s">
        <v>21</v>
      </c>
      <c r="I535" s="1" t="s">
        <v>58</v>
      </c>
      <c r="O535" s="360" t="s">
        <v>411</v>
      </c>
      <c r="P535" s="360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56</v>
      </c>
      <c r="O536" s="13" t="s">
        <v>412</v>
      </c>
      <c r="P536" s="13" t="s">
        <v>41</v>
      </c>
    </row>
    <row r="537" spans="1:40" x14ac:dyDescent="0.3">
      <c r="A537" t="s">
        <v>3</v>
      </c>
      <c r="B537" s="13">
        <v>0</v>
      </c>
      <c r="C537" s="26">
        <v>259</v>
      </c>
      <c r="D537" s="3">
        <v>0</v>
      </c>
      <c r="E537" s="3">
        <v>0</v>
      </c>
      <c r="F537" s="3">
        <v>0</v>
      </c>
      <c r="G537" s="4">
        <v>0</v>
      </c>
      <c r="H537" s="1">
        <f>SUM(C537:G537)</f>
        <v>259</v>
      </c>
      <c r="I537" s="10">
        <f>C537/H537</f>
        <v>1</v>
      </c>
      <c r="J537" s="11">
        <f>1-I537</f>
        <v>0</v>
      </c>
      <c r="K537">
        <f>H537-C542</f>
        <v>0</v>
      </c>
      <c r="N537" s="10">
        <f>2*(C543*I537)/(C543+I537)</f>
        <v>1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284</v>
      </c>
      <c r="E538" s="1">
        <v>55</v>
      </c>
      <c r="F538" s="1">
        <v>0</v>
      </c>
      <c r="G538" s="6">
        <v>0</v>
      </c>
      <c r="H538" s="1">
        <f>SUM(C538:G538)</f>
        <v>339</v>
      </c>
      <c r="I538" s="10">
        <f>D538/H538</f>
        <v>0.83775811209439532</v>
      </c>
      <c r="J538" s="11">
        <f>1-I538</f>
        <v>0.16224188790560468</v>
      </c>
      <c r="K538">
        <f>H538-D542</f>
        <v>-363</v>
      </c>
      <c r="N538" s="10">
        <f>2*(D543*I538)/(D543+I538)</f>
        <v>0.54562920268972148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304</v>
      </c>
      <c r="E539" s="27">
        <v>6929</v>
      </c>
      <c r="F539" s="1">
        <v>103</v>
      </c>
      <c r="G539" s="6">
        <v>63</v>
      </c>
      <c r="H539" s="1">
        <f>SUM(C539:G539)</f>
        <v>7399</v>
      </c>
      <c r="I539" s="10">
        <f>E539/H539</f>
        <v>0.93647790241924589</v>
      </c>
      <c r="J539" s="11">
        <f>1-I539</f>
        <v>6.3522097580754111E-2</v>
      </c>
      <c r="K539">
        <f>H539-E542</f>
        <v>371</v>
      </c>
      <c r="N539" s="10">
        <f>2*(E543*I539)/(E543+I539)</f>
        <v>0.96056006099674229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0</v>
      </c>
      <c r="D540" s="1">
        <v>0</v>
      </c>
      <c r="E540" s="1">
        <v>17</v>
      </c>
      <c r="F540" s="27">
        <v>2414</v>
      </c>
      <c r="G540" s="6">
        <v>89</v>
      </c>
      <c r="H540" s="1">
        <f>SUM(C540:G540)</f>
        <v>2520</v>
      </c>
      <c r="I540" s="10">
        <f>F540/H540</f>
        <v>0.95793650793650797</v>
      </c>
      <c r="J540" s="11">
        <f>1-I540</f>
        <v>4.2063492063492025E-2</v>
      </c>
      <c r="K540">
        <f>H540-F542</f>
        <v>-85</v>
      </c>
      <c r="N540" s="10">
        <f>2*(F543*I540)/(F543+I540)</f>
        <v>0.94204878048780494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114</v>
      </c>
      <c r="E541" s="8">
        <v>27</v>
      </c>
      <c r="F541" s="8">
        <v>88</v>
      </c>
      <c r="G541" s="28">
        <v>716</v>
      </c>
      <c r="H541" s="1">
        <f>SUM(C541:G541)</f>
        <v>945</v>
      </c>
      <c r="I541" s="10">
        <f>G541/H541</f>
        <v>0.75767195767195772</v>
      </c>
      <c r="J541" s="11">
        <f>1-I541</f>
        <v>0.24232804232804228</v>
      </c>
      <c r="K541">
        <f>H541-G542</f>
        <v>77</v>
      </c>
      <c r="N541" s="10">
        <f>2*(G543*I541)/(G543+I541)</f>
        <v>0.78985107556536138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259</v>
      </c>
      <c r="D542" s="1">
        <f>SUM(D537:D541)</f>
        <v>702</v>
      </c>
      <c r="E542" s="1">
        <f>SUM(E537:E541)</f>
        <v>7028</v>
      </c>
      <c r="F542" s="1">
        <f>SUM(F537:F541)</f>
        <v>2605</v>
      </c>
      <c r="G542" s="1">
        <f>SUM(G537:G541)</f>
        <v>868</v>
      </c>
      <c r="H542" s="1">
        <f>SUM(H536:H541)</f>
        <v>11462</v>
      </c>
      <c r="I542" s="13" t="s">
        <v>12</v>
      </c>
      <c r="N542" s="16" t="s">
        <v>36</v>
      </c>
      <c r="O542" s="1">
        <f>SUM(O537:O541)</f>
        <v>0</v>
      </c>
      <c r="P542" s="1">
        <f>SUM(P537:P541)</f>
        <v>0</v>
      </c>
    </row>
    <row r="543" spans="1:40" x14ac:dyDescent="0.3">
      <c r="A543" s="1" t="s">
        <v>57</v>
      </c>
      <c r="B543" s="1" t="s">
        <v>2</v>
      </c>
      <c r="C543" s="10">
        <f>C537/C542</f>
        <v>1</v>
      </c>
      <c r="D543" s="10">
        <f>D538/D542</f>
        <v>0.40455840455840458</v>
      </c>
      <c r="E543" s="10">
        <f>E539/E542</f>
        <v>0.98591348890153674</v>
      </c>
      <c r="F543" s="10">
        <f>F540/F542</f>
        <v>0.92667946257197698</v>
      </c>
      <c r="G543" s="10">
        <f>G541/G542</f>
        <v>0.82488479262672809</v>
      </c>
      <c r="H543" s="10"/>
      <c r="I543" s="14">
        <f>(C537+D538+E539+F540+G541)/H542</f>
        <v>0.9249694643168731</v>
      </c>
    </row>
    <row r="544" spans="1:40" x14ac:dyDescent="0.3">
      <c r="B544" s="1" t="s">
        <v>14</v>
      </c>
      <c r="C544" s="11">
        <f>1-C543</f>
        <v>0</v>
      </c>
      <c r="D544" s="11">
        <f>1-D543</f>
        <v>0.59544159544159547</v>
      </c>
      <c r="E544" s="11">
        <f>1-E543</f>
        <v>1.4086511098463261E-2</v>
      </c>
      <c r="F544" s="11">
        <f>1-F543</f>
        <v>7.3320537428023025E-2</v>
      </c>
      <c r="G544" s="11">
        <f>1-G543</f>
        <v>0.17511520737327191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1.4176898727344662</v>
      </c>
      <c r="D548" s="31">
        <f>(D537/$L548)*$O548</f>
        <v>0</v>
      </c>
      <c r="E548" s="31">
        <f>(E537/$L548)*$O548</f>
        <v>0</v>
      </c>
      <c r="F548" s="31">
        <f>(F537/$L548)*$O548</f>
        <v>0</v>
      </c>
      <c r="G548" s="32">
        <f>(G537/$L548)*$O548</f>
        <v>0</v>
      </c>
      <c r="H548" s="17">
        <f>SUM(C548:G548)</f>
        <v>1.4176898727344662</v>
      </c>
      <c r="I548" s="17">
        <f>C548/H548*100</f>
        <v>100</v>
      </c>
      <c r="J548" s="17">
        <f>SQRT(I548*(100-I548)/(L548-1))</f>
        <v>0</v>
      </c>
      <c r="K548" s="18">
        <f>100-I548</f>
        <v>0</v>
      </c>
      <c r="L548" s="1">
        <f>H537</f>
        <v>259</v>
      </c>
      <c r="M548">
        <v>0</v>
      </c>
      <c r="N548" s="1">
        <v>2527.9699999999998</v>
      </c>
      <c r="O548" s="17">
        <f>N548/N553*100</f>
        <v>1.4176898727344662</v>
      </c>
      <c r="P548" s="52">
        <f>((O548*O548*(I548/100)*(K548/100))/(L548-1))</f>
        <v>0</v>
      </c>
    </row>
    <row r="549" spans="1:16" x14ac:dyDescent="0.3">
      <c r="A549" t="s">
        <v>4</v>
      </c>
      <c r="B549" s="13">
        <v>1</v>
      </c>
      <c r="C549" s="33">
        <f t="shared" ref="C549:G552" si="67">(C538/$L549)*$O549</f>
        <v>0</v>
      </c>
      <c r="D549" s="34">
        <f t="shared" si="67"/>
        <v>5.0609866678767412</v>
      </c>
      <c r="E549" s="19">
        <f t="shared" si="67"/>
        <v>0.98012065751134081</v>
      </c>
      <c r="F549" s="18">
        <f t="shared" si="67"/>
        <v>0</v>
      </c>
      <c r="G549" s="20">
        <f t="shared" si="67"/>
        <v>0</v>
      </c>
      <c r="H549" s="17">
        <f>SUM(C549:G549)</f>
        <v>6.041107325388082</v>
      </c>
      <c r="I549" s="17">
        <f>D549/H549*100</f>
        <v>83.775811209439539</v>
      </c>
      <c r="J549" s="17">
        <f>SQRT(I549*(100-I549)/(L549-1))</f>
        <v>2.0053143721611701</v>
      </c>
      <c r="K549" s="18">
        <f>100-I549</f>
        <v>16.224188790560461</v>
      </c>
      <c r="L549" s="1">
        <f>H538</f>
        <v>339</v>
      </c>
      <c r="M549">
        <v>1</v>
      </c>
      <c r="N549" s="1">
        <v>10772.27</v>
      </c>
      <c r="O549" s="17">
        <f>N549/N553*100</f>
        <v>6.041107325388082</v>
      </c>
      <c r="P549" s="52">
        <f>((O549*O549*(I549/100)*(K549/100))/(L549-1))</f>
        <v>1.4675673315312067E-2</v>
      </c>
    </row>
    <row r="550" spans="1:16" x14ac:dyDescent="0.3">
      <c r="A550" t="s">
        <v>5</v>
      </c>
      <c r="B550" s="13">
        <v>2</v>
      </c>
      <c r="C550" s="33">
        <f t="shared" si="67"/>
        <v>0</v>
      </c>
      <c r="D550" s="19">
        <f t="shared" si="67"/>
        <v>2.4660597501019943</v>
      </c>
      <c r="E550" s="34">
        <f t="shared" si="67"/>
        <v>56.20831581729184</v>
      </c>
      <c r="F550" s="19">
        <f t="shared" si="67"/>
        <v>0.83553998112008365</v>
      </c>
      <c r="G550" s="20">
        <f t="shared" si="67"/>
        <v>0.51105843505403181</v>
      </c>
      <c r="H550" s="17">
        <f>SUM(C550:G550)</f>
        <v>60.020973983567956</v>
      </c>
      <c r="I550" s="17">
        <f>E550/H550*100</f>
        <v>93.647790241924582</v>
      </c>
      <c r="J550" s="17">
        <f>SQRT(I550*(100-I550)/(L550-1))</f>
        <v>0.28356590974331303</v>
      </c>
      <c r="K550" s="18">
        <f>100-I550</f>
        <v>6.3522097580754178</v>
      </c>
      <c r="L550" s="1">
        <f>H539</f>
        <v>7399</v>
      </c>
      <c r="M550">
        <v>2</v>
      </c>
      <c r="N550" s="1">
        <v>107027.09</v>
      </c>
      <c r="O550" s="17">
        <f>N550/N553*100</f>
        <v>60.020973983567949</v>
      </c>
      <c r="P550" s="52">
        <f>((O550*O550*(I550/100)*(K550/100))/(L550-1))</f>
        <v>2.8967706719846501E-2</v>
      </c>
    </row>
    <row r="551" spans="1:16" x14ac:dyDescent="0.3">
      <c r="A551" t="s">
        <v>6</v>
      </c>
      <c r="B551" s="13">
        <v>3</v>
      </c>
      <c r="C551" s="33">
        <f t="shared" si="67"/>
        <v>0</v>
      </c>
      <c r="D551" s="19">
        <f t="shared" si="67"/>
        <v>0</v>
      </c>
      <c r="E551" s="19">
        <f t="shared" si="67"/>
        <v>0.14165387382297351</v>
      </c>
      <c r="F551" s="34">
        <f t="shared" si="67"/>
        <v>20.114850082862237</v>
      </c>
      <c r="G551" s="20">
        <f t="shared" si="67"/>
        <v>0.74159969236733181</v>
      </c>
      <c r="H551" s="17">
        <f>SUM(C551:G551)</f>
        <v>20.998103649052542</v>
      </c>
      <c r="I551" s="17">
        <f>F551/H551*100</f>
        <v>95.793650793650798</v>
      </c>
      <c r="J551" s="17">
        <f>SQRT(I551*(100-I551)/(L551-1))</f>
        <v>0.39995114181024394</v>
      </c>
      <c r="K551" s="18">
        <f>100-I551</f>
        <v>4.2063492063492021</v>
      </c>
      <c r="L551" s="1">
        <f>H540</f>
        <v>2520</v>
      </c>
      <c r="M551">
        <v>3</v>
      </c>
      <c r="N551" s="1">
        <v>37443.01</v>
      </c>
      <c r="O551" s="17">
        <f>N551/N553*100</f>
        <v>20.998103649052542</v>
      </c>
      <c r="P551" s="52">
        <f>((O551*O551*(I551/100)*(K551/100))/(L551-1))</f>
        <v>7.0530024093177499E-3</v>
      </c>
    </row>
    <row r="552" spans="1:16" x14ac:dyDescent="0.3">
      <c r="A552" t="s">
        <v>7</v>
      </c>
      <c r="B552" s="13">
        <v>4</v>
      </c>
      <c r="C552" s="35">
        <f t="shared" si="67"/>
        <v>0</v>
      </c>
      <c r="D552" s="36">
        <f t="shared" si="67"/>
        <v>1.3899706553389353</v>
      </c>
      <c r="E552" s="21">
        <f t="shared" si="67"/>
        <v>0.32920357626448465</v>
      </c>
      <c r="F552" s="21">
        <f t="shared" si="67"/>
        <v>1.0729598041212833</v>
      </c>
      <c r="G552" s="37">
        <f t="shared" si="67"/>
        <v>8.7299911335322609</v>
      </c>
      <c r="H552" s="17">
        <f>SUM(C552:G552)</f>
        <v>11.522125169256963</v>
      </c>
      <c r="I552" s="17">
        <f>G552/H552*100</f>
        <v>75.767195767195773</v>
      </c>
      <c r="J552" s="17">
        <f>SQRT(I552*(100-I552)/(L552-1))</f>
        <v>1.3946217906198908</v>
      </c>
      <c r="K552" s="18">
        <f>100-I552</f>
        <v>24.232804232804227</v>
      </c>
      <c r="L552" s="1">
        <f>H541</f>
        <v>945</v>
      </c>
      <c r="M552">
        <v>4</v>
      </c>
      <c r="N552" s="1">
        <v>20545.810000000001</v>
      </c>
      <c r="O552" s="17">
        <f>N552/N553*100</f>
        <v>11.522125169256963</v>
      </c>
      <c r="P552" s="52">
        <f>((O552*O552*(I552/100)*(K552/100))/(L552-1))</f>
        <v>2.5821298067277867E-2</v>
      </c>
    </row>
    <row r="553" spans="1:16" x14ac:dyDescent="0.3">
      <c r="B553" t="s">
        <v>28</v>
      </c>
      <c r="C553" s="17">
        <f>SUM(C548:C552)</f>
        <v>1.4176898727344662</v>
      </c>
      <c r="D553" s="17">
        <f>SUM(D548:D552)</f>
        <v>8.9170170733176715</v>
      </c>
      <c r="E553" s="17">
        <f>SUM(E548:E552)</f>
        <v>57.65929392489064</v>
      </c>
      <c r="F553" s="17">
        <f>SUM(F548:F552)</f>
        <v>22.023349868103601</v>
      </c>
      <c r="G553" s="17">
        <f>SUM(G548:G552)</f>
        <v>9.9826492609536253</v>
      </c>
      <c r="H553" s="1">
        <f>SUM(H547:H552)</f>
        <v>100.00000000000001</v>
      </c>
      <c r="I553" s="13" t="s">
        <v>24</v>
      </c>
      <c r="J553" s="12" t="s">
        <v>29</v>
      </c>
      <c r="N553" s="1">
        <f>SUM(N548:N552)</f>
        <v>178316.15</v>
      </c>
      <c r="O553" s="17">
        <f>SUM(O548:O552)</f>
        <v>100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0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0.22072220460486802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0.22060770557572393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0.15999324850260302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0.18938214678553122</v>
      </c>
      <c r="H554" s="1"/>
      <c r="I554" s="56">
        <f>(C548+D549+E550+F551+G552)/H553</f>
        <v>0.91531833574297539</v>
      </c>
      <c r="J554" s="53">
        <f>SQRT(SUM(P548:P552))/100</f>
        <v>2.7661829388483002E-3</v>
      </c>
      <c r="M554" s="1"/>
      <c r="N554" s="9"/>
    </row>
    <row r="555" spans="1:16" x14ac:dyDescent="0.3">
      <c r="B555" s="1" t="s">
        <v>30</v>
      </c>
      <c r="C555" s="17">
        <f>C548/C553*100</f>
        <v>100</v>
      </c>
      <c r="D555" s="17">
        <f>D549/D553*100</f>
        <v>56.756498571934969</v>
      </c>
      <c r="E555" s="17">
        <f>E550/E553*100</f>
        <v>97.48353125952444</v>
      </c>
      <c r="F555" s="17">
        <f>F551/F553*100</f>
        <v>91.334198490823411</v>
      </c>
      <c r="G555" s="17">
        <f>G552/G553*100</f>
        <v>87.451646404917355</v>
      </c>
      <c r="H555" s="1"/>
    </row>
    <row r="556" spans="1:16" x14ac:dyDescent="0.3">
      <c r="B556" s="16" t="s">
        <v>39</v>
      </c>
      <c r="C556" s="18">
        <f>SQRT((C559+C560)/(C553*C553))</f>
        <v>0</v>
      </c>
      <c r="D556" s="18">
        <f>SQRT((D559+D560)/(D553*D553))</f>
        <v>5.9913334451987632</v>
      </c>
      <c r="E556" s="18">
        <f>SQRT((E559+E560)/(E553*E553))</f>
        <v>0.24895084014657146</v>
      </c>
      <c r="F556" s="18">
        <f>SQRT((F559+F560)/(F553*F553))</f>
        <v>0.65454620122152374</v>
      </c>
      <c r="G556" s="18">
        <f>SQRT((G559+G560)/(G553*G553))</f>
        <v>2.2029885885487621</v>
      </c>
      <c r="H556" s="1"/>
    </row>
    <row r="557" spans="1:16" x14ac:dyDescent="0.3">
      <c r="B557" s="1" t="s">
        <v>37</v>
      </c>
      <c r="C557" s="18">
        <f>100-C555</f>
        <v>0</v>
      </c>
      <c r="D557" s="18">
        <f>100-D555</f>
        <v>43.243501428065031</v>
      </c>
      <c r="E557" s="18">
        <f>100-E555</f>
        <v>2.5164687404755597</v>
      </c>
      <c r="F557" s="18">
        <f>100-F555</f>
        <v>8.665801509176589</v>
      </c>
      <c r="G557" s="18">
        <f>100-G555</f>
        <v>12.548353595082645</v>
      </c>
    </row>
    <row r="558" spans="1:16" ht="15.6" x14ac:dyDescent="0.35">
      <c r="B558" s="1" t="s">
        <v>25</v>
      </c>
      <c r="C558" s="1">
        <f>C542</f>
        <v>259</v>
      </c>
      <c r="D558" s="1">
        <f>D542</f>
        <v>702</v>
      </c>
      <c r="E558" s="1">
        <f>E542</f>
        <v>7028</v>
      </c>
      <c r="F558" s="1">
        <f>F542</f>
        <v>2605</v>
      </c>
      <c r="G558" s="1">
        <f>G542</f>
        <v>868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2744.3515201177738</v>
      </c>
      <c r="E559" s="18">
        <f>(O550*O550*(100-E555)*(100-E555)*(I550)*(100-I550))/((L550-1)*100)</f>
        <v>18.344133182415522</v>
      </c>
      <c r="F559" s="18">
        <f>(O551*O551*(100-F555)*(100-F555)*(I551)*(100-I551))/((L551-1)*100)</f>
        <v>52.965308564274714</v>
      </c>
      <c r="G559" s="18">
        <f>(O552*O552*(100-G555)*(100-G555)*(I552)*(100-I552))/((L552-1)*100)</f>
        <v>406.58520097999394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109.860152157364</v>
      </c>
      <c r="E560" s="18">
        <f>E555*E555*(SUM((H548*E548*(1-E537/H537))/(H537-1),(H549*E549*(1-E538/H538))/(H538-1), (H551*E551*(1-E540/H540))/(H540-1),(H552*E552*(1-E541/H541))/(H541-1)))</f>
        <v>187.70264694505363</v>
      </c>
      <c r="F560" s="18">
        <f>F555*F555*(SUM((H548*F548*(1-F537/H537))/(H537-1),(H549*F549*(1-F538/H538))/(H538-1), (H550*F550*(1-F539/H539))/(H539-1),(H552*F552*(1-F541/H541))/(H541-1)))</f>
        <v>154.8355653625371</v>
      </c>
      <c r="G560" s="18">
        <f>G555*G555*(SUM((H548*G548*(1-G537/H537))/(H537-1),(H549*G549*(1-G538/H538))/(H538-1), (H550*G550*(1-G539/H539))/(H539-1),(H551*G551*(1-G540/H540))/(H540-1)))</f>
        <v>77.048014371575562</v>
      </c>
    </row>
    <row r="561" spans="1:16" x14ac:dyDescent="0.3">
      <c r="A561" s="105" t="s">
        <v>390</v>
      </c>
      <c r="B561" s="69" t="s">
        <v>9</v>
      </c>
      <c r="C561" s="1">
        <v>272.43</v>
      </c>
      <c r="D561" s="1">
        <v>1527.62</v>
      </c>
      <c r="E561" s="1">
        <v>15722.66</v>
      </c>
      <c r="F561" s="1">
        <v>2200.02</v>
      </c>
      <c r="G561" s="1">
        <v>1800.03</v>
      </c>
      <c r="I561" t="s">
        <v>36</v>
      </c>
      <c r="J561" s="57">
        <f>SUM(C561:G561)</f>
        <v>21522.76</v>
      </c>
    </row>
    <row r="562" spans="1:16" x14ac:dyDescent="0.3">
      <c r="B562" t="s">
        <v>391</v>
      </c>
      <c r="C562" s="57">
        <f>(C561/$J561)*100</f>
        <v>1.2657763223675775</v>
      </c>
      <c r="D562" s="57">
        <f>(D561/$J561)*100</f>
        <v>7.0976956486993297</v>
      </c>
      <c r="E562" s="57">
        <f>(E561/$J561)*100</f>
        <v>73.051318697044437</v>
      </c>
      <c r="F562" s="57">
        <f>(F561/$J561)*100</f>
        <v>10.221830285706853</v>
      </c>
      <c r="G562" s="57">
        <f>(G561/$J561)*100</f>
        <v>8.3633790461818105</v>
      </c>
    </row>
    <row r="563" spans="1:16" x14ac:dyDescent="0.3">
      <c r="A563" s="361" t="s">
        <v>401</v>
      </c>
      <c r="B563" s="361"/>
      <c r="C563" s="361"/>
      <c r="D563" s="361"/>
      <c r="E563" s="361"/>
      <c r="F563" s="361"/>
      <c r="G563" s="361"/>
      <c r="H563" s="361"/>
      <c r="I563" s="361"/>
      <c r="J563" s="361"/>
      <c r="K563" s="361"/>
      <c r="L563" s="361" t="s">
        <v>97</v>
      </c>
      <c r="M563" s="361"/>
      <c r="N563" s="361"/>
      <c r="O563" s="361"/>
      <c r="P563" s="361"/>
    </row>
    <row r="564" spans="1:16" x14ac:dyDescent="0.3">
      <c r="A564" t="s">
        <v>15</v>
      </c>
      <c r="B564" t="s">
        <v>21</v>
      </c>
      <c r="I564" s="1" t="s">
        <v>58</v>
      </c>
      <c r="O564" s="360" t="s">
        <v>411</v>
      </c>
      <c r="P564" s="360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56</v>
      </c>
      <c r="O565" s="13" t="s">
        <v>412</v>
      </c>
      <c r="P565" s="13" t="s">
        <v>41</v>
      </c>
    </row>
    <row r="566" spans="1:16" x14ac:dyDescent="0.3">
      <c r="A566" t="s">
        <v>3</v>
      </c>
      <c r="B566" s="13">
        <v>0</v>
      </c>
      <c r="C566" s="26">
        <v>259</v>
      </c>
      <c r="D566" s="3">
        <v>0</v>
      </c>
      <c r="E566" s="3">
        <v>0</v>
      </c>
      <c r="F566" s="3">
        <v>0</v>
      </c>
      <c r="G566" s="4">
        <v>0</v>
      </c>
      <c r="H566" s="1">
        <f>SUM(C566:G566)</f>
        <v>259</v>
      </c>
      <c r="I566" s="10">
        <f>C566/H566</f>
        <v>1</v>
      </c>
      <c r="J566" s="11">
        <f>1-I566</f>
        <v>0</v>
      </c>
      <c r="K566">
        <f>H566-C571</f>
        <v>0</v>
      </c>
      <c r="N566" s="10">
        <f>2*(C572*I566)/(C572+I566)</f>
        <v>1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296</v>
      </c>
      <c r="E567" s="1">
        <v>43</v>
      </c>
      <c r="F567" s="1">
        <v>0</v>
      </c>
      <c r="G567" s="6">
        <v>0</v>
      </c>
      <c r="H567" s="1">
        <f>SUM(C567:G567)</f>
        <v>339</v>
      </c>
      <c r="I567" s="10">
        <f>D567/H567</f>
        <v>0.87315634218289084</v>
      </c>
      <c r="J567" s="11">
        <f>1-I567</f>
        <v>0.12684365781710916</v>
      </c>
      <c r="K567">
        <f>H567-D571</f>
        <v>-456</v>
      </c>
      <c r="N567" s="10">
        <f>2*(D572*I567)/(D572+I567)</f>
        <v>0.52204585537918868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405</v>
      </c>
      <c r="E568" s="27">
        <v>6831</v>
      </c>
      <c r="F568" s="1">
        <v>113</v>
      </c>
      <c r="G568" s="6">
        <v>50</v>
      </c>
      <c r="H568" s="1">
        <f>SUM(C568:G568)</f>
        <v>7399</v>
      </c>
      <c r="I568" s="10">
        <f>E568/H568</f>
        <v>0.92323286930666304</v>
      </c>
      <c r="J568" s="11">
        <f>1-I568</f>
        <v>7.676713069333696E-2</v>
      </c>
      <c r="K568">
        <f>H568-E571</f>
        <v>475</v>
      </c>
      <c r="N568" s="10">
        <f>2*(E572*I568)/(E572+I568)</f>
        <v>0.95385045032465254</v>
      </c>
      <c r="O568" s="1"/>
      <c r="P568" s="1"/>
    </row>
    <row r="569" spans="1:16" x14ac:dyDescent="0.3">
      <c r="A569" t="s">
        <v>6</v>
      </c>
      <c r="B569" s="13">
        <v>3</v>
      </c>
      <c r="C569" s="5">
        <v>0</v>
      </c>
      <c r="D569" s="1">
        <v>0</v>
      </c>
      <c r="E569" s="1">
        <v>21</v>
      </c>
      <c r="F569" s="27">
        <v>2411</v>
      </c>
      <c r="G569" s="6">
        <v>88</v>
      </c>
      <c r="H569" s="1">
        <f>SUM(C569:G569)</f>
        <v>2520</v>
      </c>
      <c r="I569" s="10">
        <f>F569/H569</f>
        <v>0.95674603174603179</v>
      </c>
      <c r="J569" s="11">
        <f>1-I569</f>
        <v>4.3253968253968211E-2</v>
      </c>
      <c r="K569">
        <f>H569-F571</f>
        <v>-86</v>
      </c>
      <c r="N569" s="10">
        <f>2*(F572*I569)/(F572+I569)</f>
        <v>0.94069449863441279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94</v>
      </c>
      <c r="E570" s="8">
        <v>29</v>
      </c>
      <c r="F570" s="8">
        <v>82</v>
      </c>
      <c r="G570" s="28">
        <v>740</v>
      </c>
      <c r="H570" s="1">
        <f>SUM(C570:G570)</f>
        <v>945</v>
      </c>
      <c r="I570" s="10">
        <f>G570/H570</f>
        <v>0.78306878306878303</v>
      </c>
      <c r="J570" s="11">
        <f>1-I570</f>
        <v>0.21693121693121697</v>
      </c>
      <c r="K570">
        <f>H570-G571</f>
        <v>67</v>
      </c>
      <c r="N570" s="10">
        <f>2*(G572*I570)/(G572+I570)</f>
        <v>0.81184860120680202</v>
      </c>
      <c r="O570" s="1"/>
      <c r="P570" s="1"/>
    </row>
    <row r="571" spans="1:16" ht="15.6" x14ac:dyDescent="0.35">
      <c r="B571" s="1" t="s">
        <v>19</v>
      </c>
      <c r="C571" s="1">
        <f>SUM(C566:C570)</f>
        <v>259</v>
      </c>
      <c r="D571" s="1">
        <f>SUM(D566:D570)</f>
        <v>795</v>
      </c>
      <c r="E571" s="1">
        <f>SUM(E566:E570)</f>
        <v>6924</v>
      </c>
      <c r="F571" s="1">
        <f>SUM(F566:F570)</f>
        <v>2606</v>
      </c>
      <c r="G571" s="1">
        <f>SUM(G566:G570)</f>
        <v>878</v>
      </c>
      <c r="H571" s="1">
        <f>SUM(H565:H570)</f>
        <v>11462</v>
      </c>
      <c r="I571" s="13" t="s">
        <v>12</v>
      </c>
      <c r="N571" s="16" t="s">
        <v>36</v>
      </c>
      <c r="O571" s="1">
        <f>SUM(O566:O570)</f>
        <v>0</v>
      </c>
      <c r="P571" s="1">
        <f>SUM(P566:P570)</f>
        <v>0</v>
      </c>
    </row>
    <row r="572" spans="1:16" x14ac:dyDescent="0.3">
      <c r="A572" s="1" t="s">
        <v>57</v>
      </c>
      <c r="B572" s="1" t="s">
        <v>2</v>
      </c>
      <c r="C572" s="10">
        <f>C566/C571</f>
        <v>1</v>
      </c>
      <c r="D572" s="10">
        <f>D567/D571</f>
        <v>0.37232704402515721</v>
      </c>
      <c r="E572" s="10">
        <f>E568/E571</f>
        <v>0.9865684575389948</v>
      </c>
      <c r="F572" s="10">
        <f>F569/F571</f>
        <v>0.92517267843438222</v>
      </c>
      <c r="G572" s="10">
        <f>G570/G571</f>
        <v>0.84282460136674264</v>
      </c>
      <c r="H572" s="10"/>
      <c r="I572" s="14">
        <f>(C566+D567+E568+F569+G570)/H571</f>
        <v>0.9192985517361717</v>
      </c>
    </row>
    <row r="573" spans="1:16" x14ac:dyDescent="0.3">
      <c r="B573" s="1" t="s">
        <v>14</v>
      </c>
      <c r="C573" s="11">
        <f>1-C572</f>
        <v>0</v>
      </c>
      <c r="D573" s="11">
        <f>1-D572</f>
        <v>0.62767295597484285</v>
      </c>
      <c r="E573" s="11">
        <f>1-E572</f>
        <v>1.3431542461005197E-2</v>
      </c>
      <c r="F573" s="11">
        <f>1-F572</f>
        <v>7.4827321565617777E-2</v>
      </c>
      <c r="G573" s="11">
        <f>1-G572</f>
        <v>0.15717539863325736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1.4220304778899724</v>
      </c>
      <c r="D577" s="31">
        <f>(D566/$L577)*$O577</f>
        <v>0</v>
      </c>
      <c r="E577" s="31">
        <f>(E566/$L577)*$O577</f>
        <v>0</v>
      </c>
      <c r="F577" s="31">
        <f>(F566/$L577)*$O577</f>
        <v>0</v>
      </c>
      <c r="G577" s="32">
        <f>(G566/$L577)*$O577</f>
        <v>0</v>
      </c>
      <c r="H577" s="17">
        <f>SUM(C577:G577)</f>
        <v>1.4220304778899724</v>
      </c>
      <c r="I577" s="17">
        <f>C577/H577*100</f>
        <v>100</v>
      </c>
      <c r="J577" s="17">
        <f>SQRT(I577*(100-I577)/(L577-1))</f>
        <v>0</v>
      </c>
      <c r="K577" s="18">
        <f>100-I577</f>
        <v>0</v>
      </c>
      <c r="L577" s="1">
        <f>H566</f>
        <v>259</v>
      </c>
      <c r="M577">
        <v>0</v>
      </c>
      <c r="N577" s="1">
        <v>2535.71</v>
      </c>
      <c r="O577" s="17">
        <f>N577/N582*100</f>
        <v>1.4220304778899724</v>
      </c>
      <c r="P577" s="52">
        <f>((O577*O577*(I577/100)*(K577/100))/(L577-1))</f>
        <v>0</v>
      </c>
    </row>
    <row r="578" spans="1:16" x14ac:dyDescent="0.3">
      <c r="A578" t="s">
        <v>4</v>
      </c>
      <c r="B578" s="13">
        <v>1</v>
      </c>
      <c r="C578" s="33">
        <f t="shared" ref="C578:G581" si="68">(C567/$L578)*$O578</f>
        <v>0</v>
      </c>
      <c r="D578" s="34">
        <f t="shared" si="68"/>
        <v>5.5575799145916722</v>
      </c>
      <c r="E578" s="19">
        <f t="shared" si="68"/>
        <v>0.80735113624135779</v>
      </c>
      <c r="F578" s="18">
        <f t="shared" si="68"/>
        <v>0</v>
      </c>
      <c r="G578" s="20">
        <f t="shared" si="68"/>
        <v>0</v>
      </c>
      <c r="H578" s="17">
        <f>SUM(C578:G578)</f>
        <v>6.3649310508330297</v>
      </c>
      <c r="I578" s="17">
        <f>D578/H578*100</f>
        <v>87.315634218289091</v>
      </c>
      <c r="J578" s="17">
        <f>SQRT(I578*(100-I578)/(L578-1))</f>
        <v>1.8101811368440324</v>
      </c>
      <c r="K578" s="18">
        <f>100-I578</f>
        <v>12.684365781710909</v>
      </c>
      <c r="L578" s="1">
        <f>H567</f>
        <v>339</v>
      </c>
      <c r="M578">
        <v>1</v>
      </c>
      <c r="N578" s="1">
        <v>11349.7</v>
      </c>
      <c r="O578" s="17">
        <f>N578/N582*100</f>
        <v>6.3649310508330297</v>
      </c>
      <c r="P578" s="52">
        <f>((O578*O578*(I578/100)*(K578/100))/(L578-1))</f>
        <v>1.3274906682833531E-2</v>
      </c>
    </row>
    <row r="579" spans="1:16" x14ac:dyDescent="0.3">
      <c r="A579" t="s">
        <v>5</v>
      </c>
      <c r="B579" s="13">
        <v>2</v>
      </c>
      <c r="C579" s="33">
        <f t="shared" si="68"/>
        <v>0</v>
      </c>
      <c r="D579" s="19">
        <f t="shared" si="68"/>
        <v>3.2689495568795266</v>
      </c>
      <c r="E579" s="34">
        <f t="shared" si="68"/>
        <v>55.136282526034677</v>
      </c>
      <c r="F579" s="19">
        <f t="shared" si="68"/>
        <v>0.91207728377132458</v>
      </c>
      <c r="G579" s="20">
        <f t="shared" si="68"/>
        <v>0.40357401936784276</v>
      </c>
      <c r="H579" s="17">
        <f>SUM(C579:G579)</f>
        <v>59.720883386053373</v>
      </c>
      <c r="I579" s="17">
        <f>E579/H579*100</f>
        <v>92.323286930666299</v>
      </c>
      <c r="J579" s="17">
        <f>SQRT(I579*(100-I579)/(L579-1))</f>
        <v>0.30951814913248976</v>
      </c>
      <c r="K579" s="18">
        <f>100-I579</f>
        <v>7.6767130693337009</v>
      </c>
      <c r="L579" s="1">
        <f>H568</f>
        <v>7399</v>
      </c>
      <c r="M579">
        <v>2</v>
      </c>
      <c r="N579" s="1">
        <v>106491.98</v>
      </c>
      <c r="O579" s="17">
        <f>N579/N582*100</f>
        <v>59.720883386053373</v>
      </c>
      <c r="P579" s="52">
        <f>((O579*O579*(I579/100)*(K579/100))/(L579-1))</f>
        <v>3.4168403391064146E-2</v>
      </c>
    </row>
    <row r="580" spans="1:16" x14ac:dyDescent="0.3">
      <c r="A580" t="s">
        <v>6</v>
      </c>
      <c r="B580" s="13">
        <v>3</v>
      </c>
      <c r="C580" s="33">
        <f t="shared" si="68"/>
        <v>0</v>
      </c>
      <c r="D580" s="19">
        <f t="shared" si="68"/>
        <v>0</v>
      </c>
      <c r="E580" s="19">
        <f t="shared" si="68"/>
        <v>0.17499134729710872</v>
      </c>
      <c r="F580" s="34">
        <f t="shared" si="68"/>
        <v>20.090673253968053</v>
      </c>
      <c r="G580" s="20">
        <f t="shared" si="68"/>
        <v>0.73329707438788416</v>
      </c>
      <c r="H580" s="17">
        <f>SUM(C580:G580)</f>
        <v>20.998961675653046</v>
      </c>
      <c r="I580" s="17">
        <f>F580/H580*100</f>
        <v>95.674603174603163</v>
      </c>
      <c r="J580" s="17">
        <f>SQRT(I580*(100-I580)/(L580-1))</f>
        <v>0.4053192493129934</v>
      </c>
      <c r="K580" s="18">
        <f>100-I580</f>
        <v>4.3253968253968367</v>
      </c>
      <c r="L580" s="1">
        <f>H569</f>
        <v>2520</v>
      </c>
      <c r="M580">
        <v>3</v>
      </c>
      <c r="N580" s="1">
        <v>37444.54</v>
      </c>
      <c r="O580" s="17">
        <f>N580/N582*100</f>
        <v>20.998961675653046</v>
      </c>
      <c r="P580" s="52">
        <f>((O580*O580*(I580/100)*(K580/100))/(L580-1))</f>
        <v>7.2441944821101971E-3</v>
      </c>
    </row>
    <row r="581" spans="1:16" x14ac:dyDescent="0.3">
      <c r="A581" t="s">
        <v>7</v>
      </c>
      <c r="B581" s="13">
        <v>4</v>
      </c>
      <c r="C581" s="35">
        <f t="shared" si="68"/>
        <v>0</v>
      </c>
      <c r="D581" s="36">
        <f t="shared" si="68"/>
        <v>1.1432382862430002</v>
      </c>
      <c r="E581" s="21">
        <f t="shared" si="68"/>
        <v>0.3527011734153937</v>
      </c>
      <c r="F581" s="21">
        <f t="shared" si="68"/>
        <v>0.99729297310559595</v>
      </c>
      <c r="G581" s="37">
        <f t="shared" si="68"/>
        <v>8.9999609768065962</v>
      </c>
      <c r="H581" s="17">
        <f>SUM(C581:G581)</f>
        <v>11.493193409570587</v>
      </c>
      <c r="I581" s="17">
        <f>G581/H581*100</f>
        <v>78.306878306878303</v>
      </c>
      <c r="J581" s="17">
        <f>SQRT(I581*(100-I581)/(L581-1))</f>
        <v>1.3414515287330495</v>
      </c>
      <c r="K581" s="18">
        <f>100-I581</f>
        <v>21.693121693121697</v>
      </c>
      <c r="L581" s="1">
        <f>H570</f>
        <v>945</v>
      </c>
      <c r="M581">
        <v>4</v>
      </c>
      <c r="N581" s="1">
        <v>20494.22</v>
      </c>
      <c r="O581" s="17">
        <f>N581/N582*100</f>
        <v>11.493193409570587</v>
      </c>
      <c r="P581" s="52">
        <f>((O581*O581*(I581/100)*(K581/100))/(L581-1))</f>
        <v>2.3770121399347977E-2</v>
      </c>
    </row>
    <row r="582" spans="1:16" x14ac:dyDescent="0.3">
      <c r="B582" t="s">
        <v>28</v>
      </c>
      <c r="C582" s="17">
        <f t="shared" ref="C582:H582" si="69">SUM(C577:C581)</f>
        <v>1.4220304778899724</v>
      </c>
      <c r="D582" s="17">
        <f t="shared" si="69"/>
        <v>9.9697677577141981</v>
      </c>
      <c r="E582" s="17">
        <f t="shared" si="69"/>
        <v>56.471326182988534</v>
      </c>
      <c r="F582" s="17">
        <f t="shared" si="69"/>
        <v>22.000043510844975</v>
      </c>
      <c r="G582" s="17">
        <f t="shared" si="69"/>
        <v>10.136832070562324</v>
      </c>
      <c r="H582" s="18">
        <f t="shared" si="69"/>
        <v>100</v>
      </c>
      <c r="I582" s="13" t="s">
        <v>24</v>
      </c>
      <c r="J582" s="12" t="s">
        <v>29</v>
      </c>
      <c r="N582" s="1">
        <f>SUM(N577:N581)</f>
        <v>178316.15</v>
      </c>
      <c r="O582" s="17">
        <f>SUM(O577:O581)</f>
        <v>100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0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0.22516190486149271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0.23022493930306268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0.15989811832369241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0.18132158984452906</v>
      </c>
      <c r="H583" s="1"/>
      <c r="I583" s="56">
        <f>(C577+D578+E579+F580+G581)/H582</f>
        <v>0.91206527149290961</v>
      </c>
      <c r="J583" s="53">
        <f>SQRT(SUM(P577:P581))/100</f>
        <v>2.8010288458949484E-3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55.744326745138515</v>
      </c>
      <c r="E584" s="17">
        <f>E579/E582*100</f>
        <v>97.635891084569522</v>
      </c>
      <c r="F584" s="17">
        <f>F580/F582*100</f>
        <v>91.321061451829891</v>
      </c>
      <c r="G584" s="17">
        <f>G581/G582*100</f>
        <v>88.784749655099489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5.2277514276113237</v>
      </c>
      <c r="E585" s="18">
        <f>SQRT((E588+E589)/(E582*E582))</f>
        <v>0.24987401994193642</v>
      </c>
      <c r="F585" s="18">
        <f>SQRT((F588+F589)/(F582*F582))</f>
        <v>0.6547702214008867</v>
      </c>
      <c r="G585" s="18">
        <f>SQRT((G588+G589)/(G582*G582))</f>
        <v>1.9001266326425936</v>
      </c>
      <c r="H585" s="1"/>
    </row>
    <row r="586" spans="1:16" x14ac:dyDescent="0.3">
      <c r="B586" s="1" t="s">
        <v>37</v>
      </c>
      <c r="C586" s="18">
        <f>100-C584</f>
        <v>0</v>
      </c>
      <c r="D586" s="18">
        <f>100-D584</f>
        <v>44.255673254861485</v>
      </c>
      <c r="E586" s="18">
        <f>100-E584</f>
        <v>2.364108915430478</v>
      </c>
      <c r="F586" s="18">
        <f>100-F584</f>
        <v>8.6789385481701089</v>
      </c>
      <c r="G586" s="18">
        <f>100-G584</f>
        <v>11.215250344900511</v>
      </c>
    </row>
    <row r="587" spans="1:16" ht="15.6" x14ac:dyDescent="0.35">
      <c r="B587" s="1" t="s">
        <v>25</v>
      </c>
      <c r="C587" s="1">
        <f>C571</f>
        <v>259</v>
      </c>
      <c r="D587" s="1">
        <f>D571</f>
        <v>795</v>
      </c>
      <c r="E587" s="1">
        <f>E571</f>
        <v>6924</v>
      </c>
      <c r="F587" s="1">
        <f>F571</f>
        <v>2606</v>
      </c>
      <c r="G587" s="1">
        <f>G571</f>
        <v>878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2599.9762499624853</v>
      </c>
      <c r="E588" s="18">
        <f>(O579*O579*(100-E584)*(100-E584)*(I579)*(100-I579))/((L579-1)*100)</f>
        <v>19.096758117564285</v>
      </c>
      <c r="F588" s="18">
        <f>(O580*O580*(100-F584)*(100-F584)*(I580)*(100-I580))/((L580-1)*100)</f>
        <v>54.566151916065714</v>
      </c>
      <c r="G588" s="18">
        <f>(O581*O581*(100-G584)*(100-G584)*(I581)*(100-I581))/((L581-1)*100)</f>
        <v>298.98496137356625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116.46265589948634</v>
      </c>
      <c r="E589" s="18">
        <f>E584*E584*(SUM((H577*E577*(1-E566/H566))/(H566-1),(H578*E578*(1-E567/H567))/(H567-1), (H580*E580*(1-E569/H569))/(H569-1),(H581*E581*(1-E570/H570))/(H570-1)))</f>
        <v>180.0155841738671</v>
      </c>
      <c r="F589" s="18">
        <f>F584*F584*(SUM((H577*F577*(1-F566/H566))/(H566-1),(H578*F578*(1-F567/H567))/(H567-1), (H579*F579*(1-F568/H568))/(H568-1),(H581*F581*(1-F570/H570))/(H570-1)))</f>
        <v>152.9371055984912</v>
      </c>
      <c r="G589" s="18">
        <f>G584*G584*(SUM((H577*G577*(1-G566/H566))/(H566-1),(H578*G578*(1-G567/H567))/(H567-1), (H579*G579*(1-G568/H568))/(H568-1),(H580*G580*(1-G569/H569))/(H569-1)))</f>
        <v>72.011352151564381</v>
      </c>
    </row>
    <row r="590" spans="1:16" x14ac:dyDescent="0.3">
      <c r="A590" s="105" t="s">
        <v>390</v>
      </c>
      <c r="B590" s="69" t="s">
        <v>9</v>
      </c>
      <c r="C590" s="1">
        <v>271.44</v>
      </c>
      <c r="D590" s="1">
        <v>1662.67</v>
      </c>
      <c r="E590" s="1">
        <v>15617.51</v>
      </c>
      <c r="F590" s="1">
        <v>2161.2199999999998</v>
      </c>
      <c r="G590" s="1">
        <v>1809.93</v>
      </c>
      <c r="I590" t="s">
        <v>36</v>
      </c>
      <c r="J590" s="57">
        <f>SUM(C590:G590)</f>
        <v>21522.77</v>
      </c>
    </row>
    <row r="591" spans="1:16" x14ac:dyDescent="0.3">
      <c r="B591" t="s">
        <v>391</v>
      </c>
      <c r="C591" s="57">
        <f>(C590/$J590)*100</f>
        <v>1.2611759545820542</v>
      </c>
      <c r="D591" s="57">
        <f>(D590/$J590)*100</f>
        <v>7.7251673460246986</v>
      </c>
      <c r="E591" s="57">
        <f>(E590/$J590)*100</f>
        <v>72.562732399221858</v>
      </c>
      <c r="F591" s="57">
        <f>(F590/$J590)*100</f>
        <v>10.04155134306597</v>
      </c>
      <c r="G591" s="57">
        <f>(G590/$J590)*100</f>
        <v>8.4093729571054272</v>
      </c>
    </row>
    <row r="592" spans="1:16" x14ac:dyDescent="0.3">
      <c r="A592" s="361"/>
      <c r="B592" s="361"/>
      <c r="C592" s="361"/>
      <c r="D592" s="361"/>
      <c r="E592" s="361"/>
      <c r="F592" s="361"/>
      <c r="G592" s="361"/>
      <c r="H592" s="361"/>
      <c r="I592" s="361"/>
      <c r="J592" s="361"/>
      <c r="K592" s="361"/>
      <c r="L592" s="361"/>
      <c r="M592" s="361"/>
      <c r="N592" s="361"/>
      <c r="O592" s="361"/>
      <c r="P592" s="361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61"/>
      <c r="B621" s="361"/>
      <c r="C621" s="361"/>
      <c r="D621" s="361"/>
      <c r="E621" s="361"/>
      <c r="F621" s="361"/>
      <c r="G621" s="361"/>
      <c r="H621" s="361"/>
      <c r="I621" s="361"/>
      <c r="J621" s="361"/>
      <c r="K621" s="361"/>
      <c r="L621" s="361"/>
      <c r="M621" s="361"/>
      <c r="N621" s="361"/>
      <c r="O621" s="361"/>
      <c r="P621" s="361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61"/>
      <c r="B650" s="361"/>
      <c r="C650" s="361"/>
      <c r="D650" s="361"/>
      <c r="E650" s="361"/>
      <c r="F650" s="361"/>
      <c r="G650" s="361"/>
      <c r="H650" s="361"/>
      <c r="I650" s="361"/>
      <c r="J650" s="361"/>
      <c r="K650" s="361"/>
      <c r="L650" s="361"/>
      <c r="M650" s="361"/>
      <c r="N650" s="361"/>
      <c r="O650" s="361"/>
      <c r="P650" s="361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61"/>
      <c r="B679" s="361"/>
      <c r="C679" s="361"/>
      <c r="D679" s="361"/>
      <c r="E679" s="361"/>
      <c r="F679" s="361"/>
      <c r="G679" s="361"/>
      <c r="H679" s="361"/>
      <c r="I679" s="361"/>
      <c r="J679" s="361"/>
      <c r="K679" s="361"/>
      <c r="L679" s="361"/>
      <c r="M679" s="361"/>
      <c r="N679" s="361"/>
      <c r="O679" s="361"/>
      <c r="P679" s="361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61"/>
      <c r="B708" s="361"/>
      <c r="C708" s="361"/>
      <c r="D708" s="361"/>
      <c r="E708" s="361"/>
      <c r="F708" s="361"/>
      <c r="G708" s="361"/>
      <c r="H708" s="361"/>
      <c r="I708" s="361"/>
      <c r="J708" s="361"/>
      <c r="K708" s="361"/>
      <c r="L708" s="361"/>
      <c r="M708" s="361"/>
      <c r="N708" s="361"/>
      <c r="O708" s="361"/>
      <c r="P708" s="361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61"/>
      <c r="B737" s="361"/>
      <c r="C737" s="361"/>
      <c r="D737" s="361"/>
      <c r="E737" s="361"/>
      <c r="F737" s="361"/>
      <c r="G737" s="361"/>
      <c r="H737" s="361"/>
      <c r="I737" s="361"/>
      <c r="J737" s="361"/>
      <c r="K737" s="361"/>
      <c r="L737" s="361"/>
      <c r="M737" s="361"/>
      <c r="N737" s="361"/>
      <c r="O737" s="361"/>
      <c r="P737" s="361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61"/>
      <c r="B766" s="361"/>
      <c r="C766" s="361"/>
      <c r="D766" s="361"/>
      <c r="E766" s="361"/>
      <c r="F766" s="361"/>
      <c r="G766" s="361"/>
      <c r="H766" s="361"/>
      <c r="I766" s="361"/>
      <c r="J766" s="361"/>
      <c r="K766" s="361"/>
      <c r="L766" s="361"/>
      <c r="M766" s="361"/>
      <c r="N766" s="361"/>
      <c r="O766" s="361"/>
      <c r="P766" s="361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61"/>
      <c r="B795" s="361"/>
      <c r="C795" s="361"/>
      <c r="D795" s="361"/>
      <c r="E795" s="361"/>
      <c r="F795" s="361"/>
      <c r="G795" s="361"/>
      <c r="H795" s="361"/>
      <c r="I795" s="361"/>
      <c r="J795" s="361"/>
      <c r="K795" s="361"/>
      <c r="L795" s="361"/>
      <c r="M795" s="361"/>
      <c r="N795" s="361"/>
      <c r="O795" s="361"/>
      <c r="P795" s="361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61"/>
      <c r="B824" s="361"/>
      <c r="C824" s="361"/>
      <c r="D824" s="361"/>
      <c r="E824" s="361"/>
      <c r="F824" s="361"/>
      <c r="G824" s="361"/>
      <c r="H824" s="361"/>
      <c r="I824" s="361"/>
      <c r="J824" s="361"/>
      <c r="K824" s="361"/>
      <c r="L824" s="361"/>
      <c r="M824" s="361"/>
      <c r="N824" s="361"/>
      <c r="O824" s="361"/>
      <c r="P824" s="361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61"/>
      <c r="B853" s="361"/>
      <c r="C853" s="361"/>
      <c r="D853" s="361"/>
      <c r="E853" s="361"/>
      <c r="F853" s="361"/>
      <c r="G853" s="361"/>
      <c r="H853" s="361"/>
      <c r="I853" s="361"/>
      <c r="J853" s="361"/>
      <c r="K853" s="361"/>
      <c r="L853" s="361"/>
      <c r="M853" s="361"/>
      <c r="N853" s="361"/>
      <c r="O853" s="361"/>
      <c r="P853" s="361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61"/>
      <c r="B882" s="361"/>
      <c r="C882" s="361"/>
      <c r="D882" s="361"/>
      <c r="E882" s="361"/>
      <c r="F882" s="361"/>
      <c r="G882" s="361"/>
      <c r="H882" s="361"/>
      <c r="I882" s="361"/>
      <c r="J882" s="361"/>
      <c r="K882" s="361"/>
      <c r="L882" s="361"/>
      <c r="M882" s="361"/>
      <c r="N882" s="361"/>
      <c r="O882" s="361"/>
      <c r="P882" s="361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61"/>
      <c r="B911" s="361"/>
      <c r="C911" s="361"/>
      <c r="D911" s="361"/>
      <c r="E911" s="361"/>
      <c r="F911" s="361"/>
      <c r="G911" s="361"/>
      <c r="H911" s="361"/>
      <c r="I911" s="361"/>
      <c r="J911" s="361"/>
      <c r="K911" s="361"/>
      <c r="L911" s="361"/>
      <c r="M911" s="361"/>
      <c r="N911" s="361"/>
      <c r="O911" s="361"/>
      <c r="P911" s="361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61"/>
      <c r="B940" s="361"/>
      <c r="C940" s="361"/>
      <c r="D940" s="361"/>
      <c r="E940" s="361"/>
      <c r="F940" s="361"/>
      <c r="G940" s="361"/>
      <c r="H940" s="361"/>
      <c r="I940" s="361"/>
      <c r="J940" s="361"/>
      <c r="K940" s="361"/>
      <c r="L940" s="361"/>
      <c r="M940" s="361"/>
      <c r="N940" s="361"/>
      <c r="O940" s="361"/>
      <c r="P940" s="361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61"/>
      <c r="B969" s="361"/>
      <c r="C969" s="361"/>
      <c r="D969" s="361"/>
      <c r="E969" s="361"/>
      <c r="F969" s="361"/>
      <c r="G969" s="361"/>
      <c r="H969" s="361"/>
      <c r="I969" s="361"/>
      <c r="J969" s="361"/>
      <c r="K969" s="361"/>
      <c r="L969" s="361"/>
      <c r="M969" s="361"/>
      <c r="N969" s="361"/>
      <c r="O969" s="361"/>
      <c r="P969" s="361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61"/>
      <c r="B998" s="361"/>
      <c r="C998" s="361"/>
      <c r="D998" s="361"/>
      <c r="E998" s="361"/>
      <c r="F998" s="361"/>
      <c r="G998" s="361"/>
      <c r="H998" s="361"/>
      <c r="I998" s="361"/>
      <c r="J998" s="361"/>
      <c r="K998" s="361"/>
      <c r="L998" s="361"/>
      <c r="M998" s="361"/>
      <c r="N998" s="361"/>
      <c r="O998" s="361"/>
      <c r="P998" s="361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61"/>
      <c r="B1027" s="361"/>
      <c r="C1027" s="361"/>
      <c r="D1027" s="361"/>
      <c r="E1027" s="361"/>
      <c r="F1027" s="361"/>
      <c r="G1027" s="361"/>
      <c r="H1027" s="361"/>
      <c r="I1027" s="361"/>
      <c r="J1027" s="361"/>
      <c r="K1027" s="361"/>
      <c r="L1027" s="361"/>
      <c r="M1027" s="361"/>
      <c r="N1027" s="361"/>
      <c r="O1027" s="361"/>
      <c r="P1027" s="361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61"/>
      <c r="B1056" s="361"/>
      <c r="C1056" s="361"/>
      <c r="D1056" s="361"/>
      <c r="E1056" s="361"/>
      <c r="F1056" s="361"/>
      <c r="G1056" s="361"/>
      <c r="H1056" s="361"/>
      <c r="I1056" s="361"/>
      <c r="J1056" s="361"/>
      <c r="K1056" s="361"/>
      <c r="L1056" s="361"/>
      <c r="M1056" s="361"/>
      <c r="N1056" s="361"/>
      <c r="O1056" s="361"/>
      <c r="P1056" s="361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61"/>
      <c r="B1085" s="361"/>
      <c r="C1085" s="361"/>
      <c r="D1085" s="361"/>
      <c r="E1085" s="361"/>
      <c r="F1085" s="361"/>
      <c r="G1085" s="361"/>
      <c r="H1085" s="361"/>
      <c r="I1085" s="361"/>
      <c r="J1085" s="361"/>
      <c r="K1085" s="361"/>
      <c r="L1085" s="361"/>
      <c r="M1085" s="361"/>
      <c r="N1085" s="361"/>
      <c r="O1085" s="361"/>
      <c r="P1085" s="361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61"/>
      <c r="B1114" s="361"/>
      <c r="C1114" s="361"/>
      <c r="D1114" s="361"/>
      <c r="E1114" s="361"/>
      <c r="F1114" s="361"/>
      <c r="G1114" s="361"/>
      <c r="H1114" s="361"/>
      <c r="I1114" s="361"/>
      <c r="J1114" s="361"/>
      <c r="K1114" s="361"/>
      <c r="L1114" s="361"/>
      <c r="M1114" s="361"/>
      <c r="N1114" s="361"/>
      <c r="O1114" s="361"/>
      <c r="P1114" s="361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61"/>
      <c r="B1143" s="361"/>
      <c r="C1143" s="361"/>
      <c r="D1143" s="361"/>
      <c r="E1143" s="361"/>
      <c r="F1143" s="361"/>
      <c r="G1143" s="361"/>
      <c r="H1143" s="361"/>
      <c r="I1143" s="361"/>
      <c r="J1143" s="361"/>
      <c r="K1143" s="361"/>
      <c r="L1143" s="361"/>
      <c r="M1143" s="361"/>
      <c r="N1143" s="361"/>
      <c r="O1143" s="361"/>
      <c r="P1143" s="361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61"/>
      <c r="B1172" s="361"/>
      <c r="C1172" s="361"/>
      <c r="D1172" s="361"/>
      <c r="E1172" s="361"/>
      <c r="F1172" s="361"/>
      <c r="G1172" s="361"/>
      <c r="H1172" s="361"/>
      <c r="I1172" s="361"/>
      <c r="J1172" s="361"/>
      <c r="K1172" s="361"/>
      <c r="L1172" s="361"/>
      <c r="M1172" s="361"/>
      <c r="N1172" s="361"/>
      <c r="O1172" s="361"/>
      <c r="P1172" s="361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61"/>
      <c r="B1201" s="361"/>
      <c r="C1201" s="361"/>
      <c r="D1201" s="361"/>
      <c r="E1201" s="361"/>
      <c r="F1201" s="361"/>
      <c r="G1201" s="361"/>
      <c r="H1201" s="361"/>
      <c r="I1201" s="361"/>
      <c r="J1201" s="361"/>
      <c r="K1201" s="361"/>
      <c r="L1201" s="361"/>
      <c r="M1201" s="361"/>
      <c r="N1201" s="361"/>
      <c r="O1201" s="361"/>
      <c r="P1201" s="361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61"/>
      <c r="B1230" s="361"/>
      <c r="C1230" s="361"/>
      <c r="D1230" s="361"/>
      <c r="E1230" s="361"/>
      <c r="F1230" s="361"/>
      <c r="G1230" s="361"/>
      <c r="H1230" s="361"/>
      <c r="I1230" s="361"/>
      <c r="J1230" s="361"/>
      <c r="K1230" s="361"/>
      <c r="L1230" s="361"/>
      <c r="M1230" s="361"/>
      <c r="N1230" s="361"/>
      <c r="O1230" s="361"/>
      <c r="P1230" s="361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61"/>
      <c r="B1259" s="361"/>
      <c r="C1259" s="361"/>
      <c r="D1259" s="361"/>
      <c r="E1259" s="361"/>
      <c r="F1259" s="361"/>
      <c r="G1259" s="361"/>
      <c r="H1259" s="361"/>
      <c r="I1259" s="361"/>
      <c r="J1259" s="361"/>
      <c r="K1259" s="361"/>
      <c r="L1259" s="361"/>
      <c r="M1259" s="361"/>
      <c r="N1259" s="361"/>
      <c r="O1259" s="361"/>
      <c r="P1259" s="361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61"/>
      <c r="B1288" s="361"/>
      <c r="C1288" s="361"/>
      <c r="D1288" s="361"/>
      <c r="E1288" s="361"/>
      <c r="F1288" s="361"/>
      <c r="G1288" s="361"/>
      <c r="H1288" s="361"/>
      <c r="I1288" s="361"/>
      <c r="J1288" s="361"/>
      <c r="K1288" s="361"/>
      <c r="L1288" s="361"/>
      <c r="M1288" s="361"/>
      <c r="N1288" s="361"/>
      <c r="O1288" s="361"/>
      <c r="P1288" s="361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61"/>
      <c r="B1317" s="361"/>
      <c r="C1317" s="361"/>
      <c r="D1317" s="361"/>
      <c r="E1317" s="361"/>
      <c r="F1317" s="361"/>
      <c r="G1317" s="361"/>
      <c r="H1317" s="361"/>
      <c r="I1317" s="361"/>
      <c r="J1317" s="361"/>
      <c r="K1317" s="361"/>
      <c r="L1317" s="361"/>
      <c r="M1317" s="361"/>
      <c r="N1317" s="361"/>
      <c r="O1317" s="361"/>
      <c r="P1317" s="361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61"/>
      <c r="B1346" s="361"/>
      <c r="C1346" s="361"/>
      <c r="D1346" s="361"/>
      <c r="E1346" s="361"/>
      <c r="F1346" s="361"/>
      <c r="G1346" s="361"/>
      <c r="H1346" s="361"/>
      <c r="I1346" s="361"/>
      <c r="J1346" s="361"/>
      <c r="K1346" s="361"/>
      <c r="L1346" s="361"/>
      <c r="M1346" s="361"/>
      <c r="N1346" s="361"/>
      <c r="O1346" s="361"/>
      <c r="P1346" s="361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61"/>
      <c r="B1375" s="361"/>
      <c r="C1375" s="361"/>
      <c r="D1375" s="361"/>
      <c r="E1375" s="361"/>
      <c r="F1375" s="361"/>
      <c r="G1375" s="361"/>
      <c r="H1375" s="361"/>
      <c r="I1375" s="361"/>
      <c r="J1375" s="361"/>
      <c r="K1375" s="361"/>
      <c r="L1375" s="361"/>
      <c r="M1375" s="361"/>
      <c r="N1375" s="361"/>
      <c r="O1375" s="361"/>
      <c r="P1375" s="361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61"/>
      <c r="B1404" s="361"/>
      <c r="C1404" s="361"/>
      <c r="D1404" s="361"/>
      <c r="E1404" s="361"/>
      <c r="F1404" s="361"/>
      <c r="G1404" s="361"/>
      <c r="H1404" s="361"/>
      <c r="I1404" s="361"/>
      <c r="J1404" s="361"/>
      <c r="K1404" s="361"/>
      <c r="L1404" s="361"/>
      <c r="M1404" s="361"/>
      <c r="N1404" s="361"/>
      <c r="O1404" s="361"/>
      <c r="P1404" s="361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61"/>
      <c r="B1433" s="361"/>
      <c r="C1433" s="361"/>
      <c r="D1433" s="361"/>
      <c r="E1433" s="361"/>
      <c r="F1433" s="361"/>
      <c r="G1433" s="361"/>
      <c r="H1433" s="361"/>
      <c r="I1433" s="361"/>
      <c r="J1433" s="361"/>
      <c r="K1433" s="361"/>
      <c r="L1433" s="361"/>
      <c r="M1433" s="361"/>
      <c r="N1433" s="361"/>
      <c r="O1433" s="361"/>
      <c r="P1433" s="361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mergeCells count="123"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534:K534"/>
    <mergeCell ref="L534:P534"/>
    <mergeCell ref="O535:P535"/>
    <mergeCell ref="A563:K563"/>
    <mergeCell ref="L563:P563"/>
    <mergeCell ref="O564:P564"/>
    <mergeCell ref="A476:K476"/>
    <mergeCell ref="L476:P476"/>
    <mergeCell ref="O477:P477"/>
    <mergeCell ref="A505:K505"/>
    <mergeCell ref="L505:P505"/>
    <mergeCell ref="O506:P506"/>
    <mergeCell ref="A418:K418"/>
    <mergeCell ref="L418:P418"/>
    <mergeCell ref="O419:P419"/>
    <mergeCell ref="A447:K447"/>
    <mergeCell ref="L447:P447"/>
    <mergeCell ref="O448:P448"/>
    <mergeCell ref="A360:K360"/>
    <mergeCell ref="L360:P360"/>
    <mergeCell ref="O361:P361"/>
    <mergeCell ref="A389:K389"/>
    <mergeCell ref="L389:P389"/>
    <mergeCell ref="O390:P390"/>
    <mergeCell ref="A302:K302"/>
    <mergeCell ref="L302:P302"/>
    <mergeCell ref="O303:P303"/>
    <mergeCell ref="A331:K331"/>
    <mergeCell ref="L331:P331"/>
    <mergeCell ref="O332:P332"/>
    <mergeCell ref="A244:K244"/>
    <mergeCell ref="L244:P244"/>
    <mergeCell ref="O245:P245"/>
    <mergeCell ref="A273:K273"/>
    <mergeCell ref="L273:P273"/>
    <mergeCell ref="O274:P274"/>
    <mergeCell ref="A215:K215"/>
    <mergeCell ref="L215:P215"/>
    <mergeCell ref="O216:P216"/>
    <mergeCell ref="A128:K128"/>
    <mergeCell ref="L128:P128"/>
    <mergeCell ref="O129:P129"/>
    <mergeCell ref="A157:K157"/>
    <mergeCell ref="L157:P157"/>
    <mergeCell ref="O158:P158"/>
    <mergeCell ref="O100:P100"/>
    <mergeCell ref="A41:K41"/>
    <mergeCell ref="L41:P41"/>
    <mergeCell ref="O42:P42"/>
    <mergeCell ref="A70:K70"/>
    <mergeCell ref="L70:P70"/>
    <mergeCell ref="A186:K186"/>
    <mergeCell ref="L186:P186"/>
    <mergeCell ref="O187:P187"/>
    <mergeCell ref="BF5:BN5"/>
    <mergeCell ref="A12:K12"/>
    <mergeCell ref="L12:P12"/>
    <mergeCell ref="O13:P13"/>
    <mergeCell ref="O71:P71"/>
    <mergeCell ref="AJ80:AT80"/>
    <mergeCell ref="AU80:AY80"/>
    <mergeCell ref="A99:K99"/>
    <mergeCell ref="L99:P9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C9029-0749-4545-90A1-24AB5CFAFAF1}">
  <dimension ref="A1:BE1459"/>
  <sheetViews>
    <sheetView topLeftCell="AA98" zoomScale="80" zoomScaleNormal="80" workbookViewId="0">
      <selection activeCell="AL100" sqref="AL100:AP100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</cols>
  <sheetData>
    <row r="1" spans="1:57" x14ac:dyDescent="0.3">
      <c r="A1" s="12"/>
      <c r="B1" s="12" t="s">
        <v>10</v>
      </c>
      <c r="C1" s="12"/>
      <c r="D1" s="12"/>
      <c r="E1" s="12"/>
      <c r="F1" s="12"/>
      <c r="G1" t="s">
        <v>47</v>
      </c>
    </row>
    <row r="2" spans="1:57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G2" t="s">
        <v>46</v>
      </c>
      <c r="AG2" s="51" t="s">
        <v>127</v>
      </c>
      <c r="AH2" s="51" t="s">
        <v>131</v>
      </c>
    </row>
    <row r="3" spans="1:57" x14ac:dyDescent="0.3">
      <c r="A3" s="12" t="s">
        <v>3</v>
      </c>
      <c r="B3" s="103">
        <v>175.36</v>
      </c>
      <c r="C3" s="22">
        <f>B3/$B$8</f>
        <v>5.8291477331276827E-2</v>
      </c>
      <c r="D3" s="85">
        <v>0.02</v>
      </c>
      <c r="E3" s="86">
        <f>D3-C3</f>
        <v>-3.829147733127683E-2</v>
      </c>
      <c r="F3" s="12" t="s">
        <v>49</v>
      </c>
      <c r="G3" t="s">
        <v>50</v>
      </c>
      <c r="AG3" s="51" t="s">
        <v>128</v>
      </c>
      <c r="AH3" s="51" t="s">
        <v>134</v>
      </c>
    </row>
    <row r="4" spans="1:57" x14ac:dyDescent="0.3">
      <c r="A4" s="12" t="s">
        <v>4</v>
      </c>
      <c r="B4" s="103">
        <v>249.32</v>
      </c>
      <c r="C4" s="22">
        <f>B4/$B$8</f>
        <v>8.2876546123596809E-2</v>
      </c>
      <c r="D4" s="85">
        <v>7.0000000000000007E-2</v>
      </c>
      <c r="E4" s="86">
        <f>D4-C4</f>
        <v>-1.2876546123596802E-2</v>
      </c>
      <c r="F4" s="12" t="s">
        <v>49</v>
      </c>
      <c r="G4" t="s">
        <v>55</v>
      </c>
      <c r="AG4" s="51" t="s">
        <v>129</v>
      </c>
      <c r="AH4" s="51" t="s">
        <v>132</v>
      </c>
    </row>
    <row r="5" spans="1:57" x14ac:dyDescent="0.3">
      <c r="A5" s="12" t="s">
        <v>5</v>
      </c>
      <c r="B5" s="103">
        <v>1402.65</v>
      </c>
      <c r="C5" s="22">
        <f>B5/$B$8</f>
        <v>0.46625536427187181</v>
      </c>
      <c r="D5" s="85">
        <v>0.48</v>
      </c>
      <c r="E5" s="86">
        <f>D5-C5</f>
        <v>1.3744635728128174E-2</v>
      </c>
      <c r="F5" s="12"/>
      <c r="AG5" s="51" t="s">
        <v>130</v>
      </c>
      <c r="AH5" s="51" t="s">
        <v>133</v>
      </c>
    </row>
    <row r="6" spans="1:57" x14ac:dyDescent="0.3">
      <c r="A6" s="12" t="s">
        <v>6</v>
      </c>
      <c r="B6" s="103">
        <v>728.96</v>
      </c>
      <c r="C6" s="22">
        <f>B6/$B$8</f>
        <v>0.2423138418989938</v>
      </c>
      <c r="D6" s="85">
        <v>0.28000000000000003</v>
      </c>
      <c r="E6" s="86">
        <f>D6-C6</f>
        <v>3.7686158101006229E-2</v>
      </c>
      <c r="F6" s="12"/>
      <c r="I6" s="12"/>
      <c r="J6" s="12" t="s">
        <v>54</v>
      </c>
      <c r="K6" s="12"/>
      <c r="AG6" s="51" t="s">
        <v>155</v>
      </c>
      <c r="AH6" s="51" t="s">
        <v>157</v>
      </c>
    </row>
    <row r="7" spans="1:57" x14ac:dyDescent="0.3">
      <c r="A7" s="12" t="s">
        <v>7</v>
      </c>
      <c r="B7" s="103">
        <v>452.04</v>
      </c>
      <c r="C7" s="22">
        <f>B7/$B$8</f>
        <v>0.15026277037426081</v>
      </c>
      <c r="D7" s="85">
        <v>0.15</v>
      </c>
      <c r="E7" s="86">
        <f>D7-C7</f>
        <v>-2.6277037426081229E-4</v>
      </c>
      <c r="F7" s="12"/>
      <c r="I7" s="12"/>
      <c r="J7" s="12">
        <v>20588</v>
      </c>
      <c r="K7" s="12"/>
      <c r="AG7" s="51" t="s">
        <v>156</v>
      </c>
      <c r="AH7" s="51" t="s">
        <v>158</v>
      </c>
    </row>
    <row r="8" spans="1:57" x14ac:dyDescent="0.3">
      <c r="A8" s="12"/>
      <c r="B8" s="103">
        <f>SUM(B3:B7)</f>
        <v>3008.33</v>
      </c>
      <c r="C8" s="61">
        <f>SUM(C3:C7)</f>
        <v>1</v>
      </c>
      <c r="D8" s="12"/>
      <c r="E8" s="12" t="s">
        <v>16</v>
      </c>
      <c r="F8" s="135">
        <v>182539.55</v>
      </c>
      <c r="I8" s="12" t="s">
        <v>60</v>
      </c>
      <c r="J8" s="12" t="s">
        <v>54</v>
      </c>
      <c r="K8" s="12" t="s">
        <v>59</v>
      </c>
      <c r="AG8" s="51" t="s">
        <v>210</v>
      </c>
      <c r="AH8" s="51" t="s">
        <v>215</v>
      </c>
    </row>
    <row r="9" spans="1:57" x14ac:dyDescent="0.3">
      <c r="A9" s="12"/>
      <c r="B9" s="87">
        <f>B8/0.09</f>
        <v>33425.888888888891</v>
      </c>
      <c r="C9" s="12" t="s">
        <v>48</v>
      </c>
      <c r="D9" s="12"/>
      <c r="E9" s="12" t="s">
        <v>51</v>
      </c>
      <c r="F9" s="88">
        <f>B8/F8</f>
        <v>1.6480428487963293E-2</v>
      </c>
      <c r="I9" s="12">
        <v>11560</v>
      </c>
      <c r="J9" s="12">
        <v>18853</v>
      </c>
      <c r="K9" s="89">
        <f>(J7-J9)/J7</f>
        <v>8.4272391684476394E-2</v>
      </c>
      <c r="AG9" s="51" t="s">
        <v>211</v>
      </c>
      <c r="AH9" s="51" t="s">
        <v>216</v>
      </c>
    </row>
    <row r="10" spans="1:57" x14ac:dyDescent="0.3">
      <c r="A10" s="130" t="s">
        <v>417</v>
      </c>
      <c r="B10" s="131">
        <v>43418</v>
      </c>
      <c r="F10" s="46"/>
      <c r="I10" s="89">
        <f>I9/(I9+J9)</f>
        <v>0.38010061486864172</v>
      </c>
      <c r="J10" s="89">
        <f>J9/(J9+I9)</f>
        <v>0.61989938513135834</v>
      </c>
      <c r="K10" s="12"/>
      <c r="AG10" s="51" t="s">
        <v>212</v>
      </c>
      <c r="AH10" s="51" t="s">
        <v>217</v>
      </c>
    </row>
    <row r="11" spans="1:57" x14ac:dyDescent="0.3">
      <c r="B11" s="18"/>
      <c r="F11" s="46"/>
      <c r="I11" s="45"/>
      <c r="J11" s="45"/>
      <c r="AG11" s="51" t="s">
        <v>213</v>
      </c>
      <c r="AH11" s="51" t="s">
        <v>218</v>
      </c>
    </row>
    <row r="12" spans="1:57" x14ac:dyDescent="0.3">
      <c r="A12" s="361" t="s">
        <v>405</v>
      </c>
      <c r="B12" s="361"/>
      <c r="C12" s="361"/>
      <c r="D12" s="361"/>
      <c r="E12" s="361"/>
      <c r="F12" s="361"/>
      <c r="G12" s="361"/>
      <c r="H12" s="361"/>
      <c r="I12" s="361"/>
      <c r="J12" s="361"/>
      <c r="K12" s="361"/>
      <c r="L12" s="361" t="s">
        <v>52</v>
      </c>
      <c r="M12" s="361"/>
      <c r="N12" s="361"/>
      <c r="O12" s="361"/>
      <c r="P12" s="361"/>
      <c r="R12" s="47" t="s">
        <v>405</v>
      </c>
      <c r="S12" s="47" t="s">
        <v>41</v>
      </c>
      <c r="T12" s="47"/>
      <c r="U12" s="47"/>
      <c r="V12" s="47"/>
      <c r="W12" s="47"/>
      <c r="X12" s="47"/>
      <c r="Y12" s="47"/>
      <c r="Z12" s="47"/>
      <c r="AA12" s="47"/>
      <c r="AB12" s="47" t="s">
        <v>63</v>
      </c>
      <c r="AC12" s="47"/>
      <c r="AD12" s="47"/>
      <c r="AE12" s="47"/>
      <c r="AF12" s="47"/>
      <c r="AG12" s="51" t="s">
        <v>214</v>
      </c>
      <c r="AH12" s="51" t="s">
        <v>219</v>
      </c>
      <c r="AW12" s="66"/>
      <c r="AX12" s="77" t="s">
        <v>328</v>
      </c>
      <c r="AY12" s="77" t="s">
        <v>331</v>
      </c>
      <c r="AZ12" s="77" t="s">
        <v>329</v>
      </c>
      <c r="BA12" s="77" t="s">
        <v>330</v>
      </c>
      <c r="BB12" s="77" t="s">
        <v>332</v>
      </c>
      <c r="BC12" s="77" t="s">
        <v>333</v>
      </c>
      <c r="BD12" s="77" t="s">
        <v>372</v>
      </c>
      <c r="BE12" s="13"/>
    </row>
    <row r="13" spans="1:57" x14ac:dyDescent="0.3">
      <c r="A13" t="s">
        <v>320</v>
      </c>
      <c r="B13" t="s">
        <v>21</v>
      </c>
      <c r="I13" s="1" t="s">
        <v>58</v>
      </c>
      <c r="AG13" s="51" t="s">
        <v>324</v>
      </c>
      <c r="AH13" s="51" t="s">
        <v>326</v>
      </c>
      <c r="AW13" s="51" t="s">
        <v>131</v>
      </c>
      <c r="AX13" s="80">
        <f>MIN($AE$16:$AE$20)</f>
        <v>0.92514564785798203</v>
      </c>
      <c r="AY13" s="80">
        <f>_xlfn.QUARTILE.EXC($AE$16:$AE$20,1)</f>
        <v>0.92522141136381153</v>
      </c>
      <c r="AZ13" s="80">
        <f>MEDIAN($AE$16:$AE$20)</f>
        <v>0.92723201262463595</v>
      </c>
      <c r="BA13" s="80">
        <f>AVERAGE($AE$16:$AE$20)</f>
        <v>0.92685736552588804</v>
      </c>
      <c r="BB13" s="80">
        <f>_xlfn.QUARTILE.EXC(AE16:AE20,3)</f>
        <v>0.92830599613859066</v>
      </c>
      <c r="BC13" s="80">
        <f>MAX(AE16:AE20)</f>
        <v>0.92898989063236559</v>
      </c>
      <c r="BD13" s="80">
        <f>(BB13-AY13)/AZ13</f>
        <v>3.3266590592012264E-3</v>
      </c>
      <c r="BE13" s="80"/>
    </row>
    <row r="14" spans="1:57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56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325</v>
      </c>
      <c r="AH14" s="51" t="s">
        <v>327</v>
      </c>
      <c r="AW14" s="51" t="s">
        <v>134</v>
      </c>
      <c r="AX14" s="80">
        <f>MIN($AE$16:$AE$25)</f>
        <v>0.92514564785798203</v>
      </c>
      <c r="AY14" s="80">
        <f>_xlfn.QUARTILE.EXC($AE$16:$AE$25,1)</f>
        <v>0.92607568157778952</v>
      </c>
      <c r="AZ14" s="80">
        <f>MEDIAN($AE$16:$AE$25)</f>
        <v>0.92757750684027018</v>
      </c>
      <c r="BA14" s="80">
        <f>AVERAGE($AE$16:$AE$25)</f>
        <v>0.9274943243673478</v>
      </c>
      <c r="BB14" s="80">
        <f>_xlfn.QUARTILE.EXC($AE$16:$AE$25,3)</f>
        <v>0.9285252076807442</v>
      </c>
      <c r="BC14" s="80">
        <f>MAX($AE$16:$AE$25)</f>
        <v>0.9300786130324521</v>
      </c>
      <c r="BD14" s="80">
        <f t="shared" ref="BD14:BD23" si="0">(BB14-AY14)/AZ14</f>
        <v>2.6407778162914107E-3</v>
      </c>
      <c r="BE14" s="80"/>
    </row>
    <row r="15" spans="1:57" x14ac:dyDescent="0.3">
      <c r="A15" t="s">
        <v>3</v>
      </c>
      <c r="B15" s="13">
        <v>0</v>
      </c>
      <c r="C15" s="26">
        <v>259</v>
      </c>
      <c r="D15" s="3">
        <v>0</v>
      </c>
      <c r="E15" s="3">
        <v>0</v>
      </c>
      <c r="F15" s="3">
        <v>0</v>
      </c>
      <c r="G15" s="4">
        <v>0</v>
      </c>
      <c r="H15" s="1">
        <f>SUM(C15:G15)</f>
        <v>259</v>
      </c>
      <c r="I15" s="10">
        <f>C15/H15</f>
        <v>1</v>
      </c>
      <c r="J15" s="11">
        <f>1-I15</f>
        <v>0</v>
      </c>
      <c r="K15">
        <f>H15-C20</f>
        <v>0</v>
      </c>
      <c r="N15" s="10">
        <f>2*(C21*I15)/(C21+I15)</f>
        <v>1</v>
      </c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77</v>
      </c>
      <c r="AF15" s="12" t="s">
        <v>29</v>
      </c>
      <c r="AH15" t="s">
        <v>125</v>
      </c>
      <c r="AI15" t="s">
        <v>126</v>
      </c>
      <c r="AW15" s="51" t="s">
        <v>132</v>
      </c>
      <c r="AX15" s="80">
        <f>MIN($AE$16:$AE$35)</f>
        <v>0.92514564785798203</v>
      </c>
      <c r="AY15" s="80">
        <f>_xlfn.QUARTILE.EXC($AE$16:$AE$35,1)</f>
        <v>0.9274477731873324</v>
      </c>
      <c r="AZ15" s="126">
        <f>MEDIAN($AE$16:$AE$35)</f>
        <v>0.92758743817264333</v>
      </c>
      <c r="BA15" s="126">
        <f>AVERAGE($AE$16:$AE$35)</f>
        <v>0.92754966549480167</v>
      </c>
      <c r="BB15" s="80">
        <f>_xlfn.QUARTILE.EXC($AE$16:$AE$35,3)</f>
        <v>0.92782217944715972</v>
      </c>
      <c r="BC15" s="80">
        <f>MAX($AE$16:$AE$35)</f>
        <v>0.9300786130324521</v>
      </c>
      <c r="BD15" s="80">
        <f t="shared" si="0"/>
        <v>4.0363446551723928E-4</v>
      </c>
      <c r="BE15" s="80"/>
    </row>
    <row r="16" spans="1:57" x14ac:dyDescent="0.3">
      <c r="A16" t="s">
        <v>4</v>
      </c>
      <c r="B16" s="13">
        <v>1</v>
      </c>
      <c r="C16" s="5">
        <v>0</v>
      </c>
      <c r="D16" s="27">
        <v>323</v>
      </c>
      <c r="E16" s="1">
        <v>16</v>
      </c>
      <c r="F16" s="1">
        <v>0</v>
      </c>
      <c r="G16" s="6">
        <v>0</v>
      </c>
      <c r="H16" s="1">
        <f>SUM(C16:G16)</f>
        <v>339</v>
      </c>
      <c r="I16" s="10">
        <f>D16/H16</f>
        <v>0.9528023598820059</v>
      </c>
      <c r="J16" s="11">
        <f>1-I16</f>
        <v>4.71976401179941E-2</v>
      </c>
      <c r="K16">
        <f>H16-D20</f>
        <v>-137</v>
      </c>
      <c r="N16" s="10">
        <f>2*(D21*I16)/(D21+I16)</f>
        <v>0.79263803680981604</v>
      </c>
      <c r="R16" t="s">
        <v>70</v>
      </c>
      <c r="S16" t="s">
        <v>28</v>
      </c>
      <c r="T16" s="57">
        <f t="shared" ref="T16:X19" si="1">C31</f>
        <v>1.4182296384536941</v>
      </c>
      <c r="U16" s="57">
        <f t="shared" si="1"/>
        <v>6.1049395158736264</v>
      </c>
      <c r="V16" s="57">
        <f t="shared" si="1"/>
        <v>56.061470702296731</v>
      </c>
      <c r="W16" s="57">
        <f t="shared" si="1"/>
        <v>23.522019639520259</v>
      </c>
      <c r="X16" s="57">
        <f t="shared" si="1"/>
        <v>12.893340503855693</v>
      </c>
      <c r="AC16" t="s">
        <v>70</v>
      </c>
      <c r="AD16" s="51">
        <f>I21</f>
        <v>0.93425605536332179</v>
      </c>
      <c r="AE16" s="55">
        <f>I32</f>
        <v>0.92723201262463595</v>
      </c>
      <c r="AF16" s="55">
        <f>J32</f>
        <v>2.5851022034952525E-3</v>
      </c>
      <c r="AH16">
        <v>21</v>
      </c>
      <c r="AI16">
        <v>32</v>
      </c>
      <c r="AW16" s="51" t="s">
        <v>133</v>
      </c>
      <c r="AX16" s="80">
        <f>MIN($AE$16:$AE$45)</f>
        <v>0.92426269179573595</v>
      </c>
      <c r="AY16" s="80">
        <f>_xlfn.QUARTILE.EXC($AE$16:$AE$45,1)</f>
        <v>0.92711237397060342</v>
      </c>
      <c r="AZ16" s="80">
        <f>MEDIAN($AE$16:$AE$45)</f>
        <v>0.92758743817264333</v>
      </c>
      <c r="BA16" s="80">
        <f>AVERAGE($AE$16:$AE$45)</f>
        <v>0.9275109485170755</v>
      </c>
      <c r="BB16" s="80">
        <f>_xlfn.QUARTILE.EXC($AE$16:$AE$45,3)</f>
        <v>0.92808009462098373</v>
      </c>
      <c r="BC16" s="80">
        <f>MAX($AE$16:$AE$45)</f>
        <v>0.93011919882080596</v>
      </c>
      <c r="BD16" s="80">
        <f t="shared" si="0"/>
        <v>1.0432662308221098E-3</v>
      </c>
      <c r="BE16" s="80"/>
    </row>
    <row r="17" spans="1:57" x14ac:dyDescent="0.3">
      <c r="A17" t="s">
        <v>5</v>
      </c>
      <c r="B17" s="13">
        <v>2</v>
      </c>
      <c r="C17" s="5">
        <v>0</v>
      </c>
      <c r="D17" s="1">
        <v>151</v>
      </c>
      <c r="E17" s="27">
        <v>7048</v>
      </c>
      <c r="F17" s="1">
        <v>119</v>
      </c>
      <c r="G17" s="6">
        <v>81</v>
      </c>
      <c r="H17" s="1">
        <f>SUM(C17:G17)</f>
        <v>7399</v>
      </c>
      <c r="I17" s="10">
        <f>E17/H17</f>
        <v>0.9525611569130964</v>
      </c>
      <c r="J17" s="11">
        <f>1-I17</f>
        <v>4.7438843086903604E-2</v>
      </c>
      <c r="K17">
        <f>H17-E20</f>
        <v>158</v>
      </c>
      <c r="N17" s="10">
        <f>2*(E21*I17)/(E21+I17)</f>
        <v>0.96284153005464479</v>
      </c>
      <c r="S17" s="66" t="s">
        <v>39</v>
      </c>
      <c r="T17" s="67">
        <f t="shared" si="1"/>
        <v>0</v>
      </c>
      <c r="U17" s="67">
        <f t="shared" si="1"/>
        <v>0.11126943300528735</v>
      </c>
      <c r="V17" s="67">
        <f t="shared" si="1"/>
        <v>0.20653667550910898</v>
      </c>
      <c r="W17" s="67">
        <f t="shared" si="1"/>
        <v>0.20658650607912532</v>
      </c>
      <c r="X17" s="67">
        <f t="shared" si="1"/>
        <v>0.19929839430980675</v>
      </c>
      <c r="AC17" t="s">
        <v>71</v>
      </c>
      <c r="AD17" s="51">
        <f>I50</f>
        <v>0.93252595155709339</v>
      </c>
      <c r="AE17" s="55">
        <f>I61</f>
        <v>0.92529717486964114</v>
      </c>
      <c r="AF17" s="55">
        <f>J61</f>
        <v>2.6067072701057518E-3</v>
      </c>
      <c r="AH17">
        <v>50</v>
      </c>
      <c r="AI17">
        <v>61</v>
      </c>
      <c r="AW17" s="51" t="s">
        <v>157</v>
      </c>
      <c r="AX17" s="80">
        <f>MIN($AE$16:$AE$55)</f>
        <v>0.92426269179573595</v>
      </c>
      <c r="AY17" s="80">
        <f>_xlfn.QUARTILE.EXC($AE$16:$AE$55,1)</f>
        <v>0.92681250811633875</v>
      </c>
      <c r="AZ17" s="80">
        <f>MEDIAN($AE$16:$AE$55)</f>
        <v>0.92758743817264333</v>
      </c>
      <c r="BA17" s="80">
        <f>AVERAGE($AE$16:$AE$55)</f>
        <v>0.92746460125706331</v>
      </c>
      <c r="BB17" s="80">
        <f>_xlfn.QUARTILE.EXC($AE$16:$AE$55,3)</f>
        <v>0.92817608039863331</v>
      </c>
      <c r="BC17" s="80">
        <f>MAX($AE$16:$AE$55)</f>
        <v>0.93088135850484499</v>
      </c>
      <c r="BD17" s="80">
        <f t="shared" si="0"/>
        <v>1.4700202117665666E-3</v>
      </c>
      <c r="BE17" s="80"/>
    </row>
    <row r="18" spans="1:57" x14ac:dyDescent="0.3">
      <c r="A18" t="s">
        <v>6</v>
      </c>
      <c r="B18" s="13">
        <v>3</v>
      </c>
      <c r="C18" s="5">
        <v>0</v>
      </c>
      <c r="D18" s="1">
        <v>2</v>
      </c>
      <c r="E18" s="1">
        <v>123</v>
      </c>
      <c r="F18" s="27">
        <v>2371</v>
      </c>
      <c r="G18" s="6">
        <v>107</v>
      </c>
      <c r="H18" s="1">
        <f>SUM(C18:G18)</f>
        <v>2603</v>
      </c>
      <c r="I18" s="10">
        <f>F18/H18</f>
        <v>0.91087207068766807</v>
      </c>
      <c r="J18" s="11">
        <f>1-I18</f>
        <v>8.9127929312331933E-2</v>
      </c>
      <c r="K18">
        <f>H18-F20</f>
        <v>6</v>
      </c>
      <c r="N18" s="10">
        <f>2*(F21*I18)/(F21+I18)</f>
        <v>0.91192307692307695</v>
      </c>
      <c r="S18" s="70" t="s">
        <v>30</v>
      </c>
      <c r="T18" s="64">
        <f t="shared" si="1"/>
        <v>100</v>
      </c>
      <c r="U18" s="64">
        <f t="shared" si="1"/>
        <v>80.772743519540654</v>
      </c>
      <c r="V18" s="64">
        <f t="shared" si="1"/>
        <v>96.247436788463204</v>
      </c>
      <c r="W18" s="64">
        <f t="shared" si="1"/>
        <v>89.681389780627839</v>
      </c>
      <c r="X18" s="64">
        <f t="shared" si="1"/>
        <v>87.806893716758523</v>
      </c>
      <c r="AC18" t="s">
        <v>72</v>
      </c>
      <c r="AD18" s="51">
        <f>I79</f>
        <v>0.93278546712802768</v>
      </c>
      <c r="AE18" s="55">
        <f>I90</f>
        <v>0.92514564785798203</v>
      </c>
      <c r="AF18" s="55">
        <f>J90</f>
        <v>2.6180800874430667E-3</v>
      </c>
      <c r="AH18">
        <v>79</v>
      </c>
      <c r="AI18">
        <v>90</v>
      </c>
      <c r="AW18" s="51" t="s">
        <v>158</v>
      </c>
      <c r="AX18" s="80">
        <f>MIN($AE$16:$AE$65)</f>
        <v>0.92426269179573595</v>
      </c>
      <c r="AY18" s="80">
        <f>_xlfn.QUARTILE.EXC($AE$16:$AE$65,1)</f>
        <v>0.92693060833200425</v>
      </c>
      <c r="AZ18" s="80">
        <f>MEDIAN($AE$16:$AE$65)</f>
        <v>0.92758743817264333</v>
      </c>
      <c r="BA18" s="80">
        <f>AVERAGE($AE$16:$AE$65)</f>
        <v>0.92752386844884382</v>
      </c>
      <c r="BB18" s="80">
        <f>_xlfn.QUARTILE.EXC($AE$16:$AE$65,3)</f>
        <v>0.92826179119026819</v>
      </c>
      <c r="BC18" s="80">
        <f>MAX($AE$16:$AE$65)</f>
        <v>0.93088135850484499</v>
      </c>
      <c r="BD18" s="80">
        <f t="shared" si="0"/>
        <v>1.4351022916894928E-3</v>
      </c>
      <c r="BE18" s="80"/>
    </row>
    <row r="19" spans="1:57" x14ac:dyDescent="0.3">
      <c r="A19" t="s">
        <v>7</v>
      </c>
      <c r="B19" s="13">
        <v>4</v>
      </c>
      <c r="C19" s="7">
        <v>0</v>
      </c>
      <c r="D19" s="8">
        <v>0</v>
      </c>
      <c r="E19" s="8">
        <v>54</v>
      </c>
      <c r="F19" s="8">
        <v>107</v>
      </c>
      <c r="G19" s="28">
        <v>799</v>
      </c>
      <c r="H19" s="1">
        <f>SUM(C19:G19)</f>
        <v>960</v>
      </c>
      <c r="I19" s="10">
        <f>G19/H19</f>
        <v>0.83229166666666665</v>
      </c>
      <c r="J19" s="11">
        <f>1-I19</f>
        <v>0.16770833333333335</v>
      </c>
      <c r="K19">
        <f>H19-G20</f>
        <v>-27</v>
      </c>
      <c r="N19" s="10">
        <f>2*(G21*I19)/(G21+I19)</f>
        <v>0.82074987159732926</v>
      </c>
      <c r="S19" s="66" t="s">
        <v>39</v>
      </c>
      <c r="T19" s="67">
        <f t="shared" si="1"/>
        <v>0</v>
      </c>
      <c r="U19" s="67">
        <f t="shared" si="1"/>
        <v>2.2539598263949938</v>
      </c>
      <c r="V19" s="67">
        <f t="shared" si="1"/>
        <v>0.27717501735015543</v>
      </c>
      <c r="W19" s="67">
        <f t="shared" si="1"/>
        <v>0.83639420007062448</v>
      </c>
      <c r="X19" s="67">
        <f t="shared" si="1"/>
        <v>1.7329529739660536</v>
      </c>
      <c r="AC19" t="s">
        <v>73</v>
      </c>
      <c r="AD19" s="51">
        <f>I108</f>
        <v>0.93494809688581315</v>
      </c>
      <c r="AE19" s="73">
        <f>I119</f>
        <v>0.92762210164481573</v>
      </c>
      <c r="AF19" s="73">
        <f>J119</f>
        <v>2.5898595668206264E-3</v>
      </c>
      <c r="AH19">
        <v>108</v>
      </c>
      <c r="AI19">
        <v>119</v>
      </c>
      <c r="AW19" s="51" t="s">
        <v>215</v>
      </c>
      <c r="AX19" s="80">
        <f>MIN($AE$16:$AE$75)</f>
        <v>0.92426269179573595</v>
      </c>
      <c r="AY19" s="80">
        <f>_xlfn.QUARTILE.EXC($AE$16:$AE$75,1)</f>
        <v>0.92642685739826702</v>
      </c>
      <c r="AZ19" s="80">
        <f>MEDIAN($AE$16:$AE$75)</f>
        <v>0.92756760426854279</v>
      </c>
      <c r="BA19" s="80">
        <f>AVERAGE($AE$16:$AE$75)</f>
        <v>0.9274260621350422</v>
      </c>
      <c r="BB19" s="80">
        <f>_xlfn.QUARTILE.EXC($AE$16:$AE$75,3)</f>
        <v>0.92822559026849705</v>
      </c>
      <c r="BC19" s="80">
        <f>MAX($AE$16:$AE$75)</f>
        <v>0.93088135850484499</v>
      </c>
      <c r="BD19" s="80">
        <f t="shared" si="0"/>
        <v>1.9391932856996027E-3</v>
      </c>
      <c r="BE19" s="80"/>
    </row>
    <row r="20" spans="1:57" ht="15.6" x14ac:dyDescent="0.35">
      <c r="B20" s="1" t="s">
        <v>19</v>
      </c>
      <c r="C20" s="1">
        <f>SUM(C15:C19)</f>
        <v>259</v>
      </c>
      <c r="D20" s="1">
        <f>SUM(D15:D19)</f>
        <v>476</v>
      </c>
      <c r="E20" s="1">
        <f>SUM(E15:E19)</f>
        <v>7241</v>
      </c>
      <c r="F20" s="1">
        <f>SUM(F15:F19)</f>
        <v>2597</v>
      </c>
      <c r="G20" s="1">
        <f>SUM(G15:G19)</f>
        <v>987</v>
      </c>
      <c r="H20" s="1">
        <f>SUM(H14:H19)</f>
        <v>11560</v>
      </c>
      <c r="I20" s="13" t="s">
        <v>12</v>
      </c>
      <c r="N20" s="16"/>
      <c r="S20" s="70" t="s">
        <v>31</v>
      </c>
      <c r="T20" s="64">
        <f>I26</f>
        <v>100</v>
      </c>
      <c r="U20" s="64">
        <f>I27</f>
        <v>95.280235988200587</v>
      </c>
      <c r="V20" s="64">
        <f>I28</f>
        <v>95.256115691309645</v>
      </c>
      <c r="W20" s="64">
        <f>I29</f>
        <v>91.087207068766801</v>
      </c>
      <c r="X20" s="64">
        <f>I30</f>
        <v>83.229166666666671</v>
      </c>
      <c r="AC20" t="s">
        <v>76</v>
      </c>
      <c r="AD20" s="51">
        <f>I137</f>
        <v>0.93607266435986158</v>
      </c>
      <c r="AE20" s="73">
        <f>I148</f>
        <v>0.92898989063236559</v>
      </c>
      <c r="AF20" s="73">
        <f>J148</f>
        <v>2.5597989128102335E-3</v>
      </c>
      <c r="AH20">
        <v>137</v>
      </c>
      <c r="AI20">
        <v>148</v>
      </c>
      <c r="AW20" s="51" t="s">
        <v>216</v>
      </c>
      <c r="AX20" s="80">
        <f>MIN($AE$16:$AE$85)</f>
        <v>0.92426269179573595</v>
      </c>
      <c r="AY20" s="80">
        <f>_xlfn.QUARTILE.EXC($AE$16:$AE$85,1)</f>
        <v>0.92663440014489296</v>
      </c>
      <c r="AZ20" s="80">
        <f>MEDIAN($AE$16:$AE$85)</f>
        <v>0.92754306354643001</v>
      </c>
      <c r="BA20" s="80">
        <f>AVERAGE($AE$16:$AE$85)</f>
        <v>0.92740287031501634</v>
      </c>
      <c r="BB20" s="80">
        <f>_xlfn.QUARTILE.EXC($AE$16:$AE$85,3)</f>
        <v>0.92820492349709904</v>
      </c>
      <c r="BC20" s="80">
        <f>MAX($AE$16:$AE$85)</f>
        <v>0.93088135850484499</v>
      </c>
      <c r="BD20" s="80">
        <f t="shared" si="0"/>
        <v>1.6932080179665667E-3</v>
      </c>
      <c r="BE20" s="80"/>
    </row>
    <row r="21" spans="1:57" x14ac:dyDescent="0.3">
      <c r="A21" s="1" t="s">
        <v>321</v>
      </c>
      <c r="B21" s="1" t="s">
        <v>2</v>
      </c>
      <c r="C21" s="10">
        <f>C15/C20</f>
        <v>1</v>
      </c>
      <c r="D21" s="10">
        <f>D16/D20</f>
        <v>0.6785714285714286</v>
      </c>
      <c r="E21" s="10">
        <f>E17/E20</f>
        <v>0.97334622289738981</v>
      </c>
      <c r="F21" s="10">
        <f>F18/F20</f>
        <v>0.91297651135926072</v>
      </c>
      <c r="G21" s="10">
        <f>G19/G20</f>
        <v>0.80952380952380953</v>
      </c>
      <c r="H21" s="10"/>
      <c r="I21" s="14">
        <f>(C15+D16+E17+F18+G19)/H20</f>
        <v>0.93425605536332179</v>
      </c>
      <c r="S21" s="66" t="s">
        <v>39</v>
      </c>
      <c r="T21" s="67">
        <f>J26</f>
        <v>0</v>
      </c>
      <c r="U21" s="67">
        <f>J27</f>
        <v>1.153461767836518</v>
      </c>
      <c r="V21" s="67">
        <f>J28</f>
        <v>0.24714755313726086</v>
      </c>
      <c r="W21" s="67">
        <f>J29</f>
        <v>0.55857559294987813</v>
      </c>
      <c r="X21" s="67">
        <f>J30</f>
        <v>1.2064401752225082</v>
      </c>
      <c r="AC21" t="s">
        <v>98</v>
      </c>
      <c r="AD21" s="51">
        <f>I166</f>
        <v>0.93373702422145333</v>
      </c>
      <c r="AE21" s="55">
        <f>I177</f>
        <v>0.92633518381383906</v>
      </c>
      <c r="AF21" s="55">
        <f>J177</f>
        <v>2.6041563140655434E-3</v>
      </c>
      <c r="AH21">
        <v>166</v>
      </c>
      <c r="AI21">
        <v>177</v>
      </c>
      <c r="AW21" s="51" t="s">
        <v>217</v>
      </c>
      <c r="AX21" s="80">
        <f>MIN($AE$16:$AE$95)</f>
        <v>0.92426269179573595</v>
      </c>
      <c r="AY21" s="80">
        <f>_xlfn.QUARTILE.EXC($AE$16:$AE$95,1)</f>
        <v>0.92671477311578976</v>
      </c>
      <c r="AZ21" s="80">
        <f>MEDIAN($AE$16:$AE$95)</f>
        <v>0.92750989563203867</v>
      </c>
      <c r="BA21" s="80">
        <f>AVERAGE($AE$16:$AE$95)</f>
        <v>0.92739168842698105</v>
      </c>
      <c r="BB21" s="80">
        <f>_xlfn.QUARTILE.EXC($AE$16:$AE$95,3)</f>
        <v>0.92817608039863331</v>
      </c>
      <c r="BC21" s="80">
        <f>MAX($AE$16:$AE$95)</f>
        <v>0.93088135850484499</v>
      </c>
      <c r="BD21" s="80">
        <f t="shared" si="0"/>
        <v>1.5755166491757608E-3</v>
      </c>
      <c r="BE21" s="80"/>
    </row>
    <row r="22" spans="1:57" x14ac:dyDescent="0.3">
      <c r="B22" s="1" t="s">
        <v>14</v>
      </c>
      <c r="C22" s="11">
        <f>1-C21</f>
        <v>0</v>
      </c>
      <c r="D22" s="11">
        <f>1-D21</f>
        <v>0.3214285714285714</v>
      </c>
      <c r="E22" s="11">
        <f>1-E21</f>
        <v>2.6653777102610188E-2</v>
      </c>
      <c r="F22" s="11">
        <f>1-F21</f>
        <v>8.7023488640739277E-2</v>
      </c>
      <c r="G22" s="11">
        <f>1-G21</f>
        <v>0.19047619047619047</v>
      </c>
      <c r="S22" s="68" t="s">
        <v>56</v>
      </c>
      <c r="T22" s="65">
        <f>N15*100</f>
        <v>100</v>
      </c>
      <c r="U22" s="65">
        <f>N16*100</f>
        <v>79.26380368098161</v>
      </c>
      <c r="V22" s="65">
        <f>N17*100</f>
        <v>96.284153005464475</v>
      </c>
      <c r="W22" s="65">
        <f>N18*100</f>
        <v>91.192307692307693</v>
      </c>
      <c r="X22" s="65">
        <f>N19*100</f>
        <v>82.074987159732927</v>
      </c>
      <c r="Y22" s="46"/>
      <c r="Z22" s="46"/>
      <c r="AA22" s="46"/>
      <c r="AC22" t="s">
        <v>99</v>
      </c>
      <c r="AD22" s="51">
        <f>I195</f>
        <v>0.93641868512110726</v>
      </c>
      <c r="AE22" s="55">
        <f>I206</f>
        <v>0.9300786130324521</v>
      </c>
      <c r="AF22" s="55">
        <f>J206</f>
        <v>2.5342692198178345E-3</v>
      </c>
      <c r="AH22">
        <v>195</v>
      </c>
      <c r="AI22">
        <v>206</v>
      </c>
      <c r="AW22" s="51" t="s">
        <v>218</v>
      </c>
      <c r="AX22" s="80">
        <f>MIN($AE$16:$AE$105)</f>
        <v>0.92386873440946504</v>
      </c>
      <c r="AY22" s="80">
        <f>_xlfn.QUARTILE.EXC($AE$16:$AE$105,1)</f>
        <v>0.92640777054714896</v>
      </c>
      <c r="AZ22" s="80">
        <f>MEDIAN($AE$16:$AE$105)</f>
        <v>0.92745252613518514</v>
      </c>
      <c r="BA22" s="80">
        <f>AVERAGE($AE$16:$AE$105)</f>
        <v>0.92736624120262279</v>
      </c>
      <c r="BB22" s="80">
        <f>_xlfn.QUARTILE.EXC($AE$16:$AE$105,3)</f>
        <v>0.92820492349709904</v>
      </c>
      <c r="BC22" s="80">
        <f>MAX($AE$16:$AE$105)</f>
        <v>0.93088135850484499</v>
      </c>
      <c r="BD22" s="80">
        <f t="shared" si="0"/>
        <v>1.9377303951492336E-3</v>
      </c>
      <c r="BE22" s="80"/>
    </row>
    <row r="23" spans="1:57" x14ac:dyDescent="0.3">
      <c r="C23" s="2"/>
      <c r="R23" s="16" t="s">
        <v>66</v>
      </c>
      <c r="S23" t="s">
        <v>9</v>
      </c>
      <c r="T23" s="30">
        <f>N26</f>
        <v>2588.83</v>
      </c>
      <c r="U23" s="30">
        <f>N27</f>
        <v>9447.14</v>
      </c>
      <c r="V23" s="30">
        <f>N28</f>
        <v>103399.34</v>
      </c>
      <c r="W23" s="30">
        <f>N29</f>
        <v>42274.31</v>
      </c>
      <c r="X23" s="30">
        <f>N30</f>
        <v>24829.93</v>
      </c>
      <c r="Z23" t="s">
        <v>36</v>
      </c>
      <c r="AA23" s="1">
        <f>N31</f>
        <v>182539.55</v>
      </c>
      <c r="AC23" t="s">
        <v>100</v>
      </c>
      <c r="AD23" s="51">
        <f>I224</f>
        <v>0.93520761245674744</v>
      </c>
      <c r="AE23" s="55">
        <f>I235</f>
        <v>0.92833939379848474</v>
      </c>
      <c r="AF23" s="55">
        <f>J235</f>
        <v>2.5668582186157123E-3</v>
      </c>
      <c r="AH23">
        <v>224</v>
      </c>
      <c r="AI23">
        <v>235</v>
      </c>
      <c r="AW23" s="51" t="s">
        <v>219</v>
      </c>
      <c r="AX23" s="80">
        <f>MIN($AE$16:$AE$115)</f>
        <v>0.92386873440946504</v>
      </c>
      <c r="AY23" s="80">
        <f>_xlfn.QUARTILE.EXC($AE$16:$AE$115,1)</f>
        <v>0.92633432798719573</v>
      </c>
      <c r="AZ23" s="126">
        <f>MEDIAN($AE$16:$AE$115)</f>
        <v>0.9274879077282715</v>
      </c>
      <c r="BA23" s="126">
        <f>AVERAGE($AE$16:$AE$115)</f>
        <v>0.92738839618581825</v>
      </c>
      <c r="BB23" s="80">
        <f>_xlfn.QUARTILE.EXC($AE$16:$AE$115,3)</f>
        <v>0.92822559026849705</v>
      </c>
      <c r="BC23" s="80">
        <f>MAX($AE$16:$AE$115)</f>
        <v>0.93214456152245795</v>
      </c>
      <c r="BD23" s="80">
        <f t="shared" si="0"/>
        <v>2.0391233842968958E-3</v>
      </c>
      <c r="BE23" s="80"/>
    </row>
    <row r="24" spans="1:57" ht="15.6" x14ac:dyDescent="0.35">
      <c r="A24" t="s">
        <v>322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323</v>
      </c>
      <c r="S24" t="s">
        <v>68</v>
      </c>
      <c r="T24" s="57">
        <f>$AA23*T16/100</f>
        <v>2588.83</v>
      </c>
      <c r="U24" s="57">
        <f>$AA23*U16/100</f>
        <v>11143.929120047897</v>
      </c>
      <c r="V24" s="57">
        <f>$AA23*V16/100</f>
        <v>102334.35634335429</v>
      </c>
      <c r="W24" s="57">
        <f>$AA23*W16/100</f>
        <v>42936.988800891901</v>
      </c>
      <c r="X24" s="57">
        <f>$AA23*X16/100</f>
        <v>23535.445735705915</v>
      </c>
      <c r="Z24" t="s">
        <v>36</v>
      </c>
      <c r="AA24" s="25">
        <f>SUM(T24:X24)</f>
        <v>182539.55</v>
      </c>
      <c r="AC24" t="s">
        <v>101</v>
      </c>
      <c r="AD24" s="51">
        <f>I253</f>
        <v>0.93529411764705883</v>
      </c>
      <c r="AE24" s="55">
        <f>I264</f>
        <v>0.92753291203572463</v>
      </c>
      <c r="AF24" s="55">
        <f>J264</f>
        <v>2.5893359121634913E-3</v>
      </c>
      <c r="AH24">
        <v>253</v>
      </c>
      <c r="AI24">
        <v>264</v>
      </c>
      <c r="BE24" s="80"/>
    </row>
    <row r="25" spans="1:57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67</v>
      </c>
      <c r="T25" s="67">
        <f>$AA23*T17/100</f>
        <v>0</v>
      </c>
      <c r="U25" s="67">
        <f>$AA23*U17/100</f>
        <v>203.11072229540298</v>
      </c>
      <c r="V25" s="67">
        <f>$AA23*V17/100</f>
        <v>377.0111180592877</v>
      </c>
      <c r="W25" s="67">
        <f>$AA23*W17/100</f>
        <v>377.102078557558</v>
      </c>
      <c r="X25" s="67">
        <f>$AA23*X17/100</f>
        <v>363.79839213034683</v>
      </c>
      <c r="AA25" s="1"/>
      <c r="AC25" t="s">
        <v>102</v>
      </c>
      <c r="AD25" s="51">
        <f>I282</f>
        <v>0.93512110726643594</v>
      </c>
      <c r="AE25" s="55">
        <f>I293</f>
        <v>0.92837031336353704</v>
      </c>
      <c r="AF25" s="55">
        <f>J293</f>
        <v>2.5592650159434777E-3</v>
      </c>
      <c r="AH25">
        <v>282</v>
      </c>
      <c r="AI25">
        <v>293</v>
      </c>
      <c r="BE25" s="80"/>
    </row>
    <row r="26" spans="1:57" x14ac:dyDescent="0.3">
      <c r="A26" t="s">
        <v>3</v>
      </c>
      <c r="B26" s="13">
        <v>0</v>
      </c>
      <c r="C26" s="29">
        <f>(C15/$L26)*$O26</f>
        <v>1.4182296384536941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0</v>
      </c>
      <c r="G26" s="32">
        <f t="shared" si="2"/>
        <v>0</v>
      </c>
      <c r="H26" s="17">
        <f>SUM(C26:G26)</f>
        <v>1.4182296384536941</v>
      </c>
      <c r="I26" s="17">
        <f>C26/H26*100</f>
        <v>100</v>
      </c>
      <c r="J26" s="17">
        <f>SQRT(I26*(100-I26)/(L26-1))</f>
        <v>0</v>
      </c>
      <c r="K26" s="18">
        <f>100-I26</f>
        <v>0</v>
      </c>
      <c r="L26" s="1">
        <f>H15</f>
        <v>259</v>
      </c>
      <c r="M26">
        <v>0</v>
      </c>
      <c r="N26" s="1">
        <v>2588.83</v>
      </c>
      <c r="O26" s="17">
        <f>N26/N31*100</f>
        <v>1.4182296384536941</v>
      </c>
      <c r="P26" s="52">
        <f>((O26*O26*(I26/100)*(K26/100))/(L26-1))</f>
        <v>0</v>
      </c>
      <c r="R26" t="s">
        <v>71</v>
      </c>
      <c r="S26" s="70" t="s">
        <v>28</v>
      </c>
      <c r="T26" s="64">
        <f t="shared" ref="T26:X29" si="3">C60</f>
        <v>1.4294546330293234</v>
      </c>
      <c r="U26" s="64">
        <f t="shared" si="3"/>
        <v>6.0900071951058488</v>
      </c>
      <c r="V26" s="64">
        <f t="shared" si="3"/>
        <v>56.506304719144978</v>
      </c>
      <c r="W26" s="64">
        <f t="shared" si="3"/>
        <v>23.314686921551377</v>
      </c>
      <c r="X26" s="64">
        <f t="shared" si="3"/>
        <v>12.659546531168463</v>
      </c>
      <c r="Y26" s="13"/>
      <c r="Z26" s="74"/>
      <c r="AA26" s="12"/>
      <c r="AC26" t="s">
        <v>103</v>
      </c>
      <c r="AD26" s="51">
        <f>I311</f>
        <v>0.93425605536332179</v>
      </c>
      <c r="AE26" s="55">
        <f>I322</f>
        <v>0.927500845576962</v>
      </c>
      <c r="AF26" s="55">
        <f>J322</f>
        <v>2.5733084068441684E-3</v>
      </c>
      <c r="AH26">
        <v>311</v>
      </c>
      <c r="AI26">
        <v>322</v>
      </c>
    </row>
    <row r="27" spans="1:57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4.9311271371796916</v>
      </c>
      <c r="E27" s="19">
        <f t="shared" si="2"/>
        <v>0.2442663597364553</v>
      </c>
      <c r="F27" s="18">
        <f t="shared" si="2"/>
        <v>0</v>
      </c>
      <c r="G27" s="20">
        <f t="shared" si="2"/>
        <v>0</v>
      </c>
      <c r="H27" s="17">
        <f>SUM(C27:G27)</f>
        <v>5.175393496916147</v>
      </c>
      <c r="I27" s="17">
        <f>D27/H27*100</f>
        <v>95.280235988200587</v>
      </c>
      <c r="J27" s="17">
        <f>SQRT(I27*(100-I27)/(L27-1))</f>
        <v>1.153461767836518</v>
      </c>
      <c r="K27" s="18">
        <f>100-I27</f>
        <v>4.7197640117994126</v>
      </c>
      <c r="L27" s="1">
        <f>H16</f>
        <v>339</v>
      </c>
      <c r="M27">
        <v>1</v>
      </c>
      <c r="N27" s="1">
        <v>9447.14</v>
      </c>
      <c r="O27" s="17">
        <f>N27/N31*100</f>
        <v>5.175393496916147</v>
      </c>
      <c r="P27" s="52">
        <f>((O27*O27*(I27/100)*(K27/100))/(L27-1))</f>
        <v>3.5636345420015747E-3</v>
      </c>
      <c r="S27" s="66" t="s">
        <v>39</v>
      </c>
      <c r="T27" s="67">
        <f t="shared" si="3"/>
        <v>8.9058995317461021E-3</v>
      </c>
      <c r="U27" s="67">
        <f t="shared" si="3"/>
        <v>0.11512818544924265</v>
      </c>
      <c r="V27" s="67">
        <f t="shared" si="3"/>
        <v>0.21033212535301765</v>
      </c>
      <c r="W27" s="67">
        <f t="shared" si="3"/>
        <v>0.20586398570943878</v>
      </c>
      <c r="X27" s="67">
        <f t="shared" si="3"/>
        <v>0.20013267687751729</v>
      </c>
      <c r="AC27" t="s">
        <v>104</v>
      </c>
      <c r="AD27" s="51">
        <f>I340</f>
        <v>0.93425605536332179</v>
      </c>
      <c r="AE27" s="55">
        <f>I351</f>
        <v>0.92765868119044681</v>
      </c>
      <c r="AF27" s="55">
        <f>J351</f>
        <v>2.5621943885882014E-3</v>
      </c>
      <c r="AH27">
        <v>340</v>
      </c>
      <c r="AI27">
        <v>351</v>
      </c>
    </row>
    <row r="28" spans="1:57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1.1560183052083222</v>
      </c>
      <c r="E28" s="34">
        <f t="shared" si="2"/>
        <v>53.957728576875866</v>
      </c>
      <c r="F28" s="19">
        <f t="shared" si="2"/>
        <v>0.91103429350854537</v>
      </c>
      <c r="G28" s="20">
        <f t="shared" si="2"/>
        <v>0.62011577961506026</v>
      </c>
      <c r="H28" s="17">
        <f>SUM(C28:G28)</f>
        <v>56.644896955207791</v>
      </c>
      <c r="I28" s="17">
        <f>E28/H28*100</f>
        <v>95.256115691309645</v>
      </c>
      <c r="J28" s="17">
        <f>SQRT(I28*(100-I28)/(L28-1))</f>
        <v>0.24714755313726086</v>
      </c>
      <c r="K28" s="18">
        <f>100-I28</f>
        <v>4.7438843086903546</v>
      </c>
      <c r="L28" s="1">
        <f>H17</f>
        <v>7399</v>
      </c>
      <c r="M28">
        <v>2</v>
      </c>
      <c r="N28" s="1">
        <v>103399.34</v>
      </c>
      <c r="O28" s="17">
        <f>N28/N31*100</f>
        <v>56.644896955207791</v>
      </c>
      <c r="P28" s="52">
        <f>((O28*O28*(I28/100)*(K28/100))/(L28-1))</f>
        <v>1.95990135169502E-2</v>
      </c>
      <c r="S28" t="s">
        <v>30</v>
      </c>
      <c r="T28" s="57">
        <f t="shared" si="3"/>
        <v>99.376852505977581</v>
      </c>
      <c r="U28" s="57">
        <f t="shared" si="3"/>
        <v>79.706230160524896</v>
      </c>
      <c r="V28" s="57">
        <f t="shared" si="3"/>
        <v>96.007491225471654</v>
      </c>
      <c r="W28" s="57">
        <f t="shared" si="3"/>
        <v>90.013350537988345</v>
      </c>
      <c r="X28" s="57">
        <f t="shared" si="3"/>
        <v>87.036600206849343</v>
      </c>
      <c r="AC28" t="s">
        <v>105</v>
      </c>
      <c r="AD28" s="51">
        <f>I369</f>
        <v>0.93425605536332179</v>
      </c>
      <c r="AE28" s="55">
        <f>I380</f>
        <v>0.92787249388609416</v>
      </c>
      <c r="AF28" s="55">
        <f>J380</f>
        <v>2.5512328630229487E-3</v>
      </c>
      <c r="AH28">
        <v>369</v>
      </c>
      <c r="AI28">
        <v>380</v>
      </c>
    </row>
    <row r="29" spans="1:57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1.7794073485612818E-2</v>
      </c>
      <c r="E29" s="19">
        <f t="shared" si="2"/>
        <v>1.0943355193651882</v>
      </c>
      <c r="F29" s="34">
        <f t="shared" si="2"/>
        <v>21.094874117193996</v>
      </c>
      <c r="G29" s="20">
        <f t="shared" si="2"/>
        <v>0.95198293148028579</v>
      </c>
      <c r="H29" s="17">
        <f>SUM(C29:G29)</f>
        <v>23.158986641525082</v>
      </c>
      <c r="I29" s="17">
        <f>F29/H29*100</f>
        <v>91.087207068766801</v>
      </c>
      <c r="J29" s="17">
        <f>SQRT(I29*(100-I29)/(L29-1))</f>
        <v>0.55857559294987813</v>
      </c>
      <c r="K29" s="18">
        <f>100-I29</f>
        <v>8.9127929312331986</v>
      </c>
      <c r="L29" s="1">
        <f>H18</f>
        <v>2603</v>
      </c>
      <c r="M29">
        <v>3</v>
      </c>
      <c r="N29" s="1">
        <v>42274.31</v>
      </c>
      <c r="O29" s="17">
        <f>N29/N31*100</f>
        <v>23.158986641525082</v>
      </c>
      <c r="P29" s="52">
        <f>((O29*O29*(I29/100)*(K29/100))/(L29-1))</f>
        <v>1.6734125236159816E-2</v>
      </c>
      <c r="S29" s="66" t="s">
        <v>39</v>
      </c>
      <c r="T29" s="67">
        <f t="shared" si="3"/>
        <v>0.61926436602934198</v>
      </c>
      <c r="U29" s="67">
        <f t="shared" si="3"/>
        <v>2.4379828167659223</v>
      </c>
      <c r="V29" s="67">
        <f t="shared" si="3"/>
        <v>0.28445986789808653</v>
      </c>
      <c r="W29" s="67">
        <f t="shared" si="3"/>
        <v>0.83257415834673898</v>
      </c>
      <c r="X29" s="67">
        <f t="shared" si="3"/>
        <v>1.8520522352499753</v>
      </c>
      <c r="AC29" t="s">
        <v>106</v>
      </c>
      <c r="AD29" s="51">
        <f>I398</f>
        <v>0.93425605536332179</v>
      </c>
      <c r="AE29" s="55">
        <f>I409</f>
        <v>0.9276712361303564</v>
      </c>
      <c r="AF29" s="55">
        <f>J409</f>
        <v>2.5675141941156653E-3</v>
      </c>
      <c r="AH29">
        <v>398</v>
      </c>
      <c r="AI29">
        <v>409</v>
      </c>
    </row>
    <row r="30" spans="1:57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0</v>
      </c>
      <c r="E30" s="21">
        <f t="shared" si="2"/>
        <v>0.76514024631922239</v>
      </c>
      <c r="F30" s="21">
        <f t="shared" si="2"/>
        <v>1.5161112288177185</v>
      </c>
      <c r="G30" s="37">
        <f t="shared" si="2"/>
        <v>11.321241792760347</v>
      </c>
      <c r="H30" s="17">
        <f>SUM(C30:G30)</f>
        <v>13.602493267897287</v>
      </c>
      <c r="I30" s="17">
        <f>G30/H30*100</f>
        <v>83.229166666666671</v>
      </c>
      <c r="J30" s="17">
        <f>SQRT(I30*(100-I30)/(L30-1))</f>
        <v>1.2064401752225082</v>
      </c>
      <c r="K30" s="18">
        <f>100-I30</f>
        <v>16.770833333333329</v>
      </c>
      <c r="L30" s="1">
        <f>H19</f>
        <v>960</v>
      </c>
      <c r="M30">
        <v>4</v>
      </c>
      <c r="N30" s="1">
        <v>24829.93</v>
      </c>
      <c r="O30" s="17">
        <f>N30/N31*100</f>
        <v>13.602493267897287</v>
      </c>
      <c r="P30" s="52">
        <f>((O30*O30*(I30/100)*(K30/100))/(L30-1))</f>
        <v>2.6930760730048509E-2</v>
      </c>
      <c r="S30" t="s">
        <v>31</v>
      </c>
      <c r="T30" s="57">
        <f>I55</f>
        <v>100</v>
      </c>
      <c r="U30" s="57">
        <f>I56</f>
        <v>94.690265486725664</v>
      </c>
      <c r="V30" s="57">
        <f>I57</f>
        <v>95.296661711042034</v>
      </c>
      <c r="W30" s="57">
        <f>I58</f>
        <v>90.510948905109473</v>
      </c>
      <c r="X30" s="57">
        <f>I59</f>
        <v>82.604166666666671</v>
      </c>
      <c r="AC30" t="s">
        <v>107</v>
      </c>
      <c r="AD30" s="51">
        <f>I427</f>
        <v>0.93425605536332179</v>
      </c>
      <c r="AE30" s="55">
        <f>I438</f>
        <v>0.92751894568711535</v>
      </c>
      <c r="AF30" s="55">
        <f>J438</f>
        <v>2.5690746534126653E-3</v>
      </c>
      <c r="AH30">
        <v>427</v>
      </c>
      <c r="AI30">
        <v>438</v>
      </c>
    </row>
    <row r="31" spans="1:57" x14ac:dyDescent="0.3">
      <c r="B31" t="s">
        <v>28</v>
      </c>
      <c r="C31" s="17">
        <f>SUM(C26:C30)</f>
        <v>1.4182296384536941</v>
      </c>
      <c r="D31" s="17">
        <f>SUM(D26:D30)</f>
        <v>6.1049395158736264</v>
      </c>
      <c r="E31" s="17">
        <f>SUM(E26:E30)</f>
        <v>56.061470702296731</v>
      </c>
      <c r="F31" s="17">
        <f>SUM(F26:F30)</f>
        <v>23.522019639520259</v>
      </c>
      <c r="G31" s="17">
        <f>SUM(G26:G30)</f>
        <v>12.893340503855693</v>
      </c>
      <c r="H31" s="1">
        <f>SUM(H25:H30)</f>
        <v>100</v>
      </c>
      <c r="I31" s="13" t="s">
        <v>24</v>
      </c>
      <c r="J31" s="12" t="s">
        <v>29</v>
      </c>
      <c r="N31" s="1">
        <f>SUM(N26:N30)</f>
        <v>182539.55</v>
      </c>
      <c r="O31" s="17">
        <f>SUM(O26:O30)</f>
        <v>100</v>
      </c>
      <c r="S31" s="66" t="s">
        <v>39</v>
      </c>
      <c r="T31" s="67">
        <f>J55</f>
        <v>0</v>
      </c>
      <c r="U31" s="67">
        <f>J56</f>
        <v>1.2196373633198718</v>
      </c>
      <c r="V31" s="67">
        <f>J57</f>
        <v>0.24614146917738075</v>
      </c>
      <c r="W31" s="67">
        <f>J58</f>
        <v>0.57452417193552885</v>
      </c>
      <c r="X31" s="67">
        <f>J59</f>
        <v>1.2240926566595449</v>
      </c>
      <c r="AC31" t="s">
        <v>108</v>
      </c>
      <c r="AD31" s="51">
        <f>I456</f>
        <v>0.93425605536332179</v>
      </c>
      <c r="AE31" s="55">
        <f>I467</f>
        <v>0.92758199347995007</v>
      </c>
      <c r="AF31" s="55">
        <f>J467</f>
        <v>2.5681820771561248E-3</v>
      </c>
      <c r="AH31">
        <v>456</v>
      </c>
      <c r="AI31">
        <v>467</v>
      </c>
    </row>
    <row r="32" spans="1:57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0</v>
      </c>
      <c r="D32" s="18">
        <f>SQRT(SUM((O26*O26*(D26/O26)*(1-D26/O26))/L26,(O27*O27*(D27/O27)*(1-D27/O27))/L27,(O28*O28*(D28/O28)*(1-D28/O28))/L28,(O29*O29*(D29/O29)*(1-D29/O29))/L29,(O30*O30*(D30/O30)*(1-D30/O30))/L30))</f>
        <v>0.11126943300528735</v>
      </c>
      <c r="E32" s="18">
        <f>SQRT(SUM((O26*O26*(E26/O26)*(1-E26/O26))/L26,(O27*O27*(E27/O27)*(1-E27/O27))/L27,(O28*O28*(E28/O28)*(1-E28/O28))/L28,(O29*O29*(E29/O29)*(1-E29/O29))/L29,(O30*O30*(E30/O30)*(1-E30/O30))/L30))</f>
        <v>0.20653667550910898</v>
      </c>
      <c r="F32" s="18">
        <f>SQRT(SUM((O26*O26*(F26/O26)*(1-F26/O26))/L26,(O27*O27*(F27/O27)*(1-F27/O27))/L27,(O28*O28*(F28/O28)*(1-F28/O28))/L28,(O29*O29*(F29/O29)*(1-F29/O29))/L29,(O30*O30*(F30/O30)*(1-F30/O30))/L30))</f>
        <v>0.20658650607912532</v>
      </c>
      <c r="G32" s="18">
        <f>SQRT(SUM((O26*O26*(G26/O26)*(1-G26/O26))/L26,(O27*O27*(G27/O27)*(1-G27/O27))/L27,(O28*O28*(G28/O28)*(1-G28/O28))/L28,(O29*O29*(G29/O29)*(1-G29/O29))/L29,(O30*O30*(G30/O30)*(1-G30/O30))/L30))</f>
        <v>0.19929839430980675</v>
      </c>
      <c r="H32" s="1"/>
      <c r="I32" s="14">
        <f>(C26+D27+E28+F29+G30)/H31</f>
        <v>0.92723201262463595</v>
      </c>
      <c r="J32" s="53">
        <f>SQRT(SUM(P26:P30))/100</f>
        <v>2.5851022034952525E-3</v>
      </c>
      <c r="M32" s="1"/>
      <c r="N32" s="9"/>
      <c r="S32" s="66" t="s">
        <v>56</v>
      </c>
      <c r="T32" s="67">
        <f>N44*100</f>
        <v>99.807321772639696</v>
      </c>
      <c r="U32" s="67">
        <f>N45*100</f>
        <v>78.292682926829272</v>
      </c>
      <c r="V32" s="67">
        <f>N46*100</f>
        <v>96.219978165938855</v>
      </c>
      <c r="W32" s="67">
        <f>N47*100</f>
        <v>91.017964071856298</v>
      </c>
      <c r="X32" s="67">
        <f>N48*100</f>
        <v>81.416837782340863</v>
      </c>
      <c r="AC32" t="s">
        <v>109</v>
      </c>
      <c r="AD32" s="51">
        <f>I485</f>
        <v>0.93425605536332179</v>
      </c>
      <c r="AE32" s="55">
        <f>I496</f>
        <v>0.92759288286533659</v>
      </c>
      <c r="AF32" s="55">
        <f>J496</f>
        <v>2.566206347659829E-3</v>
      </c>
      <c r="AH32">
        <v>485</v>
      </c>
      <c r="AI32">
        <v>496</v>
      </c>
    </row>
    <row r="33" spans="1:35" x14ac:dyDescent="0.3">
      <c r="B33" s="1" t="s">
        <v>30</v>
      </c>
      <c r="C33" s="17">
        <f>C26/C31*100</f>
        <v>100</v>
      </c>
      <c r="D33" s="17">
        <f>D27/D31*100</f>
        <v>80.772743519540654</v>
      </c>
      <c r="E33" s="17">
        <f>E28/E31*100</f>
        <v>96.247436788463204</v>
      </c>
      <c r="F33" s="17">
        <f>F29/F31*100</f>
        <v>89.681389780627839</v>
      </c>
      <c r="G33" s="17">
        <f>G30/G31*100</f>
        <v>87.806893716758523</v>
      </c>
      <c r="H33" s="1"/>
      <c r="R33" s="16" t="s">
        <v>66</v>
      </c>
      <c r="S33" t="s">
        <v>9</v>
      </c>
      <c r="T33" s="30">
        <f>N55</f>
        <v>2593.06</v>
      </c>
      <c r="U33" s="30">
        <f>N56</f>
        <v>9357.5400000000009</v>
      </c>
      <c r="V33" s="30">
        <f>N57</f>
        <v>103915.73</v>
      </c>
      <c r="W33" s="30">
        <f>N58</f>
        <v>42324.55</v>
      </c>
      <c r="X33" s="30">
        <f>N59</f>
        <v>24348.66</v>
      </c>
      <c r="Z33" t="s">
        <v>36</v>
      </c>
      <c r="AA33" s="1">
        <f>N60</f>
        <v>182539.54</v>
      </c>
      <c r="AC33" t="s">
        <v>110</v>
      </c>
      <c r="AD33" s="51">
        <f>I514</f>
        <v>0.93425605536332179</v>
      </c>
      <c r="AE33" s="55">
        <f>I525</f>
        <v>0.92755321505713539</v>
      </c>
      <c r="AF33" s="55">
        <f>J525</f>
        <v>2.5710592191217053E-3</v>
      </c>
      <c r="AH33">
        <v>514</v>
      </c>
      <c r="AI33">
        <v>525</v>
      </c>
    </row>
    <row r="34" spans="1:35" ht="15.6" x14ac:dyDescent="0.35">
      <c r="B34" s="16" t="s">
        <v>39</v>
      </c>
      <c r="C34" s="18">
        <f>SQRT((C37+C38)/(C31*C31))</f>
        <v>0</v>
      </c>
      <c r="D34" s="18">
        <f>SQRT((D37+D38)/(D31*D31))</f>
        <v>2.2539598263949938</v>
      </c>
      <c r="E34" s="18">
        <f>SQRT((E37+E38)/(E31*E31))</f>
        <v>0.27717501735015543</v>
      </c>
      <c r="F34" s="18">
        <f>SQRT((F37+F38)/(F31*F31))</f>
        <v>0.83639420007062448</v>
      </c>
      <c r="G34" s="18">
        <f>SQRT((G37+G38)/(G31*G31))</f>
        <v>1.7329529739660536</v>
      </c>
      <c r="H34" s="1"/>
      <c r="R34" s="16" t="s">
        <v>323</v>
      </c>
      <c r="S34" t="s">
        <v>68</v>
      </c>
      <c r="T34" s="57">
        <f>$AA33*T26/100</f>
        <v>2609.3199116404153</v>
      </c>
      <c r="U34" s="57">
        <f>$AA33*U26/100</f>
        <v>11116.671119913119</v>
      </c>
      <c r="V34" s="57">
        <f>$AA33*V26/100</f>
        <v>103146.34870532554</v>
      </c>
      <c r="W34" s="57">
        <f>$AA33*W26/100</f>
        <v>42558.522259040044</v>
      </c>
      <c r="X34" s="57">
        <f>$AA33*X26/100</f>
        <v>23108.678004080866</v>
      </c>
      <c r="Z34" t="s">
        <v>36</v>
      </c>
      <c r="AA34" s="25">
        <f>SUM(T34:X34)</f>
        <v>182539.53999999998</v>
      </c>
      <c r="AB34" s="25"/>
      <c r="AC34" t="s">
        <v>111</v>
      </c>
      <c r="AD34" s="51">
        <f>I543</f>
        <v>0.93425605536332179</v>
      </c>
      <c r="AE34" s="55">
        <f>I554</f>
        <v>0.92766968995836907</v>
      </c>
      <c r="AF34" s="55">
        <f>J554</f>
        <v>2.5621065311727991E-3</v>
      </c>
      <c r="AH34">
        <v>543</v>
      </c>
      <c r="AI34">
        <v>554</v>
      </c>
    </row>
    <row r="35" spans="1:35" x14ac:dyDescent="0.3">
      <c r="B35" s="1" t="s">
        <v>37</v>
      </c>
      <c r="C35" s="18">
        <f>100-C33</f>
        <v>0</v>
      </c>
      <c r="D35" s="18">
        <f>100-D33</f>
        <v>19.227256480459346</v>
      </c>
      <c r="E35" s="18">
        <f>100-E33</f>
        <v>3.7525632115367955</v>
      </c>
      <c r="F35" s="18">
        <f>100-F33</f>
        <v>10.318610219372161</v>
      </c>
      <c r="G35" s="18">
        <f>100-G33</f>
        <v>12.193106283241477</v>
      </c>
      <c r="R35" s="66"/>
      <c r="S35" s="66" t="s">
        <v>67</v>
      </c>
      <c r="T35" s="67">
        <f>$AA33*T27/100</f>
        <v>16.256788038111491</v>
      </c>
      <c r="U35" s="67">
        <f>$AA33*U27/100</f>
        <v>210.15446012939447</v>
      </c>
      <c r="V35" s="67">
        <f>$AA33*V27/100</f>
        <v>383.93929409162183</v>
      </c>
      <c r="W35" s="67">
        <f>$AA33*W27/100</f>
        <v>375.78317253967526</v>
      </c>
      <c r="X35" s="67">
        <f>$AA33*X27/100</f>
        <v>365.32126776190643</v>
      </c>
      <c r="AA35" s="1"/>
      <c r="AB35" s="25"/>
      <c r="AC35" s="58" t="s">
        <v>112</v>
      </c>
      <c r="AD35" s="120">
        <f>I572</f>
        <v>0.93425605536332179</v>
      </c>
      <c r="AE35" s="121">
        <f>I583</f>
        <v>0.92743008239078917</v>
      </c>
      <c r="AF35" s="121">
        <f>J583</f>
        <v>2.5753915716668256E-3</v>
      </c>
      <c r="AH35">
        <v>572</v>
      </c>
      <c r="AI35">
        <v>583</v>
      </c>
    </row>
    <row r="36" spans="1:35" ht="15.6" x14ac:dyDescent="0.35">
      <c r="B36" s="1" t="s">
        <v>25</v>
      </c>
      <c r="C36" s="1">
        <f>C20</f>
        <v>259</v>
      </c>
      <c r="D36" s="1">
        <f>D20</f>
        <v>476</v>
      </c>
      <c r="E36" s="1">
        <f>E20</f>
        <v>7241</v>
      </c>
      <c r="F36" s="1">
        <f>F20</f>
        <v>2597</v>
      </c>
      <c r="G36" s="1">
        <f>G20</f>
        <v>987</v>
      </c>
      <c r="R36" t="s">
        <v>72</v>
      </c>
      <c r="S36" t="s">
        <v>28</v>
      </c>
      <c r="T36" s="57">
        <f t="shared" ref="T36:X39" si="4">C89</f>
        <v>1.4399046374956683</v>
      </c>
      <c r="U36" s="57">
        <f t="shared" si="4"/>
        <v>6.2018759403083266</v>
      </c>
      <c r="V36" s="57">
        <f t="shared" si="4"/>
        <v>56.368107517167992</v>
      </c>
      <c r="W36" s="57">
        <f t="shared" si="4"/>
        <v>23.306903239096954</v>
      </c>
      <c r="X36" s="57">
        <f t="shared" si="4"/>
        <v>12.683208665931064</v>
      </c>
      <c r="Y36" s="13"/>
      <c r="Z36" s="74"/>
      <c r="AA36" s="12"/>
      <c r="AC36" t="s">
        <v>113</v>
      </c>
      <c r="AD36" s="51">
        <v>0.93607266435986103</v>
      </c>
      <c r="AE36" s="51">
        <v>0.92960802252191199</v>
      </c>
      <c r="AH36">
        <v>601</v>
      </c>
      <c r="AI36">
        <v>612</v>
      </c>
    </row>
    <row r="37" spans="1:3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131.74307590375264</v>
      </c>
      <c r="E37" s="18">
        <f>(O28*O28*(100-E33)*(100-E33)*(I28)*(100-I28))/((L28-1)*100)</f>
        <v>27.598802948035068</v>
      </c>
      <c r="F37" s="18">
        <f>(O29*O29*(100-F33)*(100-F33)*(I29)*(100-I29))/((L29-1)*100)</f>
        <v>178.17445122834755</v>
      </c>
      <c r="G37" s="18">
        <f>(O30*O30*(100-G33)*(100-G33)*(I30)*(100-I30))/((L30-1)*100)</f>
        <v>400.38457728076946</v>
      </c>
      <c r="S37" s="66" t="s">
        <v>39</v>
      </c>
      <c r="T37" s="67">
        <f t="shared" si="4"/>
        <v>8.8980541276600812E-3</v>
      </c>
      <c r="U37" s="67">
        <f t="shared" si="4"/>
        <v>0.11608318527427586</v>
      </c>
      <c r="V37" s="67">
        <f t="shared" si="4"/>
        <v>0.20811561941447687</v>
      </c>
      <c r="W37" s="67">
        <f t="shared" si="4"/>
        <v>0.20881442961799351</v>
      </c>
      <c r="X37" s="67">
        <f t="shared" si="4"/>
        <v>0.20172961992361024</v>
      </c>
      <c r="AC37" t="s">
        <v>114</v>
      </c>
      <c r="AD37" s="51">
        <v>0.93339100346020698</v>
      </c>
      <c r="AE37" s="51">
        <v>0.92617451366181403</v>
      </c>
      <c r="AH37">
        <v>630</v>
      </c>
      <c r="AI37">
        <v>641</v>
      </c>
    </row>
    <row r="38" spans="1:35" x14ac:dyDescent="0.3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57.602461259793053</v>
      </c>
      <c r="E38" s="18">
        <f>E33*E33*(SUM((H26*E26*(1-E15/H15))/(H15-1),(H27*E27*(1-E16/H16))/(H16-1), (H29*E29*(1-E18/H18))/(H18-1),(H30*E30*(1-E19/H19))/(H19-1)))</f>
        <v>213.85671808090078</v>
      </c>
      <c r="F38" s="18">
        <f>F33*F33*(SUM((H26*F26*(1-F15/H15))/(H15-1),(H27*F27*(1-F16/H16))/(H16-1), (H28*F28*(1-F17/H17))/(H17-1),(H30*F30*(1-F19/H19))/(H19-1)))</f>
        <v>208.87926500933523</v>
      </c>
      <c r="G38" s="18">
        <f>G33*G33*(SUM((H26*G26*(1-G15/H15))/(H15-1),(H27*G27*(1-G16/H16))/(H16-1), (H28*G28*(1-G17/H17))/(H17-1),(H29*G29*(1-G18/H18))/(H18-1)))</f>
        <v>98.849773127961072</v>
      </c>
      <c r="S38" t="s">
        <v>30</v>
      </c>
      <c r="T38" s="57">
        <f t="shared" si="4"/>
        <v>99.381919914649686</v>
      </c>
      <c r="U38" s="57">
        <f t="shared" si="4"/>
        <v>81.261694703102876</v>
      </c>
      <c r="V38" s="57">
        <f t="shared" si="4"/>
        <v>96.051274902587835</v>
      </c>
      <c r="W38" s="57">
        <f t="shared" si="4"/>
        <v>89.696794897445869</v>
      </c>
      <c r="X38" s="57">
        <f t="shared" si="4"/>
        <v>86.697141119761838</v>
      </c>
      <c r="Z38" s="50"/>
      <c r="AA38" s="54"/>
      <c r="AC38" t="s">
        <v>115</v>
      </c>
      <c r="AD38" s="51">
        <v>0.93529411764705805</v>
      </c>
      <c r="AE38" s="51">
        <v>0.92795934686081705</v>
      </c>
      <c r="AH38">
        <v>659</v>
      </c>
      <c r="AI38">
        <v>670</v>
      </c>
    </row>
    <row r="39" spans="1:35" x14ac:dyDescent="0.3">
      <c r="S39" s="66" t="s">
        <v>39</v>
      </c>
      <c r="T39" s="67">
        <f t="shared" si="4"/>
        <v>0.61425985543124517</v>
      </c>
      <c r="U39" s="67">
        <f t="shared" si="4"/>
        <v>2.4099969812275228</v>
      </c>
      <c r="V39" s="67">
        <f t="shared" si="4"/>
        <v>0.28399431285255172</v>
      </c>
      <c r="W39" s="67">
        <f t="shared" si="4"/>
        <v>0.85565811538551395</v>
      </c>
      <c r="X39" s="67">
        <f t="shared" si="4"/>
        <v>1.8994004632735237</v>
      </c>
      <c r="AC39" t="s">
        <v>116</v>
      </c>
      <c r="AD39" s="51">
        <v>0.93737024221453202</v>
      </c>
      <c r="AE39" s="51">
        <v>0.93011919882080596</v>
      </c>
      <c r="AH39">
        <v>688</v>
      </c>
      <c r="AI39">
        <v>699</v>
      </c>
    </row>
    <row r="40" spans="1:35" x14ac:dyDescent="0.3">
      <c r="S40" t="s">
        <v>31</v>
      </c>
      <c r="T40" s="57">
        <f>I84</f>
        <v>100</v>
      </c>
      <c r="U40" s="57">
        <f>I85</f>
        <v>94.100294985250741</v>
      </c>
      <c r="V40" s="57">
        <f>I86</f>
        <v>95.485876469793226</v>
      </c>
      <c r="W40" s="57">
        <f>I87</f>
        <v>90.242028428736077</v>
      </c>
      <c r="X40" s="57">
        <f>I88</f>
        <v>82.395833333333329</v>
      </c>
      <c r="AC40" t="s">
        <v>117</v>
      </c>
      <c r="AD40" s="51">
        <v>0.93382352941176405</v>
      </c>
      <c r="AE40" s="51">
        <v>0.92585629031539596</v>
      </c>
      <c r="AH40">
        <v>717</v>
      </c>
      <c r="AI40">
        <v>728</v>
      </c>
    </row>
    <row r="41" spans="1:35" x14ac:dyDescent="0.3">
      <c r="A41" s="361" t="s">
        <v>405</v>
      </c>
      <c r="B41" s="361"/>
      <c r="C41" s="361"/>
      <c r="D41" s="361"/>
      <c r="E41" s="361"/>
      <c r="F41" s="361"/>
      <c r="G41" s="361"/>
      <c r="H41" s="361"/>
      <c r="I41" s="361"/>
      <c r="J41" s="361"/>
      <c r="K41" s="361"/>
      <c r="L41" s="361" t="s">
        <v>53</v>
      </c>
      <c r="M41" s="361"/>
      <c r="N41" s="361"/>
      <c r="O41" s="361"/>
      <c r="P41" s="361"/>
      <c r="S41" s="66" t="s">
        <v>39</v>
      </c>
      <c r="T41" s="67">
        <f>J84</f>
        <v>0</v>
      </c>
      <c r="U41" s="67">
        <f>J85</f>
        <v>1.2815993870154694</v>
      </c>
      <c r="V41" s="67">
        <f>J86</f>
        <v>0.24137880099764605</v>
      </c>
      <c r="W41" s="67">
        <f>J87</f>
        <v>0.58174217789779681</v>
      </c>
      <c r="X41" s="67">
        <f>J88</f>
        <v>1.2298469188627388</v>
      </c>
      <c r="AC41" t="s">
        <v>118</v>
      </c>
      <c r="AD41" s="51">
        <v>0.93295847750865002</v>
      </c>
      <c r="AE41" s="51">
        <v>0.92426269179573595</v>
      </c>
      <c r="AH41">
        <v>746</v>
      </c>
      <c r="AI41">
        <v>757</v>
      </c>
    </row>
    <row r="42" spans="1:35" x14ac:dyDescent="0.3">
      <c r="A42" t="s">
        <v>320</v>
      </c>
      <c r="B42" t="s">
        <v>21</v>
      </c>
      <c r="I42" s="1" t="s">
        <v>58</v>
      </c>
      <c r="S42" s="66" t="s">
        <v>56</v>
      </c>
      <c r="T42" s="67">
        <f>N73*100</f>
        <v>99.807321772639696</v>
      </c>
      <c r="U42" s="67">
        <f>N74*100</f>
        <v>78.862793572311489</v>
      </c>
      <c r="V42" s="67">
        <f>N75*100</f>
        <v>96.345288422201008</v>
      </c>
      <c r="W42" s="67">
        <f>N76*100</f>
        <v>90.782608695652172</v>
      </c>
      <c r="X42" s="67">
        <f>N77*100</f>
        <v>81.086622245002559</v>
      </c>
      <c r="AC42" t="s">
        <v>119</v>
      </c>
      <c r="AD42" s="51">
        <v>0.93486159169550098</v>
      </c>
      <c r="AE42" s="51">
        <v>0.92733754836714</v>
      </c>
      <c r="AH42">
        <v>775</v>
      </c>
      <c r="AI42">
        <v>786</v>
      </c>
    </row>
    <row r="43" spans="1:3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56</v>
      </c>
      <c r="R43" s="16" t="s">
        <v>66</v>
      </c>
      <c r="S43" t="s">
        <v>9</v>
      </c>
      <c r="T43" s="30">
        <f>N84</f>
        <v>2612.15</v>
      </c>
      <c r="U43" s="30">
        <f>N85</f>
        <v>9776.31</v>
      </c>
      <c r="V43" s="30">
        <f>N86</f>
        <v>103503.36</v>
      </c>
      <c r="W43" s="30">
        <f>N87</f>
        <v>42287.27</v>
      </c>
      <c r="X43" s="30">
        <f>N88</f>
        <v>24360.47</v>
      </c>
      <c r="Z43" t="s">
        <v>36</v>
      </c>
      <c r="AA43" s="1">
        <f>N89</f>
        <v>182539.56</v>
      </c>
      <c r="AC43" t="s">
        <v>120</v>
      </c>
      <c r="AD43" s="51">
        <v>0.93529411764705805</v>
      </c>
      <c r="AE43" s="51">
        <v>0.92802815160991303</v>
      </c>
      <c r="AH43">
        <v>804</v>
      </c>
      <c r="AI43">
        <v>815</v>
      </c>
    </row>
    <row r="44" spans="1:35" ht="15.6" x14ac:dyDescent="0.35">
      <c r="A44" t="s">
        <v>3</v>
      </c>
      <c r="B44" s="13">
        <v>0</v>
      </c>
      <c r="C44" s="26">
        <v>259</v>
      </c>
      <c r="D44" s="3">
        <v>0</v>
      </c>
      <c r="E44" s="3">
        <v>0</v>
      </c>
      <c r="F44" s="3">
        <v>0</v>
      </c>
      <c r="G44" s="4">
        <v>0</v>
      </c>
      <c r="H44" s="1">
        <f>SUM(C44:G44)</f>
        <v>259</v>
      </c>
      <c r="I44" s="10">
        <f>C44/H44</f>
        <v>1</v>
      </c>
      <c r="J44" s="11">
        <f>1-I44</f>
        <v>0</v>
      </c>
      <c r="K44">
        <f>H44-C49</f>
        <v>-1</v>
      </c>
      <c r="N44" s="10">
        <f>2*(C50*I44)/(C50+I44)</f>
        <v>0.9980732177263969</v>
      </c>
      <c r="R44" s="16" t="s">
        <v>323</v>
      </c>
      <c r="S44" t="s">
        <v>68</v>
      </c>
      <c r="T44" s="57">
        <f>$AA43*T36/100</f>
        <v>2628.3955897041883</v>
      </c>
      <c r="U44" s="57">
        <f>$AA43*U36/100</f>
        <v>11320.877053184682</v>
      </c>
      <c r="V44" s="57">
        <f>$AA43*V36/100</f>
        <v>102894.09544216537</v>
      </c>
      <c r="W44" s="57">
        <f>$AA43*W36/100</f>
        <v>42544.318622273327</v>
      </c>
      <c r="X44" s="57">
        <f>$AA43*X36/100</f>
        <v>23151.873292672433</v>
      </c>
      <c r="Z44" t="s">
        <v>36</v>
      </c>
      <c r="AA44" s="25">
        <f>SUM(T44:X44)</f>
        <v>182539.56</v>
      </c>
      <c r="AC44" t="s">
        <v>121</v>
      </c>
      <c r="AD44" s="51">
        <v>0.93581314878892696</v>
      </c>
      <c r="AE44" s="51">
        <v>0.92823592365419605</v>
      </c>
      <c r="AH44">
        <v>833</v>
      </c>
      <c r="AI44">
        <v>844</v>
      </c>
    </row>
    <row r="45" spans="1:35" x14ac:dyDescent="0.3">
      <c r="A45" t="s">
        <v>4</v>
      </c>
      <c r="B45" s="13">
        <v>1</v>
      </c>
      <c r="C45" s="5">
        <v>0</v>
      </c>
      <c r="D45" s="27">
        <v>321</v>
      </c>
      <c r="E45" s="1">
        <v>18</v>
      </c>
      <c r="F45" s="1">
        <v>0</v>
      </c>
      <c r="G45" s="6">
        <v>0</v>
      </c>
      <c r="H45" s="1">
        <f>SUM(C45:G45)</f>
        <v>339</v>
      </c>
      <c r="I45" s="10">
        <f>D45/H45</f>
        <v>0.94690265486725667</v>
      </c>
      <c r="J45" s="11">
        <f>1-I45</f>
        <v>5.3097345132743334E-2</v>
      </c>
      <c r="K45">
        <f>H45-D49</f>
        <v>-142</v>
      </c>
      <c r="N45" s="10">
        <f>2*(D50*I45)/(D50+I45)</f>
        <v>0.78292682926829271</v>
      </c>
      <c r="R45" s="66"/>
      <c r="S45" s="66" t="s">
        <v>67</v>
      </c>
      <c r="T45" s="67">
        <f>$AA43*T37/100</f>
        <v>16.242468853192548</v>
      </c>
      <c r="U45" s="67">
        <f>$AA43*U37/100</f>
        <v>211.89773563364793</v>
      </c>
      <c r="V45" s="67">
        <f>$AA43*V37/100</f>
        <v>379.89333597046067</v>
      </c>
      <c r="W45" s="67">
        <f>$AA43*W37/100</f>
        <v>381.16894104119507</v>
      </c>
      <c r="X45" s="67">
        <f>$AA43*X37/100</f>
        <v>368.23636059823048</v>
      </c>
      <c r="AA45" s="1"/>
      <c r="AC45" t="s">
        <v>122</v>
      </c>
      <c r="AD45" s="51">
        <v>0.93425605536332101</v>
      </c>
      <c r="AE45" s="51">
        <v>0.92675345800850595</v>
      </c>
      <c r="AH45">
        <v>862</v>
      </c>
      <c r="AI45">
        <v>873</v>
      </c>
    </row>
    <row r="46" spans="1:35" x14ac:dyDescent="0.3">
      <c r="A46" t="s">
        <v>5</v>
      </c>
      <c r="B46" s="13">
        <v>2</v>
      </c>
      <c r="C46" s="5">
        <v>0</v>
      </c>
      <c r="D46" s="1">
        <v>156</v>
      </c>
      <c r="E46" s="27">
        <v>7051</v>
      </c>
      <c r="F46" s="1">
        <v>113</v>
      </c>
      <c r="G46" s="6">
        <v>79</v>
      </c>
      <c r="H46" s="1">
        <f>SUM(C46:G46)</f>
        <v>7399</v>
      </c>
      <c r="I46" s="10">
        <f>E46/H46</f>
        <v>0.9529666171104203</v>
      </c>
      <c r="J46" s="11">
        <f>1-I46</f>
        <v>4.70333828895797E-2</v>
      </c>
      <c r="K46">
        <f>H46-E49</f>
        <v>142</v>
      </c>
      <c r="N46" s="10">
        <f>2*(E50*I46)/(E50+I46)</f>
        <v>0.96219978165938858</v>
      </c>
      <c r="R46" t="s">
        <v>73</v>
      </c>
      <c r="S46" t="s">
        <v>28</v>
      </c>
      <c r="T46" s="57">
        <f t="shared" ref="T46:X49" si="5">C118</f>
        <v>1.4464983697277782</v>
      </c>
      <c r="U46" s="57">
        <f t="shared" si="5"/>
        <v>5.7779366571271211</v>
      </c>
      <c r="V46" s="57">
        <f t="shared" si="5"/>
        <v>56.403994464873698</v>
      </c>
      <c r="W46" s="57">
        <f t="shared" si="5"/>
        <v>23.335554552024668</v>
      </c>
      <c r="X46" s="57">
        <f t="shared" si="5"/>
        <v>13.036015956246741</v>
      </c>
      <c r="Y46" s="60"/>
      <c r="Z46" s="74"/>
      <c r="AA46" s="12"/>
      <c r="AC46" t="s">
        <v>135</v>
      </c>
      <c r="AD46" s="51">
        <v>0.93148788927335602</v>
      </c>
      <c r="AE46" s="51">
        <v>0.92483095756844902</v>
      </c>
      <c r="AH46">
        <v>891</v>
      </c>
      <c r="AI46">
        <v>902</v>
      </c>
    </row>
    <row r="47" spans="1:35" x14ac:dyDescent="0.3">
      <c r="A47" t="s">
        <v>6</v>
      </c>
      <c r="B47" s="13">
        <v>3</v>
      </c>
      <c r="C47" s="5">
        <v>1</v>
      </c>
      <c r="D47" s="1">
        <v>4</v>
      </c>
      <c r="E47" s="1">
        <v>126</v>
      </c>
      <c r="F47" s="27">
        <v>2356</v>
      </c>
      <c r="G47" s="6">
        <v>116</v>
      </c>
      <c r="H47" s="1">
        <f>SUM(C47:G47)</f>
        <v>2603</v>
      </c>
      <c r="I47" s="10">
        <f>F47/H47</f>
        <v>0.9051094890510949</v>
      </c>
      <c r="J47" s="11">
        <f>1-I47</f>
        <v>9.4890510948905105E-2</v>
      </c>
      <c r="K47">
        <f>H47-F49</f>
        <v>29</v>
      </c>
      <c r="N47" s="10">
        <f>2*(F50*I47)/(F50+I47)</f>
        <v>0.91017964071856294</v>
      </c>
      <c r="S47" s="66" t="s">
        <v>39</v>
      </c>
      <c r="T47" s="67">
        <f t="shared" si="5"/>
        <v>8.87952461165014E-3</v>
      </c>
      <c r="U47" s="67">
        <f t="shared" si="5"/>
        <v>0.11349116250336867</v>
      </c>
      <c r="V47" s="67">
        <f t="shared" si="5"/>
        <v>0.20917742268226949</v>
      </c>
      <c r="W47" s="67">
        <f t="shared" si="5"/>
        <v>0.20508286684879795</v>
      </c>
      <c r="X47" s="67">
        <f t="shared" si="5"/>
        <v>0.19757794009944843</v>
      </c>
      <c r="AC47" t="s">
        <v>136</v>
      </c>
      <c r="AD47" s="51">
        <v>0.93468858131487798</v>
      </c>
      <c r="AE47" s="51">
        <v>0.92769373273210198</v>
      </c>
      <c r="AH47">
        <v>920</v>
      </c>
      <c r="AI47">
        <v>931</v>
      </c>
    </row>
    <row r="48" spans="1:35" x14ac:dyDescent="0.3">
      <c r="A48" t="s">
        <v>7</v>
      </c>
      <c r="B48" s="13">
        <v>4</v>
      </c>
      <c r="C48" s="7">
        <v>0</v>
      </c>
      <c r="D48" s="8">
        <v>0</v>
      </c>
      <c r="E48" s="8">
        <v>62</v>
      </c>
      <c r="F48" s="8">
        <v>105</v>
      </c>
      <c r="G48" s="28">
        <v>793</v>
      </c>
      <c r="H48" s="1">
        <f>SUM(C48:G48)</f>
        <v>960</v>
      </c>
      <c r="I48" s="10">
        <f>G48/H48</f>
        <v>0.82604166666666667</v>
      </c>
      <c r="J48" s="11">
        <f>1-I48</f>
        <v>0.17395833333333333</v>
      </c>
      <c r="K48">
        <f>H48-G49</f>
        <v>-28</v>
      </c>
      <c r="N48" s="10">
        <f>2*(G50*I48)/(G50+I48)</f>
        <v>0.81416837782340867</v>
      </c>
      <c r="S48" t="s">
        <v>30</v>
      </c>
      <c r="T48" s="57">
        <f t="shared" si="5"/>
        <v>99.386018614195166</v>
      </c>
      <c r="U48" s="57">
        <f t="shared" si="5"/>
        <v>82.140308288274397</v>
      </c>
      <c r="V48" s="57">
        <f t="shared" si="5"/>
        <v>95.990837284087661</v>
      </c>
      <c r="W48" s="57">
        <f t="shared" si="5"/>
        <v>89.970990032958937</v>
      </c>
      <c r="X48" s="57">
        <f t="shared" si="5"/>
        <v>87.762105173718126</v>
      </c>
      <c r="AC48" t="s">
        <v>137</v>
      </c>
      <c r="AD48" s="51">
        <v>0.93745674740484397</v>
      </c>
      <c r="AE48" s="51">
        <v>0.93088135850484499</v>
      </c>
      <c r="AH48">
        <v>949</v>
      </c>
      <c r="AI48">
        <v>960</v>
      </c>
    </row>
    <row r="49" spans="1:35" ht="15.6" x14ac:dyDescent="0.35">
      <c r="B49" s="1" t="s">
        <v>19</v>
      </c>
      <c r="C49" s="1">
        <f>SUM(C44:C48)</f>
        <v>260</v>
      </c>
      <c r="D49" s="1">
        <f>SUM(D44:D48)</f>
        <v>481</v>
      </c>
      <c r="E49" s="1">
        <f>SUM(E44:E48)</f>
        <v>7257</v>
      </c>
      <c r="F49" s="1">
        <f>SUM(F44:F48)</f>
        <v>2574</v>
      </c>
      <c r="G49" s="1">
        <f>SUM(G44:G48)</f>
        <v>988</v>
      </c>
      <c r="H49" s="1">
        <f>SUM(H43:H48)</f>
        <v>11560</v>
      </c>
      <c r="I49" s="13" t="s">
        <v>12</v>
      </c>
      <c r="S49" s="66" t="s">
        <v>39</v>
      </c>
      <c r="T49" s="67">
        <f t="shared" si="5"/>
        <v>0.61021165438368297</v>
      </c>
      <c r="U49" s="67">
        <f t="shared" si="5"/>
        <v>2.5360127203601612</v>
      </c>
      <c r="V49" s="67">
        <f t="shared" si="5"/>
        <v>0.28616216509796311</v>
      </c>
      <c r="W49" s="67">
        <f t="shared" si="5"/>
        <v>0.82906697183471201</v>
      </c>
      <c r="X49" s="67">
        <f t="shared" si="5"/>
        <v>1.699116881860927</v>
      </c>
      <c r="AC49" t="s">
        <v>138</v>
      </c>
      <c r="AD49" s="51">
        <v>0.93269896193771595</v>
      </c>
      <c r="AE49" s="51">
        <v>0.92431398513157803</v>
      </c>
      <c r="AH49">
        <v>978</v>
      </c>
      <c r="AI49">
        <v>989</v>
      </c>
    </row>
    <row r="50" spans="1:35" x14ac:dyDescent="0.3">
      <c r="A50" s="1" t="s">
        <v>321</v>
      </c>
      <c r="B50" s="1" t="s">
        <v>2</v>
      </c>
      <c r="C50" s="10">
        <f>C44/C49</f>
        <v>0.99615384615384617</v>
      </c>
      <c r="D50" s="10">
        <f>D45/D49</f>
        <v>0.66735966735966734</v>
      </c>
      <c r="E50" s="10">
        <f>E46/E49</f>
        <v>0.97161361444122918</v>
      </c>
      <c r="F50" s="10">
        <f>F47/F49</f>
        <v>0.91530691530691533</v>
      </c>
      <c r="G50" s="10">
        <f>G48/G49</f>
        <v>0.80263157894736847</v>
      </c>
      <c r="H50" s="10"/>
      <c r="I50" s="14">
        <f>(C44+D45+E46+F47+G48)/H49</f>
        <v>0.93252595155709339</v>
      </c>
      <c r="S50" s="15" t="s">
        <v>31</v>
      </c>
      <c r="T50" s="71">
        <f>I113</f>
        <v>100</v>
      </c>
      <c r="U50" s="71">
        <f>I114</f>
        <v>92.920353982300895</v>
      </c>
      <c r="V50" s="71">
        <f>I115</f>
        <v>95.472361129882415</v>
      </c>
      <c r="W50" s="71">
        <f>I116</f>
        <v>90.818286592393392</v>
      </c>
      <c r="X50" s="71">
        <f>I117</f>
        <v>83.958333333333329</v>
      </c>
      <c r="AC50" t="s">
        <v>139</v>
      </c>
      <c r="AD50" s="51">
        <v>0.93512110726643505</v>
      </c>
      <c r="AE50" s="51">
        <v>0.92812055126033299</v>
      </c>
      <c r="AH50">
        <v>1007</v>
      </c>
      <c r="AI50">
        <v>1018</v>
      </c>
    </row>
    <row r="51" spans="1:35" x14ac:dyDescent="0.3">
      <c r="B51" s="1" t="s">
        <v>14</v>
      </c>
      <c r="C51" s="11">
        <f>1-C50</f>
        <v>3.8461538461538325E-3</v>
      </c>
      <c r="D51" s="11">
        <f>1-D50</f>
        <v>0.33264033264033266</v>
      </c>
      <c r="E51" s="11">
        <f>1-E50</f>
        <v>2.8386385558770821E-2</v>
      </c>
      <c r="F51" s="11">
        <f>1-F50</f>
        <v>8.4693084693084675E-2</v>
      </c>
      <c r="G51" s="11">
        <f>1-G50</f>
        <v>0.19736842105263153</v>
      </c>
      <c r="S51" s="75" t="s">
        <v>39</v>
      </c>
      <c r="T51" s="76">
        <f>J113</f>
        <v>0</v>
      </c>
      <c r="U51" s="76">
        <f>J114</f>
        <v>1.3950920035343215</v>
      </c>
      <c r="V51" s="76">
        <f>J115</f>
        <v>0.24172276756712022</v>
      </c>
      <c r="W51" s="76">
        <f>J116</f>
        <v>0.56610223871796372</v>
      </c>
      <c r="X51" s="76">
        <f>J117</f>
        <v>1.1850791155605922</v>
      </c>
      <c r="AC51" t="s">
        <v>140</v>
      </c>
      <c r="AD51" s="51">
        <v>0.93633217993079498</v>
      </c>
      <c r="AE51" s="51">
        <v>0.92927482513760895</v>
      </c>
      <c r="AH51">
        <v>1036</v>
      </c>
      <c r="AI51">
        <v>1047</v>
      </c>
    </row>
    <row r="52" spans="1:35" x14ac:dyDescent="0.3">
      <c r="C52" s="2"/>
      <c r="S52" s="66" t="s">
        <v>56</v>
      </c>
      <c r="T52" s="67">
        <f>N102*100</f>
        <v>99.807321772639696</v>
      </c>
      <c r="U52" s="67">
        <f>N103*100</f>
        <v>79.949238578680209</v>
      </c>
      <c r="V52" s="67">
        <f>N104*100</f>
        <v>96.318516498500145</v>
      </c>
      <c r="W52" s="67">
        <f>N105*100</f>
        <v>91.133384734001538</v>
      </c>
      <c r="X52" s="67">
        <f>N106*100</f>
        <v>82.370975983648435</v>
      </c>
      <c r="AC52" t="s">
        <v>141</v>
      </c>
      <c r="AD52" s="51">
        <v>0.93287197231833896</v>
      </c>
      <c r="AE52" s="51">
        <v>0.92554378658059699</v>
      </c>
      <c r="AH52">
        <v>1065</v>
      </c>
      <c r="AI52">
        <v>1076</v>
      </c>
    </row>
    <row r="53" spans="1:35" ht="15.6" x14ac:dyDescent="0.35">
      <c r="A53" t="s">
        <v>322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66</v>
      </c>
      <c r="S53" t="s">
        <v>9</v>
      </c>
      <c r="T53" s="30">
        <f>N113</f>
        <v>2624.22</v>
      </c>
      <c r="U53" s="30">
        <f>N114</f>
        <v>9323.42</v>
      </c>
      <c r="V53" s="30">
        <f>N115</f>
        <v>103518.74</v>
      </c>
      <c r="W53" s="30">
        <f>N116</f>
        <v>42199.21</v>
      </c>
      <c r="X53" s="30">
        <f>N117</f>
        <v>24873.97</v>
      </c>
      <c r="Z53" t="s">
        <v>36</v>
      </c>
      <c r="AA53" s="1">
        <f>N118</f>
        <v>182539.56</v>
      </c>
      <c r="AC53" t="s">
        <v>142</v>
      </c>
      <c r="AD53" s="51">
        <v>0.93460207612456703</v>
      </c>
      <c r="AE53" s="51">
        <v>0.92698965843983705</v>
      </c>
      <c r="AH53">
        <v>1094</v>
      </c>
      <c r="AI53">
        <v>1105</v>
      </c>
    </row>
    <row r="54" spans="1:35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323</v>
      </c>
      <c r="S54" t="s">
        <v>68</v>
      </c>
      <c r="T54" s="57">
        <f>$AA53*T46/100</f>
        <v>2640.4317595082598</v>
      </c>
      <c r="U54" s="57">
        <f>$AA53*U46/100</f>
        <v>10547.020150998556</v>
      </c>
      <c r="V54" s="57">
        <f>$AA53*V46/100</f>
        <v>102959.60331860482</v>
      </c>
      <c r="W54" s="57">
        <f>$AA53*W46/100</f>
        <v>42596.618602825802</v>
      </c>
      <c r="X54" s="57">
        <f>$AA53*X46/100</f>
        <v>23795.886168062592</v>
      </c>
      <c r="Z54" t="s">
        <v>36</v>
      </c>
      <c r="AA54" s="25">
        <f>SUM(T54:X54)</f>
        <v>182539.56000000003</v>
      </c>
      <c r="AC54" t="s">
        <v>143</v>
      </c>
      <c r="AD54" s="51">
        <v>0.93503460207612399</v>
      </c>
      <c r="AE54" s="51">
        <v>0.92741214930351401</v>
      </c>
      <c r="AH54">
        <v>1123</v>
      </c>
      <c r="AI54">
        <v>1134</v>
      </c>
    </row>
    <row r="55" spans="1:35" x14ac:dyDescent="0.3">
      <c r="A55" t="s">
        <v>3</v>
      </c>
      <c r="B55" s="13">
        <v>0</v>
      </c>
      <c r="C55" s="29">
        <f>(C44/$L55)*$O55</f>
        <v>1.420547022305414</v>
      </c>
      <c r="D55" s="31">
        <f>(D44/$L55)*$O55</f>
        <v>0</v>
      </c>
      <c r="E55" s="31">
        <f>(E44/$L55)*$O55</f>
        <v>0</v>
      </c>
      <c r="F55" s="31">
        <f>(F44/$L55)*$O55</f>
        <v>0</v>
      </c>
      <c r="G55" s="32">
        <f>(G44/$L55)*$O55</f>
        <v>0</v>
      </c>
      <c r="H55" s="17">
        <f>SUM(C55:G55)</f>
        <v>1.420547022305414</v>
      </c>
      <c r="I55" s="17">
        <f>C55/H55*100</f>
        <v>100</v>
      </c>
      <c r="J55" s="17">
        <f>SQRT(I55*(100-I55)/(L55-1))</f>
        <v>0</v>
      </c>
      <c r="K55" s="18">
        <f>100-I55</f>
        <v>0</v>
      </c>
      <c r="L55" s="1">
        <f>H44</f>
        <v>259</v>
      </c>
      <c r="M55">
        <v>0</v>
      </c>
      <c r="N55" s="1">
        <v>2593.06</v>
      </c>
      <c r="O55" s="17">
        <f>N55/N60*100</f>
        <v>1.420547022305414</v>
      </c>
      <c r="P55" s="52">
        <f>((O55*O55*(I55/100)*(K55/100))/(L55-1))</f>
        <v>0</v>
      </c>
      <c r="R55" s="66"/>
      <c r="S55" s="66" t="s">
        <v>67</v>
      </c>
      <c r="T55" s="67">
        <f>$AA53*T47/100</f>
        <v>16.208645156197875</v>
      </c>
      <c r="U55" s="67">
        <f>$AA53*U47/100</f>
        <v>207.16626867253416</v>
      </c>
      <c r="V55" s="67">
        <f>$AA53*V47/100</f>
        <v>381.83154698355497</v>
      </c>
      <c r="W55" s="67">
        <f>$AA53*W47/100</f>
        <v>374.35736278118168</v>
      </c>
      <c r="X55" s="67">
        <f>$AA53*X47/100</f>
        <v>360.65790251459674</v>
      </c>
      <c r="AA55" s="1"/>
      <c r="AC55" t="s">
        <v>144</v>
      </c>
      <c r="AD55" s="51">
        <v>0.93468858131487798</v>
      </c>
      <c r="AE55" s="51">
        <v>0.92819459011140004</v>
      </c>
      <c r="AH55">
        <v>1152</v>
      </c>
      <c r="AI55">
        <v>1163</v>
      </c>
    </row>
    <row r="56" spans="1:35" x14ac:dyDescent="0.3">
      <c r="A56" t="s">
        <v>4</v>
      </c>
      <c r="B56" s="13">
        <v>1</v>
      </c>
      <c r="C56" s="33">
        <f t="shared" ref="C56:G59" si="6">(C45/$L56)*$O56</f>
        <v>0</v>
      </c>
      <c r="D56" s="34">
        <f t="shared" si="6"/>
        <v>4.8541151517235939</v>
      </c>
      <c r="E56" s="19">
        <f t="shared" si="6"/>
        <v>0.27219337299384638</v>
      </c>
      <c r="F56" s="18">
        <f t="shared" si="6"/>
        <v>0</v>
      </c>
      <c r="G56" s="20">
        <f t="shared" si="6"/>
        <v>0</v>
      </c>
      <c r="H56" s="17">
        <f>SUM(C56:G56)</f>
        <v>5.12630852471744</v>
      </c>
      <c r="I56" s="17">
        <f>D56/H56*100</f>
        <v>94.690265486725664</v>
      </c>
      <c r="J56" s="17">
        <f>SQRT(I56*(100-I56)/(L56-1))</f>
        <v>1.2196373633198718</v>
      </c>
      <c r="K56" s="18">
        <f>100-I56</f>
        <v>5.3097345132743357</v>
      </c>
      <c r="L56" s="1">
        <f>H45</f>
        <v>339</v>
      </c>
      <c r="M56">
        <v>1</v>
      </c>
      <c r="N56" s="1">
        <v>9357.5400000000009</v>
      </c>
      <c r="O56" s="17">
        <f>N56/N60*100</f>
        <v>5.12630852471744</v>
      </c>
      <c r="P56" s="52">
        <f>((O56*O56*(I56/100)*(K56/100))/(L56-1))</f>
        <v>3.9090472664147372E-3</v>
      </c>
      <c r="R56" t="s">
        <v>76</v>
      </c>
      <c r="S56" t="s">
        <v>28</v>
      </c>
      <c r="T56" s="57">
        <f t="shared" ref="T56:X59" si="7">C147</f>
        <v>1.4440814911573141</v>
      </c>
      <c r="U56" s="57">
        <f t="shared" si="7"/>
        <v>5.9246174979395088</v>
      </c>
      <c r="V56" s="57">
        <f t="shared" si="7"/>
        <v>56.689848336333775</v>
      </c>
      <c r="W56" s="57">
        <f t="shared" si="7"/>
        <v>23.207767349894418</v>
      </c>
      <c r="X56" s="57">
        <f t="shared" si="7"/>
        <v>12.733685324674987</v>
      </c>
      <c r="Y56" s="13"/>
      <c r="Z56" s="74"/>
      <c r="AA56" s="12"/>
      <c r="AC56" t="s">
        <v>145</v>
      </c>
      <c r="AD56" s="51">
        <v>0.93434256055363296</v>
      </c>
      <c r="AE56" s="51">
        <v>0.92709000188708002</v>
      </c>
      <c r="AH56">
        <v>1181</v>
      </c>
      <c r="AI56">
        <v>1192</v>
      </c>
    </row>
    <row r="57" spans="1:35" x14ac:dyDescent="0.3">
      <c r="A57" t="s">
        <v>5</v>
      </c>
      <c r="B57" s="13">
        <v>2</v>
      </c>
      <c r="C57" s="33">
        <f t="shared" si="6"/>
        <v>0</v>
      </c>
      <c r="D57" s="19">
        <f t="shared" si="6"/>
        <v>1.2002616004866171</v>
      </c>
      <c r="E57" s="34">
        <f t="shared" si="6"/>
        <v>54.250285545071392</v>
      </c>
      <c r="F57" s="19">
        <f t="shared" si="6"/>
        <v>0.86942026189094701</v>
      </c>
      <c r="G57" s="20">
        <f t="shared" si="6"/>
        <v>0.60782478486181246</v>
      </c>
      <c r="H57" s="17">
        <f>SUM(C57:G57)</f>
        <v>56.927792192310768</v>
      </c>
      <c r="I57" s="17">
        <f>E57/H57*100</f>
        <v>95.296661711042034</v>
      </c>
      <c r="J57" s="17">
        <f>SQRT(I57*(100-I57)/(L57-1))</f>
        <v>0.24614146917738075</v>
      </c>
      <c r="K57" s="18">
        <f>100-I57</f>
        <v>4.7033382889579656</v>
      </c>
      <c r="L57" s="1">
        <f>H46</f>
        <v>7399</v>
      </c>
      <c r="M57">
        <v>2</v>
      </c>
      <c r="N57" s="1">
        <v>103915.73</v>
      </c>
      <c r="O57" s="17">
        <f>N57/N60*100</f>
        <v>56.927792192310768</v>
      </c>
      <c r="P57" s="52">
        <f>((O57*O57*(I57/100)*(K57/100))/(L57-1))</f>
        <v>1.9634428245683008E-2</v>
      </c>
      <c r="S57" s="66" t="s">
        <v>39</v>
      </c>
      <c r="T57" s="67">
        <f t="shared" si="7"/>
        <v>0</v>
      </c>
      <c r="U57" s="67">
        <f t="shared" si="7"/>
        <v>0.1149037026254615</v>
      </c>
      <c r="V57" s="67">
        <f t="shared" si="7"/>
        <v>0.20779524562133606</v>
      </c>
      <c r="W57" s="67">
        <f t="shared" si="7"/>
        <v>0.20096702022107968</v>
      </c>
      <c r="X57" s="67">
        <f t="shared" si="7"/>
        <v>0.19484127179269431</v>
      </c>
      <c r="AC57" t="s">
        <v>146</v>
      </c>
      <c r="AD57" s="51">
        <v>0.93555363321799301</v>
      </c>
      <c r="AE57" s="51">
        <v>0.92928365563476401</v>
      </c>
      <c r="AH57">
        <v>1210</v>
      </c>
      <c r="AI57">
        <v>1221</v>
      </c>
    </row>
    <row r="58" spans="1:35" x14ac:dyDescent="0.3">
      <c r="A58" t="s">
        <v>6</v>
      </c>
      <c r="B58" s="13">
        <v>3</v>
      </c>
      <c r="C58" s="33">
        <f t="shared" si="6"/>
        <v>8.9076107239094097E-3</v>
      </c>
      <c r="D58" s="19">
        <f t="shared" si="6"/>
        <v>3.5630442895637639E-2</v>
      </c>
      <c r="E58" s="19">
        <f t="shared" si="6"/>
        <v>1.1223589512125856</v>
      </c>
      <c r="F58" s="34">
        <f t="shared" si="6"/>
        <v>20.986330865530565</v>
      </c>
      <c r="G58" s="20">
        <f t="shared" si="6"/>
        <v>1.0332828439734913</v>
      </c>
      <c r="H58" s="17">
        <f>SUM(C58:G58)</f>
        <v>23.18651071433619</v>
      </c>
      <c r="I58" s="17">
        <f>F58/H58*100</f>
        <v>90.510948905109473</v>
      </c>
      <c r="J58" s="17">
        <f>SQRT(I58*(100-I58)/(L58-1))</f>
        <v>0.57452417193552885</v>
      </c>
      <c r="K58" s="18">
        <f>100-I58</f>
        <v>9.4890510948905273</v>
      </c>
      <c r="L58" s="1">
        <f>H47</f>
        <v>2603</v>
      </c>
      <c r="M58">
        <v>3</v>
      </c>
      <c r="N58" s="1">
        <v>42324.55</v>
      </c>
      <c r="O58" s="17">
        <f>N58/N60*100</f>
        <v>23.18651071433619</v>
      </c>
      <c r="P58" s="52">
        <f>((O58*O58*(I58/100)*(K58/100))/(L58-1))</f>
        <v>1.7745465899580287E-2</v>
      </c>
      <c r="S58" t="s">
        <v>30</v>
      </c>
      <c r="T58" s="57">
        <f t="shared" si="7"/>
        <v>100</v>
      </c>
      <c r="U58" s="57">
        <f t="shared" si="7"/>
        <v>80.525954518203321</v>
      </c>
      <c r="V58" s="57">
        <f t="shared" si="7"/>
        <v>96.140889171600023</v>
      </c>
      <c r="W58" s="57">
        <f t="shared" si="7"/>
        <v>90.07299851340278</v>
      </c>
      <c r="X58" s="57">
        <f t="shared" si="7"/>
        <v>88.568205449600669</v>
      </c>
      <c r="AC58" t="s">
        <v>147</v>
      </c>
      <c r="AD58" s="51">
        <v>0.93494809688581304</v>
      </c>
      <c r="AE58" s="51">
        <v>0.92740328957153695</v>
      </c>
      <c r="AH58">
        <v>1239</v>
      </c>
      <c r="AI58">
        <v>1250</v>
      </c>
    </row>
    <row r="59" spans="1:35" x14ac:dyDescent="0.3">
      <c r="A59" t="s">
        <v>7</v>
      </c>
      <c r="B59" s="13">
        <v>4</v>
      </c>
      <c r="C59" s="35">
        <f t="shared" si="6"/>
        <v>0</v>
      </c>
      <c r="D59" s="36">
        <f t="shared" si="6"/>
        <v>0</v>
      </c>
      <c r="E59" s="21">
        <f t="shared" si="6"/>
        <v>0.86146684986715749</v>
      </c>
      <c r="F59" s="21">
        <f t="shared" si="6"/>
        <v>1.4589357941298635</v>
      </c>
      <c r="G59" s="37">
        <f t="shared" si="6"/>
        <v>11.018438902333159</v>
      </c>
      <c r="H59" s="17">
        <f>SUM(C59:G59)</f>
        <v>13.33884154633018</v>
      </c>
      <c r="I59" s="17">
        <f>G59/H59*100</f>
        <v>82.604166666666671</v>
      </c>
      <c r="J59" s="17">
        <f>SQRT(I59*(100-I59)/(L59-1))</f>
        <v>1.2240926566595449</v>
      </c>
      <c r="K59" s="18">
        <f>100-I59</f>
        <v>17.395833333333329</v>
      </c>
      <c r="L59" s="1">
        <f>H48</f>
        <v>960</v>
      </c>
      <c r="M59">
        <v>4</v>
      </c>
      <c r="N59" s="1">
        <v>24348.66</v>
      </c>
      <c r="O59" s="17">
        <f>N59/N60*100</f>
        <v>13.33884154633018</v>
      </c>
      <c r="P59" s="52">
        <f>((O59*O59*(I59/100)*(K59/100))/(L59-1))</f>
        <v>2.6660286508543785E-2</v>
      </c>
      <c r="S59" s="66" t="s">
        <v>39</v>
      </c>
      <c r="T59" s="67">
        <f t="shared" si="7"/>
        <v>0</v>
      </c>
      <c r="U59" s="67">
        <f t="shared" si="7"/>
        <v>2.534719405514775</v>
      </c>
      <c r="V59" s="67">
        <f t="shared" si="7"/>
        <v>0.28013710581825091</v>
      </c>
      <c r="W59" s="67">
        <f t="shared" si="7"/>
        <v>0.81263815037520404</v>
      </c>
      <c r="X59" s="67">
        <f t="shared" si="7"/>
        <v>1.6370510912597258</v>
      </c>
      <c r="AC59" t="s">
        <v>148</v>
      </c>
      <c r="AD59" s="51">
        <v>0.93373702422145299</v>
      </c>
      <c r="AE59" s="51">
        <v>0.92632915174611197</v>
      </c>
      <c r="AH59">
        <v>1268</v>
      </c>
      <c r="AI59">
        <v>1279</v>
      </c>
    </row>
    <row r="60" spans="1:35" x14ac:dyDescent="0.3">
      <c r="B60" t="s">
        <v>28</v>
      </c>
      <c r="C60" s="17">
        <f>SUM(C55:C59)</f>
        <v>1.4294546330293234</v>
      </c>
      <c r="D60" s="17">
        <f>SUM(D55:D59)</f>
        <v>6.0900071951058488</v>
      </c>
      <c r="E60" s="17">
        <f>SUM(E55:E59)</f>
        <v>56.506304719144978</v>
      </c>
      <c r="F60" s="17">
        <f>SUM(F55:F59)</f>
        <v>23.314686921551377</v>
      </c>
      <c r="G60" s="17">
        <f>SUM(G55:G59)</f>
        <v>12.659546531168463</v>
      </c>
      <c r="H60" s="1">
        <f>SUM(H54:H59)</f>
        <v>100</v>
      </c>
      <c r="I60" s="13" t="s">
        <v>24</v>
      </c>
      <c r="J60" s="12" t="s">
        <v>29</v>
      </c>
      <c r="N60" s="1">
        <f>SUM(N55:N59)</f>
        <v>182539.54</v>
      </c>
      <c r="O60" s="17">
        <f>SUM(O55:O59)</f>
        <v>100</v>
      </c>
      <c r="S60" s="15" t="s">
        <v>31</v>
      </c>
      <c r="T60" s="71">
        <f>I142</f>
        <v>100</v>
      </c>
      <c r="U60" s="71">
        <f>I143</f>
        <v>93.805309734513258</v>
      </c>
      <c r="V60" s="71">
        <f>I144</f>
        <v>95.485876469793212</v>
      </c>
      <c r="W60" s="71">
        <f>I145</f>
        <v>91.31771033422973</v>
      </c>
      <c r="X60" s="71">
        <f>I146</f>
        <v>83.541666666666671</v>
      </c>
      <c r="AC60" t="s">
        <v>149</v>
      </c>
      <c r="AD60" s="51">
        <v>0.93460207612456703</v>
      </c>
      <c r="AE60" s="51">
        <v>0.92727255791704</v>
      </c>
      <c r="AH60">
        <v>1297</v>
      </c>
      <c r="AI60">
        <v>1308</v>
      </c>
    </row>
    <row r="61" spans="1:35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8.9058995317461021E-3</v>
      </c>
      <c r="D61" s="18">
        <f>SQRT(SUM((O55*O55*(D55/O55)*(1-D55/O55))/L55,(O56*O56*(D56/O56)*(1-D56/O56))/L56,(O57*O57*(D57/O57)*(1-D57/O57))/L57,(O58*O58*(D58/O58)*(1-D58/O58))/L58,(O59*O59*(D59/O59)*(1-D59/O59))/L59))</f>
        <v>0.11512818544924265</v>
      </c>
      <c r="E61" s="18">
        <f>SQRT(SUM((O55*O55*(E55/O55)*(1-E55/O55))/L55,(O56*O56*(E56/O56)*(1-E56/O56))/L56,(O57*O57*(E57/O57)*(1-E57/O57))/L57,(O58*O58*(E58/O58)*(1-E58/O58))/L58,(O59*O59*(E59/O59)*(1-E59/O59))/L59))</f>
        <v>0.21033212535301765</v>
      </c>
      <c r="F61" s="18">
        <f>SQRT(SUM((O55*O55*(F55/O55)*(1-F55/O55))/L55,(O56*O56*(F56/O56)*(1-F56/O56))/L56,(O57*O57*(F57/O57)*(1-F57/O57))/L57,(O58*O58*(F58/O58)*(1-F58/O58))/L58,(O59*O59*(F59/O59)*(1-F59/O59))/L59))</f>
        <v>0.20586398570943878</v>
      </c>
      <c r="G61" s="18">
        <f>SQRT(SUM((O55*O55*(G55/O55)*(1-G55/O55))/L55,(O56*O56*(G56/O56)*(1-G56/O56))/L56,(O57*O57*(G57/O57)*(1-G57/O57))/L57,(O58*O58*(G58/O58)*(1-G58/O58))/L58,(O59*O59*(G59/O59)*(1-G59/O59))/L59))</f>
        <v>0.20013267687751729</v>
      </c>
      <c r="H61" s="1"/>
      <c r="I61" s="14">
        <f>(C55+D56+E57+F58+G59)/H60</f>
        <v>0.92529717486964114</v>
      </c>
      <c r="J61" s="53">
        <f>SQRT(SUM(P55:P59))/100</f>
        <v>2.6067072701057518E-3</v>
      </c>
      <c r="M61" s="1"/>
      <c r="N61" s="9"/>
      <c r="S61" s="75" t="s">
        <v>39</v>
      </c>
      <c r="T61" s="76">
        <f>J142</f>
        <v>0</v>
      </c>
      <c r="U61" s="76">
        <f>J143</f>
        <v>1.3111885829991998</v>
      </c>
      <c r="V61" s="76">
        <f>J144</f>
        <v>0.24137880099764644</v>
      </c>
      <c r="W61" s="76">
        <f>J145</f>
        <v>0.55200243845356356</v>
      </c>
      <c r="X61" s="76">
        <f>J146</f>
        <v>1.1973887984018774</v>
      </c>
      <c r="AC61" t="s">
        <v>150</v>
      </c>
      <c r="AD61" s="51">
        <v>0.93451557093425597</v>
      </c>
      <c r="AE61" s="51">
        <v>0.92841579343090597</v>
      </c>
      <c r="AH61">
        <v>1326</v>
      </c>
      <c r="AI61">
        <v>1337</v>
      </c>
    </row>
    <row r="62" spans="1:35" x14ac:dyDescent="0.3">
      <c r="B62" s="1" t="s">
        <v>30</v>
      </c>
      <c r="C62" s="17">
        <f>C55/C60*100</f>
        <v>99.376852505977581</v>
      </c>
      <c r="D62" s="17">
        <f>D56/D60*100</f>
        <v>79.706230160524896</v>
      </c>
      <c r="E62" s="17">
        <f>E57/E60*100</f>
        <v>96.007491225471654</v>
      </c>
      <c r="F62" s="17">
        <f>F58/F60*100</f>
        <v>90.013350537988345</v>
      </c>
      <c r="G62" s="17">
        <f>G59/G60*100</f>
        <v>87.036600206849343</v>
      </c>
      <c r="H62" s="1"/>
      <c r="S62" s="66" t="s">
        <v>56</v>
      </c>
      <c r="T62" s="67">
        <f>N131*100</f>
        <v>100</v>
      </c>
      <c r="U62" s="67">
        <f>N132*100</f>
        <v>78.908188585607945</v>
      </c>
      <c r="V62" s="67">
        <f>N133*100</f>
        <v>96.371572773155094</v>
      </c>
      <c r="W62" s="67">
        <f>N134*100</f>
        <v>91.458253174297809</v>
      </c>
      <c r="X62" s="67">
        <f>N135*100</f>
        <v>82.851239669421489</v>
      </c>
      <c r="AC62" t="s">
        <v>151</v>
      </c>
      <c r="AD62" s="51">
        <v>0.93512110726643505</v>
      </c>
      <c r="AE62" s="51">
        <v>0.92808669654558895</v>
      </c>
      <c r="AH62">
        <v>1355</v>
      </c>
      <c r="AI62">
        <v>1366</v>
      </c>
    </row>
    <row r="63" spans="1:35" x14ac:dyDescent="0.3">
      <c r="B63" s="16" t="s">
        <v>39</v>
      </c>
      <c r="C63" s="18">
        <f>SQRT((C66+C67)/(C60*C60))</f>
        <v>0.61926436602934198</v>
      </c>
      <c r="D63" s="18">
        <f>SQRT((D66+D67)/(D60*D60))</f>
        <v>2.4379828167659223</v>
      </c>
      <c r="E63" s="18">
        <f>SQRT((E66+E67)/(E60*E60))</f>
        <v>0.28445986789808653</v>
      </c>
      <c r="F63" s="18">
        <f>SQRT((F66+F67)/(F60*F60))</f>
        <v>0.83257415834673898</v>
      </c>
      <c r="G63" s="18">
        <f>SQRT((G66+G67)/(G60*G60))</f>
        <v>1.8520522352499753</v>
      </c>
      <c r="H63" s="1"/>
      <c r="R63" s="16" t="s">
        <v>66</v>
      </c>
      <c r="S63" t="s">
        <v>9</v>
      </c>
      <c r="T63" s="30">
        <f>N142</f>
        <v>2636.02</v>
      </c>
      <c r="U63" s="30">
        <f>N143</f>
        <v>9283.7999999999993</v>
      </c>
      <c r="V63" s="30">
        <f>N144</f>
        <v>104191.26</v>
      </c>
      <c r="W63" s="30">
        <f>N145</f>
        <v>41785.919999999998</v>
      </c>
      <c r="X63" s="30">
        <f>N146</f>
        <v>24642.560000000001</v>
      </c>
      <c r="Z63" t="s">
        <v>36</v>
      </c>
      <c r="AA63" s="1">
        <f>N147</f>
        <v>182539.56</v>
      </c>
      <c r="AC63" t="s">
        <v>152</v>
      </c>
      <c r="AD63" s="51">
        <v>0.93598615916954997</v>
      </c>
      <c r="AE63" s="51">
        <v>0.92960420840595304</v>
      </c>
      <c r="AH63">
        <v>1384</v>
      </c>
      <c r="AI63">
        <v>1395</v>
      </c>
    </row>
    <row r="64" spans="1:35" ht="15.6" x14ac:dyDescent="0.35">
      <c r="B64" s="1" t="s">
        <v>37</v>
      </c>
      <c r="C64" s="18">
        <f>100-C62</f>
        <v>0.62314749402241887</v>
      </c>
      <c r="D64" s="18">
        <f>100-D62</f>
        <v>20.293769839475104</v>
      </c>
      <c r="E64" s="18">
        <f>100-E62</f>
        <v>3.9925087745283463</v>
      </c>
      <c r="F64" s="18">
        <f>100-F62</f>
        <v>9.9866494620116555</v>
      </c>
      <c r="G64" s="18">
        <f>100-G62</f>
        <v>12.963399793150657</v>
      </c>
      <c r="R64" s="16" t="s">
        <v>323</v>
      </c>
      <c r="S64" t="s">
        <v>68</v>
      </c>
      <c r="T64" s="57">
        <f>$AA63*T56/100</f>
        <v>2636.02</v>
      </c>
      <c r="U64" s="57">
        <f>$AA63*U56/100</f>
        <v>10814.770712421789</v>
      </c>
      <c r="V64" s="57">
        <f>$AA63*V56/100</f>
        <v>103481.39971781099</v>
      </c>
      <c r="W64" s="57">
        <f>$AA63*W56/100</f>
        <v>42363.356406320927</v>
      </c>
      <c r="X64" s="57">
        <f>$AA63*X56/100</f>
        <v>23244.013163446289</v>
      </c>
      <c r="Z64" t="s">
        <v>36</v>
      </c>
      <c r="AA64" s="25">
        <f>SUM(T64:X64)</f>
        <v>182539.56</v>
      </c>
      <c r="AC64" t="s">
        <v>153</v>
      </c>
      <c r="AD64" s="51">
        <v>0.93313148788927303</v>
      </c>
      <c r="AE64" s="51">
        <v>0.92567970695408996</v>
      </c>
      <c r="AH64">
        <v>1413</v>
      </c>
      <c r="AI64">
        <v>1424</v>
      </c>
    </row>
    <row r="65" spans="1:51" ht="15.6" x14ac:dyDescent="0.35">
      <c r="B65" s="1" t="s">
        <v>25</v>
      </c>
      <c r="C65" s="1">
        <f>C49</f>
        <v>260</v>
      </c>
      <c r="D65" s="1">
        <f>D49</f>
        <v>481</v>
      </c>
      <c r="E65" s="1">
        <f>E49</f>
        <v>7257</v>
      </c>
      <c r="F65" s="1">
        <f>F49</f>
        <v>2574</v>
      </c>
      <c r="G65" s="1">
        <f>G49</f>
        <v>988</v>
      </c>
      <c r="R65" s="66"/>
      <c r="S65" s="66" t="s">
        <v>67</v>
      </c>
      <c r="T65" s="67">
        <f>$AA63*T57/100</f>
        <v>0</v>
      </c>
      <c r="U65" s="67">
        <f>$AA63*U57/100</f>
        <v>209.74471319622586</v>
      </c>
      <c r="V65" s="67">
        <f>$AA63*V57/100</f>
        <v>379.30852705810611</v>
      </c>
      <c r="W65" s="67">
        <f>$AA63*W57/100</f>
        <v>366.84431445666991</v>
      </c>
      <c r="X65" s="67">
        <f>$AA63*X57/100</f>
        <v>355.66240022878833</v>
      </c>
      <c r="AA65" s="1"/>
      <c r="AC65" t="s">
        <v>154</v>
      </c>
      <c r="AD65" s="51">
        <v>0.93546712802768095</v>
      </c>
      <c r="AE65" s="51">
        <v>0.92844431006658101</v>
      </c>
      <c r="AH65">
        <v>1442</v>
      </c>
      <c r="AI65">
        <v>1453</v>
      </c>
    </row>
    <row r="66" spans="1:51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160.98906676721799</v>
      </c>
      <c r="E66" s="18">
        <f>(O57*O57*(100-E62)*(100-E62)*(I57)*(100-I57))/((L57-1)*100)</f>
        <v>31.29752663528226</v>
      </c>
      <c r="F66" s="18">
        <f>(O58*O58*(100-F62)*(100-F62)*(I58)*(100-I58))/((L58-1)*100)</f>
        <v>176.98115225219669</v>
      </c>
      <c r="G66" s="18">
        <f>(O59*O59*(100-G62)*(100-G62)*(I59)*(100-I59))/((L59-1)*100)</f>
        <v>448.02540613782071</v>
      </c>
      <c r="R66" t="s">
        <v>98</v>
      </c>
      <c r="S66" t="s">
        <v>28</v>
      </c>
      <c r="T66" s="57">
        <f>C176</f>
        <v>1.4695429884073288</v>
      </c>
      <c r="U66" s="57">
        <f t="shared" ref="U66:X69" si="8">D176</f>
        <v>6.0498414981241888</v>
      </c>
      <c r="V66" s="57">
        <f t="shared" si="8"/>
        <v>56.230013718699361</v>
      </c>
      <c r="W66" s="57">
        <f t="shared" si="8"/>
        <v>23.658944406933031</v>
      </c>
      <c r="X66" s="57">
        <f t="shared" si="8"/>
        <v>12.591657387836092</v>
      </c>
      <c r="Y66" s="13"/>
      <c r="Z66" s="74"/>
      <c r="AA66" s="12"/>
      <c r="AC66" t="s">
        <v>163</v>
      </c>
      <c r="AD66" s="51">
        <v>0.93382352941176405</v>
      </c>
      <c r="AE66" s="51">
        <v>0.92670187815155103</v>
      </c>
      <c r="AH66" s="78"/>
    </row>
    <row r="67" spans="1:51" x14ac:dyDescent="0.3">
      <c r="B67" s="1" t="s">
        <v>35</v>
      </c>
      <c r="C67" s="18">
        <f>C62*C62*(SUM((H56*C56*(1-C45/H45))/(H45-1),(H57*C57*(1-C46/H46))/(H46-1), (H58*C58*(1-C47/H47))/(H47-1),(H59*C59*(1-C48/H48))/(H48-1)))</f>
        <v>0.78359730548365747</v>
      </c>
      <c r="D67" s="18">
        <f>D62*D62*(SUM((H55*D55*(1-D44/H44))/(H44-1),(H57*D57*(1-D46/H46))/(H46-1), (H58*D58*(1-D47/H47))/(H47-1),(H59*D59*(1-D48/H48))/(H48-1)))</f>
        <v>59.454227346999666</v>
      </c>
      <c r="E67" s="18">
        <f>E62*E62*(SUM((H55*E55*(1-E44/H44))/(H44-1),(H56*E56*(1-E45/H45))/(H45-1), (H58*E58*(1-E47/H47))/(H47-1),(H59*E59*(1-E48/H48))/(H48-1)))</f>
        <v>227.06874748546954</v>
      </c>
      <c r="F67" s="18">
        <f>F62*F62*(SUM((H55*F55*(1-F44/H44))/(H44-1),(H56*F56*(1-F45/H45))/(H45-1), (H57*F57*(1-F46/H46))/(H46-1),(H59*F59*(1-F48/H48))/(H48-1)))</f>
        <v>199.8137599428124</v>
      </c>
      <c r="G67" s="18">
        <f>G62*G62*(SUM((H55*G55*(1-G44/H44))/(H44-1),(H56*G56*(1-G45/H45))/(H45-1), (H57*G57*(1-G46/H46))/(H46-1),(H58*G58*(1-G47/H47))/(H47-1)))</f>
        <v>101.6961427697311</v>
      </c>
      <c r="S67" s="66" t="s">
        <v>39</v>
      </c>
      <c r="T67" s="67">
        <f>C177</f>
        <v>1.5462934787380714E-2</v>
      </c>
      <c r="U67" s="67">
        <f t="shared" si="8"/>
        <v>0.11829824618921339</v>
      </c>
      <c r="V67" s="67">
        <f t="shared" si="8"/>
        <v>0.2110312840452595</v>
      </c>
      <c r="W67" s="67">
        <f t="shared" si="8"/>
        <v>0.20558781271936283</v>
      </c>
      <c r="X67" s="67">
        <f t="shared" si="8"/>
        <v>0.19609071388381488</v>
      </c>
      <c r="AC67" t="s">
        <v>164</v>
      </c>
      <c r="AD67" s="51">
        <v>0.93546712802768095</v>
      </c>
      <c r="AE67" s="51">
        <v>0.92830081744132098</v>
      </c>
      <c r="AI67" s="78"/>
    </row>
    <row r="68" spans="1:51" x14ac:dyDescent="0.3">
      <c r="S68" t="s">
        <v>30</v>
      </c>
      <c r="T68" s="57">
        <f>C178</f>
        <v>98.176437441017512</v>
      </c>
      <c r="U68" s="57">
        <f t="shared" si="8"/>
        <v>79.781580842845926</v>
      </c>
      <c r="V68" s="57">
        <f t="shared" si="8"/>
        <v>95.997222458135894</v>
      </c>
      <c r="W68" s="57">
        <f t="shared" si="8"/>
        <v>89.708331567747905</v>
      </c>
      <c r="X68" s="57">
        <f t="shared" si="8"/>
        <v>88.636612698914391</v>
      </c>
      <c r="AC68" t="s">
        <v>165</v>
      </c>
      <c r="AD68" s="51">
        <v>0.93356401384082999</v>
      </c>
      <c r="AE68" s="51">
        <v>0.92706310685384397</v>
      </c>
      <c r="AH68" s="2"/>
      <c r="AI68" s="2"/>
    </row>
    <row r="69" spans="1:51" x14ac:dyDescent="0.3">
      <c r="S69" s="66" t="s">
        <v>39</v>
      </c>
      <c r="T69" s="67">
        <f>C179</f>
        <v>1.0332379187780325</v>
      </c>
      <c r="U69" s="67">
        <f t="shared" si="8"/>
        <v>2.6357299400706418</v>
      </c>
      <c r="V69" s="67">
        <f t="shared" si="8"/>
        <v>0.28701809882368384</v>
      </c>
      <c r="W69" s="67">
        <f t="shared" si="8"/>
        <v>0.82658160767307198</v>
      </c>
      <c r="X69" s="67">
        <f t="shared" si="8"/>
        <v>1.6614211503117744</v>
      </c>
      <c r="AC69" t="s">
        <v>166</v>
      </c>
      <c r="AD69" s="51">
        <v>0.93304498269896197</v>
      </c>
      <c r="AE69" s="51">
        <v>0.92508328689711905</v>
      </c>
    </row>
    <row r="70" spans="1:51" x14ac:dyDescent="0.3">
      <c r="A70" s="361" t="s">
        <v>405</v>
      </c>
      <c r="B70" s="361"/>
      <c r="C70" s="361"/>
      <c r="D70" s="361"/>
      <c r="E70" s="361"/>
      <c r="F70" s="361"/>
      <c r="G70" s="361"/>
      <c r="H70" s="361"/>
      <c r="I70" s="361"/>
      <c r="J70" s="361"/>
      <c r="K70" s="361"/>
      <c r="L70" s="361" t="s">
        <v>61</v>
      </c>
      <c r="M70" s="361"/>
      <c r="N70" s="361"/>
      <c r="O70" s="361"/>
      <c r="P70" s="361"/>
      <c r="S70" s="15" t="s">
        <v>31</v>
      </c>
      <c r="T70" s="71">
        <f>I171</f>
        <v>100</v>
      </c>
      <c r="U70" s="71">
        <f>I172</f>
        <v>93.510324483775818</v>
      </c>
      <c r="V70" s="71">
        <f>I173</f>
        <v>95.229085011488039</v>
      </c>
      <c r="W70" s="71">
        <f>I174</f>
        <v>91.279293123319249</v>
      </c>
      <c r="X70" s="71">
        <f>I175</f>
        <v>82.916666666666657</v>
      </c>
      <c r="AC70" t="s">
        <v>167</v>
      </c>
      <c r="AD70" s="51">
        <v>0.93529411764705805</v>
      </c>
      <c r="AE70" s="51">
        <v>0.92797681354275396</v>
      </c>
      <c r="AH70" s="2"/>
      <c r="AI70" s="2"/>
    </row>
    <row r="71" spans="1:51" x14ac:dyDescent="0.3">
      <c r="A71" t="s">
        <v>320</v>
      </c>
      <c r="B71" t="s">
        <v>21</v>
      </c>
      <c r="I71" s="1" t="s">
        <v>58</v>
      </c>
      <c r="O71" s="143"/>
      <c r="P71" s="143"/>
      <c r="S71" s="75" t="s">
        <v>39</v>
      </c>
      <c r="T71" s="76">
        <f>J171</f>
        <v>0</v>
      </c>
      <c r="U71" s="76">
        <f>J172</f>
        <v>1.3399325065981045</v>
      </c>
      <c r="V71" s="76">
        <f>J173</f>
        <v>0.24781550844628758</v>
      </c>
      <c r="W71" s="76">
        <f>J174</f>
        <v>0.55310595272696317</v>
      </c>
      <c r="X71" s="76">
        <f>J175</f>
        <v>1.2153403620278946</v>
      </c>
      <c r="AC71" t="s">
        <v>168</v>
      </c>
      <c r="AD71" s="51">
        <v>0.93304498269896197</v>
      </c>
      <c r="AE71" s="51">
        <v>0.92597205819891104</v>
      </c>
    </row>
    <row r="72" spans="1:51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56</v>
      </c>
      <c r="O72" s="13"/>
      <c r="P72" s="13"/>
      <c r="S72" s="66" t="s">
        <v>56</v>
      </c>
      <c r="T72" s="67">
        <f>N160*100</f>
        <v>99.424184261036473</v>
      </c>
      <c r="U72" s="67">
        <f>N161*100</f>
        <v>77.791411042944773</v>
      </c>
      <c r="V72" s="67">
        <f>N162*100</f>
        <v>96.197692675267945</v>
      </c>
      <c r="W72" s="67">
        <f>N163*100</f>
        <v>91.244239631336399</v>
      </c>
      <c r="X72" s="67">
        <f>N164*100</f>
        <v>82.615464452516861</v>
      </c>
      <c r="AC72" t="s">
        <v>159</v>
      </c>
      <c r="AD72" s="51">
        <v>0.93330449826989603</v>
      </c>
      <c r="AE72" s="51">
        <v>0.92606704219383995</v>
      </c>
      <c r="AH72" s="2"/>
      <c r="AI72" s="2"/>
    </row>
    <row r="73" spans="1:51" x14ac:dyDescent="0.3">
      <c r="A73" t="s">
        <v>3</v>
      </c>
      <c r="B73" s="13">
        <v>0</v>
      </c>
      <c r="C73" s="26">
        <v>259</v>
      </c>
      <c r="D73" s="3">
        <v>0</v>
      </c>
      <c r="E73" s="3">
        <v>0</v>
      </c>
      <c r="F73" s="3">
        <v>0</v>
      </c>
      <c r="G73" s="4">
        <v>0</v>
      </c>
      <c r="H73" s="1">
        <f>SUM(C73:G73)</f>
        <v>259</v>
      </c>
      <c r="I73" s="10">
        <f>C73/H73</f>
        <v>1</v>
      </c>
      <c r="J73" s="11">
        <f>1-I73</f>
        <v>0</v>
      </c>
      <c r="K73">
        <f>H73-C78</f>
        <v>-1</v>
      </c>
      <c r="N73" s="10">
        <f>2*(C79*I73)/(C79+I73)</f>
        <v>0.9980732177263969</v>
      </c>
      <c r="O73" s="1"/>
      <c r="P73" s="1"/>
      <c r="R73" s="16" t="s">
        <v>66</v>
      </c>
      <c r="S73" t="s">
        <v>9</v>
      </c>
      <c r="T73" s="1">
        <f>N171</f>
        <v>2633.58</v>
      </c>
      <c r="U73" s="1">
        <f>N172</f>
        <v>9422.02</v>
      </c>
      <c r="V73" s="1">
        <f>N173</f>
        <v>103469.94</v>
      </c>
      <c r="W73" s="1">
        <f>N174</f>
        <v>42443.66</v>
      </c>
      <c r="X73" s="1">
        <f>N175</f>
        <v>24570.34</v>
      </c>
      <c r="Z73" t="s">
        <v>36</v>
      </c>
      <c r="AA73" s="1">
        <f>N176</f>
        <v>182539.54</v>
      </c>
      <c r="AC73" t="s">
        <v>169</v>
      </c>
      <c r="AD73" s="51">
        <v>0.93564013840830396</v>
      </c>
      <c r="AE73" s="51">
        <v>0.92835236749539596</v>
      </c>
    </row>
    <row r="74" spans="1:51" ht="15.6" x14ac:dyDescent="0.35">
      <c r="A74" t="s">
        <v>4</v>
      </c>
      <c r="B74" s="13">
        <v>1</v>
      </c>
      <c r="C74" s="5">
        <v>0</v>
      </c>
      <c r="D74" s="27">
        <v>319</v>
      </c>
      <c r="E74" s="1">
        <v>20</v>
      </c>
      <c r="F74" s="1">
        <v>0</v>
      </c>
      <c r="G74" s="6">
        <v>0</v>
      </c>
      <c r="H74" s="1">
        <f>SUM(C74:G74)</f>
        <v>339</v>
      </c>
      <c r="I74" s="10">
        <f>D74/H74</f>
        <v>0.94100294985250732</v>
      </c>
      <c r="J74" s="11">
        <f>1-I74</f>
        <v>5.899705014749268E-2</v>
      </c>
      <c r="K74">
        <f>H74-D78</f>
        <v>-131</v>
      </c>
      <c r="N74" s="10">
        <f>2*(D79*I74)/(D79+I74)</f>
        <v>0.78862793572311496</v>
      </c>
      <c r="O74" s="1"/>
      <c r="P74" s="1"/>
      <c r="R74" s="16" t="s">
        <v>323</v>
      </c>
      <c r="S74" t="s">
        <v>68</v>
      </c>
      <c r="T74" s="57">
        <f>$AA73*T66/100</f>
        <v>2682.4970111409912</v>
      </c>
      <c r="U74" s="57">
        <f>$AA73*U66/100</f>
        <v>11043.352841405002</v>
      </c>
      <c r="V74" s="57">
        <f>$AA73*V66/100</f>
        <v>102642.00838405071</v>
      </c>
      <c r="W74" s="57">
        <f>$AA73*W66/100</f>
        <v>43186.928289271287</v>
      </c>
      <c r="X74" s="57">
        <f>$AA73*X66/100</f>
        <v>22984.75347413202</v>
      </c>
      <c r="Z74" t="s">
        <v>36</v>
      </c>
      <c r="AA74" s="25">
        <f>SUM(T74:X74)</f>
        <v>182539.54</v>
      </c>
      <c r="AC74" t="s">
        <v>170</v>
      </c>
      <c r="AD74" s="51">
        <v>0.935207612456747</v>
      </c>
      <c r="AE74" s="51">
        <v>0.92773471243266503</v>
      </c>
      <c r="AH74" s="2"/>
      <c r="AI74" s="2"/>
    </row>
    <row r="75" spans="1:51" x14ac:dyDescent="0.3">
      <c r="A75" t="s">
        <v>5</v>
      </c>
      <c r="B75" s="13">
        <v>2</v>
      </c>
      <c r="C75" s="5">
        <v>0</v>
      </c>
      <c r="D75" s="1">
        <v>147</v>
      </c>
      <c r="E75" s="27">
        <v>7065</v>
      </c>
      <c r="F75" s="1">
        <v>112</v>
      </c>
      <c r="G75" s="6">
        <v>75</v>
      </c>
      <c r="H75" s="1">
        <f>SUM(C75:G75)</f>
        <v>7399</v>
      </c>
      <c r="I75" s="10">
        <f>E75/H75</f>
        <v>0.95485876469793218</v>
      </c>
      <c r="J75" s="11">
        <f>1-I75</f>
        <v>4.5141235302067817E-2</v>
      </c>
      <c r="K75">
        <f>H75-E78</f>
        <v>132</v>
      </c>
      <c r="N75" s="10">
        <f>2*(E79*I75)/(E79+I75)</f>
        <v>0.96345288422201003</v>
      </c>
      <c r="O75" s="1"/>
      <c r="P75" s="1"/>
      <c r="R75" s="66"/>
      <c r="S75" s="66" t="s">
        <v>67</v>
      </c>
      <c r="T75" s="67">
        <f>$AA73*T67/100</f>
        <v>28.225970031384737</v>
      </c>
      <c r="U75" s="67">
        <f>$AA73*U67/100</f>
        <v>215.94107442185768</v>
      </c>
      <c r="V75" s="67">
        <f>$AA73*V67/100</f>
        <v>385.21553515231011</v>
      </c>
      <c r="W75" s="67">
        <f>$AA73*W67/100</f>
        <v>375.27904763398641</v>
      </c>
      <c r="X75" s="67">
        <f>$AA73*X67/100</f>
        <v>357.94308710623181</v>
      </c>
      <c r="AA75" s="1"/>
      <c r="AC75" t="s">
        <v>171</v>
      </c>
      <c r="AD75" s="51">
        <v>0.93425605536332101</v>
      </c>
      <c r="AE75" s="51">
        <v>0.92611822245293296</v>
      </c>
    </row>
    <row r="76" spans="1:51" x14ac:dyDescent="0.3">
      <c r="A76" t="s">
        <v>6</v>
      </c>
      <c r="B76" s="13">
        <v>3</v>
      </c>
      <c r="C76" s="5">
        <v>1</v>
      </c>
      <c r="D76" s="1">
        <v>4</v>
      </c>
      <c r="E76" s="1">
        <v>124</v>
      </c>
      <c r="F76" s="27">
        <v>2349</v>
      </c>
      <c r="G76" s="6">
        <v>125</v>
      </c>
      <c r="H76" s="1">
        <f>SUM(C76:G76)</f>
        <v>2603</v>
      </c>
      <c r="I76" s="10">
        <f>F76/H76</f>
        <v>0.90242028428736076</v>
      </c>
      <c r="J76" s="11">
        <f>1-I76</f>
        <v>9.7579715712639237E-2</v>
      </c>
      <c r="K76">
        <f>H76-F78</f>
        <v>31</v>
      </c>
      <c r="N76" s="10">
        <f>2*(F79*I76)/(F79+I76)</f>
        <v>0.90782608695652178</v>
      </c>
      <c r="O76" s="1"/>
      <c r="P76" s="1"/>
      <c r="R76" t="s">
        <v>99</v>
      </c>
      <c r="S76" t="s">
        <v>28</v>
      </c>
      <c r="T76" s="57">
        <f>C205</f>
        <v>1.46291318249816</v>
      </c>
      <c r="U76" s="57">
        <f t="shared" ref="U76:X79" si="9">D205</f>
        <v>5.9057654044228114</v>
      </c>
      <c r="V76" s="57">
        <f t="shared" si="9"/>
        <v>56.681419121642875</v>
      </c>
      <c r="W76" s="57">
        <f t="shared" si="9"/>
        <v>22.917495206589344</v>
      </c>
      <c r="X76" s="57">
        <f t="shared" si="9"/>
        <v>13.032407084846803</v>
      </c>
      <c r="AC76" t="s">
        <v>172</v>
      </c>
      <c r="AD76" s="51">
        <v>0.93477508650519003</v>
      </c>
      <c r="AE76" s="51">
        <v>0.92732669648281196</v>
      </c>
      <c r="AH76" s="78"/>
      <c r="AI76" s="78"/>
    </row>
    <row r="77" spans="1:51" x14ac:dyDescent="0.3">
      <c r="A77" t="s">
        <v>7</v>
      </c>
      <c r="B77" s="13">
        <v>4</v>
      </c>
      <c r="C77" s="7">
        <v>0</v>
      </c>
      <c r="D77" s="8">
        <v>0</v>
      </c>
      <c r="E77" s="8">
        <v>58</v>
      </c>
      <c r="F77" s="8">
        <v>111</v>
      </c>
      <c r="G77" s="28">
        <v>791</v>
      </c>
      <c r="H77" s="1">
        <f>SUM(C77:G77)</f>
        <v>960</v>
      </c>
      <c r="I77" s="10">
        <f>G77/H77</f>
        <v>0.82395833333333335</v>
      </c>
      <c r="J77" s="11">
        <f>1-I77</f>
        <v>0.17604166666666665</v>
      </c>
      <c r="K77">
        <f>H77-G78</f>
        <v>-31</v>
      </c>
      <c r="N77" s="10">
        <f>2*(G79*I77)/(G79+I77)</f>
        <v>0.8108662224500256</v>
      </c>
      <c r="O77" s="1"/>
      <c r="P77" s="1"/>
      <c r="S77" s="66" t="s">
        <v>39</v>
      </c>
      <c r="T77" s="67">
        <f>C206</f>
        <v>8.7718325383232404E-3</v>
      </c>
      <c r="U77" s="67">
        <f t="shared" si="9"/>
        <v>0.11572595435860397</v>
      </c>
      <c r="V77" s="67">
        <f t="shared" si="9"/>
        <v>0.2021155030852404</v>
      </c>
      <c r="W77" s="67">
        <f t="shared" si="9"/>
        <v>0.20157975095090458</v>
      </c>
      <c r="X77" s="67">
        <f t="shared" si="9"/>
        <v>0.19138573872791004</v>
      </c>
      <c r="AC77" t="s">
        <v>173</v>
      </c>
      <c r="AD77" s="51">
        <v>0.93399653979238695</v>
      </c>
      <c r="AE77" s="51">
        <v>0.92705669252624201</v>
      </c>
    </row>
    <row r="78" spans="1:51" ht="15.6" x14ac:dyDescent="0.35">
      <c r="B78" s="1" t="s">
        <v>19</v>
      </c>
      <c r="C78" s="1">
        <f>SUM(C73:C77)</f>
        <v>260</v>
      </c>
      <c r="D78" s="1">
        <f>SUM(D73:D77)</f>
        <v>470</v>
      </c>
      <c r="E78" s="1">
        <f>SUM(E73:E77)</f>
        <v>7267</v>
      </c>
      <c r="F78" s="1">
        <f>SUM(F73:F77)</f>
        <v>2572</v>
      </c>
      <c r="G78" s="1">
        <f>SUM(G73:G77)</f>
        <v>991</v>
      </c>
      <c r="H78" s="1">
        <f>SUM(H72:H77)</f>
        <v>11560</v>
      </c>
      <c r="I78" s="13" t="s">
        <v>12</v>
      </c>
      <c r="N78" s="16"/>
      <c r="O78" s="1"/>
      <c r="P78" s="1"/>
      <c r="S78" s="70" t="s">
        <v>30</v>
      </c>
      <c r="T78" s="64">
        <f>C207</f>
        <v>99.400270769610401</v>
      </c>
      <c r="U78" s="64">
        <f t="shared" si="9"/>
        <v>81.130539188537782</v>
      </c>
      <c r="V78" s="64">
        <f t="shared" si="9"/>
        <v>96.386787020150408</v>
      </c>
      <c r="W78" s="64">
        <f t="shared" si="9"/>
        <v>90.309733704433654</v>
      </c>
      <c r="X78" s="64">
        <f t="shared" si="9"/>
        <v>87.721436469077602</v>
      </c>
      <c r="AC78" t="s">
        <v>174</v>
      </c>
      <c r="AD78" s="51">
        <v>0.93442906574394402</v>
      </c>
      <c r="AE78" s="51">
        <v>0.92786127728484102</v>
      </c>
      <c r="AH78" s="78"/>
      <c r="AI78" s="78"/>
    </row>
    <row r="79" spans="1:51" x14ac:dyDescent="0.3">
      <c r="A79" s="1" t="s">
        <v>321</v>
      </c>
      <c r="B79" s="1" t="s">
        <v>2</v>
      </c>
      <c r="C79" s="10">
        <f>C73/C78</f>
        <v>0.99615384615384617</v>
      </c>
      <c r="D79" s="10">
        <f>D74/D78</f>
        <v>0.67872340425531918</v>
      </c>
      <c r="E79" s="10">
        <f>E75/E78</f>
        <v>0.97220310994908488</v>
      </c>
      <c r="F79" s="10">
        <f>F76/F78</f>
        <v>0.91329704510108867</v>
      </c>
      <c r="G79" s="10">
        <f>G77/G78</f>
        <v>0.798183652875883</v>
      </c>
      <c r="H79" s="10"/>
      <c r="I79" s="14">
        <f>(C73+D74+E75+F76+G77)/H78</f>
        <v>0.93278546712802768</v>
      </c>
      <c r="S79" s="66" t="s">
        <v>39</v>
      </c>
      <c r="T79" s="67">
        <f>C208</f>
        <v>0.59613247889177146</v>
      </c>
      <c r="U79" s="67">
        <f t="shared" si="9"/>
        <v>2.5776327925813356</v>
      </c>
      <c r="V79" s="67">
        <f t="shared" si="9"/>
        <v>0.26831976179257011</v>
      </c>
      <c r="W79" s="67">
        <f t="shared" si="9"/>
        <v>0.81939393227404322</v>
      </c>
      <c r="X79" s="67">
        <f t="shared" si="9"/>
        <v>1.6398064521816245</v>
      </c>
      <c r="AC79" t="s">
        <v>175</v>
      </c>
      <c r="AD79" s="51">
        <v>0.93538062283737</v>
      </c>
      <c r="AE79" s="51">
        <v>0.92841457078731304</v>
      </c>
    </row>
    <row r="80" spans="1:51" x14ac:dyDescent="0.3">
      <c r="B80" s="1" t="s">
        <v>14</v>
      </c>
      <c r="C80" s="11">
        <f>1-C79</f>
        <v>3.8461538461538325E-3</v>
      </c>
      <c r="D80" s="11">
        <f>1-D79</f>
        <v>0.32127659574468082</v>
      </c>
      <c r="E80" s="11">
        <f>1-E79</f>
        <v>2.7796890050915124E-2</v>
      </c>
      <c r="F80" s="11">
        <f>1-F79</f>
        <v>8.6702954898911333E-2</v>
      </c>
      <c r="G80" s="11">
        <f>1-G79</f>
        <v>0.201816347124117</v>
      </c>
      <c r="S80" s="70" t="s">
        <v>31</v>
      </c>
      <c r="T80" s="64">
        <f>I200</f>
        <v>100</v>
      </c>
      <c r="U80" s="64">
        <f>I201</f>
        <v>93.21533923303835</v>
      </c>
      <c r="V80" s="64">
        <f>I202</f>
        <v>95.593999189079597</v>
      </c>
      <c r="W80" s="64">
        <f>I203</f>
        <v>90.626200537840944</v>
      </c>
      <c r="X80" s="64">
        <f>I204</f>
        <v>85.208333333333329</v>
      </c>
      <c r="AC80" t="s">
        <v>176</v>
      </c>
      <c r="AD80" s="51">
        <v>0.93373702422145299</v>
      </c>
      <c r="AE80" s="51">
        <v>0.92681585821818802</v>
      </c>
      <c r="AH80" s="78"/>
      <c r="AI80" s="78"/>
      <c r="AJ80" s="361" t="s">
        <v>406</v>
      </c>
      <c r="AK80" s="361"/>
      <c r="AL80" s="361"/>
      <c r="AM80" s="361"/>
      <c r="AN80" s="361"/>
      <c r="AO80" s="361"/>
      <c r="AP80" s="361"/>
      <c r="AQ80" s="361"/>
      <c r="AR80" s="361"/>
      <c r="AS80" s="361"/>
      <c r="AT80" s="361"/>
      <c r="AU80" s="361" t="s">
        <v>374</v>
      </c>
      <c r="AV80" s="361"/>
      <c r="AW80" s="361"/>
      <c r="AX80" s="361"/>
      <c r="AY80" s="361"/>
    </row>
    <row r="81" spans="1:51" x14ac:dyDescent="0.3">
      <c r="C81" s="2"/>
      <c r="S81" s="66" t="s">
        <v>39</v>
      </c>
      <c r="T81" s="67">
        <f>J200</f>
        <v>0</v>
      </c>
      <c r="U81" s="67">
        <f>J201</f>
        <v>1.367884445028503</v>
      </c>
      <c r="V81" s="67">
        <f>J202</f>
        <v>0.23860549344314103</v>
      </c>
      <c r="W81" s="67">
        <f>J203</f>
        <v>0.57138793958359679</v>
      </c>
      <c r="X81" s="67">
        <f>J204</f>
        <v>1.1464108491850493</v>
      </c>
      <c r="AC81" t="s">
        <v>177</v>
      </c>
      <c r="AD81" s="51">
        <v>0.93339100346020698</v>
      </c>
      <c r="AE81" s="51">
        <v>0.92643196612491896</v>
      </c>
      <c r="AJ81" t="s">
        <v>320</v>
      </c>
      <c r="AK81" t="s">
        <v>21</v>
      </c>
      <c r="AR81" s="1" t="s">
        <v>58</v>
      </c>
    </row>
    <row r="82" spans="1:51" ht="15.6" x14ac:dyDescent="0.35">
      <c r="A82" t="s">
        <v>322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56</v>
      </c>
      <c r="T82" s="65">
        <f>N189*100</f>
        <v>99.807321772639696</v>
      </c>
      <c r="U82" s="65">
        <f>N190*100</f>
        <v>79.098873591989985</v>
      </c>
      <c r="V82" s="65">
        <f>N191*100</f>
        <v>96.480698404037639</v>
      </c>
      <c r="W82" s="65">
        <f>N192*100</f>
        <v>91.239605492167868</v>
      </c>
      <c r="X82" s="65">
        <f>N193*100</f>
        <v>83.087861858811593</v>
      </c>
      <c r="Z82" s="46"/>
      <c r="AA82" s="46"/>
      <c r="AC82" t="s">
        <v>178</v>
      </c>
      <c r="AD82" s="51">
        <v>0.93546712802768095</v>
      </c>
      <c r="AE82" s="51">
        <v>0.927315066122815</v>
      </c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56</v>
      </c>
    </row>
    <row r="83" spans="1:51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66</v>
      </c>
      <c r="S83" t="s">
        <v>9</v>
      </c>
      <c r="T83" s="30">
        <f>N200</f>
        <v>2654.38</v>
      </c>
      <c r="U83" s="30">
        <f>N201</f>
        <v>9382.75</v>
      </c>
      <c r="V83" s="30">
        <f>N202</f>
        <v>104324.08</v>
      </c>
      <c r="W83" s="30">
        <f>N203</f>
        <v>41687.410000000003</v>
      </c>
      <c r="X83" s="30">
        <f>N204</f>
        <v>24490.93</v>
      </c>
      <c r="Z83" t="s">
        <v>36</v>
      </c>
      <c r="AA83" s="1">
        <f>N205</f>
        <v>182539.55</v>
      </c>
      <c r="AC83" t="s">
        <v>179</v>
      </c>
      <c r="AD83" s="51">
        <v>0.93287197231833896</v>
      </c>
      <c r="AE83" s="51">
        <v>0.92484988158275305</v>
      </c>
      <c r="AJ83" t="s">
        <v>3</v>
      </c>
      <c r="AK83" s="13">
        <v>0</v>
      </c>
      <c r="AL83" s="26">
        <v>259</v>
      </c>
      <c r="AM83" s="3">
        <v>0</v>
      </c>
      <c r="AN83" s="3">
        <v>0</v>
      </c>
      <c r="AO83" s="3">
        <v>0</v>
      </c>
      <c r="AP83" s="4">
        <v>0</v>
      </c>
      <c r="AQ83" s="1">
        <f>SUM(AL83:AP83)</f>
        <v>259</v>
      </c>
      <c r="AR83" s="10">
        <f>AL83/AQ83</f>
        <v>1</v>
      </c>
      <c r="AS83" s="11">
        <f>1-AR83</f>
        <v>0</v>
      </c>
      <c r="AT83">
        <f>AQ83-AL88</f>
        <v>0</v>
      </c>
      <c r="AW83" s="10">
        <f>2*(AL89*AR83)/(AL89+AR83)</f>
        <v>1</v>
      </c>
    </row>
    <row r="84" spans="1:51" ht="15.6" x14ac:dyDescent="0.35">
      <c r="A84" t="s">
        <v>3</v>
      </c>
      <c r="B84" s="13">
        <v>0</v>
      </c>
      <c r="C84" s="29">
        <f>(C73/$L84)*$O84</f>
        <v>1.4310048736832719</v>
      </c>
      <c r="D84" s="31">
        <f>(D73/$L84)*$O84</f>
        <v>0</v>
      </c>
      <c r="E84" s="31">
        <f>(E73/$L84)*$O84</f>
        <v>0</v>
      </c>
      <c r="F84" s="31">
        <f>(F73/$L84)*$O84</f>
        <v>0</v>
      </c>
      <c r="G84" s="32">
        <f>(G73/$L84)*$O84</f>
        <v>0</v>
      </c>
      <c r="H84" s="17">
        <f>SUM(C84:G84)</f>
        <v>1.4310048736832719</v>
      </c>
      <c r="I84" s="17">
        <f>C84/H84*100</f>
        <v>100</v>
      </c>
      <c r="J84" s="17">
        <f>SQRT(I84*(100-I84)/(L84-1))</f>
        <v>0</v>
      </c>
      <c r="K84" s="18">
        <f>100-I84</f>
        <v>0</v>
      </c>
      <c r="L84" s="1">
        <f>H73</f>
        <v>259</v>
      </c>
      <c r="M84">
        <v>0</v>
      </c>
      <c r="N84" s="1">
        <v>2612.15</v>
      </c>
      <c r="O84" s="17">
        <f>N84/N89*100</f>
        <v>1.4310048736832719</v>
      </c>
      <c r="P84" s="52">
        <f>((O84*O84*(I84/100)*(K84/100))/(L84-1))</f>
        <v>0</v>
      </c>
      <c r="R84" s="16" t="s">
        <v>323</v>
      </c>
      <c r="S84" t="s">
        <v>68</v>
      </c>
      <c r="T84" s="57">
        <f>$AA83*T76/100</f>
        <v>2670.3951402228199</v>
      </c>
      <c r="U84" s="57">
        <f>$AA83*U76/100</f>
        <v>10780.357593289078</v>
      </c>
      <c r="V84" s="57">
        <f>$AA83*V76/100</f>
        <v>103466.00739826084</v>
      </c>
      <c r="W84" s="57">
        <f>$AA83*W76/100</f>
        <v>41833.492621379759</v>
      </c>
      <c r="X84" s="57">
        <f>$AA83*X76/100</f>
        <v>23789.297246847469</v>
      </c>
      <c r="Z84" t="s">
        <v>36</v>
      </c>
      <c r="AA84" s="25">
        <f>SUM(T84:X84)</f>
        <v>182539.55</v>
      </c>
      <c r="AC84" t="s">
        <v>180</v>
      </c>
      <c r="AD84" s="51">
        <v>0.93460207612456703</v>
      </c>
      <c r="AE84" s="51">
        <v>0.92856769126808802</v>
      </c>
      <c r="AH84" s="78"/>
      <c r="AI84" s="78"/>
      <c r="AJ84" t="s">
        <v>4</v>
      </c>
      <c r="AK84" s="13">
        <v>1</v>
      </c>
      <c r="AL84" s="5">
        <v>0</v>
      </c>
      <c r="AM84" s="27">
        <v>316</v>
      </c>
      <c r="AN84" s="1">
        <v>23</v>
      </c>
      <c r="AO84" s="1">
        <v>0</v>
      </c>
      <c r="AP84" s="6">
        <v>0</v>
      </c>
      <c r="AQ84" s="1">
        <f>SUM(AL84:AP84)</f>
        <v>339</v>
      </c>
      <c r="AR84" s="10">
        <f>AM84/AQ84</f>
        <v>0.93215339233038352</v>
      </c>
      <c r="AS84" s="11">
        <f>1-AR84</f>
        <v>6.7846607669616477E-2</v>
      </c>
      <c r="AT84">
        <f>AQ84-AM88</f>
        <v>-116</v>
      </c>
      <c r="AW84" s="10">
        <f>2*(AM89*AR84)/(AM89+AR84)</f>
        <v>0.79596977329974805</v>
      </c>
    </row>
    <row r="85" spans="1:51" x14ac:dyDescent="0.3">
      <c r="A85" t="s">
        <v>4</v>
      </c>
      <c r="B85" s="13">
        <v>1</v>
      </c>
      <c r="C85" s="33">
        <f t="shared" ref="C85:G88" si="10">(C74/$L85)*$O85</f>
        <v>0</v>
      </c>
      <c r="D85" s="34">
        <f t="shared" si="10"/>
        <v>5.0397494924785438</v>
      </c>
      <c r="E85" s="19">
        <f t="shared" si="10"/>
        <v>0.31597175501432873</v>
      </c>
      <c r="F85" s="18">
        <f t="shared" si="10"/>
        <v>0</v>
      </c>
      <c r="G85" s="20">
        <f t="shared" si="10"/>
        <v>0</v>
      </c>
      <c r="H85" s="17">
        <f>SUM(C85:G85)</f>
        <v>5.3557212474928724</v>
      </c>
      <c r="I85" s="17">
        <f>D85/H85*100</f>
        <v>94.100294985250741</v>
      </c>
      <c r="J85" s="17">
        <f>SQRT(I85*(100-I85)/(L85-1))</f>
        <v>1.2815993870154694</v>
      </c>
      <c r="K85" s="18">
        <f>100-I85</f>
        <v>5.8997050147492587</v>
      </c>
      <c r="L85" s="1">
        <f>H74</f>
        <v>339</v>
      </c>
      <c r="M85">
        <v>1</v>
      </c>
      <c r="N85" s="1">
        <v>9776.31</v>
      </c>
      <c r="O85" s="17">
        <f>N85/N89*100</f>
        <v>5.3557212474928724</v>
      </c>
      <c r="P85" s="52">
        <f>((O85*O85*(I85/100)*(K85/100))/(L85-1))</f>
        <v>4.7112973135237188E-3</v>
      </c>
      <c r="R85" s="66"/>
      <c r="S85" s="66" t="s">
        <v>67</v>
      </c>
      <c r="T85" s="67">
        <f>$AA83*T77/100</f>
        <v>16.012063642208819</v>
      </c>
      <c r="U85" s="67">
        <f>$AA83*U77/100</f>
        <v>211.24563631940106</v>
      </c>
      <c r="V85" s="67">
        <f>$AA83*V77/100</f>
        <v>368.94072981203391</v>
      </c>
      <c r="W85" s="67">
        <f>$AA83*W77/100</f>
        <v>367.96277027690195</v>
      </c>
      <c r="X85" s="67">
        <f>$AA83*X77/100</f>
        <v>349.35466623810265</v>
      </c>
      <c r="AA85" s="1"/>
      <c r="AC85" t="s">
        <v>181</v>
      </c>
      <c r="AD85" s="51">
        <v>0.93512110726643505</v>
      </c>
      <c r="AE85" s="51">
        <v>0.92799749355064298</v>
      </c>
      <c r="AJ85" t="s">
        <v>5</v>
      </c>
      <c r="AK85" s="13">
        <v>2</v>
      </c>
      <c r="AL85" s="5">
        <v>0</v>
      </c>
      <c r="AM85" s="1">
        <v>135</v>
      </c>
      <c r="AN85" s="27">
        <v>7072</v>
      </c>
      <c r="AO85" s="1">
        <v>118</v>
      </c>
      <c r="AP85" s="6">
        <v>74</v>
      </c>
      <c r="AQ85" s="1">
        <f>SUM(AL85:AP85)</f>
        <v>7399</v>
      </c>
      <c r="AR85" s="10">
        <f>AN85/AQ85</f>
        <v>0.95580483849168807</v>
      </c>
      <c r="AS85" s="11">
        <f>1-AR85</f>
        <v>4.4195161508311931E-2</v>
      </c>
      <c r="AT85">
        <f>AQ85-AN88</f>
        <v>131</v>
      </c>
      <c r="AW85" s="10">
        <f>2*(AN89*AR85)/(AN89+AR85)</f>
        <v>0.96434171950637493</v>
      </c>
    </row>
    <row r="86" spans="1:51" x14ac:dyDescent="0.3">
      <c r="A86" t="s">
        <v>5</v>
      </c>
      <c r="B86" s="13">
        <v>2</v>
      </c>
      <c r="C86" s="33">
        <f t="shared" si="10"/>
        <v>0</v>
      </c>
      <c r="D86" s="19">
        <f t="shared" si="10"/>
        <v>1.1265273925801971</v>
      </c>
      <c r="E86" s="34">
        <f t="shared" si="10"/>
        <v>54.142285908701304</v>
      </c>
      <c r="F86" s="19">
        <f t="shared" si="10"/>
        <v>0.85830658482300726</v>
      </c>
      <c r="G86" s="20">
        <f t="shared" si="10"/>
        <v>0.57475887376540669</v>
      </c>
      <c r="H86" s="17">
        <f>SUM(C86:G86)</f>
        <v>56.701878759869906</v>
      </c>
      <c r="I86" s="17">
        <f>E86/H86*100</f>
        <v>95.485876469793226</v>
      </c>
      <c r="J86" s="17">
        <f>SQRT(I86*(100-I86)/(L86-1))</f>
        <v>0.24137880099764605</v>
      </c>
      <c r="K86" s="18">
        <f>100-I86</f>
        <v>4.5141235302067741</v>
      </c>
      <c r="L86" s="1">
        <f>H75</f>
        <v>7399</v>
      </c>
      <c r="M86">
        <v>2</v>
      </c>
      <c r="N86" s="1">
        <v>103503.36</v>
      </c>
      <c r="O86" s="17">
        <f>N86/N89*100</f>
        <v>56.701878759869913</v>
      </c>
      <c r="P86" s="52">
        <f>((O86*O86*(I86/100)*(K86/100))/(L86-1))</f>
        <v>1.8732388207331516E-2</v>
      </c>
      <c r="R86" t="s">
        <v>100</v>
      </c>
      <c r="S86" s="70" t="s">
        <v>28</v>
      </c>
      <c r="T86" s="64">
        <f>C234</f>
        <v>1.4500967050702163</v>
      </c>
      <c r="U86" s="64">
        <f t="shared" ref="U86:X89" si="11">D234</f>
        <v>6.0656637345693065</v>
      </c>
      <c r="V86" s="64">
        <f t="shared" si="11"/>
        <v>56.517949949117437</v>
      </c>
      <c r="W86" s="64">
        <f t="shared" si="11"/>
        <v>23.09746928988249</v>
      </c>
      <c r="X86" s="64">
        <f t="shared" si="11"/>
        <v>12.868820321360554</v>
      </c>
      <c r="AA86" s="12"/>
      <c r="AC86" t="s">
        <v>182</v>
      </c>
      <c r="AD86" s="51">
        <v>0.93538062283737</v>
      </c>
      <c r="AE86" s="51">
        <v>0.92824259156614697</v>
      </c>
      <c r="AH86" s="78"/>
      <c r="AI86" s="78"/>
      <c r="AJ86" t="s">
        <v>6</v>
      </c>
      <c r="AK86" s="13">
        <v>3</v>
      </c>
      <c r="AL86" s="5">
        <v>0</v>
      </c>
      <c r="AM86" s="1">
        <v>4</v>
      </c>
      <c r="AN86" s="1">
        <v>121</v>
      </c>
      <c r="AO86" s="27">
        <v>2376</v>
      </c>
      <c r="AP86" s="6">
        <v>102</v>
      </c>
      <c r="AQ86" s="1">
        <f>SUM(AL86:AP86)</f>
        <v>2603</v>
      </c>
      <c r="AR86" s="10">
        <f>AO86/AQ86</f>
        <v>0.91279293123319249</v>
      </c>
      <c r="AS86" s="11">
        <f>1-AR86</f>
        <v>8.7207068766807505E-2</v>
      </c>
      <c r="AT86">
        <f>AQ86-AO88</f>
        <v>5</v>
      </c>
      <c r="AW86" s="10">
        <f>2*(AO89*AR86)/(AO89+AR86)</f>
        <v>0.91367044799077113</v>
      </c>
    </row>
    <row r="87" spans="1:51" x14ac:dyDescent="0.3">
      <c r="A87" t="s">
        <v>6</v>
      </c>
      <c r="B87" s="13">
        <v>3</v>
      </c>
      <c r="C87" s="33">
        <f t="shared" si="10"/>
        <v>8.8997638123963236E-3</v>
      </c>
      <c r="D87" s="19">
        <f t="shared" si="10"/>
        <v>3.5599055249585294E-2</v>
      </c>
      <c r="E87" s="19">
        <f t="shared" si="10"/>
        <v>1.1035707127371441</v>
      </c>
      <c r="F87" s="34">
        <f t="shared" si="10"/>
        <v>20.905545195318965</v>
      </c>
      <c r="G87" s="20">
        <f t="shared" si="10"/>
        <v>1.1124704765495406</v>
      </c>
      <c r="H87" s="17">
        <f>SUM(C87:G87)</f>
        <v>23.166085203667631</v>
      </c>
      <c r="I87" s="17">
        <f>F87/H87*100</f>
        <v>90.242028428736077</v>
      </c>
      <c r="J87" s="17">
        <f>SQRT(I87*(100-I87)/(L87-1))</f>
        <v>0.58174217789779681</v>
      </c>
      <c r="K87" s="18">
        <f>100-I87</f>
        <v>9.7579715712639228</v>
      </c>
      <c r="L87" s="1">
        <f>H76</f>
        <v>2603</v>
      </c>
      <c r="M87">
        <v>3</v>
      </c>
      <c r="N87" s="1">
        <v>42287.27</v>
      </c>
      <c r="O87" s="17">
        <f>N87/N89*100</f>
        <v>23.166085203667631</v>
      </c>
      <c r="P87" s="52">
        <f>((O87*O87*(I87/100)*(K87/100))/(L87-1))</f>
        <v>1.8162114262244327E-2</v>
      </c>
      <c r="S87" s="66" t="s">
        <v>39</v>
      </c>
      <c r="T87" s="67">
        <f>C235</f>
        <v>0</v>
      </c>
      <c r="U87" s="67">
        <f t="shared" si="11"/>
        <v>0.11273405928571237</v>
      </c>
      <c r="V87" s="67">
        <f t="shared" si="11"/>
        <v>0.20586137686061573</v>
      </c>
      <c r="W87" s="67">
        <f t="shared" si="11"/>
        <v>0.20493108404812568</v>
      </c>
      <c r="X87" s="67">
        <f t="shared" si="11"/>
        <v>0.19555521904695258</v>
      </c>
      <c r="AC87" t="s">
        <v>183</v>
      </c>
      <c r="AD87" s="51">
        <v>0.93416955017300995</v>
      </c>
      <c r="AE87" s="51">
        <v>0.92628787366195198</v>
      </c>
      <c r="AJ87" t="s">
        <v>7</v>
      </c>
      <c r="AK87" s="13">
        <v>4</v>
      </c>
      <c r="AL87" s="7">
        <v>0</v>
      </c>
      <c r="AM87" s="8">
        <v>0</v>
      </c>
      <c r="AN87" s="8">
        <v>52</v>
      </c>
      <c r="AO87" s="8">
        <v>104</v>
      </c>
      <c r="AP87" s="28">
        <v>804</v>
      </c>
      <c r="AQ87" s="1">
        <f>SUM(AL87:AP87)</f>
        <v>960</v>
      </c>
      <c r="AR87" s="10">
        <f>AP87/AQ87</f>
        <v>0.83750000000000002</v>
      </c>
      <c r="AS87" s="11">
        <f>1-AR87</f>
        <v>0.16249999999999998</v>
      </c>
      <c r="AT87">
        <f>AQ87-AP88</f>
        <v>-20</v>
      </c>
      <c r="AW87" s="10">
        <f>2*(AP89*AR87)/(AP89+AR87)</f>
        <v>0.82886597938144335</v>
      </c>
    </row>
    <row r="88" spans="1:51" ht="15.6" x14ac:dyDescent="0.35">
      <c r="A88" t="s">
        <v>7</v>
      </c>
      <c r="B88" s="13">
        <v>4</v>
      </c>
      <c r="C88" s="35">
        <f t="shared" si="10"/>
        <v>0</v>
      </c>
      <c r="D88" s="36">
        <f t="shared" si="10"/>
        <v>0</v>
      </c>
      <c r="E88" s="21">
        <f t="shared" si="10"/>
        <v>0.80627914071521467</v>
      </c>
      <c r="F88" s="21">
        <f t="shared" si="10"/>
        <v>1.5430514589549797</v>
      </c>
      <c r="G88" s="37">
        <f t="shared" si="10"/>
        <v>10.995979315616117</v>
      </c>
      <c r="H88" s="17">
        <f>SUM(C88:G88)</f>
        <v>13.345309915286311</v>
      </c>
      <c r="I88" s="17">
        <f>G88/H88*100</f>
        <v>82.395833333333329</v>
      </c>
      <c r="J88" s="17">
        <f>SQRT(I88*(100-I88)/(L88-1))</f>
        <v>1.2298469188627388</v>
      </c>
      <c r="K88" s="18">
        <f>100-I88</f>
        <v>17.604166666666671</v>
      </c>
      <c r="L88" s="1">
        <f>H77</f>
        <v>960</v>
      </c>
      <c r="M88">
        <v>4</v>
      </c>
      <c r="N88" s="1">
        <v>24360.47</v>
      </c>
      <c r="O88" s="17">
        <f>N88/N89*100</f>
        <v>13.345309915286311</v>
      </c>
      <c r="P88" s="52">
        <f>((O88*O88*(I88/100)*(K88/100))/(L88-1))</f>
        <v>2.6937633659559403E-2</v>
      </c>
      <c r="S88" t="s">
        <v>30</v>
      </c>
      <c r="T88" s="57">
        <f>C236</f>
        <v>100</v>
      </c>
      <c r="U88" s="57">
        <f t="shared" si="11"/>
        <v>81.692042030679715</v>
      </c>
      <c r="V88" s="57">
        <f t="shared" si="11"/>
        <v>96.139091280372739</v>
      </c>
      <c r="W88" s="57">
        <f t="shared" si="11"/>
        <v>89.902506901125378</v>
      </c>
      <c r="X88" s="57">
        <f t="shared" si="11"/>
        <v>88.023846869572907</v>
      </c>
      <c r="AC88" t="s">
        <v>184</v>
      </c>
      <c r="AD88" s="51">
        <v>0.93494809688581304</v>
      </c>
      <c r="AE88" s="51">
        <v>0.92716982137014503</v>
      </c>
      <c r="AH88" s="78"/>
      <c r="AI88" s="78"/>
      <c r="AK88" s="1" t="s">
        <v>19</v>
      </c>
      <c r="AL88" s="1">
        <f>SUM(AL83:AL87)</f>
        <v>259</v>
      </c>
      <c r="AM88" s="1">
        <f>SUM(AM83:AM87)</f>
        <v>455</v>
      </c>
      <c r="AN88" s="1">
        <f>SUM(AN83:AN87)</f>
        <v>7268</v>
      </c>
      <c r="AO88" s="1">
        <f>SUM(AO83:AO87)</f>
        <v>2598</v>
      </c>
      <c r="AP88" s="1">
        <f>SUM(AP83:AP87)</f>
        <v>980</v>
      </c>
      <c r="AQ88" s="1">
        <f>SUM(AQ82:AQ87)</f>
        <v>11560</v>
      </c>
      <c r="AR88" s="13" t="s">
        <v>12</v>
      </c>
    </row>
    <row r="89" spans="1:51" x14ac:dyDescent="0.3">
      <c r="B89" t="s">
        <v>28</v>
      </c>
      <c r="C89" s="17">
        <f>SUM(C84:C88)</f>
        <v>1.4399046374956683</v>
      </c>
      <c r="D89" s="17">
        <f>SUM(D84:D88)</f>
        <v>6.2018759403083266</v>
      </c>
      <c r="E89" s="17">
        <f>SUM(E84:E88)</f>
        <v>56.368107517167992</v>
      </c>
      <c r="F89" s="17">
        <f>SUM(F84:F88)</f>
        <v>23.306903239096954</v>
      </c>
      <c r="G89" s="17">
        <f>SUM(G84:G88)</f>
        <v>12.683208665931064</v>
      </c>
      <c r="H89" s="1">
        <f>SUM(H83:H88)</f>
        <v>99.999999999999986</v>
      </c>
      <c r="I89" s="13" t="s">
        <v>24</v>
      </c>
      <c r="J89" s="12" t="s">
        <v>29</v>
      </c>
      <c r="N89" s="1">
        <f>SUM(N84:N88)</f>
        <v>182539.56</v>
      </c>
      <c r="O89" s="17">
        <f>SUM(O84:O88)</f>
        <v>100</v>
      </c>
      <c r="S89" s="66" t="s">
        <v>39</v>
      </c>
      <c r="T89" s="67">
        <f>C237</f>
        <v>0</v>
      </c>
      <c r="U89" s="67">
        <f t="shared" si="11"/>
        <v>2.3355491348217252</v>
      </c>
      <c r="V89" s="67">
        <f t="shared" si="11"/>
        <v>0.27786480583286532</v>
      </c>
      <c r="W89" s="67">
        <f t="shared" si="11"/>
        <v>0.839198350987163</v>
      </c>
      <c r="X89" s="67">
        <f t="shared" si="11"/>
        <v>1.6782572919401988</v>
      </c>
      <c r="AC89" t="s">
        <v>185</v>
      </c>
      <c r="AD89" s="51">
        <v>0.93468858131487798</v>
      </c>
      <c r="AE89" s="51">
        <v>0.927474969879581</v>
      </c>
      <c r="AJ89" s="1" t="s">
        <v>321</v>
      </c>
      <c r="AK89" s="1" t="s">
        <v>2</v>
      </c>
      <c r="AL89" s="10">
        <f>AL83/AL88</f>
        <v>1</v>
      </c>
      <c r="AM89" s="10">
        <f>AM84/AM88</f>
        <v>0.69450549450549448</v>
      </c>
      <c r="AN89" s="10">
        <f>AN85/AN88</f>
        <v>0.97303247110621904</v>
      </c>
      <c r="AO89" s="10">
        <f>AO86/AO88</f>
        <v>0.91454965357967666</v>
      </c>
      <c r="AP89" s="10">
        <f>AP87/AP88</f>
        <v>0.82040816326530608</v>
      </c>
      <c r="AQ89" s="10"/>
      <c r="AR89" s="14">
        <f>(AL83+AM84+AN85+AO86+AP87)/AQ88</f>
        <v>0.93659169550173016</v>
      </c>
    </row>
    <row r="90" spans="1:51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8.8980541276600812E-3</v>
      </c>
      <c r="D90" s="18">
        <f>SQRT(SUM((O84*O84*(D84/O84)*(1-D84/O84))/L84,(O85*O85*(D85/O85)*(1-D85/O85))/L85,(O86*O86*(D86/O86)*(1-D86/O86))/L86,(O87*O87*(D87/O87)*(1-D87/O87))/L87,(O88*O88*(D88/O88)*(1-D88/O88))/L88))</f>
        <v>0.11608318527427586</v>
      </c>
      <c r="E90" s="18">
        <f>SQRT(SUM((O84*O84*(E84/O84)*(1-E84/O84))/L84,(O85*O85*(E85/O85)*(1-E85/O85))/L85,(O86*O86*(E86/O86)*(1-E86/O86))/L86,(O87*O87*(E87/O87)*(1-E87/O87))/L87,(O88*O88*(E88/O88)*(1-E88/O88))/L88))</f>
        <v>0.20811561941447687</v>
      </c>
      <c r="F90" s="18">
        <f>SQRT(SUM((O84*O84*(F84/O84)*(1-F84/O84))/L84,(O85*O85*(F85/O85)*(1-F85/O85))/L85,(O86*O86*(F86/O86)*(1-F86/O86))/L86,(O87*O87*(F87/O87)*(1-F87/O87))/L87,(O88*O88*(F88/O88)*(1-F88/O88))/L88))</f>
        <v>0.20881442961799351</v>
      </c>
      <c r="G90" s="18">
        <f>SQRT(SUM((O84*O84*(G84/O84)*(1-G84/O84))/L84,(O85*O85*(G85/O85)*(1-G85/O85))/L85,(O86*O86*(G86/O86)*(1-G86/O86))/L86,(O87*O87*(G87/O87)*(1-G87/O87))/L87,(O88*O88*(G88/O88)*(1-G88/O88))/L88))</f>
        <v>0.20172961992361024</v>
      </c>
      <c r="H90" s="1"/>
      <c r="I90" s="14">
        <f>(C84+D85+E86+F87+G88)/H89</f>
        <v>0.92514564785798203</v>
      </c>
      <c r="J90" s="53">
        <f>SQRT(SUM(P84:P88))/100</f>
        <v>2.6180800874430667E-3</v>
      </c>
      <c r="M90" s="1"/>
      <c r="N90" s="9"/>
      <c r="S90" t="s">
        <v>31</v>
      </c>
      <c r="T90" s="57">
        <f>I229</f>
        <v>100</v>
      </c>
      <c r="U90" s="57">
        <f>I230</f>
        <v>94.395280235988196</v>
      </c>
      <c r="V90" s="57">
        <f>I231</f>
        <v>95.512907149614819</v>
      </c>
      <c r="W90" s="57">
        <f>I232</f>
        <v>90.664617748751439</v>
      </c>
      <c r="X90" s="57">
        <f>I233</f>
        <v>83.854166666666657</v>
      </c>
      <c r="AC90" t="s">
        <v>186</v>
      </c>
      <c r="AD90" s="51">
        <v>0.93442906574394402</v>
      </c>
      <c r="AE90" s="51">
        <v>0.92701360590779502</v>
      </c>
      <c r="AH90" s="78"/>
      <c r="AI90" s="78"/>
      <c r="AK90" s="1" t="s">
        <v>14</v>
      </c>
      <c r="AL90" s="11">
        <f>1-AL89</f>
        <v>0</v>
      </c>
      <c r="AM90" s="11">
        <f>1-AM89</f>
        <v>0.30549450549450552</v>
      </c>
      <c r="AN90" s="11">
        <f>1-AN89</f>
        <v>2.6967528893780957E-2</v>
      </c>
      <c r="AO90" s="11">
        <f>1-AO89</f>
        <v>8.5450346420323342E-2</v>
      </c>
      <c r="AP90" s="11">
        <f>1-AP89</f>
        <v>0.17959183673469392</v>
      </c>
    </row>
    <row r="91" spans="1:51" x14ac:dyDescent="0.3">
      <c r="B91" s="1" t="s">
        <v>30</v>
      </c>
      <c r="C91" s="17">
        <f>C84/C89*100</f>
        <v>99.381919914649686</v>
      </c>
      <c r="D91" s="17">
        <f>D85/D89*100</f>
        <v>81.261694703102876</v>
      </c>
      <c r="E91" s="17">
        <f>E86/E89*100</f>
        <v>96.051274902587835</v>
      </c>
      <c r="F91" s="17">
        <f>F87/F89*100</f>
        <v>89.696794897445869</v>
      </c>
      <c r="G91" s="17">
        <f>G88/G89*100</f>
        <v>86.697141119761838</v>
      </c>
      <c r="H91" s="1"/>
      <c r="S91" s="66" t="s">
        <v>39</v>
      </c>
      <c r="T91" s="67">
        <f>J229</f>
        <v>0</v>
      </c>
      <c r="U91" s="67">
        <f>J230</f>
        <v>1.251104946865462</v>
      </c>
      <c r="V91" s="67">
        <f>J231</f>
        <v>0.24068908543232215</v>
      </c>
      <c r="W91" s="67">
        <f>J232</f>
        <v>0.57033670737568876</v>
      </c>
      <c r="X91" s="67">
        <f>J233</f>
        <v>1.1881827763506005</v>
      </c>
      <c r="AC91" t="s">
        <v>187</v>
      </c>
      <c r="AD91" s="51">
        <v>0.93529411764705805</v>
      </c>
      <c r="AE91" s="51">
        <v>0.92826199570701595</v>
      </c>
      <c r="AL91" s="2"/>
    </row>
    <row r="92" spans="1:51" ht="15.6" x14ac:dyDescent="0.35">
      <c r="B92" s="16" t="s">
        <v>39</v>
      </c>
      <c r="C92" s="18">
        <f>SQRT((C95+C96)/(C89*C89))</f>
        <v>0.61425985543124517</v>
      </c>
      <c r="D92" s="18">
        <f>SQRT((D95+D96)/(D89*D89))</f>
        <v>2.4099969812275228</v>
      </c>
      <c r="E92" s="18">
        <f>SQRT((E95+E96)/(E89*E89))</f>
        <v>0.28399431285255172</v>
      </c>
      <c r="F92" s="18">
        <f>SQRT((F95+F96)/(F89*F89))</f>
        <v>0.85565811538551395</v>
      </c>
      <c r="G92" s="18">
        <f>SQRT((G95+G96)/(G89*G89))</f>
        <v>1.8994004632735237</v>
      </c>
      <c r="H92" s="1"/>
      <c r="S92" s="66" t="s">
        <v>56</v>
      </c>
      <c r="T92" s="67">
        <f>N218*100</f>
        <v>100</v>
      </c>
      <c r="U92" s="67">
        <f>N219*100</f>
        <v>79.7011207970112</v>
      </c>
      <c r="V92" s="67">
        <f>N220*100</f>
        <v>96.352852955211659</v>
      </c>
      <c r="W92" s="67">
        <f>N221*100</f>
        <v>91.119691119691112</v>
      </c>
      <c r="X92" s="67">
        <f>N222*100</f>
        <v>82.564102564102555</v>
      </c>
      <c r="AC92" t="s">
        <v>188</v>
      </c>
      <c r="AD92" s="51">
        <v>0.93529411764705805</v>
      </c>
      <c r="AE92" s="51">
        <v>0.92802853683422204</v>
      </c>
      <c r="AH92" s="78"/>
      <c r="AI92" s="78"/>
      <c r="AJ92" t="s">
        <v>322</v>
      </c>
      <c r="AK92" s="15" t="s">
        <v>23</v>
      </c>
      <c r="AW92" s="12" t="s">
        <v>17</v>
      </c>
      <c r="AX92" s="1" t="s">
        <v>27</v>
      </c>
      <c r="AY92" s="1" t="s">
        <v>33</v>
      </c>
    </row>
    <row r="93" spans="1:51" ht="15.6" x14ac:dyDescent="0.35">
      <c r="B93" s="1" t="s">
        <v>37</v>
      </c>
      <c r="C93" s="18">
        <f>100-C91</f>
        <v>0.61808008535031433</v>
      </c>
      <c r="D93" s="18">
        <f>100-D91</f>
        <v>18.738305296897124</v>
      </c>
      <c r="E93" s="18">
        <f>100-E91</f>
        <v>3.948725097412165</v>
      </c>
      <c r="F93" s="18">
        <f>100-F91</f>
        <v>10.303205102554131</v>
      </c>
      <c r="G93" s="18">
        <f>100-G91</f>
        <v>13.302858880238162</v>
      </c>
      <c r="R93" s="16" t="s">
        <v>66</v>
      </c>
      <c r="S93" t="s">
        <v>9</v>
      </c>
      <c r="T93" s="30">
        <f>N229</f>
        <v>2647</v>
      </c>
      <c r="U93" s="30">
        <f>N230</f>
        <v>9582.19</v>
      </c>
      <c r="V93" s="30">
        <f>N231</f>
        <v>103843.98</v>
      </c>
      <c r="W93" s="30">
        <f>N232</f>
        <v>41807.61</v>
      </c>
      <c r="X93" s="30">
        <f>N233</f>
        <v>24658.77</v>
      </c>
      <c r="Z93" t="s">
        <v>36</v>
      </c>
      <c r="AA93" s="1">
        <f>N234</f>
        <v>182539.55</v>
      </c>
      <c r="AC93" t="s">
        <v>189</v>
      </c>
      <c r="AD93" s="51">
        <v>0.93494809688581304</v>
      </c>
      <c r="AE93" s="51">
        <v>0.92739512119159795</v>
      </c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</row>
    <row r="94" spans="1:51" ht="15.6" x14ac:dyDescent="0.35">
      <c r="B94" s="1" t="s">
        <v>25</v>
      </c>
      <c r="C94" s="1">
        <f>C78</f>
        <v>260</v>
      </c>
      <c r="D94" s="1">
        <f>D78</f>
        <v>470</v>
      </c>
      <c r="E94" s="1">
        <f>E78</f>
        <v>7267</v>
      </c>
      <c r="F94" s="1">
        <f>F78</f>
        <v>2572</v>
      </c>
      <c r="G94" s="1">
        <f>G78</f>
        <v>991</v>
      </c>
      <c r="R94" s="16" t="s">
        <v>323</v>
      </c>
      <c r="S94" t="s">
        <v>68</v>
      </c>
      <c r="T94" s="57">
        <f>$AA93*T86/100</f>
        <v>2647</v>
      </c>
      <c r="U94" s="57">
        <f>$AA93*U86/100</f>
        <v>11072.235285596007</v>
      </c>
      <c r="V94" s="57">
        <f>$AA93*V86/100</f>
        <v>103167.6115063442</v>
      </c>
      <c r="W94" s="57">
        <f>$AA93*W86/100</f>
        <v>42162.01650313969</v>
      </c>
      <c r="X94" s="57">
        <f>$AA93*X86/100</f>
        <v>23490.686704920106</v>
      </c>
      <c r="Z94" t="s">
        <v>36</v>
      </c>
      <c r="AA94" s="25">
        <f>SUM(T94:X94)</f>
        <v>182539.55000000002</v>
      </c>
      <c r="AC94" t="s">
        <v>190</v>
      </c>
      <c r="AD94" s="51">
        <v>0.93321799307958397</v>
      </c>
      <c r="AE94" s="51">
        <v>0.92627057784931999</v>
      </c>
      <c r="AH94" s="78"/>
      <c r="AI94" s="78"/>
      <c r="AJ94" t="s">
        <v>3</v>
      </c>
      <c r="AK94" s="13">
        <v>0</v>
      </c>
      <c r="AL94" s="29">
        <f>(AL83/$AU94)*$AX94</f>
        <v>1.439934444895123</v>
      </c>
      <c r="AM94" s="31">
        <f t="shared" ref="AM94:AO95" si="12">(AM83/$AU94)*$AX94</f>
        <v>0</v>
      </c>
      <c r="AN94" s="31">
        <f t="shared" si="12"/>
        <v>0</v>
      </c>
      <c r="AO94" s="31">
        <f t="shared" si="12"/>
        <v>0</v>
      </c>
      <c r="AP94" s="32">
        <f>(AP83/$AU94)*$AX94</f>
        <v>0</v>
      </c>
      <c r="AQ94" s="17">
        <f>SUM(AL94:AP94)</f>
        <v>1.439934444895123</v>
      </c>
      <c r="AR94" s="17">
        <f>AL94/AQ94*100</f>
        <v>100</v>
      </c>
      <c r="AS94" s="17">
        <f>SQRT(AR94*(100-AR94)/(AU94-1))</f>
        <v>0</v>
      </c>
      <c r="AT94" s="18">
        <f>100-AR94</f>
        <v>0</v>
      </c>
      <c r="AU94" s="1">
        <f>AQ83</f>
        <v>259</v>
      </c>
      <c r="AV94">
        <v>0</v>
      </c>
      <c r="AW94" s="1">
        <v>2628.45</v>
      </c>
      <c r="AX94" s="17">
        <f>AW94/AW99*100</f>
        <v>1.439934444895123</v>
      </c>
      <c r="AY94" s="52">
        <f>((AX94*AX94*(AR94/100)*(AT94/100))/(AU94-1))</f>
        <v>0</v>
      </c>
    </row>
    <row r="95" spans="1:51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165.42499602571868</v>
      </c>
      <c r="E95" s="18">
        <f>(O86*O86*(100-E91)*(100-E91)*(I86)*(100-I86))/((L86-1)*100)</f>
        <v>29.208344988748095</v>
      </c>
      <c r="F95" s="18">
        <f>(O87*O87*(100-F91)*(100-F91)*(I87)*(100-I87))/((L87-1)*100)</f>
        <v>192.80180442946252</v>
      </c>
      <c r="G95" s="18">
        <f>(O88*O88*(100-G91)*(100-G91)*(I88)*(100-I88))/((L88-1)*100)</f>
        <v>476.7046743268985</v>
      </c>
      <c r="R95" s="66"/>
      <c r="S95" s="66" t="s">
        <v>67</v>
      </c>
      <c r="T95" s="67">
        <f>$AA93*T87/100</f>
        <v>0</v>
      </c>
      <c r="U95" s="67">
        <f>$AA93*U87/100</f>
        <v>205.78424451687258</v>
      </c>
      <c r="V95" s="67">
        <f>$AA93*V87/100</f>
        <v>375.77843094517209</v>
      </c>
      <c r="W95" s="67">
        <f>$AA93*W87/100</f>
        <v>374.08027863157042</v>
      </c>
      <c r="X95" s="67">
        <f>$AA93*X87/100</f>
        <v>356.96561684982152</v>
      </c>
      <c r="AA95" s="1"/>
      <c r="AC95" t="s">
        <v>191</v>
      </c>
      <c r="AD95" s="51">
        <v>0.93365051903114105</v>
      </c>
      <c r="AE95" s="51">
        <v>0.92698905813958399</v>
      </c>
      <c r="AJ95" t="s">
        <v>4</v>
      </c>
      <c r="AK95" s="13">
        <v>1</v>
      </c>
      <c r="AL95" s="33">
        <f t="shared" ref="AL95:AO98" si="13">(AL84/$AU95)*$AX95</f>
        <v>0</v>
      </c>
      <c r="AM95" s="34">
        <f>(AM84/$AU95)*$AX95</f>
        <v>4.7728523706390868</v>
      </c>
      <c r="AN95" s="19">
        <f t="shared" si="12"/>
        <v>0.34739115355917405</v>
      </c>
      <c r="AO95" s="18">
        <f t="shared" si="12"/>
        <v>0</v>
      </c>
      <c r="AP95" s="20">
        <f>(AP84/$AU95)*$AX95</f>
        <v>0</v>
      </c>
      <c r="AQ95" s="17">
        <f>SUM(AL95:AP95)</f>
        <v>5.1202435241982611</v>
      </c>
      <c r="AR95" s="17">
        <f>AM95/AQ95*100</f>
        <v>93.215339233038335</v>
      </c>
      <c r="AS95" s="17">
        <f>SQRT(AR95*(100-AR95)/(AU95-1))</f>
        <v>1.3678844450285044</v>
      </c>
      <c r="AT95" s="18">
        <f>100-AR95</f>
        <v>6.7846607669616645</v>
      </c>
      <c r="AU95" s="1">
        <f>AQ84</f>
        <v>339</v>
      </c>
      <c r="AV95">
        <v>1</v>
      </c>
      <c r="AW95" s="1">
        <v>9346.4699999999993</v>
      </c>
      <c r="AX95" s="17">
        <f>AW95/AW99*100</f>
        <v>5.1202435241982611</v>
      </c>
      <c r="AY95" s="52">
        <f>((AX95*AX95*(AR95/100)*(AT95/100))/(AU95-1))</f>
        <v>4.9054635822602189E-3</v>
      </c>
    </row>
    <row r="96" spans="1:51" x14ac:dyDescent="0.3">
      <c r="B96" s="1" t="s">
        <v>35</v>
      </c>
      <c r="C96" s="18">
        <f>C91*C91*(SUM((H85*C85*(1-C74/H74))/(H74-1),(H86*C86*(1-C75/H75))/(H75-1), (H87*C87*(1-C76/H76))/(H76-1),(H88*C88*(1-C77/H77))/(H77-1)))</f>
        <v>0.78229711257946932</v>
      </c>
      <c r="D96" s="18">
        <f>D91*D91*(SUM((H84*D84*(1-D73/H73))/(H73-1),(H86*D86*(1-D75/H75))/(H75-1), (H87*D87*(1-D76/H76))/(H76-1),(H88*D88*(1-D77/H77))/(H77-1)))</f>
        <v>57.972934801539047</v>
      </c>
      <c r="E96" s="18">
        <f>E91*E91*(SUM((H84*E84*(1-E73/H73))/(H73-1),(H85*E85*(1-E74/H74))/(H74-1), (H87*E87*(1-E76/H76))/(H76-1),(H88*E88*(1-E77/H77))/(H77-1)))</f>
        <v>227.05482536827699</v>
      </c>
      <c r="F96" s="18">
        <f>F91*F91*(SUM((H84*F84*(1-F73/H73))/(H73-1),(H85*F85*(1-F74/H74))/(H74-1), (H86*F86*(1-F75/H75))/(H75-1),(H88*F88*(1-F77/H77))/(H77-1)))</f>
        <v>204.91111021648061</v>
      </c>
      <c r="G96" s="18">
        <f>G91*G91*(SUM((H84*G84*(1-G73/H73))/(H73-1),(H85*G85*(1-G74/H74))/(H74-1), (H86*G86*(1-G75/H75))/(H75-1),(H87*G87*(1-G76/H76))/(H76-1)))</f>
        <v>103.64715051191361</v>
      </c>
      <c r="R96" t="s">
        <v>101</v>
      </c>
      <c r="S96" t="s">
        <v>28</v>
      </c>
      <c r="T96" s="57">
        <f>C263</f>
        <v>1.445412788625807</v>
      </c>
      <c r="U96" s="57">
        <f t="shared" ref="U96:X99" si="14">D263</f>
        <v>5.6958739228392385</v>
      </c>
      <c r="V96" s="57">
        <f t="shared" si="14"/>
        <v>56.607616559426482</v>
      </c>
      <c r="W96" s="57">
        <f t="shared" si="14"/>
        <v>23.433549375295044</v>
      </c>
      <c r="X96" s="57">
        <f t="shared" si="14"/>
        <v>12.817547353813426</v>
      </c>
      <c r="Y96" s="13"/>
      <c r="Z96" s="74"/>
      <c r="AA96" s="12"/>
      <c r="AC96" t="s">
        <v>192</v>
      </c>
      <c r="AD96" s="51">
        <v>0.93356401384082999</v>
      </c>
      <c r="AE96" s="51">
        <v>0.92624670753773397</v>
      </c>
      <c r="AH96" s="78"/>
      <c r="AI96" s="78"/>
      <c r="AJ96" t="s">
        <v>5</v>
      </c>
      <c r="AK96" s="13">
        <v>2</v>
      </c>
      <c r="AL96" s="33">
        <f t="shared" si="13"/>
        <v>0</v>
      </c>
      <c r="AM96" s="19">
        <f t="shared" si="13"/>
        <v>1.0422564966356549</v>
      </c>
      <c r="AN96" s="34">
        <f t="shared" si="13"/>
        <v>54.598799586721114</v>
      </c>
      <c r="AO96" s="19">
        <f t="shared" si="13"/>
        <v>0.91100938224449823</v>
      </c>
      <c r="AP96" s="20">
        <f>(AP85/$AU96)*$AX96</f>
        <v>0.57131096852621077</v>
      </c>
      <c r="AQ96" s="17">
        <f>SUM(AL96:AP96)</f>
        <v>57.123376434127479</v>
      </c>
      <c r="AR96" s="17">
        <f>AN96/AQ96*100</f>
        <v>95.5804838491688</v>
      </c>
      <c r="AS96" s="17">
        <f>SQRT(AR96*(100-AR96)/(AU96-1))</f>
        <v>0.23895427878015812</v>
      </c>
      <c r="AT96" s="18">
        <f>100-AR96</f>
        <v>4.4195161508311998</v>
      </c>
      <c r="AU96" s="1">
        <f>AQ85</f>
        <v>7399</v>
      </c>
      <c r="AV96">
        <v>2</v>
      </c>
      <c r="AW96" s="1">
        <v>104272.76</v>
      </c>
      <c r="AX96" s="17">
        <f>AW96/AW99*100</f>
        <v>57.123376434127479</v>
      </c>
      <c r="AY96" s="52">
        <f>((AX96*AX96*(AR96/100)*(AT96/100))/(AU96-1))</f>
        <v>1.8631909344798119E-2</v>
      </c>
    </row>
    <row r="97" spans="1:51" x14ac:dyDescent="0.3">
      <c r="S97" s="66" t="s">
        <v>39</v>
      </c>
      <c r="T97" s="67">
        <f>C264</f>
        <v>0</v>
      </c>
      <c r="U97" s="67">
        <f t="shared" si="14"/>
        <v>0.11129006850901919</v>
      </c>
      <c r="V97" s="67">
        <f t="shared" si="14"/>
        <v>0.2087698139700217</v>
      </c>
      <c r="W97" s="67">
        <f t="shared" si="14"/>
        <v>0.2052658710424444</v>
      </c>
      <c r="X97" s="67">
        <f t="shared" si="14"/>
        <v>0.19978426725102474</v>
      </c>
      <c r="AC97" t="s">
        <v>193</v>
      </c>
      <c r="AD97" s="51">
        <v>0.93486159169550098</v>
      </c>
      <c r="AE97" s="51">
        <v>0.92729950786051096</v>
      </c>
      <c r="AJ97" t="s">
        <v>6</v>
      </c>
      <c r="AK97" s="13">
        <v>3</v>
      </c>
      <c r="AL97" s="33">
        <f t="shared" si="13"/>
        <v>0</v>
      </c>
      <c r="AM97" s="19">
        <f t="shared" si="13"/>
        <v>3.5479126925745619E-2</v>
      </c>
      <c r="AN97" s="19">
        <f t="shared" si="13"/>
        <v>1.0732435895038048</v>
      </c>
      <c r="AO97" s="34">
        <f t="shared" si="13"/>
        <v>21.074601393892895</v>
      </c>
      <c r="AP97" s="20">
        <f>(AP86/$AU97)*$AX97</f>
        <v>0.90471773660651311</v>
      </c>
      <c r="AQ97" s="17">
        <f>SUM(AL97:AP97)</f>
        <v>23.088041846928959</v>
      </c>
      <c r="AR97" s="17">
        <f>AO97/AQ97*100</f>
        <v>91.279293123319235</v>
      </c>
      <c r="AS97" s="17">
        <f>SQRT(AR97*(100-AR97)/(AU97-1))</f>
        <v>0.5531059527269635</v>
      </c>
      <c r="AT97" s="18">
        <f>100-AR97</f>
        <v>8.7207068766807652</v>
      </c>
      <c r="AU97" s="1">
        <f>AQ86</f>
        <v>2603</v>
      </c>
      <c r="AV97">
        <v>3</v>
      </c>
      <c r="AW97" s="1">
        <v>42144.81</v>
      </c>
      <c r="AX97" s="17">
        <f>AW97/AW99*100</f>
        <v>23.088041846928959</v>
      </c>
      <c r="AY97" s="52">
        <f>((AX97*AX97*(AR97/100)*(AT97/100))/(AU97-1))</f>
        <v>1.6307630660289868E-2</v>
      </c>
    </row>
    <row r="98" spans="1:51" x14ac:dyDescent="0.3">
      <c r="S98" t="s">
        <v>30</v>
      </c>
      <c r="T98" s="57">
        <f>C265</f>
        <v>100</v>
      </c>
      <c r="U98" s="57">
        <f t="shared" si="14"/>
        <v>82.25869099471663</v>
      </c>
      <c r="V98" s="57">
        <f t="shared" si="14"/>
        <v>95.949045449113115</v>
      </c>
      <c r="W98" s="57">
        <f t="shared" si="14"/>
        <v>90.003244474642955</v>
      </c>
      <c r="X98" s="57">
        <f t="shared" si="14"/>
        <v>87.513658440868909</v>
      </c>
      <c r="AA98" s="54"/>
      <c r="AC98" t="s">
        <v>194</v>
      </c>
      <c r="AD98" s="51">
        <v>0.93460207612456703</v>
      </c>
      <c r="AE98" s="51">
        <v>0.92695946070455004</v>
      </c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13"/>
        <v>0</v>
      </c>
      <c r="AN98" s="21">
        <f t="shared" si="13"/>
        <v>0.71653853645021759</v>
      </c>
      <c r="AO98" s="21">
        <f t="shared" si="13"/>
        <v>1.4330770729004352</v>
      </c>
      <c r="AP98" s="37">
        <f>(AP87/$AU98)*$AX98</f>
        <v>11.078788140499517</v>
      </c>
      <c r="AQ98" s="17">
        <f>SUM(AL98:AP98)</f>
        <v>13.22840374985017</v>
      </c>
      <c r="AR98" s="17">
        <f>AP98/AQ98*100</f>
        <v>83.75</v>
      </c>
      <c r="AS98" s="17">
        <f>SQRT(AR98*(100-AR98)/(AU98-1))</f>
        <v>1.1912688532439148</v>
      </c>
      <c r="AT98" s="18">
        <f>100-AR98</f>
        <v>16.25</v>
      </c>
      <c r="AU98" s="1">
        <f>AQ87</f>
        <v>960</v>
      </c>
      <c r="AV98">
        <v>4</v>
      </c>
      <c r="AW98" s="1">
        <v>24147.07</v>
      </c>
      <c r="AX98" s="17">
        <f>AW98/AW99*100</f>
        <v>13.22840374985017</v>
      </c>
      <c r="AY98" s="52">
        <f>((AX98*AX98*(AR98/100)*(AT98/100))/(AU98-1))</f>
        <v>2.4833301271644063E-2</v>
      </c>
    </row>
    <row r="99" spans="1:51" x14ac:dyDescent="0.3">
      <c r="A99" s="361" t="s">
        <v>405</v>
      </c>
      <c r="B99" s="361"/>
      <c r="C99" s="361"/>
      <c r="D99" s="361"/>
      <c r="E99" s="361"/>
      <c r="F99" s="361"/>
      <c r="G99" s="361"/>
      <c r="H99" s="361"/>
      <c r="I99" s="361"/>
      <c r="J99" s="361"/>
      <c r="K99" s="361"/>
      <c r="L99" s="361" t="s">
        <v>62</v>
      </c>
      <c r="M99" s="361"/>
      <c r="N99" s="361"/>
      <c r="O99" s="361"/>
      <c r="P99" s="361"/>
      <c r="S99" s="66" t="s">
        <v>39</v>
      </c>
      <c r="T99" s="67">
        <f>C266</f>
        <v>0</v>
      </c>
      <c r="U99" s="67">
        <f t="shared" si="14"/>
        <v>2.4872974367577529</v>
      </c>
      <c r="V99" s="67">
        <f t="shared" si="14"/>
        <v>0.28694274149767712</v>
      </c>
      <c r="W99" s="67">
        <f t="shared" si="14"/>
        <v>0.8255378896649701</v>
      </c>
      <c r="X99" s="67">
        <f t="shared" si="14"/>
        <v>1.7769906594114568</v>
      </c>
      <c r="AC99" t="s">
        <v>195</v>
      </c>
      <c r="AD99" s="51">
        <v>0.93624567474048404</v>
      </c>
      <c r="AE99" s="51">
        <v>0.92886931640233605</v>
      </c>
      <c r="AK99" t="s">
        <v>28</v>
      </c>
      <c r="AL99" s="17">
        <f t="shared" ref="AL99:AQ99" si="15">SUM(AL94:AL98)</f>
        <v>1.439934444895123</v>
      </c>
      <c r="AM99" s="17">
        <f t="shared" si="15"/>
        <v>5.8505879942004873</v>
      </c>
      <c r="AN99" s="17">
        <f t="shared" si="15"/>
        <v>56.735972866234306</v>
      </c>
      <c r="AO99" s="17">
        <f t="shared" si="15"/>
        <v>23.418687849037827</v>
      </c>
      <c r="AP99" s="17">
        <f t="shared" si="15"/>
        <v>12.55481684563224</v>
      </c>
      <c r="AQ99" s="18">
        <f t="shared" si="15"/>
        <v>100</v>
      </c>
      <c r="AR99" s="13" t="s">
        <v>24</v>
      </c>
      <c r="AS99" s="12" t="s">
        <v>29</v>
      </c>
      <c r="AW99" s="1">
        <f>SUM(AW94:AW98)</f>
        <v>182539.56</v>
      </c>
      <c r="AX99" s="17">
        <f>SUM(AX94:AX98)</f>
        <v>100</v>
      </c>
    </row>
    <row r="100" spans="1:51" x14ac:dyDescent="0.3">
      <c r="A100" t="s">
        <v>320</v>
      </c>
      <c r="B100" t="s">
        <v>21</v>
      </c>
      <c r="I100" s="1" t="s">
        <v>58</v>
      </c>
      <c r="O100" s="143"/>
      <c r="P100" s="143"/>
      <c r="S100" t="s">
        <v>31</v>
      </c>
      <c r="T100" s="57">
        <f>I258</f>
        <v>100</v>
      </c>
      <c r="U100" s="57">
        <f>I259</f>
        <v>93.215339233038335</v>
      </c>
      <c r="V100" s="57">
        <f>I260</f>
        <v>95.634545208812</v>
      </c>
      <c r="W100" s="57">
        <f>I261</f>
        <v>90.818286592393392</v>
      </c>
      <c r="X100" s="57">
        <f>I262</f>
        <v>83.020833333333329</v>
      </c>
      <c r="AC100" t="s">
        <v>196</v>
      </c>
      <c r="AD100" s="51">
        <v>0.93633217993079498</v>
      </c>
      <c r="AE100" s="51">
        <v>0.93016860161784698</v>
      </c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0</v>
      </c>
      <c r="AM100" s="18">
        <f>SQRT(SUM((AX94*AM94-AM94*AM94)/AU94,(AX95*AM95-AM95*AM95)/AU95,(AX96*AM96-AM96*AM96)/AU96,(AX97*AM97-AM97*AM97)/AU97,(AX98*AM98-AM98*AM98)/AU98))</f>
        <v>0.11447725144827701</v>
      </c>
      <c r="AN100" s="18">
        <f>SQRT(SUM((AX94*AN94-AN94*AN94)/AU94,(AX95*AN95-AN95*AN95)/AU95,(AX96*AN96-AN96*AN96)/AU96,(AX97*AN97-AN97*AN97)/AU97,(AX98*AN98-AN98*AN98)/AU98))</f>
        <v>0.20478304715519641</v>
      </c>
      <c r="AO100" s="18">
        <f>SQRT(SUM((AX94*AO94-AO94*AO94)/AU94,(AX95*AO95-AO95*AO95)/AU95,(AX96*AO96-AO96*AO96)/AU96,(AX97*AO97-AO97*AO97)/AU97,(AX98*AO98-AO98*AO98)/AU98))</f>
        <v>0.20206558305584485</v>
      </c>
      <c r="AP100" s="18">
        <f>SQRT(SUM((AX94*AP94-AP94*AP94)/AU94,(AX95*AP95-AP95*AP95)/AU95,(AX96*AP96-AP96*AP96)/AU96,(AX97*AP97-AP97*AP97)/AU97,(AX98*AP98-AP98*AP98)/AU98))</f>
        <v>0.1920528000051013</v>
      </c>
      <c r="AQ100" s="1"/>
      <c r="AR100" s="56">
        <f>(AL94+AM95+AN96+AO97+AP98)/AQ99</f>
        <v>0.92964975936647731</v>
      </c>
      <c r="AS100" s="53">
        <f>SQRT(SUM(AY94:AY98))/100</f>
        <v>2.5431929706373497E-3</v>
      </c>
      <c r="AV100" s="1"/>
      <c r="AW100" s="9"/>
    </row>
    <row r="101" spans="1:51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56</v>
      </c>
      <c r="O101" s="13"/>
      <c r="P101" s="13"/>
      <c r="S101" s="66" t="s">
        <v>39</v>
      </c>
      <c r="T101" s="67">
        <f>J258</f>
        <v>0</v>
      </c>
      <c r="U101" s="67">
        <f>J259</f>
        <v>1.3678844450285044</v>
      </c>
      <c r="V101" s="67">
        <f>J260</f>
        <v>0.23755544125593489</v>
      </c>
      <c r="W101" s="67">
        <f>J261</f>
        <v>0.56610223871796372</v>
      </c>
      <c r="X101" s="67">
        <f>J262</f>
        <v>1.2123902252844154</v>
      </c>
      <c r="AC101" t="s">
        <v>197</v>
      </c>
      <c r="AD101" s="51">
        <v>0.93425605536332101</v>
      </c>
      <c r="AE101" s="51">
        <v>0.92648540716062</v>
      </c>
      <c r="AK101" s="1" t="s">
        <v>30</v>
      </c>
      <c r="AL101" s="17">
        <f>AL94/AL99*100</f>
        <v>100</v>
      </c>
      <c r="AM101" s="17">
        <f>AM95/AM99*100</f>
        <v>81.579020354369035</v>
      </c>
      <c r="AN101" s="17">
        <f>AN96/AN99*100</f>
        <v>96.233124820910405</v>
      </c>
      <c r="AO101" s="17">
        <f>AO97/AO99*100</f>
        <v>89.990530339464598</v>
      </c>
      <c r="AP101" s="17">
        <f>AP98/AP99*100</f>
        <v>88.243327455260911</v>
      </c>
      <c r="AQ101" s="1"/>
    </row>
    <row r="102" spans="1:51" x14ac:dyDescent="0.3">
      <c r="A102" t="s">
        <v>3</v>
      </c>
      <c r="B102" s="13">
        <v>0</v>
      </c>
      <c r="C102" s="26">
        <v>259</v>
      </c>
      <c r="D102" s="3">
        <v>0</v>
      </c>
      <c r="E102" s="3">
        <v>0</v>
      </c>
      <c r="F102" s="3">
        <v>0</v>
      </c>
      <c r="G102" s="4">
        <v>0</v>
      </c>
      <c r="H102" s="1">
        <f>SUM(C102:G102)</f>
        <v>259</v>
      </c>
      <c r="I102" s="10">
        <f>C102/H102</f>
        <v>1</v>
      </c>
      <c r="J102" s="11">
        <f>1-I102</f>
        <v>0</v>
      </c>
      <c r="K102">
        <f>H102-C107</f>
        <v>-1</v>
      </c>
      <c r="N102" s="10">
        <f>2*(C108*I102)/(C108+I102)</f>
        <v>0.9980732177263969</v>
      </c>
      <c r="O102" s="1"/>
      <c r="P102" s="1"/>
      <c r="S102" s="66" t="s">
        <v>56</v>
      </c>
      <c r="T102" s="67">
        <f>N247*100</f>
        <v>100</v>
      </c>
      <c r="U102" s="67">
        <f>N248*100</f>
        <v>80.407124681933837</v>
      </c>
      <c r="V102" s="67">
        <f>N249*100</f>
        <v>96.396703221851382</v>
      </c>
      <c r="W102" s="67">
        <f>N250*100</f>
        <v>91.133384734001538</v>
      </c>
      <c r="X102" s="67">
        <f>N251*100</f>
        <v>81.869542886492042</v>
      </c>
      <c r="AC102" t="s">
        <v>198</v>
      </c>
      <c r="AD102" s="51">
        <v>0.93382352941176405</v>
      </c>
      <c r="AE102" s="51">
        <v>0.92619976993214603</v>
      </c>
      <c r="AH102" s="78"/>
      <c r="AI102" s="78"/>
      <c r="AK102" s="16" t="s">
        <v>39</v>
      </c>
      <c r="AL102" s="18">
        <f>SQRT((AL105+AL106)/(AL99*AL99))</f>
        <v>0</v>
      </c>
      <c r="AM102" s="18">
        <f>SQRT((AM105+AM106)/(AM99*AM99))</f>
        <v>2.5417107325259485</v>
      </c>
      <c r="AN102" s="18">
        <f>SQRT((AN105+AN106)/(AN99*AN99))</f>
        <v>0.27449026131463011</v>
      </c>
      <c r="AO102" s="18">
        <f>SQRT((AO105+AO106)/(AO99*AO99))</f>
        <v>0.81264922131588224</v>
      </c>
      <c r="AP102" s="18">
        <f>SQRT((AP105+AP106)/(AP99*AP99))</f>
        <v>1.6656578062102736</v>
      </c>
      <c r="AQ102" s="1"/>
    </row>
    <row r="103" spans="1:51" x14ac:dyDescent="0.3">
      <c r="A103" t="s">
        <v>4</v>
      </c>
      <c r="B103" s="13">
        <v>1</v>
      </c>
      <c r="C103" s="5">
        <v>0</v>
      </c>
      <c r="D103" s="27">
        <v>315</v>
      </c>
      <c r="E103" s="1">
        <v>24</v>
      </c>
      <c r="F103" s="1">
        <v>0</v>
      </c>
      <c r="G103" s="6">
        <v>0</v>
      </c>
      <c r="H103" s="1">
        <f>SUM(C103:G103)</f>
        <v>339</v>
      </c>
      <c r="I103" s="10">
        <f>D103/H103</f>
        <v>0.92920353982300885</v>
      </c>
      <c r="J103" s="11">
        <f>1-I103</f>
        <v>7.0796460176991149E-2</v>
      </c>
      <c r="K103">
        <f>H103-D107</f>
        <v>-110</v>
      </c>
      <c r="N103" s="10">
        <f>2*(D108*I103)/(D108+I103)</f>
        <v>0.79949238578680215</v>
      </c>
      <c r="O103" s="1"/>
      <c r="P103" s="1"/>
      <c r="R103" s="16" t="s">
        <v>66</v>
      </c>
      <c r="S103" t="s">
        <v>9</v>
      </c>
      <c r="T103" s="30">
        <f>N258</f>
        <v>2638.45</v>
      </c>
      <c r="U103" s="30">
        <f>N259</f>
        <v>9175.1200000000008</v>
      </c>
      <c r="V103" s="30">
        <f>N260</f>
        <v>103671.1</v>
      </c>
      <c r="W103" s="30">
        <f>N261</f>
        <v>42391.61</v>
      </c>
      <c r="X103" s="30">
        <f>N262</f>
        <v>24663.27</v>
      </c>
      <c r="Z103" t="s">
        <v>36</v>
      </c>
      <c r="AA103" s="1">
        <f>N263</f>
        <v>182539.55000000002</v>
      </c>
      <c r="AC103" t="s">
        <v>199</v>
      </c>
      <c r="AD103" s="51">
        <v>0.93373702422145299</v>
      </c>
      <c r="AE103" s="51">
        <v>0.925877854936902</v>
      </c>
      <c r="AK103" s="1" t="s">
        <v>37</v>
      </c>
      <c r="AL103" s="18">
        <f>100-AL101</f>
        <v>0</v>
      </c>
      <c r="AM103" s="18">
        <f>100-AM101</f>
        <v>18.420979645630965</v>
      </c>
      <c r="AN103" s="18">
        <f>100-AN101</f>
        <v>3.7668751790895953</v>
      </c>
      <c r="AO103" s="18">
        <f>100-AO101</f>
        <v>10.009469660535402</v>
      </c>
      <c r="AP103" s="18">
        <f>100-AP101</f>
        <v>11.756672544739089</v>
      </c>
    </row>
    <row r="104" spans="1:51" ht="15.6" x14ac:dyDescent="0.35">
      <c r="A104" t="s">
        <v>5</v>
      </c>
      <c r="B104" s="13">
        <v>2</v>
      </c>
      <c r="C104" s="5">
        <v>0</v>
      </c>
      <c r="D104" s="1">
        <v>130</v>
      </c>
      <c r="E104" s="27">
        <v>7064</v>
      </c>
      <c r="F104" s="1">
        <v>122</v>
      </c>
      <c r="G104" s="6">
        <v>83</v>
      </c>
      <c r="H104" s="1">
        <f>SUM(C104:G104)</f>
        <v>7399</v>
      </c>
      <c r="I104" s="10">
        <f>E104/H104</f>
        <v>0.95472361129882422</v>
      </c>
      <c r="J104" s="11">
        <f>1-I104</f>
        <v>4.5276388701175785E-2</v>
      </c>
      <c r="K104">
        <f>H104-E107</f>
        <v>130</v>
      </c>
      <c r="N104" s="10">
        <f>2*(E108*I104)/(E108+I104)</f>
        <v>0.9631851649850014</v>
      </c>
      <c r="O104" s="1"/>
      <c r="P104" s="1"/>
      <c r="R104" s="16" t="s">
        <v>323</v>
      </c>
      <c r="S104" t="s">
        <v>68</v>
      </c>
      <c r="T104" s="57">
        <f>$AA103*T96/100</f>
        <v>2638.4499999999994</v>
      </c>
      <c r="U104" s="57">
        <f>$AA103*U96/100</f>
        <v>10397.222627318093</v>
      </c>
      <c r="V104" s="57">
        <f>$AA103*V96/100</f>
        <v>103331.28853330261</v>
      </c>
      <c r="W104" s="57">
        <f>$AA103*W96/100</f>
        <v>42775.495578691392</v>
      </c>
      <c r="X104" s="57">
        <f>$AA103*X96/100</f>
        <v>23397.09326068794</v>
      </c>
      <c r="Z104" t="s">
        <v>36</v>
      </c>
      <c r="AA104" s="25">
        <f>SUM(T104:X104)</f>
        <v>182539.55000000005</v>
      </c>
      <c r="AC104" t="s">
        <v>200</v>
      </c>
      <c r="AD104" s="51">
        <v>0.93287197231833896</v>
      </c>
      <c r="AE104" s="51">
        <v>0.92386873440946504</v>
      </c>
      <c r="AH104" s="78"/>
      <c r="AI104" s="78"/>
      <c r="AK104" s="1" t="s">
        <v>25</v>
      </c>
      <c r="AL104" s="1">
        <f>AL88</f>
        <v>259</v>
      </c>
      <c r="AM104" s="1">
        <f>AM88</f>
        <v>455</v>
      </c>
      <c r="AN104" s="1">
        <f>AN88</f>
        <v>7268</v>
      </c>
      <c r="AO104" s="1">
        <f>AO88</f>
        <v>2598</v>
      </c>
      <c r="AP104" s="1">
        <f>AP88</f>
        <v>980</v>
      </c>
    </row>
    <row r="105" spans="1:51" x14ac:dyDescent="0.3">
      <c r="A105" t="s">
        <v>6</v>
      </c>
      <c r="B105" s="13">
        <v>3</v>
      </c>
      <c r="C105" s="5">
        <v>1</v>
      </c>
      <c r="D105" s="1">
        <v>4</v>
      </c>
      <c r="E105" s="1">
        <v>126</v>
      </c>
      <c r="F105" s="27">
        <v>2364</v>
      </c>
      <c r="G105" s="6">
        <v>108</v>
      </c>
      <c r="H105" s="1">
        <f>SUM(C105:G105)</f>
        <v>2603</v>
      </c>
      <c r="I105" s="10">
        <f>F105/H105</f>
        <v>0.90818286592393394</v>
      </c>
      <c r="J105" s="11">
        <f>1-I105</f>
        <v>9.1817134076066065E-2</v>
      </c>
      <c r="K105">
        <f>H105-F107</f>
        <v>18</v>
      </c>
      <c r="N105" s="10">
        <f>2*(F108*I105)/(F108+I105)</f>
        <v>0.91133384734001532</v>
      </c>
      <c r="O105" s="1"/>
      <c r="P105" s="1"/>
      <c r="R105" s="66"/>
      <c r="S105" s="66" t="s">
        <v>67</v>
      </c>
      <c r="T105" s="67">
        <f>$AA103*T97/100</f>
        <v>0</v>
      </c>
      <c r="U105" s="67">
        <f>$AA103*U97/100</f>
        <v>203.14839025105536</v>
      </c>
      <c r="V105" s="67">
        <f>$AA103*V97/100</f>
        <v>381.08747895671479</v>
      </c>
      <c r="W105" s="67">
        <f>$AA103*W97/100</f>
        <v>374.69139730445835</v>
      </c>
      <c r="X105" s="67">
        <f>$AA103*X97/100</f>
        <v>364.68530241081794</v>
      </c>
      <c r="AA105" s="1"/>
      <c r="AC105" t="s">
        <v>201</v>
      </c>
      <c r="AD105" s="51">
        <v>0.936851211072664</v>
      </c>
      <c r="AE105" s="51">
        <v>0.92965127351544896</v>
      </c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166.45831773919923</v>
      </c>
      <c r="AN105" s="18">
        <f>(AX96*AX96*(100-AN101)*(100-AN101)*(AR96)*(100-AR96))/((AU96-1)*100)</f>
        <v>26.437465705345932</v>
      </c>
      <c r="AO105" s="18">
        <f>(AX97*AX97*(100-AO101)*(100-AO101)*(AR97)*(100-AR97))/((AU97-1)*100)</f>
        <v>163.38530829369267</v>
      </c>
      <c r="AP105" s="18">
        <f>(AX98*AX98*(100-AP101)*(100-AP101)*(AR98)*(100-AR98))/((AU98-1)*100)</f>
        <v>343.24427433390144</v>
      </c>
    </row>
    <row r="106" spans="1:51" x14ac:dyDescent="0.3">
      <c r="A106" t="s">
        <v>7</v>
      </c>
      <c r="B106" s="13">
        <v>4</v>
      </c>
      <c r="C106" s="7">
        <v>0</v>
      </c>
      <c r="D106" s="8">
        <v>0</v>
      </c>
      <c r="E106" s="8">
        <v>55</v>
      </c>
      <c r="F106" s="8">
        <v>99</v>
      </c>
      <c r="G106" s="28">
        <v>806</v>
      </c>
      <c r="H106" s="1">
        <f>SUM(C106:G106)</f>
        <v>960</v>
      </c>
      <c r="I106" s="10">
        <f>G106/H106</f>
        <v>0.83958333333333335</v>
      </c>
      <c r="J106" s="11">
        <f>1-I106</f>
        <v>0.16041666666666665</v>
      </c>
      <c r="K106">
        <f>H106-G107</f>
        <v>-37</v>
      </c>
      <c r="N106" s="10">
        <f>2*(G108*I106)/(G108+I106)</f>
        <v>0.82370975983648442</v>
      </c>
      <c r="O106" s="1"/>
      <c r="P106" s="1"/>
      <c r="R106" t="s">
        <v>102</v>
      </c>
      <c r="S106" t="s">
        <v>28</v>
      </c>
      <c r="T106" s="57">
        <f>C292</f>
        <v>1.4323854748190188</v>
      </c>
      <c r="U106" s="57">
        <f t="shared" ref="U106:X109" si="16">D292</f>
        <v>5.9996736259961896</v>
      </c>
      <c r="V106" s="57">
        <f t="shared" si="16"/>
        <v>56.807278890935009</v>
      </c>
      <c r="W106" s="57">
        <f t="shared" si="16"/>
        <v>23.230926831995387</v>
      </c>
      <c r="X106" s="57">
        <f t="shared" si="16"/>
        <v>12.529735176254405</v>
      </c>
      <c r="Y106" s="60"/>
      <c r="Z106" s="74"/>
      <c r="AA106" s="12"/>
      <c r="AC106" t="s">
        <v>202</v>
      </c>
      <c r="AD106" s="51">
        <v>0.932439446366782</v>
      </c>
      <c r="AE106" s="51">
        <v>0.92481188206545295</v>
      </c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54.673520809431501</v>
      </c>
      <c r="AN106" s="18">
        <f>AN101*AN101*(SUM((AQ94*AN94*(1-AN83/AQ83))/(AQ83-1),(AQ95*AN95*(1-AN84/AQ84))/(AQ84-1), (AQ97*AN97*(1-AN86/AQ86))/(AQ86-1),(AQ98*AN98*(1-AN87/AQ87))/(AQ87-1)))</f>
        <v>216.09556498984691</v>
      </c>
      <c r="AO106" s="18">
        <f>AO101*AO101*(SUM((AQ94*AO94*(1-AO83/AQ83))/(AQ83-1),(AQ95*AO95*(1-AO84/AQ84))/(AQ84-1), (AQ96*AO96*(1-AO85/AQ85))/(AQ85-1),(AQ98*AO98*(1-AO87/AQ87))/(AQ87-1)))</f>
        <v>198.8004447026166</v>
      </c>
      <c r="AP106" s="18">
        <f>AP101*AP101*(SUM((AQ94*AP94*(1-AP83/AQ83))/(AQ83-1),(AQ95*AP95*(1-AP84/AQ84))/(AQ84-1), (AQ96*AP96*(1-AP85/AQ85))/(AQ85-1),(AQ97*AP97*(1-AP86/AQ86))/(AQ86-1)))</f>
        <v>94.068669366093573</v>
      </c>
    </row>
    <row r="107" spans="1:51" ht="15.6" x14ac:dyDescent="0.35">
      <c r="B107" s="1" t="s">
        <v>19</v>
      </c>
      <c r="C107" s="1">
        <f>SUM(C102:C106)</f>
        <v>260</v>
      </c>
      <c r="D107" s="1">
        <f>SUM(D102:D106)</f>
        <v>449</v>
      </c>
      <c r="E107" s="1">
        <f>SUM(E102:E106)</f>
        <v>7269</v>
      </c>
      <c r="F107" s="1">
        <f>SUM(F102:F106)</f>
        <v>2585</v>
      </c>
      <c r="G107" s="1">
        <f>SUM(G102:G106)</f>
        <v>997</v>
      </c>
      <c r="H107" s="1">
        <f>SUM(H101:H106)</f>
        <v>11560</v>
      </c>
      <c r="I107" s="13" t="s">
        <v>12</v>
      </c>
      <c r="N107" s="16"/>
      <c r="O107" s="1"/>
      <c r="P107" s="1"/>
      <c r="S107" s="66" t="s">
        <v>39</v>
      </c>
      <c r="T107" s="67">
        <f>C293</f>
        <v>0</v>
      </c>
      <c r="U107" s="67">
        <f t="shared" si="16"/>
        <v>0.11741573620111478</v>
      </c>
      <c r="V107" s="67">
        <f t="shared" si="16"/>
        <v>0.20955717600381138</v>
      </c>
      <c r="W107" s="67">
        <f t="shared" si="16"/>
        <v>0.20043425190463293</v>
      </c>
      <c r="X107" s="67">
        <f t="shared" si="16"/>
        <v>0.19139702593803851</v>
      </c>
      <c r="AC107" t="s">
        <v>203</v>
      </c>
      <c r="AD107" s="51">
        <v>0.93719723183391002</v>
      </c>
      <c r="AE107" s="51">
        <v>0.93016918946985805</v>
      </c>
    </row>
    <row r="108" spans="1:51" x14ac:dyDescent="0.3">
      <c r="A108" s="1" t="s">
        <v>321</v>
      </c>
      <c r="B108" s="1" t="s">
        <v>2</v>
      </c>
      <c r="C108" s="10">
        <f>C102/C107</f>
        <v>0.99615384615384617</v>
      </c>
      <c r="D108" s="10">
        <f>D103/D107</f>
        <v>0.7015590200445434</v>
      </c>
      <c r="E108" s="10">
        <f>E104/E107</f>
        <v>0.97179804649883061</v>
      </c>
      <c r="F108" s="10">
        <f>F105/F107</f>
        <v>0.91450676982591872</v>
      </c>
      <c r="G108" s="10">
        <f>G106/G107</f>
        <v>0.80842527582748247</v>
      </c>
      <c r="H108" s="10"/>
      <c r="I108" s="14">
        <f>(C102+D103+E104+F105+G106)/H107</f>
        <v>0.93494809688581315</v>
      </c>
      <c r="S108" t="s">
        <v>30</v>
      </c>
      <c r="T108" s="57">
        <f>C294</f>
        <v>100</v>
      </c>
      <c r="U108" s="57">
        <f t="shared" si="16"/>
        <v>80.877697363228478</v>
      </c>
      <c r="V108" s="57">
        <f t="shared" si="16"/>
        <v>95.982716806733166</v>
      </c>
      <c r="W108" s="57">
        <f t="shared" si="16"/>
        <v>90.370313115460775</v>
      </c>
      <c r="X108" s="57">
        <f t="shared" si="16"/>
        <v>88.05626684939412</v>
      </c>
      <c r="AC108" t="s">
        <v>204</v>
      </c>
      <c r="AD108" s="51">
        <v>0.93572664359861502</v>
      </c>
      <c r="AE108" s="51">
        <v>0.92872365422741099</v>
      </c>
      <c r="AH108" s="78"/>
      <c r="AI108" s="78"/>
      <c r="AJ108" s="118" t="s">
        <v>375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</row>
    <row r="109" spans="1:51" x14ac:dyDescent="0.3">
      <c r="B109" s="1" t="s">
        <v>14</v>
      </c>
      <c r="C109" s="11">
        <f>1-C108</f>
        <v>3.8461538461538325E-3</v>
      </c>
      <c r="D109" s="11">
        <f>1-D108</f>
        <v>0.2984409799554566</v>
      </c>
      <c r="E109" s="11">
        <f>1-E108</f>
        <v>2.8201953501169386E-2</v>
      </c>
      <c r="F109" s="11">
        <f>1-F108</f>
        <v>8.5493230174081281E-2</v>
      </c>
      <c r="G109" s="11">
        <f>1-G108</f>
        <v>0.19157472417251753</v>
      </c>
      <c r="S109" s="66" t="s">
        <v>39</v>
      </c>
      <c r="T109" s="67">
        <f>C295</f>
        <v>0</v>
      </c>
      <c r="U109" s="67">
        <f t="shared" si="16"/>
        <v>2.5956670271647417</v>
      </c>
      <c r="V109" s="67">
        <f t="shared" si="16"/>
        <v>0.28337393167583125</v>
      </c>
      <c r="W109" s="67">
        <f t="shared" si="16"/>
        <v>0.80173298730805531</v>
      </c>
      <c r="X109" s="67">
        <f t="shared" si="16"/>
        <v>1.6806008408625408</v>
      </c>
      <c r="AC109" t="s">
        <v>205</v>
      </c>
      <c r="AD109" s="51">
        <v>0.93468858131487798</v>
      </c>
      <c r="AE109" s="51">
        <v>0.92756829585069001</v>
      </c>
      <c r="AJ109" s="106" t="s">
        <v>407</v>
      </c>
      <c r="AK109" s="107" t="s">
        <v>28</v>
      </c>
      <c r="AL109" s="108">
        <f t="shared" ref="AL109:AP112" si="17">AL99</f>
        <v>1.439934444895123</v>
      </c>
      <c r="AM109" s="108">
        <f t="shared" si="17"/>
        <v>5.8505879942004873</v>
      </c>
      <c r="AN109" s="108">
        <f t="shared" si="17"/>
        <v>56.735972866234306</v>
      </c>
      <c r="AO109" s="108">
        <f t="shared" si="17"/>
        <v>23.418687849037827</v>
      </c>
      <c r="AP109" s="108">
        <f t="shared" si="17"/>
        <v>12.55481684563224</v>
      </c>
      <c r="AQ109" s="107"/>
      <c r="AR109" s="232" t="s">
        <v>77</v>
      </c>
      <c r="AS109" s="233">
        <f>AR100</f>
        <v>0.92964975936647731</v>
      </c>
    </row>
    <row r="110" spans="1:51" x14ac:dyDescent="0.3">
      <c r="C110" s="2"/>
      <c r="S110" s="15" t="s">
        <v>31</v>
      </c>
      <c r="T110" s="71">
        <f>I287</f>
        <v>100</v>
      </c>
      <c r="U110" s="71">
        <f>I288</f>
        <v>93.215339233038335</v>
      </c>
      <c r="V110" s="71">
        <f>I289</f>
        <v>95.445330450060823</v>
      </c>
      <c r="W110" s="71">
        <f>I290</f>
        <v>90.97195543603533</v>
      </c>
      <c r="X110" s="71">
        <f>I291</f>
        <v>83.854166666666671</v>
      </c>
      <c r="AC110" t="s">
        <v>206</v>
      </c>
      <c r="AD110" s="51">
        <v>0.93408304498269901</v>
      </c>
      <c r="AE110" s="51">
        <v>0.92633404271164799</v>
      </c>
      <c r="AH110" s="78"/>
      <c r="AI110" s="78"/>
      <c r="AJ110" s="107"/>
      <c r="AK110" s="109" t="s">
        <v>39</v>
      </c>
      <c r="AL110" s="110">
        <f t="shared" si="17"/>
        <v>0</v>
      </c>
      <c r="AM110" s="110">
        <f t="shared" si="17"/>
        <v>0.11447725144827701</v>
      </c>
      <c r="AN110" s="110">
        <f t="shared" si="17"/>
        <v>0.20478304715519641</v>
      </c>
      <c r="AO110" s="110">
        <f t="shared" si="17"/>
        <v>0.20206558305584485</v>
      </c>
      <c r="AP110" s="110">
        <f t="shared" si="17"/>
        <v>0.1920528000051013</v>
      </c>
      <c r="AQ110" s="107"/>
      <c r="AR110" s="232" t="s">
        <v>29</v>
      </c>
      <c r="AS110" s="234">
        <f>AS100</f>
        <v>2.5431929706373497E-3</v>
      </c>
      <c r="AX110" s="103" t="s">
        <v>386</v>
      </c>
    </row>
    <row r="111" spans="1:51" ht="15.6" x14ac:dyDescent="0.35">
      <c r="A111" t="s">
        <v>322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</v>
      </c>
      <c r="U111" s="76">
        <f>J288</f>
        <v>1.3678844450285044</v>
      </c>
      <c r="V111" s="76">
        <f>J289</f>
        <v>0.24240893092557672</v>
      </c>
      <c r="W111" s="76">
        <f>J290</f>
        <v>0.56181970314527974</v>
      </c>
      <c r="X111" s="76">
        <f>J291</f>
        <v>1.1881827763506001</v>
      </c>
      <c r="AC111" t="s">
        <v>160</v>
      </c>
      <c r="AD111" s="51">
        <v>0.93780276816608998</v>
      </c>
      <c r="AE111" s="51">
        <v>0.93214456152245795</v>
      </c>
      <c r="AJ111" s="107"/>
      <c r="AK111" s="107" t="s">
        <v>30</v>
      </c>
      <c r="AL111" s="108">
        <f t="shared" si="17"/>
        <v>100</v>
      </c>
      <c r="AM111" s="108">
        <f t="shared" si="17"/>
        <v>81.579020354369035</v>
      </c>
      <c r="AN111" s="108">
        <f t="shared" si="17"/>
        <v>96.233124820910405</v>
      </c>
      <c r="AO111" s="108">
        <f t="shared" si="17"/>
        <v>89.990530339464598</v>
      </c>
      <c r="AP111" s="108">
        <f t="shared" si="17"/>
        <v>88.243327455260911</v>
      </c>
      <c r="AQ111" s="107"/>
      <c r="AR111" s="107"/>
      <c r="AS111" s="107"/>
      <c r="AU111" s="103" t="s">
        <v>386</v>
      </c>
      <c r="AW111" s="101"/>
      <c r="AX111" s="1" t="s">
        <v>380</v>
      </c>
      <c r="AY111" s="96"/>
    </row>
    <row r="112" spans="1:51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56</v>
      </c>
      <c r="T112" s="67">
        <f>N276*100</f>
        <v>100</v>
      </c>
      <c r="U112" s="67">
        <f>N277*100</f>
        <v>78.704856787048556</v>
      </c>
      <c r="V112" s="67">
        <f>N278*100</f>
        <v>96.271556131143072</v>
      </c>
      <c r="W112" s="67">
        <f>N279*100</f>
        <v>91.358024691358025</v>
      </c>
      <c r="X112" s="67">
        <f>N280*100</f>
        <v>82.818930041152257</v>
      </c>
      <c r="AC112" t="s">
        <v>207</v>
      </c>
      <c r="AD112" s="51">
        <v>0.93252595155709295</v>
      </c>
      <c r="AE112" s="51">
        <v>0.92463622158074998</v>
      </c>
      <c r="AH112" s="78"/>
      <c r="AI112" s="78"/>
      <c r="AJ112" s="107"/>
      <c r="AK112" s="109" t="s">
        <v>39</v>
      </c>
      <c r="AL112" s="110">
        <f t="shared" si="17"/>
        <v>0</v>
      </c>
      <c r="AM112" s="110">
        <f t="shared" si="17"/>
        <v>2.5417107325259485</v>
      </c>
      <c r="AN112" s="110">
        <f t="shared" si="17"/>
        <v>0.27449026131463011</v>
      </c>
      <c r="AO112" s="110">
        <f t="shared" si="17"/>
        <v>0.81264922131588224</v>
      </c>
      <c r="AP112" s="110">
        <f t="shared" si="17"/>
        <v>1.6656578062102736</v>
      </c>
      <c r="AQ112" s="107"/>
      <c r="AR112" s="107"/>
      <c r="AS112" s="107"/>
      <c r="AU112" s="93"/>
      <c r="AV112" s="1" t="s">
        <v>380</v>
      </c>
      <c r="AW112" s="97"/>
      <c r="AX112" s="71" t="s">
        <v>381</v>
      </c>
      <c r="AY112" s="95"/>
    </row>
    <row r="113" spans="1:51" x14ac:dyDescent="0.3">
      <c r="A113" t="s">
        <v>3</v>
      </c>
      <c r="B113" s="13">
        <v>0</v>
      </c>
      <c r="C113" s="29">
        <f>(C102/$L113)*$O113</f>
        <v>1.4376171389916794</v>
      </c>
      <c r="D113" s="31">
        <f>(D102/$L113)*$O113</f>
        <v>0</v>
      </c>
      <c r="E113" s="31">
        <f>(E102/$L113)*$O113</f>
        <v>0</v>
      </c>
      <c r="F113" s="31">
        <f>(F102/$L113)*$O113</f>
        <v>0</v>
      </c>
      <c r="G113" s="32">
        <f>(G102/$L113)*$O113</f>
        <v>0</v>
      </c>
      <c r="H113" s="17">
        <f>SUM(C113:G113)</f>
        <v>1.4376171389916794</v>
      </c>
      <c r="I113" s="17">
        <f>C113/H113*100</f>
        <v>100</v>
      </c>
      <c r="J113" s="17">
        <f>SQRT(I113*(100-I113)/(L113-1))</f>
        <v>0</v>
      </c>
      <c r="K113" s="18">
        <f>100-I113</f>
        <v>0</v>
      </c>
      <c r="L113" s="1">
        <f>H102</f>
        <v>259</v>
      </c>
      <c r="M113">
        <v>0</v>
      </c>
      <c r="N113" s="1">
        <v>2624.22</v>
      </c>
      <c r="O113" s="17">
        <f>N113/N118*100</f>
        <v>1.4376171389916794</v>
      </c>
      <c r="P113" s="52">
        <f>((O113*O113*(I113/100)*(K113/100))/(L113-1))</f>
        <v>0</v>
      </c>
      <c r="R113" s="16" t="s">
        <v>66</v>
      </c>
      <c r="S113" t="s">
        <v>9</v>
      </c>
      <c r="T113" s="30">
        <f>N287</f>
        <v>2614.67</v>
      </c>
      <c r="U113" s="30">
        <f>N288</f>
        <v>9502.24</v>
      </c>
      <c r="V113" s="30">
        <f>N289</f>
        <v>104279.59</v>
      </c>
      <c r="W113" s="30">
        <f>N290</f>
        <v>42125.18</v>
      </c>
      <c r="X113" s="30">
        <f>N291</f>
        <v>24017.87</v>
      </c>
      <c r="Z113" t="s">
        <v>36</v>
      </c>
      <c r="AA113" s="1">
        <f>N292</f>
        <v>182539.55</v>
      </c>
      <c r="AC113" t="s">
        <v>161</v>
      </c>
      <c r="AD113" s="51">
        <v>0.93486159169550098</v>
      </c>
      <c r="AE113" s="51">
        <v>0.92764423368376003</v>
      </c>
      <c r="AJ113" s="107"/>
      <c r="AK113" s="111" t="s">
        <v>31</v>
      </c>
      <c r="AL113" s="112">
        <f>AR94</f>
        <v>100</v>
      </c>
      <c r="AM113" s="112">
        <f>AR95</f>
        <v>93.215339233038335</v>
      </c>
      <c r="AN113" s="112">
        <f>AR96</f>
        <v>95.5804838491688</v>
      </c>
      <c r="AO113" s="112">
        <f>AR97</f>
        <v>91.279293123319235</v>
      </c>
      <c r="AP113" s="112">
        <f>AR98</f>
        <v>83.75</v>
      </c>
      <c r="AQ113" s="107"/>
      <c r="AR113" s="107"/>
      <c r="AS113" s="107"/>
      <c r="AU113" s="94"/>
      <c r="AV113" s="71" t="s">
        <v>383</v>
      </c>
      <c r="AW113" s="98"/>
      <c r="AX113" s="71" t="s">
        <v>382</v>
      </c>
      <c r="AY113" s="93"/>
    </row>
    <row r="114" spans="1:51" ht="15.6" x14ac:dyDescent="0.35">
      <c r="A114" t="s">
        <v>4</v>
      </c>
      <c r="B114" s="13">
        <v>1</v>
      </c>
      <c r="C114" s="33">
        <f t="shared" ref="C114:G117" si="18">(C103/$L114)*$O114</f>
        <v>0</v>
      </c>
      <c r="D114" s="34">
        <f t="shared" si="18"/>
        <v>4.7460149828654332</v>
      </c>
      <c r="E114" s="19">
        <f t="shared" si="18"/>
        <v>0.36160114155165202</v>
      </c>
      <c r="F114" s="18">
        <f t="shared" si="18"/>
        <v>0</v>
      </c>
      <c r="G114" s="20">
        <f t="shared" si="18"/>
        <v>0</v>
      </c>
      <c r="H114" s="17">
        <f>SUM(C114:G114)</f>
        <v>5.1076161244170848</v>
      </c>
      <c r="I114" s="17">
        <f>D114/H114*100</f>
        <v>92.920353982300895</v>
      </c>
      <c r="J114" s="17">
        <f>SQRT(I114*(100-I114)/(L114-1))</f>
        <v>1.3950920035343215</v>
      </c>
      <c r="K114" s="18">
        <f>100-I114</f>
        <v>7.0796460176991047</v>
      </c>
      <c r="L114" s="1">
        <f>H103</f>
        <v>339</v>
      </c>
      <c r="M114">
        <v>1</v>
      </c>
      <c r="N114" s="1">
        <v>9323.42</v>
      </c>
      <c r="O114" s="17">
        <f>N114/N118*100</f>
        <v>5.1076161244170848</v>
      </c>
      <c r="P114" s="52">
        <f>((O114*O114*(I114/100)*(K114/100))/(L114-1))</f>
        <v>5.0774095728561616E-3</v>
      </c>
      <c r="R114" s="16" t="s">
        <v>323</v>
      </c>
      <c r="S114" t="s">
        <v>68</v>
      </c>
      <c r="T114" s="57">
        <f>$AA113*T106/100</f>
        <v>2614.67</v>
      </c>
      <c r="U114" s="57">
        <f>$AA113*U106/100</f>
        <v>10951.777238362127</v>
      </c>
      <c r="V114" s="57">
        <f>$AA113*V106/100</f>
        <v>103695.75125475775</v>
      </c>
      <c r="W114" s="57">
        <f>$AA113*W106/100</f>
        <v>42405.629299953638</v>
      </c>
      <c r="X114" s="57">
        <f>$AA113*X106/100</f>
        <v>22871.722206926494</v>
      </c>
      <c r="Z114" t="s">
        <v>36</v>
      </c>
      <c r="AA114" s="25">
        <f>SUM(T114:X114)</f>
        <v>182539.55000000002</v>
      </c>
      <c r="AC114" t="s">
        <v>208</v>
      </c>
      <c r="AD114" s="51">
        <v>0.93529411764705805</v>
      </c>
      <c r="AE114" s="51">
        <v>0.92761384562623195</v>
      </c>
      <c r="AH114" s="78"/>
      <c r="AI114" s="78"/>
      <c r="AJ114" s="107"/>
      <c r="AK114" s="113" t="s">
        <v>39</v>
      </c>
      <c r="AL114" s="114">
        <f>AS94</f>
        <v>0</v>
      </c>
      <c r="AM114" s="114">
        <f>AS95</f>
        <v>1.3678844450285044</v>
      </c>
      <c r="AN114" s="114">
        <f>AS96</f>
        <v>0.23895427878015812</v>
      </c>
      <c r="AO114" s="114">
        <f>AS97</f>
        <v>0.5531059527269635</v>
      </c>
      <c r="AP114" s="114">
        <f>AS98</f>
        <v>1.1912688532439148</v>
      </c>
      <c r="AQ114" s="107"/>
      <c r="AR114" s="107"/>
      <c r="AS114" s="107"/>
      <c r="AU114" s="95"/>
      <c r="AV114" s="1" t="s">
        <v>384</v>
      </c>
      <c r="AW114" s="99"/>
      <c r="AX114" s="1" t="s">
        <v>387</v>
      </c>
      <c r="AY114" s="99"/>
    </row>
    <row r="115" spans="1:51" x14ac:dyDescent="0.3">
      <c r="A115" t="s">
        <v>5</v>
      </c>
      <c r="B115" s="13">
        <v>2</v>
      </c>
      <c r="C115" s="33">
        <f t="shared" si="18"/>
        <v>0</v>
      </c>
      <c r="D115" s="19">
        <f t="shared" si="18"/>
        <v>0.99639675131729233</v>
      </c>
      <c r="E115" s="34">
        <f t="shared" si="18"/>
        <v>54.142666548502724</v>
      </c>
      <c r="F115" s="19">
        <f t="shared" si="18"/>
        <v>0.93508002815930524</v>
      </c>
      <c r="G115" s="20">
        <f t="shared" si="18"/>
        <v>0.63616100276411747</v>
      </c>
      <c r="H115" s="17">
        <f>SUM(C115:G115)</f>
        <v>56.71030433074344</v>
      </c>
      <c r="I115" s="17">
        <f>E115/H115*100</f>
        <v>95.472361129882415</v>
      </c>
      <c r="J115" s="17">
        <f>SQRT(I115*(100-I115)/(L115-1))</f>
        <v>0.24172276756712022</v>
      </c>
      <c r="K115" s="18">
        <f>100-I115</f>
        <v>4.5276388701175847</v>
      </c>
      <c r="L115" s="1">
        <f>H104</f>
        <v>7399</v>
      </c>
      <c r="M115">
        <v>2</v>
      </c>
      <c r="N115" s="1">
        <v>103518.74</v>
      </c>
      <c r="O115" s="17">
        <f>N115/N118*100</f>
        <v>56.710304330743433</v>
      </c>
      <c r="P115" s="52">
        <f>((O115*O115*(I115/100)*(K115/100))/(L115-1))</f>
        <v>1.8791397169666952E-2</v>
      </c>
      <c r="R115" s="66"/>
      <c r="S115" s="66" t="s">
        <v>67</v>
      </c>
      <c r="T115" s="67">
        <f>$AA113*T107/100</f>
        <v>0</v>
      </c>
      <c r="U115" s="67">
        <f>$AA113*U107/100</f>
        <v>214.330156490702</v>
      </c>
      <c r="V115" s="67">
        <f>$AA113*V107/100</f>
        <v>382.52472607006524</v>
      </c>
      <c r="W115" s="67">
        <f>$AA113*W107/100</f>
        <v>365.87178147258339</v>
      </c>
      <c r="X115" s="67">
        <f>$AA113*X107/100</f>
        <v>349.37526986067877</v>
      </c>
      <c r="AA115" s="1"/>
      <c r="AC115" t="s">
        <v>209</v>
      </c>
      <c r="AD115" s="51">
        <v>0.93313148788927303</v>
      </c>
      <c r="AE115" s="51">
        <v>0.92623198360749204</v>
      </c>
      <c r="AJ115" s="107"/>
      <c r="AK115" s="109" t="s">
        <v>56</v>
      </c>
      <c r="AL115" s="110">
        <f>AW83*100</f>
        <v>100</v>
      </c>
      <c r="AM115" s="110">
        <f>AW84*100</f>
        <v>79.596977329974806</v>
      </c>
      <c r="AN115" s="110">
        <f>AW85*100</f>
        <v>96.434171950637491</v>
      </c>
      <c r="AO115" s="110">
        <f>AW86*100</f>
        <v>91.367044799077107</v>
      </c>
      <c r="AP115" s="110">
        <f>AW87*100</f>
        <v>82.886597938144334</v>
      </c>
      <c r="AQ115" s="107"/>
      <c r="AR115" s="107"/>
      <c r="AS115" s="107"/>
      <c r="AU115" s="96"/>
      <c r="AV115" s="1" t="s">
        <v>385</v>
      </c>
      <c r="AW115" s="100"/>
      <c r="AX115" s="71" t="s">
        <v>388</v>
      </c>
      <c r="AY115" s="102"/>
    </row>
    <row r="116" spans="1:51" x14ac:dyDescent="0.3">
      <c r="A116" t="s">
        <v>6</v>
      </c>
      <c r="B116" s="13">
        <v>3</v>
      </c>
      <c r="C116" s="33">
        <f t="shared" si="18"/>
        <v>8.8812307360989044E-3</v>
      </c>
      <c r="D116" s="19">
        <f t="shared" si="18"/>
        <v>3.5524922944395618E-2</v>
      </c>
      <c r="E116" s="19">
        <f t="shared" si="18"/>
        <v>1.1190350727484619</v>
      </c>
      <c r="F116" s="34">
        <f t="shared" si="18"/>
        <v>20.995229460137807</v>
      </c>
      <c r="G116" s="20">
        <f t="shared" si="18"/>
        <v>0.95917291949868166</v>
      </c>
      <c r="H116" s="17">
        <f>SUM(C116:G116)</f>
        <v>23.117843606065446</v>
      </c>
      <c r="I116" s="17">
        <f>F116/H116*100</f>
        <v>90.818286592393392</v>
      </c>
      <c r="J116" s="17">
        <f>SQRT(I116*(100-I116)/(L116-1))</f>
        <v>0.56610223871796372</v>
      </c>
      <c r="K116" s="18">
        <f>100-I116</f>
        <v>9.1817134076066083</v>
      </c>
      <c r="L116" s="1">
        <f>H105</f>
        <v>2603</v>
      </c>
      <c r="M116">
        <v>3</v>
      </c>
      <c r="N116" s="1">
        <v>42199.21</v>
      </c>
      <c r="O116" s="17">
        <f>N116/N118*100</f>
        <v>23.117843606065446</v>
      </c>
      <c r="P116" s="52">
        <f>((O116*O116*(I116/100)*(K116/100))/(L116-1))</f>
        <v>1.7127121848226439E-2</v>
      </c>
      <c r="R116" t="s">
        <v>103</v>
      </c>
      <c r="S116" t="s">
        <v>28</v>
      </c>
      <c r="T116" s="57">
        <f>C321</f>
        <v>1.4341166065107536</v>
      </c>
      <c r="U116" s="57">
        <f t="shared" ref="U116:X119" si="19">D321</f>
        <v>6.0022815257092716</v>
      </c>
      <c r="V116" s="57">
        <f t="shared" si="19"/>
        <v>56.639385936784734</v>
      </c>
      <c r="W116" s="57">
        <f t="shared" si="19"/>
        <v>23.084866277997818</v>
      </c>
      <c r="X116" s="57">
        <f t="shared" si="19"/>
        <v>12.839349652997434</v>
      </c>
      <c r="Z116" s="74"/>
      <c r="AA116" s="12"/>
      <c r="AD116" s="51"/>
      <c r="AE116" s="51"/>
      <c r="AH116" s="78"/>
      <c r="AI116" s="78"/>
      <c r="AJ116" s="115" t="s">
        <v>379</v>
      </c>
      <c r="AK116" s="107" t="s">
        <v>9</v>
      </c>
      <c r="AL116" s="116">
        <f>AW94</f>
        <v>2628.45</v>
      </c>
      <c r="AM116" s="116">
        <f>AW95</f>
        <v>9346.4699999999993</v>
      </c>
      <c r="AN116" s="116">
        <f>AW96</f>
        <v>104272.76</v>
      </c>
      <c r="AO116" s="116">
        <f>AW97</f>
        <v>42144.81</v>
      </c>
      <c r="AP116" s="116">
        <f>AW98</f>
        <v>24147.07</v>
      </c>
      <c r="AQ116" s="107"/>
      <c r="AR116" s="115" t="s">
        <v>36</v>
      </c>
      <c r="AS116" s="137">
        <f>AW99</f>
        <v>182539.56</v>
      </c>
      <c r="AW116" s="102"/>
      <c r="AX116" s="1" t="s">
        <v>385</v>
      </c>
      <c r="AY116" s="104"/>
    </row>
    <row r="117" spans="1:51" ht="15.6" x14ac:dyDescent="0.35">
      <c r="A117" t="s">
        <v>7</v>
      </c>
      <c r="B117" s="13">
        <v>4</v>
      </c>
      <c r="C117" s="35">
        <f t="shared" si="18"/>
        <v>0</v>
      </c>
      <c r="D117" s="36">
        <f t="shared" si="18"/>
        <v>0</v>
      </c>
      <c r="E117" s="21">
        <f t="shared" si="18"/>
        <v>0.78069170207086447</v>
      </c>
      <c r="F117" s="21">
        <f t="shared" si="18"/>
        <v>1.405245063727556</v>
      </c>
      <c r="G117" s="37">
        <f t="shared" si="18"/>
        <v>11.440682033983942</v>
      </c>
      <c r="H117" s="17">
        <f>SUM(C117:G117)</f>
        <v>13.626618799782362</v>
      </c>
      <c r="I117" s="17">
        <f>G117/H117*100</f>
        <v>83.958333333333329</v>
      </c>
      <c r="J117" s="17">
        <f>SQRT(I117*(100-I117)/(L117-1))</f>
        <v>1.1850791155605922</v>
      </c>
      <c r="K117" s="18">
        <f>100-I117</f>
        <v>16.041666666666671</v>
      </c>
      <c r="L117" s="1">
        <f>H106</f>
        <v>960</v>
      </c>
      <c r="M117">
        <v>4</v>
      </c>
      <c r="N117" s="1">
        <v>24873.97</v>
      </c>
      <c r="O117" s="17">
        <f>N117/N118*100</f>
        <v>13.626618799782362</v>
      </c>
      <c r="P117" s="52">
        <f>((O117*O117*(I117/100)*(K117/100))/(L117-1))</f>
        <v>2.6077797167773677E-2</v>
      </c>
      <c r="S117" s="66" t="s">
        <v>39</v>
      </c>
      <c r="T117" s="67">
        <f>C322</f>
        <v>0</v>
      </c>
      <c r="U117" s="67">
        <f t="shared" si="19"/>
        <v>0.11138656689126449</v>
      </c>
      <c r="V117" s="67">
        <f t="shared" si="19"/>
        <v>0.20610566497731464</v>
      </c>
      <c r="W117" s="67">
        <f t="shared" si="19"/>
        <v>0.20494419744117567</v>
      </c>
      <c r="X117" s="67">
        <f t="shared" si="19"/>
        <v>0.19822972200067029</v>
      </c>
      <c r="AD117" s="51"/>
      <c r="AE117" s="51"/>
      <c r="AJ117" s="115" t="s">
        <v>378</v>
      </c>
      <c r="AK117" s="107" t="s">
        <v>68</v>
      </c>
      <c r="AL117" s="108">
        <f>$AS116*AL109/100</f>
        <v>2628.45</v>
      </c>
      <c r="AM117" s="108">
        <f>$AS116*AM109/100</f>
        <v>10679.637582026395</v>
      </c>
      <c r="AN117" s="108">
        <f>$AS116*AN109/100</f>
        <v>103565.59523174349</v>
      </c>
      <c r="AO117" s="108">
        <f>$AS116*AO109/100</f>
        <v>42748.369757407112</v>
      </c>
      <c r="AP117" s="108">
        <f>$AS116*AP109/100</f>
        <v>22917.50742882297</v>
      </c>
      <c r="AQ117" s="107"/>
      <c r="AR117" s="115" t="s">
        <v>36</v>
      </c>
      <c r="AS117" s="137">
        <f>SUM(AL117:AP117)</f>
        <v>182539.55999999997</v>
      </c>
    </row>
    <row r="118" spans="1:51" x14ac:dyDescent="0.3">
      <c r="B118" t="s">
        <v>28</v>
      </c>
      <c r="C118" s="17">
        <f t="shared" ref="C118:H118" si="20">SUM(C113:C117)</f>
        <v>1.4464983697277782</v>
      </c>
      <c r="D118" s="17">
        <f t="shared" si="20"/>
        <v>5.7779366571271211</v>
      </c>
      <c r="E118" s="17">
        <f t="shared" si="20"/>
        <v>56.403994464873698</v>
      </c>
      <c r="F118" s="17">
        <f t="shared" si="20"/>
        <v>23.335554552024668</v>
      </c>
      <c r="G118" s="17">
        <f t="shared" si="20"/>
        <v>13.036015956246741</v>
      </c>
      <c r="H118" s="18">
        <f t="shared" si="20"/>
        <v>100.00000000000001</v>
      </c>
      <c r="I118" s="13" t="s">
        <v>24</v>
      </c>
      <c r="J118" s="12" t="s">
        <v>29</v>
      </c>
      <c r="N118" s="1">
        <f>SUM(N113:N117)</f>
        <v>182539.56</v>
      </c>
      <c r="O118" s="17">
        <f>SUM(O113:O117)</f>
        <v>100.00000000000001</v>
      </c>
      <c r="S118" t="s">
        <v>30</v>
      </c>
      <c r="T118" s="57">
        <f>C323</f>
        <v>100</v>
      </c>
      <c r="U118" s="57">
        <f t="shared" si="19"/>
        <v>80.23261362294302</v>
      </c>
      <c r="V118" s="57">
        <f t="shared" si="19"/>
        <v>96.341189619378213</v>
      </c>
      <c r="W118" s="57">
        <f t="shared" si="19"/>
        <v>89.465235215941647</v>
      </c>
      <c r="X118" s="57">
        <f t="shared" si="19"/>
        <v>87.856416340860747</v>
      </c>
      <c r="AD118" s="51"/>
      <c r="AE118" s="51"/>
      <c r="AH118" s="78"/>
      <c r="AI118" s="78"/>
      <c r="AJ118" s="109"/>
      <c r="AK118" s="109" t="s">
        <v>377</v>
      </c>
      <c r="AL118" s="110">
        <f>$AS116*AL110/100</f>
        <v>0</v>
      </c>
      <c r="AM118" s="110">
        <f>$AS116*AM110/100</f>
        <v>208.96627109377849</v>
      </c>
      <c r="AN118" s="110">
        <f>$AS116*AN110/100</f>
        <v>373.81007323168802</v>
      </c>
      <c r="AO118" s="110">
        <f>$AS116*AO110/100</f>
        <v>368.84962622157371</v>
      </c>
      <c r="AP118" s="110">
        <f>$AS116*AP110/100</f>
        <v>350.57233609699188</v>
      </c>
      <c r="AQ118" s="107"/>
      <c r="AR118" s="107"/>
      <c r="AS118" s="107"/>
    </row>
    <row r="119" spans="1:51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8.87952461165014E-3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0.11349116250336867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0.20917742268226949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0.20508286684879795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0.19757794009944843</v>
      </c>
      <c r="H119" s="1"/>
      <c r="I119" s="56">
        <f>(C113+D114+E115+F116+G117)/H118</f>
        <v>0.92762210164481573</v>
      </c>
      <c r="J119" s="53">
        <f>SQRT(SUM(P113:P117))/100</f>
        <v>2.5898595668206264E-3</v>
      </c>
      <c r="M119" s="1"/>
      <c r="N119" s="9"/>
      <c r="S119" s="66" t="s">
        <v>39</v>
      </c>
      <c r="T119" s="67">
        <f>C324</f>
        <v>0</v>
      </c>
      <c r="U119" s="67">
        <f t="shared" si="19"/>
        <v>2.3017266086966033</v>
      </c>
      <c r="V119" s="67">
        <f t="shared" si="19"/>
        <v>0.27083760423829789</v>
      </c>
      <c r="W119" s="67">
        <f t="shared" si="19"/>
        <v>0.8511067358914588</v>
      </c>
      <c r="X119" s="67">
        <f t="shared" si="19"/>
        <v>1.726616920684497</v>
      </c>
      <c r="AD119" s="51"/>
      <c r="AE119" s="51"/>
      <c r="AJ119" s="115" t="s">
        <v>410</v>
      </c>
      <c r="AK119" s="122" t="s">
        <v>9</v>
      </c>
      <c r="AL119" s="136">
        <f>AVERAGE(AR195:AR214)</f>
        <v>2626.1444999999999</v>
      </c>
      <c r="AM119" s="136">
        <f>AVERAGE(AS195:AS214)</f>
        <v>9381.0889999999999</v>
      </c>
      <c r="AN119" s="136">
        <f>AVERAGE(AT195:AT214)</f>
        <v>104033.00799999999</v>
      </c>
      <c r="AO119" s="136">
        <f>AVERAGE(AU195:AU214)</f>
        <v>42025.1</v>
      </c>
      <c r="AP119" s="136">
        <f>AVERAGE(AV195:AV214)</f>
        <v>24474.207499999997</v>
      </c>
      <c r="AQ119" s="107"/>
      <c r="AR119" s="115" t="s">
        <v>36</v>
      </c>
      <c r="AS119" s="137">
        <f>SUM(AL119:AP119)</f>
        <v>182539.54899999997</v>
      </c>
    </row>
    <row r="120" spans="1:51" x14ac:dyDescent="0.3">
      <c r="B120" s="1" t="s">
        <v>30</v>
      </c>
      <c r="C120" s="17">
        <f>C113/C118*100</f>
        <v>99.386018614195166</v>
      </c>
      <c r="D120" s="17">
        <f>D114/D118*100</f>
        <v>82.140308288274397</v>
      </c>
      <c r="E120" s="17">
        <f>E115/E118*100</f>
        <v>95.990837284087661</v>
      </c>
      <c r="F120" s="17">
        <f>F116/F118*100</f>
        <v>89.970990032958937</v>
      </c>
      <c r="G120" s="17">
        <f>G117/G118*100</f>
        <v>87.762105173718126</v>
      </c>
      <c r="H120" s="1"/>
      <c r="S120" s="15" t="s">
        <v>31</v>
      </c>
      <c r="T120" s="71">
        <f>I316</f>
        <v>100</v>
      </c>
      <c r="U120" s="71">
        <f>I317</f>
        <v>95.280235988200587</v>
      </c>
      <c r="V120" s="71">
        <f>I318</f>
        <v>95.256115691309645</v>
      </c>
      <c r="W120" s="71">
        <f>I319</f>
        <v>91.087207068766801</v>
      </c>
      <c r="X120" s="71">
        <f>I320</f>
        <v>83.229166666666671</v>
      </c>
      <c r="AD120" s="51"/>
      <c r="AE120" s="51"/>
      <c r="AH120" s="78"/>
      <c r="AI120" s="78"/>
      <c r="AJ120" s="141"/>
      <c r="AK120" s="129" t="s">
        <v>394</v>
      </c>
      <c r="AL120" s="125">
        <f>_xlfn.STDEV.S(AR195:AR214)/SQRT($AK$108)</f>
        <v>4.7978768591183369</v>
      </c>
      <c r="AM120" s="125">
        <f>_xlfn.STDEV.S(AS195:AS214)/SQRT($AK$108)</f>
        <v>42.887673280571569</v>
      </c>
      <c r="AN120" s="125">
        <f>_xlfn.STDEV.S(AT195:AT214)/SQRT($AK$108)</f>
        <v>93.713141971713455</v>
      </c>
      <c r="AO120" s="125">
        <f>_xlfn.STDEV.S(AU195:AU214)/SQRT($AK$108)</f>
        <v>78.235566814185233</v>
      </c>
      <c r="AP120" s="125">
        <f>_xlfn.STDEV.S(AV195:AV214)/SQRT($AK$108)</f>
        <v>58.183914823125697</v>
      </c>
      <c r="AQ120" s="107"/>
      <c r="AR120" s="107"/>
      <c r="AS120" s="107"/>
    </row>
    <row r="121" spans="1:51" x14ac:dyDescent="0.3">
      <c r="B121" s="16" t="s">
        <v>39</v>
      </c>
      <c r="C121" s="18">
        <f>SQRT((C124+C125)/(C118*C118))</f>
        <v>0.61021165438368297</v>
      </c>
      <c r="D121" s="18">
        <f>SQRT((D124+D125)/(D118*D118))</f>
        <v>2.5360127203601612</v>
      </c>
      <c r="E121" s="18">
        <f>SQRT((E124+E125)/(E118*E118))</f>
        <v>0.28616216509796311</v>
      </c>
      <c r="F121" s="18">
        <f>SQRT((F124+F125)/(F118*F118))</f>
        <v>0.82906697183471201</v>
      </c>
      <c r="G121" s="18">
        <f>SQRT((G124+G125)/(G118*G118))</f>
        <v>1.699116881860927</v>
      </c>
      <c r="H121" s="1"/>
      <c r="S121" s="75" t="s">
        <v>39</v>
      </c>
      <c r="T121" s="76">
        <f>J316</f>
        <v>0</v>
      </c>
      <c r="U121" s="76">
        <f>J317</f>
        <v>1.153461767836518</v>
      </c>
      <c r="V121" s="76">
        <f>J318</f>
        <v>0.24714755313726086</v>
      </c>
      <c r="W121" s="76">
        <f>J319</f>
        <v>0.55857559294987813</v>
      </c>
      <c r="X121" s="76">
        <f>J320</f>
        <v>1.2064401752225082</v>
      </c>
      <c r="AD121" s="51"/>
      <c r="AE121" s="51"/>
      <c r="AJ121" s="119" t="s">
        <v>408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</row>
    <row r="122" spans="1:51" x14ac:dyDescent="0.3">
      <c r="B122" s="1" t="s">
        <v>37</v>
      </c>
      <c r="C122" s="18">
        <f>100-C120</f>
        <v>0.61398138580483419</v>
      </c>
      <c r="D122" s="18">
        <f>100-D120</f>
        <v>17.859691711725603</v>
      </c>
      <c r="E122" s="18">
        <f>100-E120</f>
        <v>4.0091627159123391</v>
      </c>
      <c r="F122" s="18">
        <f>100-F120</f>
        <v>10.029009967041063</v>
      </c>
      <c r="G122" s="18">
        <f>100-G120</f>
        <v>12.237894826281874</v>
      </c>
      <c r="S122" s="66" t="s">
        <v>56</v>
      </c>
      <c r="T122" s="67">
        <f>N305*100</f>
        <v>100</v>
      </c>
      <c r="U122" s="67">
        <f>N306*100</f>
        <v>79.26380368098161</v>
      </c>
      <c r="V122" s="67">
        <f>N307*100</f>
        <v>96.284153005464475</v>
      </c>
      <c r="W122" s="67">
        <f>N308*100</f>
        <v>91.192307692307693</v>
      </c>
      <c r="X122" s="67">
        <f>N309*100</f>
        <v>82.074987159732927</v>
      </c>
      <c r="AD122" s="51"/>
      <c r="AE122" s="51"/>
      <c r="AH122" s="78"/>
      <c r="AI122" s="78"/>
      <c r="AJ122" s="115" t="s">
        <v>409</v>
      </c>
      <c r="AK122" s="122" t="s">
        <v>9</v>
      </c>
      <c r="AL122" s="136">
        <v>172.86</v>
      </c>
      <c r="AM122" s="136">
        <v>1182.44</v>
      </c>
      <c r="AN122" s="136">
        <v>16238.62</v>
      </c>
      <c r="AO122" s="136">
        <v>2470.29</v>
      </c>
      <c r="AP122" s="136">
        <v>2080.64</v>
      </c>
      <c r="AQ122" s="107"/>
      <c r="AR122" s="115" t="s">
        <v>36</v>
      </c>
      <c r="AS122" s="137">
        <f>SUM(AL122:AP122)</f>
        <v>22144.850000000002</v>
      </c>
      <c r="AU122">
        <v>1</v>
      </c>
      <c r="AV122">
        <v>68</v>
      </c>
    </row>
    <row r="123" spans="1:51" ht="15.6" x14ac:dyDescent="0.35">
      <c r="B123" s="1" t="s">
        <v>25</v>
      </c>
      <c r="C123" s="1">
        <f>C107</f>
        <v>260</v>
      </c>
      <c r="D123" s="1">
        <f>D107</f>
        <v>449</v>
      </c>
      <c r="E123" s="1">
        <f>E107</f>
        <v>7269</v>
      </c>
      <c r="F123" s="1">
        <f>F107</f>
        <v>2585</v>
      </c>
      <c r="G123" s="1">
        <f>G107</f>
        <v>997</v>
      </c>
      <c r="R123" s="16" t="s">
        <v>66</v>
      </c>
      <c r="S123" t="s">
        <v>9</v>
      </c>
      <c r="T123" s="30">
        <f>N316</f>
        <v>2617.83</v>
      </c>
      <c r="U123" s="30">
        <f>N317</f>
        <v>9226.17</v>
      </c>
      <c r="V123" s="30">
        <f>N318</f>
        <v>104567</v>
      </c>
      <c r="W123" s="30">
        <f>N319</f>
        <v>41388.65</v>
      </c>
      <c r="X123" s="30">
        <f>N320</f>
        <v>24739.9</v>
      </c>
      <c r="Z123" t="s">
        <v>36</v>
      </c>
      <c r="AA123" s="1">
        <f>N321</f>
        <v>182539.55</v>
      </c>
      <c r="AD123" s="51"/>
      <c r="AE123" s="51"/>
      <c r="AJ123" s="107"/>
      <c r="AK123" s="107" t="s">
        <v>391</v>
      </c>
      <c r="AL123" s="108">
        <f>(AL122/$AS122)*100</f>
        <v>0.78058781161308377</v>
      </c>
      <c r="AM123" s="108">
        <f>(AM122/$AS122)*100</f>
        <v>5.3395710515085897</v>
      </c>
      <c r="AN123" s="108">
        <f>(AN122/$AS122)*100</f>
        <v>73.329103606481866</v>
      </c>
      <c r="AO123" s="108">
        <f>(AO122/$AS122)*100</f>
        <v>11.155144424098603</v>
      </c>
      <c r="AP123" s="108">
        <f>(AP122/$AS122)*100</f>
        <v>9.3955931062978504</v>
      </c>
      <c r="AQ123" s="107"/>
      <c r="AR123" s="107"/>
      <c r="AS123" s="107"/>
      <c r="AU123">
        <v>2</v>
      </c>
      <c r="AV123">
        <v>97</v>
      </c>
    </row>
    <row r="124" spans="1:51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161.95341623439461</v>
      </c>
      <c r="E124" s="18">
        <f>(O115*O115*(100-E120)*(100-E120)*(I115)*(100-I115))/((L115-1)*100)</f>
        <v>30.20413742241325</v>
      </c>
      <c r="F124" s="18">
        <f>(O116*O116*(100-F120)*(100-F120)*(I116)*(100-I116))/((L116-1)*100)</f>
        <v>172.26637434413166</v>
      </c>
      <c r="G124" s="18">
        <f>(O117*O117*(100-G120)*(100-G120)*(I117)*(100-I117))/((L117-1)*100)</f>
        <v>390.55691903149648</v>
      </c>
      <c r="R124" s="16" t="s">
        <v>323</v>
      </c>
      <c r="S124" t="s">
        <v>68</v>
      </c>
      <c r="T124" s="57">
        <f>$AA123*T116/100</f>
        <v>2617.83</v>
      </c>
      <c r="U124" s="57">
        <f>$AA123*U116/100</f>
        <v>10956.537686762838</v>
      </c>
      <c r="V124" s="57">
        <f>$AA123*V116/100</f>
        <v>103389.28021177012</v>
      </c>
      <c r="W124" s="57">
        <f>$AA123*W116/100</f>
        <v>42139.011021958962</v>
      </c>
      <c r="X124" s="57">
        <f>$AA123*X116/100</f>
        <v>23436.891079508074</v>
      </c>
      <c r="Z124" t="s">
        <v>36</v>
      </c>
      <c r="AA124" s="25">
        <f>SUM(T124:X124)</f>
        <v>182539.55</v>
      </c>
      <c r="AD124" s="51"/>
      <c r="AE124" s="51"/>
      <c r="AH124" s="78"/>
      <c r="AI124" s="78"/>
      <c r="AJ124" s="115" t="s">
        <v>410</v>
      </c>
      <c r="AK124" s="122" t="s">
        <v>9</v>
      </c>
      <c r="AL124" s="136">
        <f>AVERAGE(AR216:AR235)</f>
        <v>172.554</v>
      </c>
      <c r="AM124" s="140">
        <f>AVERAGE(AS216:AS235)</f>
        <v>1189.7774999999997</v>
      </c>
      <c r="AN124" s="136">
        <f>AVERAGE(AT216:AT235)</f>
        <v>16200.940500000002</v>
      </c>
      <c r="AO124" s="136">
        <f>AVERAGE(AU216:AU235)</f>
        <v>2457.2175000000002</v>
      </c>
      <c r="AP124" s="136">
        <f>AVERAGE(AV216:AV235)</f>
        <v>2124.3645000000001</v>
      </c>
      <c r="AQ124" s="107"/>
      <c r="AR124" s="115" t="s">
        <v>36</v>
      </c>
      <c r="AS124" s="137">
        <f>SUM(AL124:AP124)</f>
        <v>22144.853999999999</v>
      </c>
      <c r="AU124">
        <v>3</v>
      </c>
      <c r="AV124">
        <v>126</v>
      </c>
    </row>
    <row r="125" spans="1:51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0.77910661710041051</v>
      </c>
      <c r="D125" s="18">
        <f>D120*D120*(SUM((H113*D113*(1-D102/H102))/(H102-1),(H115*D115*(1-D104/H104))/(H104-1), (H116*D116*(1-D105/H105))/(H105-1),(H117*D117*(1-D106/H106))/(H106-1)))</f>
        <v>52.754673492380668</v>
      </c>
      <c r="E125" s="18">
        <f>E120*E120*(SUM((H113*E113*(1-E102/H102))/(H102-1),(H114*E114*(1-E103/H103))/(H103-1), (H116*E116*(1-E105/H105))/(H105-1),(H117*E117*(1-E106/H106))/(H106-1)))</f>
        <v>230.31770966163549</v>
      </c>
      <c r="F125" s="18">
        <f>F120*F120*(SUM((H113*F113*(1-F102/H102))/(H102-1),(H114*F114*(1-F103/H103))/(H103-1), (H115*F115*(1-F104/H104))/(H104-1),(H117*F117*(1-F106/H106))/(H106-1)))</f>
        <v>202.02987942760078</v>
      </c>
      <c r="G125" s="18">
        <f>G120*G120*(SUM((H113*G113*(1-G102/H102))/(H102-1),(H114*G114*(1-G103/H103))/(H103-1), (H115*G115*(1-G104/H104))/(H104-1),(H116*G116*(1-G105/H105))/(H105-1)))</f>
        <v>100.0529459574513</v>
      </c>
      <c r="R125" s="66"/>
      <c r="S125" s="66" t="s">
        <v>67</v>
      </c>
      <c r="T125" s="67">
        <f>$AA123*T117/100</f>
        <v>0</v>
      </c>
      <c r="U125" s="67">
        <f>$AA123*U117/100</f>
        <v>203.32453796376319</v>
      </c>
      <c r="V125" s="67">
        <f>$AA123*V117/100</f>
        <v>376.22435337409769</v>
      </c>
      <c r="W125" s="67">
        <f>$AA123*W117/100</f>
        <v>374.10421576023356</v>
      </c>
      <c r="X125" s="67">
        <f>$AA123*X117/100</f>
        <v>361.8476425062745</v>
      </c>
      <c r="AA125" s="1"/>
      <c r="AD125" s="51"/>
      <c r="AE125" s="51"/>
      <c r="AJ125" s="107"/>
      <c r="AK125" s="129" t="s">
        <v>394</v>
      </c>
      <c r="AL125" s="125">
        <f>_xlfn.STDEV.S(AR216:AR235)/SQRT($AK$108)</f>
        <v>0.42961512763721088</v>
      </c>
      <c r="AM125" s="125">
        <f>_xlfn.STDEV.S(AS216:AS235)/SQRT($AK$108)</f>
        <v>8.5533499400742645</v>
      </c>
      <c r="AN125" s="125">
        <f>_xlfn.STDEV.S(AT216:AT235)/SQRT($AK$108)</f>
        <v>12.112208422974673</v>
      </c>
      <c r="AO125" s="125">
        <f>_xlfn.STDEV.S(AU216:AU235)/SQRT($AK$108)</f>
        <v>6.266727672692042</v>
      </c>
      <c r="AP125" s="125">
        <f>_xlfn.STDEV.S(AV216:AV235)/SQRT($AK$108)</f>
        <v>8.689815438504036</v>
      </c>
      <c r="AQ125" s="107"/>
      <c r="AR125" s="107"/>
      <c r="AS125" s="142"/>
      <c r="AU125">
        <v>4</v>
      </c>
      <c r="AV125">
        <v>155</v>
      </c>
    </row>
    <row r="126" spans="1:51" x14ac:dyDescent="0.3">
      <c r="R126" t="s">
        <v>104</v>
      </c>
      <c r="S126" t="s">
        <v>28</v>
      </c>
      <c r="T126" s="57">
        <f>C350</f>
        <v>1.4277016365878865</v>
      </c>
      <c r="U126" s="57">
        <f t="shared" ref="U126:X129" si="21">D350</f>
        <v>5.9555235484064957</v>
      </c>
      <c r="V126" s="57">
        <f t="shared" si="21"/>
        <v>56.635920355309082</v>
      </c>
      <c r="W126" s="57">
        <f t="shared" si="21"/>
        <v>23.325401577473855</v>
      </c>
      <c r="X126" s="57">
        <f t="shared" si="21"/>
        <v>12.655452882222676</v>
      </c>
      <c r="Y126" s="13"/>
      <c r="Z126" s="74"/>
      <c r="AA126" s="12"/>
      <c r="AD126" s="51"/>
      <c r="AE126" s="51"/>
      <c r="AH126" s="78"/>
      <c r="AI126" s="78"/>
      <c r="AJ126" s="119" t="s">
        <v>610</v>
      </c>
      <c r="AK126" s="107"/>
      <c r="AL126" s="116"/>
      <c r="AM126" s="116"/>
      <c r="AN126" s="116"/>
      <c r="AO126" s="116"/>
      <c r="AP126" s="116"/>
      <c r="AQ126" s="107"/>
      <c r="AR126" s="107"/>
      <c r="AS126" s="142"/>
      <c r="AU126">
        <v>5</v>
      </c>
      <c r="AV126">
        <v>184</v>
      </c>
    </row>
    <row r="127" spans="1:51" x14ac:dyDescent="0.3">
      <c r="S127" s="66" t="s">
        <v>39</v>
      </c>
      <c r="T127" s="67">
        <f>C351</f>
        <v>0</v>
      </c>
      <c r="U127" s="67">
        <f t="shared" si="21"/>
        <v>0.1111062367135599</v>
      </c>
      <c r="V127" s="67">
        <f t="shared" si="21"/>
        <v>0.20565494928749745</v>
      </c>
      <c r="W127" s="67">
        <f t="shared" si="21"/>
        <v>0.2043675440717288</v>
      </c>
      <c r="X127" s="67">
        <f t="shared" si="21"/>
        <v>0.19641147502027964</v>
      </c>
      <c r="AD127" s="51"/>
      <c r="AE127" s="51"/>
      <c r="AJ127" s="115" t="s">
        <v>409</v>
      </c>
      <c r="AK127" s="122" t="s">
        <v>9</v>
      </c>
      <c r="AL127" s="136">
        <v>40.92</v>
      </c>
      <c r="AM127" s="136">
        <v>235.73</v>
      </c>
      <c r="AN127" s="136">
        <v>16056.11</v>
      </c>
      <c r="AO127" s="136">
        <v>14772.43</v>
      </c>
      <c r="AP127" s="136">
        <v>11804.65</v>
      </c>
      <c r="AQ127" s="107"/>
      <c r="AR127" s="115" t="s">
        <v>36</v>
      </c>
      <c r="AS127" s="137">
        <f>SUM(AL127:AP127)</f>
        <v>42909.840000000004</v>
      </c>
      <c r="AU127">
        <v>6</v>
      </c>
      <c r="AV127">
        <v>213</v>
      </c>
    </row>
    <row r="128" spans="1:51" x14ac:dyDescent="0.3">
      <c r="A128" s="361" t="s">
        <v>405</v>
      </c>
      <c r="B128" s="361"/>
      <c r="C128" s="361"/>
      <c r="D128" s="361"/>
      <c r="E128" s="361"/>
      <c r="F128" s="361"/>
      <c r="G128" s="361"/>
      <c r="H128" s="361"/>
      <c r="I128" s="361"/>
      <c r="J128" s="361"/>
      <c r="K128" s="361"/>
      <c r="L128" s="361" t="s">
        <v>64</v>
      </c>
      <c r="M128" s="361"/>
      <c r="N128" s="361"/>
      <c r="O128" s="361"/>
      <c r="P128" s="361"/>
      <c r="S128" t="s">
        <v>30</v>
      </c>
      <c r="T128" s="57">
        <f>C352</f>
        <v>100</v>
      </c>
      <c r="U128" s="57">
        <f t="shared" si="21"/>
        <v>80.074263038732298</v>
      </c>
      <c r="V128" s="57">
        <f t="shared" si="21"/>
        <v>96.344012619260667</v>
      </c>
      <c r="W128" s="57">
        <f t="shared" si="21"/>
        <v>89.686478658558585</v>
      </c>
      <c r="X128" s="57">
        <f t="shared" si="21"/>
        <v>87.584975679415038</v>
      </c>
      <c r="AD128" s="51"/>
      <c r="AE128" s="51"/>
      <c r="AH128" s="78"/>
      <c r="AI128" s="78"/>
      <c r="AJ128" s="107"/>
      <c r="AK128" s="107" t="s">
        <v>391</v>
      </c>
      <c r="AL128" s="108">
        <f>(AL127/$AS127)*100</f>
        <v>9.5362741972470647E-2</v>
      </c>
      <c r="AM128" s="108">
        <f>(AM127/$AS127)*100</f>
        <v>0.5493611721693672</v>
      </c>
      <c r="AN128" s="108">
        <f>(AN127/$AS127)*100</f>
        <v>37.418247189921935</v>
      </c>
      <c r="AO128" s="108">
        <f>(AO127/$AS127)*100</f>
        <v>34.426672297076841</v>
      </c>
      <c r="AP128" s="108">
        <f>(AP127/$AS127)*100</f>
        <v>27.510356598859371</v>
      </c>
      <c r="AQ128" s="107"/>
      <c r="AR128" s="107"/>
      <c r="AS128" s="142"/>
      <c r="AU128">
        <v>7</v>
      </c>
      <c r="AV128">
        <v>242</v>
      </c>
    </row>
    <row r="129" spans="1:48" x14ac:dyDescent="0.3">
      <c r="A129" t="s">
        <v>320</v>
      </c>
      <c r="B129" t="s">
        <v>21</v>
      </c>
      <c r="I129" s="1" t="s">
        <v>58</v>
      </c>
      <c r="O129" s="143"/>
      <c r="P129" s="143"/>
      <c r="S129" s="66" t="s">
        <v>39</v>
      </c>
      <c r="T129" s="67">
        <f>C353</f>
        <v>0</v>
      </c>
      <c r="U129" s="67">
        <f t="shared" si="21"/>
        <v>2.3156063218852285</v>
      </c>
      <c r="V129" s="67">
        <f t="shared" si="21"/>
        <v>0.26984745179766279</v>
      </c>
      <c r="W129" s="67">
        <f t="shared" si="21"/>
        <v>0.83444910241031744</v>
      </c>
      <c r="X129" s="67">
        <f t="shared" si="21"/>
        <v>1.7598571501315223</v>
      </c>
      <c r="AD129" s="51"/>
      <c r="AE129" s="51"/>
      <c r="AJ129" s="115" t="s">
        <v>410</v>
      </c>
      <c r="AK129" s="122" t="s">
        <v>9</v>
      </c>
      <c r="AL129" s="136">
        <f>AVERAGE(AL195:AL214)</f>
        <v>43.940500000000007</v>
      </c>
      <c r="AM129" s="136">
        <f>AVERAGE(AM195:AM214)</f>
        <v>240.51400000000004</v>
      </c>
      <c r="AN129" s="136">
        <f>AVERAGE(AN195:AN214)</f>
        <v>16000.021499999999</v>
      </c>
      <c r="AO129" s="136">
        <f>AVERAGE(AO195:AO214)</f>
        <v>14747.1055</v>
      </c>
      <c r="AP129" s="136">
        <f>AVERAGE(AP195:AP214)</f>
        <v>11878.2585</v>
      </c>
      <c r="AQ129" s="107"/>
      <c r="AR129" s="115" t="s">
        <v>36</v>
      </c>
      <c r="AS129" s="137">
        <f>SUM(AL129:AP129)</f>
        <v>42909.84</v>
      </c>
      <c r="AU129">
        <v>8</v>
      </c>
      <c r="AV129">
        <v>271</v>
      </c>
    </row>
    <row r="130" spans="1:48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56</v>
      </c>
      <c r="O130" s="13"/>
      <c r="P130" s="13"/>
      <c r="S130" s="15" t="s">
        <v>31</v>
      </c>
      <c r="T130" s="71">
        <f>I345</f>
        <v>100</v>
      </c>
      <c r="U130" s="71">
        <f>I346</f>
        <v>95.280235988200587</v>
      </c>
      <c r="V130" s="71">
        <f>I347</f>
        <v>95.256115691309645</v>
      </c>
      <c r="W130" s="71">
        <f>I348</f>
        <v>91.087207068766801</v>
      </c>
      <c r="X130" s="71">
        <f>I349</f>
        <v>83.229166666666671</v>
      </c>
      <c r="AD130" s="51"/>
      <c r="AE130" s="51"/>
      <c r="AH130" s="78"/>
      <c r="AI130" s="78"/>
      <c r="AJ130" s="107"/>
      <c r="AK130" s="129" t="s">
        <v>394</v>
      </c>
      <c r="AL130" s="125">
        <f>_xlfn.STDEV.S(AL195:AL214)/SQRT($AK$108)</f>
        <v>1.2008552818282068</v>
      </c>
      <c r="AM130" s="125">
        <f>_xlfn.STDEV.S(AM195:AM214)/SQRT($AK$108)</f>
        <v>3.221561357315327</v>
      </c>
      <c r="AN130" s="125">
        <f>_xlfn.STDEV.S(AN195:AN214)/SQRT($AK$108)</f>
        <v>23.676627796815708</v>
      </c>
      <c r="AO130" s="125">
        <f>_xlfn.STDEV.S(AO195:AO214)/SQRT($AK$108)</f>
        <v>29.689655973570105</v>
      </c>
      <c r="AP130" s="125">
        <f>_xlfn.STDEV.S(AP195:AP214)/SQRT($AK$108)</f>
        <v>22.518494016614785</v>
      </c>
      <c r="AQ130" s="107"/>
      <c r="AR130" s="107"/>
      <c r="AS130" s="142"/>
      <c r="AU130">
        <v>9</v>
      </c>
      <c r="AV130">
        <v>300</v>
      </c>
    </row>
    <row r="131" spans="1:48" x14ac:dyDescent="0.3">
      <c r="A131" t="s">
        <v>3</v>
      </c>
      <c r="B131" s="13">
        <v>0</v>
      </c>
      <c r="C131" s="26">
        <v>259</v>
      </c>
      <c r="D131" s="3">
        <v>0</v>
      </c>
      <c r="E131" s="3">
        <v>0</v>
      </c>
      <c r="F131" s="3">
        <v>0</v>
      </c>
      <c r="G131" s="4">
        <v>0</v>
      </c>
      <c r="H131" s="1">
        <f>SUM(C131:G131)</f>
        <v>259</v>
      </c>
      <c r="I131" s="10">
        <f>C131/H131</f>
        <v>1</v>
      </c>
      <c r="J131" s="11">
        <f>1-I131</f>
        <v>0</v>
      </c>
      <c r="K131">
        <f>H131-C136</f>
        <v>0</v>
      </c>
      <c r="N131" s="10">
        <f>2*(C137*I131)/(C137+I131)</f>
        <v>1</v>
      </c>
      <c r="O131" s="1"/>
      <c r="P131" s="1"/>
      <c r="S131" s="75" t="s">
        <v>39</v>
      </c>
      <c r="T131" s="76">
        <f>J345</f>
        <v>0</v>
      </c>
      <c r="U131" s="76">
        <f>J346</f>
        <v>1.153461767836518</v>
      </c>
      <c r="V131" s="76">
        <f>J347</f>
        <v>0.24714755313726086</v>
      </c>
      <c r="W131" s="76">
        <f>J348</f>
        <v>0.55857559294987813</v>
      </c>
      <c r="X131" s="76">
        <f>J349</f>
        <v>1.2064401752225082</v>
      </c>
      <c r="AD131" s="51"/>
      <c r="AE131" s="51"/>
      <c r="AJ131" s="119" t="s">
        <v>611</v>
      </c>
      <c r="AK131" s="107"/>
      <c r="AL131" s="116"/>
      <c r="AM131" s="116"/>
      <c r="AN131" s="116"/>
      <c r="AO131" s="116"/>
      <c r="AP131" s="116"/>
      <c r="AQ131" s="107"/>
      <c r="AR131" s="107"/>
      <c r="AS131" s="142"/>
      <c r="AU131">
        <v>10</v>
      </c>
      <c r="AV131">
        <v>329</v>
      </c>
    </row>
    <row r="132" spans="1:48" x14ac:dyDescent="0.3">
      <c r="A132" t="s">
        <v>4</v>
      </c>
      <c r="B132" s="13">
        <v>1</v>
      </c>
      <c r="C132" s="5">
        <v>0</v>
      </c>
      <c r="D132" s="27">
        <v>318</v>
      </c>
      <c r="E132" s="1">
        <v>21</v>
      </c>
      <c r="F132" s="1">
        <v>0</v>
      </c>
      <c r="G132" s="6">
        <v>0</v>
      </c>
      <c r="H132" s="1">
        <f>SUM(C132:G132)</f>
        <v>339</v>
      </c>
      <c r="I132" s="10">
        <f>D132/H132</f>
        <v>0.93805309734513276</v>
      </c>
      <c r="J132" s="11">
        <f>1-I132</f>
        <v>6.1946902654867242E-2</v>
      </c>
      <c r="K132">
        <f>H132-D136</f>
        <v>-128</v>
      </c>
      <c r="N132" s="10">
        <f>2*(D137*I132)/(D137+I132)</f>
        <v>0.78908188585607941</v>
      </c>
      <c r="O132" s="1"/>
      <c r="P132" s="1"/>
      <c r="S132" s="66" t="s">
        <v>56</v>
      </c>
      <c r="T132" s="67">
        <f>N334*100</f>
        <v>100</v>
      </c>
      <c r="U132" s="67">
        <f>N335*100</f>
        <v>79.26380368098161</v>
      </c>
      <c r="V132" s="67">
        <f>N336*100</f>
        <v>96.284153005464475</v>
      </c>
      <c r="W132" s="67">
        <f>N337*100</f>
        <v>91.192307692307693</v>
      </c>
      <c r="X132" s="67">
        <f>N338*100</f>
        <v>82.074987159732927</v>
      </c>
      <c r="AD132" s="51"/>
      <c r="AE132" s="51"/>
      <c r="AH132" s="78"/>
      <c r="AI132" s="78"/>
      <c r="AJ132" s="115" t="s">
        <v>409</v>
      </c>
      <c r="AK132" s="122" t="s">
        <v>9</v>
      </c>
      <c r="AL132" s="136">
        <v>0</v>
      </c>
      <c r="AM132" s="136">
        <v>5.9</v>
      </c>
      <c r="AN132" s="136">
        <v>1279.71</v>
      </c>
      <c r="AO132" s="136">
        <v>417.34</v>
      </c>
      <c r="AP132" s="136">
        <v>150.27000000000001</v>
      </c>
      <c r="AQ132" s="107"/>
      <c r="AR132" s="115" t="s">
        <v>36</v>
      </c>
      <c r="AS132" s="137">
        <f>SUM(AL132:AP132)</f>
        <v>1853.22</v>
      </c>
      <c r="AU132">
        <v>11</v>
      </c>
      <c r="AV132">
        <v>358</v>
      </c>
    </row>
    <row r="133" spans="1:48" x14ac:dyDescent="0.3">
      <c r="A133" t="s">
        <v>5</v>
      </c>
      <c r="B133" s="13">
        <v>2</v>
      </c>
      <c r="C133" s="5">
        <v>0</v>
      </c>
      <c r="D133" s="1">
        <v>145</v>
      </c>
      <c r="E133" s="27">
        <v>7065</v>
      </c>
      <c r="F133" s="1">
        <v>120</v>
      </c>
      <c r="G133" s="6">
        <v>69</v>
      </c>
      <c r="H133" s="1">
        <f>SUM(C133:G133)</f>
        <v>7399</v>
      </c>
      <c r="I133" s="10">
        <f>E133/H133</f>
        <v>0.95485876469793218</v>
      </c>
      <c r="J133" s="11">
        <f>1-I133</f>
        <v>4.5141235302067817E-2</v>
      </c>
      <c r="K133">
        <f>H133-E136</f>
        <v>136</v>
      </c>
      <c r="N133" s="10">
        <f>2*(E137*I133)/(E137+I133)</f>
        <v>0.9637157277315509</v>
      </c>
      <c r="O133" s="1"/>
      <c r="P133" s="1"/>
      <c r="R133" s="16" t="s">
        <v>66</v>
      </c>
      <c r="S133" t="s">
        <v>9</v>
      </c>
      <c r="T133" s="30">
        <f>N345</f>
        <v>2606.12</v>
      </c>
      <c r="U133" s="30">
        <f>N346</f>
        <v>9136.23</v>
      </c>
      <c r="V133" s="30">
        <f>N347</f>
        <v>104563.66</v>
      </c>
      <c r="W133" s="30">
        <f>N348</f>
        <v>41923.32</v>
      </c>
      <c r="X133" s="30">
        <f>N349</f>
        <v>24310.21</v>
      </c>
      <c r="Z133" t="s">
        <v>36</v>
      </c>
      <c r="AA133" s="1">
        <f>N350</f>
        <v>182539.54</v>
      </c>
      <c r="AD133" s="51"/>
      <c r="AE133" s="51"/>
      <c r="AJ133" s="107"/>
      <c r="AK133" s="107" t="s">
        <v>391</v>
      </c>
      <c r="AL133" s="108">
        <f>(AL132/$AS132)*100</f>
        <v>0</v>
      </c>
      <c r="AM133" s="108">
        <f>(AM132/$AS132)*100</f>
        <v>0.31836479209160273</v>
      </c>
      <c r="AN133" s="108">
        <f>(AN132/$AS132)*100</f>
        <v>69.053323404668632</v>
      </c>
      <c r="AO133" s="108">
        <f>(AO132/$AS132)*100</f>
        <v>22.519722429069404</v>
      </c>
      <c r="AP133" s="108">
        <f>(AP132/$AS132)*100</f>
        <v>8.1085893741703643</v>
      </c>
      <c r="AQ133" s="107"/>
      <c r="AR133" s="107"/>
      <c r="AS133" s="142"/>
      <c r="AU133">
        <v>12</v>
      </c>
      <c r="AV133">
        <v>387</v>
      </c>
    </row>
    <row r="134" spans="1:48" ht="15.6" x14ac:dyDescent="0.35">
      <c r="A134" t="s">
        <v>6</v>
      </c>
      <c r="B134" s="13">
        <v>3</v>
      </c>
      <c r="C134" s="5">
        <v>0</v>
      </c>
      <c r="D134" s="1">
        <v>4</v>
      </c>
      <c r="E134" s="1">
        <v>117</v>
      </c>
      <c r="F134" s="27">
        <v>2377</v>
      </c>
      <c r="G134" s="6">
        <v>105</v>
      </c>
      <c r="H134" s="1">
        <f>SUM(C134:G134)</f>
        <v>2603</v>
      </c>
      <c r="I134" s="10">
        <f>F134/H134</f>
        <v>0.9131771033422974</v>
      </c>
      <c r="J134" s="11">
        <f>1-I134</f>
        <v>8.6822896657702597E-2</v>
      </c>
      <c r="K134">
        <f>H134-F136</f>
        <v>8</v>
      </c>
      <c r="N134" s="10">
        <f>2*(F137*I134)/(F137+I134)</f>
        <v>0.9145825317429781</v>
      </c>
      <c r="O134" s="1"/>
      <c r="P134" s="1"/>
      <c r="R134" s="16" t="s">
        <v>323</v>
      </c>
      <c r="S134" t="s">
        <v>68</v>
      </c>
      <c r="T134" s="57">
        <f>$AA133*T126/100</f>
        <v>2606.12</v>
      </c>
      <c r="U134" s="57">
        <f>$AA133*U126/100</f>
        <v>10871.185289852894</v>
      </c>
      <c r="V134" s="57">
        <f>$AA133*V126/100</f>
        <v>103382.94849134756</v>
      </c>
      <c r="W134" s="57">
        <f>$AA133*W126/100</f>
        <v>42578.080742673519</v>
      </c>
      <c r="X134" s="57">
        <f>$AA133*X126/100</f>
        <v>23101.205476126015</v>
      </c>
      <c r="Z134" t="s">
        <v>36</v>
      </c>
      <c r="AA134" s="25">
        <f>SUM(T134:X134)</f>
        <v>182539.54</v>
      </c>
      <c r="AD134" s="51"/>
      <c r="AE134" s="51"/>
      <c r="AH134" s="78"/>
      <c r="AI134" s="78"/>
      <c r="AJ134" s="115" t="s">
        <v>410</v>
      </c>
      <c r="AK134" s="122" t="s">
        <v>9</v>
      </c>
      <c r="AL134" s="136">
        <f>AVERAGE(AL216:AL235)</f>
        <v>8.9999999999999993E-3</v>
      </c>
      <c r="AM134" s="136">
        <f>AVERAGE(AM216:AM235)</f>
        <v>6.3680000000000003</v>
      </c>
      <c r="AN134" s="136">
        <f>AVERAGE(AN216:AN235)</f>
        <v>1272.7224999999999</v>
      </c>
      <c r="AO134" s="136">
        <f>AVERAGE(AO216:AO235)</f>
        <v>417.59499999999997</v>
      </c>
      <c r="AP134" s="136">
        <f>AVERAGE(AP216:AP235)</f>
        <v>156.524</v>
      </c>
      <c r="AQ134" s="107"/>
      <c r="AR134" s="115" t="s">
        <v>36</v>
      </c>
      <c r="AS134" s="137">
        <f>SUM(AL134:AP134)</f>
        <v>1853.2184999999999</v>
      </c>
      <c r="AU134">
        <v>13</v>
      </c>
      <c r="AV134">
        <v>416</v>
      </c>
    </row>
    <row r="135" spans="1:48" x14ac:dyDescent="0.3">
      <c r="A135" t="s">
        <v>7</v>
      </c>
      <c r="B135" s="13">
        <v>4</v>
      </c>
      <c r="C135" s="7">
        <v>0</v>
      </c>
      <c r="D135" s="8">
        <v>0</v>
      </c>
      <c r="E135" s="8">
        <v>60</v>
      </c>
      <c r="F135" s="8">
        <v>98</v>
      </c>
      <c r="G135" s="28">
        <v>802</v>
      </c>
      <c r="H135" s="1">
        <f>SUM(C135:G135)</f>
        <v>960</v>
      </c>
      <c r="I135" s="10">
        <f>G135/H135</f>
        <v>0.8354166666666667</v>
      </c>
      <c r="J135" s="11">
        <f>1-I135</f>
        <v>0.1645833333333333</v>
      </c>
      <c r="K135">
        <f>H135-G136</f>
        <v>-16</v>
      </c>
      <c r="N135" s="10">
        <f>2*(G137*I135)/(G137+I135)</f>
        <v>0.82851239669421495</v>
      </c>
      <c r="O135" s="1"/>
      <c r="P135" s="1"/>
      <c r="R135" s="66"/>
      <c r="S135" s="66" t="s">
        <v>67</v>
      </c>
      <c r="T135" s="67">
        <f>$AA133*T127/100</f>
        <v>0</v>
      </c>
      <c r="U135" s="67">
        <f>$AA133*U127/100</f>
        <v>202.81281340824339</v>
      </c>
      <c r="V135" s="67">
        <f>$AA133*V127/100</f>
        <v>375.40159841663115</v>
      </c>
      <c r="W135" s="67">
        <f>$AA133*W127/100</f>
        <v>373.0515748578311</v>
      </c>
      <c r="X135" s="67">
        <f>$AA133*X127/100</f>
        <v>358.52860300923339</v>
      </c>
      <c r="AA135" s="1"/>
      <c r="AD135" s="51"/>
      <c r="AE135" s="51"/>
      <c r="AJ135" s="107"/>
      <c r="AK135" s="129" t="s">
        <v>394</v>
      </c>
      <c r="AL135" s="125">
        <f>_xlfn.STDEV.S(AL216:AL235)/SQRT($AK$108)</f>
        <v>6.1942248145051672E-3</v>
      </c>
      <c r="AM135" s="125">
        <f>_xlfn.STDEV.S(AM216:AM235)/SQRT($AK$108)</f>
        <v>0.18240296627320118</v>
      </c>
      <c r="AN135" s="125">
        <f>_xlfn.STDEV.S(AN216:AN235)/SQRT($AK$108)</f>
        <v>1.6938601003251972</v>
      </c>
      <c r="AO135" s="125">
        <f>_xlfn.STDEV.S(AO216:AO235)/SQRT($AK$108)</f>
        <v>1.1319937000010678</v>
      </c>
      <c r="AP135" s="125">
        <f>_xlfn.STDEV.S(AP216:AP235)/SQRT($AK$108)</f>
        <v>1.2960040610722596</v>
      </c>
      <c r="AQ135" s="107"/>
      <c r="AR135" s="107"/>
      <c r="AS135" s="107"/>
      <c r="AU135">
        <v>14</v>
      </c>
      <c r="AV135">
        <v>445</v>
      </c>
    </row>
    <row r="136" spans="1:48" ht="15.6" x14ac:dyDescent="0.35">
      <c r="B136" s="1" t="s">
        <v>19</v>
      </c>
      <c r="C136" s="1">
        <f>SUM(C131:C135)</f>
        <v>259</v>
      </c>
      <c r="D136" s="1">
        <f>SUM(D131:D135)</f>
        <v>467</v>
      </c>
      <c r="E136" s="1">
        <f>SUM(E131:E135)</f>
        <v>7263</v>
      </c>
      <c r="F136" s="1">
        <f>SUM(F131:F135)</f>
        <v>2595</v>
      </c>
      <c r="G136" s="1">
        <f>SUM(G131:G135)</f>
        <v>976</v>
      </c>
      <c r="H136" s="1">
        <f>SUM(H130:H135)</f>
        <v>11560</v>
      </c>
      <c r="I136" s="13" t="s">
        <v>12</v>
      </c>
      <c r="N136" s="16"/>
      <c r="O136" s="1"/>
      <c r="P136" s="1"/>
      <c r="R136" t="s">
        <v>105</v>
      </c>
      <c r="S136" t="s">
        <v>28</v>
      </c>
      <c r="T136" s="57">
        <f>C379</f>
        <v>1.4625762725160809</v>
      </c>
      <c r="U136" s="57">
        <f t="shared" ref="U136:X139" si="22">D379</f>
        <v>5.9920374249798352</v>
      </c>
      <c r="V136" s="57">
        <f t="shared" si="22"/>
        <v>56.640482416795287</v>
      </c>
      <c r="W136" s="57">
        <f t="shared" si="22"/>
        <v>23.416896803433964</v>
      </c>
      <c r="X136" s="57">
        <f t="shared" si="22"/>
        <v>12.488007082274844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</row>
    <row r="137" spans="1:48" x14ac:dyDescent="0.3">
      <c r="A137" s="1" t="s">
        <v>321</v>
      </c>
      <c r="B137" s="1" t="s">
        <v>2</v>
      </c>
      <c r="C137" s="10">
        <f>C131/C136</f>
        <v>1</v>
      </c>
      <c r="D137" s="10">
        <f>D132/D136</f>
        <v>0.68094218415417562</v>
      </c>
      <c r="E137" s="10">
        <f>E133/E136</f>
        <v>0.97273853779429986</v>
      </c>
      <c r="F137" s="10">
        <f>F134/F136</f>
        <v>0.91599229287090556</v>
      </c>
      <c r="G137" s="10">
        <f>G135/G136</f>
        <v>0.82172131147540983</v>
      </c>
      <c r="H137" s="10"/>
      <c r="I137" s="14">
        <f>(C131+D132+E133+F134+G135)/H136</f>
        <v>0.93607266435986158</v>
      </c>
      <c r="S137" s="66" t="s">
        <v>39</v>
      </c>
      <c r="T137" s="67">
        <f>C380</f>
        <v>0</v>
      </c>
      <c r="U137" s="67">
        <f t="shared" si="22"/>
        <v>0.11135419946038655</v>
      </c>
      <c r="V137" s="67">
        <f t="shared" si="22"/>
        <v>0.20529918545816475</v>
      </c>
      <c r="W137" s="67">
        <f t="shared" si="22"/>
        <v>0.20342830175578092</v>
      </c>
      <c r="X137" s="67">
        <f t="shared" si="22"/>
        <v>0.19460021132440702</v>
      </c>
      <c r="AD137" s="51"/>
      <c r="AE137" s="51"/>
      <c r="AU137">
        <v>16</v>
      </c>
      <c r="AV137">
        <v>503</v>
      </c>
    </row>
    <row r="138" spans="1:48" x14ac:dyDescent="0.3">
      <c r="B138" s="1" t="s">
        <v>14</v>
      </c>
      <c r="C138" s="11">
        <f>1-C137</f>
        <v>0</v>
      </c>
      <c r="D138" s="11">
        <f>1-D137</f>
        <v>0.31905781584582438</v>
      </c>
      <c r="E138" s="11">
        <f>1-E137</f>
        <v>2.7261462205700138E-2</v>
      </c>
      <c r="F138" s="11">
        <f>1-F137</f>
        <v>8.4007707129094444E-2</v>
      </c>
      <c r="G138" s="11">
        <f>1-G137</f>
        <v>0.17827868852459017</v>
      </c>
      <c r="S138" t="s">
        <v>30</v>
      </c>
      <c r="T138" s="57">
        <f>C381</f>
        <v>100</v>
      </c>
      <c r="U138" s="57">
        <f t="shared" si="22"/>
        <v>80.191034127168777</v>
      </c>
      <c r="V138" s="57">
        <f t="shared" si="22"/>
        <v>96.351260919353706</v>
      </c>
      <c r="W138" s="57">
        <f t="shared" si="22"/>
        <v>89.824932974556091</v>
      </c>
      <c r="X138" s="57">
        <f t="shared" si="22"/>
        <v>87.376355650935139</v>
      </c>
      <c r="AA138" s="54"/>
      <c r="AD138" s="51"/>
      <c r="AE138" s="51"/>
      <c r="AH138" s="78"/>
      <c r="AI138" s="78"/>
      <c r="AU138">
        <v>17</v>
      </c>
      <c r="AV138">
        <v>532</v>
      </c>
    </row>
    <row r="139" spans="1:48" x14ac:dyDescent="0.3">
      <c r="C139" s="2"/>
      <c r="S139" s="66" t="s">
        <v>39</v>
      </c>
      <c r="T139" s="67">
        <f>C382</f>
        <v>0</v>
      </c>
      <c r="U139" s="67">
        <f t="shared" si="22"/>
        <v>2.305402200896514</v>
      </c>
      <c r="V139" s="67">
        <f t="shared" si="22"/>
        <v>0.26896768542261096</v>
      </c>
      <c r="W139" s="67">
        <f t="shared" si="22"/>
        <v>0.82378292797809316</v>
      </c>
      <c r="X139" s="67">
        <f t="shared" si="22"/>
        <v>1.7852127955791681</v>
      </c>
      <c r="AD139" s="51"/>
      <c r="AE139" s="51"/>
      <c r="AU139">
        <v>18</v>
      </c>
      <c r="AV139">
        <v>561</v>
      </c>
    </row>
    <row r="140" spans="1:48" ht="15.6" x14ac:dyDescent="0.35">
      <c r="A140" t="s">
        <v>322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100</v>
      </c>
      <c r="U140" s="57">
        <f>I375</f>
        <v>95.280235988200587</v>
      </c>
      <c r="V140" s="57">
        <f>I376</f>
        <v>95.256115691309617</v>
      </c>
      <c r="W140" s="57">
        <f>I377</f>
        <v>91.087207068766801</v>
      </c>
      <c r="X140" s="57">
        <f>I378</f>
        <v>83.229166666666671</v>
      </c>
      <c r="AD140" s="51"/>
      <c r="AE140" s="51"/>
      <c r="AH140" s="78"/>
      <c r="AI140" s="78"/>
      <c r="AU140">
        <v>19</v>
      </c>
      <c r="AV140">
        <v>590</v>
      </c>
    </row>
    <row r="141" spans="1:48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</v>
      </c>
      <c r="U141" s="67">
        <f>J375</f>
        <v>1.153461767836518</v>
      </c>
      <c r="V141" s="67">
        <f>J376</f>
        <v>0.24714755313726158</v>
      </c>
      <c r="W141" s="67">
        <f>J377</f>
        <v>0.55857559294987813</v>
      </c>
      <c r="X141" s="67">
        <f>J378</f>
        <v>1.2064401752225082</v>
      </c>
      <c r="AD141" s="51"/>
      <c r="AE141" s="51"/>
    </row>
    <row r="142" spans="1:48" x14ac:dyDescent="0.3">
      <c r="A142" t="s">
        <v>3</v>
      </c>
      <c r="B142" s="13">
        <v>0</v>
      </c>
      <c r="C142" s="29">
        <f>(C131/$L142)*$O142</f>
        <v>1.4440814911573141</v>
      </c>
      <c r="D142" s="31">
        <f>(D131/$L142)*$O142</f>
        <v>0</v>
      </c>
      <c r="E142" s="31">
        <f>(E131/$L142)*$O142</f>
        <v>0</v>
      </c>
      <c r="F142" s="31">
        <f>(F131/$L142)*$O142</f>
        <v>0</v>
      </c>
      <c r="G142" s="32">
        <f>(G131/$L142)*$O142</f>
        <v>0</v>
      </c>
      <c r="H142" s="17">
        <f>SUM(C142:G142)</f>
        <v>1.4440814911573141</v>
      </c>
      <c r="I142" s="17">
        <f>C142/H142*100</f>
        <v>100</v>
      </c>
      <c r="J142" s="17">
        <f>SQRT(I142*(100-I142)/(L142-1))</f>
        <v>0</v>
      </c>
      <c r="K142" s="18">
        <f>100-I142</f>
        <v>0</v>
      </c>
      <c r="L142" s="1">
        <f>H131</f>
        <v>259</v>
      </c>
      <c r="M142">
        <v>0</v>
      </c>
      <c r="N142" s="1">
        <v>2636.02</v>
      </c>
      <c r="O142" s="17">
        <f>N142/N147*100</f>
        <v>1.4440814911573141</v>
      </c>
      <c r="P142" s="52">
        <f>((O142*O142*(I142/100)*(K142/100))/(L142-1))</f>
        <v>0</v>
      </c>
      <c r="S142" s="66" t="s">
        <v>56</v>
      </c>
      <c r="T142" s="67">
        <f>N363*100</f>
        <v>100</v>
      </c>
      <c r="U142" s="67">
        <f>N364*100</f>
        <v>79.26380368098161</v>
      </c>
      <c r="V142" s="67">
        <f>N365*100</f>
        <v>96.284153005464475</v>
      </c>
      <c r="W142" s="67">
        <f>N366*100</f>
        <v>91.192307692307693</v>
      </c>
      <c r="X142" s="67">
        <f>N367*100</f>
        <v>82.074987159732927</v>
      </c>
      <c r="AD142" s="51"/>
      <c r="AE142" s="51"/>
      <c r="AH142" s="78"/>
      <c r="AI142" s="78"/>
    </row>
    <row r="143" spans="1:48" x14ac:dyDescent="0.3">
      <c r="A143" t="s">
        <v>4</v>
      </c>
      <c r="B143" s="13">
        <v>1</v>
      </c>
      <c r="C143" s="33">
        <f t="shared" ref="C143:G146" si="23">(C132/$L143)*$O143</f>
        <v>0</v>
      </c>
      <c r="D143" s="34">
        <f t="shared" si="23"/>
        <v>4.7708547917682846</v>
      </c>
      <c r="E143" s="19">
        <f t="shared" si="23"/>
        <v>0.31505644851299991</v>
      </c>
      <c r="F143" s="18">
        <f t="shared" si="23"/>
        <v>0</v>
      </c>
      <c r="G143" s="20">
        <f t="shared" si="23"/>
        <v>0</v>
      </c>
      <c r="H143" s="17">
        <f>SUM(C143:G143)</f>
        <v>5.0859112402812849</v>
      </c>
      <c r="I143" s="17">
        <f>D143/H143*100</f>
        <v>93.805309734513258</v>
      </c>
      <c r="J143" s="17">
        <f>SQRT(I143*(100-I143)/(L143-1))</f>
        <v>1.3111885829991998</v>
      </c>
      <c r="K143" s="18">
        <f>100-I143</f>
        <v>6.1946902654867415</v>
      </c>
      <c r="L143" s="1">
        <f>H132</f>
        <v>339</v>
      </c>
      <c r="M143">
        <v>1</v>
      </c>
      <c r="N143" s="1">
        <v>9283.7999999999993</v>
      </c>
      <c r="O143" s="17">
        <f>N143/N147*100</f>
        <v>5.0859112402812841</v>
      </c>
      <c r="P143" s="52">
        <f>((O143*O143*(I143/100)*(K143/100))/(L143-1))</f>
        <v>4.4470075948690735E-3</v>
      </c>
      <c r="R143" s="16" t="s">
        <v>66</v>
      </c>
      <c r="S143" t="s">
        <v>9</v>
      </c>
      <c r="T143" s="30">
        <f>N374</f>
        <v>2669.78</v>
      </c>
      <c r="U143" s="30">
        <f>N375</f>
        <v>9205.65</v>
      </c>
      <c r="V143" s="30">
        <f>N376</f>
        <v>104579.95</v>
      </c>
      <c r="W143" s="30">
        <f>N377</f>
        <v>42152.74</v>
      </c>
      <c r="X143" s="30">
        <f>N378</f>
        <v>23931.42</v>
      </c>
      <c r="Z143" t="s">
        <v>36</v>
      </c>
      <c r="AA143" s="1">
        <f>N379</f>
        <v>182539.53999999998</v>
      </c>
      <c r="AD143" s="51"/>
      <c r="AE143" s="51"/>
    </row>
    <row r="144" spans="1:48" ht="15.6" x14ac:dyDescent="0.35">
      <c r="A144" t="s">
        <v>5</v>
      </c>
      <c r="B144" s="13">
        <v>2</v>
      </c>
      <c r="C144" s="33">
        <f t="shared" si="23"/>
        <v>0</v>
      </c>
      <c r="D144" s="19">
        <f t="shared" si="23"/>
        <v>1.1185857066927818</v>
      </c>
      <c r="E144" s="34">
        <f t="shared" si="23"/>
        <v>54.502124260582789</v>
      </c>
      <c r="F144" s="19">
        <f t="shared" si="23"/>
        <v>0.92572610209057804</v>
      </c>
      <c r="G144" s="20">
        <f t="shared" si="23"/>
        <v>0.53229250870208245</v>
      </c>
      <c r="H144" s="17">
        <f>SUM(C144:G144)</f>
        <v>57.078728578068237</v>
      </c>
      <c r="I144" s="17">
        <f>E144/H144*100</f>
        <v>95.485876469793212</v>
      </c>
      <c r="J144" s="17">
        <f>SQRT(I144*(100-I144)/(L144-1))</f>
        <v>0.24137880099764644</v>
      </c>
      <c r="K144" s="18">
        <f>100-I144</f>
        <v>4.5141235302067884</v>
      </c>
      <c r="L144" s="1">
        <f>H133</f>
        <v>7399</v>
      </c>
      <c r="M144">
        <v>2</v>
      </c>
      <c r="N144" s="1">
        <v>104191.26</v>
      </c>
      <c r="O144" s="17">
        <f>N144/N147*100</f>
        <v>57.07872857806823</v>
      </c>
      <c r="P144" s="52">
        <f>((O144*O144*(I144/100)*(K144/100))/(L144-1))</f>
        <v>1.8982212582041875E-2</v>
      </c>
      <c r="R144" s="16" t="s">
        <v>323</v>
      </c>
      <c r="S144" t="s">
        <v>68</v>
      </c>
      <c r="T144" s="57">
        <f>$AA143*T136/100</f>
        <v>2669.78</v>
      </c>
      <c r="U144" s="57">
        <f>$AA143*U136/100</f>
        <v>10937.837552186034</v>
      </c>
      <c r="V144" s="57">
        <f>$AA143*V136/100</f>
        <v>103391.27605739899</v>
      </c>
      <c r="W144" s="57">
        <f>$AA143*W136/100</f>
        <v>42745.095707263063</v>
      </c>
      <c r="X144" s="57">
        <f>$AA143*X136/100</f>
        <v>22795.55068315192</v>
      </c>
      <c r="Z144" t="s">
        <v>36</v>
      </c>
      <c r="AA144" s="25">
        <f>SUM(T144:X144)</f>
        <v>182539.54000000004</v>
      </c>
      <c r="AD144" s="51"/>
      <c r="AE144" s="51"/>
      <c r="AH144" s="78"/>
      <c r="AI144" s="78"/>
    </row>
    <row r="145" spans="1:35" x14ac:dyDescent="0.3">
      <c r="A145" t="s">
        <v>6</v>
      </c>
      <c r="B145" s="13">
        <v>3</v>
      </c>
      <c r="C145" s="33">
        <f t="shared" si="23"/>
        <v>0</v>
      </c>
      <c r="D145" s="19">
        <f t="shared" si="23"/>
        <v>3.5176999478442363E-2</v>
      </c>
      <c r="E145" s="19">
        <f t="shared" si="23"/>
        <v>1.0289272347444389</v>
      </c>
      <c r="F145" s="34">
        <f t="shared" si="23"/>
        <v>20.903931940064375</v>
      </c>
      <c r="G145" s="20">
        <f t="shared" si="23"/>
        <v>0.92339623630911194</v>
      </c>
      <c r="H145" s="17">
        <f>SUM(C145:G145)</f>
        <v>22.891432410596369</v>
      </c>
      <c r="I145" s="17">
        <f>F145/H145*100</f>
        <v>91.31771033422973</v>
      </c>
      <c r="J145" s="17">
        <f>SQRT(I145*(100-I145)/(L145-1))</f>
        <v>0.55200243845356356</v>
      </c>
      <c r="K145" s="18">
        <f>100-I145</f>
        <v>8.6822896657702699</v>
      </c>
      <c r="L145" s="1">
        <f>H134</f>
        <v>2603</v>
      </c>
      <c r="M145">
        <v>3</v>
      </c>
      <c r="N145" s="1">
        <v>41785.919999999998</v>
      </c>
      <c r="O145" s="17">
        <f>N145/N147*100</f>
        <v>22.891432410596366</v>
      </c>
      <c r="P145" s="52">
        <f>((O145*O145*(I145/100)*(K145/100))/(L145-1))</f>
        <v>1.5967169318542172E-2</v>
      </c>
      <c r="R145" s="66"/>
      <c r="S145" s="66" t="s">
        <v>67</v>
      </c>
      <c r="T145" s="67">
        <f>$AA143*T137/100</f>
        <v>0</v>
      </c>
      <c r="U145" s="67">
        <f>$AA143*U137/100</f>
        <v>203.26544346567206</v>
      </c>
      <c r="V145" s="67">
        <f>$AA143*V137/100</f>
        <v>374.75218875908081</v>
      </c>
      <c r="W145" s="67">
        <f>$AA143*W137/100</f>
        <v>371.33708625481432</v>
      </c>
      <c r="X145" s="67">
        <f>$AA143*X137/100</f>
        <v>355.22233059060045</v>
      </c>
      <c r="AA145" s="1"/>
      <c r="AD145" s="51"/>
      <c r="AE145" s="51"/>
    </row>
    <row r="146" spans="1:35" x14ac:dyDescent="0.3">
      <c r="A146" t="s">
        <v>7</v>
      </c>
      <c r="B146" s="13">
        <v>4</v>
      </c>
      <c r="C146" s="35">
        <f t="shared" si="23"/>
        <v>0</v>
      </c>
      <c r="D146" s="36">
        <f t="shared" si="23"/>
        <v>0</v>
      </c>
      <c r="E146" s="21">
        <f t="shared" si="23"/>
        <v>0.84374039249355048</v>
      </c>
      <c r="F146" s="21">
        <f t="shared" si="23"/>
        <v>1.3781093077394657</v>
      </c>
      <c r="G146" s="37">
        <f t="shared" si="23"/>
        <v>11.277996579663792</v>
      </c>
      <c r="H146" s="17">
        <f>SUM(C146:G146)</f>
        <v>13.499846279896808</v>
      </c>
      <c r="I146" s="17">
        <f>G146/H146*100</f>
        <v>83.541666666666671</v>
      </c>
      <c r="J146" s="17">
        <f>SQRT(I146*(100-I146)/(L146-1))</f>
        <v>1.1973887984018774</v>
      </c>
      <c r="K146" s="18">
        <f>100-I146</f>
        <v>16.458333333333329</v>
      </c>
      <c r="L146" s="1">
        <f>H135</f>
        <v>960</v>
      </c>
      <c r="M146">
        <v>4</v>
      </c>
      <c r="N146" s="1">
        <v>24642.560000000001</v>
      </c>
      <c r="O146" s="17">
        <f>N146/N147*100</f>
        <v>13.499846279896808</v>
      </c>
      <c r="P146" s="52">
        <f>((O146*O146*(I146/100)*(K146/100))/(L146-1))</f>
        <v>2.6129315244791413E-2</v>
      </c>
      <c r="R146" t="s">
        <v>106</v>
      </c>
      <c r="S146" t="s">
        <v>28</v>
      </c>
      <c r="T146" s="57">
        <f>C408</f>
        <v>1.445407389544205</v>
      </c>
      <c r="U146" s="57">
        <f t="shared" ref="U146:X149" si="24">D408</f>
        <v>6.3269125621617057</v>
      </c>
      <c r="V146" s="57">
        <f t="shared" si="24"/>
        <v>56.29377562817632</v>
      </c>
      <c r="W146" s="57">
        <f t="shared" si="24"/>
        <v>23.27123232498603</v>
      </c>
      <c r="X146" s="57">
        <f t="shared" si="24"/>
        <v>12.662672095131743</v>
      </c>
      <c r="Y146" s="60"/>
      <c r="Z146" s="74"/>
      <c r="AA146" s="12"/>
      <c r="AD146" s="51"/>
      <c r="AE146" s="51"/>
      <c r="AH146" s="78"/>
      <c r="AI146" s="78"/>
    </row>
    <row r="147" spans="1:35" x14ac:dyDescent="0.3">
      <c r="B147" t="s">
        <v>28</v>
      </c>
      <c r="C147" s="17">
        <f t="shared" ref="C147:H147" si="25">SUM(C142:C146)</f>
        <v>1.4440814911573141</v>
      </c>
      <c r="D147" s="17">
        <f t="shared" si="25"/>
        <v>5.9246174979395088</v>
      </c>
      <c r="E147" s="17">
        <f t="shared" si="25"/>
        <v>56.689848336333775</v>
      </c>
      <c r="F147" s="17">
        <f t="shared" si="25"/>
        <v>23.207767349894418</v>
      </c>
      <c r="G147" s="17">
        <f t="shared" si="25"/>
        <v>12.733685324674987</v>
      </c>
      <c r="H147" s="18">
        <f t="shared" si="25"/>
        <v>100</v>
      </c>
      <c r="I147" s="13" t="s">
        <v>24</v>
      </c>
      <c r="J147" s="12" t="s">
        <v>29</v>
      </c>
      <c r="N147" s="1">
        <f>SUM(N142:N146)</f>
        <v>182539.56</v>
      </c>
      <c r="O147" s="17">
        <f>SUM(O142:O146)</f>
        <v>100</v>
      </c>
      <c r="S147" s="66" t="s">
        <v>39</v>
      </c>
      <c r="T147" s="67">
        <f>C409</f>
        <v>0</v>
      </c>
      <c r="U147" s="67">
        <f t="shared" si="24"/>
        <v>0.11303484779157703</v>
      </c>
      <c r="V147" s="67">
        <f t="shared" si="24"/>
        <v>0.20630297326682706</v>
      </c>
      <c r="W147" s="67">
        <f t="shared" si="24"/>
        <v>0.20406001570673485</v>
      </c>
      <c r="X147" s="67">
        <f t="shared" si="24"/>
        <v>0.19631529221295671</v>
      </c>
      <c r="AD147" s="51"/>
      <c r="AE147" s="51"/>
    </row>
    <row r="148" spans="1:35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0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0.1149037026254615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0.20779524562133606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0.20096702022107968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0.19484127179269431</v>
      </c>
      <c r="H148" s="1"/>
      <c r="I148" s="56">
        <f>(C142+D143+E144+F145+G146)/H147</f>
        <v>0.92898989063236559</v>
      </c>
      <c r="J148" s="53">
        <f>SQRT(SUM(P142:P146))/100</f>
        <v>2.5597989128102335E-3</v>
      </c>
      <c r="M148" s="1"/>
      <c r="N148" s="9"/>
      <c r="S148" t="s">
        <v>30</v>
      </c>
      <c r="T148" s="57">
        <f>C410</f>
        <v>100</v>
      </c>
      <c r="U148" s="57">
        <f t="shared" si="24"/>
        <v>81.366219595599887</v>
      </c>
      <c r="V148" s="57">
        <f t="shared" si="24"/>
        <v>96.291398682141235</v>
      </c>
      <c r="W148" s="57">
        <f t="shared" si="24"/>
        <v>89.680709982072031</v>
      </c>
      <c r="X148" s="57">
        <f t="shared" si="24"/>
        <v>87.642452376428238</v>
      </c>
      <c r="AD148" s="51"/>
      <c r="AE148" s="51"/>
      <c r="AH148" s="78"/>
      <c r="AI148" s="78"/>
    </row>
    <row r="149" spans="1:35" x14ac:dyDescent="0.3">
      <c r="B149" s="1" t="s">
        <v>30</v>
      </c>
      <c r="C149" s="17">
        <f>C142/C147*100</f>
        <v>100</v>
      </c>
      <c r="D149" s="17">
        <f>D143/D147*100</f>
        <v>80.525954518203321</v>
      </c>
      <c r="E149" s="17">
        <f>E144/E147*100</f>
        <v>96.140889171600023</v>
      </c>
      <c r="F149" s="17">
        <f>F145/F147*100</f>
        <v>90.07299851340278</v>
      </c>
      <c r="G149" s="17">
        <f>G146/G147*100</f>
        <v>88.568205449600669</v>
      </c>
      <c r="H149" s="1"/>
      <c r="S149" s="66" t="s">
        <v>39</v>
      </c>
      <c r="T149" s="67">
        <f>C411</f>
        <v>0</v>
      </c>
      <c r="U149" s="67">
        <f t="shared" si="24"/>
        <v>2.200411179465283</v>
      </c>
      <c r="V149" s="67">
        <f t="shared" si="24"/>
        <v>0.27444590915747569</v>
      </c>
      <c r="W149" s="67">
        <f t="shared" si="24"/>
        <v>0.83523718537842417</v>
      </c>
      <c r="X149" s="67">
        <f t="shared" si="24"/>
        <v>1.7528946412911273</v>
      </c>
      <c r="AD149" s="51"/>
      <c r="AE149" s="51"/>
    </row>
    <row r="150" spans="1:35" x14ac:dyDescent="0.3">
      <c r="B150" s="16" t="s">
        <v>39</v>
      </c>
      <c r="C150" s="18">
        <f>SQRT((C153+C154)/(C147*C147))</f>
        <v>0</v>
      </c>
      <c r="D150" s="18">
        <f>SQRT((D153+D154)/(D147*D147))</f>
        <v>2.534719405514775</v>
      </c>
      <c r="E150" s="18">
        <f>SQRT((E153+E154)/(E147*E147))</f>
        <v>0.28013710581825091</v>
      </c>
      <c r="F150" s="18">
        <f>SQRT((F153+F154)/(F147*F147))</f>
        <v>0.81263815037520404</v>
      </c>
      <c r="G150" s="18">
        <f>SQRT((G153+G154)/(G147*G147))</f>
        <v>1.6370510912597258</v>
      </c>
      <c r="H150" s="1"/>
      <c r="S150" s="15" t="s">
        <v>31</v>
      </c>
      <c r="T150" s="71">
        <f>I403</f>
        <v>100</v>
      </c>
      <c r="U150" s="71">
        <f>I404</f>
        <v>95.280235988200587</v>
      </c>
      <c r="V150" s="71">
        <f>I405</f>
        <v>95.256115691309645</v>
      </c>
      <c r="W150" s="71">
        <f>I406</f>
        <v>91.087207068766801</v>
      </c>
      <c r="X150" s="71">
        <f>I407</f>
        <v>83.229166666666671</v>
      </c>
      <c r="AD150" s="51"/>
      <c r="AE150" s="51"/>
      <c r="AH150" s="78"/>
      <c r="AI150" s="78"/>
    </row>
    <row r="151" spans="1:35" x14ac:dyDescent="0.3">
      <c r="B151" s="1" t="s">
        <v>37</v>
      </c>
      <c r="C151" s="18">
        <f>100-C149</f>
        <v>0</v>
      </c>
      <c r="D151" s="18">
        <f>100-D149</f>
        <v>19.474045481796679</v>
      </c>
      <c r="E151" s="18">
        <f>100-E149</f>
        <v>3.8591108283999773</v>
      </c>
      <c r="F151" s="18">
        <f>100-F149</f>
        <v>9.92700148659722</v>
      </c>
      <c r="G151" s="18">
        <f>100-G149</f>
        <v>11.431794550399331</v>
      </c>
      <c r="S151" s="75" t="s">
        <v>39</v>
      </c>
      <c r="T151" s="76">
        <f>J403</f>
        <v>0</v>
      </c>
      <c r="U151" s="76">
        <f>J404</f>
        <v>1.153461767836518</v>
      </c>
      <c r="V151" s="76">
        <f>J405</f>
        <v>0.24714755313726086</v>
      </c>
      <c r="W151" s="76">
        <f>J406</f>
        <v>0.55857559294987813</v>
      </c>
      <c r="X151" s="76">
        <f>J407</f>
        <v>1.2064401752225082</v>
      </c>
      <c r="AD151" s="51"/>
      <c r="AE151" s="51"/>
    </row>
    <row r="152" spans="1:35" ht="15.6" x14ac:dyDescent="0.35">
      <c r="B152" s="1" t="s">
        <v>25</v>
      </c>
      <c r="C152" s="1">
        <f>C136</f>
        <v>259</v>
      </c>
      <c r="D152" s="1">
        <f>D136</f>
        <v>467</v>
      </c>
      <c r="E152" s="1">
        <f>E136</f>
        <v>7263</v>
      </c>
      <c r="F152" s="1">
        <f>F136</f>
        <v>2595</v>
      </c>
      <c r="G152" s="1">
        <f>G136</f>
        <v>976</v>
      </c>
      <c r="S152" s="66" t="s">
        <v>56</v>
      </c>
      <c r="T152" s="67">
        <f>N392*100</f>
        <v>100</v>
      </c>
      <c r="U152" s="67">
        <f>N393*100</f>
        <v>79.26380368098161</v>
      </c>
      <c r="V152" s="67">
        <f>N394*100</f>
        <v>96.284153005464475</v>
      </c>
      <c r="W152" s="67">
        <f>N395*100</f>
        <v>91.192307692307693</v>
      </c>
      <c r="X152" s="67">
        <f>N396*100</f>
        <v>82.074987159732927</v>
      </c>
      <c r="AD152" s="51"/>
      <c r="AE152" s="51"/>
      <c r="AH152" s="78"/>
      <c r="AI152" s="78"/>
    </row>
    <row r="153" spans="1:35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168.64762559746055</v>
      </c>
      <c r="E153" s="18">
        <f>(O144*O144*(100-E149)*(100-E149)*(I144)*(100-I144))/((L144-1)*100)</f>
        <v>28.26970880049695</v>
      </c>
      <c r="F153" s="18">
        <f>(O145*O145*(100-F149)*(100-F149)*(I145)*(100-I145))/((L145-1)*100)</f>
        <v>157.34904249639044</v>
      </c>
      <c r="G153" s="18">
        <f>(O146*O146*(100-G149)*(100-G149)*(I146)*(100-I146))/((L146-1)*100)</f>
        <v>341.47337753006099</v>
      </c>
      <c r="R153" s="16" t="s">
        <v>66</v>
      </c>
      <c r="S153" t="s">
        <v>9</v>
      </c>
      <c r="T153" s="30">
        <f>N403</f>
        <v>2638.44</v>
      </c>
      <c r="U153" s="30">
        <f>N404</f>
        <v>9862.57</v>
      </c>
      <c r="V153" s="30">
        <f>N405</f>
        <v>103875.22</v>
      </c>
      <c r="W153" s="30">
        <f>N406</f>
        <v>41823.269999999997</v>
      </c>
      <c r="X153" s="30">
        <f>N407</f>
        <v>24340.04</v>
      </c>
      <c r="Z153" t="s">
        <v>36</v>
      </c>
      <c r="AA153" s="1">
        <f>N408</f>
        <v>182539.54</v>
      </c>
      <c r="AD153" s="51"/>
      <c r="AE153" s="51"/>
    </row>
    <row r="154" spans="1:35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56.86995998998789</v>
      </c>
      <c r="E154" s="18">
        <f>E149*E149*(SUM((H142*E142*(1-E131/H131))/(H131-1),(H143*E143*(1-E132/H132))/(H132-1), (H145*E145*(1-E134/H134))/(H134-1),(H146*E146*(1-E135/H135))/(H135-1)))</f>
        <v>223.93423020526586</v>
      </c>
      <c r="F154" s="18">
        <f>F149*F149*(SUM((H142*F142*(1-F131/H131))/(H131-1),(H143*F143*(1-F132/H132))/(H132-1), (H144*F144*(1-F133/H133))/(H133-1),(H146*F146*(1-F135/H135))/(H135-1)))</f>
        <v>198.33234401451136</v>
      </c>
      <c r="G154" s="18">
        <f>G149*G149*(SUM((H142*G142*(1-G131/H131))/(H131-1),(H143*G143*(1-G132/H132))/(H132-1), (H144*G144*(1-G133/H133))/(H133-1),(H145*G145*(1-G134/H134))/(H134-1)))</f>
        <v>93.069558153020608</v>
      </c>
      <c r="R154" s="16" t="s">
        <v>323</v>
      </c>
      <c r="S154" t="s">
        <v>68</v>
      </c>
      <c r="T154" s="57">
        <f>$AA153*T146/100</f>
        <v>2638.44</v>
      </c>
      <c r="U154" s="57">
        <f>$AA153*U146/100</f>
        <v>11549.117087172193</v>
      </c>
      <c r="V154" s="57">
        <f>$AA153*V146/100</f>
        <v>102758.39908030517</v>
      </c>
      <c r="W154" s="57">
        <f>$AA153*W146/100</f>
        <v>42479.200438360807</v>
      </c>
      <c r="X154" s="57">
        <f>$AA153*X146/100</f>
        <v>23114.38339416185</v>
      </c>
      <c r="Z154" t="s">
        <v>36</v>
      </c>
      <c r="AA154" s="25">
        <f>SUM(T154:X154)</f>
        <v>182539.54</v>
      </c>
      <c r="AD154" s="51"/>
      <c r="AE154" s="51"/>
      <c r="AH154" s="78"/>
      <c r="AI154" s="78"/>
    </row>
    <row r="155" spans="1:35" x14ac:dyDescent="0.3">
      <c r="R155" s="66"/>
      <c r="S155" s="66" t="s">
        <v>67</v>
      </c>
      <c r="T155" s="67">
        <f>$AA153*T147/100</f>
        <v>0</v>
      </c>
      <c r="U155" s="67">
        <f>$AA153*U147/100</f>
        <v>206.3332911984449</v>
      </c>
      <c r="V155" s="67">
        <f>$AA153*V147/100</f>
        <v>376.58449840758914</v>
      </c>
      <c r="W155" s="67">
        <f>$AA153*W147/100</f>
        <v>372.49021399500157</v>
      </c>
      <c r="X155" s="67">
        <f>$AA153*X147/100</f>
        <v>358.35303135518706</v>
      </c>
      <c r="AA155" s="1"/>
      <c r="AD155" s="51"/>
      <c r="AE155" s="51"/>
    </row>
    <row r="156" spans="1:35" x14ac:dyDescent="0.3">
      <c r="R156" t="s">
        <v>107</v>
      </c>
      <c r="S156" t="s">
        <v>28</v>
      </c>
      <c r="T156" s="57">
        <f>C437</f>
        <v>1.4349547024217655</v>
      </c>
      <c r="U156" s="57">
        <f t="shared" ref="U156:X159" si="26">D437</f>
        <v>6.0125767892105015</v>
      </c>
      <c r="V156" s="57">
        <f t="shared" si="26"/>
        <v>56.356947429577936</v>
      </c>
      <c r="W156" s="57">
        <f t="shared" si="26"/>
        <v>23.488011733110643</v>
      </c>
      <c r="X156" s="57">
        <f t="shared" si="26"/>
        <v>12.707509345679149</v>
      </c>
      <c r="Z156" s="74"/>
      <c r="AA156" s="12"/>
      <c r="AD156" s="51"/>
      <c r="AE156" s="51"/>
      <c r="AH156" s="78"/>
      <c r="AI156" s="78"/>
    </row>
    <row r="157" spans="1:35" x14ac:dyDescent="0.3">
      <c r="A157" s="361" t="s">
        <v>405</v>
      </c>
      <c r="B157" s="361"/>
      <c r="C157" s="361"/>
      <c r="D157" s="361"/>
      <c r="E157" s="361"/>
      <c r="F157" s="361"/>
      <c r="G157" s="361"/>
      <c r="H157" s="361"/>
      <c r="I157" s="361"/>
      <c r="J157" s="361"/>
      <c r="K157" s="361"/>
      <c r="L157" s="361" t="s">
        <v>83</v>
      </c>
      <c r="M157" s="361"/>
      <c r="N157" s="361"/>
      <c r="O157" s="361"/>
      <c r="P157" s="361"/>
      <c r="S157" s="66" t="s">
        <v>39</v>
      </c>
      <c r="T157" s="67">
        <f>C438</f>
        <v>0</v>
      </c>
      <c r="U157" s="67">
        <f t="shared" si="26"/>
        <v>0.11108775098633261</v>
      </c>
      <c r="V157" s="67">
        <f t="shared" si="26"/>
        <v>0.20589791373297836</v>
      </c>
      <c r="W157" s="67">
        <f t="shared" si="26"/>
        <v>0.20519374329389781</v>
      </c>
      <c r="X157" s="67">
        <f t="shared" si="26"/>
        <v>0.19716491967336164</v>
      </c>
      <c r="AD157" s="51"/>
      <c r="AE157" s="51"/>
    </row>
    <row r="158" spans="1:35" x14ac:dyDescent="0.3">
      <c r="A158" t="s">
        <v>320</v>
      </c>
      <c r="B158" t="s">
        <v>21</v>
      </c>
      <c r="I158" s="1" t="s">
        <v>58</v>
      </c>
      <c r="O158" s="143"/>
      <c r="P158" s="143"/>
      <c r="S158" t="s">
        <v>30</v>
      </c>
      <c r="T158" s="57">
        <f>C439</f>
        <v>100</v>
      </c>
      <c r="U158" s="57">
        <f t="shared" si="26"/>
        <v>80.365737460383286</v>
      </c>
      <c r="V158" s="57">
        <f t="shared" si="26"/>
        <v>96.299752448760046</v>
      </c>
      <c r="W158" s="57">
        <f t="shared" si="26"/>
        <v>89.751534979782122</v>
      </c>
      <c r="X158" s="57">
        <f t="shared" si="26"/>
        <v>87.605178618221316</v>
      </c>
      <c r="AD158" s="51"/>
      <c r="AE158" s="51"/>
      <c r="AH158" s="78"/>
      <c r="AI158" s="78"/>
    </row>
    <row r="159" spans="1:35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56</v>
      </c>
      <c r="O159" s="13"/>
      <c r="P159" s="13"/>
      <c r="S159" s="66" t="s">
        <v>39</v>
      </c>
      <c r="T159" s="67">
        <f>C440</f>
        <v>0</v>
      </c>
      <c r="U159" s="67">
        <f t="shared" si="26"/>
        <v>2.2900619935565749</v>
      </c>
      <c r="V159" s="67">
        <f t="shared" si="26"/>
        <v>0.27297366587308952</v>
      </c>
      <c r="W159" s="67">
        <f t="shared" si="26"/>
        <v>0.83025096892311867</v>
      </c>
      <c r="X159" s="67">
        <f t="shared" si="26"/>
        <v>1.7575132440685051</v>
      </c>
      <c r="AD159" s="51"/>
      <c r="AE159" s="51"/>
    </row>
    <row r="160" spans="1:35" x14ac:dyDescent="0.3">
      <c r="A160" t="s">
        <v>3</v>
      </c>
      <c r="B160" s="13">
        <v>0</v>
      </c>
      <c r="C160" s="26">
        <v>259</v>
      </c>
      <c r="D160" s="3">
        <v>0</v>
      </c>
      <c r="E160" s="3">
        <v>0</v>
      </c>
      <c r="F160" s="3">
        <v>0</v>
      </c>
      <c r="G160" s="4">
        <v>0</v>
      </c>
      <c r="H160" s="1">
        <f>SUM(C160:G160)</f>
        <v>259</v>
      </c>
      <c r="I160" s="10">
        <f>C160/H160</f>
        <v>1</v>
      </c>
      <c r="J160" s="11">
        <f>1-I160</f>
        <v>0</v>
      </c>
      <c r="K160">
        <f>H160-C165</f>
        <v>-3</v>
      </c>
      <c r="N160" s="10">
        <f>2*(C166*I160)/(C166+I160)</f>
        <v>0.99424184261036475</v>
      </c>
      <c r="O160" s="1"/>
      <c r="P160" s="1"/>
      <c r="S160" s="15" t="s">
        <v>31</v>
      </c>
      <c r="T160" s="71">
        <f>I432</f>
        <v>100</v>
      </c>
      <c r="U160" s="71">
        <f>I433</f>
        <v>95.280235988200587</v>
      </c>
      <c r="V160" s="71">
        <f>I434</f>
        <v>95.256115691309645</v>
      </c>
      <c r="W160" s="71">
        <f>I435</f>
        <v>91.087207068766816</v>
      </c>
      <c r="X160" s="71">
        <f>I436</f>
        <v>83.229166666666671</v>
      </c>
      <c r="AD160" s="51"/>
      <c r="AE160" s="51"/>
      <c r="AH160" s="78"/>
      <c r="AI160" s="78"/>
    </row>
    <row r="161" spans="1:35" x14ac:dyDescent="0.3">
      <c r="A161" t="s">
        <v>4</v>
      </c>
      <c r="B161" s="13">
        <v>1</v>
      </c>
      <c r="C161" s="5">
        <v>0</v>
      </c>
      <c r="D161" s="27">
        <v>317</v>
      </c>
      <c r="E161" s="1">
        <v>22</v>
      </c>
      <c r="F161" s="1">
        <v>0</v>
      </c>
      <c r="G161" s="6">
        <v>0</v>
      </c>
      <c r="H161" s="1">
        <f>SUM(C161:G161)</f>
        <v>339</v>
      </c>
      <c r="I161" s="10">
        <f>D161/H161</f>
        <v>0.93510324483775809</v>
      </c>
      <c r="J161" s="11">
        <f>1-I161</f>
        <v>6.4896755162241915E-2</v>
      </c>
      <c r="K161">
        <f>H161-D165</f>
        <v>-137</v>
      </c>
      <c r="N161" s="10">
        <f>2*(D166*I161)/(D166+I161)</f>
        <v>0.77791411042944769</v>
      </c>
      <c r="O161" s="1"/>
      <c r="P161" s="1"/>
      <c r="S161" s="75" t="s">
        <v>39</v>
      </c>
      <c r="T161" s="76">
        <f>J432</f>
        <v>0</v>
      </c>
      <c r="U161" s="76">
        <f>J433</f>
        <v>1.153461767836518</v>
      </c>
      <c r="V161" s="76">
        <f>J434</f>
        <v>0.24714755313726086</v>
      </c>
      <c r="W161" s="76">
        <f>J435</f>
        <v>0.5585755929498778</v>
      </c>
      <c r="X161" s="76">
        <f>J436</f>
        <v>1.2064401752225082</v>
      </c>
      <c r="AD161" s="51"/>
      <c r="AE161" s="51"/>
    </row>
    <row r="162" spans="1:35" x14ac:dyDescent="0.3">
      <c r="A162" t="s">
        <v>5</v>
      </c>
      <c r="B162" s="13">
        <v>2</v>
      </c>
      <c r="C162" s="5">
        <v>0</v>
      </c>
      <c r="D162" s="1">
        <v>155</v>
      </c>
      <c r="E162" s="27">
        <v>7046</v>
      </c>
      <c r="F162" s="1">
        <v>122</v>
      </c>
      <c r="G162" s="6">
        <v>76</v>
      </c>
      <c r="H162" s="1">
        <f>SUM(C162:G162)</f>
        <v>7399</v>
      </c>
      <c r="I162" s="10">
        <f>E162/H162</f>
        <v>0.95229085011488035</v>
      </c>
      <c r="J162" s="11">
        <f>1-I162</f>
        <v>4.770914988511965E-2</v>
      </c>
      <c r="K162">
        <f>H162-E165</f>
        <v>149</v>
      </c>
      <c r="N162" s="10">
        <f>2*(E166*I162)/(E166+I162)</f>
        <v>0.96197692675267943</v>
      </c>
      <c r="O162" s="1"/>
      <c r="P162" s="1"/>
      <c r="S162" s="66" t="s">
        <v>56</v>
      </c>
      <c r="T162" s="67">
        <f>N421*100</f>
        <v>100</v>
      </c>
      <c r="U162" s="67">
        <f>N422*100</f>
        <v>79.26380368098161</v>
      </c>
      <c r="V162" s="67">
        <f>N423*100</f>
        <v>96.284153005464475</v>
      </c>
      <c r="W162" s="67">
        <f>N424*100</f>
        <v>91.192307692307693</v>
      </c>
      <c r="X162" s="67">
        <f>N425*100</f>
        <v>82.074987159732927</v>
      </c>
      <c r="AD162" s="51"/>
      <c r="AE162" s="51"/>
      <c r="AH162" s="78"/>
      <c r="AI162" s="78"/>
    </row>
    <row r="163" spans="1:35" x14ac:dyDescent="0.3">
      <c r="A163" t="s">
        <v>6</v>
      </c>
      <c r="B163" s="13">
        <v>3</v>
      </c>
      <c r="C163" s="5">
        <v>3</v>
      </c>
      <c r="D163" s="1">
        <v>4</v>
      </c>
      <c r="E163" s="1">
        <v>125</v>
      </c>
      <c r="F163" s="27">
        <v>2376</v>
      </c>
      <c r="G163" s="6">
        <v>95</v>
      </c>
      <c r="H163" s="1">
        <f>SUM(C163:G163)</f>
        <v>2603</v>
      </c>
      <c r="I163" s="10">
        <f>F163/H163</f>
        <v>0.91279293123319249</v>
      </c>
      <c r="J163" s="11">
        <f>1-I163</f>
        <v>8.7207068766807505E-2</v>
      </c>
      <c r="K163">
        <f>H163-F165</f>
        <v>-2</v>
      </c>
      <c r="N163" s="10">
        <f>2*(F166*I163)/(F166+I163)</f>
        <v>0.91244239631336399</v>
      </c>
      <c r="O163" s="1"/>
      <c r="P163" s="1"/>
      <c r="R163" s="16" t="s">
        <v>66</v>
      </c>
      <c r="S163" t="s">
        <v>9</v>
      </c>
      <c r="T163" s="30">
        <f>N432</f>
        <v>2619.36</v>
      </c>
      <c r="U163" s="30">
        <f>N433</f>
        <v>9257.33</v>
      </c>
      <c r="V163" s="30">
        <f>N434</f>
        <v>104000.82</v>
      </c>
      <c r="W163" s="30">
        <f>N435</f>
        <v>42246.21</v>
      </c>
      <c r="X163" s="30">
        <f>N436</f>
        <v>24415.84</v>
      </c>
      <c r="Z163" t="s">
        <v>36</v>
      </c>
      <c r="AA163" s="1">
        <f>N437</f>
        <v>182539.56</v>
      </c>
      <c r="AD163" s="51"/>
      <c r="AE163" s="51"/>
    </row>
    <row r="164" spans="1:35" ht="15.6" x14ac:dyDescent="0.35">
      <c r="A164" t="s">
        <v>7</v>
      </c>
      <c r="B164" s="13">
        <v>4</v>
      </c>
      <c r="C164" s="7">
        <v>0</v>
      </c>
      <c r="D164" s="8">
        <v>0</v>
      </c>
      <c r="E164" s="8">
        <v>57</v>
      </c>
      <c r="F164" s="8">
        <v>107</v>
      </c>
      <c r="G164" s="28">
        <v>796</v>
      </c>
      <c r="H164" s="1">
        <f>SUM(C164:G164)</f>
        <v>960</v>
      </c>
      <c r="I164" s="10">
        <f>G164/H164</f>
        <v>0.82916666666666672</v>
      </c>
      <c r="J164" s="11">
        <f>1-I164</f>
        <v>0.17083333333333328</v>
      </c>
      <c r="K164">
        <f>H164-G165</f>
        <v>-7</v>
      </c>
      <c r="N164" s="10">
        <f>2*(G166*I164)/(G166+I164)</f>
        <v>0.82615464452516862</v>
      </c>
      <c r="O164" s="1"/>
      <c r="P164" s="1"/>
      <c r="R164" s="16" t="s">
        <v>323</v>
      </c>
      <c r="S164" t="s">
        <v>68</v>
      </c>
      <c r="T164" s="57">
        <f>$AA163*T156/100</f>
        <v>2619.36</v>
      </c>
      <c r="U164" s="57">
        <f>$AA163*U156/100</f>
        <v>10975.331215686978</v>
      </c>
      <c r="V164" s="57">
        <f>$AA163*V156/100</f>
        <v>102873.72386738287</v>
      </c>
      <c r="W164" s="57">
        <f>$AA163*W156/100</f>
        <v>42874.913270368539</v>
      </c>
      <c r="X164" s="57">
        <f>$AA163*X156/100</f>
        <v>23196.231646561599</v>
      </c>
      <c r="Z164" t="s">
        <v>36</v>
      </c>
      <c r="AA164" s="25">
        <f>SUM(T164:X164)</f>
        <v>182539.55999999997</v>
      </c>
      <c r="AD164" s="51"/>
      <c r="AE164" s="51"/>
      <c r="AH164" s="78"/>
      <c r="AI164" s="78"/>
    </row>
    <row r="165" spans="1:35" ht="15.6" x14ac:dyDescent="0.35">
      <c r="B165" s="1" t="s">
        <v>19</v>
      </c>
      <c r="C165" s="1">
        <f>SUM(C160:C164)</f>
        <v>262</v>
      </c>
      <c r="D165" s="1">
        <f>SUM(D160:D164)</f>
        <v>476</v>
      </c>
      <c r="E165" s="1">
        <f>SUM(E160:E164)</f>
        <v>7250</v>
      </c>
      <c r="F165" s="1">
        <f>SUM(F160:F164)</f>
        <v>2605</v>
      </c>
      <c r="G165" s="1">
        <f>SUM(G160:G164)</f>
        <v>967</v>
      </c>
      <c r="H165" s="1">
        <f>SUM(H159:H164)</f>
        <v>11560</v>
      </c>
      <c r="I165" s="13" t="s">
        <v>12</v>
      </c>
      <c r="N165" s="16"/>
      <c r="O165" s="1"/>
      <c r="P165" s="1"/>
      <c r="R165" s="66"/>
      <c r="S165" s="66" t="s">
        <v>67</v>
      </c>
      <c r="T165" s="67">
        <f>$AA163*T157/100</f>
        <v>0</v>
      </c>
      <c r="U165" s="67">
        <f>$AA163*U157/100</f>
        <v>202.77909186434721</v>
      </c>
      <c r="V165" s="67">
        <f>$AA163*V157/100</f>
        <v>375.84514577735825</v>
      </c>
      <c r="W165" s="67">
        <f>$AA163*W157/100</f>
        <v>374.5597561562106</v>
      </c>
      <c r="X165" s="67">
        <f>$AA163*X157/100</f>
        <v>359.90397684610775</v>
      </c>
      <c r="AA165" s="1"/>
      <c r="AD165" s="51"/>
      <c r="AE165" s="51"/>
    </row>
    <row r="166" spans="1:35" x14ac:dyDescent="0.3">
      <c r="A166" s="1" t="s">
        <v>321</v>
      </c>
      <c r="B166" s="1" t="s">
        <v>2</v>
      </c>
      <c r="C166" s="10">
        <f>C160/C165</f>
        <v>0.98854961832061072</v>
      </c>
      <c r="D166" s="10">
        <f>D161/D165</f>
        <v>0.66596638655462181</v>
      </c>
      <c r="E166" s="10">
        <f>E162/E165</f>
        <v>0.97186206896551719</v>
      </c>
      <c r="F166" s="10">
        <f>F163/F165</f>
        <v>0.91209213051823412</v>
      </c>
      <c r="G166" s="10">
        <f>G164/G165</f>
        <v>0.8231644260599793</v>
      </c>
      <c r="H166" s="10"/>
      <c r="I166" s="14">
        <f>(C160+D161+E162+F163+G164)/H165</f>
        <v>0.93373702422145333</v>
      </c>
      <c r="R166" t="s">
        <v>108</v>
      </c>
      <c r="S166" t="s">
        <v>28</v>
      </c>
      <c r="T166" s="57">
        <f>C466</f>
        <v>1.4433365262486952</v>
      </c>
      <c r="U166" s="57">
        <f t="shared" ref="U166:X169" si="27">D466</f>
        <v>6.0825992398694799</v>
      </c>
      <c r="V166" s="57">
        <f t="shared" si="27"/>
        <v>56.43998225718839</v>
      </c>
      <c r="W166" s="57">
        <f t="shared" si="27"/>
        <v>23.319721129301382</v>
      </c>
      <c r="X166" s="57">
        <f t="shared" si="27"/>
        <v>12.714360847392063</v>
      </c>
      <c r="Z166" s="74"/>
      <c r="AA166" s="12"/>
      <c r="AD166" s="51"/>
      <c r="AE166" s="51"/>
      <c r="AH166" s="78"/>
      <c r="AI166" s="78"/>
    </row>
    <row r="167" spans="1:35" x14ac:dyDescent="0.3">
      <c r="B167" s="1" t="s">
        <v>14</v>
      </c>
      <c r="C167" s="11">
        <f>1-C166</f>
        <v>1.1450381679389277E-2</v>
      </c>
      <c r="D167" s="11">
        <f>1-D166</f>
        <v>0.33403361344537819</v>
      </c>
      <c r="E167" s="11">
        <f>1-E166</f>
        <v>2.813793103448281E-2</v>
      </c>
      <c r="F167" s="11">
        <f>1-F166</f>
        <v>8.7907869481765877E-2</v>
      </c>
      <c r="G167" s="11">
        <f>1-G166</f>
        <v>0.1768355739400207</v>
      </c>
      <c r="S167" s="66" t="s">
        <v>39</v>
      </c>
      <c r="T167" s="67">
        <f>C467</f>
        <v>0</v>
      </c>
      <c r="U167" s="67">
        <f t="shared" si="27"/>
        <v>0.11163956010174939</v>
      </c>
      <c r="V167" s="67">
        <f t="shared" si="27"/>
        <v>0.20598328448984482</v>
      </c>
      <c r="W167" s="67">
        <f t="shared" si="27"/>
        <v>0.20469770073944754</v>
      </c>
      <c r="X167" s="67">
        <f t="shared" si="27"/>
        <v>0.19703146378638223</v>
      </c>
      <c r="AD167" s="51"/>
      <c r="AE167" s="51"/>
    </row>
    <row r="168" spans="1:35" x14ac:dyDescent="0.3">
      <c r="C168" s="2"/>
      <c r="S168" t="s">
        <v>30</v>
      </c>
      <c r="T168" s="57">
        <f>C468</f>
        <v>100</v>
      </c>
      <c r="U168" s="57">
        <f t="shared" si="27"/>
        <v>80.563277830095331</v>
      </c>
      <c r="V168" s="57">
        <f t="shared" si="27"/>
        <v>96.313347303643283</v>
      </c>
      <c r="W168" s="57">
        <f t="shared" si="27"/>
        <v>89.663427058547612</v>
      </c>
      <c r="X168" s="57">
        <f t="shared" si="27"/>
        <v>87.664841010209912</v>
      </c>
      <c r="AD168" s="51"/>
      <c r="AE168" s="51"/>
      <c r="AH168" s="78"/>
      <c r="AI168" s="78"/>
    </row>
    <row r="169" spans="1:35" ht="15.6" x14ac:dyDescent="0.35">
      <c r="A169" t="s">
        <v>322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0</v>
      </c>
      <c r="U169" s="67">
        <f t="shared" si="27"/>
        <v>2.2725768778805451</v>
      </c>
      <c r="V169" s="67">
        <f t="shared" si="27"/>
        <v>0.27238847394893911</v>
      </c>
      <c r="W169" s="67">
        <f t="shared" si="27"/>
        <v>0.8365476783728184</v>
      </c>
      <c r="X169" s="67">
        <f t="shared" si="27"/>
        <v>1.7501578861428875</v>
      </c>
      <c r="AD169" s="51"/>
      <c r="AE169" s="51"/>
    </row>
    <row r="170" spans="1:35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100</v>
      </c>
      <c r="U170" s="71">
        <f>I462</f>
        <v>95.280235988200602</v>
      </c>
      <c r="V170" s="71">
        <f>I463</f>
        <v>95.256115691309645</v>
      </c>
      <c r="W170" s="71">
        <f>I464</f>
        <v>91.087207068766816</v>
      </c>
      <c r="X170" s="71">
        <f>I465</f>
        <v>83.229166666666671</v>
      </c>
      <c r="AD170" s="51"/>
      <c r="AE170" s="51"/>
      <c r="AH170" s="78"/>
      <c r="AI170" s="78"/>
    </row>
    <row r="171" spans="1:35" x14ac:dyDescent="0.3">
      <c r="A171" t="s">
        <v>3</v>
      </c>
      <c r="B171" s="13">
        <v>0</v>
      </c>
      <c r="C171" s="29">
        <f>(C160/$L171)*$O171</f>
        <v>1.4427449526825804</v>
      </c>
      <c r="D171" s="31">
        <f>(D160/$L171)*$O171</f>
        <v>0</v>
      </c>
      <c r="E171" s="31">
        <f>(E160/$L171)*$O171</f>
        <v>0</v>
      </c>
      <c r="F171" s="31">
        <f>(F160/$L171)*$O171</f>
        <v>0</v>
      </c>
      <c r="G171" s="32">
        <f>(G160/$L171)*$O171</f>
        <v>0</v>
      </c>
      <c r="H171" s="17">
        <f>SUM(C171:G171)</f>
        <v>1.4427449526825804</v>
      </c>
      <c r="I171" s="17">
        <f>C171/H171*100</f>
        <v>100</v>
      </c>
      <c r="J171" s="17">
        <f>SQRT(I171*(100-I171)/(L171-1))</f>
        <v>0</v>
      </c>
      <c r="K171" s="18">
        <f>100-I171</f>
        <v>0</v>
      </c>
      <c r="L171" s="1">
        <f>H160</f>
        <v>259</v>
      </c>
      <c r="M171">
        <v>0</v>
      </c>
      <c r="N171" s="1">
        <v>2633.58</v>
      </c>
      <c r="O171" s="17">
        <f>N171/N176*100</f>
        <v>1.4427449526825804</v>
      </c>
      <c r="P171" s="52">
        <f>((O171*O171*(I171/100)*(K171/100))/(L171-1))</f>
        <v>0</v>
      </c>
      <c r="S171" s="75" t="s">
        <v>39</v>
      </c>
      <c r="T171" s="76">
        <f>J461</f>
        <v>0</v>
      </c>
      <c r="U171" s="76">
        <f>J462</f>
        <v>1.1534617678365164</v>
      </c>
      <c r="V171" s="76">
        <f>J463</f>
        <v>0.24714755313726086</v>
      </c>
      <c r="W171" s="76">
        <f>J464</f>
        <v>0.5585755929498778</v>
      </c>
      <c r="X171" s="76">
        <f>J465</f>
        <v>1.2064401752225082</v>
      </c>
      <c r="AD171" s="51"/>
      <c r="AE171" s="51"/>
    </row>
    <row r="172" spans="1:35" x14ac:dyDescent="0.3">
      <c r="A172" t="s">
        <v>4</v>
      </c>
      <c r="B172" s="13">
        <v>1</v>
      </c>
      <c r="C172" s="33">
        <f t="shared" ref="C172:G175" si="28">(C161/$L172)*$O172</f>
        <v>0</v>
      </c>
      <c r="D172" s="34">
        <f t="shared" si="28"/>
        <v>4.8266591856899907</v>
      </c>
      <c r="E172" s="19">
        <f t="shared" si="28"/>
        <v>0.33497319269772802</v>
      </c>
      <c r="F172" s="18">
        <f t="shared" si="28"/>
        <v>0</v>
      </c>
      <c r="G172" s="20">
        <f t="shared" si="28"/>
        <v>0</v>
      </c>
      <c r="H172" s="17">
        <f>SUM(C172:G172)</f>
        <v>5.1616323783877185</v>
      </c>
      <c r="I172" s="17">
        <f>D172/H172*100</f>
        <v>93.510324483775818</v>
      </c>
      <c r="J172" s="17">
        <f>SQRT(I172*(100-I172)/(L172-1))</f>
        <v>1.3399325065981045</v>
      </c>
      <c r="K172" s="18">
        <f>100-I172</f>
        <v>6.4896755162241817</v>
      </c>
      <c r="L172" s="1">
        <f>H161</f>
        <v>339</v>
      </c>
      <c r="M172">
        <v>1</v>
      </c>
      <c r="N172" s="1">
        <v>9422.02</v>
      </c>
      <c r="O172" s="17">
        <f>N172/N176*100</f>
        <v>5.1616323783877185</v>
      </c>
      <c r="P172" s="52">
        <f>((O172*O172*(I172/100)*(K172/100))/(L172-1))</f>
        <v>4.7834362056047063E-3</v>
      </c>
      <c r="S172" s="66" t="s">
        <v>56</v>
      </c>
      <c r="T172" s="67">
        <f>N450*100</f>
        <v>100</v>
      </c>
      <c r="U172" s="67">
        <f>N451*100</f>
        <v>79.26380368098161</v>
      </c>
      <c r="V172" s="67">
        <f>N452*100</f>
        <v>96.284153005464475</v>
      </c>
      <c r="W172" s="67">
        <f>N453*100</f>
        <v>91.192307692307693</v>
      </c>
      <c r="X172" s="67">
        <f>N454*100</f>
        <v>82.074987159732927</v>
      </c>
      <c r="AD172" s="51"/>
      <c r="AE172" s="51"/>
      <c r="AH172" s="78"/>
      <c r="AI172" s="78"/>
    </row>
    <row r="173" spans="1:35" x14ac:dyDescent="0.3">
      <c r="A173" t="s">
        <v>5</v>
      </c>
      <c r="B173" s="13">
        <v>2</v>
      </c>
      <c r="C173" s="33">
        <f t="shared" si="28"/>
        <v>0</v>
      </c>
      <c r="D173" s="19">
        <f t="shared" si="28"/>
        <v>1.1874515981345337</v>
      </c>
      <c r="E173" s="34">
        <f t="shared" si="28"/>
        <v>53.979251357780157</v>
      </c>
      <c r="F173" s="19">
        <f t="shared" si="28"/>
        <v>0.93463932240266534</v>
      </c>
      <c r="G173" s="20">
        <f t="shared" si="28"/>
        <v>0.58223433198854557</v>
      </c>
      <c r="H173" s="17">
        <f>SUM(C173:G173)</f>
        <v>56.683576610305906</v>
      </c>
      <c r="I173" s="17">
        <f>E173/H173*100</f>
        <v>95.229085011488039</v>
      </c>
      <c r="J173" s="17">
        <f>SQRT(I173*(100-I173)/(L173-1))</f>
        <v>0.24781550844628758</v>
      </c>
      <c r="K173" s="18">
        <f>100-I173</f>
        <v>4.7709149885119615</v>
      </c>
      <c r="L173" s="1">
        <f>H162</f>
        <v>7399</v>
      </c>
      <c r="M173">
        <v>2</v>
      </c>
      <c r="N173" s="1">
        <v>103469.94</v>
      </c>
      <c r="O173" s="17">
        <f>N173/N176*100</f>
        <v>56.683576610305906</v>
      </c>
      <c r="P173" s="52">
        <f>((O173*O173*(I173/100)*(K173/100))/(L173-1))</f>
        <v>1.9732015755512231E-2</v>
      </c>
      <c r="R173" s="16" t="s">
        <v>66</v>
      </c>
      <c r="S173" t="s">
        <v>9</v>
      </c>
      <c r="T173" s="1">
        <f>N461</f>
        <v>2634.66</v>
      </c>
      <c r="U173" s="1">
        <f>N462</f>
        <v>9388.16</v>
      </c>
      <c r="V173" s="1">
        <f>N463</f>
        <v>104168.75</v>
      </c>
      <c r="W173" s="1">
        <f>N464</f>
        <v>41902.339999999997</v>
      </c>
      <c r="X173" s="1">
        <f>N465</f>
        <v>24445.64</v>
      </c>
      <c r="Z173" t="s">
        <v>36</v>
      </c>
      <c r="AA173" s="1">
        <f>N466</f>
        <v>182539.55</v>
      </c>
      <c r="AD173" s="51"/>
      <c r="AE173" s="51"/>
    </row>
    <row r="174" spans="1:35" ht="15.6" x14ac:dyDescent="0.35">
      <c r="A174" t="s">
        <v>6</v>
      </c>
      <c r="B174" s="13">
        <v>3</v>
      </c>
      <c r="C174" s="33">
        <f t="shared" si="28"/>
        <v>2.6798035724748273E-2</v>
      </c>
      <c r="D174" s="19">
        <f t="shared" si="28"/>
        <v>3.5730714299664366E-2</v>
      </c>
      <c r="E174" s="19">
        <f t="shared" si="28"/>
        <v>1.1165848218645114</v>
      </c>
      <c r="F174" s="34">
        <f t="shared" si="28"/>
        <v>21.224044294000635</v>
      </c>
      <c r="G174" s="20">
        <f t="shared" si="28"/>
        <v>0.84860446461702865</v>
      </c>
      <c r="H174" s="17">
        <f>SUM(C174:G174)</f>
        <v>23.251762330506587</v>
      </c>
      <c r="I174" s="17">
        <f>F174/H174*100</f>
        <v>91.279293123319249</v>
      </c>
      <c r="J174" s="17">
        <f>SQRT(I174*(100-I174)/(L174-1))</f>
        <v>0.55310595272696317</v>
      </c>
      <c r="K174" s="18">
        <f>100-I174</f>
        <v>8.720706876680751</v>
      </c>
      <c r="L174" s="1">
        <f>H163</f>
        <v>2603</v>
      </c>
      <c r="M174">
        <v>3</v>
      </c>
      <c r="N174" s="1">
        <v>42443.66</v>
      </c>
      <c r="O174" s="17">
        <f>N174/N176*100</f>
        <v>23.251762330506587</v>
      </c>
      <c r="P174" s="52">
        <f>((O174*O174*(I174/100)*(K174/100))/(L174-1))</f>
        <v>1.6539729985605815E-2</v>
      </c>
      <c r="R174" s="16" t="s">
        <v>323</v>
      </c>
      <c r="S174" t="s">
        <v>68</v>
      </c>
      <c r="T174" s="57">
        <f>$AA173*T166/100</f>
        <v>2634.66</v>
      </c>
      <c r="U174" s="57">
        <f>$AA173*U166/100</f>
        <v>11103.149280761168</v>
      </c>
      <c r="V174" s="57">
        <f>$AA173*V166/100</f>
        <v>103025.28963235153</v>
      </c>
      <c r="W174" s="57">
        <f>$AA173*W166/100</f>
        <v>42567.714010681659</v>
      </c>
      <c r="X174" s="57">
        <f>$AA173*X166/100</f>
        <v>23208.737076205656</v>
      </c>
      <c r="Z174" t="s">
        <v>36</v>
      </c>
      <c r="AA174" s="25">
        <f>SUM(T174:X174)</f>
        <v>182539.55000000002</v>
      </c>
      <c r="AD174" s="51"/>
      <c r="AE174" s="51"/>
      <c r="AH174" s="78"/>
      <c r="AI174" s="78"/>
    </row>
    <row r="175" spans="1:35" x14ac:dyDescent="0.3">
      <c r="A175" t="s">
        <v>7</v>
      </c>
      <c r="B175" s="13">
        <v>4</v>
      </c>
      <c r="C175" s="35">
        <f t="shared" si="28"/>
        <v>0</v>
      </c>
      <c r="D175" s="36">
        <f t="shared" si="28"/>
        <v>0</v>
      </c>
      <c r="E175" s="21">
        <f t="shared" si="28"/>
        <v>0.79920434635695903</v>
      </c>
      <c r="F175" s="21">
        <f t="shared" si="28"/>
        <v>1.5002607905297303</v>
      </c>
      <c r="G175" s="37">
        <f t="shared" si="28"/>
        <v>11.160818591230518</v>
      </c>
      <c r="H175" s="17">
        <f>SUM(C175:G175)</f>
        <v>13.460283728117208</v>
      </c>
      <c r="I175" s="17">
        <f>G175/H175*100</f>
        <v>82.916666666666657</v>
      </c>
      <c r="J175" s="17">
        <f>SQRT(I175*(100-I175)/(L175-1))</f>
        <v>1.2153403620278946</v>
      </c>
      <c r="K175" s="18">
        <f>100-I175</f>
        <v>17.083333333333343</v>
      </c>
      <c r="L175" s="1">
        <f>H164</f>
        <v>960</v>
      </c>
      <c r="M175">
        <v>4</v>
      </c>
      <c r="N175" s="1">
        <v>24570.34</v>
      </c>
      <c r="O175" s="17">
        <f>N175/N176*100</f>
        <v>13.460283728117206</v>
      </c>
      <c r="P175" s="52">
        <f>((O175*O175*(I175/100)*(K175/100))/(L175-1))</f>
        <v>2.6761119134151617E-2</v>
      </c>
      <c r="R175" s="66"/>
      <c r="S175" s="66" t="s">
        <v>67</v>
      </c>
      <c r="T175" s="67">
        <f>$AA173*T167/100</f>
        <v>0</v>
      </c>
      <c r="U175" s="67">
        <f>$AA173*U167/100</f>
        <v>203.78635063171285</v>
      </c>
      <c r="V175" s="67">
        <f>$AA173*V167/100</f>
        <v>376.00096058298254</v>
      </c>
      <c r="W175" s="67">
        <f>$AA173*W167/100</f>
        <v>373.65426179013417</v>
      </c>
      <c r="X175" s="67">
        <f>$AA173*X167/100</f>
        <v>359.66034735407504</v>
      </c>
      <c r="AA175" s="1"/>
      <c r="AD175" s="51"/>
      <c r="AE175" s="51"/>
    </row>
    <row r="176" spans="1:35" x14ac:dyDescent="0.3">
      <c r="B176" t="s">
        <v>28</v>
      </c>
      <c r="C176" s="17">
        <f t="shared" ref="C176:H176" si="29">SUM(C171:C175)</f>
        <v>1.4695429884073288</v>
      </c>
      <c r="D176" s="17">
        <f t="shared" si="29"/>
        <v>6.0498414981241888</v>
      </c>
      <c r="E176" s="17">
        <f t="shared" si="29"/>
        <v>56.230013718699361</v>
      </c>
      <c r="F176" s="17">
        <f t="shared" si="29"/>
        <v>23.658944406933031</v>
      </c>
      <c r="G176" s="17">
        <f t="shared" si="29"/>
        <v>12.591657387836092</v>
      </c>
      <c r="H176" s="18">
        <f t="shared" si="29"/>
        <v>99.999999999999986</v>
      </c>
      <c r="I176" s="13" t="s">
        <v>24</v>
      </c>
      <c r="J176" s="12" t="s">
        <v>29</v>
      </c>
      <c r="N176" s="1">
        <f>SUM(N171:N175)</f>
        <v>182539.54</v>
      </c>
      <c r="O176" s="17">
        <f>SUM(O171:O175)</f>
        <v>99.999999999999986</v>
      </c>
      <c r="R176" t="s">
        <v>109</v>
      </c>
      <c r="S176" t="s">
        <v>28</v>
      </c>
      <c r="T176" s="57">
        <f>C495</f>
        <v>1.4561612240285036</v>
      </c>
      <c r="U176" s="57">
        <f t="shared" ref="U176:X179" si="30">D495</f>
        <v>6.105081790467179</v>
      </c>
      <c r="V176" s="57">
        <f t="shared" si="30"/>
        <v>56.242534566449976</v>
      </c>
      <c r="W176" s="57">
        <f t="shared" si="30"/>
        <v>23.555493458848868</v>
      </c>
      <c r="X176" s="57">
        <f t="shared" si="30"/>
        <v>12.640728960205463</v>
      </c>
      <c r="AD176" s="51"/>
      <c r="AE176" s="51"/>
      <c r="AH176" s="78"/>
      <c r="AI176" s="78"/>
    </row>
    <row r="177" spans="1:41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1.5462934787380714E-2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0.11829824618921339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0.2110312840452595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0.20558781271936283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0.19609071388381488</v>
      </c>
      <c r="H177" s="1"/>
      <c r="I177" s="14">
        <f>(C171+D172+E173+F174+G175)/H176</f>
        <v>0.92633518381383906</v>
      </c>
      <c r="J177" s="53">
        <f>SQRT(SUM(P171:P175))/100</f>
        <v>2.6041563140655434E-3</v>
      </c>
      <c r="M177" s="1"/>
      <c r="N177" s="9"/>
      <c r="S177" s="66" t="s">
        <v>39</v>
      </c>
      <c r="T177" s="67">
        <f>C496</f>
        <v>0</v>
      </c>
      <c r="U177" s="67">
        <f t="shared" si="30"/>
        <v>0.11152954554093587</v>
      </c>
      <c r="V177" s="67">
        <f t="shared" si="30"/>
        <v>0.20588830047443155</v>
      </c>
      <c r="W177" s="67">
        <f t="shared" si="30"/>
        <v>0.20486871067633186</v>
      </c>
      <c r="X177" s="67">
        <f t="shared" si="30"/>
        <v>0.19645009573666369</v>
      </c>
      <c r="AD177" s="51"/>
      <c r="AE177" s="51"/>
    </row>
    <row r="178" spans="1:41" x14ac:dyDescent="0.3">
      <c r="B178" s="1" t="s">
        <v>30</v>
      </c>
      <c r="C178" s="17">
        <f>C171/C176*100</f>
        <v>98.176437441017512</v>
      </c>
      <c r="D178" s="17">
        <f>D172/D176*100</f>
        <v>79.781580842845926</v>
      </c>
      <c r="E178" s="17">
        <f>E173/E176*100</f>
        <v>95.997222458135894</v>
      </c>
      <c r="F178" s="17">
        <f>F174/F176*100</f>
        <v>89.708331567747905</v>
      </c>
      <c r="G178" s="17">
        <f>G175/G176*100</f>
        <v>88.636612698914391</v>
      </c>
      <c r="H178" s="1"/>
      <c r="S178" s="70" t="s">
        <v>30</v>
      </c>
      <c r="T178" s="64">
        <f>C497</f>
        <v>100</v>
      </c>
      <c r="U178" s="64">
        <f t="shared" si="30"/>
        <v>80.703749905599622</v>
      </c>
      <c r="V178" s="64">
        <f t="shared" si="30"/>
        <v>96.284886925647555</v>
      </c>
      <c r="W178" s="64">
        <f t="shared" si="30"/>
        <v>89.828602585544743</v>
      </c>
      <c r="X178" s="64">
        <f t="shared" si="30"/>
        <v>87.522371059338312</v>
      </c>
      <c r="AD178" s="51"/>
      <c r="AE178" s="51"/>
      <c r="AH178" s="78"/>
      <c r="AI178" s="78"/>
    </row>
    <row r="179" spans="1:41" x14ac:dyDescent="0.3">
      <c r="B179" s="16" t="s">
        <v>39</v>
      </c>
      <c r="C179" s="18">
        <f>SQRT((C182+C183)/(C176*C176))</f>
        <v>1.0332379187780325</v>
      </c>
      <c r="D179" s="18">
        <f>SQRT((D182+D183)/(D176*D176))</f>
        <v>2.6357299400706418</v>
      </c>
      <c r="E179" s="18">
        <f>SQRT((E182+E183)/(E176*E176))</f>
        <v>0.28701809882368384</v>
      </c>
      <c r="F179" s="18">
        <f>SQRT((F182+F183)/(F176*F176))</f>
        <v>0.82658160767307198</v>
      </c>
      <c r="G179" s="18">
        <f>SQRT((G182+G183)/(G176*G176))</f>
        <v>1.6614211503117744</v>
      </c>
      <c r="H179" s="1"/>
      <c r="S179" s="66" t="s">
        <v>39</v>
      </c>
      <c r="T179" s="67">
        <f>C498</f>
        <v>0</v>
      </c>
      <c r="U179" s="67">
        <f t="shared" si="30"/>
        <v>2.2601145448715023</v>
      </c>
      <c r="V179" s="67">
        <f t="shared" si="30"/>
        <v>0.2739923581625231</v>
      </c>
      <c r="W179" s="67">
        <f t="shared" si="30"/>
        <v>0.8245234433169838</v>
      </c>
      <c r="X179" s="67">
        <f t="shared" si="30"/>
        <v>1.7676391559668518</v>
      </c>
      <c r="AD179" s="51"/>
      <c r="AE179" s="51"/>
    </row>
    <row r="180" spans="1:41" x14ac:dyDescent="0.3">
      <c r="B180" s="1" t="s">
        <v>37</v>
      </c>
      <c r="C180" s="18">
        <f>100-C178</f>
        <v>1.8235625589824878</v>
      </c>
      <c r="D180" s="18">
        <f>100-D178</f>
        <v>20.218419157154074</v>
      </c>
      <c r="E180" s="18">
        <f>100-E178</f>
        <v>4.0027775418641056</v>
      </c>
      <c r="F180" s="18">
        <f>100-F178</f>
        <v>10.291668432252095</v>
      </c>
      <c r="G180" s="18">
        <f>100-G178</f>
        <v>11.363387301085609</v>
      </c>
      <c r="S180" s="70" t="s">
        <v>31</v>
      </c>
      <c r="T180" s="64">
        <f>I490</f>
        <v>100</v>
      </c>
      <c r="U180" s="64">
        <f>I491</f>
        <v>95.280235988200587</v>
      </c>
      <c r="V180" s="64">
        <f>I492</f>
        <v>95.256115691309645</v>
      </c>
      <c r="W180" s="64">
        <f>I493</f>
        <v>91.087207068766801</v>
      </c>
      <c r="X180" s="64">
        <f>I494</f>
        <v>83.229166666666671</v>
      </c>
      <c r="AD180" s="51"/>
      <c r="AE180" s="51"/>
      <c r="AH180" s="78"/>
      <c r="AI180" s="78"/>
    </row>
    <row r="181" spans="1:41" ht="15.6" x14ac:dyDescent="0.35">
      <c r="B181" s="1" t="s">
        <v>25</v>
      </c>
      <c r="C181" s="1">
        <f>C165</f>
        <v>262</v>
      </c>
      <c r="D181" s="1">
        <f>D165</f>
        <v>476</v>
      </c>
      <c r="E181" s="1">
        <f>E165</f>
        <v>7250</v>
      </c>
      <c r="F181" s="1">
        <f>F165</f>
        <v>2605</v>
      </c>
      <c r="G181" s="1">
        <f>G165</f>
        <v>967</v>
      </c>
      <c r="S181" s="66" t="s">
        <v>39</v>
      </c>
      <c r="T181" s="67">
        <f>J490</f>
        <v>0</v>
      </c>
      <c r="U181" s="67">
        <f>J491</f>
        <v>1.153461767836518</v>
      </c>
      <c r="V181" s="67">
        <f>J492</f>
        <v>0.24714755313726086</v>
      </c>
      <c r="W181" s="67">
        <f>J493</f>
        <v>0.55857559294987813</v>
      </c>
      <c r="X181" s="67">
        <f>J494</f>
        <v>1.2064401752225082</v>
      </c>
      <c r="AD181" s="51"/>
      <c r="AE181" s="51"/>
      <c r="AN181" s="2"/>
      <c r="AO181" s="2"/>
    </row>
    <row r="182" spans="1:41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195.53944494626876</v>
      </c>
      <c r="E182" s="18">
        <f>(O173*O173*(100-E178)*(100-E178)*(I173)*(100-I173))/((L173-1)*100)</f>
        <v>31.615085631413638</v>
      </c>
      <c r="F182" s="18">
        <f>(O174*O174*(100-F178)*(100-F178)*(I174)*(100-I174))/((L174-1)*100)</f>
        <v>175.18623835319408</v>
      </c>
      <c r="G182" s="18">
        <f>(O175*O175*(100-G178)*(100-G178)*(I175)*(100-I175))/((L175-1)*100)</f>
        <v>345.55715486971519</v>
      </c>
      <c r="S182" s="68" t="s">
        <v>56</v>
      </c>
      <c r="T182" s="65">
        <f>N479*100</f>
        <v>100</v>
      </c>
      <c r="U182" s="65">
        <f>N480*100</f>
        <v>79.26380368098161</v>
      </c>
      <c r="V182" s="65">
        <f>N481*100</f>
        <v>96.284153005464475</v>
      </c>
      <c r="W182" s="65">
        <f>N482*100</f>
        <v>91.192307692307693</v>
      </c>
      <c r="X182" s="65">
        <f>N483*100</f>
        <v>82.074987159732927</v>
      </c>
      <c r="AD182" s="51"/>
      <c r="AE182" s="51"/>
      <c r="AH182" s="78"/>
      <c r="AI182" s="78"/>
    </row>
    <row r="183" spans="1:41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2.3055007182771989</v>
      </c>
      <c r="D183" s="18">
        <f>D178*D178*(SUM((H171*D171*(1-D160/H160))/(H160-1),(H173*D173*(1-D162/H162))/(H162-1), (H174*D174*(1-D163/H163))/(H163-1),(H175*D175*(1-D164/H164))/(H164-1)))</f>
        <v>58.727446110374231</v>
      </c>
      <c r="E183" s="18">
        <f>E178*E178*(SUM((H171*E171*(1-E160/H160))/(H160-1),(H172*E172*(1-E161/H161))/(H161-1), (H174*E174*(1-E163/H163))/(H163-1),(H175*E175*(1-E164/H164))/(H164-1)))</f>
        <v>228.85325646380613</v>
      </c>
      <c r="F183" s="18">
        <f>F178*F178*(SUM((H171*F171*(1-F160/H160))/(H160-1),(H172*F172*(1-F161/H161))/(H161-1), (H173*F173*(1-F162/H162))/(H162-1),(H175*F175*(1-F164/H164))/(H164-1)))</f>
        <v>207.25278690464799</v>
      </c>
      <c r="G183" s="18">
        <f>G178*G178*(SUM((H171*G171*(1-G160/H160))/(H160-1),(H172*G172*(1-G161/H161))/(H161-1), (H173*G173*(1-G162/H162))/(H162-1),(H174*G174*(1-G163/H163))/(H163-1)))</f>
        <v>92.091165656607458</v>
      </c>
      <c r="R183" s="16" t="s">
        <v>66</v>
      </c>
      <c r="S183" t="s">
        <v>9</v>
      </c>
      <c r="T183" s="1">
        <f>N490</f>
        <v>2658.07</v>
      </c>
      <c r="U183" s="1">
        <f>N491</f>
        <v>9439.2900000000009</v>
      </c>
      <c r="V183" s="1">
        <f>N492</f>
        <v>103773.65</v>
      </c>
      <c r="W183" s="1">
        <f>N493</f>
        <v>42403.96</v>
      </c>
      <c r="X183" s="1">
        <f>N494</f>
        <v>24264.57</v>
      </c>
      <c r="Z183" t="s">
        <v>36</v>
      </c>
      <c r="AA183" s="1">
        <f>N495</f>
        <v>182539.54</v>
      </c>
      <c r="AD183" s="51"/>
      <c r="AE183" s="51"/>
      <c r="AN183" s="78"/>
      <c r="AO183" s="78"/>
    </row>
    <row r="184" spans="1:41" ht="15.6" x14ac:dyDescent="0.35">
      <c r="R184" s="16" t="s">
        <v>323</v>
      </c>
      <c r="S184" t="s">
        <v>68</v>
      </c>
      <c r="T184" s="57">
        <f>$AA183*T176/100</f>
        <v>2658.07</v>
      </c>
      <c r="U184" s="57">
        <f>$AA183*U176/100</f>
        <v>11144.188216942553</v>
      </c>
      <c r="V184" s="57">
        <f>$AA183*V176/100</f>
        <v>102664.8638819388</v>
      </c>
      <c r="W184" s="57">
        <f>$AA183*W176/100</f>
        <v>42998.089404512808</v>
      </c>
      <c r="X184" s="57">
        <f>$AA183*X176/100</f>
        <v>23074.328496605838</v>
      </c>
      <c r="Z184" t="s">
        <v>36</v>
      </c>
      <c r="AA184" s="25">
        <f>SUM(T184:X184)</f>
        <v>182539.54</v>
      </c>
      <c r="AD184" s="51"/>
      <c r="AE184" s="51"/>
      <c r="AH184" s="78"/>
      <c r="AI184" s="78"/>
    </row>
    <row r="185" spans="1:41" x14ac:dyDescent="0.3">
      <c r="R185" s="66"/>
      <c r="S185" s="66" t="s">
        <v>67</v>
      </c>
      <c r="T185" s="67">
        <f>$AA183*T177/100</f>
        <v>0</v>
      </c>
      <c r="U185" s="67">
        <f>$AA183*U177/100</f>
        <v>203.58551939451485</v>
      </c>
      <c r="V185" s="67">
        <f>$AA183*V177/100</f>
        <v>375.8275565998452</v>
      </c>
      <c r="W185" s="67">
        <f>$AA183*W177/100</f>
        <v>373.96640207250709</v>
      </c>
      <c r="X185" s="67">
        <f>$AA183*X177/100</f>
        <v>358.59910108726552</v>
      </c>
      <c r="AA185" s="1"/>
      <c r="AD185" s="51"/>
      <c r="AE185" s="51"/>
      <c r="AN185" s="78"/>
      <c r="AO185" s="78"/>
    </row>
    <row r="186" spans="1:41" x14ac:dyDescent="0.3">
      <c r="A186" s="361" t="s">
        <v>405</v>
      </c>
      <c r="B186" s="361"/>
      <c r="C186" s="361"/>
      <c r="D186" s="361"/>
      <c r="E186" s="361"/>
      <c r="F186" s="361"/>
      <c r="G186" s="361"/>
      <c r="H186" s="361"/>
      <c r="I186" s="361"/>
      <c r="J186" s="361"/>
      <c r="K186" s="361"/>
      <c r="L186" s="361" t="s">
        <v>84</v>
      </c>
      <c r="M186" s="361"/>
      <c r="N186" s="361"/>
      <c r="O186" s="361"/>
      <c r="P186" s="361"/>
      <c r="R186" t="s">
        <v>110</v>
      </c>
      <c r="S186" s="70" t="s">
        <v>28</v>
      </c>
      <c r="T186" s="64">
        <f>C524</f>
        <v>1.4329771274225227</v>
      </c>
      <c r="U186" s="64">
        <f t="shared" ref="U186:X189" si="31">D524</f>
        <v>5.9618055670520071</v>
      </c>
      <c r="V186" s="64">
        <f t="shared" si="31"/>
        <v>56.802109142429472</v>
      </c>
      <c r="W186" s="64">
        <f t="shared" si="31"/>
        <v>22.965084426957006</v>
      </c>
      <c r="X186" s="64">
        <f t="shared" si="31"/>
        <v>12.83802373613899</v>
      </c>
      <c r="AA186" s="12"/>
      <c r="AD186" s="51"/>
      <c r="AE186" s="51"/>
    </row>
    <row r="187" spans="1:41" x14ac:dyDescent="0.3">
      <c r="A187" t="s">
        <v>320</v>
      </c>
      <c r="B187" t="s">
        <v>21</v>
      </c>
      <c r="I187" s="1" t="s">
        <v>58</v>
      </c>
      <c r="O187" s="143"/>
      <c r="P187" s="143"/>
      <c r="S187" s="66" t="s">
        <v>39</v>
      </c>
      <c r="T187" s="67">
        <f>C525</f>
        <v>0</v>
      </c>
      <c r="U187" s="67">
        <f t="shared" si="31"/>
        <v>0.1113515671290168</v>
      </c>
      <c r="V187" s="67">
        <f t="shared" si="31"/>
        <v>0.20601516009931453</v>
      </c>
      <c r="W187" s="67">
        <f t="shared" si="31"/>
        <v>0.20460553006015725</v>
      </c>
      <c r="X187" s="67">
        <f t="shared" si="31"/>
        <v>0.19809959044302244</v>
      </c>
      <c r="AD187" s="51"/>
      <c r="AE187" s="51"/>
      <c r="AN187" s="78"/>
      <c r="AO187" s="78"/>
    </row>
    <row r="188" spans="1:41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56</v>
      </c>
      <c r="O188" s="13"/>
      <c r="P188" s="13"/>
      <c r="S188" t="s">
        <v>30</v>
      </c>
      <c r="T188" s="57">
        <f>C526</f>
        <v>100</v>
      </c>
      <c r="U188" s="57">
        <f t="shared" si="31"/>
        <v>80.038650229600407</v>
      </c>
      <c r="V188" s="57">
        <f t="shared" si="31"/>
        <v>96.366474168286388</v>
      </c>
      <c r="W188" s="57">
        <f t="shared" si="31"/>
        <v>89.396389804316215</v>
      </c>
      <c r="X188" s="57">
        <f t="shared" si="31"/>
        <v>87.883070463216328</v>
      </c>
      <c r="AD188" s="51"/>
      <c r="AE188" s="51"/>
    </row>
    <row r="189" spans="1:41" x14ac:dyDescent="0.3">
      <c r="A189" t="s">
        <v>3</v>
      </c>
      <c r="B189" s="13">
        <v>0</v>
      </c>
      <c r="C189" s="26">
        <v>259</v>
      </c>
      <c r="D189" s="3">
        <v>0</v>
      </c>
      <c r="E189" s="3">
        <v>0</v>
      </c>
      <c r="F189" s="3">
        <v>0</v>
      </c>
      <c r="G189" s="4">
        <v>0</v>
      </c>
      <c r="H189" s="1">
        <f>SUM(C189:G189)</f>
        <v>259</v>
      </c>
      <c r="I189" s="10">
        <f>C189/H189</f>
        <v>1</v>
      </c>
      <c r="J189" s="11">
        <f>1-I189</f>
        <v>0</v>
      </c>
      <c r="K189">
        <f>H189-C194</f>
        <v>-1</v>
      </c>
      <c r="N189" s="10">
        <f>2*(C195*I189)/(C195+I189)</f>
        <v>0.9980732177263969</v>
      </c>
      <c r="O189" s="1"/>
      <c r="P189" s="1"/>
      <c r="S189" s="66" t="s">
        <v>39</v>
      </c>
      <c r="T189" s="67">
        <f>C527</f>
        <v>0</v>
      </c>
      <c r="U189" s="67">
        <f t="shared" si="31"/>
        <v>2.3186795991936902</v>
      </c>
      <c r="V189" s="67">
        <f t="shared" si="31"/>
        <v>0.26913541913129629</v>
      </c>
      <c r="W189" s="67">
        <f t="shared" si="31"/>
        <v>0.85586286160207847</v>
      </c>
      <c r="X189" s="67">
        <f t="shared" si="31"/>
        <v>1.7232886957359961</v>
      </c>
      <c r="AD189" s="51"/>
      <c r="AE189" s="51"/>
      <c r="AN189" s="78"/>
      <c r="AO189" s="78"/>
    </row>
    <row r="190" spans="1:41" x14ac:dyDescent="0.3">
      <c r="A190" t="s">
        <v>4</v>
      </c>
      <c r="B190" s="13">
        <v>1</v>
      </c>
      <c r="C190" s="5">
        <v>0</v>
      </c>
      <c r="D190" s="27">
        <v>316</v>
      </c>
      <c r="E190" s="1">
        <v>23</v>
      </c>
      <c r="F190" s="1">
        <v>0</v>
      </c>
      <c r="G190" s="6">
        <v>0</v>
      </c>
      <c r="H190" s="1">
        <f>SUM(C190:G190)</f>
        <v>339</v>
      </c>
      <c r="I190" s="10">
        <f>D190/H190</f>
        <v>0.93215339233038352</v>
      </c>
      <c r="J190" s="11">
        <f>1-I190</f>
        <v>6.7846607669616477E-2</v>
      </c>
      <c r="K190">
        <f>H190-D194</f>
        <v>-121</v>
      </c>
      <c r="N190" s="10">
        <f>2*(D195*I190)/(D195+I190)</f>
        <v>0.79098873591989982</v>
      </c>
      <c r="O190" s="1"/>
      <c r="P190" s="1"/>
      <c r="S190" t="s">
        <v>31</v>
      </c>
      <c r="T190" s="57">
        <f>I519</f>
        <v>100</v>
      </c>
      <c r="U190" s="57">
        <f>I520</f>
        <v>95.280235988200602</v>
      </c>
      <c r="V190" s="57">
        <f>I521</f>
        <v>95.256115691309645</v>
      </c>
      <c r="W190" s="57">
        <f>I522</f>
        <v>91.087207068766801</v>
      </c>
      <c r="X190" s="57">
        <f>I523</f>
        <v>83.229166666666671</v>
      </c>
      <c r="AD190" s="51"/>
      <c r="AE190" s="51"/>
    </row>
    <row r="191" spans="1:41" x14ac:dyDescent="0.3">
      <c r="A191" t="s">
        <v>5</v>
      </c>
      <c r="B191" s="13">
        <v>2</v>
      </c>
      <c r="C191" s="5">
        <v>0</v>
      </c>
      <c r="D191" s="1">
        <v>142</v>
      </c>
      <c r="E191" s="27">
        <v>7073</v>
      </c>
      <c r="F191" s="1">
        <v>112</v>
      </c>
      <c r="G191" s="6">
        <v>72</v>
      </c>
      <c r="H191" s="1">
        <f>SUM(C191:G191)</f>
        <v>7399</v>
      </c>
      <c r="I191" s="10">
        <f>E191/H191</f>
        <v>0.95593999189079604</v>
      </c>
      <c r="J191" s="11">
        <f>1-I191</f>
        <v>4.4060008109203963E-2</v>
      </c>
      <c r="K191">
        <f>H191-E194</f>
        <v>136</v>
      </c>
      <c r="N191" s="10">
        <f>2*(E195*I191)/(E195+I191)</f>
        <v>0.96480698404037646</v>
      </c>
      <c r="O191" s="1"/>
      <c r="P191" s="1"/>
      <c r="S191" s="66" t="s">
        <v>39</v>
      </c>
      <c r="T191" s="67">
        <f>J519</f>
        <v>0</v>
      </c>
      <c r="U191" s="67">
        <f>J520</f>
        <v>1.1534617678365164</v>
      </c>
      <c r="V191" s="67">
        <f>J521</f>
        <v>0.24714755313726086</v>
      </c>
      <c r="W191" s="67">
        <f>J522</f>
        <v>0.55857559294987813</v>
      </c>
      <c r="X191" s="67">
        <f>J523</f>
        <v>1.2064401752225082</v>
      </c>
      <c r="AD191" s="51"/>
      <c r="AE191" s="51"/>
      <c r="AN191" s="78"/>
      <c r="AO191" s="78"/>
    </row>
    <row r="192" spans="1:41" x14ac:dyDescent="0.3">
      <c r="A192" t="s">
        <v>6</v>
      </c>
      <c r="B192" s="13">
        <v>3</v>
      </c>
      <c r="C192" s="5">
        <v>1</v>
      </c>
      <c r="D192" s="1">
        <v>2</v>
      </c>
      <c r="E192" s="1">
        <v>122</v>
      </c>
      <c r="F192" s="27">
        <v>2359</v>
      </c>
      <c r="G192" s="6">
        <v>119</v>
      </c>
      <c r="H192" s="1">
        <f>SUM(C192:G192)</f>
        <v>2603</v>
      </c>
      <c r="I192" s="10">
        <f>F192/H192</f>
        <v>0.90626200537840951</v>
      </c>
      <c r="J192" s="11">
        <f>1-I192</f>
        <v>9.3737994621590492E-2</v>
      </c>
      <c r="K192">
        <f>H192-F194</f>
        <v>35</v>
      </c>
      <c r="N192" s="10">
        <f>2*(F195*I192)/(F195+I192)</f>
        <v>0.91239605492167863</v>
      </c>
      <c r="O192" s="1"/>
      <c r="P192" s="1"/>
      <c r="S192" s="66" t="s">
        <v>56</v>
      </c>
      <c r="T192" s="67">
        <f>N508*100</f>
        <v>100</v>
      </c>
      <c r="U192" s="67">
        <f>N509*100</f>
        <v>79.26380368098161</v>
      </c>
      <c r="V192" s="67">
        <f>N510*100</f>
        <v>96.284153005464475</v>
      </c>
      <c r="W192" s="67">
        <f>N511*100</f>
        <v>91.192307692307693</v>
      </c>
      <c r="X192" s="67">
        <f>N512*100</f>
        <v>82.074987159732927</v>
      </c>
      <c r="AD192" s="51"/>
      <c r="AE192" s="51"/>
    </row>
    <row r="193" spans="1:48" x14ac:dyDescent="0.3">
      <c r="A193" t="s">
        <v>7</v>
      </c>
      <c r="B193" s="13">
        <v>4</v>
      </c>
      <c r="C193" s="7">
        <v>0</v>
      </c>
      <c r="D193" s="8">
        <v>0</v>
      </c>
      <c r="E193" s="8">
        <v>45</v>
      </c>
      <c r="F193" s="8">
        <v>97</v>
      </c>
      <c r="G193" s="28">
        <v>818</v>
      </c>
      <c r="H193" s="1">
        <f>SUM(C193:G193)</f>
        <v>960</v>
      </c>
      <c r="I193" s="10">
        <f>G193/H193</f>
        <v>0.8520833333333333</v>
      </c>
      <c r="J193" s="11">
        <f>1-I193</f>
        <v>0.1479166666666667</v>
      </c>
      <c r="K193">
        <f>H193-G194</f>
        <v>-49</v>
      </c>
      <c r="N193" s="10">
        <f>2*(G195*I193)/(G195+I193)</f>
        <v>0.83087861858811596</v>
      </c>
      <c r="O193" s="1"/>
      <c r="P193" s="1"/>
      <c r="R193" s="16" t="s">
        <v>66</v>
      </c>
      <c r="S193" t="s">
        <v>9</v>
      </c>
      <c r="T193" s="1">
        <f>N519</f>
        <v>2615.75</v>
      </c>
      <c r="U193" s="1">
        <f>N520</f>
        <v>9141.7999999999993</v>
      </c>
      <c r="V193" s="1">
        <f>N521</f>
        <v>104894.94</v>
      </c>
      <c r="W193" s="1">
        <f>N522</f>
        <v>41142.21</v>
      </c>
      <c r="X193" s="1">
        <f>N523</f>
        <v>24744.85</v>
      </c>
      <c r="Z193" t="s">
        <v>36</v>
      </c>
      <c r="AA193" s="1">
        <f>N524</f>
        <v>182539.55000000002</v>
      </c>
      <c r="AD193" s="51"/>
      <c r="AE193" s="51"/>
      <c r="AL193" s="132">
        <v>0</v>
      </c>
      <c r="AM193" s="133">
        <v>1</v>
      </c>
      <c r="AN193" s="133">
        <v>2</v>
      </c>
      <c r="AO193" s="133">
        <v>3</v>
      </c>
      <c r="AP193" s="134">
        <v>4</v>
      </c>
    </row>
    <row r="194" spans="1:48" ht="15.6" x14ac:dyDescent="0.35">
      <c r="B194" s="1" t="s">
        <v>19</v>
      </c>
      <c r="C194" s="1">
        <f>SUM(C189:C193)</f>
        <v>260</v>
      </c>
      <c r="D194" s="1">
        <f>SUM(D189:D193)</f>
        <v>460</v>
      </c>
      <c r="E194" s="1">
        <f>SUM(E189:E193)</f>
        <v>7263</v>
      </c>
      <c r="F194" s="1">
        <f>SUM(F189:F193)</f>
        <v>2568</v>
      </c>
      <c r="G194" s="1">
        <f>SUM(G189:G193)</f>
        <v>1009</v>
      </c>
      <c r="H194" s="1">
        <f>SUM(H188:H193)</f>
        <v>11560</v>
      </c>
      <c r="I194" s="13" t="s">
        <v>12</v>
      </c>
      <c r="N194" s="16"/>
      <c r="O194" s="1"/>
      <c r="P194" s="1"/>
      <c r="R194" s="16" t="s">
        <v>323</v>
      </c>
      <c r="S194" t="s">
        <v>68</v>
      </c>
      <c r="T194" s="57">
        <f>$AA193*T186/100</f>
        <v>2615.7499999999995</v>
      </c>
      <c r="U194" s="57">
        <f>$AA193*U186/100</f>
        <v>10882.653053971682</v>
      </c>
      <c r="V194" s="57">
        <f>$AA193*V186/100</f>
        <v>103686.31441909964</v>
      </c>
      <c r="W194" s="57">
        <f>$AA193*W186/100</f>
        <v>41920.361770087402</v>
      </c>
      <c r="X194" s="57">
        <f>$AA193*X186/100</f>
        <v>23434.470756841303</v>
      </c>
      <c r="Z194" t="s">
        <v>36</v>
      </c>
      <c r="AA194" s="25">
        <f>SUM(T194:X194)</f>
        <v>182539.55000000002</v>
      </c>
      <c r="AD194" s="51"/>
      <c r="AE194" s="51"/>
      <c r="AJ194" t="s">
        <v>2</v>
      </c>
      <c r="AQ194" t="s">
        <v>41</v>
      </c>
    </row>
    <row r="195" spans="1:48" x14ac:dyDescent="0.3">
      <c r="A195" s="1" t="s">
        <v>321</v>
      </c>
      <c r="B195" s="1" t="s">
        <v>2</v>
      </c>
      <c r="C195" s="10">
        <f>C189/C194</f>
        <v>0.99615384615384617</v>
      </c>
      <c r="D195" s="10">
        <f>D190/D194</f>
        <v>0.68695652173913047</v>
      </c>
      <c r="E195" s="10">
        <f>E191/E194</f>
        <v>0.97384001101473217</v>
      </c>
      <c r="F195" s="10">
        <f>F192/F194</f>
        <v>0.91861370716510904</v>
      </c>
      <c r="G195" s="10">
        <f>G193/G194</f>
        <v>0.81070366699702678</v>
      </c>
      <c r="H195" s="10"/>
      <c r="I195" s="14">
        <f>(C189+D190+E191+F192+G193)/H194</f>
        <v>0.93641868512110726</v>
      </c>
      <c r="R195" s="66"/>
      <c r="S195" s="66" t="s">
        <v>67</v>
      </c>
      <c r="T195" s="67">
        <f>$AA193*T187/100</f>
        <v>0</v>
      </c>
      <c r="U195" s="67">
        <f>$AA193*U187/100</f>
        <v>203.26064955525518</v>
      </c>
      <c r="V195" s="67">
        <f>$AA193*V187/100</f>
        <v>376.05914617706833</v>
      </c>
      <c r="W195" s="67">
        <f>$AA193*W187/100</f>
        <v>373.4860138469258</v>
      </c>
      <c r="X195" s="67">
        <f>$AA193*X187/100</f>
        <v>361.61010094653619</v>
      </c>
      <c r="AA195" s="1"/>
      <c r="AD195" s="51"/>
      <c r="AE195" s="51"/>
      <c r="AJ195" t="s">
        <v>415</v>
      </c>
      <c r="AK195">
        <v>0</v>
      </c>
      <c r="AL195" s="1">
        <v>42.19</v>
      </c>
      <c r="AM195" s="1">
        <v>245.84</v>
      </c>
      <c r="AN195" s="1">
        <v>15787.02</v>
      </c>
      <c r="AO195" s="1">
        <v>14927.24</v>
      </c>
      <c r="AP195" s="1">
        <v>11907.54</v>
      </c>
      <c r="AR195" s="1">
        <v>2588.83</v>
      </c>
      <c r="AS195" s="1">
        <v>9447.14</v>
      </c>
      <c r="AT195" s="1">
        <v>103399.34</v>
      </c>
      <c r="AU195" s="1">
        <v>42274.31</v>
      </c>
      <c r="AV195" s="1">
        <v>24829.93</v>
      </c>
    </row>
    <row r="196" spans="1:48" x14ac:dyDescent="0.3">
      <c r="B196" s="1" t="s">
        <v>14</v>
      </c>
      <c r="C196" s="11">
        <f>1-C195</f>
        <v>3.8461538461538325E-3</v>
      </c>
      <c r="D196" s="11">
        <f>1-D195</f>
        <v>0.31304347826086953</v>
      </c>
      <c r="E196" s="11">
        <f>1-E195</f>
        <v>2.6159988985267835E-2</v>
      </c>
      <c r="F196" s="11">
        <f>1-F195</f>
        <v>8.1386292834890961E-2</v>
      </c>
      <c r="G196" s="11">
        <f>1-G195</f>
        <v>0.18929633300297322</v>
      </c>
      <c r="R196" t="s">
        <v>111</v>
      </c>
      <c r="S196" t="s">
        <v>28</v>
      </c>
      <c r="T196" s="57">
        <f>C553</f>
        <v>1.4341604326295314</v>
      </c>
      <c r="U196" s="57">
        <f t="shared" ref="U196:X199" si="32">D553</f>
        <v>6.0814787675913253</v>
      </c>
      <c r="V196" s="57">
        <f t="shared" si="32"/>
        <v>56.394600357321579</v>
      </c>
      <c r="W196" s="57">
        <f t="shared" si="32"/>
        <v>23.490806709034239</v>
      </c>
      <c r="X196" s="57">
        <f t="shared" si="32"/>
        <v>12.598953733423333</v>
      </c>
      <c r="Y196" s="13"/>
      <c r="Z196" s="74"/>
      <c r="AA196" s="12"/>
      <c r="AD196" s="51"/>
      <c r="AE196" s="51"/>
      <c r="AJ196" t="s">
        <v>415</v>
      </c>
      <c r="AK196">
        <v>1</v>
      </c>
      <c r="AL196" s="1">
        <v>37.99</v>
      </c>
      <c r="AM196" s="1">
        <v>242.58</v>
      </c>
      <c r="AN196" s="1">
        <v>15984.91</v>
      </c>
      <c r="AO196" s="1">
        <v>14883.01</v>
      </c>
      <c r="AP196" s="1">
        <v>11761.35</v>
      </c>
      <c r="AR196" s="1">
        <v>2593.06</v>
      </c>
      <c r="AS196" s="1">
        <v>9357.5400000000009</v>
      </c>
      <c r="AT196" s="1">
        <v>103915.73</v>
      </c>
      <c r="AU196" s="1">
        <v>42324.55</v>
      </c>
      <c r="AV196" s="1">
        <v>24348.66</v>
      </c>
    </row>
    <row r="197" spans="1:48" x14ac:dyDescent="0.3">
      <c r="C197" s="2"/>
      <c r="S197" s="66" t="s">
        <v>39</v>
      </c>
      <c r="T197" s="67">
        <f>C554</f>
        <v>0</v>
      </c>
      <c r="U197" s="67">
        <f t="shared" si="32"/>
        <v>0.11158253890103245</v>
      </c>
      <c r="V197" s="67">
        <f t="shared" si="32"/>
        <v>0.20576959879920798</v>
      </c>
      <c r="W197" s="67">
        <f t="shared" si="32"/>
        <v>0.20439996752377601</v>
      </c>
      <c r="X197" s="67">
        <f t="shared" si="32"/>
        <v>0.19591724902510399</v>
      </c>
      <c r="AD197" s="51"/>
      <c r="AE197" s="51"/>
      <c r="AJ197" t="s">
        <v>415</v>
      </c>
      <c r="AK197">
        <v>2</v>
      </c>
      <c r="AL197" s="1">
        <v>40.47</v>
      </c>
      <c r="AM197" s="1">
        <v>244.9</v>
      </c>
      <c r="AN197" s="1">
        <v>15877.57</v>
      </c>
      <c r="AO197" s="1">
        <v>14845.29</v>
      </c>
      <c r="AP197" s="1">
        <v>11901.62</v>
      </c>
      <c r="AR197" s="1">
        <v>2612.15</v>
      </c>
      <c r="AS197" s="1">
        <v>9776.31</v>
      </c>
      <c r="AT197" s="1">
        <v>103503.36</v>
      </c>
      <c r="AU197" s="1">
        <v>42287.27</v>
      </c>
      <c r="AV197" s="1">
        <v>24360.47</v>
      </c>
    </row>
    <row r="198" spans="1:48" ht="15.6" x14ac:dyDescent="0.35">
      <c r="A198" t="s">
        <v>322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100</v>
      </c>
      <c r="U198" s="57">
        <f t="shared" si="32"/>
        <v>80.573572117449345</v>
      </c>
      <c r="V198" s="57">
        <f t="shared" si="32"/>
        <v>96.307859466147463</v>
      </c>
      <c r="W198" s="57">
        <f t="shared" si="32"/>
        <v>89.812405327964129</v>
      </c>
      <c r="X198" s="57">
        <f t="shared" si="32"/>
        <v>87.488636920715095</v>
      </c>
      <c r="AD198" s="51"/>
      <c r="AE198" s="51"/>
      <c r="AJ198" t="s">
        <v>415</v>
      </c>
      <c r="AK198">
        <v>3</v>
      </c>
      <c r="AL198" s="1">
        <v>44.96</v>
      </c>
      <c r="AM198" s="1">
        <v>241.28</v>
      </c>
      <c r="AN198" s="1">
        <v>15826.59</v>
      </c>
      <c r="AO198" s="1">
        <v>14839.01</v>
      </c>
      <c r="AP198" s="1">
        <v>11958</v>
      </c>
      <c r="AR198" s="1">
        <v>2624.22</v>
      </c>
      <c r="AS198" s="1">
        <v>9323.42</v>
      </c>
      <c r="AT198" s="1">
        <v>103518.74</v>
      </c>
      <c r="AU198" s="1">
        <v>42199.21</v>
      </c>
      <c r="AV198" s="1">
        <v>24873.97</v>
      </c>
    </row>
    <row r="199" spans="1:48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</v>
      </c>
      <c r="U199" s="67">
        <f t="shared" si="32"/>
        <v>2.2716807335729481</v>
      </c>
      <c r="V199" s="67">
        <f t="shared" si="32"/>
        <v>0.2723248989361759</v>
      </c>
      <c r="W199" s="67">
        <f t="shared" si="32"/>
        <v>0.82537423109709895</v>
      </c>
      <c r="X199" s="67">
        <f t="shared" si="32"/>
        <v>1.7716785826078385</v>
      </c>
      <c r="AD199" s="51"/>
      <c r="AE199" s="51"/>
      <c r="AJ199" t="s">
        <v>415</v>
      </c>
      <c r="AK199">
        <v>4</v>
      </c>
      <c r="AL199" s="1">
        <v>37.799999999999997</v>
      </c>
      <c r="AM199" s="1">
        <v>229.76</v>
      </c>
      <c r="AN199" s="1">
        <v>15968.15</v>
      </c>
      <c r="AO199" s="1">
        <v>14779.49</v>
      </c>
      <c r="AP199" s="1">
        <v>11894.64</v>
      </c>
      <c r="AR199" s="1">
        <v>2636.02</v>
      </c>
      <c r="AS199" s="1">
        <v>9283.7999999999993</v>
      </c>
      <c r="AT199" s="1">
        <v>104191.26</v>
      </c>
      <c r="AU199" s="1">
        <v>41785.919999999998</v>
      </c>
      <c r="AV199" s="1">
        <v>24642.560000000001</v>
      </c>
    </row>
    <row r="200" spans="1:48" x14ac:dyDescent="0.3">
      <c r="A200" t="s">
        <v>3</v>
      </c>
      <c r="B200" s="13">
        <v>0</v>
      </c>
      <c r="C200" s="29">
        <f>(C189/$L200)*$O200</f>
        <v>1.4541396645274958</v>
      </c>
      <c r="D200" s="31">
        <f>(D189/$L200)*$O200</f>
        <v>0</v>
      </c>
      <c r="E200" s="31">
        <f>(E189/$L200)*$O200</f>
        <v>0</v>
      </c>
      <c r="F200" s="31">
        <f>(F189/$L200)*$O200</f>
        <v>0</v>
      </c>
      <c r="G200" s="32">
        <f>(G189/$L200)*$O200</f>
        <v>0</v>
      </c>
      <c r="H200" s="17">
        <f>SUM(C200:G200)</f>
        <v>1.4541396645274958</v>
      </c>
      <c r="I200" s="17">
        <f>C200/H200*100</f>
        <v>100</v>
      </c>
      <c r="J200" s="17">
        <f>SQRT(I200*(100-I200)/(L200-1))</f>
        <v>0</v>
      </c>
      <c r="K200" s="18">
        <f>100-I200</f>
        <v>0</v>
      </c>
      <c r="L200" s="1">
        <f>H189</f>
        <v>259</v>
      </c>
      <c r="M200">
        <v>0</v>
      </c>
      <c r="N200" s="1">
        <v>2654.38</v>
      </c>
      <c r="O200" s="17">
        <f>N200/N205*100</f>
        <v>1.4541396645274958</v>
      </c>
      <c r="P200" s="52">
        <f>((O200*O200*(I200/100)*(K200/100))/(L200-1))</f>
        <v>0</v>
      </c>
      <c r="S200" t="s">
        <v>31</v>
      </c>
      <c r="T200" s="57">
        <f>I548</f>
        <v>100</v>
      </c>
      <c r="U200" s="57">
        <f>I549</f>
        <v>95.280235988200587</v>
      </c>
      <c r="V200" s="57">
        <f>I550</f>
        <v>95.256115691309645</v>
      </c>
      <c r="W200" s="57">
        <f>I551</f>
        <v>91.087207068766801</v>
      </c>
      <c r="X200" s="57">
        <f>I552</f>
        <v>83.229166666666671</v>
      </c>
      <c r="AD200" s="51"/>
      <c r="AE200" s="51"/>
      <c r="AJ200" t="s">
        <v>415</v>
      </c>
      <c r="AK200">
        <v>5</v>
      </c>
      <c r="AL200" s="1">
        <v>41.2</v>
      </c>
      <c r="AM200" s="1">
        <v>261.62</v>
      </c>
      <c r="AN200" s="1">
        <v>15915.11</v>
      </c>
      <c r="AO200" s="1">
        <v>14880.54</v>
      </c>
      <c r="AP200" s="1">
        <v>11811.37</v>
      </c>
      <c r="AR200" s="1">
        <v>2633.58</v>
      </c>
      <c r="AS200" s="1">
        <v>9422.02</v>
      </c>
      <c r="AT200" s="1">
        <v>103469.94</v>
      </c>
      <c r="AU200" s="1">
        <v>42443.66</v>
      </c>
      <c r="AV200" s="1">
        <v>24570.34</v>
      </c>
    </row>
    <row r="201" spans="1:48" x14ac:dyDescent="0.3">
      <c r="A201" t="s">
        <v>4</v>
      </c>
      <c r="B201" s="13">
        <v>1</v>
      </c>
      <c r="C201" s="33">
        <f t="shared" ref="C201:G204" si="33">(C190/$L201)*$O201</f>
        <v>0</v>
      </c>
      <c r="D201" s="34">
        <f t="shared" si="33"/>
        <v>4.7913793158183564</v>
      </c>
      <c r="E201" s="19">
        <f t="shared" si="33"/>
        <v>0.34873963374627276</v>
      </c>
      <c r="F201" s="18">
        <f t="shared" si="33"/>
        <v>0</v>
      </c>
      <c r="G201" s="20">
        <f t="shared" si="33"/>
        <v>0</v>
      </c>
      <c r="H201" s="17">
        <f>SUM(C201:G201)</f>
        <v>5.1401189495646289</v>
      </c>
      <c r="I201" s="17">
        <f>D201/H201*100</f>
        <v>93.21533923303835</v>
      </c>
      <c r="J201" s="17">
        <f>SQRT(I201*(100-I201)/(L201-1))</f>
        <v>1.367884445028503</v>
      </c>
      <c r="K201" s="18">
        <f>100-I201</f>
        <v>6.7846607669616503</v>
      </c>
      <c r="L201" s="1">
        <f>H190</f>
        <v>339</v>
      </c>
      <c r="M201">
        <v>1</v>
      </c>
      <c r="N201" s="1">
        <v>9382.75</v>
      </c>
      <c r="O201" s="17">
        <f>N201/N205*100</f>
        <v>5.1401189495646289</v>
      </c>
      <c r="P201" s="52">
        <f>((O201*O201*(I201/100)*(K201/100))/(L201-1))</f>
        <v>4.9436209104673379E-3</v>
      </c>
      <c r="S201" s="66" t="s">
        <v>39</v>
      </c>
      <c r="T201" s="67">
        <f>J548</f>
        <v>0</v>
      </c>
      <c r="U201" s="67">
        <f>J549</f>
        <v>1.153461767836518</v>
      </c>
      <c r="V201" s="67">
        <f>J550</f>
        <v>0.24714755313726086</v>
      </c>
      <c r="W201" s="67">
        <f>J551</f>
        <v>0.55857559294987813</v>
      </c>
      <c r="X201" s="67">
        <f>J552</f>
        <v>1.2064401752225082</v>
      </c>
      <c r="AD201" s="51"/>
      <c r="AE201" s="51"/>
      <c r="AJ201" t="s">
        <v>415</v>
      </c>
      <c r="AK201">
        <v>6</v>
      </c>
      <c r="AL201" s="1">
        <v>44.52</v>
      </c>
      <c r="AM201" s="1">
        <v>244.92</v>
      </c>
      <c r="AN201" s="1">
        <v>16077.26</v>
      </c>
      <c r="AO201" s="1">
        <v>14609.29</v>
      </c>
      <c r="AP201" s="1">
        <v>11933.85</v>
      </c>
      <c r="AR201" s="1">
        <v>2654.38</v>
      </c>
      <c r="AS201" s="1">
        <v>9382.75</v>
      </c>
      <c r="AT201" s="1">
        <v>104324.08</v>
      </c>
      <c r="AU201" s="1">
        <v>41687.410000000003</v>
      </c>
      <c r="AV201" s="1">
        <v>24490.93</v>
      </c>
    </row>
    <row r="202" spans="1:48" x14ac:dyDescent="0.3">
      <c r="A202" t="s">
        <v>5</v>
      </c>
      <c r="B202" s="13">
        <v>2</v>
      </c>
      <c r="C202" s="33">
        <f t="shared" si="33"/>
        <v>0</v>
      </c>
      <c r="D202" s="19">
        <f t="shared" si="33"/>
        <v>1.0968390526631266</v>
      </c>
      <c r="E202" s="34">
        <f t="shared" si="33"/>
        <v>54.633398728776726</v>
      </c>
      <c r="F202" s="19">
        <f t="shared" si="33"/>
        <v>0.86511249224133935</v>
      </c>
      <c r="G202" s="20">
        <f t="shared" si="33"/>
        <v>0.55614374501228969</v>
      </c>
      <c r="H202" s="17">
        <f>SUM(C202:G202)</f>
        <v>57.151494018693484</v>
      </c>
      <c r="I202" s="17">
        <f>E202/H202*100</f>
        <v>95.593999189079597</v>
      </c>
      <c r="J202" s="17">
        <f>SQRT(I202*(100-I202)/(L202-1))</f>
        <v>0.23860549344314103</v>
      </c>
      <c r="K202" s="18">
        <f>100-I202</f>
        <v>4.4060008109204034</v>
      </c>
      <c r="L202" s="1">
        <f>H191</f>
        <v>7399</v>
      </c>
      <c r="M202">
        <v>2</v>
      </c>
      <c r="N202" s="1">
        <v>104324.08</v>
      </c>
      <c r="O202" s="17">
        <f>N202/N205*100</f>
        <v>57.151494018693484</v>
      </c>
      <c r="P202" s="52">
        <f>((O202*O202*(I202/100)*(K202/100))/(L202-1))</f>
        <v>1.8595850771975803E-2</v>
      </c>
      <c r="S202" s="66" t="s">
        <v>56</v>
      </c>
      <c r="T202" s="67">
        <f>N537*100</f>
        <v>100</v>
      </c>
      <c r="U202" s="67">
        <f>N538*100</f>
        <v>79.26380368098161</v>
      </c>
      <c r="V202" s="67">
        <f>N539*100</f>
        <v>96.284153005464475</v>
      </c>
      <c r="W202" s="67">
        <f>N540*100</f>
        <v>91.192307692307693</v>
      </c>
      <c r="X202" s="67">
        <f>N541*100</f>
        <v>82.074987159732927</v>
      </c>
      <c r="AD202" s="51"/>
      <c r="AE202" s="51"/>
      <c r="AJ202" t="s">
        <v>415</v>
      </c>
      <c r="AK202">
        <v>7</v>
      </c>
      <c r="AL202" s="1">
        <v>46.73</v>
      </c>
      <c r="AM202" s="1">
        <v>238.19</v>
      </c>
      <c r="AN202" s="1">
        <v>16032.91</v>
      </c>
      <c r="AO202" s="1">
        <v>14681.19</v>
      </c>
      <c r="AP202" s="1">
        <v>11910.82</v>
      </c>
      <c r="AR202" s="1">
        <v>2647</v>
      </c>
      <c r="AS202" s="1">
        <v>9582.19</v>
      </c>
      <c r="AT202" s="1">
        <v>103843.98</v>
      </c>
      <c r="AU202" s="1">
        <v>41807.61</v>
      </c>
      <c r="AV202" s="1">
        <v>24658.77</v>
      </c>
    </row>
    <row r="203" spans="1:48" x14ac:dyDescent="0.3">
      <c r="A203" t="s">
        <v>6</v>
      </c>
      <c r="B203" s="13">
        <v>3</v>
      </c>
      <c r="C203" s="33">
        <f t="shared" si="33"/>
        <v>8.7735179706643438E-3</v>
      </c>
      <c r="D203" s="19">
        <f t="shared" si="33"/>
        <v>1.7547035941328688E-2</v>
      </c>
      <c r="E203" s="19">
        <f t="shared" si="33"/>
        <v>1.0703691924210501</v>
      </c>
      <c r="F203" s="34">
        <f t="shared" si="33"/>
        <v>20.696728892797186</v>
      </c>
      <c r="G203" s="20">
        <f t="shared" si="33"/>
        <v>1.044048638509057</v>
      </c>
      <c r="H203" s="17">
        <f>SUM(C203:G203)</f>
        <v>22.837467277639288</v>
      </c>
      <c r="I203" s="17">
        <f>F203/H203*100</f>
        <v>90.626200537840944</v>
      </c>
      <c r="J203" s="17">
        <f>SQRT(I203*(100-I203)/(L203-1))</f>
        <v>0.57138793958359679</v>
      </c>
      <c r="K203" s="18">
        <f>100-I203</f>
        <v>9.3737994621590559</v>
      </c>
      <c r="L203" s="1">
        <f>H192</f>
        <v>2603</v>
      </c>
      <c r="M203">
        <v>3</v>
      </c>
      <c r="N203" s="1">
        <v>41687.410000000003</v>
      </c>
      <c r="O203" s="17">
        <f>N203/N205*100</f>
        <v>22.837467277639288</v>
      </c>
      <c r="P203" s="52">
        <f>((O203*O203*(I203/100)*(K203/100))/(L203-1))</f>
        <v>1.7027779393344166E-2</v>
      </c>
      <c r="R203" s="16" t="s">
        <v>66</v>
      </c>
      <c r="S203" t="s">
        <v>9</v>
      </c>
      <c r="T203" s="1">
        <f>N548</f>
        <v>2617.91</v>
      </c>
      <c r="U203" s="1">
        <f>N549</f>
        <v>9387.6299999999992</v>
      </c>
      <c r="V203" s="1">
        <f>N550</f>
        <v>104079.06</v>
      </c>
      <c r="W203" s="1">
        <f>N551</f>
        <v>42279.89</v>
      </c>
      <c r="X203" s="1">
        <f>N552</f>
        <v>24175.06</v>
      </c>
      <c r="Z203" t="s">
        <v>36</v>
      </c>
      <c r="AA203" s="1">
        <f>N553</f>
        <v>182539.55</v>
      </c>
      <c r="AD203" s="51"/>
      <c r="AE203" s="51"/>
      <c r="AJ203" t="s">
        <v>415</v>
      </c>
      <c r="AK203">
        <v>8</v>
      </c>
      <c r="AL203" s="1">
        <v>44.49</v>
      </c>
      <c r="AM203" s="1">
        <v>235.86</v>
      </c>
      <c r="AN203" s="1">
        <v>15890.14</v>
      </c>
      <c r="AO203" s="1">
        <v>14788.51</v>
      </c>
      <c r="AP203" s="1">
        <v>11950.85</v>
      </c>
      <c r="AR203" s="1">
        <v>2638.45</v>
      </c>
      <c r="AS203" s="1">
        <v>9175.1200000000008</v>
      </c>
      <c r="AT203" s="1">
        <v>103671.1</v>
      </c>
      <c r="AU203" s="1">
        <v>42391.61</v>
      </c>
      <c r="AV203" s="1">
        <v>24663.27</v>
      </c>
    </row>
    <row r="204" spans="1:48" ht="15.6" x14ac:dyDescent="0.35">
      <c r="A204" t="s">
        <v>7</v>
      </c>
      <c r="B204" s="13">
        <v>4</v>
      </c>
      <c r="C204" s="35">
        <f t="shared" si="33"/>
        <v>0</v>
      </c>
      <c r="D204" s="36">
        <f t="shared" si="33"/>
        <v>0</v>
      </c>
      <c r="E204" s="21">
        <f t="shared" si="33"/>
        <v>0.62891156669883319</v>
      </c>
      <c r="F204" s="21">
        <f t="shared" si="33"/>
        <v>1.3556538215508183</v>
      </c>
      <c r="G204" s="37">
        <f t="shared" si="33"/>
        <v>11.432214701325456</v>
      </c>
      <c r="H204" s="17">
        <f>SUM(C204:G204)</f>
        <v>13.416780089575107</v>
      </c>
      <c r="I204" s="17">
        <f>G204/H204*100</f>
        <v>85.208333333333329</v>
      </c>
      <c r="J204" s="17">
        <f>SQRT(I204*(100-I204)/(L204-1))</f>
        <v>1.1464108491850493</v>
      </c>
      <c r="K204" s="18">
        <f>100-I204</f>
        <v>14.791666666666671</v>
      </c>
      <c r="L204" s="1">
        <f>H193</f>
        <v>960</v>
      </c>
      <c r="M204">
        <v>4</v>
      </c>
      <c r="N204" s="1">
        <v>24490.93</v>
      </c>
      <c r="O204" s="17">
        <f>N204/N205*100</f>
        <v>13.416780089575109</v>
      </c>
      <c r="P204" s="52">
        <f>((O204*O204*(I204/100)*(K204/100))/(L204-1))</f>
        <v>2.3657953709373659E-2</v>
      </c>
      <c r="R204" s="16" t="s">
        <v>323</v>
      </c>
      <c r="S204" t="s">
        <v>68</v>
      </c>
      <c r="T204" s="57">
        <f>$AA203*T196/100</f>
        <v>2617.91</v>
      </c>
      <c r="U204" s="57">
        <f>$AA203*U196/100</f>
        <v>11101.10397570675</v>
      </c>
      <c r="V204" s="57">
        <f>$AA203*V196/100</f>
        <v>102942.44971655321</v>
      </c>
      <c r="W204" s="57">
        <f>$AA203*W196/100</f>
        <v>42880.012858040907</v>
      </c>
      <c r="X204" s="57">
        <f>$AA203*X196/100</f>
        <v>22998.073449699146</v>
      </c>
      <c r="Z204" t="s">
        <v>36</v>
      </c>
      <c r="AA204" s="25">
        <f>SUM(T204:X204)</f>
        <v>182539.55000000002</v>
      </c>
      <c r="AD204" s="51"/>
      <c r="AE204" s="51"/>
      <c r="AJ204" t="s">
        <v>415</v>
      </c>
      <c r="AK204">
        <v>9</v>
      </c>
      <c r="AL204" s="1">
        <v>45.15</v>
      </c>
      <c r="AM204" s="1">
        <v>237.56</v>
      </c>
      <c r="AN204" s="1">
        <v>16118.37</v>
      </c>
      <c r="AO204" s="1">
        <v>14750.17</v>
      </c>
      <c r="AP204" s="1">
        <v>11758.59</v>
      </c>
      <c r="AR204" s="1">
        <v>2614.67</v>
      </c>
      <c r="AS204" s="1">
        <v>9502.24</v>
      </c>
      <c r="AT204" s="1">
        <v>104279.59</v>
      </c>
      <c r="AU204" s="1">
        <v>42125.18</v>
      </c>
      <c r="AV204" s="1">
        <v>24017.87</v>
      </c>
    </row>
    <row r="205" spans="1:48" x14ac:dyDescent="0.3">
      <c r="B205" t="s">
        <v>28</v>
      </c>
      <c r="C205" s="17">
        <f t="shared" ref="C205:H205" si="34">SUM(C200:C204)</f>
        <v>1.46291318249816</v>
      </c>
      <c r="D205" s="17">
        <f t="shared" si="34"/>
        <v>5.9057654044228114</v>
      </c>
      <c r="E205" s="17">
        <f t="shared" si="34"/>
        <v>56.681419121642875</v>
      </c>
      <c r="F205" s="17">
        <f t="shared" si="34"/>
        <v>22.917495206589344</v>
      </c>
      <c r="G205" s="17">
        <f t="shared" si="34"/>
        <v>13.032407084846803</v>
      </c>
      <c r="H205" s="18">
        <f t="shared" si="34"/>
        <v>100.00000000000001</v>
      </c>
      <c r="I205" s="13" t="s">
        <v>24</v>
      </c>
      <c r="J205" s="12" t="s">
        <v>29</v>
      </c>
      <c r="N205" s="1">
        <f>SUM(N200:N204)</f>
        <v>182539.55</v>
      </c>
      <c r="O205" s="17">
        <f>SUM(O200:O204)</f>
        <v>100.00000000000001</v>
      </c>
      <c r="R205" s="66"/>
      <c r="S205" s="66" t="s">
        <v>67</v>
      </c>
      <c r="T205" s="67">
        <f>$AA203*T197/100</f>
        <v>0</v>
      </c>
      <c r="U205" s="67">
        <f>$AA203*U197/100</f>
        <v>203.68226438851957</v>
      </c>
      <c r="V205" s="67">
        <f>$AA203*V197/100</f>
        <v>375.6108996848796</v>
      </c>
      <c r="W205" s="67">
        <f>$AA203*W197/100</f>
        <v>373.11078091804688</v>
      </c>
      <c r="X205" s="67">
        <f>$AA203*X197/100</f>
        <v>357.62646474280416</v>
      </c>
      <c r="AA205" s="1"/>
      <c r="AD205" s="51"/>
      <c r="AE205" s="51"/>
      <c r="AJ205" t="s">
        <v>415</v>
      </c>
      <c r="AK205">
        <v>10</v>
      </c>
      <c r="AL205" s="1">
        <v>34.29</v>
      </c>
      <c r="AM205" s="1">
        <v>223.54</v>
      </c>
      <c r="AN205" s="1">
        <v>16099.03</v>
      </c>
      <c r="AO205" s="1">
        <v>14452.34</v>
      </c>
      <c r="AP205" s="1">
        <v>12100.64</v>
      </c>
      <c r="AR205" s="1">
        <v>2617.83</v>
      </c>
      <c r="AS205" s="1">
        <v>9226.17</v>
      </c>
      <c r="AT205" s="1">
        <v>104567</v>
      </c>
      <c r="AU205" s="1">
        <v>41388.65</v>
      </c>
      <c r="AV205" s="1">
        <v>24739.9</v>
      </c>
    </row>
    <row r="206" spans="1:48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8.7718325383232404E-3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0.11572595435860397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0.2021155030852404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0.20157975095090458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0.19138573872791004</v>
      </c>
      <c r="H206" s="1"/>
      <c r="I206" s="14">
        <f>(C200+D201+E202+F203+G204)/H205</f>
        <v>0.9300786130324521</v>
      </c>
      <c r="J206" s="53">
        <f>SQRT(SUM(P200:P204))/100</f>
        <v>2.5342692198178345E-3</v>
      </c>
      <c r="M206" s="1"/>
      <c r="N206" s="9"/>
      <c r="R206" t="s">
        <v>112</v>
      </c>
      <c r="S206" t="s">
        <v>28</v>
      </c>
      <c r="T206" s="57">
        <f>C582</f>
        <v>1.4257786874132208</v>
      </c>
      <c r="U206" s="57">
        <f t="shared" ref="U206:X209" si="35">D582</f>
        <v>6.0478936471134421</v>
      </c>
      <c r="V206" s="57">
        <f t="shared" si="35"/>
        <v>56.378010897078504</v>
      </c>
      <c r="W206" s="57">
        <f t="shared" si="35"/>
        <v>23.336825930395506</v>
      </c>
      <c r="X206" s="57">
        <f>G582</f>
        <v>12.811490837999322</v>
      </c>
      <c r="Y206" s="60"/>
      <c r="Z206" s="74"/>
      <c r="AA206" s="12"/>
      <c r="AD206" s="51"/>
      <c r="AE206" s="51"/>
      <c r="AJ206" t="s">
        <v>415</v>
      </c>
      <c r="AK206">
        <v>11</v>
      </c>
      <c r="AL206" s="1">
        <v>42.2</v>
      </c>
      <c r="AM206" s="1">
        <v>256.86</v>
      </c>
      <c r="AN206" s="1">
        <v>16054.65</v>
      </c>
      <c r="AO206" s="1">
        <v>14768.17</v>
      </c>
      <c r="AP206" s="1">
        <v>11787.96</v>
      </c>
      <c r="AR206" s="1">
        <v>2606.12</v>
      </c>
      <c r="AS206" s="1">
        <v>9136.23</v>
      </c>
      <c r="AT206" s="1">
        <v>104563.66</v>
      </c>
      <c r="AU206" s="1">
        <v>41923.32</v>
      </c>
      <c r="AV206" s="1">
        <v>24310.21</v>
      </c>
    </row>
    <row r="207" spans="1:48" x14ac:dyDescent="0.3">
      <c r="B207" s="1" t="s">
        <v>30</v>
      </c>
      <c r="C207" s="17">
        <f>C200/C205*100</f>
        <v>99.400270769610401</v>
      </c>
      <c r="D207" s="17">
        <f>D201/D205*100</f>
        <v>81.130539188537782</v>
      </c>
      <c r="E207" s="17">
        <f>E202/E205*100</f>
        <v>96.386787020150408</v>
      </c>
      <c r="F207" s="17">
        <f>F203/F205*100</f>
        <v>90.309733704433654</v>
      </c>
      <c r="G207" s="17">
        <f>G204/G205*100</f>
        <v>87.721436469077602</v>
      </c>
      <c r="H207" s="1"/>
      <c r="S207" s="66" t="s">
        <v>39</v>
      </c>
      <c r="T207" s="67">
        <f>C583</f>
        <v>0</v>
      </c>
      <c r="U207" s="67">
        <f t="shared" si="35"/>
        <v>0.11132943953847112</v>
      </c>
      <c r="V207" s="67">
        <f t="shared" si="35"/>
        <v>0.20618330820755518</v>
      </c>
      <c r="W207" s="67">
        <f t="shared" si="35"/>
        <v>0.20546951292821528</v>
      </c>
      <c r="X207" s="67">
        <f t="shared" si="35"/>
        <v>0.19817306697725637</v>
      </c>
      <c r="AD207" s="51"/>
      <c r="AE207" s="51"/>
      <c r="AJ207" t="s">
        <v>415</v>
      </c>
      <c r="AK207">
        <v>12</v>
      </c>
      <c r="AL207" s="1">
        <v>52.69</v>
      </c>
      <c r="AM207" s="1">
        <v>240.67</v>
      </c>
      <c r="AN207" s="1">
        <v>16031.23</v>
      </c>
      <c r="AO207" s="1">
        <v>14859.33</v>
      </c>
      <c r="AP207" s="1">
        <v>11725.92</v>
      </c>
      <c r="AR207" s="1">
        <v>2669.78</v>
      </c>
      <c r="AS207" s="1">
        <v>9205.65</v>
      </c>
      <c r="AT207" s="1">
        <v>104579.95</v>
      </c>
      <c r="AU207" s="1">
        <v>42152.74</v>
      </c>
      <c r="AV207" s="1">
        <v>23931.42</v>
      </c>
    </row>
    <row r="208" spans="1:48" x14ac:dyDescent="0.3">
      <c r="B208" s="16" t="s">
        <v>39</v>
      </c>
      <c r="C208" s="18">
        <f>SQRT((C211+C212)/(C205*C205))</f>
        <v>0.59613247889177146</v>
      </c>
      <c r="D208" s="18">
        <f>SQRT((D211+D212)/(D205*D205))</f>
        <v>2.5776327925813356</v>
      </c>
      <c r="E208" s="18">
        <f>SQRT((E211+E212)/(E205*E205))</f>
        <v>0.26831976179257011</v>
      </c>
      <c r="F208" s="18">
        <f>SQRT((F211+F212)/(F205*F205))</f>
        <v>0.81939393227404322</v>
      </c>
      <c r="G208" s="18">
        <f>SQRT((G211+G212)/(G205*G205))</f>
        <v>1.6398064521816245</v>
      </c>
      <c r="H208" s="1"/>
      <c r="S208" t="s">
        <v>30</v>
      </c>
      <c r="T208" s="57">
        <f>C584</f>
        <v>100</v>
      </c>
      <c r="U208" s="57">
        <f t="shared" si="35"/>
        <v>80.475471588506423</v>
      </c>
      <c r="V208" s="57">
        <f t="shared" si="35"/>
        <v>96.300035022677605</v>
      </c>
      <c r="W208" s="57">
        <f t="shared" si="35"/>
        <v>89.619817475605373</v>
      </c>
      <c r="X208" s="57">
        <f t="shared" si="35"/>
        <v>87.762569694346951</v>
      </c>
      <c r="AD208" s="51"/>
      <c r="AE208" s="51"/>
      <c r="AJ208" t="s">
        <v>415</v>
      </c>
      <c r="AK208">
        <v>13</v>
      </c>
      <c r="AL208" s="1">
        <v>48.36</v>
      </c>
      <c r="AM208" s="1">
        <v>252.29</v>
      </c>
      <c r="AN208" s="1">
        <v>15956.78</v>
      </c>
      <c r="AO208" s="1">
        <v>14636.51</v>
      </c>
      <c r="AP208" s="1">
        <v>12015.89</v>
      </c>
      <c r="AR208" s="1">
        <v>2638.44</v>
      </c>
      <c r="AS208" s="1">
        <v>9862.57</v>
      </c>
      <c r="AT208" s="1">
        <v>103875.22</v>
      </c>
      <c r="AU208" s="1">
        <v>41823.269999999997</v>
      </c>
      <c r="AV208" s="1">
        <v>24340.04</v>
      </c>
    </row>
    <row r="209" spans="1:48" x14ac:dyDescent="0.3">
      <c r="B209" s="1" t="s">
        <v>37</v>
      </c>
      <c r="C209" s="18">
        <f>100-C207</f>
        <v>0.59972923038959891</v>
      </c>
      <c r="D209" s="18">
        <f>100-D207</f>
        <v>18.869460811462218</v>
      </c>
      <c r="E209" s="18">
        <f>100-E207</f>
        <v>3.6132129798495924</v>
      </c>
      <c r="F209" s="18">
        <f>100-F207</f>
        <v>9.6902662955663459</v>
      </c>
      <c r="G209" s="18">
        <f>100-G207</f>
        <v>12.278563530922398</v>
      </c>
      <c r="S209" s="66" t="s">
        <v>39</v>
      </c>
      <c r="T209" s="67">
        <f>C585</f>
        <v>0</v>
      </c>
      <c r="U209" s="67">
        <f t="shared" si="35"/>
        <v>2.2803577915967139</v>
      </c>
      <c r="V209" s="67">
        <f t="shared" si="35"/>
        <v>0.27343168773022969</v>
      </c>
      <c r="W209" s="67">
        <f t="shared" si="35"/>
        <v>0.84015631639348232</v>
      </c>
      <c r="X209" s="67">
        <f t="shared" si="35"/>
        <v>1.7382399723799649</v>
      </c>
      <c r="AD209" s="51"/>
      <c r="AE209" s="51"/>
      <c r="AJ209" t="s">
        <v>415</v>
      </c>
      <c r="AK209">
        <v>14</v>
      </c>
      <c r="AL209" s="1">
        <v>37.270000000000003</v>
      </c>
      <c r="AM209" s="1">
        <v>233.33</v>
      </c>
      <c r="AN209" s="1">
        <v>15989.6</v>
      </c>
      <c r="AO209" s="1">
        <v>14759.01</v>
      </c>
      <c r="AP209" s="1">
        <v>11890.63</v>
      </c>
      <c r="AR209" s="1">
        <v>2619.36</v>
      </c>
      <c r="AS209" s="1">
        <v>9257.33</v>
      </c>
      <c r="AT209" s="1">
        <v>104000.82</v>
      </c>
      <c r="AU209" s="1">
        <v>42246.21</v>
      </c>
      <c r="AV209" s="1">
        <v>24415.84</v>
      </c>
    </row>
    <row r="210" spans="1:48" ht="15.6" x14ac:dyDescent="0.35">
      <c r="B210" s="1" t="s">
        <v>25</v>
      </c>
      <c r="C210" s="1">
        <f>C194</f>
        <v>260</v>
      </c>
      <c r="D210" s="1">
        <f>D194</f>
        <v>460</v>
      </c>
      <c r="E210" s="1">
        <f>E194</f>
        <v>7263</v>
      </c>
      <c r="F210" s="1">
        <f>F194</f>
        <v>2568</v>
      </c>
      <c r="G210" s="1">
        <f>G194</f>
        <v>1009</v>
      </c>
      <c r="S210" s="15" t="s">
        <v>31</v>
      </c>
      <c r="T210" s="71">
        <f>I577</f>
        <v>100</v>
      </c>
      <c r="U210" s="71">
        <f>I578</f>
        <v>95.280235988200587</v>
      </c>
      <c r="V210" s="71">
        <f>I579</f>
        <v>95.256115691309631</v>
      </c>
      <c r="W210" s="71">
        <f>I580</f>
        <v>91.087207068766801</v>
      </c>
      <c r="X210" s="71">
        <f>I581</f>
        <v>83.229166666666671</v>
      </c>
      <c r="AD210" s="51"/>
      <c r="AE210" s="51"/>
      <c r="AJ210" t="s">
        <v>415</v>
      </c>
      <c r="AK210">
        <v>15</v>
      </c>
      <c r="AL210" s="1">
        <v>50.5</v>
      </c>
      <c r="AM210" s="1">
        <v>230.96</v>
      </c>
      <c r="AN210" s="1">
        <v>16122.22</v>
      </c>
      <c r="AO210" s="1">
        <v>14650.55</v>
      </c>
      <c r="AP210" s="1">
        <v>11855.61</v>
      </c>
      <c r="AR210" s="1">
        <v>2634.66</v>
      </c>
      <c r="AS210" s="1">
        <v>9388.16</v>
      </c>
      <c r="AT210" s="1">
        <v>104168.75</v>
      </c>
      <c r="AU210" s="1">
        <v>41902.339999999997</v>
      </c>
      <c r="AV210" s="1">
        <v>24445.64</v>
      </c>
    </row>
    <row r="211" spans="1:48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176.02086123912449</v>
      </c>
      <c r="E211" s="18">
        <f>(O202*O202*(100-E207)*(100-E207)*(I202)*(100-I202))/((L202-1)*100)</f>
        <v>24.27745600522417</v>
      </c>
      <c r="F211" s="18">
        <f>(O203*O203*(100-F207)*(100-F207)*(I203)*(100-I203))/((L203-1)*100)</f>
        <v>159.89299550042853</v>
      </c>
      <c r="G211" s="18">
        <f>(O204*O204*(100-G207)*(100-G207)*(I204)*(100-I204))/((L204-1)*100)</f>
        <v>356.67469704152239</v>
      </c>
      <c r="S211" s="75" t="s">
        <v>39</v>
      </c>
      <c r="T211" s="76">
        <f>J577</f>
        <v>0</v>
      </c>
      <c r="U211" s="76">
        <f>J578</f>
        <v>1.153461767836518</v>
      </c>
      <c r="V211" s="76">
        <f>J579</f>
        <v>0.24714755313726122</v>
      </c>
      <c r="W211" s="76">
        <f>J580</f>
        <v>0.55857559294987813</v>
      </c>
      <c r="X211" s="76">
        <f>J581</f>
        <v>1.2064401752225082</v>
      </c>
      <c r="AD211" s="51"/>
      <c r="AE211" s="51"/>
      <c r="AJ211" t="s">
        <v>415</v>
      </c>
      <c r="AK211">
        <v>16</v>
      </c>
      <c r="AL211" s="1">
        <v>52.96</v>
      </c>
      <c r="AM211" s="1">
        <v>230.18</v>
      </c>
      <c r="AN211" s="1">
        <v>15972.3</v>
      </c>
      <c r="AO211" s="1">
        <v>14850.43</v>
      </c>
      <c r="AP211" s="1">
        <v>11803.97</v>
      </c>
      <c r="AR211" s="1">
        <v>2658.07</v>
      </c>
      <c r="AS211" s="1">
        <v>9439.2900000000009</v>
      </c>
      <c r="AT211" s="1">
        <v>103773.65</v>
      </c>
      <c r="AU211" s="1">
        <v>42403.96</v>
      </c>
      <c r="AV211" s="1">
        <v>24264.57</v>
      </c>
    </row>
    <row r="212" spans="1:48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0.76054107604046439</v>
      </c>
      <c r="D212" s="18">
        <f>D207*D207*(SUM((H200*D200*(1-D189/H189))/(H189-1),(H202*D202*(1-D191/H191))/(H191-1), (H203*D203*(1-D192/H192))/(H192-1),(H204*D204*(1-D193/H193))/(H193-1)))</f>
        <v>55.715657902961752</v>
      </c>
      <c r="E212" s="18">
        <f>E207*E207*(SUM((H200*E200*(1-E189/H189))/(H189-1),(H201*E201*(1-E190/H190))/(H190-1), (H203*E203*(1-E192/H192))/(H192-1),(H204*E204*(1-E193/H193))/(H193-1)))</f>
        <v>207.02846472188079</v>
      </c>
      <c r="F212" s="18">
        <f>F207*F207*(SUM((H200*F200*(1-F189/H189))/(H189-1),(H201*F201*(1-F190/H190))/(H190-1), (H202*F202*(1-F191/H191))/(H191-1),(H204*F204*(1-F193/H193))/(H193-1)))</f>
        <v>192.73743359278296</v>
      </c>
      <c r="G212" s="18">
        <f>G207*G207*(SUM((H200*G200*(1-G189/H189))/(H189-1),(H201*G201*(1-G190/H190))/(H190-1), (H202*G202*(1-G191/H191))/(H191-1),(H203*G203*(1-G192/H192))/(H192-1)))</f>
        <v>100.02892547397489</v>
      </c>
      <c r="S212" s="66" t="s">
        <v>56</v>
      </c>
      <c r="T212" s="67">
        <f>N566*100</f>
        <v>100</v>
      </c>
      <c r="U212" s="67">
        <f>N567*100</f>
        <v>79.26380368098161</v>
      </c>
      <c r="V212" s="67">
        <f>N568*100</f>
        <v>96.284153005464475</v>
      </c>
      <c r="W212" s="67">
        <f>N569*100</f>
        <v>91.192307692307693</v>
      </c>
      <c r="X212" s="67">
        <f>N570*100</f>
        <v>82.074987159732927</v>
      </c>
      <c r="AD212" s="51"/>
      <c r="AE212" s="51"/>
      <c r="AJ212" t="s">
        <v>415</v>
      </c>
      <c r="AK212">
        <v>17</v>
      </c>
      <c r="AL212" s="1">
        <v>52.13</v>
      </c>
      <c r="AM212" s="1">
        <v>206.35</v>
      </c>
      <c r="AN212" s="1">
        <v>16209.64</v>
      </c>
      <c r="AO212" s="1">
        <v>14477.44</v>
      </c>
      <c r="AP212" s="1">
        <v>11964.28</v>
      </c>
      <c r="AR212" s="1">
        <v>2615.75</v>
      </c>
      <c r="AS212" s="1">
        <v>9141.7999999999993</v>
      </c>
      <c r="AT212" s="1">
        <v>104894.94</v>
      </c>
      <c r="AU212" s="1">
        <v>41142.21</v>
      </c>
      <c r="AV212" s="1">
        <v>24744.85</v>
      </c>
    </row>
    <row r="213" spans="1:48" x14ac:dyDescent="0.3">
      <c r="R213" s="16" t="s">
        <v>66</v>
      </c>
      <c r="S213" t="s">
        <v>9</v>
      </c>
      <c r="T213" s="1">
        <f>N577</f>
        <v>2602.61</v>
      </c>
      <c r="U213" s="1">
        <f>N578</f>
        <v>9324.42</v>
      </c>
      <c r="V213" s="1">
        <f>N579</f>
        <v>104039.99</v>
      </c>
      <c r="W213" s="1">
        <f>N580</f>
        <v>41912.68</v>
      </c>
      <c r="X213" s="1">
        <f>N581</f>
        <v>24659.85</v>
      </c>
      <c r="Z213" t="s">
        <v>36</v>
      </c>
      <c r="AA213" s="1">
        <f>N582</f>
        <v>182539.55000000002</v>
      </c>
      <c r="AD213" s="51"/>
      <c r="AE213" s="51"/>
      <c r="AJ213" t="s">
        <v>415</v>
      </c>
      <c r="AK213">
        <v>18</v>
      </c>
      <c r="AL213" s="1">
        <v>40.83</v>
      </c>
      <c r="AM213" s="1">
        <v>238.99</v>
      </c>
      <c r="AN213" s="1">
        <v>16073.81</v>
      </c>
      <c r="AO213" s="1">
        <v>14844.41</v>
      </c>
      <c r="AP213" s="1">
        <v>11711.8</v>
      </c>
      <c r="AR213" s="1">
        <v>2617.91</v>
      </c>
      <c r="AS213" s="1">
        <v>9387.6299999999992</v>
      </c>
      <c r="AT213" s="1">
        <v>104079.06</v>
      </c>
      <c r="AU213" s="1">
        <v>42279.89</v>
      </c>
      <c r="AV213" s="1">
        <v>24175.06</v>
      </c>
    </row>
    <row r="214" spans="1:48" ht="15.6" x14ac:dyDescent="0.35">
      <c r="R214" s="16" t="s">
        <v>323</v>
      </c>
      <c r="S214" t="s">
        <v>68</v>
      </c>
      <c r="T214" s="57">
        <f>$AA213*T206/100</f>
        <v>2602.61</v>
      </c>
      <c r="U214" s="57">
        <f>$AA213*U206/100</f>
        <v>11039.797847919466</v>
      </c>
      <c r="V214" s="57">
        <f>$AA213*V206/100</f>
        <v>102912.16739047806</v>
      </c>
      <c r="W214" s="57">
        <f>$AA213*W206/100</f>
        <v>42598.937037627278</v>
      </c>
      <c r="X214" s="57">
        <f>$AA213*X206/100</f>
        <v>23386.037723975194</v>
      </c>
      <c r="Z214" t="s">
        <v>36</v>
      </c>
      <c r="AA214" s="25">
        <f>SUM(T214:X214)</f>
        <v>182539.55000000002</v>
      </c>
      <c r="AD214" s="51"/>
      <c r="AE214" s="51"/>
      <c r="AJ214" t="s">
        <v>415</v>
      </c>
      <c r="AK214">
        <v>19</v>
      </c>
      <c r="AL214" s="1">
        <v>42.08</v>
      </c>
      <c r="AM214" s="1">
        <v>274.60000000000002</v>
      </c>
      <c r="AN214" s="1">
        <v>16013.14</v>
      </c>
      <c r="AO214" s="1">
        <v>14660.18</v>
      </c>
      <c r="AP214" s="1">
        <v>11919.84</v>
      </c>
      <c r="AR214" s="1">
        <v>2602.61</v>
      </c>
      <c r="AS214" s="1">
        <v>9324.42</v>
      </c>
      <c r="AT214" s="1">
        <v>104039.99</v>
      </c>
      <c r="AU214" s="1">
        <v>41912.68</v>
      </c>
      <c r="AV214" s="1">
        <v>24659.85</v>
      </c>
    </row>
    <row r="215" spans="1:48" x14ac:dyDescent="0.3">
      <c r="A215" s="361" t="s">
        <v>405</v>
      </c>
      <c r="B215" s="361"/>
      <c r="C215" s="361"/>
      <c r="D215" s="361"/>
      <c r="E215" s="361"/>
      <c r="F215" s="361"/>
      <c r="G215" s="361"/>
      <c r="H215" s="361"/>
      <c r="I215" s="361"/>
      <c r="J215" s="361"/>
      <c r="K215" s="361"/>
      <c r="L215" s="361" t="s">
        <v>85</v>
      </c>
      <c r="M215" s="361"/>
      <c r="N215" s="361"/>
      <c r="O215" s="361"/>
      <c r="P215" s="361"/>
      <c r="R215" s="66"/>
      <c r="S215" s="66" t="s">
        <v>67</v>
      </c>
      <c r="T215" s="67">
        <f>$AA213*T207/100</f>
        <v>0</v>
      </c>
      <c r="U215" s="67">
        <f>$AA213*U207/100</f>
        <v>203.22025795104727</v>
      </c>
      <c r="V215" s="67">
        <f>$AA213*V207/100</f>
        <v>376.36608297718436</v>
      </c>
      <c r="W215" s="67">
        <f>$AA213*W207/100</f>
        <v>375.06312428635601</v>
      </c>
      <c r="X215" s="67">
        <f>$AA213*X207/100</f>
        <v>361.74422468148242</v>
      </c>
      <c r="AA215" s="1"/>
      <c r="AD215" s="51"/>
      <c r="AE215" s="51"/>
      <c r="AQ215" t="s">
        <v>412</v>
      </c>
    </row>
    <row r="216" spans="1:48" x14ac:dyDescent="0.3">
      <c r="A216" t="s">
        <v>320</v>
      </c>
      <c r="B216" t="s">
        <v>21</v>
      </c>
      <c r="I216" s="1" t="s">
        <v>58</v>
      </c>
      <c r="O216" s="143"/>
      <c r="P216" s="143"/>
      <c r="AJ216" t="s">
        <v>416</v>
      </c>
      <c r="AK216">
        <v>0</v>
      </c>
      <c r="AL216" s="1">
        <v>0</v>
      </c>
      <c r="AM216" s="1">
        <v>6.51</v>
      </c>
      <c r="AN216" s="1">
        <v>1257.82</v>
      </c>
      <c r="AO216" s="1">
        <v>418.48</v>
      </c>
      <c r="AP216" s="1">
        <v>170.41</v>
      </c>
      <c r="AR216" s="1">
        <v>169.62</v>
      </c>
      <c r="AS216" s="1">
        <v>1164.8</v>
      </c>
      <c r="AT216" s="1">
        <v>16146.61</v>
      </c>
      <c r="AU216" s="1">
        <v>2441.84</v>
      </c>
      <c r="AV216" s="1">
        <v>2221.9899999999998</v>
      </c>
    </row>
    <row r="217" spans="1:48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56</v>
      </c>
      <c r="O217" s="13"/>
      <c r="P217" s="13"/>
      <c r="AJ217" t="s">
        <v>416</v>
      </c>
      <c r="AK217">
        <v>1</v>
      </c>
      <c r="AL217" s="1">
        <v>0</v>
      </c>
      <c r="AM217" s="1">
        <v>6.47</v>
      </c>
      <c r="AN217" s="1">
        <v>1270.55</v>
      </c>
      <c r="AO217" s="1">
        <v>423.53</v>
      </c>
      <c r="AP217" s="1">
        <v>152.66</v>
      </c>
      <c r="AR217" s="1">
        <v>174.3</v>
      </c>
      <c r="AS217" s="1">
        <v>1218.82</v>
      </c>
      <c r="AT217" s="1">
        <v>16172.99</v>
      </c>
      <c r="AU217" s="1">
        <v>2488.11</v>
      </c>
      <c r="AV217" s="1">
        <v>2090.64</v>
      </c>
    </row>
    <row r="218" spans="1:48" x14ac:dyDescent="0.3">
      <c r="A218" t="s">
        <v>3</v>
      </c>
      <c r="B218" s="13">
        <v>0</v>
      </c>
      <c r="C218" s="26">
        <v>259</v>
      </c>
      <c r="D218" s="3">
        <v>0</v>
      </c>
      <c r="E218" s="3">
        <v>0</v>
      </c>
      <c r="F218" s="3">
        <v>0</v>
      </c>
      <c r="G218" s="4">
        <v>0</v>
      </c>
      <c r="H218" s="1">
        <f>SUM(C218:G218)</f>
        <v>259</v>
      </c>
      <c r="I218" s="10">
        <f>C218/H218</f>
        <v>1</v>
      </c>
      <c r="J218" s="11">
        <f>1-I218</f>
        <v>0</v>
      </c>
      <c r="K218">
        <f>H218-C223</f>
        <v>0</v>
      </c>
      <c r="N218" s="10">
        <f>2*(C224*I218)/(C224+I218)</f>
        <v>1</v>
      </c>
      <c r="O218" s="1"/>
      <c r="P218" s="1"/>
      <c r="R218" s="66"/>
      <c r="S218" s="66"/>
      <c r="T218" s="66"/>
      <c r="U218" s="66"/>
      <c r="V218" s="66"/>
      <c r="W218" s="66"/>
      <c r="X218" s="66"/>
      <c r="AJ218" t="s">
        <v>416</v>
      </c>
      <c r="AK218">
        <v>2</v>
      </c>
      <c r="AL218" s="1">
        <v>0</v>
      </c>
      <c r="AM218" s="1">
        <v>7.88</v>
      </c>
      <c r="AN218" s="1">
        <v>1259.6400000000001</v>
      </c>
      <c r="AO218" s="1">
        <v>425.06</v>
      </c>
      <c r="AP218" s="1">
        <v>160.63999999999999</v>
      </c>
      <c r="AR218" s="1">
        <v>169.35</v>
      </c>
      <c r="AS218" s="1">
        <v>1291.74</v>
      </c>
      <c r="AT218" s="1">
        <v>16067.29</v>
      </c>
      <c r="AU218" s="1">
        <v>2484.06</v>
      </c>
      <c r="AV218" s="1">
        <v>2132.41</v>
      </c>
    </row>
    <row r="219" spans="1:48" x14ac:dyDescent="0.3">
      <c r="A219" t="s">
        <v>4</v>
      </c>
      <c r="B219" s="13">
        <v>1</v>
      </c>
      <c r="C219" s="5">
        <v>0</v>
      </c>
      <c r="D219" s="27">
        <v>320</v>
      </c>
      <c r="E219" s="1">
        <v>19</v>
      </c>
      <c r="F219" s="1">
        <v>0</v>
      </c>
      <c r="G219" s="6">
        <v>0</v>
      </c>
      <c r="H219" s="1">
        <f>SUM(C219:G219)</f>
        <v>339</v>
      </c>
      <c r="I219" s="10">
        <f>D219/H219</f>
        <v>0.94395280235988199</v>
      </c>
      <c r="J219" s="11">
        <f>1-I219</f>
        <v>5.6047197640118007E-2</v>
      </c>
      <c r="K219">
        <f>H219-D223</f>
        <v>-125</v>
      </c>
      <c r="N219" s="10">
        <f>2*(D224*I219)/(D224+I219)</f>
        <v>0.79701120797011205</v>
      </c>
      <c r="O219" s="1"/>
      <c r="P219" s="1"/>
      <c r="R219" t="s">
        <v>371</v>
      </c>
      <c r="S219" t="s">
        <v>28</v>
      </c>
      <c r="T219" s="57">
        <f>AVERAGE(T16,T26,T36,T46,T56,T66,T76,T86,T96,T106,T116,T126,T136,T146,T156,T166,T176,T186,T196,T206)</f>
        <v>1.4417845257303736</v>
      </c>
      <c r="U219" s="57">
        <f>AVERAGE(U16,U26,U36,U46,U56,U66,U76,U86,U96,U106,U116,U126,U136,U146,U156,U166,U176,U186,U196,U206)</f>
        <v>6.0192192927433705</v>
      </c>
      <c r="V219" s="57">
        <f>AVERAGE(V16,V26,V36,V46,V56,V66,V76,V86,V96,V106,V116,V126,V136,V146,V156,V166,V176,V186,V196,V206)</f>
        <v>56.484887648337484</v>
      </c>
      <c r="W219" s="57">
        <f>AVERAGE(W16,W26,W36,W46,W56,W66,W76,W86,W96,W106,W116,W126,W136,W146,W156,W166,W176,W186,W196,W206)</f>
        <v>23.313982859216111</v>
      </c>
      <c r="X219" s="57">
        <f>AVERAGE(X16,X26,X36,X46,X56,X66,X76,X86,X96,X106,X116,X126,X136,X146,X156,X166,X176,X186,X196,X206)</f>
        <v>12.740125673972662</v>
      </c>
      <c r="AJ219" t="s">
        <v>416</v>
      </c>
      <c r="AK219">
        <v>3</v>
      </c>
      <c r="AL219" s="1">
        <v>0</v>
      </c>
      <c r="AM219" s="1">
        <v>6.92</v>
      </c>
      <c r="AN219" s="1">
        <v>1269.0899999999999</v>
      </c>
      <c r="AO219" s="1">
        <v>415</v>
      </c>
      <c r="AP219" s="1">
        <v>162.19999999999999</v>
      </c>
      <c r="AR219" s="1">
        <v>171.42</v>
      </c>
      <c r="AS219" s="1">
        <v>1174.1600000000001</v>
      </c>
      <c r="AT219" s="1">
        <v>16156.69</v>
      </c>
      <c r="AU219" s="1">
        <v>2473.98</v>
      </c>
      <c r="AV219" s="1">
        <v>2168.6</v>
      </c>
    </row>
    <row r="220" spans="1:48" x14ac:dyDescent="0.3">
      <c r="A220" t="s">
        <v>5</v>
      </c>
      <c r="B220" s="13">
        <v>2</v>
      </c>
      <c r="C220" s="5">
        <v>0</v>
      </c>
      <c r="D220" s="1">
        <v>141</v>
      </c>
      <c r="E220" s="27">
        <v>7067</v>
      </c>
      <c r="F220" s="1">
        <v>113</v>
      </c>
      <c r="G220" s="6">
        <v>78</v>
      </c>
      <c r="H220" s="1">
        <f>SUM(C220:G220)</f>
        <v>7399</v>
      </c>
      <c r="I220" s="10">
        <f>E220/H220</f>
        <v>0.95512907149614812</v>
      </c>
      <c r="J220" s="11">
        <f>1-I220</f>
        <v>4.4870928503851881E-2</v>
      </c>
      <c r="K220">
        <f>H220-E223</f>
        <v>129</v>
      </c>
      <c r="N220" s="10">
        <f>2*(E224*I220)/(E224+I220)</f>
        <v>0.96352852955211665</v>
      </c>
      <c r="O220" s="1"/>
      <c r="P220" s="1"/>
      <c r="S220" s="66" t="s">
        <v>39</v>
      </c>
      <c r="T220" s="67">
        <f t="shared" ref="T220:X228" si="36">AVERAGE(T17,T27,T37,T47,T57,T67,T77,T87,T97,T107,T117,T127,T137,T147,T157,T167,T177,T187,T197,T207)</f>
        <v>2.5459122798380139E-3</v>
      </c>
      <c r="U220" s="67">
        <f t="shared" si="36"/>
        <v>0.11308709932278131</v>
      </c>
      <c r="V220" s="67">
        <f t="shared" si="36"/>
        <v>0.20691962906691469</v>
      </c>
      <c r="W220" s="67">
        <f t="shared" si="36"/>
        <v>0.20455744016695759</v>
      </c>
      <c r="X220" s="67">
        <f t="shared" si="36"/>
        <v>0.1968092977025461</v>
      </c>
      <c r="AC220" t="s">
        <v>123</v>
      </c>
      <c r="AD220" t="s">
        <v>162</v>
      </c>
      <c r="AE220" t="s">
        <v>124</v>
      </c>
      <c r="AJ220" t="s">
        <v>416</v>
      </c>
      <c r="AK220">
        <v>4</v>
      </c>
      <c r="AL220" s="1">
        <v>0</v>
      </c>
      <c r="AM220" s="1">
        <v>7.13</v>
      </c>
      <c r="AN220" s="1">
        <v>1272.29</v>
      </c>
      <c r="AO220" s="1">
        <v>418.87</v>
      </c>
      <c r="AP220" s="1">
        <v>154.93</v>
      </c>
      <c r="AR220" s="1">
        <v>171.87</v>
      </c>
      <c r="AS220" s="1">
        <v>1197.1199999999999</v>
      </c>
      <c r="AT220" s="1">
        <v>16221.06</v>
      </c>
      <c r="AU220" s="1">
        <v>2442.7399999999998</v>
      </c>
      <c r="AV220" s="1">
        <v>2112.06</v>
      </c>
    </row>
    <row r="221" spans="1:48" x14ac:dyDescent="0.3">
      <c r="A221" t="s">
        <v>6</v>
      </c>
      <c r="B221" s="13">
        <v>3</v>
      </c>
      <c r="C221" s="5">
        <v>0</v>
      </c>
      <c r="D221" s="1">
        <v>3</v>
      </c>
      <c r="E221" s="1">
        <v>133</v>
      </c>
      <c r="F221" s="27">
        <v>2360</v>
      </c>
      <c r="G221" s="6">
        <v>107</v>
      </c>
      <c r="H221" s="1">
        <f>SUM(C221:G221)</f>
        <v>2603</v>
      </c>
      <c r="I221" s="10">
        <f>F221/H221</f>
        <v>0.90664617748751442</v>
      </c>
      <c r="J221" s="11">
        <f>1-I221</f>
        <v>9.3353822512485585E-2</v>
      </c>
      <c r="K221">
        <f>H221-F223</f>
        <v>26</v>
      </c>
      <c r="N221" s="10">
        <f>2*(F224*I221)/(F224+I221)</f>
        <v>0.91119691119691115</v>
      </c>
      <c r="O221" s="1"/>
      <c r="P221" s="1"/>
      <c r="S221" t="s">
        <v>30</v>
      </c>
      <c r="T221" s="57">
        <f t="shared" si="36"/>
        <v>99.786074962272522</v>
      </c>
      <c r="U221" s="57">
        <f t="shared" si="36"/>
        <v>80.736603556286653</v>
      </c>
      <c r="V221" s="57">
        <f t="shared" si="36"/>
        <v>96.204650478100604</v>
      </c>
      <c r="W221" s="57">
        <f t="shared" si="36"/>
        <v>89.822959379436156</v>
      </c>
      <c r="X221" s="57">
        <f t="shared" si="36"/>
        <v>87.710481740410202</v>
      </c>
      <c r="AB221">
        <v>0</v>
      </c>
      <c r="AC221">
        <v>31</v>
      </c>
      <c r="AD221">
        <v>26</v>
      </c>
      <c r="AE221">
        <v>15</v>
      </c>
      <c r="AJ221" t="s">
        <v>416</v>
      </c>
      <c r="AK221">
        <v>5</v>
      </c>
      <c r="AL221" s="1">
        <v>0</v>
      </c>
      <c r="AM221" s="1">
        <v>5.32</v>
      </c>
      <c r="AN221" s="1">
        <v>1272.04</v>
      </c>
      <c r="AO221" s="1">
        <v>414.76</v>
      </c>
      <c r="AP221" s="1">
        <v>161.09</v>
      </c>
      <c r="AR221" s="1">
        <v>175.47</v>
      </c>
      <c r="AS221" s="1">
        <v>1186.32</v>
      </c>
      <c r="AT221" s="1">
        <v>16132.65</v>
      </c>
      <c r="AU221" s="1">
        <v>2462.73</v>
      </c>
      <c r="AV221" s="1">
        <v>2187.69</v>
      </c>
    </row>
    <row r="222" spans="1:48" x14ac:dyDescent="0.3">
      <c r="A222" t="s">
        <v>7</v>
      </c>
      <c r="B222" s="13">
        <v>4</v>
      </c>
      <c r="C222" s="7">
        <v>0</v>
      </c>
      <c r="D222" s="8">
        <v>0</v>
      </c>
      <c r="E222" s="8">
        <v>51</v>
      </c>
      <c r="F222" s="8">
        <v>104</v>
      </c>
      <c r="G222" s="28">
        <v>805</v>
      </c>
      <c r="H222" s="1">
        <f>SUM(C222:G222)</f>
        <v>960</v>
      </c>
      <c r="I222" s="10">
        <f>G222/H222</f>
        <v>0.83854166666666663</v>
      </c>
      <c r="J222" s="11">
        <f>1-I222</f>
        <v>0.16145833333333337</v>
      </c>
      <c r="K222">
        <f>H222-G223</f>
        <v>-30</v>
      </c>
      <c r="N222" s="10">
        <f>2*(G224*I222)/(G224+I222)</f>
        <v>0.82564102564102559</v>
      </c>
      <c r="O222" s="1"/>
      <c r="P222" s="1"/>
      <c r="S222" s="66" t="s">
        <v>39</v>
      </c>
      <c r="T222" s="67">
        <f t="shared" si="36"/>
        <v>0.17365531367570369</v>
      </c>
      <c r="U222" s="67">
        <f t="shared" si="36"/>
        <v>2.3810582966637592</v>
      </c>
      <c r="V222" s="67">
        <f t="shared" si="36"/>
        <v>0.27668964815189684</v>
      </c>
      <c r="W222" s="67">
        <f t="shared" si="36"/>
        <v>0.83180339076419862</v>
      </c>
      <c r="X222" s="67">
        <f t="shared" si="36"/>
        <v>1.7395374542453079</v>
      </c>
      <c r="AB222">
        <v>1</v>
      </c>
      <c r="AC222">
        <v>60</v>
      </c>
      <c r="AD222">
        <v>55</v>
      </c>
      <c r="AE222">
        <v>44</v>
      </c>
      <c r="AJ222" t="s">
        <v>416</v>
      </c>
      <c r="AK222">
        <v>6</v>
      </c>
      <c r="AL222" s="1">
        <v>0</v>
      </c>
      <c r="AM222" s="1">
        <v>6.98</v>
      </c>
      <c r="AN222" s="1">
        <v>1281.01</v>
      </c>
      <c r="AO222" s="1">
        <v>410.45</v>
      </c>
      <c r="AP222" s="1">
        <v>154.78</v>
      </c>
      <c r="AR222" s="1">
        <v>171.42</v>
      </c>
      <c r="AS222" s="1">
        <v>1233.76</v>
      </c>
      <c r="AT222" s="1">
        <v>16203.96</v>
      </c>
      <c r="AU222" s="1">
        <v>2421.7600000000002</v>
      </c>
      <c r="AV222" s="1">
        <v>2113.9499999999998</v>
      </c>
    </row>
    <row r="223" spans="1:48" ht="15.6" x14ac:dyDescent="0.35">
      <c r="B223" s="1" t="s">
        <v>19</v>
      </c>
      <c r="C223" s="1">
        <f>SUM(C218:C222)</f>
        <v>259</v>
      </c>
      <c r="D223" s="1">
        <f>SUM(D218:D222)</f>
        <v>464</v>
      </c>
      <c r="E223" s="1">
        <f>SUM(E218:E222)</f>
        <v>7270</v>
      </c>
      <c r="F223" s="1">
        <f>SUM(F218:F222)</f>
        <v>2577</v>
      </c>
      <c r="G223" s="1">
        <f>SUM(G218:G222)</f>
        <v>990</v>
      </c>
      <c r="H223" s="1">
        <f>SUM(H217:H222)</f>
        <v>11560</v>
      </c>
      <c r="I223" s="13" t="s">
        <v>12</v>
      </c>
      <c r="N223" s="16"/>
      <c r="O223" s="1"/>
      <c r="P223" s="1"/>
      <c r="S223" s="15" t="s">
        <v>31</v>
      </c>
      <c r="T223" s="71">
        <f t="shared" si="36"/>
        <v>100</v>
      </c>
      <c r="U223" s="71">
        <f t="shared" si="36"/>
        <v>94.557522123893747</v>
      </c>
      <c r="V223" s="71">
        <f t="shared" si="36"/>
        <v>95.348695769698566</v>
      </c>
      <c r="W223" s="71">
        <f t="shared" si="36"/>
        <v>90.960430272762167</v>
      </c>
      <c r="X223" s="71">
        <f t="shared" si="36"/>
        <v>83.343750000000028</v>
      </c>
      <c r="AB223">
        <v>2</v>
      </c>
      <c r="AC223">
        <v>89</v>
      </c>
      <c r="AD223">
        <v>84</v>
      </c>
      <c r="AE223">
        <v>73</v>
      </c>
      <c r="AJ223" t="s">
        <v>416</v>
      </c>
      <c r="AK223">
        <v>7</v>
      </c>
      <c r="AL223" s="1">
        <v>0</v>
      </c>
      <c r="AM223" s="1">
        <v>6.25</v>
      </c>
      <c r="AN223" s="1">
        <v>1273.95</v>
      </c>
      <c r="AO223" s="1">
        <v>415.24</v>
      </c>
      <c r="AP223" s="1">
        <v>157.78</v>
      </c>
      <c r="AR223" s="1">
        <v>174.21</v>
      </c>
      <c r="AS223" s="1">
        <v>1236.19</v>
      </c>
      <c r="AT223" s="1">
        <v>16161.28</v>
      </c>
      <c r="AU223" s="1">
        <v>2426.1799999999998</v>
      </c>
      <c r="AV223" s="1">
        <v>2146.9899999999998</v>
      </c>
    </row>
    <row r="224" spans="1:48" x14ac:dyDescent="0.3">
      <c r="A224" s="1" t="s">
        <v>321</v>
      </c>
      <c r="B224" s="1" t="s">
        <v>2</v>
      </c>
      <c r="C224" s="10">
        <f>C218/C223</f>
        <v>1</v>
      </c>
      <c r="D224" s="10">
        <f>D219/D223</f>
        <v>0.68965517241379315</v>
      </c>
      <c r="E224" s="10">
        <f>E220/E223</f>
        <v>0.97207702888583214</v>
      </c>
      <c r="F224" s="10">
        <f>F221/F223</f>
        <v>0.91579355840124177</v>
      </c>
      <c r="G224" s="10">
        <f>G222/G223</f>
        <v>0.81313131313131315</v>
      </c>
      <c r="H224" s="10"/>
      <c r="I224" s="14">
        <f>(C218+D219+E220+F221+G222)/H223</f>
        <v>0.93520761245674744</v>
      </c>
      <c r="S224" s="75" t="s">
        <v>39</v>
      </c>
      <c r="T224" s="76">
        <f t="shared" si="36"/>
        <v>0</v>
      </c>
      <c r="U224" s="76">
        <f t="shared" si="36"/>
        <v>1.2295143785809821</v>
      </c>
      <c r="V224" s="76">
        <f t="shared" si="36"/>
        <v>0.24481596913764628</v>
      </c>
      <c r="W224" s="76">
        <f t="shared" si="36"/>
        <v>0.56207275455015027</v>
      </c>
      <c r="X224" s="76">
        <f t="shared" si="36"/>
        <v>1.2028878203065447</v>
      </c>
      <c r="AB224">
        <v>3</v>
      </c>
      <c r="AC224">
        <v>118</v>
      </c>
      <c r="AD224">
        <v>113</v>
      </c>
      <c r="AE224">
        <v>102</v>
      </c>
      <c r="AJ224" t="s">
        <v>416</v>
      </c>
      <c r="AK224">
        <v>8</v>
      </c>
      <c r="AL224" s="1">
        <v>0</v>
      </c>
      <c r="AM224" s="1">
        <v>5.96</v>
      </c>
      <c r="AN224" s="1">
        <v>1263.51</v>
      </c>
      <c r="AO224" s="1">
        <v>429.74</v>
      </c>
      <c r="AP224" s="1">
        <v>154.01</v>
      </c>
      <c r="AR224" s="1">
        <v>172.14</v>
      </c>
      <c r="AS224" s="1">
        <v>1159.22</v>
      </c>
      <c r="AT224" s="1">
        <v>16163.98</v>
      </c>
      <c r="AU224" s="1">
        <v>2508.1</v>
      </c>
      <c r="AV224" s="1">
        <v>2141.41</v>
      </c>
    </row>
    <row r="225" spans="1:48" x14ac:dyDescent="0.3">
      <c r="B225" s="1" t="s">
        <v>14</v>
      </c>
      <c r="C225" s="11">
        <f>1-C224</f>
        <v>0</v>
      </c>
      <c r="D225" s="11">
        <f>1-D224</f>
        <v>0.31034482758620685</v>
      </c>
      <c r="E225" s="11">
        <f>1-E224</f>
        <v>2.792297111416786E-2</v>
      </c>
      <c r="F225" s="11">
        <f>1-F224</f>
        <v>8.420644159875823E-2</v>
      </c>
      <c r="G225" s="11">
        <f>1-G224</f>
        <v>0.18686868686868685</v>
      </c>
      <c r="S225" s="66" t="s">
        <v>56</v>
      </c>
      <c r="T225" s="67">
        <f t="shared" si="36"/>
        <v>99.932673567579769</v>
      </c>
      <c r="U225" s="67">
        <f t="shared" si="36"/>
        <v>79.18090655275779</v>
      </c>
      <c r="V225" s="67">
        <f t="shared" si="36"/>
        <v>96.304027115370815</v>
      </c>
      <c r="W225" s="67">
        <f t="shared" si="36"/>
        <v>91.180127047987341</v>
      </c>
      <c r="X225" s="67">
        <f t="shared" si="36"/>
        <v>82.175321812027533</v>
      </c>
      <c r="AB225">
        <v>4</v>
      </c>
      <c r="AC225">
        <v>147</v>
      </c>
      <c r="AD225">
        <v>142</v>
      </c>
      <c r="AE225">
        <v>131</v>
      </c>
      <c r="AJ225" t="s">
        <v>416</v>
      </c>
      <c r="AK225">
        <v>9</v>
      </c>
      <c r="AL225" s="1">
        <v>0.09</v>
      </c>
      <c r="AM225" s="1">
        <v>7.45</v>
      </c>
      <c r="AN225" s="1">
        <v>1286.42</v>
      </c>
      <c r="AO225" s="1">
        <v>412.2</v>
      </c>
      <c r="AP225" s="1">
        <v>147.06</v>
      </c>
      <c r="AR225" s="1">
        <v>170.7</v>
      </c>
      <c r="AS225" s="1">
        <v>1218.6400000000001</v>
      </c>
      <c r="AT225" s="1">
        <v>16243.75</v>
      </c>
      <c r="AU225" s="1">
        <v>2463.09</v>
      </c>
      <c r="AV225" s="1">
        <v>2048.6799999999998</v>
      </c>
    </row>
    <row r="226" spans="1:48" x14ac:dyDescent="0.3">
      <c r="C226" s="2"/>
      <c r="R226" s="16" t="s">
        <v>66</v>
      </c>
      <c r="S226" t="s">
        <v>9</v>
      </c>
      <c r="T226" s="1">
        <f t="shared" si="36"/>
        <v>2626.1444999999999</v>
      </c>
      <c r="U226" s="1">
        <f t="shared" si="36"/>
        <v>9381.0889999999999</v>
      </c>
      <c r="V226" s="1">
        <f t="shared" si="36"/>
        <v>104033.00799999999</v>
      </c>
      <c r="W226" s="1">
        <f t="shared" si="36"/>
        <v>42025.1</v>
      </c>
      <c r="X226" s="1">
        <f t="shared" si="36"/>
        <v>24474.207499999997</v>
      </c>
      <c r="AB226">
        <v>5</v>
      </c>
      <c r="AC226">
        <v>176</v>
      </c>
      <c r="AD226">
        <v>171</v>
      </c>
      <c r="AE226">
        <v>160</v>
      </c>
      <c r="AJ226" t="s">
        <v>416</v>
      </c>
      <c r="AK226">
        <v>10</v>
      </c>
      <c r="AL226" s="1">
        <v>0</v>
      </c>
      <c r="AM226" s="1">
        <v>6.08</v>
      </c>
      <c r="AN226" s="1">
        <v>1273.6600000000001</v>
      </c>
      <c r="AO226" s="1">
        <v>412.64</v>
      </c>
      <c r="AP226" s="1">
        <v>160.85</v>
      </c>
      <c r="AR226" s="1">
        <v>171.24</v>
      </c>
      <c r="AS226" s="1">
        <v>1163.9000000000001</v>
      </c>
      <c r="AT226" s="1">
        <v>16270.76</v>
      </c>
      <c r="AU226" s="1">
        <v>2405.83</v>
      </c>
      <c r="AV226" s="1">
        <v>2133.13</v>
      </c>
    </row>
    <row r="227" spans="1:48" ht="15.6" x14ac:dyDescent="0.35">
      <c r="A227" t="s">
        <v>322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323</v>
      </c>
      <c r="S227" t="s">
        <v>68</v>
      </c>
      <c r="T227" s="57">
        <f>AVERAGE(T24,T34,T44,T54,T64,T74,T84,T94,T104,T114,T124,T134,T144,T154,T164,T174,T184,T194,T204,T214)</f>
        <v>2631.826970610834</v>
      </c>
      <c r="U227" s="57">
        <f t="shared" si="36"/>
        <v>10987.455747474945</v>
      </c>
      <c r="V227" s="57">
        <f t="shared" si="36"/>
        <v>103107.25916763014</v>
      </c>
      <c r="W227" s="57">
        <f t="shared" si="36"/>
        <v>42557.239162268132</v>
      </c>
      <c r="X227" s="57">
        <f t="shared" si="36"/>
        <v>23255.767952015936</v>
      </c>
      <c r="AB227">
        <v>6</v>
      </c>
      <c r="AC227">
        <v>205</v>
      </c>
      <c r="AD227">
        <v>200</v>
      </c>
      <c r="AE227">
        <v>189</v>
      </c>
      <c r="AJ227" t="s">
        <v>416</v>
      </c>
      <c r="AK227">
        <v>11</v>
      </c>
      <c r="AL227" s="1">
        <v>0.09</v>
      </c>
      <c r="AM227" s="1">
        <v>6.55</v>
      </c>
      <c r="AN227" s="1">
        <v>1272.81</v>
      </c>
      <c r="AO227" s="1">
        <v>414.51</v>
      </c>
      <c r="AP227" s="1">
        <v>159.27000000000001</v>
      </c>
      <c r="AR227" s="1">
        <v>174.39</v>
      </c>
      <c r="AS227" s="1">
        <v>1176.8599999999999</v>
      </c>
      <c r="AT227" s="1">
        <v>16247.17</v>
      </c>
      <c r="AU227" s="1">
        <v>2435.9</v>
      </c>
      <c r="AV227" s="1">
        <v>2110.5300000000002</v>
      </c>
    </row>
    <row r="228" spans="1:48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67</v>
      </c>
      <c r="T228" s="67">
        <f>AVERAGE(T25,T35,T45,T55,T65,T75,T85,T95,T105,T115,T125,T135,T145,T155,T165,T175,T185,T195,T205,T215)</f>
        <v>4.6472967860547731</v>
      </c>
      <c r="U228" s="67">
        <f t="shared" si="36"/>
        <v>206.42868108743073</v>
      </c>
      <c r="V228" s="67">
        <f t="shared" si="36"/>
        <v>377.71015769280223</v>
      </c>
      <c r="W228" s="67">
        <f t="shared" si="36"/>
        <v>373.39822873169203</v>
      </c>
      <c r="X228" s="67">
        <f t="shared" si="36"/>
        <v>359.25480444095444</v>
      </c>
      <c r="AB228">
        <v>7</v>
      </c>
      <c r="AC228">
        <v>234</v>
      </c>
      <c r="AD228">
        <v>229</v>
      </c>
      <c r="AE228">
        <v>218</v>
      </c>
      <c r="AJ228" t="s">
        <v>416</v>
      </c>
      <c r="AK228">
        <v>12</v>
      </c>
      <c r="AL228" s="1">
        <v>0</v>
      </c>
      <c r="AM228" s="1">
        <v>6.37</v>
      </c>
      <c r="AN228" s="1">
        <v>1267.5</v>
      </c>
      <c r="AO228" s="1">
        <v>422.01</v>
      </c>
      <c r="AP228" s="1">
        <v>157.33000000000001</v>
      </c>
      <c r="AR228" s="1">
        <v>173.49</v>
      </c>
      <c r="AS228" s="1">
        <v>1168.67</v>
      </c>
      <c r="AT228" s="1">
        <v>16231.96</v>
      </c>
      <c r="AU228" s="1">
        <v>2472.9</v>
      </c>
      <c r="AV228" s="1">
        <v>2097.84</v>
      </c>
    </row>
    <row r="229" spans="1:48" x14ac:dyDescent="0.3">
      <c r="A229" t="s">
        <v>3</v>
      </c>
      <c r="B229" s="13">
        <v>0</v>
      </c>
      <c r="C229" s="29">
        <f>(C218/$L229)*$O229</f>
        <v>1.4500967050702163</v>
      </c>
      <c r="D229" s="31">
        <f>(D218/$L229)*$O229</f>
        <v>0</v>
      </c>
      <c r="E229" s="31">
        <f>(E218/$L229)*$O229</f>
        <v>0</v>
      </c>
      <c r="F229" s="31">
        <f>(F218/$L229)*$O229</f>
        <v>0</v>
      </c>
      <c r="G229" s="32">
        <f>(G218/$L229)*$O229</f>
        <v>0</v>
      </c>
      <c r="H229" s="17">
        <f>SUM(C229:G229)</f>
        <v>1.4500967050702163</v>
      </c>
      <c r="I229" s="17">
        <f>C229/H229*100</f>
        <v>100</v>
      </c>
      <c r="J229" s="17">
        <f>SQRT(I229*(100-I229)/(L229-1))</f>
        <v>0</v>
      </c>
      <c r="K229" s="18">
        <f>100-I229</f>
        <v>0</v>
      </c>
      <c r="L229" s="1">
        <f>H218</f>
        <v>259</v>
      </c>
      <c r="M229">
        <v>0</v>
      </c>
      <c r="N229" s="1">
        <v>2647</v>
      </c>
      <c r="O229" s="17">
        <f>N229/N234*100</f>
        <v>1.4500967050702163</v>
      </c>
      <c r="P229" s="52">
        <f>((O229*O229*(I229/100)*(K229/100))/(L229-1))</f>
        <v>0</v>
      </c>
      <c r="AB229">
        <v>8</v>
      </c>
      <c r="AC229">
        <v>263</v>
      </c>
      <c r="AD229">
        <v>258</v>
      </c>
      <c r="AE229">
        <v>247</v>
      </c>
      <c r="AJ229" t="s">
        <v>416</v>
      </c>
      <c r="AK229">
        <v>13</v>
      </c>
      <c r="AL229" s="1">
        <v>0</v>
      </c>
      <c r="AM229" s="1">
        <v>7.28</v>
      </c>
      <c r="AN229" s="1">
        <v>1268.6600000000001</v>
      </c>
      <c r="AO229" s="1">
        <v>415.03</v>
      </c>
      <c r="AP229" s="1">
        <v>162.25</v>
      </c>
      <c r="AR229" s="1">
        <v>175.11</v>
      </c>
      <c r="AS229" s="1">
        <v>1239.79</v>
      </c>
      <c r="AT229" s="1">
        <v>16192.16</v>
      </c>
      <c r="AU229" s="1">
        <v>2456.9699999999998</v>
      </c>
      <c r="AV229" s="1">
        <v>2080.8200000000002</v>
      </c>
    </row>
    <row r="230" spans="1:48" x14ac:dyDescent="0.3">
      <c r="A230" t="s">
        <v>4</v>
      </c>
      <c r="B230" s="13">
        <v>1</v>
      </c>
      <c r="C230" s="33">
        <f t="shared" ref="C230:G233" si="37">(C219/$L230)*$O230</f>
        <v>0</v>
      </c>
      <c r="D230" s="34">
        <f t="shared" si="37"/>
        <v>4.9551645674840543</v>
      </c>
      <c r="E230" s="19">
        <f t="shared" si="37"/>
        <v>0.29421289619436575</v>
      </c>
      <c r="F230" s="18">
        <f t="shared" si="37"/>
        <v>0</v>
      </c>
      <c r="G230" s="20">
        <f t="shared" si="37"/>
        <v>0</v>
      </c>
      <c r="H230" s="17">
        <f>SUM(C230:G230)</f>
        <v>5.2493774636784201</v>
      </c>
      <c r="I230" s="17">
        <f>D230/H230*100</f>
        <v>94.395280235988196</v>
      </c>
      <c r="J230" s="17">
        <f>SQRT(I230*(100-I230)/(L230-1))</f>
        <v>1.251104946865462</v>
      </c>
      <c r="K230" s="18">
        <f>100-I230</f>
        <v>5.6047197640118043</v>
      </c>
      <c r="L230" s="1">
        <f>H219</f>
        <v>339</v>
      </c>
      <c r="M230">
        <v>1</v>
      </c>
      <c r="N230" s="1">
        <v>9582.19</v>
      </c>
      <c r="O230" s="17">
        <f>N230/N234*100</f>
        <v>5.2493774636784201</v>
      </c>
      <c r="P230" s="52">
        <f>((O230*O230*(I230/100)*(K230/100))/(L230-1))</f>
        <v>4.3132346701751081E-3</v>
      </c>
      <c r="S230" t="s">
        <v>69</v>
      </c>
      <c r="T230" s="1" t="s">
        <v>418</v>
      </c>
      <c r="U230" s="1" t="s">
        <v>419</v>
      </c>
      <c r="V230" s="1" t="s">
        <v>420</v>
      </c>
      <c r="W230" s="1" t="s">
        <v>421</v>
      </c>
      <c r="X230" s="1" t="s">
        <v>422</v>
      </c>
      <c r="AB230">
        <v>9</v>
      </c>
      <c r="AC230">
        <v>292</v>
      </c>
      <c r="AD230">
        <v>287</v>
      </c>
      <c r="AE230">
        <v>276</v>
      </c>
      <c r="AJ230" t="s">
        <v>416</v>
      </c>
      <c r="AK230">
        <v>14</v>
      </c>
      <c r="AL230" s="1">
        <v>0</v>
      </c>
      <c r="AM230" s="1">
        <v>6.76</v>
      </c>
      <c r="AN230" s="1">
        <v>1270.1500000000001</v>
      </c>
      <c r="AO230" s="1">
        <v>418.17</v>
      </c>
      <c r="AP230" s="1">
        <v>158.13999999999999</v>
      </c>
      <c r="AR230" s="1">
        <v>172.23</v>
      </c>
      <c r="AS230" s="1">
        <v>1183.25</v>
      </c>
      <c r="AT230" s="1">
        <v>16178.84</v>
      </c>
      <c r="AU230" s="1">
        <v>2469.75</v>
      </c>
      <c r="AV230" s="1">
        <v>2140.7800000000002</v>
      </c>
    </row>
    <row r="231" spans="1:48" x14ac:dyDescent="0.3">
      <c r="A231" t="s">
        <v>5</v>
      </c>
      <c r="B231" s="13">
        <v>2</v>
      </c>
      <c r="C231" s="33">
        <f t="shared" si="37"/>
        <v>0</v>
      </c>
      <c r="D231" s="19">
        <f t="shared" si="37"/>
        <v>1.0841027214212837</v>
      </c>
      <c r="E231" s="34">
        <f t="shared" si="37"/>
        <v>54.335843491377389</v>
      </c>
      <c r="F231" s="19">
        <f t="shared" si="37"/>
        <v>0.86881991149365279</v>
      </c>
      <c r="G231" s="20">
        <f t="shared" si="37"/>
        <v>0.59971639908411434</v>
      </c>
      <c r="H231" s="17">
        <f>SUM(C231:G231)</f>
        <v>56.888482523376439</v>
      </c>
      <c r="I231" s="17">
        <f>E231/H231*100</f>
        <v>95.512907149614819</v>
      </c>
      <c r="J231" s="17">
        <f>SQRT(I231*(100-I231)/(L231-1))</f>
        <v>0.24068908543232215</v>
      </c>
      <c r="K231" s="18">
        <f>100-I231</f>
        <v>4.4870928503851815</v>
      </c>
      <c r="L231" s="1">
        <f>H220</f>
        <v>7399</v>
      </c>
      <c r="M231">
        <v>2</v>
      </c>
      <c r="N231" s="1">
        <v>103843.98</v>
      </c>
      <c r="O231" s="17">
        <f>N231/N234*100</f>
        <v>56.888482523376439</v>
      </c>
      <c r="P231" s="52">
        <f>((O231*O231*(I231/100)*(K231/100))/(L231-1))</f>
        <v>1.8748282634858251E-2</v>
      </c>
      <c r="T231" s="57">
        <f>T24</f>
        <v>2588.83</v>
      </c>
      <c r="U231" s="57">
        <f>U24</f>
        <v>11143.929120047897</v>
      </c>
      <c r="V231" s="57">
        <f>V24</f>
        <v>102334.35634335429</v>
      </c>
      <c r="W231" s="57">
        <f>W24</f>
        <v>42936.988800891901</v>
      </c>
      <c r="X231" s="57">
        <f>X24</f>
        <v>23535.445735705915</v>
      </c>
      <c r="AB231">
        <v>10</v>
      </c>
      <c r="AC231">
        <v>321</v>
      </c>
      <c r="AD231">
        <v>316</v>
      </c>
      <c r="AE231">
        <v>305</v>
      </c>
      <c r="AJ231" t="s">
        <v>416</v>
      </c>
      <c r="AK231">
        <v>15</v>
      </c>
      <c r="AL231" s="1">
        <v>0</v>
      </c>
      <c r="AM231" s="1">
        <v>5.59</v>
      </c>
      <c r="AN231" s="1">
        <v>1280.08</v>
      </c>
      <c r="AO231" s="1">
        <v>417.39</v>
      </c>
      <c r="AP231" s="1">
        <v>150.15</v>
      </c>
      <c r="AR231" s="1">
        <v>173.94</v>
      </c>
      <c r="AS231" s="1">
        <v>1152.82</v>
      </c>
      <c r="AT231" s="1">
        <v>16227.09</v>
      </c>
      <c r="AU231" s="1">
        <v>2458.23</v>
      </c>
      <c r="AV231" s="1">
        <v>2132.77</v>
      </c>
    </row>
    <row r="232" spans="1:48" x14ac:dyDescent="0.3">
      <c r="A232" t="s">
        <v>6</v>
      </c>
      <c r="B232" s="13">
        <v>3</v>
      </c>
      <c r="C232" s="33">
        <f t="shared" si="37"/>
        <v>0</v>
      </c>
      <c r="D232" s="19">
        <f t="shared" si="37"/>
        <v>2.6396445663968541E-2</v>
      </c>
      <c r="E232" s="19">
        <f t="shared" si="37"/>
        <v>1.1702424244359386</v>
      </c>
      <c r="F232" s="34">
        <f t="shared" si="37"/>
        <v>20.76520392232192</v>
      </c>
      <c r="G232" s="20">
        <f t="shared" si="37"/>
        <v>0.9414732286815447</v>
      </c>
      <c r="H232" s="17">
        <f>SUM(C232:G232)</f>
        <v>22.903316021103372</v>
      </c>
      <c r="I232" s="17">
        <f>F232/H232*100</f>
        <v>90.664617748751439</v>
      </c>
      <c r="J232" s="17">
        <f>SQRT(I232*(100-I232)/(L232-1))</f>
        <v>0.57033670737568876</v>
      </c>
      <c r="K232" s="18">
        <f>100-I232</f>
        <v>9.3353822512485607</v>
      </c>
      <c r="L232" s="1">
        <f>H221</f>
        <v>2603</v>
      </c>
      <c r="M232">
        <v>3</v>
      </c>
      <c r="N232" s="1">
        <v>41807.61</v>
      </c>
      <c r="O232" s="17">
        <f>N232/N234*100</f>
        <v>22.903316021103372</v>
      </c>
      <c r="P232" s="52">
        <f>((O232*O232*(I232/100)*(K232/100))/(L232-1))</f>
        <v>1.7063156702529045E-2</v>
      </c>
      <c r="T232" s="57">
        <f>T34</f>
        <v>2609.3199116404153</v>
      </c>
      <c r="U232" s="57">
        <f>U34</f>
        <v>11116.671119913119</v>
      </c>
      <c r="V232" s="57">
        <f>V34</f>
        <v>103146.34870532554</v>
      </c>
      <c r="W232" s="57">
        <f>W34</f>
        <v>42558.522259040044</v>
      </c>
      <c r="X232" s="57">
        <f>X34</f>
        <v>23108.678004080866</v>
      </c>
      <c r="AB232">
        <v>11</v>
      </c>
      <c r="AC232">
        <v>350</v>
      </c>
      <c r="AD232">
        <v>345</v>
      </c>
      <c r="AE232">
        <v>334</v>
      </c>
      <c r="AJ232" t="s">
        <v>416</v>
      </c>
      <c r="AK232">
        <v>16</v>
      </c>
      <c r="AL232" s="1">
        <v>0</v>
      </c>
      <c r="AM232" s="1">
        <v>6.41</v>
      </c>
      <c r="AN232" s="1">
        <v>1272.8</v>
      </c>
      <c r="AO232" s="1">
        <v>422.83</v>
      </c>
      <c r="AP232" s="1">
        <v>151.16999999999999</v>
      </c>
      <c r="AR232" s="1">
        <v>175.2</v>
      </c>
      <c r="AS232" s="1">
        <v>1173.26</v>
      </c>
      <c r="AT232" s="1">
        <v>16225.74</v>
      </c>
      <c r="AU232" s="1">
        <v>2486.4</v>
      </c>
      <c r="AV232" s="1">
        <v>2084.2399999999998</v>
      </c>
    </row>
    <row r="233" spans="1:48" x14ac:dyDescent="0.3">
      <c r="A233" t="s">
        <v>7</v>
      </c>
      <c r="B233" s="13">
        <v>4</v>
      </c>
      <c r="C233" s="35">
        <f t="shared" si="37"/>
        <v>0</v>
      </c>
      <c r="D233" s="36">
        <f t="shared" si="37"/>
        <v>0</v>
      </c>
      <c r="E233" s="21">
        <f t="shared" si="37"/>
        <v>0.71765113710973871</v>
      </c>
      <c r="F233" s="21">
        <f t="shared" si="37"/>
        <v>1.4634454560669183</v>
      </c>
      <c r="G233" s="37">
        <f t="shared" si="37"/>
        <v>11.327630693594894</v>
      </c>
      <c r="H233" s="17">
        <f>SUM(C233:G233)</f>
        <v>13.508727286771553</v>
      </c>
      <c r="I233" s="17">
        <f>G233/H233*100</f>
        <v>83.854166666666657</v>
      </c>
      <c r="J233" s="17">
        <f>SQRT(I233*(100-I233)/(L233-1))</f>
        <v>1.1881827763506005</v>
      </c>
      <c r="K233" s="18">
        <f>100-I233</f>
        <v>16.145833333333343</v>
      </c>
      <c r="L233" s="1">
        <f>H222</f>
        <v>960</v>
      </c>
      <c r="M233">
        <v>4</v>
      </c>
      <c r="N233" s="1">
        <v>24658.77</v>
      </c>
      <c r="O233" s="17">
        <f>N233/N234*100</f>
        <v>13.508727286771553</v>
      </c>
      <c r="P233" s="52">
        <f>((O233*O233*(I233/100)*(K233/100))/(L233-1))</f>
        <v>2.5762937137187872E-2</v>
      </c>
      <c r="T233" s="57">
        <f>T44</f>
        <v>2628.3955897041883</v>
      </c>
      <c r="U233" s="57">
        <f>U44</f>
        <v>11320.877053184682</v>
      </c>
      <c r="V233" s="57">
        <f>V44</f>
        <v>102894.09544216537</v>
      </c>
      <c r="W233" s="57">
        <f>W44</f>
        <v>42544.318622273327</v>
      </c>
      <c r="X233" s="57">
        <f>X44</f>
        <v>23151.873292672433</v>
      </c>
      <c r="AB233">
        <v>12</v>
      </c>
      <c r="AC233">
        <v>379</v>
      </c>
      <c r="AD233">
        <v>374</v>
      </c>
      <c r="AE233">
        <v>363</v>
      </c>
      <c r="AJ233" t="s">
        <v>416</v>
      </c>
      <c r="AK233">
        <v>17</v>
      </c>
      <c r="AL233" s="1">
        <v>0</v>
      </c>
      <c r="AM233" s="1">
        <v>4.75</v>
      </c>
      <c r="AN233" s="1">
        <v>1282.04</v>
      </c>
      <c r="AO233" s="1">
        <v>410.03</v>
      </c>
      <c r="AP233" s="1">
        <v>156.4</v>
      </c>
      <c r="AR233" s="1">
        <v>172.05</v>
      </c>
      <c r="AS233" s="1">
        <v>1153.9100000000001</v>
      </c>
      <c r="AT233" s="1">
        <v>16300.2</v>
      </c>
      <c r="AU233" s="1">
        <v>2403.4</v>
      </c>
      <c r="AV233" s="1">
        <v>2115.3000000000002</v>
      </c>
    </row>
    <row r="234" spans="1:48" x14ac:dyDescent="0.3">
      <c r="B234" t="s">
        <v>28</v>
      </c>
      <c r="C234" s="17">
        <f>SUM(C229:C233)</f>
        <v>1.4500967050702163</v>
      </c>
      <c r="D234" s="17">
        <f>SUM(D229:D233)</f>
        <v>6.0656637345693065</v>
      </c>
      <c r="E234" s="17">
        <f>SUM(E229:E233)</f>
        <v>56.517949949117437</v>
      </c>
      <c r="F234" s="17">
        <f>SUM(F229:F233)</f>
        <v>23.09746928988249</v>
      </c>
      <c r="G234" s="17">
        <f>SUM(G229:G233)</f>
        <v>12.868820321360554</v>
      </c>
      <c r="H234" s="1">
        <f>SUM(H228:H233)</f>
        <v>100</v>
      </c>
      <c r="I234" s="13" t="s">
        <v>24</v>
      </c>
      <c r="J234" s="12" t="s">
        <v>29</v>
      </c>
      <c r="N234" s="1">
        <f>SUM(N229:N233)</f>
        <v>182539.55</v>
      </c>
      <c r="O234" s="17">
        <f>SUM(O229:O233)</f>
        <v>100</v>
      </c>
      <c r="T234" s="57">
        <f>T54</f>
        <v>2640.4317595082598</v>
      </c>
      <c r="U234" s="57">
        <f>U54</f>
        <v>10547.020150998556</v>
      </c>
      <c r="V234" s="57">
        <f>V54</f>
        <v>102959.60331860482</v>
      </c>
      <c r="W234" s="57">
        <f>W54</f>
        <v>42596.618602825802</v>
      </c>
      <c r="X234" s="57">
        <f>X54</f>
        <v>23795.886168062592</v>
      </c>
      <c r="AB234">
        <v>13</v>
      </c>
      <c r="AC234">
        <v>408</v>
      </c>
      <c r="AD234">
        <v>403</v>
      </c>
      <c r="AE234">
        <v>392</v>
      </c>
      <c r="AJ234" t="s">
        <v>416</v>
      </c>
      <c r="AK234">
        <v>18</v>
      </c>
      <c r="AL234" s="1">
        <v>0</v>
      </c>
      <c r="AM234" s="1">
        <v>5.0199999999999996</v>
      </c>
      <c r="AN234" s="1">
        <v>1276.26</v>
      </c>
      <c r="AO234" s="1">
        <v>418.26</v>
      </c>
      <c r="AP234" s="1">
        <v>153.69</v>
      </c>
      <c r="AR234" s="1">
        <v>173.22</v>
      </c>
      <c r="AS234" s="1">
        <v>1155.53</v>
      </c>
      <c r="AT234" s="1">
        <v>16235.29</v>
      </c>
      <c r="AU234" s="1">
        <v>2473.35</v>
      </c>
      <c r="AV234" s="1">
        <v>2107.4699999999998</v>
      </c>
    </row>
    <row r="235" spans="1:48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0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0.11273405928571237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0.20586137686061573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0.20493108404812568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0.19555521904695258</v>
      </c>
      <c r="H235" s="1"/>
      <c r="I235" s="14">
        <f>(C229+D230+E231+F232+G233)/H234</f>
        <v>0.92833939379848474</v>
      </c>
      <c r="J235" s="53">
        <f>SQRT(SUM(P229:P233))/100</f>
        <v>2.5668582186157123E-3</v>
      </c>
      <c r="M235" s="1"/>
      <c r="N235" s="9"/>
      <c r="T235" s="57">
        <f>T64</f>
        <v>2636.02</v>
      </c>
      <c r="U235" s="57">
        <f>U64</f>
        <v>10814.770712421789</v>
      </c>
      <c r="V235" s="57">
        <f>V64</f>
        <v>103481.39971781099</v>
      </c>
      <c r="W235" s="57">
        <f>W64</f>
        <v>42363.356406320927</v>
      </c>
      <c r="X235" s="57">
        <f>X64</f>
        <v>23244.013163446289</v>
      </c>
      <c r="AB235">
        <v>14</v>
      </c>
      <c r="AC235">
        <v>437</v>
      </c>
      <c r="AD235">
        <v>432</v>
      </c>
      <c r="AE235">
        <v>421</v>
      </c>
      <c r="AJ235" t="s">
        <v>416</v>
      </c>
      <c r="AK235">
        <v>19</v>
      </c>
      <c r="AL235" s="1">
        <v>0</v>
      </c>
      <c r="AM235" s="1">
        <v>5.68</v>
      </c>
      <c r="AN235" s="1">
        <v>1284.17</v>
      </c>
      <c r="AO235" s="1">
        <v>417.7</v>
      </c>
      <c r="AP235" s="1">
        <v>145.66999999999999</v>
      </c>
      <c r="AR235" s="1">
        <v>169.71</v>
      </c>
      <c r="AS235" s="1">
        <v>1146.79</v>
      </c>
      <c r="AT235" s="1">
        <v>16239.34</v>
      </c>
      <c r="AU235" s="1">
        <v>2469.0300000000002</v>
      </c>
      <c r="AV235" s="1">
        <v>2119.9899999999998</v>
      </c>
    </row>
    <row r="236" spans="1:48" x14ac:dyDescent="0.3">
      <c r="B236" s="1" t="s">
        <v>30</v>
      </c>
      <c r="C236" s="17">
        <f>C229/C234*100</f>
        <v>100</v>
      </c>
      <c r="D236" s="17">
        <f>D230/D234*100</f>
        <v>81.692042030679715</v>
      </c>
      <c r="E236" s="17">
        <f>E231/E234*100</f>
        <v>96.139091280372739</v>
      </c>
      <c r="F236" s="17">
        <f>F232/F234*100</f>
        <v>89.902506901125378</v>
      </c>
      <c r="G236" s="17">
        <f>G233/G234*100</f>
        <v>88.023846869572907</v>
      </c>
      <c r="H236" s="1"/>
      <c r="T236" s="57">
        <f>T74</f>
        <v>2682.4970111409912</v>
      </c>
      <c r="U236" s="57">
        <f>U74</f>
        <v>11043.352841405002</v>
      </c>
      <c r="V236" s="57">
        <f>V74</f>
        <v>102642.00838405071</v>
      </c>
      <c r="W236" s="57">
        <f>W74</f>
        <v>43186.928289271287</v>
      </c>
      <c r="X236" s="57">
        <f>X74</f>
        <v>22984.75347413202</v>
      </c>
      <c r="AB236">
        <v>15</v>
      </c>
      <c r="AC236">
        <v>466</v>
      </c>
      <c r="AD236">
        <v>461</v>
      </c>
      <c r="AE236">
        <v>450</v>
      </c>
    </row>
    <row r="237" spans="1:48" x14ac:dyDescent="0.3">
      <c r="B237" s="16" t="s">
        <v>39</v>
      </c>
      <c r="C237" s="18">
        <f>SQRT((C240+C241)/(C234*C234))</f>
        <v>0</v>
      </c>
      <c r="D237" s="18">
        <f>SQRT((D240+D241)/(D234*D234))</f>
        <v>2.3355491348217252</v>
      </c>
      <c r="E237" s="18">
        <f>SQRT((E240+E241)/(E234*E234))</f>
        <v>0.27786480583286532</v>
      </c>
      <c r="F237" s="18">
        <f>SQRT((F240+F241)/(F234*F234))</f>
        <v>0.839198350987163</v>
      </c>
      <c r="G237" s="18">
        <f>SQRT((G240+G241)/(G234*G234))</f>
        <v>1.6782572919401988</v>
      </c>
      <c r="H237" s="1"/>
      <c r="T237" s="57">
        <f>T84</f>
        <v>2670.3951402228199</v>
      </c>
      <c r="U237" s="57">
        <f>U84</f>
        <v>10780.357593289078</v>
      </c>
      <c r="V237" s="57">
        <f>V84</f>
        <v>103466.00739826084</v>
      </c>
      <c r="W237" s="57">
        <f>W84</f>
        <v>41833.492621379759</v>
      </c>
      <c r="X237" s="57">
        <f>X84</f>
        <v>23789.297246847469</v>
      </c>
      <c r="AB237">
        <v>16</v>
      </c>
      <c r="AC237">
        <v>495</v>
      </c>
      <c r="AD237">
        <v>490</v>
      </c>
      <c r="AE237">
        <v>479</v>
      </c>
      <c r="AN237" s="78"/>
      <c r="AO237" s="78"/>
    </row>
    <row r="238" spans="1:48" x14ac:dyDescent="0.3">
      <c r="B238" s="1" t="s">
        <v>37</v>
      </c>
      <c r="C238" s="18">
        <f>100-C236</f>
        <v>0</v>
      </c>
      <c r="D238" s="18">
        <f>100-D236</f>
        <v>18.307957969320285</v>
      </c>
      <c r="E238" s="18">
        <f>100-E236</f>
        <v>3.8609087196272611</v>
      </c>
      <c r="F238" s="18">
        <f>100-F236</f>
        <v>10.097493098874622</v>
      </c>
      <c r="G238" s="18">
        <f>100-G236</f>
        <v>11.976153130427093</v>
      </c>
      <c r="T238" s="57">
        <f>T94</f>
        <v>2647</v>
      </c>
      <c r="U238" s="57">
        <f>U94</f>
        <v>11072.235285596007</v>
      </c>
      <c r="V238" s="57">
        <f>V94</f>
        <v>103167.6115063442</v>
      </c>
      <c r="W238" s="57">
        <f>W94</f>
        <v>42162.01650313969</v>
      </c>
      <c r="X238" s="57">
        <f>X94</f>
        <v>23490.686704920106</v>
      </c>
      <c r="AB238">
        <v>17</v>
      </c>
      <c r="AC238">
        <v>524</v>
      </c>
      <c r="AD238">
        <v>519</v>
      </c>
      <c r="AE238">
        <v>508</v>
      </c>
    </row>
    <row r="239" spans="1:48" ht="15.6" x14ac:dyDescent="0.35">
      <c r="B239" s="1" t="s">
        <v>25</v>
      </c>
      <c r="C239" s="1">
        <f>C223</f>
        <v>259</v>
      </c>
      <c r="D239" s="1">
        <f>D223</f>
        <v>464</v>
      </c>
      <c r="E239" s="1">
        <f>E223</f>
        <v>7270</v>
      </c>
      <c r="F239" s="1">
        <f>F223</f>
        <v>2577</v>
      </c>
      <c r="G239" s="1">
        <f>G223</f>
        <v>990</v>
      </c>
      <c r="T239" s="57">
        <f>T104</f>
        <v>2638.4499999999994</v>
      </c>
      <c r="U239" s="57">
        <f>U104</f>
        <v>10397.222627318093</v>
      </c>
      <c r="V239" s="57">
        <f>V104</f>
        <v>103331.28853330261</v>
      </c>
      <c r="W239" s="57">
        <f>W104</f>
        <v>42775.495578691392</v>
      </c>
      <c r="X239" s="57">
        <f>X104</f>
        <v>23397.09326068794</v>
      </c>
      <c r="AB239">
        <v>18</v>
      </c>
      <c r="AC239">
        <v>553</v>
      </c>
      <c r="AD239">
        <v>548</v>
      </c>
      <c r="AE239">
        <v>537</v>
      </c>
      <c r="AN239" s="78"/>
      <c r="AO239" s="78"/>
    </row>
    <row r="240" spans="1:48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144.57157118128271</v>
      </c>
      <c r="E240" s="18">
        <f>(O231*O231*(100-E236)*(100-E236)*(I231)*(100-I231))/((L231-1)*100)</f>
        <v>27.94734525463166</v>
      </c>
      <c r="F240" s="18">
        <f>(O232*O232*(100-F236)*(100-F236)*(I232)*(100-I232))/((L232-1)*100)</f>
        <v>173.97486543951553</v>
      </c>
      <c r="G240" s="18">
        <f>(O233*O233*(100-G236)*(100-G236)*(I233)*(100-I233))/((L233-1)*100)</f>
        <v>369.51328288052463</v>
      </c>
      <c r="T240" s="57">
        <f>T114</f>
        <v>2614.67</v>
      </c>
      <c r="U240" s="57">
        <f>U114</f>
        <v>10951.777238362127</v>
      </c>
      <c r="V240" s="57">
        <f>V114</f>
        <v>103695.75125475775</v>
      </c>
      <c r="W240" s="57">
        <f>W114</f>
        <v>42405.629299953638</v>
      </c>
      <c r="X240" s="57">
        <f>X114</f>
        <v>22871.722206926494</v>
      </c>
      <c r="AB240">
        <v>19</v>
      </c>
      <c r="AC240">
        <v>582</v>
      </c>
      <c r="AD240">
        <v>577</v>
      </c>
      <c r="AE240">
        <v>566</v>
      </c>
    </row>
    <row r="241" spans="1:41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56.122562183857703</v>
      </c>
      <c r="E241" s="18">
        <f>E236*E236*(SUM((H229*E229*(1-E218/H218))/(H218-1),(H230*E230*(1-E219/H219))/(H219-1), (H232*E232*(1-E221/H221))/(H221-1),(H233*E233*(1-E222/H222))/(H222-1)))</f>
        <v>218.67923818546038</v>
      </c>
      <c r="F241" s="18">
        <f>F236*F236*(SUM((H229*F229*(1-F218/H218))/(H218-1),(H230*F230*(1-F219/H219))/(H219-1), (H231*F231*(1-F220/H220))/(H220-1),(H233*F233*(1-F222/H222))/(H222-1)))</f>
        <v>201.7397073457729</v>
      </c>
      <c r="G241" s="18">
        <f>G236*G236*(SUM((H229*G229*(1-G218/H218))/(H218-1),(H230*G230*(1-G219/H219))/(H219-1), (H231*G231*(1-G220/H220))/(H220-1),(H232*G232*(1-G221/H221))/(H221-1)))</f>
        <v>96.925399664141622</v>
      </c>
      <c r="T241" s="57">
        <f>T124</f>
        <v>2617.83</v>
      </c>
      <c r="U241" s="57">
        <f>U124</f>
        <v>10956.537686762838</v>
      </c>
      <c r="V241" s="57">
        <f>V124</f>
        <v>103389.28021177012</v>
      </c>
      <c r="W241" s="57">
        <f>W124</f>
        <v>42139.011021958962</v>
      </c>
      <c r="X241" s="57">
        <f>X124</f>
        <v>23436.891079508074</v>
      </c>
      <c r="AB241">
        <v>20</v>
      </c>
      <c r="AC241">
        <v>611</v>
      </c>
      <c r="AD241">
        <v>606</v>
      </c>
      <c r="AE241">
        <v>595</v>
      </c>
      <c r="AN241" s="78"/>
      <c r="AO241" s="78"/>
    </row>
    <row r="242" spans="1:41" x14ac:dyDescent="0.3">
      <c r="T242" s="57">
        <f>T134</f>
        <v>2606.12</v>
      </c>
      <c r="U242" s="57">
        <f>U134</f>
        <v>10871.185289852894</v>
      </c>
      <c r="V242" s="57">
        <f>V134</f>
        <v>103382.94849134756</v>
      </c>
      <c r="W242" s="57">
        <f>W134</f>
        <v>42578.080742673519</v>
      </c>
      <c r="X242" s="57">
        <f>X134</f>
        <v>23101.205476126015</v>
      </c>
      <c r="AB242">
        <v>21</v>
      </c>
      <c r="AC242">
        <v>640</v>
      </c>
      <c r="AD242">
        <v>635</v>
      </c>
      <c r="AE242">
        <v>624</v>
      </c>
    </row>
    <row r="243" spans="1:41" x14ac:dyDescent="0.3">
      <c r="T243" s="57">
        <f>T144</f>
        <v>2669.78</v>
      </c>
      <c r="U243" s="57">
        <f>U144</f>
        <v>10937.837552186034</v>
      </c>
      <c r="V243" s="57">
        <f>V144</f>
        <v>103391.27605739899</v>
      </c>
      <c r="W243" s="57">
        <f>W144</f>
        <v>42745.095707263063</v>
      </c>
      <c r="X243" s="57">
        <f>X144</f>
        <v>22795.55068315192</v>
      </c>
      <c r="AB243">
        <v>22</v>
      </c>
      <c r="AC243">
        <v>669</v>
      </c>
      <c r="AD243">
        <v>664</v>
      </c>
      <c r="AE243">
        <v>653</v>
      </c>
      <c r="AN243" s="78"/>
      <c r="AO243" s="78"/>
    </row>
    <row r="244" spans="1:41" x14ac:dyDescent="0.3">
      <c r="A244" s="361" t="s">
        <v>405</v>
      </c>
      <c r="B244" s="361"/>
      <c r="C244" s="361"/>
      <c r="D244" s="361"/>
      <c r="E244" s="361"/>
      <c r="F244" s="361"/>
      <c r="G244" s="361"/>
      <c r="H244" s="361"/>
      <c r="I244" s="361"/>
      <c r="J244" s="361"/>
      <c r="K244" s="361"/>
      <c r="L244" s="361" t="s">
        <v>86</v>
      </c>
      <c r="M244" s="361"/>
      <c r="N244" s="361"/>
      <c r="O244" s="361"/>
      <c r="P244" s="361"/>
      <c r="T244" s="57">
        <f>T154</f>
        <v>2638.44</v>
      </c>
      <c r="U244" s="57">
        <f>U154</f>
        <v>11549.117087172193</v>
      </c>
      <c r="V244" s="57">
        <f>V154</f>
        <v>102758.39908030517</v>
      </c>
      <c r="W244" s="57">
        <f>W154</f>
        <v>42479.200438360807</v>
      </c>
      <c r="X244" s="57">
        <f>X154</f>
        <v>23114.38339416185</v>
      </c>
      <c r="AB244">
        <v>23</v>
      </c>
      <c r="AC244">
        <v>698</v>
      </c>
      <c r="AD244">
        <v>693</v>
      </c>
      <c r="AE244">
        <v>682</v>
      </c>
    </row>
    <row r="245" spans="1:41" x14ac:dyDescent="0.3">
      <c r="A245" t="s">
        <v>320</v>
      </c>
      <c r="B245" t="s">
        <v>21</v>
      </c>
      <c r="I245" s="1" t="s">
        <v>58</v>
      </c>
      <c r="O245" s="143"/>
      <c r="P245" s="143"/>
      <c r="T245" s="57">
        <f>T164</f>
        <v>2619.36</v>
      </c>
      <c r="U245" s="57">
        <f>U164</f>
        <v>10975.331215686978</v>
      </c>
      <c r="V245" s="57">
        <f>V164</f>
        <v>102873.72386738287</v>
      </c>
      <c r="W245" s="57">
        <f>W164</f>
        <v>42874.913270368539</v>
      </c>
      <c r="X245" s="57">
        <f>X164</f>
        <v>23196.231646561599</v>
      </c>
      <c r="AB245">
        <v>24</v>
      </c>
      <c r="AC245">
        <v>727</v>
      </c>
      <c r="AD245">
        <v>722</v>
      </c>
      <c r="AE245">
        <v>711</v>
      </c>
      <c r="AN245" s="78"/>
      <c r="AO245" s="78"/>
    </row>
    <row r="246" spans="1:41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56</v>
      </c>
      <c r="O246" s="13"/>
      <c r="P246" s="13"/>
      <c r="T246" s="57">
        <f>T174</f>
        <v>2634.66</v>
      </c>
      <c r="U246" s="57">
        <f>U174</f>
        <v>11103.149280761168</v>
      </c>
      <c r="V246" s="57">
        <f>V174</f>
        <v>103025.28963235153</v>
      </c>
      <c r="W246" s="57">
        <f>W174</f>
        <v>42567.714010681659</v>
      </c>
      <c r="X246" s="57">
        <f>X174</f>
        <v>23208.737076205656</v>
      </c>
      <c r="AB246">
        <v>25</v>
      </c>
      <c r="AC246">
        <v>756</v>
      </c>
      <c r="AD246">
        <v>751</v>
      </c>
      <c r="AE246">
        <v>740</v>
      </c>
    </row>
    <row r="247" spans="1:41" x14ac:dyDescent="0.3">
      <c r="A247" t="s">
        <v>3</v>
      </c>
      <c r="B247" s="13">
        <v>0</v>
      </c>
      <c r="C247" s="26">
        <v>259</v>
      </c>
      <c r="D247" s="3">
        <v>0</v>
      </c>
      <c r="E247" s="3">
        <v>0</v>
      </c>
      <c r="F247" s="3">
        <v>0</v>
      </c>
      <c r="G247" s="4">
        <v>0</v>
      </c>
      <c r="H247" s="1">
        <f>SUM(C247:G247)</f>
        <v>259</v>
      </c>
      <c r="I247" s="10">
        <f>C247/H247</f>
        <v>1</v>
      </c>
      <c r="J247" s="11">
        <f>1-I247</f>
        <v>0</v>
      </c>
      <c r="K247">
        <f>H247-C252</f>
        <v>0</v>
      </c>
      <c r="N247" s="10">
        <f>2*(C253*I247)/(C253+I247)</f>
        <v>1</v>
      </c>
      <c r="O247" s="1"/>
      <c r="P247" s="1"/>
      <c r="T247" s="57">
        <f>T184</f>
        <v>2658.07</v>
      </c>
      <c r="U247" s="57">
        <f>U184</f>
        <v>11144.188216942553</v>
      </c>
      <c r="V247" s="57">
        <f>V184</f>
        <v>102664.8638819388</v>
      </c>
      <c r="W247" s="57">
        <f>W184</f>
        <v>42998.089404512808</v>
      </c>
      <c r="X247" s="57">
        <f>X184</f>
        <v>23074.328496605838</v>
      </c>
      <c r="AB247">
        <v>26</v>
      </c>
      <c r="AC247">
        <v>785</v>
      </c>
      <c r="AD247">
        <v>780</v>
      </c>
      <c r="AE247">
        <v>769</v>
      </c>
      <c r="AN247" s="78"/>
      <c r="AO247" s="78"/>
    </row>
    <row r="248" spans="1:41" x14ac:dyDescent="0.3">
      <c r="A248" t="s">
        <v>4</v>
      </c>
      <c r="B248" s="13">
        <v>1</v>
      </c>
      <c r="C248" s="5">
        <v>0</v>
      </c>
      <c r="D248" s="27">
        <v>316</v>
      </c>
      <c r="E248" s="1">
        <v>23</v>
      </c>
      <c r="F248" s="1">
        <v>0</v>
      </c>
      <c r="G248" s="6">
        <v>0</v>
      </c>
      <c r="H248" s="1">
        <f>SUM(C248:G248)</f>
        <v>339</v>
      </c>
      <c r="I248" s="10">
        <f>D248/H248</f>
        <v>0.93215339233038352</v>
      </c>
      <c r="J248" s="11">
        <f>1-I248</f>
        <v>6.7846607669616477E-2</v>
      </c>
      <c r="K248">
        <f>H248-D252</f>
        <v>-108</v>
      </c>
      <c r="N248" s="10">
        <f>2*(D253*I248)/(D253+I248)</f>
        <v>0.80407124681933839</v>
      </c>
      <c r="O248" s="1"/>
      <c r="P248" s="1"/>
      <c r="T248" s="57">
        <f>T194</f>
        <v>2615.7499999999995</v>
      </c>
      <c r="U248" s="57">
        <f>U194</f>
        <v>10882.653053971682</v>
      </c>
      <c r="V248" s="57">
        <f>V194</f>
        <v>103686.31441909964</v>
      </c>
      <c r="W248" s="57">
        <f>W194</f>
        <v>41920.361770087402</v>
      </c>
      <c r="X248" s="57">
        <f>X194</f>
        <v>23434.470756841303</v>
      </c>
      <c r="AB248">
        <v>27</v>
      </c>
      <c r="AC248">
        <v>814</v>
      </c>
      <c r="AD248">
        <v>809</v>
      </c>
      <c r="AE248">
        <v>798</v>
      </c>
    </row>
    <row r="249" spans="1:41" x14ac:dyDescent="0.3">
      <c r="A249" t="s">
        <v>5</v>
      </c>
      <c r="B249" s="13">
        <v>2</v>
      </c>
      <c r="C249" s="5">
        <v>0</v>
      </c>
      <c r="D249" s="1">
        <v>127</v>
      </c>
      <c r="E249" s="27">
        <v>7076</v>
      </c>
      <c r="F249" s="1">
        <v>120</v>
      </c>
      <c r="G249" s="6">
        <v>76</v>
      </c>
      <c r="H249" s="1">
        <f>SUM(C249:G249)</f>
        <v>7399</v>
      </c>
      <c r="I249" s="10">
        <f>E249/H249</f>
        <v>0.95634545208812005</v>
      </c>
      <c r="J249" s="11">
        <f>1-I249</f>
        <v>4.3654547911879948E-2</v>
      </c>
      <c r="K249">
        <f>H249-E252</f>
        <v>117</v>
      </c>
      <c r="N249" s="10">
        <f>2*(E253*I249)/(E253+I249)</f>
        <v>0.96396703221851376</v>
      </c>
      <c r="O249" s="1"/>
      <c r="P249" s="1"/>
      <c r="T249" s="57">
        <f>T204</f>
        <v>2617.91</v>
      </c>
      <c r="U249" s="57">
        <f>U204</f>
        <v>11101.10397570675</v>
      </c>
      <c r="V249" s="57">
        <f>V204</f>
        <v>102942.44971655321</v>
      </c>
      <c r="W249" s="57">
        <f>W204</f>
        <v>42880.012858040907</v>
      </c>
      <c r="X249" s="57">
        <f>X204</f>
        <v>22998.073449699146</v>
      </c>
      <c r="AB249">
        <v>28</v>
      </c>
      <c r="AC249">
        <v>843</v>
      </c>
      <c r="AD249">
        <v>838</v>
      </c>
      <c r="AE249">
        <v>827</v>
      </c>
      <c r="AN249" s="78"/>
      <c r="AO249" s="78"/>
    </row>
    <row r="250" spans="1:41" x14ac:dyDescent="0.3">
      <c r="A250" t="s">
        <v>6</v>
      </c>
      <c r="B250" s="13">
        <v>3</v>
      </c>
      <c r="C250" s="5">
        <v>0</v>
      </c>
      <c r="D250" s="1">
        <v>4</v>
      </c>
      <c r="E250" s="1">
        <v>121</v>
      </c>
      <c r="F250" s="27">
        <v>2364</v>
      </c>
      <c r="G250" s="6">
        <v>114</v>
      </c>
      <c r="H250" s="1">
        <f>SUM(C250:G250)</f>
        <v>2603</v>
      </c>
      <c r="I250" s="10">
        <f>F250/H250</f>
        <v>0.90818286592393394</v>
      </c>
      <c r="J250" s="11">
        <f>1-I250</f>
        <v>9.1817134076066065E-2</v>
      </c>
      <c r="K250">
        <f>H250-F252</f>
        <v>18</v>
      </c>
      <c r="N250" s="10">
        <f>2*(F253*I250)/(F253+I250)</f>
        <v>0.91133384734001532</v>
      </c>
      <c r="O250" s="1"/>
      <c r="P250" s="1"/>
      <c r="T250" s="57">
        <f>T214</f>
        <v>2602.61</v>
      </c>
      <c r="U250" s="57">
        <f>U214</f>
        <v>11039.797847919466</v>
      </c>
      <c r="V250" s="57">
        <f>V214</f>
        <v>102912.16739047806</v>
      </c>
      <c r="W250" s="57">
        <f>W214</f>
        <v>42598.937037627278</v>
      </c>
      <c r="X250" s="57">
        <f>X214</f>
        <v>23386.037723975194</v>
      </c>
      <c r="AB250">
        <v>29</v>
      </c>
      <c r="AC250">
        <v>872</v>
      </c>
      <c r="AD250">
        <v>867</v>
      </c>
      <c r="AE250">
        <v>856</v>
      </c>
    </row>
    <row r="251" spans="1:41" x14ac:dyDescent="0.3">
      <c r="A251" t="s">
        <v>7</v>
      </c>
      <c r="B251" s="13">
        <v>4</v>
      </c>
      <c r="C251" s="7">
        <v>0</v>
      </c>
      <c r="D251" s="8">
        <v>0</v>
      </c>
      <c r="E251" s="8">
        <v>62</v>
      </c>
      <c r="F251" s="8">
        <v>101</v>
      </c>
      <c r="G251" s="28">
        <v>797</v>
      </c>
      <c r="H251" s="1">
        <f>SUM(C251:G251)</f>
        <v>960</v>
      </c>
      <c r="I251" s="10">
        <f>G251/H251</f>
        <v>0.83020833333333333</v>
      </c>
      <c r="J251" s="11">
        <f>1-I251</f>
        <v>0.16979166666666667</v>
      </c>
      <c r="K251">
        <f>H251-G252</f>
        <v>-27</v>
      </c>
      <c r="N251" s="10">
        <f>2*(G253*I251)/(G253+I251)</f>
        <v>0.81869542886492042</v>
      </c>
      <c r="O251" s="1"/>
      <c r="P251" s="1"/>
      <c r="AN251" s="78"/>
      <c r="AO251" s="78"/>
    </row>
    <row r="252" spans="1:41" ht="15.6" x14ac:dyDescent="0.35">
      <c r="B252" s="1" t="s">
        <v>19</v>
      </c>
      <c r="C252" s="1">
        <f>SUM(C247:C251)</f>
        <v>259</v>
      </c>
      <c r="D252" s="1">
        <f>SUM(D247:D251)</f>
        <v>447</v>
      </c>
      <c r="E252" s="1">
        <f>SUM(E247:E251)</f>
        <v>7282</v>
      </c>
      <c r="F252" s="1">
        <f>SUM(F247:F251)</f>
        <v>2585</v>
      </c>
      <c r="G252" s="1">
        <f>SUM(G247:G251)</f>
        <v>987</v>
      </c>
      <c r="H252" s="1">
        <f>SUM(H246:H251)</f>
        <v>11560</v>
      </c>
      <c r="I252" s="13" t="s">
        <v>12</v>
      </c>
      <c r="N252" s="16"/>
      <c r="O252" s="1"/>
      <c r="P252" s="1"/>
    </row>
    <row r="253" spans="1:41" x14ac:dyDescent="0.3">
      <c r="A253" s="1" t="s">
        <v>321</v>
      </c>
      <c r="B253" s="1" t="s">
        <v>2</v>
      </c>
      <c r="C253" s="10">
        <f>C247/C252</f>
        <v>1</v>
      </c>
      <c r="D253" s="10">
        <f>D248/D252</f>
        <v>0.70693512304250561</v>
      </c>
      <c r="E253" s="10">
        <f>E249/E252</f>
        <v>0.97171106838780552</v>
      </c>
      <c r="F253" s="10">
        <f>F250/F252</f>
        <v>0.91450676982591872</v>
      </c>
      <c r="G253" s="10">
        <f>G251/G252</f>
        <v>0.80749746707193515</v>
      </c>
      <c r="H253" s="10"/>
      <c r="I253" s="14">
        <f>(C247+D248+E249+F250+G251)/H252</f>
        <v>0.93529411764705883</v>
      </c>
      <c r="AN253" s="78"/>
      <c r="AO253" s="78"/>
    </row>
    <row r="254" spans="1:41" x14ac:dyDescent="0.3">
      <c r="B254" s="1" t="s">
        <v>14</v>
      </c>
      <c r="C254" s="11">
        <f>1-C253</f>
        <v>0</v>
      </c>
      <c r="D254" s="11">
        <f>1-D253</f>
        <v>0.29306487695749439</v>
      </c>
      <c r="E254" s="11">
        <f>1-E253</f>
        <v>2.8288931612194479E-2</v>
      </c>
      <c r="F254" s="11">
        <f>1-F253</f>
        <v>8.5493230174081281E-2</v>
      </c>
      <c r="G254" s="11">
        <f>1-G253</f>
        <v>0.19250253292806485</v>
      </c>
    </row>
    <row r="255" spans="1:41" x14ac:dyDescent="0.3">
      <c r="C255" s="2"/>
      <c r="AN255" s="78"/>
      <c r="AO255" s="78"/>
    </row>
    <row r="256" spans="1:41" ht="15.6" x14ac:dyDescent="0.35">
      <c r="A256" t="s">
        <v>322</v>
      </c>
      <c r="B256" s="15" t="s">
        <v>23</v>
      </c>
      <c r="N256" s="12" t="s">
        <v>17</v>
      </c>
      <c r="O256" s="1" t="s">
        <v>27</v>
      </c>
      <c r="P256" s="1" t="s">
        <v>33</v>
      </c>
    </row>
    <row r="257" spans="1:41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N257" s="78"/>
      <c r="AO257" s="78"/>
    </row>
    <row r="258" spans="1:41" x14ac:dyDescent="0.3">
      <c r="A258" t="s">
        <v>3</v>
      </c>
      <c r="B258" s="13">
        <v>0</v>
      </c>
      <c r="C258" s="29">
        <f>(C247/$L258)*$O258</f>
        <v>1.445412788625807</v>
      </c>
      <c r="D258" s="31">
        <f>(D247/$L258)*$O258</f>
        <v>0</v>
      </c>
      <c r="E258" s="31">
        <f>(E247/$L258)*$O258</f>
        <v>0</v>
      </c>
      <c r="F258" s="31">
        <f>(F247/$L258)*$O258</f>
        <v>0</v>
      </c>
      <c r="G258" s="32">
        <f>(G247/$L258)*$O258</f>
        <v>0</v>
      </c>
      <c r="H258" s="17">
        <f>SUM(C258:G258)</f>
        <v>1.445412788625807</v>
      </c>
      <c r="I258" s="17">
        <f>C258/H258*100</f>
        <v>100</v>
      </c>
      <c r="J258" s="17">
        <f>SQRT(I258*(100-I258)/(L258-1))</f>
        <v>0</v>
      </c>
      <c r="K258" s="18">
        <f>100-I258</f>
        <v>0</v>
      </c>
      <c r="L258" s="1">
        <f>H247</f>
        <v>259</v>
      </c>
      <c r="M258">
        <v>0</v>
      </c>
      <c r="N258" s="1">
        <v>2638.45</v>
      </c>
      <c r="O258" s="17">
        <f>N258/N263*100</f>
        <v>1.445412788625807</v>
      </c>
      <c r="P258" s="52">
        <f>((O258*O258*(I258/100)*(K258/100))/(L258-1))</f>
        <v>0</v>
      </c>
    </row>
    <row r="259" spans="1:41" x14ac:dyDescent="0.3">
      <c r="A259" t="s">
        <v>4</v>
      </c>
      <c r="B259" s="13">
        <v>1</v>
      </c>
      <c r="C259" s="33">
        <f t="shared" ref="C259:G262" si="38">(C248/$L259)*$O259</f>
        <v>0</v>
      </c>
      <c r="D259" s="34">
        <f t="shared" si="38"/>
        <v>4.6853513296369735</v>
      </c>
      <c r="E259" s="19">
        <f t="shared" si="38"/>
        <v>0.34102240690395691</v>
      </c>
      <c r="F259" s="18">
        <f t="shared" si="38"/>
        <v>0</v>
      </c>
      <c r="G259" s="20">
        <f t="shared" si="38"/>
        <v>0</v>
      </c>
      <c r="H259" s="17">
        <f>SUM(C259:G259)</f>
        <v>5.0263737365409309</v>
      </c>
      <c r="I259" s="17">
        <f>D259/H259*100</f>
        <v>93.215339233038335</v>
      </c>
      <c r="J259" s="17">
        <f>SQRT(I259*(100-I259)/(L259-1))</f>
        <v>1.3678844450285044</v>
      </c>
      <c r="K259" s="18">
        <f>100-I259</f>
        <v>6.7846607669616645</v>
      </c>
      <c r="L259" s="1">
        <f>H248</f>
        <v>339</v>
      </c>
      <c r="M259">
        <v>1</v>
      </c>
      <c r="N259" s="1">
        <v>9175.1200000000008</v>
      </c>
      <c r="O259" s="17">
        <f>N259/N263*100</f>
        <v>5.02637373654093</v>
      </c>
      <c r="P259" s="52">
        <f>((O259*O259*(I259/100)*(K259/100))/(L259-1))</f>
        <v>4.7272478923770945E-3</v>
      </c>
      <c r="AN259" s="78"/>
      <c r="AO259" s="78"/>
    </row>
    <row r="260" spans="1:41" x14ac:dyDescent="0.3">
      <c r="A260" t="s">
        <v>5</v>
      </c>
      <c r="B260" s="13">
        <v>2</v>
      </c>
      <c r="C260" s="33">
        <f t="shared" si="38"/>
        <v>0</v>
      </c>
      <c r="D260" s="19">
        <f t="shared" si="38"/>
        <v>0.97483569856041563</v>
      </c>
      <c r="E260" s="34">
        <f t="shared" si="38"/>
        <v>54.314467740263794</v>
      </c>
      <c r="F260" s="19">
        <f t="shared" si="38"/>
        <v>0.92110459706495962</v>
      </c>
      <c r="G260" s="20">
        <f t="shared" si="38"/>
        <v>0.58336624480780774</v>
      </c>
      <c r="H260" s="17">
        <f>SUM(C260:G260)</f>
        <v>56.793774280696979</v>
      </c>
      <c r="I260" s="17">
        <f>E260/H260*100</f>
        <v>95.634545208812</v>
      </c>
      <c r="J260" s="17">
        <f>SQRT(I260*(100-I260)/(L260-1))</f>
        <v>0.23755544125593489</v>
      </c>
      <c r="K260" s="18">
        <f>100-I260</f>
        <v>4.3654547911880002</v>
      </c>
      <c r="L260" s="1">
        <f>H249</f>
        <v>7399</v>
      </c>
      <c r="M260">
        <v>2</v>
      </c>
      <c r="N260" s="1">
        <v>103671.1</v>
      </c>
      <c r="O260" s="17">
        <f>N260/N263*100</f>
        <v>56.793774280696972</v>
      </c>
      <c r="P260" s="52">
        <f>((O260*O260*(I260/100)*(K260/100))/(L260-1))</f>
        <v>1.8202516235277535E-2</v>
      </c>
    </row>
    <row r="261" spans="1:41" x14ac:dyDescent="0.3">
      <c r="A261" t="s">
        <v>6</v>
      </c>
      <c r="B261" s="13">
        <v>3</v>
      </c>
      <c r="C261" s="33">
        <f t="shared" si="38"/>
        <v>0</v>
      </c>
      <c r="D261" s="19">
        <f t="shared" si="38"/>
        <v>3.5686894641849348E-2</v>
      </c>
      <c r="E261" s="19">
        <f t="shared" si="38"/>
        <v>1.0795285629159428</v>
      </c>
      <c r="F261" s="34">
        <f t="shared" si="38"/>
        <v>21.090954733332964</v>
      </c>
      <c r="G261" s="20">
        <f t="shared" si="38"/>
        <v>1.0170764972927064</v>
      </c>
      <c r="H261" s="17">
        <f>SUM(C261:G261)</f>
        <v>23.223246688183462</v>
      </c>
      <c r="I261" s="17">
        <f>F261/H261*100</f>
        <v>90.818286592393392</v>
      </c>
      <c r="J261" s="17">
        <f>SQRT(I261*(100-I261)/(L261-1))</f>
        <v>0.56610223871796372</v>
      </c>
      <c r="K261" s="18">
        <f>100-I261</f>
        <v>9.1817134076066083</v>
      </c>
      <c r="L261" s="1">
        <f>H250</f>
        <v>2603</v>
      </c>
      <c r="M261">
        <v>3</v>
      </c>
      <c r="N261" s="1">
        <v>42391.61</v>
      </c>
      <c r="O261" s="17">
        <f>N261/N263*100</f>
        <v>23.223246688183462</v>
      </c>
      <c r="P261" s="52">
        <f>((O261*O261*(I261/100)*(K261/100))/(L261-1))</f>
        <v>1.7283656071484212E-2</v>
      </c>
      <c r="AN261" s="78"/>
      <c r="AO261" s="78"/>
    </row>
    <row r="262" spans="1:41" x14ac:dyDescent="0.3">
      <c r="A262" t="s">
        <v>7</v>
      </c>
      <c r="B262" s="13">
        <v>4</v>
      </c>
      <c r="C262" s="35">
        <f t="shared" si="38"/>
        <v>0</v>
      </c>
      <c r="D262" s="36">
        <f t="shared" si="38"/>
        <v>0</v>
      </c>
      <c r="E262" s="21">
        <f t="shared" si="38"/>
        <v>0.87259784934278628</v>
      </c>
      <c r="F262" s="21">
        <f t="shared" si="38"/>
        <v>1.4214900448971195</v>
      </c>
      <c r="G262" s="37">
        <f t="shared" si="38"/>
        <v>11.217104611712912</v>
      </c>
      <c r="H262" s="17">
        <f>SUM(C262:G262)</f>
        <v>13.511192505952819</v>
      </c>
      <c r="I262" s="17">
        <f>G262/H262*100</f>
        <v>83.020833333333329</v>
      </c>
      <c r="J262" s="17">
        <f>SQRT(I262*(100-I262)/(L262-1))</f>
        <v>1.2123902252844154</v>
      </c>
      <c r="K262" s="18">
        <f>100-I262</f>
        <v>16.979166666666671</v>
      </c>
      <c r="L262" s="1">
        <f>H251</f>
        <v>960</v>
      </c>
      <c r="M262">
        <v>4</v>
      </c>
      <c r="N262" s="1">
        <v>24663.27</v>
      </c>
      <c r="O262" s="17">
        <f>N262/N263*100</f>
        <v>13.511192505952819</v>
      </c>
      <c r="P262" s="52">
        <f>((O262*O262*(I262/100)*(K262/100))/(L262-1))</f>
        <v>2.6833184461056536E-2</v>
      </c>
    </row>
    <row r="263" spans="1:41" x14ac:dyDescent="0.3">
      <c r="B263" t="s">
        <v>28</v>
      </c>
      <c r="C263" s="17">
        <f>SUM(C258:C262)</f>
        <v>1.445412788625807</v>
      </c>
      <c r="D263" s="17">
        <f>SUM(D258:D262)</f>
        <v>5.6958739228392385</v>
      </c>
      <c r="E263" s="17">
        <f>SUM(E258:E262)</f>
        <v>56.607616559426482</v>
      </c>
      <c r="F263" s="17">
        <f>SUM(F258:F262)</f>
        <v>23.433549375295044</v>
      </c>
      <c r="G263" s="17">
        <f>SUM(G258:G262)</f>
        <v>12.817547353813426</v>
      </c>
      <c r="H263" s="1">
        <f>SUM(H257:H262)</f>
        <v>100</v>
      </c>
      <c r="I263" s="13" t="s">
        <v>24</v>
      </c>
      <c r="J263" s="12" t="s">
        <v>29</v>
      </c>
      <c r="N263" s="1">
        <f>SUM(N258:N262)</f>
        <v>182539.55000000002</v>
      </c>
      <c r="O263" s="17">
        <f>SUM(O258:O262)</f>
        <v>99.999999999999986</v>
      </c>
      <c r="AM263" s="78"/>
      <c r="AN263" s="78"/>
      <c r="AO263" s="78"/>
    </row>
    <row r="264" spans="1:41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0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0.11129006850901919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0.2087698139700217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0.2052658710424444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0.19978426725102474</v>
      </c>
      <c r="H264" s="1"/>
      <c r="I264" s="56">
        <f>(C258+D259+E260+F261+G262)/H263</f>
        <v>0.92753291203572463</v>
      </c>
      <c r="J264" s="53">
        <f>SQRT(SUM(P258:P262))/100</f>
        <v>2.5893359121634913E-3</v>
      </c>
      <c r="M264" s="1"/>
      <c r="N264" s="9"/>
    </row>
    <row r="265" spans="1:41" x14ac:dyDescent="0.3">
      <c r="B265" s="1" t="s">
        <v>30</v>
      </c>
      <c r="C265" s="17">
        <f>C258/C263*100</f>
        <v>100</v>
      </c>
      <c r="D265" s="17">
        <f>D259/D263*100</f>
        <v>82.25869099471663</v>
      </c>
      <c r="E265" s="17">
        <f>E260/E263*100</f>
        <v>95.949045449113115</v>
      </c>
      <c r="F265" s="17">
        <f>F261/F263*100</f>
        <v>90.003244474642955</v>
      </c>
      <c r="G265" s="17">
        <f>G262/G263*100</f>
        <v>87.513658440868909</v>
      </c>
      <c r="H265" s="1"/>
      <c r="AM265" s="78"/>
      <c r="AN265" s="78"/>
      <c r="AO265" s="78"/>
    </row>
    <row r="266" spans="1:41" x14ac:dyDescent="0.3">
      <c r="B266" s="16" t="s">
        <v>39</v>
      </c>
      <c r="C266" s="18">
        <f>SQRT((C269+C270)/(C263*C263))</f>
        <v>0</v>
      </c>
      <c r="D266" s="18">
        <f>SQRT((D269+D270)/(D263*D263))</f>
        <v>2.4872974367577529</v>
      </c>
      <c r="E266" s="18">
        <f>SQRT((E269+E270)/(E263*E263))</f>
        <v>0.28694274149767712</v>
      </c>
      <c r="F266" s="18">
        <f>SQRT((F269+F270)/(F263*F263))</f>
        <v>0.8255378896649701</v>
      </c>
      <c r="G266" s="18">
        <f>SQRT((G269+G270)/(G263*G263))</f>
        <v>1.7769906594114568</v>
      </c>
      <c r="H266" s="1"/>
    </row>
    <row r="267" spans="1:41" x14ac:dyDescent="0.3">
      <c r="B267" s="1" t="s">
        <v>37</v>
      </c>
      <c r="C267" s="18">
        <f>100-C265</f>
        <v>0</v>
      </c>
      <c r="D267" s="18">
        <f>100-D265</f>
        <v>17.74130900528337</v>
      </c>
      <c r="E267" s="18">
        <f>100-E265</f>
        <v>4.0509545508868854</v>
      </c>
      <c r="F267" s="18">
        <f>100-F265</f>
        <v>9.9967555253570453</v>
      </c>
      <c r="G267" s="18">
        <f>100-G265</f>
        <v>12.486341559131091</v>
      </c>
      <c r="AM267" s="78"/>
      <c r="AN267" s="78"/>
      <c r="AO267" s="78"/>
    </row>
    <row r="268" spans="1:41" ht="15.6" x14ac:dyDescent="0.35">
      <c r="B268" s="1" t="s">
        <v>25</v>
      </c>
      <c r="C268" s="1">
        <f>C252</f>
        <v>259</v>
      </c>
      <c r="D268" s="1">
        <f>D252</f>
        <v>447</v>
      </c>
      <c r="E268" s="1">
        <f>E252</f>
        <v>7282</v>
      </c>
      <c r="F268" s="1">
        <f>F252</f>
        <v>2585</v>
      </c>
      <c r="G268" s="1">
        <f>G252</f>
        <v>987</v>
      </c>
    </row>
    <row r="269" spans="1:41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148.79203968878952</v>
      </c>
      <c r="E269" s="18">
        <f>(O260*O260*(100-E265)*(100-E265)*(I260)*(100-I260))/((L260-1)*100)</f>
        <v>29.870752848160809</v>
      </c>
      <c r="F269" s="18">
        <f>(O261*O261*(100-F265)*(100-F265)*(I261)*(100-I261))/((L261-1)*100)</f>
        <v>172.72442614095971</v>
      </c>
      <c r="G269" s="18">
        <f>(O262*O262*(100-G265)*(100-G265)*(I262)*(100-I262))/((L262-1)*100)</f>
        <v>418.3527591269185</v>
      </c>
      <c r="AM269" s="78"/>
      <c r="AN269" s="78"/>
      <c r="AO269" s="78"/>
    </row>
    <row r="270" spans="1:41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51.921273547489761</v>
      </c>
      <c r="E270" s="18">
        <f>E265*E265*(SUM((H258*E258*(1-E247/H247))/(H247-1),(H259*E259*(1-E248/H248))/(H248-1), (H261*E261*(1-E250/H250))/(H250-1),(H262*E262*(1-E251/H251))/(H251-1)))</f>
        <v>233.96899641654207</v>
      </c>
      <c r="F270" s="18">
        <f>F265*F265*(SUM((H258*F258*(1-F247/H247))/(H247-1),(H259*F259*(1-F248/H248))/(H248-1), (H260*F260*(1-F249/H249))/(H249-1),(H262*F262*(1-F251/H251))/(H251-1)))</f>
        <v>201.51554428749023</v>
      </c>
      <c r="G270" s="18">
        <f>G265*G265*(SUM((H258*G258*(1-G247/H247))/(H247-1),(H259*G259*(1-G248/H248))/(H248-1), (H260*G260*(1-G249/H249))/(H249-1),(H261*G261*(1-G250/H250))/(H250-1)))</f>
        <v>100.42356928650572</v>
      </c>
    </row>
    <row r="271" spans="1:41" x14ac:dyDescent="0.3">
      <c r="AM271" s="78"/>
      <c r="AN271" s="78"/>
      <c r="AO271" s="78"/>
    </row>
    <row r="272" spans="1:41" x14ac:dyDescent="0.3">
      <c r="T272" s="2"/>
    </row>
    <row r="273" spans="1:41" x14ac:dyDescent="0.3">
      <c r="A273" s="361" t="s">
        <v>405</v>
      </c>
      <c r="B273" s="361"/>
      <c r="C273" s="361"/>
      <c r="D273" s="361"/>
      <c r="E273" s="361"/>
      <c r="F273" s="361"/>
      <c r="G273" s="361"/>
      <c r="H273" s="361"/>
      <c r="I273" s="361"/>
      <c r="J273" s="361"/>
      <c r="K273" s="361"/>
      <c r="L273" s="361" t="s">
        <v>87</v>
      </c>
      <c r="M273" s="361"/>
      <c r="N273" s="361"/>
      <c r="O273" s="361"/>
      <c r="P273" s="361"/>
      <c r="AM273" s="78"/>
      <c r="AN273" s="78"/>
      <c r="AO273" s="78"/>
    </row>
    <row r="274" spans="1:41" ht="15" thickBot="1" x14ac:dyDescent="0.35">
      <c r="A274" t="s">
        <v>320</v>
      </c>
      <c r="B274" t="s">
        <v>21</v>
      </c>
      <c r="I274" s="1" t="s">
        <v>58</v>
      </c>
      <c r="O274" s="143"/>
      <c r="P274" s="143"/>
      <c r="R274" s="59" t="s">
        <v>78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77</v>
      </c>
      <c r="AA274" s="12" t="s">
        <v>29</v>
      </c>
    </row>
    <row r="275" spans="1:41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56</v>
      </c>
      <c r="O275" s="13"/>
      <c r="P275" s="13"/>
      <c r="S275" t="s">
        <v>28</v>
      </c>
      <c r="T275" s="57">
        <f t="shared" ref="T275:X276" si="39">AVERAGE(T16,T26,T36,T46,T56)</f>
        <v>1.4356337539727555</v>
      </c>
      <c r="U275" s="57">
        <f t="shared" si="39"/>
        <v>6.019875361270886</v>
      </c>
      <c r="V275" s="57">
        <f t="shared" si="39"/>
        <v>56.405945147963436</v>
      </c>
      <c r="W275" s="57">
        <f t="shared" si="39"/>
        <v>23.337386340417538</v>
      </c>
      <c r="X275" s="57">
        <f t="shared" si="39"/>
        <v>12.801159396375391</v>
      </c>
      <c r="Z275" s="14">
        <f>AVERAGE(AE16,AE17,AE18,AE19,AE20)</f>
        <v>0.92685736552588804</v>
      </c>
      <c r="AA275" s="72">
        <f>AVERAGE(AF16,AF17,AF18,AF19,AF20)</f>
        <v>2.5919096081349863E-3</v>
      </c>
      <c r="AM275" s="78"/>
      <c r="AN275" s="78"/>
      <c r="AO275" s="78"/>
    </row>
    <row r="276" spans="1:41" x14ac:dyDescent="0.3">
      <c r="A276" t="s">
        <v>3</v>
      </c>
      <c r="B276" s="13">
        <v>0</v>
      </c>
      <c r="C276" s="26">
        <v>259</v>
      </c>
      <c r="D276" s="3">
        <v>0</v>
      </c>
      <c r="E276" s="3">
        <v>0</v>
      </c>
      <c r="F276" s="3">
        <v>0</v>
      </c>
      <c r="G276" s="4">
        <v>0</v>
      </c>
      <c r="H276" s="1">
        <f>SUM(C276:G276)</f>
        <v>259</v>
      </c>
      <c r="I276" s="10">
        <f>C276/H276</f>
        <v>1</v>
      </c>
      <c r="J276" s="11">
        <f>1-I276</f>
        <v>0</v>
      </c>
      <c r="K276">
        <f>H276-C281</f>
        <v>0</v>
      </c>
      <c r="N276" s="10">
        <f>2*(C282*I276)/(C282+I276)</f>
        <v>1</v>
      </c>
      <c r="O276" s="1"/>
      <c r="P276" s="1"/>
      <c r="S276" t="s">
        <v>39</v>
      </c>
      <c r="T276" s="57">
        <f t="shared" si="39"/>
        <v>5.3366956542112648E-3</v>
      </c>
      <c r="U276" s="57">
        <f t="shared" si="39"/>
        <v>0.11417513377152719</v>
      </c>
      <c r="V276" s="57">
        <f t="shared" si="39"/>
        <v>0.2083914177160418</v>
      </c>
      <c r="W276" s="57">
        <f t="shared" si="39"/>
        <v>0.20546296169528705</v>
      </c>
      <c r="X276" s="57">
        <f t="shared" si="39"/>
        <v>0.19871598060061541</v>
      </c>
    </row>
    <row r="277" spans="1:41" x14ac:dyDescent="0.3">
      <c r="A277" t="s">
        <v>4</v>
      </c>
      <c r="B277" s="13">
        <v>1</v>
      </c>
      <c r="C277" s="5">
        <v>0</v>
      </c>
      <c r="D277" s="27">
        <v>316</v>
      </c>
      <c r="E277" s="1">
        <v>23</v>
      </c>
      <c r="F277" s="1">
        <v>0</v>
      </c>
      <c r="G277" s="6">
        <v>0</v>
      </c>
      <c r="H277" s="1">
        <f>SUM(C277:G277)</f>
        <v>339</v>
      </c>
      <c r="I277" s="10">
        <f>D277/H277</f>
        <v>0.93215339233038352</v>
      </c>
      <c r="J277" s="11">
        <f>1-I277</f>
        <v>6.7846607669616477E-2</v>
      </c>
      <c r="K277">
        <f>H277-D281</f>
        <v>-125</v>
      </c>
      <c r="N277" s="10">
        <f>2*(D282*I277)/(D282+I277)</f>
        <v>0.7870485678704856</v>
      </c>
      <c r="O277" s="1"/>
      <c r="P277" s="1"/>
      <c r="S277" s="66" t="s">
        <v>65</v>
      </c>
      <c r="T277" s="67">
        <f>1.96*T276</f>
        <v>1.0459923482254078E-2</v>
      </c>
      <c r="U277" s="67">
        <f>1.96*U276</f>
        <v>0.22378326219219327</v>
      </c>
      <c r="V277" s="67">
        <f>1.96*V276</f>
        <v>0.40844717872344194</v>
      </c>
      <c r="W277" s="67">
        <f>1.96*W276</f>
        <v>0.40270740492276264</v>
      </c>
      <c r="X277" s="67">
        <f>1.96*X276</f>
        <v>0.3894833219772062</v>
      </c>
      <c r="AM277" s="78"/>
      <c r="AN277" s="78"/>
      <c r="AO277" s="78"/>
    </row>
    <row r="278" spans="1:41" x14ac:dyDescent="0.3">
      <c r="A278" t="s">
        <v>5</v>
      </c>
      <c r="B278" s="13">
        <v>2</v>
      </c>
      <c r="C278" s="5">
        <v>0</v>
      </c>
      <c r="D278" s="1">
        <v>144</v>
      </c>
      <c r="E278" s="27">
        <v>7062</v>
      </c>
      <c r="F278" s="1">
        <v>114</v>
      </c>
      <c r="G278" s="6">
        <v>79</v>
      </c>
      <c r="H278" s="1">
        <f>SUM(C278:G278)</f>
        <v>7399</v>
      </c>
      <c r="I278" s="10">
        <f>E278/H278</f>
        <v>0.95445330450060817</v>
      </c>
      <c r="J278" s="11">
        <f>1-I278</f>
        <v>4.5546695499391832E-2</v>
      </c>
      <c r="K278">
        <f>H278-E281</f>
        <v>127</v>
      </c>
      <c r="N278" s="10">
        <f>2*(E282*I278)/(E282+I278)</f>
        <v>0.96271556131143066</v>
      </c>
      <c r="O278" s="1"/>
      <c r="P278" s="1"/>
      <c r="S278" t="s">
        <v>30</v>
      </c>
      <c r="T278" s="57">
        <f t="shared" ref="T278:X279" si="40">AVERAGE(T18,T28,T38,T48,T58)</f>
        <v>99.628958206964484</v>
      </c>
      <c r="U278" s="57">
        <f t="shared" si="40"/>
        <v>80.881386237929235</v>
      </c>
      <c r="V278" s="57">
        <f t="shared" si="40"/>
        <v>96.08758587444207</v>
      </c>
      <c r="W278" s="57">
        <f t="shared" si="40"/>
        <v>89.887104752484746</v>
      </c>
      <c r="X278" s="57">
        <f t="shared" si="40"/>
        <v>87.574189133337697</v>
      </c>
    </row>
    <row r="279" spans="1:41" x14ac:dyDescent="0.3">
      <c r="A279" t="s">
        <v>6</v>
      </c>
      <c r="B279" s="13">
        <v>3</v>
      </c>
      <c r="C279" s="5">
        <v>0</v>
      </c>
      <c r="D279" s="1">
        <v>4</v>
      </c>
      <c r="E279" s="1">
        <v>131</v>
      </c>
      <c r="F279" s="27">
        <v>2368</v>
      </c>
      <c r="G279" s="6">
        <v>100</v>
      </c>
      <c r="H279" s="1">
        <f>SUM(C279:G279)</f>
        <v>2603</v>
      </c>
      <c r="I279" s="10">
        <f>F279/H279</f>
        <v>0.90971955436035346</v>
      </c>
      <c r="J279" s="11">
        <f>1-I279</f>
        <v>9.0280445639646545E-2</v>
      </c>
      <c r="K279">
        <f>H279-F281</f>
        <v>22</v>
      </c>
      <c r="N279" s="10">
        <f>2*(F282*I279)/(F282+I279)</f>
        <v>0.91358024691358031</v>
      </c>
      <c r="O279" s="1"/>
      <c r="P279" s="1"/>
      <c r="S279" t="s">
        <v>39</v>
      </c>
      <c r="T279" s="57">
        <f t="shared" si="40"/>
        <v>0.36874717516885402</v>
      </c>
      <c r="U279" s="57">
        <f t="shared" si="40"/>
        <v>2.434534350052675</v>
      </c>
      <c r="V279" s="57">
        <f t="shared" si="40"/>
        <v>0.28238569380340156</v>
      </c>
      <c r="W279" s="57">
        <f t="shared" si="40"/>
        <v>0.83326631920255867</v>
      </c>
      <c r="X279" s="57">
        <f t="shared" si="40"/>
        <v>1.7641147291220414</v>
      </c>
      <c r="AM279" s="78"/>
      <c r="AN279" s="78"/>
      <c r="AO279" s="78"/>
    </row>
    <row r="280" spans="1:41" x14ac:dyDescent="0.3">
      <c r="A280" t="s">
        <v>7</v>
      </c>
      <c r="B280" s="13">
        <v>4</v>
      </c>
      <c r="C280" s="7">
        <v>0</v>
      </c>
      <c r="D280" s="8">
        <v>0</v>
      </c>
      <c r="E280" s="8">
        <v>56</v>
      </c>
      <c r="F280" s="8">
        <v>99</v>
      </c>
      <c r="G280" s="28">
        <v>805</v>
      </c>
      <c r="H280" s="1">
        <f>SUM(C280:G280)</f>
        <v>960</v>
      </c>
      <c r="I280" s="10">
        <f>G280/H280</f>
        <v>0.83854166666666663</v>
      </c>
      <c r="J280" s="11">
        <f>1-I280</f>
        <v>0.16145833333333337</v>
      </c>
      <c r="K280">
        <f>H280-G281</f>
        <v>-24</v>
      </c>
      <c r="N280" s="10">
        <f>2*(G282*I280)/(G282+I280)</f>
        <v>0.8281893004115225</v>
      </c>
      <c r="O280" s="1"/>
      <c r="P280" s="1"/>
      <c r="S280" s="66" t="s">
        <v>65</v>
      </c>
      <c r="T280" s="67">
        <f>1.96*T279</f>
        <v>0.72274446333095388</v>
      </c>
      <c r="U280" s="67">
        <f>1.96*U279</f>
        <v>4.7716873261032431</v>
      </c>
      <c r="V280" s="67">
        <f>1.96*V279</f>
        <v>0.55347595985466702</v>
      </c>
      <c r="W280" s="67">
        <f>1.96*W279</f>
        <v>1.633201985637015</v>
      </c>
      <c r="X280" s="67">
        <f>1.96*X279</f>
        <v>3.4576648690792009</v>
      </c>
    </row>
    <row r="281" spans="1:41" ht="15.6" x14ac:dyDescent="0.35">
      <c r="B281" s="1" t="s">
        <v>19</v>
      </c>
      <c r="C281" s="1">
        <f>SUM(C276:C280)</f>
        <v>259</v>
      </c>
      <c r="D281" s="1">
        <f>SUM(D276:D280)</f>
        <v>464</v>
      </c>
      <c r="E281" s="1">
        <f>SUM(E276:E280)</f>
        <v>7272</v>
      </c>
      <c r="F281" s="1">
        <f>SUM(F276:F280)</f>
        <v>2581</v>
      </c>
      <c r="G281" s="1">
        <f>SUM(G276:G280)</f>
        <v>984</v>
      </c>
      <c r="H281" s="1">
        <f>SUM(H275:H280)</f>
        <v>11560</v>
      </c>
      <c r="I281" s="13" t="s">
        <v>12</v>
      </c>
      <c r="N281" s="16"/>
      <c r="O281" s="1"/>
      <c r="P281" s="1"/>
      <c r="S281" t="s">
        <v>31</v>
      </c>
      <c r="T281" s="57">
        <f t="shared" ref="T281:X282" si="41">AVERAGE(T20,T30,T40,T50,T60)</f>
        <v>100</v>
      </c>
      <c r="U281" s="57">
        <f t="shared" si="41"/>
        <v>94.159292035398224</v>
      </c>
      <c r="V281" s="57">
        <f t="shared" si="41"/>
        <v>95.399378294364098</v>
      </c>
      <c r="W281" s="57">
        <f t="shared" si="41"/>
        <v>90.795236265847095</v>
      </c>
      <c r="X281" s="57">
        <f t="shared" si="41"/>
        <v>83.145833333333343</v>
      </c>
      <c r="AM281" s="78"/>
      <c r="AN281" s="78"/>
      <c r="AO281" s="78"/>
    </row>
    <row r="282" spans="1:41" x14ac:dyDescent="0.3">
      <c r="A282" s="1" t="s">
        <v>321</v>
      </c>
      <c r="B282" s="1" t="s">
        <v>2</v>
      </c>
      <c r="C282" s="10">
        <f>C276/C281</f>
        <v>1</v>
      </c>
      <c r="D282" s="10">
        <f>D277/D281</f>
        <v>0.68103448275862066</v>
      </c>
      <c r="E282" s="10">
        <f>E278/E281</f>
        <v>0.97112211221122113</v>
      </c>
      <c r="F282" s="10">
        <f>F279/F281</f>
        <v>0.91747384734598991</v>
      </c>
      <c r="G282" s="10">
        <f>G280/G281</f>
        <v>0.81808943089430897</v>
      </c>
      <c r="H282" s="10"/>
      <c r="I282" s="14">
        <f>(C276+D277+E278+F279+G280)/H281</f>
        <v>0.93512110726643594</v>
      </c>
      <c r="S282" t="s">
        <v>39</v>
      </c>
      <c r="T282" s="57">
        <f t="shared" si="41"/>
        <v>0</v>
      </c>
      <c r="U282" s="57">
        <f t="shared" si="41"/>
        <v>1.272195820941076</v>
      </c>
      <c r="V282" s="57">
        <f t="shared" si="41"/>
        <v>0.24355387837541084</v>
      </c>
      <c r="W282" s="57">
        <f t="shared" si="41"/>
        <v>0.5665893239909463</v>
      </c>
      <c r="X282" s="57">
        <f t="shared" si="41"/>
        <v>1.2085695329414523</v>
      </c>
    </row>
    <row r="283" spans="1:41" x14ac:dyDescent="0.3">
      <c r="B283" s="1" t="s">
        <v>14</v>
      </c>
      <c r="C283" s="11">
        <f>1-C282</f>
        <v>0</v>
      </c>
      <c r="D283" s="11">
        <f>1-D282</f>
        <v>0.31896551724137934</v>
      </c>
      <c r="E283" s="11">
        <f>1-E282</f>
        <v>2.8877887788778867E-2</v>
      </c>
      <c r="F283" s="11">
        <f>1-F282</f>
        <v>8.2526152654010088E-2</v>
      </c>
      <c r="G283" s="11">
        <f>1-G282</f>
        <v>0.18191056910569103</v>
      </c>
      <c r="S283" s="66" t="s">
        <v>65</v>
      </c>
      <c r="T283" s="67">
        <f>1.96*T282</f>
        <v>0</v>
      </c>
      <c r="U283" s="67">
        <f>1.96*U282</f>
        <v>2.4935038090445087</v>
      </c>
      <c r="V283" s="67">
        <f>1.96*V282</f>
        <v>0.47736560161580527</v>
      </c>
      <c r="W283" s="67">
        <f>1.96*W282</f>
        <v>1.1105150750222548</v>
      </c>
      <c r="X283" s="67">
        <f>1.96*X282</f>
        <v>2.3687962845652466</v>
      </c>
      <c r="AM283" s="78"/>
      <c r="AN283" s="78"/>
      <c r="AO283" s="78"/>
    </row>
    <row r="284" spans="1:41" x14ac:dyDescent="0.3">
      <c r="C284" s="2"/>
      <c r="S284" t="s">
        <v>56</v>
      </c>
      <c r="T284" s="57">
        <f>AVERAGE(T22,T32,T42,T52,T62)</f>
        <v>99.884393063583815</v>
      </c>
      <c r="U284" s="57">
        <f>AVERAGE(U22,U32,U42,U52,U62)</f>
        <v>79.055341468882105</v>
      </c>
      <c r="V284" s="57">
        <f>AVERAGE(V22,V32,V42,V52,V62)</f>
        <v>96.30790177305191</v>
      </c>
      <c r="W284" s="57">
        <f>AVERAGE(W22,W32,W42,W52,W62)</f>
        <v>91.116903673623099</v>
      </c>
      <c r="X284" s="57">
        <f>AVERAGE(X22,X32,X42,X52,X62)</f>
        <v>81.960132568029252</v>
      </c>
    </row>
    <row r="285" spans="1:41" ht="15.6" x14ac:dyDescent="0.35">
      <c r="A285" t="s">
        <v>322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0.10553421146534749</v>
      </c>
      <c r="U285" s="57">
        <f>_xlfn.STDEV.S(U22,U32,U42,U52,U62)</f>
        <v>0.60886887998867256</v>
      </c>
      <c r="V285" s="57">
        <f>_xlfn.STDEV.S(V22,V32,V42,V52,V62)</f>
        <v>5.8862116073863137E-2</v>
      </c>
      <c r="W285" s="57">
        <f>_xlfn.STDEV.S(W22,W32,W42,W52,W62)</f>
        <v>0.24699142196147927</v>
      </c>
      <c r="X285" s="57">
        <f>_xlfn.STDEV.S(X22,X32,X42,X52,X62)</f>
        <v>0.71313485122645603</v>
      </c>
      <c r="AM285" s="78"/>
      <c r="AN285" s="78"/>
      <c r="AO285" s="78"/>
    </row>
    <row r="286" spans="1:41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65</v>
      </c>
      <c r="T286" s="67">
        <f>1.96*T285</f>
        <v>0.20684705447208107</v>
      </c>
      <c r="U286" s="67">
        <f>1.96*U285</f>
        <v>1.1933830047777982</v>
      </c>
      <c r="V286" s="67">
        <f>1.96*V285</f>
        <v>0.11536974750477175</v>
      </c>
      <c r="W286" s="67">
        <f>1.96*W285</f>
        <v>0.48410318704449939</v>
      </c>
      <c r="X286" s="67">
        <f>1.96*X285</f>
        <v>1.3977443084038539</v>
      </c>
    </row>
    <row r="287" spans="1:41" x14ac:dyDescent="0.3">
      <c r="A287" t="s">
        <v>3</v>
      </c>
      <c r="B287" s="13">
        <v>0</v>
      </c>
      <c r="C287" s="29">
        <f>(C276/$L287)*$O287</f>
        <v>1.4323854748190188</v>
      </c>
      <c r="D287" s="31">
        <f>(D276/$L287)*$O287</f>
        <v>0</v>
      </c>
      <c r="E287" s="31">
        <f>(E276/$L287)*$O287</f>
        <v>0</v>
      </c>
      <c r="F287" s="31">
        <f>(F276/$L287)*$O287</f>
        <v>0</v>
      </c>
      <c r="G287" s="32">
        <f>(G276/$L287)*$O287</f>
        <v>0</v>
      </c>
      <c r="H287" s="17">
        <f>SUM(C287:G287)</f>
        <v>1.4323854748190188</v>
      </c>
      <c r="I287" s="17">
        <f>C287/H287*100</f>
        <v>100</v>
      </c>
      <c r="J287" s="17">
        <f>SQRT(I287*(100-I287)/(L287-1))</f>
        <v>0</v>
      </c>
      <c r="K287" s="18">
        <f>100-I287</f>
        <v>0</v>
      </c>
      <c r="L287" s="1">
        <f>H276</f>
        <v>259</v>
      </c>
      <c r="M287">
        <v>0</v>
      </c>
      <c r="N287" s="1">
        <v>2614.67</v>
      </c>
      <c r="O287" s="17">
        <f>N287/N292*100</f>
        <v>1.4323854748190188</v>
      </c>
      <c r="P287" s="52">
        <f>((O287*O287*(I287/100)*(K287/100))/(L287-1))</f>
        <v>0</v>
      </c>
      <c r="R287" s="16" t="s">
        <v>75</v>
      </c>
      <c r="S287" t="s">
        <v>9</v>
      </c>
      <c r="T287" s="57">
        <f>AVERAGE(T23,T33,T43,T53,T63)</f>
        <v>2610.8559999999998</v>
      </c>
      <c r="U287" s="57">
        <f>AVERAGE(U23,U33,U43,U53,U63)</f>
        <v>9437.641999999998</v>
      </c>
      <c r="V287" s="57">
        <f>AVERAGE(V23,V33,V43,V53,V63)</f>
        <v>103705.686</v>
      </c>
      <c r="W287" s="57">
        <f>AVERAGE(W23,W33,W43,W53,W63)</f>
        <v>42174.252</v>
      </c>
      <c r="X287" s="57">
        <f>AVERAGE(X23,X33,X43,X53,X63)</f>
        <v>24611.117999999999</v>
      </c>
      <c r="Z287" t="s">
        <v>36</v>
      </c>
      <c r="AA287" s="57">
        <f>AVERAGE(AA23,AA33,AA43,AA53,AA63)</f>
        <v>182539.554</v>
      </c>
      <c r="AM287" s="78"/>
      <c r="AN287" s="78"/>
      <c r="AO287" s="78"/>
    </row>
    <row r="288" spans="1:41" x14ac:dyDescent="0.3">
      <c r="A288" t="s">
        <v>4</v>
      </c>
      <c r="B288" s="13">
        <v>1</v>
      </c>
      <c r="C288" s="33">
        <f t="shared" ref="C288:G291" si="42">(C277/$L288)*$O288</f>
        <v>0</v>
      </c>
      <c r="D288" s="34">
        <f t="shared" si="42"/>
        <v>4.8523978780146351</v>
      </c>
      <c r="E288" s="19">
        <f t="shared" si="42"/>
        <v>0.35318085820992595</v>
      </c>
      <c r="F288" s="18">
        <f t="shared" si="42"/>
        <v>0</v>
      </c>
      <c r="G288" s="20">
        <f t="shared" si="42"/>
        <v>0</v>
      </c>
      <c r="H288" s="17">
        <f>SUM(C288:G288)</f>
        <v>5.2055787362245614</v>
      </c>
      <c r="I288" s="17">
        <f>D288/H288*100</f>
        <v>93.215339233038335</v>
      </c>
      <c r="J288" s="17">
        <f>SQRT(I288*(100-I288)/(L288-1))</f>
        <v>1.3678844450285044</v>
      </c>
      <c r="K288" s="18">
        <f>100-I288</f>
        <v>6.7846607669616645</v>
      </c>
      <c r="L288" s="1">
        <f>H277</f>
        <v>339</v>
      </c>
      <c r="M288">
        <v>1</v>
      </c>
      <c r="N288" s="1">
        <v>9502.24</v>
      </c>
      <c r="O288" s="17">
        <f>N288/N292*100</f>
        <v>5.2055787362245605</v>
      </c>
      <c r="P288" s="52">
        <f>((O288*O288*(I288/100)*(K288/100))/(L288-1))</f>
        <v>5.0703374169622333E-3</v>
      </c>
      <c r="S288" t="s">
        <v>29</v>
      </c>
      <c r="T288" s="57">
        <f>_xlfn.STDEV.S(T23,T33,T43,T53,T63)</f>
        <v>20.09564704108827</v>
      </c>
      <c r="U288" s="57">
        <f>_xlfn.STDEV.S(U23,U33,U43,U53,U63)</f>
        <v>198.69359758180414</v>
      </c>
      <c r="V288" s="57">
        <f>_xlfn.STDEV.S(V23,V33,V43,V53,V63)</f>
        <v>335.27342584821463</v>
      </c>
      <c r="W288" s="57">
        <f>_xlfn.STDEV.S(W23,W33,W43,W53,W63)</f>
        <v>221.81005639961469</v>
      </c>
      <c r="X288" s="57">
        <f>_xlfn.STDEV.S(X23,X33,X43,X53,X63)</f>
        <v>249.83348768729959</v>
      </c>
      <c r="Z288" t="s">
        <v>29</v>
      </c>
      <c r="AA288" s="57">
        <f>_xlfn.STDEV.S(AA23,AA33,AA43,AA53,AA63)</f>
        <v>8.9442719069404864E-3</v>
      </c>
    </row>
    <row r="289" spans="1:41" x14ac:dyDescent="0.3">
      <c r="A289" t="s">
        <v>5</v>
      </c>
      <c r="B289" s="13">
        <v>2</v>
      </c>
      <c r="C289" s="33">
        <f t="shared" si="42"/>
        <v>0</v>
      </c>
      <c r="D289" s="19">
        <f t="shared" si="42"/>
        <v>1.1118131444043622</v>
      </c>
      <c r="E289" s="34">
        <f t="shared" si="42"/>
        <v>54.525169623497256</v>
      </c>
      <c r="F289" s="19">
        <f t="shared" si="42"/>
        <v>0.88018540598678663</v>
      </c>
      <c r="G289" s="20">
        <f t="shared" si="42"/>
        <v>0.60995304449961529</v>
      </c>
      <c r="H289" s="17">
        <f>SUM(C289:G289)</f>
        <v>57.127121218388019</v>
      </c>
      <c r="I289" s="17">
        <f>E289/H289*100</f>
        <v>95.445330450060823</v>
      </c>
      <c r="J289" s="17">
        <f>SQRT(I289*(100-I289)/(L289-1))</f>
        <v>0.24240893092557672</v>
      </c>
      <c r="K289" s="18">
        <f>100-I289</f>
        <v>4.5546695499391774</v>
      </c>
      <c r="L289" s="1">
        <f>H278</f>
        <v>7399</v>
      </c>
      <c r="M289">
        <v>2</v>
      </c>
      <c r="N289" s="1">
        <v>104279.59</v>
      </c>
      <c r="O289" s="17">
        <f>N289/N292*100</f>
        <v>57.127121218388019</v>
      </c>
      <c r="P289" s="52">
        <f>((O289*O289*(I289/100)*(K289/100))/(L289-1))</f>
        <v>1.9177054888287109E-2</v>
      </c>
      <c r="S289" t="s">
        <v>65</v>
      </c>
      <c r="T289" s="57">
        <f>1.96*T288</f>
        <v>39.387468200533007</v>
      </c>
      <c r="U289" s="57">
        <f>1.96*U288</f>
        <v>389.43945126033611</v>
      </c>
      <c r="V289" s="57">
        <f>1.96*V288</f>
        <v>657.13591466250068</v>
      </c>
      <c r="W289" s="57">
        <f>1.96*W288</f>
        <v>434.74771054324481</v>
      </c>
      <c r="X289" s="57">
        <f>1.96*X288</f>
        <v>489.67363586710718</v>
      </c>
      <c r="AM289" s="78"/>
      <c r="AN289" s="78"/>
      <c r="AO289" s="78"/>
    </row>
    <row r="290" spans="1:41" x14ac:dyDescent="0.3">
      <c r="A290" t="s">
        <v>6</v>
      </c>
      <c r="B290" s="13">
        <v>3</v>
      </c>
      <c r="C290" s="33">
        <f t="shared" si="42"/>
        <v>0</v>
      </c>
      <c r="D290" s="19">
        <f t="shared" si="42"/>
        <v>3.5462603577192268E-2</v>
      </c>
      <c r="E290" s="19">
        <f t="shared" si="42"/>
        <v>1.1614002671530468</v>
      </c>
      <c r="F290" s="34">
        <f t="shared" si="42"/>
        <v>20.993861317697824</v>
      </c>
      <c r="G290" s="20">
        <f t="shared" si="42"/>
        <v>0.88656508942980672</v>
      </c>
      <c r="H290" s="17">
        <f>SUM(C290:G290)</f>
        <v>23.077289277857872</v>
      </c>
      <c r="I290" s="17">
        <f>F290/H290*100</f>
        <v>90.97195543603533</v>
      </c>
      <c r="J290" s="17">
        <f>SQRT(I290*(100-I290)/(L290-1))</f>
        <v>0.56181970314527974</v>
      </c>
      <c r="K290" s="18">
        <f>100-I290</f>
        <v>9.02804456396467</v>
      </c>
      <c r="L290" s="1">
        <f>H279</f>
        <v>2603</v>
      </c>
      <c r="M290">
        <v>3</v>
      </c>
      <c r="N290" s="1">
        <v>42125.18</v>
      </c>
      <c r="O290" s="17">
        <f>N290/N292*100</f>
        <v>23.077289277857869</v>
      </c>
      <c r="P290" s="52">
        <f>((O290*O290*(I290/100)*(K290/100))/(L290-1))</f>
        <v>1.6809837686784831E-2</v>
      </c>
      <c r="R290" s="16" t="s">
        <v>74</v>
      </c>
      <c r="S290" t="s">
        <v>9</v>
      </c>
      <c r="T290" s="57">
        <f>AVERAGE(T24,T34,T44,T54,T64)</f>
        <v>2620.5994521705729</v>
      </c>
      <c r="U290" s="57">
        <f>AVERAGE(U24,U34,U44,U54,U64)</f>
        <v>10988.653631313209</v>
      </c>
      <c r="V290" s="57">
        <f>AVERAGE(V24,V34,V44,V54,V64)</f>
        <v>102963.1607054522</v>
      </c>
      <c r="W290" s="57">
        <f>AVERAGE(W24,W34,W44,W54,W64)</f>
        <v>42599.9609382704</v>
      </c>
      <c r="X290" s="57">
        <f>AVERAGE(X24,X34,X44,X54,X64)</f>
        <v>23367.179272793619</v>
      </c>
      <c r="Z290" t="s">
        <v>36</v>
      </c>
      <c r="AA290" s="24">
        <f>SUM(T290:X290)</f>
        <v>182539.554</v>
      </c>
    </row>
    <row r="291" spans="1:41" x14ac:dyDescent="0.3">
      <c r="A291" t="s">
        <v>7</v>
      </c>
      <c r="B291" s="13">
        <v>4</v>
      </c>
      <c r="C291" s="35">
        <f t="shared" si="42"/>
        <v>0</v>
      </c>
      <c r="D291" s="36">
        <f t="shared" si="42"/>
        <v>0</v>
      </c>
      <c r="E291" s="21">
        <f t="shared" si="42"/>
        <v>0.76752814207478148</v>
      </c>
      <c r="F291" s="21">
        <f t="shared" si="42"/>
        <v>1.3568801083107744</v>
      </c>
      <c r="G291" s="37">
        <f t="shared" si="42"/>
        <v>11.033217042324983</v>
      </c>
      <c r="H291" s="17">
        <f>SUM(C291:G291)</f>
        <v>13.157625292710538</v>
      </c>
      <c r="I291" s="17">
        <f>G291/H291*100</f>
        <v>83.854166666666671</v>
      </c>
      <c r="J291" s="17">
        <f>SQRT(I291*(100-I291)/(L291-1))</f>
        <v>1.1881827763506001</v>
      </c>
      <c r="K291" s="18">
        <f>100-I291</f>
        <v>16.145833333333329</v>
      </c>
      <c r="L291" s="1">
        <f>H280</f>
        <v>960</v>
      </c>
      <c r="M291">
        <v>4</v>
      </c>
      <c r="N291" s="1">
        <v>24017.87</v>
      </c>
      <c r="O291" s="17">
        <f>N291/N292*100</f>
        <v>13.15762529271054</v>
      </c>
      <c r="P291" s="52">
        <f>((O291*O291*(I291/100)*(K291/100))/(L291-1))</f>
        <v>2.4441144226287501E-2</v>
      </c>
      <c r="S291" t="s">
        <v>29</v>
      </c>
      <c r="T291" s="57">
        <f>_xlfn.STDEV.S(T24,T34,T44,T54,T64)</f>
        <v>21.380011669366301</v>
      </c>
      <c r="U291" s="57">
        <f>_xlfn.STDEV.S(U24,U34,U44,U54,U64)</f>
        <v>306.6540221675919</v>
      </c>
      <c r="V291" s="57">
        <f>_xlfn.STDEV.S(V24,V34,V44,V54,V64)</f>
        <v>419.01882672966696</v>
      </c>
      <c r="W291" s="57">
        <f>_xlfn.STDEV.S(W24,W34,W44,W54,W64)</f>
        <v>208.802470887167</v>
      </c>
      <c r="X291" s="57">
        <f>_xlfn.STDEV.S(X24,X34,X44,X54,X64)</f>
        <v>291.74160917067655</v>
      </c>
      <c r="AM291" s="78"/>
      <c r="AN291" s="78"/>
      <c r="AO291" s="78"/>
    </row>
    <row r="292" spans="1:41" x14ac:dyDescent="0.3">
      <c r="B292" t="s">
        <v>28</v>
      </c>
      <c r="C292" s="17">
        <f>SUM(C287:C291)</f>
        <v>1.4323854748190188</v>
      </c>
      <c r="D292" s="17">
        <f>SUM(D287:D291)</f>
        <v>5.9996736259961896</v>
      </c>
      <c r="E292" s="17">
        <f>SUM(E287:E291)</f>
        <v>56.807278890935009</v>
      </c>
      <c r="F292" s="17">
        <f>SUM(F287:F291)</f>
        <v>23.230926831995387</v>
      </c>
      <c r="G292" s="17">
        <f>SUM(G287:G291)</f>
        <v>12.529735176254405</v>
      </c>
      <c r="H292" s="1">
        <f>SUM(H286:H291)</f>
        <v>100.00000000000001</v>
      </c>
      <c r="I292" s="13" t="s">
        <v>24</v>
      </c>
      <c r="J292" s="12" t="s">
        <v>29</v>
      </c>
      <c r="N292" s="1">
        <f>SUM(N287:N291)</f>
        <v>182539.55</v>
      </c>
      <c r="O292" s="17">
        <f>SUM(O287:O291)</f>
        <v>100</v>
      </c>
      <c r="S292" s="66" t="s">
        <v>65</v>
      </c>
      <c r="T292" s="67">
        <f>1.96*T291</f>
        <v>41.904822871957947</v>
      </c>
      <c r="U292" s="67">
        <f>1.96*U291</f>
        <v>601.04188344848012</v>
      </c>
      <c r="V292" s="67">
        <f>1.96*V291</f>
        <v>821.27690039014726</v>
      </c>
      <c r="W292" s="67">
        <f>1.96*W291</f>
        <v>409.25284293884732</v>
      </c>
      <c r="X292" s="67">
        <f>1.96*X291</f>
        <v>571.81355397452603</v>
      </c>
    </row>
    <row r="293" spans="1:41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0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0.11741573620111478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0.20955717600381138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0.20043425190463293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0.19139702593803851</v>
      </c>
      <c r="H293" s="1"/>
      <c r="I293" s="56">
        <f>(C287+D288+E289+F290+G291)/H292</f>
        <v>0.92837031336353704</v>
      </c>
      <c r="J293" s="53">
        <f>SQRT(SUM(P287:P291))/100</f>
        <v>2.5592650159434777E-3</v>
      </c>
      <c r="M293" s="1"/>
      <c r="N293" s="9"/>
      <c r="AM293" s="78"/>
      <c r="AN293" s="78"/>
      <c r="AO293" s="78"/>
    </row>
    <row r="294" spans="1:41" x14ac:dyDescent="0.3">
      <c r="B294" s="1" t="s">
        <v>30</v>
      </c>
      <c r="C294" s="17">
        <f>C287/C292*100</f>
        <v>100</v>
      </c>
      <c r="D294" s="17">
        <f>D288/D292*100</f>
        <v>80.877697363228478</v>
      </c>
      <c r="E294" s="17">
        <f>E289/E292*100</f>
        <v>95.982716806733166</v>
      </c>
      <c r="F294" s="17">
        <f>F290/F292*100</f>
        <v>90.370313115460775</v>
      </c>
      <c r="G294" s="17">
        <f>G291/G292*100</f>
        <v>88.05626684939412</v>
      </c>
      <c r="H294" s="1"/>
    </row>
    <row r="295" spans="1:41" x14ac:dyDescent="0.3">
      <c r="B295" s="16" t="s">
        <v>39</v>
      </c>
      <c r="C295" s="18">
        <f>SQRT((C298+C299)/(C292*C292))</f>
        <v>0</v>
      </c>
      <c r="D295" s="18">
        <f>SQRT((D298+D299)/(D292*D292))</f>
        <v>2.5956670271647417</v>
      </c>
      <c r="E295" s="18">
        <f>SQRT((E298+E299)/(E292*E292))</f>
        <v>0.28337393167583125</v>
      </c>
      <c r="F295" s="18">
        <f>SQRT((F298+F299)/(F292*F292))</f>
        <v>0.80173298730805531</v>
      </c>
      <c r="G295" s="18">
        <f>SQRT((G298+G299)/(G292*G292))</f>
        <v>1.6806008408625408</v>
      </c>
      <c r="H295" s="1"/>
      <c r="AM295" s="78"/>
      <c r="AN295" s="78"/>
      <c r="AO295" s="78"/>
    </row>
    <row r="296" spans="1:41" x14ac:dyDescent="0.3">
      <c r="B296" s="1" t="s">
        <v>37</v>
      </c>
      <c r="C296" s="18">
        <f>100-C294</f>
        <v>0</v>
      </c>
      <c r="D296" s="18">
        <f>100-D294</f>
        <v>19.122302636771522</v>
      </c>
      <c r="E296" s="18">
        <f>100-E294</f>
        <v>4.0172831932668345</v>
      </c>
      <c r="F296" s="18">
        <f>100-F294</f>
        <v>9.6296868845392254</v>
      </c>
      <c r="G296" s="18">
        <f>100-G294</f>
        <v>11.94373315060588</v>
      </c>
    </row>
    <row r="297" spans="1:41" ht="15.6" x14ac:dyDescent="0.35">
      <c r="B297" s="1" t="s">
        <v>25</v>
      </c>
      <c r="C297" s="1">
        <f>C281</f>
        <v>259</v>
      </c>
      <c r="D297" s="1">
        <f>D281</f>
        <v>464</v>
      </c>
      <c r="E297" s="1">
        <f>E281</f>
        <v>7272</v>
      </c>
      <c r="F297" s="1">
        <f>F281</f>
        <v>2581</v>
      </c>
      <c r="G297" s="1">
        <f>G281</f>
        <v>984</v>
      </c>
      <c r="AM297" s="78"/>
      <c r="AN297" s="78"/>
      <c r="AO297" s="78"/>
    </row>
    <row r="298" spans="1:41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185.40320434464809</v>
      </c>
      <c r="E298" s="18">
        <f>(O289*O289*(100-E294)*(100-E294)*(I289)*(100-I289))/((L289-1)*100)</f>
        <v>30.949013253444569</v>
      </c>
      <c r="F298" s="18">
        <f>(O290*O290*(100-F294)*(100-F294)*(I290)*(100-I290))/((L290-1)*100)</f>
        <v>155.87908647530514</v>
      </c>
      <c r="G298" s="18">
        <f>(O291*O291*(100-G294)*(100-G294)*(I291)*(100-I291))/((L291-1)*100)</f>
        <v>348.65967198810091</v>
      </c>
    </row>
    <row r="299" spans="1:41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57.119952457266983</v>
      </c>
      <c r="E299" s="18">
        <f>E294*E294*(SUM((H287*E287*(1-E276/H276))/(H276-1),(H288*E288*(1-E277/H277))/(H277-1), (H290*E290*(1-E279/H279))/(H279-1),(H291*E291*(1-E280/H280))/(H280-1)))</f>
        <v>228.18699536908707</v>
      </c>
      <c r="F299" s="18">
        <f>F294*F294*(SUM((H287*F287*(1-F276/H276))/(H276-1),(H288*F288*(1-F277/H277))/(H277-1), (H289*F289*(1-F278/H278))/(H278-1),(H291*F291*(1-F280/H280))/(H280-1)))</f>
        <v>191.01155219360183</v>
      </c>
      <c r="G299" s="18">
        <f>G294*G294*(SUM((H287*G287*(1-G276/H276))/(H276-1),(H288*G288*(1-G277/H277))/(H277-1), (H289*G289*(1-G278/H278))/(H278-1),(H290*G290*(1-G279/H279))/(H279-1)))</f>
        <v>94.757938227487585</v>
      </c>
      <c r="AM299" s="78"/>
      <c r="AN299" s="78"/>
      <c r="AO299" s="78"/>
    </row>
    <row r="301" spans="1:41" x14ac:dyDescent="0.3">
      <c r="AM301" s="78"/>
      <c r="AN301" s="78"/>
      <c r="AO301" s="78"/>
    </row>
    <row r="302" spans="1:41" x14ac:dyDescent="0.3">
      <c r="A302" s="361" t="s">
        <v>405</v>
      </c>
      <c r="B302" s="361"/>
      <c r="C302" s="361"/>
      <c r="D302" s="361"/>
      <c r="E302" s="361"/>
      <c r="F302" s="361"/>
      <c r="G302" s="361"/>
      <c r="H302" s="361"/>
      <c r="I302" s="361"/>
      <c r="J302" s="361"/>
      <c r="K302" s="361"/>
      <c r="L302" s="361" t="s">
        <v>88</v>
      </c>
      <c r="M302" s="361"/>
      <c r="N302" s="361"/>
      <c r="O302" s="361"/>
      <c r="P302" s="361"/>
    </row>
    <row r="303" spans="1:41" x14ac:dyDescent="0.3">
      <c r="A303" t="s">
        <v>320</v>
      </c>
      <c r="B303" t="s">
        <v>21</v>
      </c>
      <c r="I303" s="1" t="s">
        <v>58</v>
      </c>
      <c r="O303" s="143"/>
      <c r="P303" s="143"/>
      <c r="AM303" s="78"/>
      <c r="AN303" s="78"/>
      <c r="AO303" s="78"/>
    </row>
    <row r="304" spans="1:41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56</v>
      </c>
      <c r="O304" s="13"/>
      <c r="P304" s="13"/>
    </row>
    <row r="305" spans="1:41" x14ac:dyDescent="0.3">
      <c r="A305" t="s">
        <v>3</v>
      </c>
      <c r="B305" s="13">
        <v>0</v>
      </c>
      <c r="C305" s="26">
        <v>259</v>
      </c>
      <c r="D305" s="3">
        <v>0</v>
      </c>
      <c r="E305" s="3">
        <v>0</v>
      </c>
      <c r="F305" s="3">
        <v>0</v>
      </c>
      <c r="G305" s="4">
        <v>0</v>
      </c>
      <c r="H305" s="1">
        <f>SUM(C305:G305)</f>
        <v>259</v>
      </c>
      <c r="I305" s="10">
        <f>C305/H305</f>
        <v>1</v>
      </c>
      <c r="J305" s="11">
        <f>1-I305</f>
        <v>0</v>
      </c>
      <c r="K305">
        <f>H305-C310</f>
        <v>0</v>
      </c>
      <c r="N305" s="10">
        <f>2*(C311*I305)/(C311+I305)</f>
        <v>1</v>
      </c>
      <c r="O305" s="1"/>
      <c r="P305" s="1"/>
      <c r="AM305" s="78"/>
      <c r="AN305" s="78"/>
      <c r="AO305" s="78"/>
    </row>
    <row r="306" spans="1:41" x14ac:dyDescent="0.3">
      <c r="A306" t="s">
        <v>4</v>
      </c>
      <c r="B306" s="13">
        <v>1</v>
      </c>
      <c r="C306" s="5">
        <v>0</v>
      </c>
      <c r="D306" s="27">
        <v>323</v>
      </c>
      <c r="E306" s="1">
        <v>16</v>
      </c>
      <c r="F306" s="1">
        <v>0</v>
      </c>
      <c r="G306" s="6">
        <v>0</v>
      </c>
      <c r="H306" s="1">
        <f>SUM(C306:G306)</f>
        <v>339</v>
      </c>
      <c r="I306" s="10">
        <f>D306/H306</f>
        <v>0.9528023598820059</v>
      </c>
      <c r="J306" s="11">
        <f>1-I306</f>
        <v>4.71976401179941E-2</v>
      </c>
      <c r="K306">
        <f>H306-D310</f>
        <v>-137</v>
      </c>
      <c r="N306" s="10">
        <f>2*(D311*I306)/(D311+I306)</f>
        <v>0.79263803680981604</v>
      </c>
      <c r="O306" s="1"/>
      <c r="P306" s="1"/>
    </row>
    <row r="307" spans="1:41" x14ac:dyDescent="0.3">
      <c r="A307" t="s">
        <v>5</v>
      </c>
      <c r="B307" s="13">
        <v>2</v>
      </c>
      <c r="C307" s="5">
        <v>0</v>
      </c>
      <c r="D307" s="1">
        <v>151</v>
      </c>
      <c r="E307" s="27">
        <v>7048</v>
      </c>
      <c r="F307" s="1">
        <v>119</v>
      </c>
      <c r="G307" s="6">
        <v>81</v>
      </c>
      <c r="H307" s="1">
        <f>SUM(C307:G307)</f>
        <v>7399</v>
      </c>
      <c r="I307" s="10">
        <f>E307/H307</f>
        <v>0.9525611569130964</v>
      </c>
      <c r="J307" s="11">
        <f>1-I307</f>
        <v>4.7438843086903604E-2</v>
      </c>
      <c r="K307">
        <f>H307-E310</f>
        <v>158</v>
      </c>
      <c r="N307" s="10">
        <f>2*(E311*I307)/(E311+I307)</f>
        <v>0.96284153005464479</v>
      </c>
      <c r="O307" s="1"/>
      <c r="P307" s="1"/>
      <c r="AM307" s="78"/>
      <c r="AN307" s="78"/>
      <c r="AO307" s="78"/>
    </row>
    <row r="308" spans="1:41" x14ac:dyDescent="0.3">
      <c r="A308" t="s">
        <v>6</v>
      </c>
      <c r="B308" s="13">
        <v>3</v>
      </c>
      <c r="C308" s="5">
        <v>0</v>
      </c>
      <c r="D308" s="1">
        <v>2</v>
      </c>
      <c r="E308" s="1">
        <v>123</v>
      </c>
      <c r="F308" s="27">
        <v>2371</v>
      </c>
      <c r="G308" s="6">
        <v>107</v>
      </c>
      <c r="H308" s="1">
        <f>SUM(C308:G308)</f>
        <v>2603</v>
      </c>
      <c r="I308" s="10">
        <f>F308/H308</f>
        <v>0.91087207068766807</v>
      </c>
      <c r="J308" s="11">
        <f>1-I308</f>
        <v>8.9127929312331933E-2</v>
      </c>
      <c r="K308">
        <f>H308-F310</f>
        <v>6</v>
      </c>
      <c r="N308" s="10">
        <f>2*(F311*I308)/(F311+I308)</f>
        <v>0.91192307692307695</v>
      </c>
      <c r="O308" s="1"/>
      <c r="P308" s="1"/>
    </row>
    <row r="309" spans="1:41" x14ac:dyDescent="0.3">
      <c r="A309" t="s">
        <v>7</v>
      </c>
      <c r="B309" s="13">
        <v>4</v>
      </c>
      <c r="C309" s="7">
        <v>0</v>
      </c>
      <c r="D309" s="8">
        <v>0</v>
      </c>
      <c r="E309" s="8">
        <v>54</v>
      </c>
      <c r="F309" s="8">
        <v>107</v>
      </c>
      <c r="G309" s="28">
        <v>799</v>
      </c>
      <c r="H309" s="1">
        <f>SUM(C309:G309)</f>
        <v>960</v>
      </c>
      <c r="I309" s="10">
        <f>G309/H309</f>
        <v>0.83229166666666665</v>
      </c>
      <c r="J309" s="11">
        <f>1-I309</f>
        <v>0.16770833333333335</v>
      </c>
      <c r="K309">
        <f>H309-G310</f>
        <v>-27</v>
      </c>
      <c r="N309" s="10">
        <f>2*(G311*I309)/(G311+I309)</f>
        <v>0.82074987159732926</v>
      </c>
      <c r="O309" s="1"/>
      <c r="P309" s="1"/>
      <c r="AM309" s="78"/>
      <c r="AN309" s="78"/>
      <c r="AO309" s="78"/>
    </row>
    <row r="310" spans="1:41" ht="15.6" x14ac:dyDescent="0.35">
      <c r="B310" s="1" t="s">
        <v>19</v>
      </c>
      <c r="C310" s="1">
        <f>SUM(C305:C309)</f>
        <v>259</v>
      </c>
      <c r="D310" s="1">
        <f>SUM(D305:D309)</f>
        <v>476</v>
      </c>
      <c r="E310" s="1">
        <f>SUM(E305:E309)</f>
        <v>7241</v>
      </c>
      <c r="F310" s="1">
        <f>SUM(F305:F309)</f>
        <v>2597</v>
      </c>
      <c r="G310" s="1">
        <f>SUM(G305:G309)</f>
        <v>987</v>
      </c>
      <c r="H310" s="1">
        <f>SUM(H304:H309)</f>
        <v>11560</v>
      </c>
      <c r="I310" s="13" t="s">
        <v>12</v>
      </c>
      <c r="N310" s="16" t="s">
        <v>36</v>
      </c>
      <c r="O310" s="1"/>
      <c r="P310" s="1"/>
    </row>
    <row r="311" spans="1:41" x14ac:dyDescent="0.3">
      <c r="A311" s="1" t="s">
        <v>321</v>
      </c>
      <c r="B311" s="1" t="s">
        <v>2</v>
      </c>
      <c r="C311" s="10">
        <f>C305/C310</f>
        <v>1</v>
      </c>
      <c r="D311" s="10">
        <f>D306/D310</f>
        <v>0.6785714285714286</v>
      </c>
      <c r="E311" s="10">
        <f>E307/E310</f>
        <v>0.97334622289738981</v>
      </c>
      <c r="F311" s="10">
        <f>F308/F310</f>
        <v>0.91297651135926072</v>
      </c>
      <c r="G311" s="10">
        <f>G309/G310</f>
        <v>0.80952380952380953</v>
      </c>
      <c r="H311" s="10"/>
      <c r="I311" s="14">
        <f>(C305+D306+E307+F308+G309)/H310</f>
        <v>0.93425605536332179</v>
      </c>
      <c r="AM311" s="78"/>
      <c r="AN311" s="78"/>
      <c r="AO311" s="78"/>
    </row>
    <row r="312" spans="1:41" x14ac:dyDescent="0.3">
      <c r="B312" s="1" t="s">
        <v>14</v>
      </c>
      <c r="C312" s="11">
        <f>1-C311</f>
        <v>0</v>
      </c>
      <c r="D312" s="11">
        <f>1-D311</f>
        <v>0.3214285714285714</v>
      </c>
      <c r="E312" s="11">
        <f>1-E311</f>
        <v>2.6653777102610188E-2</v>
      </c>
      <c r="F312" s="11">
        <f>1-F311</f>
        <v>8.7023488640739277E-2</v>
      </c>
      <c r="G312" s="11">
        <f>1-G311</f>
        <v>0.19047619047619047</v>
      </c>
      <c r="Q312" s="25"/>
    </row>
    <row r="313" spans="1:41" x14ac:dyDescent="0.3">
      <c r="C313" s="2"/>
      <c r="Q313" s="25"/>
      <c r="AM313" s="78"/>
      <c r="AN313" s="78"/>
      <c r="AO313" s="78"/>
    </row>
    <row r="314" spans="1:41" ht="15.6" x14ac:dyDescent="0.35">
      <c r="A314" t="s">
        <v>322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1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  <c r="AO315" s="78"/>
    </row>
    <row r="316" spans="1:41" x14ac:dyDescent="0.3">
      <c r="A316" t="s">
        <v>3</v>
      </c>
      <c r="B316" s="13">
        <v>0</v>
      </c>
      <c r="C316" s="29">
        <f>(C305/$L316)*$O316</f>
        <v>1.4341166065107536</v>
      </c>
      <c r="D316" s="31">
        <f>(D305/$L316)*$O316</f>
        <v>0</v>
      </c>
      <c r="E316" s="31">
        <f>(E305/$L316)*$O316</f>
        <v>0</v>
      </c>
      <c r="F316" s="31">
        <f>(F305/$L316)*$O316</f>
        <v>0</v>
      </c>
      <c r="G316" s="32">
        <f>(G305/$L316)*$O316</f>
        <v>0</v>
      </c>
      <c r="H316" s="17">
        <f>SUM(C316:G316)</f>
        <v>1.4341166065107536</v>
      </c>
      <c r="I316" s="17">
        <f>C316/H316*100</f>
        <v>100</v>
      </c>
      <c r="J316" s="17">
        <f>SQRT(I316*(100-I316)/(L316-1))</f>
        <v>0</v>
      </c>
      <c r="K316" s="18">
        <f>100-I316</f>
        <v>0</v>
      </c>
      <c r="L316" s="1">
        <f>H305</f>
        <v>259</v>
      </c>
      <c r="M316">
        <v>0</v>
      </c>
      <c r="N316" s="1">
        <v>2617.83</v>
      </c>
      <c r="O316" s="17">
        <f>N316/N321*100</f>
        <v>1.4341166065107536</v>
      </c>
      <c r="P316" s="52">
        <f>((O316*O316*(I316/100)*(K316/100))/(L316-1))</f>
        <v>0</v>
      </c>
    </row>
    <row r="317" spans="1:41" x14ac:dyDescent="0.3">
      <c r="A317" t="s">
        <v>4</v>
      </c>
      <c r="B317" s="13">
        <v>1</v>
      </c>
      <c r="C317" s="33">
        <f t="shared" ref="C317:G320" si="43">(C306/$L317)*$O317</f>
        <v>0</v>
      </c>
      <c r="D317" s="34">
        <f t="shared" si="43"/>
        <v>4.8157873450836091</v>
      </c>
      <c r="E317" s="19">
        <f t="shared" si="43"/>
        <v>0.23855293350259363</v>
      </c>
      <c r="F317" s="18">
        <f t="shared" si="43"/>
        <v>0</v>
      </c>
      <c r="G317" s="20">
        <f t="shared" si="43"/>
        <v>0</v>
      </c>
      <c r="H317" s="17">
        <f>SUM(C317:G317)</f>
        <v>5.0543402785862028</v>
      </c>
      <c r="I317" s="17">
        <f>D317/H317*100</f>
        <v>95.280235988200587</v>
      </c>
      <c r="J317" s="17">
        <f>SQRT(I317*(100-I317)/(L317-1))</f>
        <v>1.153461767836518</v>
      </c>
      <c r="K317" s="18">
        <f>100-I317</f>
        <v>4.7197640117994126</v>
      </c>
      <c r="L317" s="1">
        <f>H306</f>
        <v>339</v>
      </c>
      <c r="M317">
        <v>1</v>
      </c>
      <c r="N317" s="1">
        <v>9226.17</v>
      </c>
      <c r="O317" s="17">
        <f>N317/N321*100</f>
        <v>5.0543402785862028</v>
      </c>
      <c r="P317" s="52">
        <f>((O317*O317*(I317/100)*(K317/100))/(L317-1))</f>
        <v>3.3988763263146831E-3</v>
      </c>
      <c r="AM317" s="78"/>
      <c r="AN317" s="78"/>
      <c r="AO317" s="78"/>
    </row>
    <row r="318" spans="1:41" x14ac:dyDescent="0.3">
      <c r="A318" t="s">
        <v>5</v>
      </c>
      <c r="B318" s="13">
        <v>2</v>
      </c>
      <c r="C318" s="33">
        <f t="shared" si="43"/>
        <v>0</v>
      </c>
      <c r="D318" s="19">
        <f t="shared" si="43"/>
        <v>1.1690728985380237</v>
      </c>
      <c r="E318" s="34">
        <f t="shared" si="43"/>
        <v>54.567058204609218</v>
      </c>
      <c r="F318" s="19">
        <f t="shared" si="43"/>
        <v>0.92132235050347577</v>
      </c>
      <c r="G318" s="20">
        <f t="shared" si="43"/>
        <v>0.62711857471244981</v>
      </c>
      <c r="H318" s="17">
        <f>SUM(C318:G318)</f>
        <v>57.284572028363165</v>
      </c>
      <c r="I318" s="17">
        <f>E318/H318*100</f>
        <v>95.256115691309645</v>
      </c>
      <c r="J318" s="17">
        <f>SQRT(I318*(100-I318)/(L318-1))</f>
        <v>0.24714755313726086</v>
      </c>
      <c r="K318" s="18">
        <f>100-I318</f>
        <v>4.7438843086903546</v>
      </c>
      <c r="L318" s="1">
        <f>H307</f>
        <v>7399</v>
      </c>
      <c r="M318">
        <v>2</v>
      </c>
      <c r="N318" s="1">
        <v>104567</v>
      </c>
      <c r="O318" s="17">
        <f>N318/N321*100</f>
        <v>57.284572028363165</v>
      </c>
      <c r="P318" s="52">
        <f>((O318*O318*(I318/100)*(K318/100))/(L318-1))</f>
        <v>2.0044165313951291E-2</v>
      </c>
    </row>
    <row r="319" spans="1:41" x14ac:dyDescent="0.3">
      <c r="A319" t="s">
        <v>6</v>
      </c>
      <c r="B319" s="13">
        <v>3</v>
      </c>
      <c r="C319" s="33">
        <f t="shared" si="43"/>
        <v>0</v>
      </c>
      <c r="D319" s="19">
        <f t="shared" si="43"/>
        <v>1.7421282087639257E-2</v>
      </c>
      <c r="E319" s="19">
        <f t="shared" si="43"/>
        <v>1.0714088483898143</v>
      </c>
      <c r="F319" s="34">
        <f t="shared" si="43"/>
        <v>20.65292991489634</v>
      </c>
      <c r="G319" s="20">
        <f t="shared" si="43"/>
        <v>0.93203859168870029</v>
      </c>
      <c r="H319" s="17">
        <f>SUM(C319:G319)</f>
        <v>22.673798637062497</v>
      </c>
      <c r="I319" s="17">
        <f>F319/H319*100</f>
        <v>91.087207068766801</v>
      </c>
      <c r="J319" s="17">
        <f>SQRT(I319*(100-I319)/(L319-1))</f>
        <v>0.55857559294987813</v>
      </c>
      <c r="K319" s="18">
        <f>100-I319</f>
        <v>8.9127929312331986</v>
      </c>
      <c r="L319" s="1">
        <f>H308</f>
        <v>2603</v>
      </c>
      <c r="M319">
        <v>3</v>
      </c>
      <c r="N319" s="1">
        <v>41388.65</v>
      </c>
      <c r="O319" s="17">
        <f>N319/N321*100</f>
        <v>22.673798637062493</v>
      </c>
      <c r="P319" s="52">
        <f>((O319*O319*(I319/100)*(K319/100))/(L319-1))</f>
        <v>1.6040299802499509E-2</v>
      </c>
      <c r="AM319" s="78"/>
      <c r="AN319" s="78"/>
      <c r="AO319" s="78"/>
    </row>
    <row r="320" spans="1:41" x14ac:dyDescent="0.3">
      <c r="A320" t="s">
        <v>7</v>
      </c>
      <c r="B320" s="13">
        <v>4</v>
      </c>
      <c r="C320" s="35">
        <f t="shared" si="43"/>
        <v>0</v>
      </c>
      <c r="D320" s="36">
        <f t="shared" si="43"/>
        <v>0</v>
      </c>
      <c r="E320" s="21">
        <f t="shared" si="43"/>
        <v>0.76236595028310317</v>
      </c>
      <c r="F320" s="21">
        <f t="shared" si="43"/>
        <v>1.5106140125980008</v>
      </c>
      <c r="G320" s="37">
        <f t="shared" si="43"/>
        <v>11.280192486596285</v>
      </c>
      <c r="H320" s="17">
        <f>SUM(C320:G320)</f>
        <v>13.553172449477389</v>
      </c>
      <c r="I320" s="17">
        <f>G320/H320*100</f>
        <v>83.229166666666671</v>
      </c>
      <c r="J320" s="17">
        <f>SQRT(I320*(100-I320)/(L320-1))</f>
        <v>1.2064401752225082</v>
      </c>
      <c r="K320" s="18">
        <f>100-I320</f>
        <v>16.770833333333329</v>
      </c>
      <c r="L320" s="1">
        <f>H309</f>
        <v>960</v>
      </c>
      <c r="M320">
        <v>4</v>
      </c>
      <c r="N320" s="1">
        <v>24739.9</v>
      </c>
      <c r="O320" s="17">
        <f>N320/N321*100</f>
        <v>13.553172449477389</v>
      </c>
      <c r="P320" s="52">
        <f>((O320*O320*(I320/100)*(K320/100))/(L320-1))</f>
        <v>2.673582012458324E-2</v>
      </c>
    </row>
    <row r="321" spans="1:41" x14ac:dyDescent="0.3">
      <c r="B321" t="s">
        <v>28</v>
      </c>
      <c r="C321" s="17">
        <f t="shared" ref="C321:H321" si="44">SUM(C316:C320)</f>
        <v>1.4341166065107536</v>
      </c>
      <c r="D321" s="17">
        <f t="shared" si="44"/>
        <v>6.0022815257092716</v>
      </c>
      <c r="E321" s="17">
        <f t="shared" si="44"/>
        <v>56.639385936784734</v>
      </c>
      <c r="F321" s="17">
        <f t="shared" si="44"/>
        <v>23.084866277997818</v>
      </c>
      <c r="G321" s="17">
        <f t="shared" si="44"/>
        <v>12.839349652997434</v>
      </c>
      <c r="H321" s="18">
        <f t="shared" si="44"/>
        <v>100</v>
      </c>
      <c r="I321" s="13" t="s">
        <v>24</v>
      </c>
      <c r="J321" s="12" t="s">
        <v>29</v>
      </c>
      <c r="N321" s="1">
        <f>SUM(N316:N320)</f>
        <v>182539.55</v>
      </c>
      <c r="O321" s="17">
        <f>SUM(O316:O320)</f>
        <v>100</v>
      </c>
      <c r="AM321" s="78"/>
      <c r="AN321" s="78"/>
      <c r="AO321" s="78"/>
    </row>
    <row r="322" spans="1:41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0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0.11138656689126449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0.20610566497731464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0.20494419744117567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0.19822972200067029</v>
      </c>
      <c r="H322" s="1"/>
      <c r="I322" s="14">
        <f>(C316+D317+E318+F319+G320)/H321</f>
        <v>0.927500845576962</v>
      </c>
      <c r="J322" s="53">
        <f>SQRT(SUM(P316:P320))/100</f>
        <v>2.5733084068441684E-3</v>
      </c>
      <c r="M322" s="1"/>
      <c r="N322" s="9"/>
    </row>
    <row r="323" spans="1:41" x14ac:dyDescent="0.3">
      <c r="B323" s="1" t="s">
        <v>30</v>
      </c>
      <c r="C323" s="17">
        <f>C316/C321*100</f>
        <v>100</v>
      </c>
      <c r="D323" s="17">
        <f>D317/D321*100</f>
        <v>80.23261362294302</v>
      </c>
      <c r="E323" s="17">
        <f>E318/E321*100</f>
        <v>96.341189619378213</v>
      </c>
      <c r="F323" s="17">
        <f>F319/F321*100</f>
        <v>89.465235215941647</v>
      </c>
      <c r="G323" s="17">
        <f>G320/G321*100</f>
        <v>87.856416340860747</v>
      </c>
      <c r="H323" s="1"/>
      <c r="AM323" s="78"/>
      <c r="AN323" s="78"/>
      <c r="AO323" s="78"/>
    </row>
    <row r="324" spans="1:41" x14ac:dyDescent="0.3">
      <c r="B324" s="16" t="s">
        <v>39</v>
      </c>
      <c r="C324" s="18">
        <f>SQRT((C327+C328)/(C321*C321))</f>
        <v>0</v>
      </c>
      <c r="D324" s="18">
        <f>SQRT((D327+D328)/(D321*D321))</f>
        <v>2.3017266086966033</v>
      </c>
      <c r="E324" s="18">
        <f>SQRT((E327+E328)/(E321*E321))</f>
        <v>0.27083760423829789</v>
      </c>
      <c r="F324" s="18">
        <f>SQRT((F327+F328)/(F321*F321))</f>
        <v>0.8511067358914588</v>
      </c>
      <c r="G324" s="18">
        <f>SQRT((G327+G328)/(G321*G321))</f>
        <v>1.726616920684497</v>
      </c>
      <c r="H324" s="1"/>
    </row>
    <row r="325" spans="1:41" x14ac:dyDescent="0.3">
      <c r="B325" s="1" t="s">
        <v>37</v>
      </c>
      <c r="C325" s="18">
        <f>100-C323</f>
        <v>0</v>
      </c>
      <c r="D325" s="18">
        <f>100-D323</f>
        <v>19.76738637705698</v>
      </c>
      <c r="E325" s="18">
        <f>100-E323</f>
        <v>3.6588103806217873</v>
      </c>
      <c r="F325" s="18">
        <f>100-F323</f>
        <v>10.534764784058353</v>
      </c>
      <c r="G325" s="18">
        <f>100-G323</f>
        <v>12.143583659139253</v>
      </c>
      <c r="AM325" s="78"/>
      <c r="AN325" s="78"/>
      <c r="AO325" s="78"/>
    </row>
    <row r="326" spans="1:41" ht="15.6" x14ac:dyDescent="0.35">
      <c r="B326" s="1" t="s">
        <v>25</v>
      </c>
      <c r="C326" s="1">
        <f>C310</f>
        <v>259</v>
      </c>
      <c r="D326" s="1">
        <f>D310</f>
        <v>476</v>
      </c>
      <c r="E326" s="1">
        <f>E310</f>
        <v>7241</v>
      </c>
      <c r="F326" s="1">
        <f>F310</f>
        <v>2597</v>
      </c>
      <c r="G326" s="1">
        <f>G310</f>
        <v>987</v>
      </c>
    </row>
    <row r="327" spans="1:41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132.81094432086988</v>
      </c>
      <c r="E327" s="18">
        <f>(O318*O318*(100-E323)*(100-E323)*(I318)*(100-I318))/((L318-1)*100)</f>
        <v>26.832910437681782</v>
      </c>
      <c r="F327" s="18">
        <f>(O319*O319*(100-F323)*(100-F323)*(I319)*(100-I319))/((L319-1)*100)</f>
        <v>178.01728281110553</v>
      </c>
      <c r="G327" s="18">
        <f>(O320*O320*(100-G323)*(100-G323)*(I320)*(100-I320))/((L320-1)*100)</f>
        <v>394.26411359565691</v>
      </c>
      <c r="AM327" s="78"/>
    </row>
    <row r="328" spans="1:41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58.060165762513343</v>
      </c>
      <c r="E328" s="18">
        <f>E323*E323*(SUM((H316*E316*(1-E305/H305))/(H305-1),(H317*E317*(1-E306/H306))/(H306-1), (H319*E319*(1-E308/H308))/(H308-1),(H320*E320*(1-E309/H309))/(H309-1)))</f>
        <v>208.48500875044607</v>
      </c>
      <c r="F328" s="18">
        <f>F323*F323*(SUM((H316*F316*(1-F305/H305))/(H305-1),(H317*F317*(1-F306/H306))/(H306-1), (H318*F318*(1-F307/H307))/(H307-1),(H320*F320*(1-F309/H309))/(H309-1)))</f>
        <v>208.01425037110775</v>
      </c>
      <c r="G328" s="18">
        <f>G323*G323*(SUM((H316*G316*(1-G305/H305))/(H305-1),(H317*G317*(1-G306/H306))/(H306-1), (H318*G318*(1-G307/H307))/(H307-1),(H319*G319*(1-G308/H308))/(H308-1)))</f>
        <v>97.184413205095368</v>
      </c>
    </row>
    <row r="329" spans="1:41" x14ac:dyDescent="0.3">
      <c r="AM329" s="78"/>
    </row>
    <row r="331" spans="1:41" x14ac:dyDescent="0.3">
      <c r="A331" s="361" t="s">
        <v>405</v>
      </c>
      <c r="B331" s="361"/>
      <c r="C331" s="361"/>
      <c r="D331" s="361"/>
      <c r="E331" s="361"/>
      <c r="F331" s="361"/>
      <c r="G331" s="361"/>
      <c r="H331" s="361"/>
      <c r="I331" s="361"/>
      <c r="J331" s="361"/>
      <c r="K331" s="361"/>
      <c r="L331" s="361" t="s">
        <v>89</v>
      </c>
      <c r="M331" s="361"/>
      <c r="N331" s="361"/>
      <c r="O331" s="361"/>
      <c r="P331" s="361"/>
      <c r="AM331" s="78"/>
    </row>
    <row r="332" spans="1:41" x14ac:dyDescent="0.3">
      <c r="A332" t="s">
        <v>320</v>
      </c>
      <c r="B332" t="s">
        <v>21</v>
      </c>
      <c r="I332" s="1" t="s">
        <v>58</v>
      </c>
      <c r="O332" s="143"/>
      <c r="P332" s="143"/>
    </row>
    <row r="333" spans="1:41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56</v>
      </c>
      <c r="O333" s="13"/>
      <c r="P333" s="13"/>
      <c r="AM333" s="78"/>
    </row>
    <row r="334" spans="1:41" x14ac:dyDescent="0.3">
      <c r="A334" t="s">
        <v>3</v>
      </c>
      <c r="B334" s="13">
        <v>0</v>
      </c>
      <c r="C334" s="26">
        <v>259</v>
      </c>
      <c r="D334" s="3">
        <v>0</v>
      </c>
      <c r="E334" s="3">
        <v>0</v>
      </c>
      <c r="F334" s="3">
        <v>0</v>
      </c>
      <c r="G334" s="4">
        <v>0</v>
      </c>
      <c r="H334" s="1">
        <f>SUM(C334:G334)</f>
        <v>259</v>
      </c>
      <c r="I334" s="10">
        <f>C334/H334</f>
        <v>1</v>
      </c>
      <c r="J334" s="11">
        <f>1-I334</f>
        <v>0</v>
      </c>
      <c r="K334">
        <f>H334-C339</f>
        <v>0</v>
      </c>
      <c r="N334" s="10">
        <f>2*(C340*I334)/(C340+I334)</f>
        <v>1</v>
      </c>
      <c r="O334" s="1"/>
      <c r="P334" s="1"/>
    </row>
    <row r="335" spans="1:41" x14ac:dyDescent="0.3">
      <c r="A335" t="s">
        <v>4</v>
      </c>
      <c r="B335" s="13">
        <v>1</v>
      </c>
      <c r="C335" s="5">
        <v>0</v>
      </c>
      <c r="D335" s="27">
        <v>323</v>
      </c>
      <c r="E335" s="1">
        <v>16</v>
      </c>
      <c r="F335" s="1">
        <v>0</v>
      </c>
      <c r="G335" s="6">
        <v>0</v>
      </c>
      <c r="H335" s="1">
        <f>SUM(C335:G335)</f>
        <v>339</v>
      </c>
      <c r="I335" s="10">
        <f>D335/H335</f>
        <v>0.9528023598820059</v>
      </c>
      <c r="J335" s="11">
        <f>1-I335</f>
        <v>4.71976401179941E-2</v>
      </c>
      <c r="K335">
        <f>H335-D339</f>
        <v>-137</v>
      </c>
      <c r="N335" s="10">
        <f>2*(D340*I335)/(D340+I335)</f>
        <v>0.79263803680981604</v>
      </c>
      <c r="O335" s="1"/>
      <c r="P335" s="1"/>
      <c r="AM335" s="78"/>
    </row>
    <row r="336" spans="1:41" x14ac:dyDescent="0.3">
      <c r="A336" t="s">
        <v>5</v>
      </c>
      <c r="B336" s="13">
        <v>2</v>
      </c>
      <c r="C336" s="5">
        <v>0</v>
      </c>
      <c r="D336" s="1">
        <v>151</v>
      </c>
      <c r="E336" s="27">
        <v>7048</v>
      </c>
      <c r="F336" s="1">
        <v>119</v>
      </c>
      <c r="G336" s="6">
        <v>81</v>
      </c>
      <c r="H336" s="1">
        <f>SUM(C336:G336)</f>
        <v>7399</v>
      </c>
      <c r="I336" s="10">
        <f>E336/H336</f>
        <v>0.9525611569130964</v>
      </c>
      <c r="J336" s="11">
        <f>1-I336</f>
        <v>4.7438843086903604E-2</v>
      </c>
      <c r="K336">
        <f>H336-E339</f>
        <v>158</v>
      </c>
      <c r="N336" s="10">
        <f>2*(E340*I336)/(E340+I336)</f>
        <v>0.96284153005464479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2</v>
      </c>
      <c r="E337" s="1">
        <v>123</v>
      </c>
      <c r="F337" s="27">
        <v>2371</v>
      </c>
      <c r="G337" s="6">
        <v>107</v>
      </c>
      <c r="H337" s="1">
        <f>SUM(C337:G337)</f>
        <v>2603</v>
      </c>
      <c r="I337" s="10">
        <f>F337/H337</f>
        <v>0.91087207068766807</v>
      </c>
      <c r="J337" s="11">
        <f>1-I337</f>
        <v>8.9127929312331933E-2</v>
      </c>
      <c r="K337">
        <f>H337-F339</f>
        <v>6</v>
      </c>
      <c r="N337" s="10">
        <f>2*(F340*I337)/(F340+I337)</f>
        <v>0.91192307692307695</v>
      </c>
      <c r="O337" s="1"/>
      <c r="P337" s="1"/>
      <c r="AM337" s="78"/>
    </row>
    <row r="338" spans="1:40" x14ac:dyDescent="0.3">
      <c r="A338" t="s">
        <v>7</v>
      </c>
      <c r="B338" s="13">
        <v>4</v>
      </c>
      <c r="C338" s="7">
        <v>0</v>
      </c>
      <c r="D338" s="8">
        <v>0</v>
      </c>
      <c r="E338" s="8">
        <v>54</v>
      </c>
      <c r="F338" s="8">
        <v>107</v>
      </c>
      <c r="G338" s="28">
        <v>799</v>
      </c>
      <c r="H338" s="1">
        <f>SUM(C338:G338)</f>
        <v>960</v>
      </c>
      <c r="I338" s="10">
        <f>G338/H338</f>
        <v>0.83229166666666665</v>
      </c>
      <c r="J338" s="11">
        <f>1-I338</f>
        <v>0.16770833333333335</v>
      </c>
      <c r="K338">
        <f>H338-G339</f>
        <v>-27</v>
      </c>
      <c r="N338" s="10">
        <f>2*(G340*I338)/(G340+I338)</f>
        <v>0.82074987159732926</v>
      </c>
      <c r="O338" s="1"/>
      <c r="P338" s="1"/>
    </row>
    <row r="339" spans="1:40" ht="15.6" x14ac:dyDescent="0.35">
      <c r="B339" s="1" t="s">
        <v>19</v>
      </c>
      <c r="C339" s="1">
        <f>SUM(C334:C338)</f>
        <v>259</v>
      </c>
      <c r="D339" s="1">
        <f>SUM(D334:D338)</f>
        <v>476</v>
      </c>
      <c r="E339" s="1">
        <f>SUM(E334:E338)</f>
        <v>7241</v>
      </c>
      <c r="F339" s="1">
        <f>SUM(F334:F338)</f>
        <v>2597</v>
      </c>
      <c r="G339" s="1">
        <f>SUM(G334:G338)</f>
        <v>987</v>
      </c>
      <c r="H339" s="1">
        <f>SUM(H333:H338)</f>
        <v>11560</v>
      </c>
      <c r="I339" s="13" t="s">
        <v>12</v>
      </c>
      <c r="N339" s="16"/>
      <c r="O339" s="1"/>
      <c r="P339" s="1"/>
      <c r="AM339" s="78"/>
    </row>
    <row r="340" spans="1:40" x14ac:dyDescent="0.3">
      <c r="A340" s="1" t="s">
        <v>321</v>
      </c>
      <c r="B340" s="1" t="s">
        <v>2</v>
      </c>
      <c r="C340" s="10">
        <f>C334/C339</f>
        <v>1</v>
      </c>
      <c r="D340" s="10">
        <f>D335/D339</f>
        <v>0.6785714285714286</v>
      </c>
      <c r="E340" s="10">
        <f>E336/E339</f>
        <v>0.97334622289738981</v>
      </c>
      <c r="F340" s="10">
        <f>F337/F339</f>
        <v>0.91297651135926072</v>
      </c>
      <c r="G340" s="10">
        <f>G338/G339</f>
        <v>0.80952380952380953</v>
      </c>
      <c r="H340" s="10"/>
      <c r="I340" s="14">
        <f>(C334+D335+E336+F337+G338)/H339</f>
        <v>0.93425605536332179</v>
      </c>
    </row>
    <row r="341" spans="1:40" x14ac:dyDescent="0.3">
      <c r="B341" s="1" t="s">
        <v>14</v>
      </c>
      <c r="C341" s="11">
        <f>1-C340</f>
        <v>0</v>
      </c>
      <c r="D341" s="11">
        <f>1-D340</f>
        <v>0.3214285714285714</v>
      </c>
      <c r="E341" s="11">
        <f>1-E340</f>
        <v>2.6653777102610188E-2</v>
      </c>
      <c r="F341" s="11">
        <f>1-F340</f>
        <v>8.7023488640739277E-2</v>
      </c>
      <c r="G341" s="11">
        <f>1-G340</f>
        <v>0.19047619047619047</v>
      </c>
      <c r="AM341" s="78"/>
      <c r="AN341" s="78"/>
    </row>
    <row r="342" spans="1:40" x14ac:dyDescent="0.3">
      <c r="C342" s="2"/>
    </row>
    <row r="343" spans="1:40" ht="15.6" x14ac:dyDescent="0.35">
      <c r="A343" t="s">
        <v>322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1.4277016365878865</v>
      </c>
      <c r="D345" s="31">
        <f>(D334/$L345)*$O345</f>
        <v>0</v>
      </c>
      <c r="E345" s="31">
        <f>(E334/$L345)*$O345</f>
        <v>0</v>
      </c>
      <c r="F345" s="31">
        <f>(F334/$L345)*$O345</f>
        <v>0</v>
      </c>
      <c r="G345" s="32">
        <f>(G334/$L345)*$O345</f>
        <v>0</v>
      </c>
      <c r="H345" s="17">
        <f>SUM(C345:G345)</f>
        <v>1.4277016365878865</v>
      </c>
      <c r="I345" s="17">
        <f>C345/H345*100</f>
        <v>100</v>
      </c>
      <c r="J345" s="17">
        <f>SQRT(I345*(100-I345)/(L345-1))</f>
        <v>0</v>
      </c>
      <c r="K345" s="18">
        <f>100-I345</f>
        <v>0</v>
      </c>
      <c r="L345" s="1">
        <f>H334</f>
        <v>259</v>
      </c>
      <c r="M345">
        <v>0</v>
      </c>
      <c r="N345" s="1">
        <v>2606.12</v>
      </c>
      <c r="O345" s="17">
        <f>N345/N350*100</f>
        <v>1.4277016365878865</v>
      </c>
      <c r="P345" s="52">
        <f>((O345*O345*(I345/100)*(K345/100))/(L345-1))</f>
        <v>0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45">(C335/$L346)*$O346</f>
        <v>0</v>
      </c>
      <c r="D346" s="34">
        <f t="shared" si="45"/>
        <v>4.7688415914846605</v>
      </c>
      <c r="E346" s="19">
        <f t="shared" si="45"/>
        <v>0.23622744725620606</v>
      </c>
      <c r="F346" s="18">
        <f t="shared" si="45"/>
        <v>0</v>
      </c>
      <c r="G346" s="20">
        <f t="shared" si="45"/>
        <v>0</v>
      </c>
      <c r="H346" s="17">
        <f>SUM(C346:G346)</f>
        <v>5.0050690387408663</v>
      </c>
      <c r="I346" s="17">
        <f>D346/H346*100</f>
        <v>95.280235988200587</v>
      </c>
      <c r="J346" s="17">
        <f>SQRT(I346*(100-I346)/(L346-1))</f>
        <v>1.153461767836518</v>
      </c>
      <c r="K346" s="18">
        <f>100-I346</f>
        <v>4.7197640117994126</v>
      </c>
      <c r="L346" s="1">
        <f>H335</f>
        <v>339</v>
      </c>
      <c r="M346">
        <v>1</v>
      </c>
      <c r="N346" s="1">
        <v>9136.23</v>
      </c>
      <c r="O346" s="17">
        <f>N346/N350*100</f>
        <v>5.0050690387408663</v>
      </c>
      <c r="P346" s="52">
        <f>((O346*O346*(I346/100)*(K346/100))/(L346-1))</f>
        <v>3.3329327678273523E-3</v>
      </c>
    </row>
    <row r="347" spans="1:40" x14ac:dyDescent="0.3">
      <c r="A347" t="s">
        <v>5</v>
      </c>
      <c r="B347" s="13">
        <v>2</v>
      </c>
      <c r="C347" s="33">
        <f t="shared" si="45"/>
        <v>0</v>
      </c>
      <c r="D347" s="19">
        <f t="shared" si="45"/>
        <v>1.169035620938871</v>
      </c>
      <c r="E347" s="34">
        <f t="shared" si="45"/>
        <v>54.565318254153404</v>
      </c>
      <c r="F347" s="19">
        <f t="shared" si="45"/>
        <v>0.92129297279288525</v>
      </c>
      <c r="G347" s="20">
        <f t="shared" si="45"/>
        <v>0.62709857811952696</v>
      </c>
      <c r="H347" s="17">
        <f>SUM(C347:G347)</f>
        <v>57.282745426004688</v>
      </c>
      <c r="I347" s="17">
        <f>E347/H347*100</f>
        <v>95.256115691309645</v>
      </c>
      <c r="J347" s="17">
        <f>SQRT(I347*(100-I347)/(L347-1))</f>
        <v>0.24714755313726086</v>
      </c>
      <c r="K347" s="18">
        <f>100-I347</f>
        <v>4.7438843086903546</v>
      </c>
      <c r="L347" s="1">
        <f>H336</f>
        <v>7399</v>
      </c>
      <c r="M347">
        <v>2</v>
      </c>
      <c r="N347" s="1">
        <v>104563.66</v>
      </c>
      <c r="O347" s="17">
        <f>N347/N350*100</f>
        <v>57.282745426004688</v>
      </c>
      <c r="P347" s="52">
        <f>((O347*O347*(I347/100)*(K347/100))/(L347-1))</f>
        <v>2.0042887059279403E-2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45"/>
        <v>0</v>
      </c>
      <c r="D348" s="19">
        <f t="shared" si="45"/>
        <v>1.7646335982964299E-2</v>
      </c>
      <c r="E348" s="19">
        <f t="shared" si="45"/>
        <v>1.0852496629523043</v>
      </c>
      <c r="F348" s="34">
        <f t="shared" si="45"/>
        <v>20.919731307804177</v>
      </c>
      <c r="G348" s="20">
        <f t="shared" si="45"/>
        <v>0.94407897508859007</v>
      </c>
      <c r="H348" s="17">
        <f>SUM(C348:G348)</f>
        <v>22.966706281828035</v>
      </c>
      <c r="I348" s="17">
        <f>F348/H348*100</f>
        <v>91.087207068766801</v>
      </c>
      <c r="J348" s="17">
        <f>SQRT(I348*(100-I348)/(L348-1))</f>
        <v>0.55857559294987813</v>
      </c>
      <c r="K348" s="18">
        <f>100-I348</f>
        <v>8.9127929312331986</v>
      </c>
      <c r="L348" s="1">
        <f>H337</f>
        <v>2603</v>
      </c>
      <c r="M348">
        <v>3</v>
      </c>
      <c r="N348" s="1">
        <v>41923.32</v>
      </c>
      <c r="O348" s="17">
        <f>N348/N350*100</f>
        <v>22.966706281828035</v>
      </c>
      <c r="P348" s="52">
        <f>((O348*O348*(I348/100)*(K348/100))/(L348-1))</f>
        <v>1.6457404477470631E-2</v>
      </c>
    </row>
    <row r="349" spans="1:40" x14ac:dyDescent="0.3">
      <c r="A349" t="s">
        <v>7</v>
      </c>
      <c r="B349" s="13">
        <v>4</v>
      </c>
      <c r="C349" s="35">
        <f t="shared" si="45"/>
        <v>0</v>
      </c>
      <c r="D349" s="36">
        <f t="shared" si="45"/>
        <v>0</v>
      </c>
      <c r="E349" s="21">
        <f t="shared" si="45"/>
        <v>0.74912499094716678</v>
      </c>
      <c r="F349" s="21">
        <f t="shared" si="45"/>
        <v>1.4843772968767934</v>
      </c>
      <c r="G349" s="37">
        <f t="shared" si="45"/>
        <v>11.084275329014559</v>
      </c>
      <c r="H349" s="17">
        <f>SUM(C349:G349)</f>
        <v>13.317777616838519</v>
      </c>
      <c r="I349" s="17">
        <f>G349/H349*100</f>
        <v>83.229166666666671</v>
      </c>
      <c r="J349" s="17">
        <f>SQRT(I349*(100-I349)/(L349-1))</f>
        <v>1.2064401752225082</v>
      </c>
      <c r="K349" s="18">
        <f>100-I349</f>
        <v>16.770833333333329</v>
      </c>
      <c r="L349" s="1">
        <f>H338</f>
        <v>960</v>
      </c>
      <c r="M349">
        <v>4</v>
      </c>
      <c r="N349" s="1">
        <v>24310.21</v>
      </c>
      <c r="O349" s="17">
        <f>N349/N350*100</f>
        <v>13.317777616838519</v>
      </c>
      <c r="P349" s="52">
        <f>((O349*O349*(I349/100)*(K349/100))/(L349-1))</f>
        <v>2.5815176544551295E-2</v>
      </c>
      <c r="AM349" s="78"/>
      <c r="AN349" s="78"/>
    </row>
    <row r="350" spans="1:40" x14ac:dyDescent="0.3">
      <c r="B350" t="s">
        <v>28</v>
      </c>
      <c r="C350" s="17">
        <f t="shared" ref="C350:H350" si="46">SUM(C345:C349)</f>
        <v>1.4277016365878865</v>
      </c>
      <c r="D350" s="17">
        <f t="shared" si="46"/>
        <v>5.9555235484064957</v>
      </c>
      <c r="E350" s="17">
        <f t="shared" si="46"/>
        <v>56.635920355309082</v>
      </c>
      <c r="F350" s="17">
        <f t="shared" si="46"/>
        <v>23.325401577473855</v>
      </c>
      <c r="G350" s="17">
        <f t="shared" si="46"/>
        <v>12.655452882222676</v>
      </c>
      <c r="H350" s="18">
        <f t="shared" si="46"/>
        <v>100</v>
      </c>
      <c r="I350" s="13" t="s">
        <v>24</v>
      </c>
      <c r="J350" s="12" t="s">
        <v>29</v>
      </c>
      <c r="N350" s="1">
        <f>SUM(N345:N349)</f>
        <v>182539.54</v>
      </c>
      <c r="O350" s="17">
        <f>SUM(O345:O349)</f>
        <v>100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0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0.1111062367135599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0.20565494928749745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0.2043675440717288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0.19641147502027964</v>
      </c>
      <c r="H351" s="1"/>
      <c r="I351" s="14">
        <f>(C345+D346+E347+F348+G349)/H350</f>
        <v>0.92765868119044681</v>
      </c>
      <c r="J351" s="53">
        <f>SQRT(SUM(P345:P349))/100</f>
        <v>2.5621943885882014E-3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80.074263038732298</v>
      </c>
      <c r="E352" s="17">
        <f>E347/E350*100</f>
        <v>96.344012619260667</v>
      </c>
      <c r="F352" s="17">
        <f>F348/F350*100</f>
        <v>89.686478658558585</v>
      </c>
      <c r="G352" s="17">
        <f>G349/G350*100</f>
        <v>87.584975679415038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2.3156063218852285</v>
      </c>
      <c r="E353" s="18">
        <f>SQRT((E356+E357)/(E350*E350))</f>
        <v>0.26984745179766279</v>
      </c>
      <c r="F353" s="18">
        <f>SQRT((F356+F357)/(F350*F350))</f>
        <v>0.83444910241031744</v>
      </c>
      <c r="G353" s="18">
        <f>SQRT((G356+G357)/(G350*G350))</f>
        <v>1.7598571501315223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19.925736961267702</v>
      </c>
      <c r="E354" s="18">
        <f>100-E352</f>
        <v>3.655987380739333</v>
      </c>
      <c r="F354" s="18">
        <f>100-F352</f>
        <v>10.313521341441415</v>
      </c>
      <c r="G354" s="18">
        <f>100-G352</f>
        <v>12.415024320584962</v>
      </c>
    </row>
    <row r="355" spans="1:40" ht="15.6" x14ac:dyDescent="0.35">
      <c r="B355" s="1" t="s">
        <v>25</v>
      </c>
      <c r="C355" s="1">
        <f>C339</f>
        <v>259</v>
      </c>
      <c r="D355" s="1">
        <f>D339</f>
        <v>476</v>
      </c>
      <c r="E355" s="1">
        <f>E339</f>
        <v>7241</v>
      </c>
      <c r="F355" s="1">
        <f>F339</f>
        <v>2597</v>
      </c>
      <c r="G355" s="1">
        <f>G339</f>
        <v>987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132.32909396423895</v>
      </c>
      <c r="E356" s="18">
        <f>(O347*O347*(100-E352)*(100-E352)*(I347)*(100-I347))/((L347-1)*100)</f>
        <v>26.789811344961603</v>
      </c>
      <c r="F356" s="18">
        <f>(O348*O348*(100-F352)*(100-F352)*(I348)*(100-I348))/((L348-1)*100)</f>
        <v>175.05530892820832</v>
      </c>
      <c r="G356" s="18">
        <f>(O349*O349*(100-G352)*(100-G352)*(I349)*(100-I349))/((L349-1)*100)</f>
        <v>397.89661888668007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57.852877711670537</v>
      </c>
      <c r="E357" s="18">
        <f>E352*E352*(SUM((H345*E345*(1-E334/H334))/(H334-1),(H346*E346*(1-E335/H335))/(H335-1), (H348*E348*(1-E337/H337))/(H337-1),(H349*E349*(1-E338/H338))/(H338-1)))</f>
        <v>206.78207457542257</v>
      </c>
      <c r="F357" s="18">
        <f>F352*F352*(SUM((H345*F345*(1-F334/H334))/(H334-1),(H346*F346*(1-F335/H335))/(H335-1), (H347*F347*(1-F336/H336))/(H336-1),(H349*F349*(1-F338/H338))/(H338-1)))</f>
        <v>203.78655311942717</v>
      </c>
      <c r="G357" s="18">
        <f>G352*G352*(SUM((H345*G345*(1-G334/H334))/(H334-1),(H346*G346*(1-G335/H335))/(H335-1), (H347*G347*(1-G336/H336))/(H336-1),(H348*G348*(1-G337/H337))/(H337-1)))</f>
        <v>98.135977194908548</v>
      </c>
      <c r="AM357" s="78"/>
      <c r="AN357" s="78"/>
    </row>
    <row r="359" spans="1:40" x14ac:dyDescent="0.3">
      <c r="AM359" s="78"/>
      <c r="AN359" s="78"/>
    </row>
    <row r="360" spans="1:40" x14ac:dyDescent="0.3">
      <c r="A360" s="361" t="s">
        <v>405</v>
      </c>
      <c r="B360" s="361"/>
      <c r="C360" s="361"/>
      <c r="D360" s="361"/>
      <c r="E360" s="361"/>
      <c r="F360" s="361"/>
      <c r="G360" s="361"/>
      <c r="H360" s="361"/>
      <c r="I360" s="361"/>
      <c r="J360" s="361"/>
      <c r="K360" s="361"/>
      <c r="L360" s="361" t="s">
        <v>90</v>
      </c>
      <c r="M360" s="361"/>
      <c r="N360" s="361"/>
      <c r="O360" s="361"/>
      <c r="P360" s="361"/>
    </row>
    <row r="361" spans="1:40" x14ac:dyDescent="0.3">
      <c r="A361" t="s">
        <v>15</v>
      </c>
      <c r="B361" t="s">
        <v>21</v>
      </c>
      <c r="I361" s="1" t="s">
        <v>58</v>
      </c>
      <c r="O361" s="143"/>
      <c r="P361" s="143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56</v>
      </c>
      <c r="O362" s="13"/>
      <c r="P362" s="13"/>
    </row>
    <row r="363" spans="1:40" x14ac:dyDescent="0.3">
      <c r="A363" t="s">
        <v>3</v>
      </c>
      <c r="B363" s="13">
        <v>0</v>
      </c>
      <c r="C363" s="26">
        <v>259</v>
      </c>
      <c r="D363" s="3">
        <v>0</v>
      </c>
      <c r="E363" s="3">
        <v>0</v>
      </c>
      <c r="F363" s="3">
        <v>0</v>
      </c>
      <c r="G363" s="4">
        <v>0</v>
      </c>
      <c r="H363" s="1">
        <f>SUM(C363:G363)</f>
        <v>259</v>
      </c>
      <c r="I363" s="10">
        <f>C363/H363</f>
        <v>1</v>
      </c>
      <c r="J363" s="11">
        <f>1-I363</f>
        <v>0</v>
      </c>
      <c r="K363">
        <f>H363-C368</f>
        <v>0</v>
      </c>
      <c r="N363" s="10">
        <f>2*(C369*I363)/(C369+I363)</f>
        <v>1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323</v>
      </c>
      <c r="E364" s="1">
        <v>16</v>
      </c>
      <c r="F364" s="1">
        <v>0</v>
      </c>
      <c r="G364" s="6">
        <v>0</v>
      </c>
      <c r="H364" s="1">
        <f>SUM(C364:G364)</f>
        <v>339</v>
      </c>
      <c r="I364" s="10">
        <f>D364/H364</f>
        <v>0.9528023598820059</v>
      </c>
      <c r="J364" s="11">
        <f>1-I364</f>
        <v>4.71976401179941E-2</v>
      </c>
      <c r="K364">
        <f>H364-D368</f>
        <v>-137</v>
      </c>
      <c r="N364" s="10">
        <f>2*(D369*I364)/(D369+I364)</f>
        <v>0.79263803680981604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151</v>
      </c>
      <c r="E365" s="27">
        <v>7048</v>
      </c>
      <c r="F365" s="1">
        <v>119</v>
      </c>
      <c r="G365" s="6">
        <v>81</v>
      </c>
      <c r="H365" s="1">
        <f>SUM(C365:G365)</f>
        <v>7399</v>
      </c>
      <c r="I365" s="10">
        <f>E365/H365</f>
        <v>0.9525611569130964</v>
      </c>
      <c r="J365" s="11">
        <f>1-I365</f>
        <v>4.7438843086903604E-2</v>
      </c>
      <c r="K365">
        <f>H365-E368</f>
        <v>158</v>
      </c>
      <c r="N365" s="10">
        <f>2*(E369*I365)/(E369+I365)</f>
        <v>0.96284153005464479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2</v>
      </c>
      <c r="E366" s="1">
        <v>123</v>
      </c>
      <c r="F366" s="27">
        <v>2371</v>
      </c>
      <c r="G366" s="6">
        <v>107</v>
      </c>
      <c r="H366" s="1">
        <f>SUM(C366:G366)</f>
        <v>2603</v>
      </c>
      <c r="I366" s="10">
        <f>F366/H366</f>
        <v>0.91087207068766807</v>
      </c>
      <c r="J366" s="11">
        <f>1-I366</f>
        <v>8.9127929312331933E-2</v>
      </c>
      <c r="K366">
        <f>H366-F368</f>
        <v>6</v>
      </c>
      <c r="N366" s="10">
        <f>2*(F369*I366)/(F369+I366)</f>
        <v>0.91192307692307695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0</v>
      </c>
      <c r="E367" s="8">
        <v>54</v>
      </c>
      <c r="F367" s="8">
        <v>107</v>
      </c>
      <c r="G367" s="28">
        <v>799</v>
      </c>
      <c r="H367" s="1">
        <f>SUM(C367:G367)</f>
        <v>960</v>
      </c>
      <c r="I367" s="10">
        <f>G367/H367</f>
        <v>0.83229166666666665</v>
      </c>
      <c r="J367" s="11">
        <f>1-I367</f>
        <v>0.16770833333333335</v>
      </c>
      <c r="K367">
        <f>H367-G368</f>
        <v>-27</v>
      </c>
      <c r="N367" s="10">
        <f>2*(G369*I367)/(G369+I367)</f>
        <v>0.82074987159732926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259</v>
      </c>
      <c r="D368" s="1">
        <f>SUM(D363:D367)</f>
        <v>476</v>
      </c>
      <c r="E368" s="1">
        <f>SUM(E363:E367)</f>
        <v>7241</v>
      </c>
      <c r="F368" s="1">
        <f>SUM(F363:F367)</f>
        <v>2597</v>
      </c>
      <c r="G368" s="1">
        <f>SUM(G363:G367)</f>
        <v>987</v>
      </c>
      <c r="H368" s="1">
        <f>SUM(H362:H367)</f>
        <v>11560</v>
      </c>
      <c r="I368" s="13" t="s">
        <v>12</v>
      </c>
      <c r="N368" s="16"/>
      <c r="O368" s="1"/>
      <c r="P368" s="1"/>
    </row>
    <row r="369" spans="1:40" x14ac:dyDescent="0.3">
      <c r="A369" s="1" t="s">
        <v>57</v>
      </c>
      <c r="B369" s="1" t="s">
        <v>2</v>
      </c>
      <c r="C369" s="10">
        <f>C363/C368</f>
        <v>1</v>
      </c>
      <c r="D369" s="10">
        <f>D364/D368</f>
        <v>0.6785714285714286</v>
      </c>
      <c r="E369" s="10">
        <f>E365/E368</f>
        <v>0.97334622289738981</v>
      </c>
      <c r="F369" s="10">
        <f>F366/F368</f>
        <v>0.91297651135926072</v>
      </c>
      <c r="G369" s="10">
        <f>G367/G368</f>
        <v>0.80952380952380953</v>
      </c>
      <c r="H369" s="10"/>
      <c r="I369" s="14">
        <f>(C363+D364+E365+F366+G367)/H368</f>
        <v>0.93425605536332179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0.3214285714285714</v>
      </c>
      <c r="E370" s="11">
        <f>1-E369</f>
        <v>2.6653777102610188E-2</v>
      </c>
      <c r="F370" s="11">
        <f>1-F369</f>
        <v>8.7023488640739277E-2</v>
      </c>
      <c r="G370" s="11">
        <f>1-G369</f>
        <v>0.19047619047619047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1.4625762725160809</v>
      </c>
      <c r="D374" s="31">
        <f>(D363/$L374)*$O374</f>
        <v>0</v>
      </c>
      <c r="E374" s="31">
        <f>(E363/$L374)*$O374</f>
        <v>0</v>
      </c>
      <c r="F374" s="31">
        <f>(F363/$L374)*$O374</f>
        <v>0</v>
      </c>
      <c r="G374" s="32">
        <f>(G363/$L374)*$O374</f>
        <v>0</v>
      </c>
      <c r="H374" s="17">
        <f>SUM(C374:G374)</f>
        <v>1.4625762725160809</v>
      </c>
      <c r="I374" s="17">
        <f>C374/H374*100</f>
        <v>100</v>
      </c>
      <c r="J374" s="17">
        <f>SQRT(I374*(100-I374)/(L374-1))</f>
        <v>0</v>
      </c>
      <c r="K374" s="18">
        <f>100-I374</f>
        <v>0</v>
      </c>
      <c r="L374" s="1">
        <f>H363</f>
        <v>259</v>
      </c>
      <c r="M374">
        <v>0</v>
      </c>
      <c r="N374" s="1">
        <v>2669.78</v>
      </c>
      <c r="O374" s="17">
        <f>N374/N379*100</f>
        <v>1.4625762725160809</v>
      </c>
      <c r="P374" s="52">
        <f>((O374*O374*(I374/100)*(K374/100))/(L374-1))</f>
        <v>0</v>
      </c>
    </row>
    <row r="375" spans="1:40" x14ac:dyDescent="0.3">
      <c r="A375" t="s">
        <v>4</v>
      </c>
      <c r="B375" s="13">
        <v>1</v>
      </c>
      <c r="C375" s="33">
        <f t="shared" ref="C375:G378" si="47">(C364/$L375)*$O375</f>
        <v>0</v>
      </c>
      <c r="D375" s="34">
        <f t="shared" si="47"/>
        <v>4.8050767763783053</v>
      </c>
      <c r="E375" s="19">
        <f t="shared" si="47"/>
        <v>0.2380223790156436</v>
      </c>
      <c r="F375" s="18">
        <f t="shared" si="47"/>
        <v>0</v>
      </c>
      <c r="G375" s="20">
        <f t="shared" si="47"/>
        <v>0</v>
      </c>
      <c r="H375" s="17">
        <f>SUM(C375:G375)</f>
        <v>5.043099155393949</v>
      </c>
      <c r="I375" s="17">
        <f>D375/H375*100</f>
        <v>95.280235988200587</v>
      </c>
      <c r="J375" s="17">
        <f>SQRT(I375*(100-I375)/(L375-1))</f>
        <v>1.153461767836518</v>
      </c>
      <c r="K375" s="18">
        <f>100-I375</f>
        <v>4.7197640117994126</v>
      </c>
      <c r="L375" s="1">
        <f>H364</f>
        <v>339</v>
      </c>
      <c r="M375">
        <v>1</v>
      </c>
      <c r="N375" s="1">
        <v>9205.65</v>
      </c>
      <c r="O375" s="17">
        <f>N375/N379*100</f>
        <v>5.043099155393949</v>
      </c>
      <c r="P375" s="52">
        <f>((O375*O375*(I375/100)*(K375/100))/(L375-1))</f>
        <v>3.3837745729774688E-3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47"/>
        <v>0</v>
      </c>
      <c r="D376" s="19">
        <f t="shared" si="47"/>
        <v>1.169217745304689</v>
      </c>
      <c r="E376" s="34">
        <f t="shared" si="47"/>
        <v>54.573818999387086</v>
      </c>
      <c r="F376" s="19">
        <f t="shared" si="47"/>
        <v>0.92143650126660936</v>
      </c>
      <c r="G376" s="20">
        <f t="shared" si="47"/>
        <v>0.62719627397138955</v>
      </c>
      <c r="H376" s="17">
        <f>SUM(C376:G376)</f>
        <v>57.291669519929783</v>
      </c>
      <c r="I376" s="17">
        <f>E376/H376*100</f>
        <v>95.256115691309617</v>
      </c>
      <c r="J376" s="17">
        <f>SQRT(I376*(100-I376)/(L376-1))</f>
        <v>0.24714755313726158</v>
      </c>
      <c r="K376" s="18">
        <f>100-I376</f>
        <v>4.743884308690383</v>
      </c>
      <c r="L376" s="1">
        <f>H365</f>
        <v>7399</v>
      </c>
      <c r="M376">
        <v>2</v>
      </c>
      <c r="N376" s="1">
        <v>104579.95</v>
      </c>
      <c r="O376" s="17">
        <f>N376/N379*100</f>
        <v>57.291669519929769</v>
      </c>
      <c r="P376" s="52">
        <f>((O376*O376*(I376/100)*(K376/100))/(L376-1))</f>
        <v>2.004913251898989E-2</v>
      </c>
    </row>
    <row r="377" spans="1:40" x14ac:dyDescent="0.3">
      <c r="A377" t="s">
        <v>6</v>
      </c>
      <c r="B377" s="13">
        <v>3</v>
      </c>
      <c r="C377" s="33">
        <f t="shared" si="47"/>
        <v>0</v>
      </c>
      <c r="D377" s="19">
        <f t="shared" si="47"/>
        <v>1.7742903296841441E-2</v>
      </c>
      <c r="E377" s="19">
        <f t="shared" si="47"/>
        <v>1.0911885527557483</v>
      </c>
      <c r="F377" s="34">
        <f t="shared" si="47"/>
        <v>21.034211858405527</v>
      </c>
      <c r="G377" s="20">
        <f t="shared" si="47"/>
        <v>0.949245326381017</v>
      </c>
      <c r="H377" s="17">
        <f>SUM(C377:G377)</f>
        <v>23.092388640839136</v>
      </c>
      <c r="I377" s="17">
        <f>F377/H377*100</f>
        <v>91.087207068766801</v>
      </c>
      <c r="J377" s="17">
        <f>SQRT(I377*(100-I377)/(L377-1))</f>
        <v>0.55857559294987813</v>
      </c>
      <c r="K377" s="18">
        <f>100-I377</f>
        <v>8.9127929312331986</v>
      </c>
      <c r="L377" s="1">
        <f>H366</f>
        <v>2603</v>
      </c>
      <c r="M377">
        <v>3</v>
      </c>
      <c r="N377" s="1">
        <v>42152.74</v>
      </c>
      <c r="O377" s="17">
        <f>N377/N379*100</f>
        <v>23.092388640839133</v>
      </c>
      <c r="P377" s="52">
        <f>((O377*O377*(I377/100)*(K377/100))/(L377-1))</f>
        <v>1.66380194019062E-2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47"/>
        <v>0</v>
      </c>
      <c r="D378" s="36">
        <f t="shared" si="47"/>
        <v>0</v>
      </c>
      <c r="E378" s="21">
        <f t="shared" si="47"/>
        <v>0.73745248563681054</v>
      </c>
      <c r="F378" s="21">
        <f t="shared" si="47"/>
        <v>1.4612484437618283</v>
      </c>
      <c r="G378" s="37">
        <f t="shared" si="47"/>
        <v>10.911565481922437</v>
      </c>
      <c r="H378" s="17">
        <f>SUM(C378:G378)</f>
        <v>13.110266411321076</v>
      </c>
      <c r="I378" s="17">
        <f>G378/H378*100</f>
        <v>83.229166666666671</v>
      </c>
      <c r="J378" s="17">
        <f>SQRT(I378*(100-I378)/(L378-1))</f>
        <v>1.2064401752225082</v>
      </c>
      <c r="K378" s="18">
        <f>100-I378</f>
        <v>16.770833333333329</v>
      </c>
      <c r="L378" s="1">
        <f>H367</f>
        <v>960</v>
      </c>
      <c r="M378">
        <v>4</v>
      </c>
      <c r="N378" s="1">
        <v>23931.42</v>
      </c>
      <c r="O378" s="17">
        <f>N378/N379*100</f>
        <v>13.110266411321076</v>
      </c>
      <c r="P378" s="52">
        <f>((O378*O378*(I378/100)*(K378/100))/(L378-1))</f>
        <v>2.5016964719809142E-2</v>
      </c>
    </row>
    <row r="379" spans="1:40" x14ac:dyDescent="0.3">
      <c r="B379" t="s">
        <v>28</v>
      </c>
      <c r="C379" s="17">
        <f t="shared" ref="C379:H379" si="48">SUM(C374:C378)</f>
        <v>1.4625762725160809</v>
      </c>
      <c r="D379" s="17">
        <f t="shared" si="48"/>
        <v>5.9920374249798352</v>
      </c>
      <c r="E379" s="17">
        <f t="shared" si="48"/>
        <v>56.640482416795287</v>
      </c>
      <c r="F379" s="17">
        <f t="shared" si="48"/>
        <v>23.416896803433964</v>
      </c>
      <c r="G379" s="17">
        <f t="shared" si="48"/>
        <v>12.488007082274844</v>
      </c>
      <c r="H379" s="18">
        <f t="shared" si="48"/>
        <v>100.00000000000003</v>
      </c>
      <c r="I379" s="13" t="s">
        <v>24</v>
      </c>
      <c r="J379" s="12" t="s">
        <v>29</v>
      </c>
      <c r="N379" s="1">
        <f>SUM(N374:N378)</f>
        <v>182539.53999999998</v>
      </c>
      <c r="O379" s="17">
        <f>SUM(O374:O378)</f>
        <v>100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0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0.11135419946038655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0.20529918545816475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0.20342830175578092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0.19460021132440702</v>
      </c>
      <c r="H380" s="1"/>
      <c r="I380" s="14">
        <f>(C374+D375+E376+F377+G378)/H379</f>
        <v>0.92787249388609416</v>
      </c>
      <c r="J380" s="53">
        <f>SQRT(SUM(P374:P378))/100</f>
        <v>2.5512328630229487E-3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80.191034127168777</v>
      </c>
      <c r="E381" s="17">
        <f>E376/E379*100</f>
        <v>96.351260919353706</v>
      </c>
      <c r="F381" s="17">
        <f>F377/F379*100</f>
        <v>89.824932974556091</v>
      </c>
      <c r="G381" s="17">
        <f>G378/G379*100</f>
        <v>87.376355650935139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2.305402200896514</v>
      </c>
      <c r="E382" s="18">
        <f>SQRT((E385+E386)/(E379*E379))</f>
        <v>0.26896768542261096</v>
      </c>
      <c r="F382" s="18">
        <f>SQRT((F385+F386)/(F379*F379))</f>
        <v>0.82378292797809316</v>
      </c>
      <c r="G382" s="18">
        <f>SQRT((G385+G386)/(G379*G379))</f>
        <v>1.7852127955791681</v>
      </c>
      <c r="H382" s="1"/>
    </row>
    <row r="383" spans="1:40" x14ac:dyDescent="0.3">
      <c r="B383" s="1" t="s">
        <v>37</v>
      </c>
      <c r="C383" s="18">
        <f>100-C381</f>
        <v>0</v>
      </c>
      <c r="D383" s="18">
        <f>100-D381</f>
        <v>19.808965872831223</v>
      </c>
      <c r="E383" s="18">
        <f>100-E381</f>
        <v>3.648739080646294</v>
      </c>
      <c r="F383" s="18">
        <f>100-F381</f>
        <v>10.175067025443909</v>
      </c>
      <c r="G383" s="18">
        <f>100-G381</f>
        <v>12.623644349064861</v>
      </c>
      <c r="AM383" s="78"/>
      <c r="AN383" s="78"/>
    </row>
    <row r="384" spans="1:40" ht="15.6" x14ac:dyDescent="0.35">
      <c r="B384" s="1" t="s">
        <v>25</v>
      </c>
      <c r="C384" s="1">
        <f>C368</f>
        <v>259</v>
      </c>
      <c r="D384" s="1">
        <f>D368</f>
        <v>476</v>
      </c>
      <c r="E384" s="1">
        <f>E368</f>
        <v>7241</v>
      </c>
      <c r="F384" s="1">
        <f>F368</f>
        <v>2597</v>
      </c>
      <c r="G384" s="1">
        <f>G368</f>
        <v>987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132.77766599045822</v>
      </c>
      <c r="E385" s="18">
        <f>(O376*O376*(100-E381)*(100-E381)*(I376)*(100-I376))/((L376-1)*100)</f>
        <v>26.692005338441891</v>
      </c>
      <c r="F385" s="18">
        <f>(O377*O377*(100-F381)*(100-F381)*(I377)*(100-I377))/((L377-1)*100)</f>
        <v>172.25672412386658</v>
      </c>
      <c r="G385" s="18">
        <f>(O378*O378*(100-G381)*(100-G381)*(I378)*(100-I378))/((L378-1)*100)</f>
        <v>398.66133529109203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58.050484568512196</v>
      </c>
      <c r="E386" s="18">
        <f>E381*E381*(SUM((H374*E374*(1-E363/H363))/(H363-1),(H375*E375*(1-E364/H364))/(H364-1), (H377*E377*(1-E366/H366))/(H366-1),(H378*E378*(1-E367/H367))/(H367-1)))</f>
        <v>205.39674960443745</v>
      </c>
      <c r="F386" s="18">
        <f>F381*F381*(SUM((H374*F374*(1-F363/H363))/(H363-1),(H375*F375*(1-F364/H364))/(H364-1), (H376*F376*(1-F365/H365))/(H365-1),(H378*F378*(1-F367/H367))/(H367-1)))</f>
        <v>199.86434405100704</v>
      </c>
      <c r="G386" s="18">
        <f>G381*G381*(SUM((H374*G374*(1-G363/H363))/(H363-1),(H375*G375*(1-G364/H364))/(H364-1), (H376*G376*(1-G365/H365))/(H365-1),(H377*G377*(1-G366/H366))/(H366-1)))</f>
        <v>98.34995531236649</v>
      </c>
    </row>
    <row r="387" spans="1:40" x14ac:dyDescent="0.3">
      <c r="AM387" s="78"/>
      <c r="AN387" s="78"/>
    </row>
    <row r="389" spans="1:40" x14ac:dyDescent="0.3">
      <c r="A389" s="361" t="s">
        <v>405</v>
      </c>
      <c r="B389" s="361"/>
      <c r="C389" s="361"/>
      <c r="D389" s="361"/>
      <c r="E389" s="361"/>
      <c r="F389" s="361"/>
      <c r="G389" s="361"/>
      <c r="H389" s="361"/>
      <c r="I389" s="361"/>
      <c r="J389" s="361"/>
      <c r="K389" s="361"/>
      <c r="L389" s="361" t="s">
        <v>91</v>
      </c>
      <c r="M389" s="361"/>
      <c r="N389" s="361"/>
      <c r="O389" s="361"/>
      <c r="P389" s="361"/>
      <c r="AM389" s="78"/>
      <c r="AN389" s="78"/>
    </row>
    <row r="390" spans="1:40" x14ac:dyDescent="0.3">
      <c r="A390" t="s">
        <v>15</v>
      </c>
      <c r="B390" t="s">
        <v>21</v>
      </c>
      <c r="I390" s="1" t="s">
        <v>58</v>
      </c>
      <c r="O390" s="143"/>
      <c r="P390" s="143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56</v>
      </c>
      <c r="O391" s="13"/>
      <c r="P391" s="13"/>
      <c r="AM391" s="78"/>
      <c r="AN391" s="78"/>
    </row>
    <row r="392" spans="1:40" x14ac:dyDescent="0.3">
      <c r="A392" t="s">
        <v>3</v>
      </c>
      <c r="B392" s="13">
        <v>0</v>
      </c>
      <c r="C392" s="26">
        <v>259</v>
      </c>
      <c r="D392" s="3">
        <v>0</v>
      </c>
      <c r="E392" s="3">
        <v>0</v>
      </c>
      <c r="F392" s="3">
        <v>0</v>
      </c>
      <c r="G392" s="4">
        <v>0</v>
      </c>
      <c r="H392" s="1">
        <f>SUM(C392:G392)</f>
        <v>259</v>
      </c>
      <c r="I392" s="10">
        <f>C392/H392</f>
        <v>1</v>
      </c>
      <c r="J392" s="11">
        <f>1-I392</f>
        <v>0</v>
      </c>
      <c r="K392">
        <f>H392-C397</f>
        <v>0</v>
      </c>
      <c r="N392" s="10">
        <f>2*(C398*I392)/(C398+I392)</f>
        <v>1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323</v>
      </c>
      <c r="E393" s="1">
        <v>16</v>
      </c>
      <c r="F393" s="1">
        <v>0</v>
      </c>
      <c r="G393" s="6">
        <v>0</v>
      </c>
      <c r="H393" s="1">
        <f>SUM(C393:G393)</f>
        <v>339</v>
      </c>
      <c r="I393" s="10">
        <f>D393/H393</f>
        <v>0.9528023598820059</v>
      </c>
      <c r="J393" s="11">
        <f>1-I393</f>
        <v>4.71976401179941E-2</v>
      </c>
      <c r="K393">
        <f>H393-D397</f>
        <v>-137</v>
      </c>
      <c r="N393" s="10">
        <f>2*(D398*I393)/(D398+I393)</f>
        <v>0.79263803680981604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151</v>
      </c>
      <c r="E394" s="27">
        <v>7048</v>
      </c>
      <c r="F394" s="1">
        <v>119</v>
      </c>
      <c r="G394" s="6">
        <v>81</v>
      </c>
      <c r="H394" s="1">
        <f>SUM(C394:G394)</f>
        <v>7399</v>
      </c>
      <c r="I394" s="10">
        <f>E394/H394</f>
        <v>0.9525611569130964</v>
      </c>
      <c r="J394" s="11">
        <f>1-I394</f>
        <v>4.7438843086903604E-2</v>
      </c>
      <c r="K394">
        <f>H394-E397</f>
        <v>158</v>
      </c>
      <c r="N394" s="10">
        <f>2*(E398*I394)/(E398+I394)</f>
        <v>0.96284153005464479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2</v>
      </c>
      <c r="E395" s="1">
        <v>123</v>
      </c>
      <c r="F395" s="27">
        <v>2371</v>
      </c>
      <c r="G395" s="6">
        <v>107</v>
      </c>
      <c r="H395" s="1">
        <f>SUM(C395:G395)</f>
        <v>2603</v>
      </c>
      <c r="I395" s="10">
        <f>F395/H395</f>
        <v>0.91087207068766807</v>
      </c>
      <c r="J395" s="11">
        <f>1-I395</f>
        <v>8.9127929312331933E-2</v>
      </c>
      <c r="K395">
        <f>H395-F397</f>
        <v>6</v>
      </c>
      <c r="N395" s="10">
        <f>2*(F398*I395)/(F398+I395)</f>
        <v>0.91192307692307695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0</v>
      </c>
      <c r="E396" s="8">
        <v>54</v>
      </c>
      <c r="F396" s="8">
        <v>107</v>
      </c>
      <c r="G396" s="28">
        <v>799</v>
      </c>
      <c r="H396" s="1">
        <f>SUM(C396:G396)</f>
        <v>960</v>
      </c>
      <c r="I396" s="10">
        <f>G396/H396</f>
        <v>0.83229166666666665</v>
      </c>
      <c r="J396" s="11">
        <f>1-I396</f>
        <v>0.16770833333333335</v>
      </c>
      <c r="K396">
        <f>H396-G397</f>
        <v>-27</v>
      </c>
      <c r="N396" s="10">
        <f>2*(G398*I396)/(G398+I396)</f>
        <v>0.82074987159732926</v>
      </c>
      <c r="O396" s="1"/>
      <c r="P396" s="1"/>
    </row>
    <row r="397" spans="1:40" ht="15.6" x14ac:dyDescent="0.35">
      <c r="B397" s="1" t="s">
        <v>19</v>
      </c>
      <c r="C397" s="1">
        <f>SUM(C392:C396)</f>
        <v>259</v>
      </c>
      <c r="D397" s="1">
        <f>SUM(D392:D396)</f>
        <v>476</v>
      </c>
      <c r="E397" s="1">
        <f>SUM(E392:E396)</f>
        <v>7241</v>
      </c>
      <c r="F397" s="1">
        <f>SUM(F392:F396)</f>
        <v>2597</v>
      </c>
      <c r="G397" s="1">
        <f>SUM(G392:G396)</f>
        <v>987</v>
      </c>
      <c r="H397" s="1">
        <f>SUM(H391:H396)</f>
        <v>11560</v>
      </c>
      <c r="I397" s="13" t="s">
        <v>12</v>
      </c>
      <c r="N397" s="16"/>
      <c r="O397" s="1"/>
      <c r="P397" s="1"/>
      <c r="AM397" s="78"/>
      <c r="AN397" s="78"/>
    </row>
    <row r="398" spans="1:40" x14ac:dyDescent="0.3">
      <c r="A398" s="1" t="s">
        <v>57</v>
      </c>
      <c r="B398" s="1" t="s">
        <v>2</v>
      </c>
      <c r="C398" s="10">
        <f>C392/C397</f>
        <v>1</v>
      </c>
      <c r="D398" s="10">
        <f>D393/D397</f>
        <v>0.6785714285714286</v>
      </c>
      <c r="E398" s="10">
        <f>E394/E397</f>
        <v>0.97334622289738981</v>
      </c>
      <c r="F398" s="10">
        <f>F395/F397</f>
        <v>0.91297651135926072</v>
      </c>
      <c r="G398" s="10">
        <f>G396/G397</f>
        <v>0.80952380952380953</v>
      </c>
      <c r="H398" s="10"/>
      <c r="I398" s="14">
        <f>(C392+D393+E394+F395+G396)/H397</f>
        <v>0.93425605536332179</v>
      </c>
    </row>
    <row r="399" spans="1:40" x14ac:dyDescent="0.3">
      <c r="B399" s="1" t="s">
        <v>14</v>
      </c>
      <c r="C399" s="11">
        <f>1-C398</f>
        <v>0</v>
      </c>
      <c r="D399" s="11">
        <f>1-D398</f>
        <v>0.3214285714285714</v>
      </c>
      <c r="E399" s="11">
        <f>1-E398</f>
        <v>2.6653777102610188E-2</v>
      </c>
      <c r="F399" s="11">
        <f>1-F398</f>
        <v>8.7023488640739277E-2</v>
      </c>
      <c r="G399" s="11">
        <f>1-G398</f>
        <v>0.19047619047619047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1.445407389544205</v>
      </c>
      <c r="D403" s="31">
        <f>(D392/$L403)*$O403</f>
        <v>0</v>
      </c>
      <c r="E403" s="31">
        <f>(E392/$L403)*$O403</f>
        <v>0</v>
      </c>
      <c r="F403" s="31">
        <f>(F392/$L403)*$O403</f>
        <v>0</v>
      </c>
      <c r="G403" s="32">
        <f>(G392/$L403)*$O403</f>
        <v>0</v>
      </c>
      <c r="H403" s="17">
        <f>SUM(C403:G403)</f>
        <v>1.445407389544205</v>
      </c>
      <c r="I403" s="17">
        <f>C403/H403*100</f>
        <v>100</v>
      </c>
      <c r="J403" s="17">
        <f>SQRT(I403*(100-I403)/(L403-1))</f>
        <v>0</v>
      </c>
      <c r="K403" s="18">
        <f>100-I403</f>
        <v>0</v>
      </c>
      <c r="L403" s="1">
        <f>H392</f>
        <v>259</v>
      </c>
      <c r="M403">
        <v>0</v>
      </c>
      <c r="N403" s="1">
        <v>2638.44</v>
      </c>
      <c r="O403" s="17">
        <f>N403/N408*100</f>
        <v>1.445407389544205</v>
      </c>
      <c r="P403" s="52">
        <f>((O403*O403*(I403/100)*(K403/100))/(L403-1))</f>
        <v>0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49">(C393/$L404)*$O404</f>
        <v>0</v>
      </c>
      <c r="D404" s="34">
        <f t="shared" si="49"/>
        <v>5.1479695689500886</v>
      </c>
      <c r="E404" s="19">
        <f t="shared" si="49"/>
        <v>0.25500778050526757</v>
      </c>
      <c r="F404" s="18">
        <f t="shared" si="49"/>
        <v>0</v>
      </c>
      <c r="G404" s="20">
        <f t="shared" si="49"/>
        <v>0</v>
      </c>
      <c r="H404" s="17">
        <f>SUM(C404:G404)</f>
        <v>5.4029773494553561</v>
      </c>
      <c r="I404" s="17">
        <f>D404/H404*100</f>
        <v>95.280235988200587</v>
      </c>
      <c r="J404" s="17">
        <f>SQRT(I404*(100-I404)/(L404-1))</f>
        <v>1.153461767836518</v>
      </c>
      <c r="K404" s="18">
        <f>100-I404</f>
        <v>4.7197640117994126</v>
      </c>
      <c r="L404" s="1">
        <f>H393</f>
        <v>339</v>
      </c>
      <c r="M404">
        <v>1</v>
      </c>
      <c r="N404" s="1">
        <v>9862.57</v>
      </c>
      <c r="O404" s="17">
        <f>N404/N408*100</f>
        <v>5.4029773494553561</v>
      </c>
      <c r="P404" s="52">
        <f>((O404*O404*(I404/100)*(K404/100))/(L404-1))</f>
        <v>3.8839416978894126E-3</v>
      </c>
    </row>
    <row r="405" spans="1:40" x14ac:dyDescent="0.3">
      <c r="A405" t="s">
        <v>5</v>
      </c>
      <c r="B405" s="13">
        <v>2</v>
      </c>
      <c r="C405" s="33">
        <f t="shared" si="49"/>
        <v>0</v>
      </c>
      <c r="D405" s="19">
        <f t="shared" si="49"/>
        <v>1.1613387702081377</v>
      </c>
      <c r="E405" s="34">
        <f t="shared" si="49"/>
        <v>54.20606392335732</v>
      </c>
      <c r="F405" s="19">
        <f t="shared" si="49"/>
        <v>0.91522724274681067</v>
      </c>
      <c r="G405" s="20">
        <f t="shared" si="49"/>
        <v>0.62296980388648449</v>
      </c>
      <c r="H405" s="17">
        <f>SUM(C405:G405)</f>
        <v>56.905599740198753</v>
      </c>
      <c r="I405" s="17">
        <f>E405/H405*100</f>
        <v>95.256115691309645</v>
      </c>
      <c r="J405" s="17">
        <f>SQRT(I405*(100-I405)/(L405-1))</f>
        <v>0.24714755313726086</v>
      </c>
      <c r="K405" s="18">
        <f>100-I405</f>
        <v>4.7438843086903546</v>
      </c>
      <c r="L405" s="1">
        <f>H394</f>
        <v>7399</v>
      </c>
      <c r="M405">
        <v>2</v>
      </c>
      <c r="N405" s="1">
        <v>103875.22</v>
      </c>
      <c r="O405" s="17">
        <f>N405/N408*100</f>
        <v>56.905599740198753</v>
      </c>
      <c r="P405" s="52">
        <f>((O405*O405*(I405/100)*(K405/100))/(L405-1))</f>
        <v>1.9779833880927154E-2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49"/>
        <v>0</v>
      </c>
      <c r="D406" s="19">
        <f t="shared" si="49"/>
        <v>1.7604223003479479E-2</v>
      </c>
      <c r="E406" s="19">
        <f t="shared" si="49"/>
        <v>1.0826597147139878</v>
      </c>
      <c r="F406" s="34">
        <f t="shared" si="49"/>
        <v>20.869806370624921</v>
      </c>
      <c r="G406" s="20">
        <f t="shared" si="49"/>
        <v>0.94182593068615206</v>
      </c>
      <c r="H406" s="17">
        <f>SUM(C406:G406)</f>
        <v>22.911896239028543</v>
      </c>
      <c r="I406" s="17">
        <f>F406/H406*100</f>
        <v>91.087207068766801</v>
      </c>
      <c r="J406" s="17">
        <f>SQRT(I406*(100-I406)/(L406-1))</f>
        <v>0.55857559294987813</v>
      </c>
      <c r="K406" s="18">
        <f>100-I406</f>
        <v>8.9127929312331986</v>
      </c>
      <c r="L406" s="1">
        <f>H395</f>
        <v>2603</v>
      </c>
      <c r="M406">
        <v>3</v>
      </c>
      <c r="N406" s="1">
        <v>41823.269999999997</v>
      </c>
      <c r="O406" s="17">
        <f>N406/N408*100</f>
        <v>22.91189623902854</v>
      </c>
      <c r="P406" s="52">
        <f>((O406*O406*(I406/100)*(K406/100))/(L406-1))</f>
        <v>1.6378947019599729E-2</v>
      </c>
    </row>
    <row r="407" spans="1:40" x14ac:dyDescent="0.3">
      <c r="A407" t="s">
        <v>7</v>
      </c>
      <c r="B407" s="13">
        <v>4</v>
      </c>
      <c r="C407" s="35">
        <f t="shared" si="49"/>
        <v>0</v>
      </c>
      <c r="D407" s="36">
        <f t="shared" si="49"/>
        <v>0</v>
      </c>
      <c r="E407" s="21">
        <f t="shared" si="49"/>
        <v>0.75004420959973928</v>
      </c>
      <c r="F407" s="21">
        <f t="shared" si="49"/>
        <v>1.4861987116142983</v>
      </c>
      <c r="G407" s="37">
        <f t="shared" si="49"/>
        <v>11.097876360559106</v>
      </c>
      <c r="H407" s="17">
        <f>SUM(C407:G407)</f>
        <v>13.334119281773143</v>
      </c>
      <c r="I407" s="17">
        <f>G407/H407*100</f>
        <v>83.229166666666671</v>
      </c>
      <c r="J407" s="17">
        <f>SQRT(I407*(100-I407)/(L407-1))</f>
        <v>1.2064401752225082</v>
      </c>
      <c r="K407" s="18">
        <f>100-I407</f>
        <v>16.770833333333329</v>
      </c>
      <c r="L407" s="1">
        <f>H396</f>
        <v>960</v>
      </c>
      <c r="M407">
        <v>4</v>
      </c>
      <c r="N407" s="1">
        <v>24340.04</v>
      </c>
      <c r="O407" s="17">
        <f>N407/N408*100</f>
        <v>13.334119281773143</v>
      </c>
      <c r="P407" s="52">
        <f>((O407*O407*(I407/100)*(K407/100))/(L407-1))</f>
        <v>2.5878568771437856E-2</v>
      </c>
      <c r="AM407" s="78"/>
      <c r="AN407" s="78"/>
    </row>
    <row r="408" spans="1:40" x14ac:dyDescent="0.3">
      <c r="B408" t="s">
        <v>28</v>
      </c>
      <c r="C408" s="17">
        <f t="shared" ref="C408:H408" si="50">SUM(C403:C407)</f>
        <v>1.445407389544205</v>
      </c>
      <c r="D408" s="17">
        <f t="shared" si="50"/>
        <v>6.3269125621617057</v>
      </c>
      <c r="E408" s="17">
        <f t="shared" si="50"/>
        <v>56.29377562817632</v>
      </c>
      <c r="F408" s="17">
        <f t="shared" si="50"/>
        <v>23.27123232498603</v>
      </c>
      <c r="G408" s="17">
        <f t="shared" si="50"/>
        <v>12.662672095131743</v>
      </c>
      <c r="H408" s="18">
        <f t="shared" si="50"/>
        <v>100</v>
      </c>
      <c r="I408" s="13" t="s">
        <v>24</v>
      </c>
      <c r="J408" s="12" t="s">
        <v>29</v>
      </c>
      <c r="N408" s="1">
        <f>SUM(N403:N407)</f>
        <v>182539.54</v>
      </c>
      <c r="O408" s="17">
        <f>SUM(O403:O407)</f>
        <v>100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0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0.11303484779157703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0.20630297326682706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0.20406001570673485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0.19631529221295671</v>
      </c>
      <c r="H409" s="1"/>
      <c r="I409" s="56">
        <f>(C403+D404+E405+F406+G407)/H408</f>
        <v>0.9276712361303564</v>
      </c>
      <c r="J409" s="53">
        <f>SQRT(SUM(P403:P407))/100</f>
        <v>2.5675141941156653E-3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81.366219595599887</v>
      </c>
      <c r="E410" s="17">
        <f>E405/E408*100</f>
        <v>96.291398682141235</v>
      </c>
      <c r="F410" s="17">
        <f>F406/F408*100</f>
        <v>89.680709982072031</v>
      </c>
      <c r="G410" s="17">
        <f>G407/G408*100</f>
        <v>87.642452376428238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2.200411179465283</v>
      </c>
      <c r="E411" s="18">
        <f>SQRT((E414+E415)/(E408*E408))</f>
        <v>0.27444590915747569</v>
      </c>
      <c r="F411" s="18">
        <f>SQRT((F414+F415)/(F408*F408))</f>
        <v>0.83523718537842417</v>
      </c>
      <c r="G411" s="18">
        <f>SQRT((G414+G415)/(G408*G408))</f>
        <v>1.7528946412911273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18.633780404400113</v>
      </c>
      <c r="E412" s="18">
        <f>100-E410</f>
        <v>3.7086013178587649</v>
      </c>
      <c r="F412" s="18">
        <f>100-F410</f>
        <v>10.319290017927969</v>
      </c>
      <c r="G412" s="18">
        <f>100-G410</f>
        <v>12.357547623571762</v>
      </c>
    </row>
    <row r="413" spans="1:40" ht="15.6" x14ac:dyDescent="0.35">
      <c r="B413" s="1" t="s">
        <v>25</v>
      </c>
      <c r="C413" s="1">
        <f>C397</f>
        <v>259</v>
      </c>
      <c r="D413" s="1">
        <f>D397</f>
        <v>476</v>
      </c>
      <c r="E413" s="1">
        <f>E397</f>
        <v>7241</v>
      </c>
      <c r="F413" s="1">
        <f>F397</f>
        <v>2597</v>
      </c>
      <c r="G413" s="1">
        <f>G397</f>
        <v>987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134.85735835381814</v>
      </c>
      <c r="E414" s="18">
        <f>(O405*O405*(100-E410)*(100-E410)*(I405)*(100-I405))/((L405-1)*100)</f>
        <v>27.20463707189791</v>
      </c>
      <c r="F414" s="18">
        <f>(O406*O406*(100-F410)*(100-F410)*(I406)*(100-I406))/((L406-1)*100)</f>
        <v>174.41571577359798</v>
      </c>
      <c r="G414" s="18">
        <f>(O407*O407*(100-G410)*(100-G410)*(I407)*(100-I407))/((L407-1)*100)</f>
        <v>395.18899255391341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58.959411189658965</v>
      </c>
      <c r="E415" s="18">
        <f>E410*E410*(SUM((H403*E403*(1-E392/H392))/(H392-1),(H404*E404*(1-E393/H393))/(H393-1), (H406*E406*(1-E395/H395))/(H395-1),(H407*E407*(1-E396/H396))/(H396-1)))</f>
        <v>211.48539284538654</v>
      </c>
      <c r="F415" s="18">
        <f>F410*F410*(SUM((H403*F403*(1-F392/H392))/(H392-1),(H404*F404*(1-F393/H393))/(H393-1), (H405*F405*(1-F394/H394))/(H394-1),(H407*F407*(1-F396/H396))/(H396-1)))</f>
        <v>203.38119831333123</v>
      </c>
      <c r="G415" s="18">
        <f>G410*G410*(SUM((H403*G403*(1-G392/H392))/(H392-1),(H404*G404*(1-G393/H393))/(H393-1), (H405*G405*(1-G394/H394))/(H394-1),(H406*G406*(1-G395/H395))/(H395-1)))</f>
        <v>97.488075577797076</v>
      </c>
      <c r="AM415" s="78"/>
      <c r="AN415" s="78"/>
    </row>
    <row r="417" spans="1:40" x14ac:dyDescent="0.3">
      <c r="AM417" s="78"/>
      <c r="AN417" s="78"/>
    </row>
    <row r="418" spans="1:40" x14ac:dyDescent="0.3">
      <c r="A418" s="361" t="s">
        <v>405</v>
      </c>
      <c r="B418" s="361"/>
      <c r="C418" s="361"/>
      <c r="D418" s="361"/>
      <c r="E418" s="361"/>
      <c r="F418" s="361"/>
      <c r="G418" s="361"/>
      <c r="H418" s="361"/>
      <c r="I418" s="361"/>
      <c r="J418" s="361"/>
      <c r="K418" s="361"/>
      <c r="L418" s="361" t="s">
        <v>92</v>
      </c>
      <c r="M418" s="361"/>
      <c r="N418" s="361"/>
      <c r="O418" s="361"/>
      <c r="P418" s="361"/>
    </row>
    <row r="419" spans="1:40" x14ac:dyDescent="0.3">
      <c r="A419" t="s">
        <v>15</v>
      </c>
      <c r="B419" t="s">
        <v>21</v>
      </c>
      <c r="I419" s="1" t="s">
        <v>58</v>
      </c>
      <c r="O419" s="143"/>
      <c r="P419" s="143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56</v>
      </c>
      <c r="O420" s="13"/>
      <c r="P420" s="13"/>
    </row>
    <row r="421" spans="1:40" x14ac:dyDescent="0.3">
      <c r="A421" t="s">
        <v>3</v>
      </c>
      <c r="B421" s="13">
        <v>0</v>
      </c>
      <c r="C421" s="26">
        <v>259</v>
      </c>
      <c r="D421" s="3">
        <v>0</v>
      </c>
      <c r="E421" s="3">
        <v>0</v>
      </c>
      <c r="F421" s="3">
        <v>0</v>
      </c>
      <c r="G421" s="4">
        <v>0</v>
      </c>
      <c r="H421" s="1">
        <f>SUM(C421:G421)</f>
        <v>259</v>
      </c>
      <c r="I421" s="10">
        <f>C421/H421</f>
        <v>1</v>
      </c>
      <c r="J421" s="11">
        <f>1-I421</f>
        <v>0</v>
      </c>
      <c r="K421">
        <f>H421-C426</f>
        <v>0</v>
      </c>
      <c r="N421" s="10">
        <f>2*(C427*I421)/(C427+I421)</f>
        <v>1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323</v>
      </c>
      <c r="E422" s="1">
        <v>16</v>
      </c>
      <c r="F422" s="1">
        <v>0</v>
      </c>
      <c r="G422" s="6">
        <v>0</v>
      </c>
      <c r="H422" s="1">
        <f>SUM(C422:G422)</f>
        <v>339</v>
      </c>
      <c r="I422" s="10">
        <f>D422/H422</f>
        <v>0.9528023598820059</v>
      </c>
      <c r="J422" s="11">
        <f>1-I422</f>
        <v>4.71976401179941E-2</v>
      </c>
      <c r="K422">
        <f>H422-D426</f>
        <v>-137</v>
      </c>
      <c r="N422" s="10">
        <f>2*(D427*I422)/(D427+I422)</f>
        <v>0.79263803680981604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151</v>
      </c>
      <c r="E423" s="27">
        <v>7048</v>
      </c>
      <c r="F423" s="1">
        <v>119</v>
      </c>
      <c r="G423" s="6">
        <v>81</v>
      </c>
      <c r="H423" s="1">
        <f>SUM(C423:G423)</f>
        <v>7399</v>
      </c>
      <c r="I423" s="10">
        <f>E423/H423</f>
        <v>0.9525611569130964</v>
      </c>
      <c r="J423" s="11">
        <f>1-I423</f>
        <v>4.7438843086903604E-2</v>
      </c>
      <c r="K423">
        <f>H423-E426</f>
        <v>158</v>
      </c>
      <c r="N423" s="10">
        <f>2*(E427*I423)/(E427+I423)</f>
        <v>0.96284153005464479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2</v>
      </c>
      <c r="E424" s="1">
        <v>123</v>
      </c>
      <c r="F424" s="27">
        <v>2371</v>
      </c>
      <c r="G424" s="6">
        <v>107</v>
      </c>
      <c r="H424" s="1">
        <f>SUM(C424:G424)</f>
        <v>2603</v>
      </c>
      <c r="I424" s="10">
        <f>F424/H424</f>
        <v>0.91087207068766807</v>
      </c>
      <c r="J424" s="11">
        <f>1-I424</f>
        <v>8.9127929312331933E-2</v>
      </c>
      <c r="K424">
        <f>H424-F426</f>
        <v>6</v>
      </c>
      <c r="N424" s="10">
        <f>2*(F427*I424)/(F427+I424)</f>
        <v>0.91192307692307695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0</v>
      </c>
      <c r="E425" s="8">
        <v>54</v>
      </c>
      <c r="F425" s="8">
        <v>107</v>
      </c>
      <c r="G425" s="28">
        <v>799</v>
      </c>
      <c r="H425" s="1">
        <f>SUM(C425:G425)</f>
        <v>960</v>
      </c>
      <c r="I425" s="10">
        <f>G425/H425</f>
        <v>0.83229166666666665</v>
      </c>
      <c r="J425" s="11">
        <f>1-I425</f>
        <v>0.16770833333333335</v>
      </c>
      <c r="K425">
        <f>H425-G426</f>
        <v>-27</v>
      </c>
      <c r="N425" s="10">
        <f>2*(G427*I425)/(G427+I425)</f>
        <v>0.82074987159732926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259</v>
      </c>
      <c r="D426" s="1">
        <f>SUM(D421:D425)</f>
        <v>476</v>
      </c>
      <c r="E426" s="1">
        <f>SUM(E421:E425)</f>
        <v>7241</v>
      </c>
      <c r="F426" s="1">
        <f>SUM(F421:F425)</f>
        <v>2597</v>
      </c>
      <c r="G426" s="1">
        <f>SUM(G421:G425)</f>
        <v>987</v>
      </c>
      <c r="H426" s="1">
        <f>SUM(H420:H425)</f>
        <v>11560</v>
      </c>
      <c r="I426" s="13" t="s">
        <v>12</v>
      </c>
      <c r="N426" s="16"/>
      <c r="O426" s="1"/>
      <c r="P426" s="1"/>
    </row>
    <row r="427" spans="1:40" x14ac:dyDescent="0.3">
      <c r="A427" s="1" t="s">
        <v>57</v>
      </c>
      <c r="B427" s="1" t="s">
        <v>2</v>
      </c>
      <c r="C427" s="10">
        <f>C421/C426</f>
        <v>1</v>
      </c>
      <c r="D427" s="10">
        <f>D422/D426</f>
        <v>0.6785714285714286</v>
      </c>
      <c r="E427" s="10">
        <f>E423/E426</f>
        <v>0.97334622289738981</v>
      </c>
      <c r="F427" s="10">
        <f>F424/F426</f>
        <v>0.91297651135926072</v>
      </c>
      <c r="G427" s="10">
        <f>G425/G426</f>
        <v>0.80952380952380953</v>
      </c>
      <c r="H427" s="10"/>
      <c r="I427" s="14">
        <f>(C421+D422+E423+F424+G425)/H426</f>
        <v>0.93425605536332179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0.3214285714285714</v>
      </c>
      <c r="E428" s="11">
        <f>1-E427</f>
        <v>2.6653777102610188E-2</v>
      </c>
      <c r="F428" s="11">
        <f>1-F427</f>
        <v>8.7023488640739277E-2</v>
      </c>
      <c r="G428" s="11">
        <f>1-G427</f>
        <v>0.19047619047619047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1.4349547024217655</v>
      </c>
      <c r="D432" s="31">
        <f>(D421/$L432)*$O432</f>
        <v>0</v>
      </c>
      <c r="E432" s="31">
        <f>(E421/$L432)*$O432</f>
        <v>0</v>
      </c>
      <c r="F432" s="31">
        <f>(F421/$L432)*$O432</f>
        <v>0</v>
      </c>
      <c r="G432" s="32">
        <f>(G421/$L432)*$O432</f>
        <v>0</v>
      </c>
      <c r="H432" s="17">
        <f>SUM(C432:G432)</f>
        <v>1.4349547024217655</v>
      </c>
      <c r="I432" s="17">
        <f>C432/H432*100</f>
        <v>100</v>
      </c>
      <c r="J432" s="17">
        <f>SQRT(I432*(100-I432)/(L432-1))</f>
        <v>0</v>
      </c>
      <c r="K432" s="18">
        <f>100-I432</f>
        <v>0</v>
      </c>
      <c r="L432" s="1">
        <f>H421</f>
        <v>259</v>
      </c>
      <c r="M432">
        <v>0</v>
      </c>
      <c r="N432" s="1">
        <v>2619.36</v>
      </c>
      <c r="O432" s="17">
        <f>N432/N437*100</f>
        <v>1.4349547024217655</v>
      </c>
      <c r="P432" s="52">
        <f>((O432*O432*(I432/100)*(K432/100))/(L432-1))</f>
        <v>0</v>
      </c>
    </row>
    <row r="433" spans="1:40" x14ac:dyDescent="0.3">
      <c r="A433" t="s">
        <v>4</v>
      </c>
      <c r="B433" s="13">
        <v>1</v>
      </c>
      <c r="C433" s="33">
        <f t="shared" ref="C433:G436" si="51">(C422/$L433)*$O433</f>
        <v>0</v>
      </c>
      <c r="D433" s="34">
        <f t="shared" si="51"/>
        <v>4.8320516770208544</v>
      </c>
      <c r="E433" s="19">
        <f t="shared" si="51"/>
        <v>0.23935859700412901</v>
      </c>
      <c r="F433" s="18">
        <f t="shared" si="51"/>
        <v>0</v>
      </c>
      <c r="G433" s="20">
        <f t="shared" si="51"/>
        <v>0</v>
      </c>
      <c r="H433" s="17">
        <f>SUM(C433:G433)</f>
        <v>5.0714102740249833</v>
      </c>
      <c r="I433" s="17">
        <f>D433/H433*100</f>
        <v>95.280235988200587</v>
      </c>
      <c r="J433" s="17">
        <f>SQRT(I433*(100-I433)/(L433-1))</f>
        <v>1.153461767836518</v>
      </c>
      <c r="K433" s="18">
        <f>100-I433</f>
        <v>4.7197640117994126</v>
      </c>
      <c r="L433" s="1">
        <f>H422</f>
        <v>339</v>
      </c>
      <c r="M433">
        <v>1</v>
      </c>
      <c r="N433" s="1">
        <v>9257.33</v>
      </c>
      <c r="O433" s="17">
        <f>N433/N437*100</f>
        <v>5.0714102740249833</v>
      </c>
      <c r="P433" s="52">
        <f>((O433*O433*(I433/100)*(K433/100))/(L433-1))</f>
        <v>3.4218731066957427E-3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51"/>
        <v>0</v>
      </c>
      <c r="D434" s="19">
        <f t="shared" si="51"/>
        <v>1.162742867510864</v>
      </c>
      <c r="E434" s="34">
        <f t="shared" si="51"/>
        <v>54.271600862361389</v>
      </c>
      <c r="F434" s="19">
        <f t="shared" si="51"/>
        <v>0.91633378300525048</v>
      </c>
      <c r="G434" s="20">
        <f t="shared" si="51"/>
        <v>0.62372299515483443</v>
      </c>
      <c r="H434" s="17">
        <f>SUM(C434:G434)</f>
        <v>56.974400508032339</v>
      </c>
      <c r="I434" s="17">
        <f>E434/H434*100</f>
        <v>95.256115691309645</v>
      </c>
      <c r="J434" s="17">
        <f>SQRT(I434*(100-I434)/(L434-1))</f>
        <v>0.24714755313726086</v>
      </c>
      <c r="K434" s="18">
        <f>100-I434</f>
        <v>4.7438843086903546</v>
      </c>
      <c r="L434" s="1">
        <f>H423</f>
        <v>7399</v>
      </c>
      <c r="M434">
        <v>2</v>
      </c>
      <c r="N434" s="1">
        <v>104000.82</v>
      </c>
      <c r="O434" s="17">
        <f>N434/N437*100</f>
        <v>56.974400508032339</v>
      </c>
      <c r="P434" s="52">
        <f>((O434*O434*(I434/100)*(K434/100))/(L434-1))</f>
        <v>1.9827691751930967E-2</v>
      </c>
    </row>
    <row r="435" spans="1:40" x14ac:dyDescent="0.3">
      <c r="A435" t="s">
        <v>6</v>
      </c>
      <c r="B435" s="13">
        <v>3</v>
      </c>
      <c r="C435" s="33">
        <f t="shared" si="51"/>
        <v>0</v>
      </c>
      <c r="D435" s="19">
        <f t="shared" si="51"/>
        <v>1.7782244678783744E-2</v>
      </c>
      <c r="E435" s="19">
        <f t="shared" si="51"/>
        <v>1.0936080477452002</v>
      </c>
      <c r="F435" s="34">
        <f t="shared" si="51"/>
        <v>21.080851066698127</v>
      </c>
      <c r="G435" s="20">
        <f t="shared" si="51"/>
        <v>0.95135009031493034</v>
      </c>
      <c r="H435" s="17">
        <f>SUM(C435:G435)</f>
        <v>23.143591449437039</v>
      </c>
      <c r="I435" s="17">
        <f>F435/H435*100</f>
        <v>91.087207068766816</v>
      </c>
      <c r="J435" s="17">
        <f>SQRT(I435*(100-I435)/(L435-1))</f>
        <v>0.5585755929498778</v>
      </c>
      <c r="K435" s="18">
        <f>100-I435</f>
        <v>8.9127929312331844</v>
      </c>
      <c r="L435" s="1">
        <f>H424</f>
        <v>2603</v>
      </c>
      <c r="M435">
        <v>3</v>
      </c>
      <c r="N435" s="1">
        <v>42246.21</v>
      </c>
      <c r="O435" s="17">
        <f>N435/N437*100</f>
        <v>23.143591449437043</v>
      </c>
      <c r="P435" s="52">
        <f>((O435*O435*(I435/100)*(K435/100))/(L435-1))</f>
        <v>1.6711884242038014E-2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51"/>
        <v>0</v>
      </c>
      <c r="D436" s="36">
        <f t="shared" si="51"/>
        <v>0</v>
      </c>
      <c r="E436" s="21">
        <f t="shared" si="51"/>
        <v>0.75237992246721752</v>
      </c>
      <c r="F436" s="21">
        <f t="shared" si="51"/>
        <v>1.4908268834072644</v>
      </c>
      <c r="G436" s="37">
        <f t="shared" si="51"/>
        <v>11.132436260209385</v>
      </c>
      <c r="H436" s="17">
        <f>SUM(C436:G436)</f>
        <v>13.375643066083867</v>
      </c>
      <c r="I436" s="17">
        <f>G436/H436*100</f>
        <v>83.229166666666671</v>
      </c>
      <c r="J436" s="17">
        <f>SQRT(I436*(100-I436)/(L436-1))</f>
        <v>1.2064401752225082</v>
      </c>
      <c r="K436" s="18">
        <f>100-I436</f>
        <v>16.770833333333329</v>
      </c>
      <c r="L436" s="1">
        <f>H425</f>
        <v>960</v>
      </c>
      <c r="M436">
        <v>4</v>
      </c>
      <c r="N436" s="1">
        <v>24415.84</v>
      </c>
      <c r="O436" s="17">
        <f>N436/N437*100</f>
        <v>13.375643066083867</v>
      </c>
      <c r="P436" s="52">
        <f>((O436*O436*(I436/100)*(K436/100))/(L436-1))</f>
        <v>2.6039996647409341E-2</v>
      </c>
    </row>
    <row r="437" spans="1:40" x14ac:dyDescent="0.3">
      <c r="B437" t="s">
        <v>28</v>
      </c>
      <c r="C437" s="17">
        <f t="shared" ref="C437:H437" si="52">SUM(C432:C436)</f>
        <v>1.4349547024217655</v>
      </c>
      <c r="D437" s="17">
        <f t="shared" si="52"/>
        <v>6.0125767892105015</v>
      </c>
      <c r="E437" s="17">
        <f t="shared" si="52"/>
        <v>56.356947429577936</v>
      </c>
      <c r="F437" s="17">
        <f t="shared" si="52"/>
        <v>23.488011733110643</v>
      </c>
      <c r="G437" s="17">
        <f t="shared" si="52"/>
        <v>12.707509345679149</v>
      </c>
      <c r="H437" s="18">
        <f t="shared" si="52"/>
        <v>99.999999999999986</v>
      </c>
      <c r="I437" s="13" t="s">
        <v>24</v>
      </c>
      <c r="J437" s="12" t="s">
        <v>29</v>
      </c>
      <c r="N437" s="1">
        <f>SUM(N432:N436)</f>
        <v>182539.56</v>
      </c>
      <c r="O437" s="17">
        <f>SUM(O432:O436)</f>
        <v>100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0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0.11108775098633261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0.20589791373297836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0.20519374329389781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0.19716491967336164</v>
      </c>
      <c r="H438" s="1"/>
      <c r="I438" s="56">
        <f>(C432+D433+E434+F435+G436)/H437</f>
        <v>0.92751894568711535</v>
      </c>
      <c r="J438" s="53">
        <f>SQRT(SUM(P432:P436))/100</f>
        <v>2.5690746534126653E-3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80.365737460383286</v>
      </c>
      <c r="E439" s="17">
        <f>E434/E437*100</f>
        <v>96.299752448760046</v>
      </c>
      <c r="F439" s="17">
        <f>F435/F437*100</f>
        <v>89.751534979782122</v>
      </c>
      <c r="G439" s="17">
        <f>G436/G437*100</f>
        <v>87.605178618221316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2.2900619935565749</v>
      </c>
      <c r="E440" s="18">
        <f>SQRT((E443+E444)/(E437*E437))</f>
        <v>0.27297366587308952</v>
      </c>
      <c r="F440" s="18">
        <f>SQRT((F443+F444)/(F437*F437))</f>
        <v>0.83025096892311867</v>
      </c>
      <c r="G440" s="18">
        <f>SQRT((G443+G444)/(G437*G437))</f>
        <v>1.7575132440685051</v>
      </c>
      <c r="H440" s="1"/>
    </row>
    <row r="441" spans="1:40" x14ac:dyDescent="0.3">
      <c r="B441" s="1" t="s">
        <v>37</v>
      </c>
      <c r="C441" s="18">
        <f>100-C439</f>
        <v>0</v>
      </c>
      <c r="D441" s="18">
        <f>100-D439</f>
        <v>19.634262539616714</v>
      </c>
      <c r="E441" s="18">
        <f>100-E439</f>
        <v>3.7002475512399542</v>
      </c>
      <c r="F441" s="18">
        <f>100-F439</f>
        <v>10.248465020217878</v>
      </c>
      <c r="G441" s="18">
        <f>100-G439</f>
        <v>12.394821381778684</v>
      </c>
      <c r="AM441" s="78"/>
      <c r="AN441" s="78"/>
    </row>
    <row r="442" spans="1:40" ht="15.6" x14ac:dyDescent="0.35">
      <c r="B442" s="1" t="s">
        <v>25</v>
      </c>
      <c r="C442" s="1">
        <f>C426</f>
        <v>259</v>
      </c>
      <c r="D442" s="1">
        <f>D426</f>
        <v>476</v>
      </c>
      <c r="E442" s="1">
        <f>E426</f>
        <v>7241</v>
      </c>
      <c r="F442" s="1">
        <f>F426</f>
        <v>2597</v>
      </c>
      <c r="G442" s="1">
        <f>G426</f>
        <v>987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131.91466785440167</v>
      </c>
      <c r="E443" s="18">
        <f>(O434*O434*(100-E439)*(100-E439)*(I434)*(100-I434))/((L434-1)*100)</f>
        <v>27.14774232346296</v>
      </c>
      <c r="F443" s="18">
        <f>(O435*O435*(100-F439)*(100-F439)*(I435)*(100-I435))/((L435-1)*100)</f>
        <v>175.52665032641713</v>
      </c>
      <c r="G443" s="18">
        <f>(O436*O436*(100-G439)*(100-G439)*(I436)*(100-I436))/((L436-1)*100)</f>
        <v>400.05662730607384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57.675473450650351</v>
      </c>
      <c r="E444" s="18">
        <f>E439*E439*(SUM((H432*E432*(1-E421/H421))/(H421-1),(H433*E433*(1-E422/H422))/(H422-1), (H435*E435*(1-E424/H424))/(H424-1),(H436*E436*(1-E425/H425))/(H425-1)))</f>
        <v>209.51856102462938</v>
      </c>
      <c r="F444" s="18">
        <f>F439*F439*(SUM((H432*F432*(1-F421/H421))/(H421-1),(H433*F433*(1-F422/H422))/(H422-1), (H434*F434*(1-F423/H423))/(H423-1),(H436*F436*(1-F425/H425))/(H425-1)))</f>
        <v>204.76018604587713</v>
      </c>
      <c r="G444" s="18">
        <f>G439*G439*(SUM((H432*G432*(1-G421/H421))/(H421-1),(H433*G433*(1-G422/H422))/(H422-1), (H434*G434*(1-G423/H423))/(H423-1),(H435*G435*(1-G424/H424))/(H424-1)))</f>
        <v>98.733775174975747</v>
      </c>
    </row>
    <row r="445" spans="1:40" x14ac:dyDescent="0.3">
      <c r="AM445" s="78"/>
      <c r="AN445" s="78"/>
    </row>
    <row r="447" spans="1:40" x14ac:dyDescent="0.3">
      <c r="A447" s="361" t="s">
        <v>405</v>
      </c>
      <c r="B447" s="361"/>
      <c r="C447" s="361"/>
      <c r="D447" s="361"/>
      <c r="E447" s="361"/>
      <c r="F447" s="361"/>
      <c r="G447" s="361"/>
      <c r="H447" s="361"/>
      <c r="I447" s="361"/>
      <c r="J447" s="361"/>
      <c r="K447" s="361"/>
      <c r="L447" s="361" t="s">
        <v>93</v>
      </c>
      <c r="M447" s="361"/>
      <c r="N447" s="361"/>
      <c r="O447" s="361"/>
      <c r="P447" s="361"/>
      <c r="AM447" s="78"/>
      <c r="AN447" s="78"/>
    </row>
    <row r="448" spans="1:40" x14ac:dyDescent="0.3">
      <c r="A448" t="s">
        <v>15</v>
      </c>
      <c r="B448" t="s">
        <v>21</v>
      </c>
      <c r="I448" s="1" t="s">
        <v>58</v>
      </c>
      <c r="O448" s="143"/>
      <c r="P448" s="143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56</v>
      </c>
      <c r="O449" s="13"/>
      <c r="P449" s="13"/>
      <c r="AM449" s="78"/>
      <c r="AN449" s="78"/>
    </row>
    <row r="450" spans="1:40" x14ac:dyDescent="0.3">
      <c r="A450" t="s">
        <v>3</v>
      </c>
      <c r="B450" s="13">
        <v>0</v>
      </c>
      <c r="C450" s="26">
        <v>259</v>
      </c>
      <c r="D450" s="3">
        <v>0</v>
      </c>
      <c r="E450" s="3">
        <v>0</v>
      </c>
      <c r="F450" s="3">
        <v>0</v>
      </c>
      <c r="G450" s="4">
        <v>0</v>
      </c>
      <c r="H450" s="1">
        <f>SUM(C450:G450)</f>
        <v>259</v>
      </c>
      <c r="I450" s="10">
        <f>C450/H450</f>
        <v>1</v>
      </c>
      <c r="J450" s="11">
        <f>1-I450</f>
        <v>0</v>
      </c>
      <c r="K450">
        <f>H450-C455</f>
        <v>0</v>
      </c>
      <c r="N450" s="10">
        <f>2*(C456*I450)/(C456+I450)</f>
        <v>1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323</v>
      </c>
      <c r="E451" s="1">
        <v>16</v>
      </c>
      <c r="F451" s="1">
        <v>0</v>
      </c>
      <c r="G451" s="6">
        <v>0</v>
      </c>
      <c r="H451" s="1">
        <f>SUM(C451:G451)</f>
        <v>339</v>
      </c>
      <c r="I451" s="10">
        <f>D451/H451</f>
        <v>0.9528023598820059</v>
      </c>
      <c r="J451" s="11">
        <f>1-I451</f>
        <v>4.71976401179941E-2</v>
      </c>
      <c r="K451">
        <f>H451-D455</f>
        <v>-137</v>
      </c>
      <c r="N451" s="10">
        <f>2*(D456*I451)/(D456+I451)</f>
        <v>0.79263803680981604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151</v>
      </c>
      <c r="E452" s="27">
        <v>7048</v>
      </c>
      <c r="F452" s="1">
        <v>119</v>
      </c>
      <c r="G452" s="6">
        <v>81</v>
      </c>
      <c r="H452" s="1">
        <f>SUM(C452:G452)</f>
        <v>7399</v>
      </c>
      <c r="I452" s="10">
        <f>E452/H452</f>
        <v>0.9525611569130964</v>
      </c>
      <c r="J452" s="11">
        <f>1-I452</f>
        <v>4.7438843086903604E-2</v>
      </c>
      <c r="K452">
        <f>H452-E455</f>
        <v>158</v>
      </c>
      <c r="N452" s="10">
        <f>2*(E456*I452)/(E456+I452)</f>
        <v>0.96284153005464479</v>
      </c>
      <c r="O452" s="1"/>
      <c r="P452" s="1"/>
    </row>
    <row r="453" spans="1:40" x14ac:dyDescent="0.3">
      <c r="A453" t="s">
        <v>6</v>
      </c>
      <c r="B453" s="13">
        <v>3</v>
      </c>
      <c r="C453" s="5">
        <v>0</v>
      </c>
      <c r="D453" s="1">
        <v>2</v>
      </c>
      <c r="E453" s="1">
        <v>123</v>
      </c>
      <c r="F453" s="27">
        <v>2371</v>
      </c>
      <c r="G453" s="6">
        <v>107</v>
      </c>
      <c r="H453" s="1">
        <f>SUM(C453:G453)</f>
        <v>2603</v>
      </c>
      <c r="I453" s="10">
        <f>F453/H453</f>
        <v>0.91087207068766807</v>
      </c>
      <c r="J453" s="11">
        <f>1-I453</f>
        <v>8.9127929312331933E-2</v>
      </c>
      <c r="K453">
        <f>H453-F455</f>
        <v>6</v>
      </c>
      <c r="N453" s="10">
        <f>2*(F456*I453)/(F456+I453)</f>
        <v>0.91192307692307695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0</v>
      </c>
      <c r="E454" s="8">
        <v>54</v>
      </c>
      <c r="F454" s="8">
        <v>107</v>
      </c>
      <c r="G454" s="28">
        <v>799</v>
      </c>
      <c r="H454" s="1">
        <f>SUM(C454:G454)</f>
        <v>960</v>
      </c>
      <c r="I454" s="10">
        <f>G454/H454</f>
        <v>0.83229166666666665</v>
      </c>
      <c r="J454" s="11">
        <f>1-I454</f>
        <v>0.16770833333333335</v>
      </c>
      <c r="K454">
        <f>H454-G455</f>
        <v>-27</v>
      </c>
      <c r="N454" s="10">
        <f>2*(G456*I454)/(G456+I454)</f>
        <v>0.82074987159732926</v>
      </c>
      <c r="O454" s="1"/>
      <c r="P454" s="1"/>
    </row>
    <row r="455" spans="1:40" ht="15.6" x14ac:dyDescent="0.35">
      <c r="B455" s="1" t="s">
        <v>19</v>
      </c>
      <c r="C455" s="1">
        <f>SUM(C450:C454)</f>
        <v>259</v>
      </c>
      <c r="D455" s="1">
        <f>SUM(D450:D454)</f>
        <v>476</v>
      </c>
      <c r="E455" s="1">
        <f>SUM(E450:E454)</f>
        <v>7241</v>
      </c>
      <c r="F455" s="1">
        <f>SUM(F450:F454)</f>
        <v>2597</v>
      </c>
      <c r="G455" s="1">
        <f>SUM(G450:G454)</f>
        <v>987</v>
      </c>
      <c r="H455" s="1">
        <f>SUM(H449:H454)</f>
        <v>11560</v>
      </c>
      <c r="I455" s="13" t="s">
        <v>12</v>
      </c>
      <c r="N455" s="16"/>
      <c r="O455" s="1"/>
      <c r="P455" s="1"/>
      <c r="AM455" s="78"/>
      <c r="AN455" s="78"/>
    </row>
    <row r="456" spans="1:40" x14ac:dyDescent="0.3">
      <c r="A456" s="1" t="s">
        <v>57</v>
      </c>
      <c r="B456" s="1" t="s">
        <v>2</v>
      </c>
      <c r="C456" s="10">
        <f>C450/C455</f>
        <v>1</v>
      </c>
      <c r="D456" s="10">
        <f>D451/D455</f>
        <v>0.6785714285714286</v>
      </c>
      <c r="E456" s="10">
        <f>E452/E455</f>
        <v>0.97334622289738981</v>
      </c>
      <c r="F456" s="10">
        <f>F453/F455</f>
        <v>0.91297651135926072</v>
      </c>
      <c r="G456" s="10">
        <f>G454/G455</f>
        <v>0.80952380952380953</v>
      </c>
      <c r="H456" s="10"/>
      <c r="I456" s="14">
        <f>(C450+D451+E452+F453+G454)/H455</f>
        <v>0.93425605536332179</v>
      </c>
    </row>
    <row r="457" spans="1:40" x14ac:dyDescent="0.3">
      <c r="B457" s="1" t="s">
        <v>14</v>
      </c>
      <c r="C457" s="11">
        <f>1-C456</f>
        <v>0</v>
      </c>
      <c r="D457" s="11">
        <f>1-D456</f>
        <v>0.3214285714285714</v>
      </c>
      <c r="E457" s="11">
        <f>1-E456</f>
        <v>2.6653777102610188E-2</v>
      </c>
      <c r="F457" s="11">
        <f>1-F456</f>
        <v>8.7023488640739277E-2</v>
      </c>
      <c r="G457" s="11">
        <f>1-G456</f>
        <v>0.19047619047619047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1.4433365262486952</v>
      </c>
      <c r="D461" s="31">
        <f>(D450/$L461)*$O461</f>
        <v>0</v>
      </c>
      <c r="E461" s="31">
        <f>(E450/$L461)*$O461</f>
        <v>0</v>
      </c>
      <c r="F461" s="31">
        <f>(F450/$L461)*$O461</f>
        <v>0</v>
      </c>
      <c r="G461" s="32">
        <f>(G450/$L461)*$O461</f>
        <v>0</v>
      </c>
      <c r="H461" s="17">
        <f>SUM(C461:G461)</f>
        <v>1.4433365262486952</v>
      </c>
      <c r="I461" s="17">
        <f>C461/H461*100</f>
        <v>100</v>
      </c>
      <c r="J461" s="17">
        <f>SQRT(I461*(100-I461)/(L461-1))</f>
        <v>0</v>
      </c>
      <c r="K461" s="18">
        <f>100-I461</f>
        <v>0</v>
      </c>
      <c r="L461" s="1">
        <f>H450</f>
        <v>259</v>
      </c>
      <c r="M461">
        <v>0</v>
      </c>
      <c r="N461" s="1">
        <v>2634.66</v>
      </c>
      <c r="O461" s="17">
        <f>N461/N466*100</f>
        <v>1.4433365262486952</v>
      </c>
      <c r="P461" s="52">
        <f>((O461*O461*(I461/100)*(K461/100))/(L461-1))</f>
        <v>0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53">(C451/$L462)*$O462</f>
        <v>0</v>
      </c>
      <c r="D462" s="34">
        <f t="shared" si="53"/>
        <v>4.9003413249073162</v>
      </c>
      <c r="E462" s="19">
        <f t="shared" si="53"/>
        <v>0.24274136593968126</v>
      </c>
      <c r="F462" s="18">
        <f t="shared" si="53"/>
        <v>0</v>
      </c>
      <c r="G462" s="20">
        <f t="shared" si="53"/>
        <v>0</v>
      </c>
      <c r="H462" s="17">
        <f>SUM(C462:G462)</f>
        <v>5.1430826908469971</v>
      </c>
      <c r="I462" s="17">
        <f>D462/H462*100</f>
        <v>95.280235988200602</v>
      </c>
      <c r="J462" s="17">
        <f>SQRT(I462*(100-I462)/(L462-1))</f>
        <v>1.1534617678365164</v>
      </c>
      <c r="K462" s="18">
        <f>100-I462</f>
        <v>4.7197640117993984</v>
      </c>
      <c r="L462" s="1">
        <f>H451</f>
        <v>339</v>
      </c>
      <c r="M462">
        <v>1</v>
      </c>
      <c r="N462" s="1">
        <v>9388.16</v>
      </c>
      <c r="O462" s="17">
        <f>N462/N466*100</f>
        <v>5.1430826908469971</v>
      </c>
      <c r="P462" s="52">
        <f>((O462*O462*(I462/100)*(K462/100))/(L462-1))</f>
        <v>3.5192767656173568E-3</v>
      </c>
    </row>
    <row r="463" spans="1:40" x14ac:dyDescent="0.3">
      <c r="A463" t="s">
        <v>5</v>
      </c>
      <c r="B463" s="13">
        <v>2</v>
      </c>
      <c r="C463" s="33">
        <f t="shared" si="53"/>
        <v>0</v>
      </c>
      <c r="D463" s="19">
        <f t="shared" si="53"/>
        <v>1.1646204108330811</v>
      </c>
      <c r="E463" s="34">
        <f t="shared" si="53"/>
        <v>54.3592361294805</v>
      </c>
      <c r="F463" s="19">
        <f t="shared" si="53"/>
        <v>0.91781343635189838</v>
      </c>
      <c r="G463" s="20">
        <f t="shared" si="53"/>
        <v>0.62473015415549382</v>
      </c>
      <c r="H463" s="17">
        <f>SUM(C463:G463)</f>
        <v>57.066400130820973</v>
      </c>
      <c r="I463" s="17">
        <f>E463/H463*100</f>
        <v>95.256115691309645</v>
      </c>
      <c r="J463" s="17">
        <f>SQRT(I463*(100-I463)/(L463-1))</f>
        <v>0.24714755313726086</v>
      </c>
      <c r="K463" s="18">
        <f>100-I463</f>
        <v>4.7438843086903546</v>
      </c>
      <c r="L463" s="1">
        <f>H452</f>
        <v>7399</v>
      </c>
      <c r="M463">
        <v>2</v>
      </c>
      <c r="N463" s="1">
        <v>104168.75</v>
      </c>
      <c r="O463" s="17">
        <f>N463/N466*100</f>
        <v>57.066400130820973</v>
      </c>
      <c r="P463" s="52">
        <f>((O463*O463*(I463/100)*(K463/100))/(L463-1))</f>
        <v>1.9891777127615005E-2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53"/>
        <v>0</v>
      </c>
      <c r="D464" s="19">
        <f t="shared" si="53"/>
        <v>1.7637504129082972E-2</v>
      </c>
      <c r="E464" s="19">
        <f t="shared" si="53"/>
        <v>1.0847065039386026</v>
      </c>
      <c r="F464" s="34">
        <f t="shared" si="53"/>
        <v>20.909261145027859</v>
      </c>
      <c r="G464" s="20">
        <f t="shared" si="53"/>
        <v>0.94360647090593897</v>
      </c>
      <c r="H464" s="17">
        <f>SUM(C464:G464)</f>
        <v>22.955211624001482</v>
      </c>
      <c r="I464" s="17">
        <f>F464/H464*100</f>
        <v>91.087207068766816</v>
      </c>
      <c r="J464" s="17">
        <f>SQRT(I464*(100-I464)/(L464-1))</f>
        <v>0.5585755929498778</v>
      </c>
      <c r="K464" s="18">
        <f>100-I464</f>
        <v>8.9127929312331844</v>
      </c>
      <c r="L464" s="1">
        <f>H453</f>
        <v>2603</v>
      </c>
      <c r="M464">
        <v>3</v>
      </c>
      <c r="N464" s="1">
        <v>41902.339999999997</v>
      </c>
      <c r="O464" s="17">
        <f>N464/N466*100</f>
        <v>22.955211624001485</v>
      </c>
      <c r="P464" s="52">
        <f>((O464*O464*(I464/100)*(K464/100))/(L464-1))</f>
        <v>1.644093499410235E-2</v>
      </c>
    </row>
    <row r="465" spans="1:40" x14ac:dyDescent="0.3">
      <c r="A465" t="s">
        <v>7</v>
      </c>
      <c r="B465" s="13">
        <v>4</v>
      </c>
      <c r="C465" s="35">
        <f t="shared" si="53"/>
        <v>0</v>
      </c>
      <c r="D465" s="36">
        <f t="shared" si="53"/>
        <v>0</v>
      </c>
      <c r="E465" s="21">
        <f t="shared" si="53"/>
        <v>0.75329825782960469</v>
      </c>
      <c r="F465" s="21">
        <f t="shared" si="53"/>
        <v>1.492646547921624</v>
      </c>
      <c r="G465" s="37">
        <f t="shared" si="53"/>
        <v>11.146024222330631</v>
      </c>
      <c r="H465" s="17">
        <f>SUM(C465:G465)</f>
        <v>13.39196902808186</v>
      </c>
      <c r="I465" s="17">
        <f>G465/H465*100</f>
        <v>83.229166666666671</v>
      </c>
      <c r="J465" s="17">
        <f>SQRT(I465*(100-I465)/(L465-1))</f>
        <v>1.2064401752225082</v>
      </c>
      <c r="K465" s="18">
        <f>100-I465</f>
        <v>16.770833333333329</v>
      </c>
      <c r="L465" s="1">
        <f>H454</f>
        <v>960</v>
      </c>
      <c r="M465">
        <v>4</v>
      </c>
      <c r="N465" s="1">
        <v>24445.64</v>
      </c>
      <c r="O465" s="17">
        <f>N465/N466*100</f>
        <v>13.39196902808186</v>
      </c>
      <c r="P465" s="52">
        <f>((O465*O465*(I465/100)*(K465/100))/(L465-1))</f>
        <v>2.6103602926924773E-2</v>
      </c>
      <c r="AM465" s="78"/>
      <c r="AN465" s="78"/>
    </row>
    <row r="466" spans="1:40" x14ac:dyDescent="0.3">
      <c r="B466" t="s">
        <v>28</v>
      </c>
      <c r="C466" s="17">
        <f t="shared" ref="C466:H466" si="54">SUM(C461:C465)</f>
        <v>1.4433365262486952</v>
      </c>
      <c r="D466" s="17">
        <f t="shared" si="54"/>
        <v>6.0825992398694799</v>
      </c>
      <c r="E466" s="17">
        <f t="shared" si="54"/>
        <v>56.43998225718839</v>
      </c>
      <c r="F466" s="17">
        <f t="shared" si="54"/>
        <v>23.319721129301382</v>
      </c>
      <c r="G466" s="17">
        <f t="shared" si="54"/>
        <v>12.714360847392063</v>
      </c>
      <c r="H466" s="18">
        <f t="shared" si="54"/>
        <v>100</v>
      </c>
      <c r="I466" s="13" t="s">
        <v>24</v>
      </c>
      <c r="J466" s="12" t="s">
        <v>29</v>
      </c>
      <c r="N466" s="1">
        <f>SUM(N461:N465)</f>
        <v>182539.55</v>
      </c>
      <c r="O466" s="17">
        <f>SUM(O461:O465)</f>
        <v>100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0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0.11163956010174939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0.20598328448984482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0.20469770073944754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0.19703146378638223</v>
      </c>
      <c r="H467" s="1"/>
      <c r="I467" s="14">
        <f>(C461+D462+E463+F464+G465)/H466</f>
        <v>0.92758199347995007</v>
      </c>
      <c r="J467" s="53">
        <f>SQRT(SUM(P461:P465))/100</f>
        <v>2.5681820771561248E-3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100</v>
      </c>
      <c r="D468" s="17">
        <f>D462/D466*100</f>
        <v>80.563277830095331</v>
      </c>
      <c r="E468" s="17">
        <f>E463/E466*100</f>
        <v>96.313347303643283</v>
      </c>
      <c r="F468" s="17">
        <f>F464/F466*100</f>
        <v>89.663427058547612</v>
      </c>
      <c r="G468" s="17">
        <f>G465/G466*100</f>
        <v>87.664841010209912</v>
      </c>
      <c r="H468" s="1"/>
    </row>
    <row r="469" spans="1:40" x14ac:dyDescent="0.3">
      <c r="B469" s="16" t="s">
        <v>39</v>
      </c>
      <c r="C469" s="18">
        <f>SQRT((C472+C473)/(C466*C466))</f>
        <v>0</v>
      </c>
      <c r="D469" s="18">
        <f>SQRT((D472+D473)/(D466*D466))</f>
        <v>2.2725768778805451</v>
      </c>
      <c r="E469" s="18">
        <f>SQRT((E472+E473)/(E466*E466))</f>
        <v>0.27238847394893911</v>
      </c>
      <c r="F469" s="18">
        <f>SQRT((F472+F473)/(F466*F466))</f>
        <v>0.8365476783728184</v>
      </c>
      <c r="G469" s="18">
        <f>SQRT((G472+G473)/(G466*G466))</f>
        <v>1.7501578861428875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0</v>
      </c>
      <c r="D470" s="18">
        <f>100-D468</f>
        <v>19.436722169904669</v>
      </c>
      <c r="E470" s="18">
        <f>100-E468</f>
        <v>3.6866526963567168</v>
      </c>
      <c r="F470" s="18">
        <f>100-F468</f>
        <v>10.336572941452388</v>
      </c>
      <c r="G470" s="18">
        <f>100-G468</f>
        <v>12.335158989790088</v>
      </c>
    </row>
    <row r="471" spans="1:40" ht="15.6" x14ac:dyDescent="0.35">
      <c r="B471" s="1" t="s">
        <v>25</v>
      </c>
      <c r="C471" s="1">
        <f>C455</f>
        <v>259</v>
      </c>
      <c r="D471" s="1">
        <f>D455</f>
        <v>476</v>
      </c>
      <c r="E471" s="1">
        <f>E455</f>
        <v>7241</v>
      </c>
      <c r="F471" s="1">
        <f>F455</f>
        <v>2597</v>
      </c>
      <c r="G471" s="1">
        <f>G455</f>
        <v>987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132.9534085912926</v>
      </c>
      <c r="E472" s="18">
        <f>(O463*O463*(100-E468)*(100-E468)*(I463)*(100-I463))/((L463-1)*100)</f>
        <v>27.035726084636167</v>
      </c>
      <c r="F472" s="18">
        <f>(O464*O464*(100-F468)*(100-F468)*(I464)*(100-I464))/((L464-1)*100)</f>
        <v>175.66274276619254</v>
      </c>
      <c r="G472" s="18">
        <f>(O465*O465*(100-G468)*(100-G468)*(I465)*(100-I465))/((L465-1)*100)</f>
        <v>397.18236520986073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58.126741623432544</v>
      </c>
      <c r="E473" s="18">
        <f>E468*E468*(SUM((H461*E461*(1-E450/H450))/(H450-1),(H462*E462*(1-E451/H451))/(H451-1), (H464*E464*(1-E453/H453))/(H453-1),(H465*E465*(1-E454/H454))/(H454-1)))</f>
        <v>209.31187045335929</v>
      </c>
      <c r="F473" s="18">
        <f>F468*F468*(SUM((H461*F461*(1-F450/H450))/(H450-1),(H462*F462*(1-F451/H451))/(H451-1), (H463*F463*(1-F452/H452))/(H452-1),(H465*F465*(1-F454/H454))/(H454-1)))</f>
        <v>204.90160644410096</v>
      </c>
      <c r="G473" s="18">
        <f>G468*G468*(SUM((H461*G461*(1-G450/H450))/(H450-1),(H462*G462*(1-G451/H451))/(H451-1), (H463*G463*(1-G452/H452))/(H452-1),(H464*G464*(1-G453/H453))/(H453-1)))</f>
        <v>97.975320607717521</v>
      </c>
      <c r="AM473" s="78"/>
      <c r="AN473" s="78"/>
    </row>
    <row r="475" spans="1:40" x14ac:dyDescent="0.3">
      <c r="AM475" s="78"/>
      <c r="AN475" s="78"/>
    </row>
    <row r="476" spans="1:40" x14ac:dyDescent="0.3">
      <c r="A476" s="361" t="s">
        <v>405</v>
      </c>
      <c r="B476" s="361"/>
      <c r="C476" s="361"/>
      <c r="D476" s="361"/>
      <c r="E476" s="361"/>
      <c r="F476" s="361"/>
      <c r="G476" s="361"/>
      <c r="H476" s="361"/>
      <c r="I476" s="361"/>
      <c r="J476" s="361"/>
      <c r="K476" s="361"/>
      <c r="L476" s="361" t="s">
        <v>94</v>
      </c>
      <c r="M476" s="361"/>
      <c r="N476" s="361"/>
      <c r="O476" s="361"/>
      <c r="P476" s="361"/>
    </row>
    <row r="477" spans="1:40" x14ac:dyDescent="0.3">
      <c r="A477" t="s">
        <v>15</v>
      </c>
      <c r="B477" t="s">
        <v>21</v>
      </c>
      <c r="I477" s="1" t="s">
        <v>58</v>
      </c>
      <c r="O477" s="143"/>
      <c r="P477" s="143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56</v>
      </c>
      <c r="O478" s="13"/>
      <c r="P478" s="13"/>
    </row>
    <row r="479" spans="1:40" x14ac:dyDescent="0.3">
      <c r="A479" t="s">
        <v>3</v>
      </c>
      <c r="B479" s="13">
        <v>0</v>
      </c>
      <c r="C479" s="26">
        <v>259</v>
      </c>
      <c r="D479" s="3">
        <v>0</v>
      </c>
      <c r="E479" s="3">
        <v>0</v>
      </c>
      <c r="F479" s="3">
        <v>0</v>
      </c>
      <c r="G479" s="4">
        <v>0</v>
      </c>
      <c r="H479" s="1">
        <f>SUM(C479:G479)</f>
        <v>259</v>
      </c>
      <c r="I479" s="10">
        <f>C479/H479</f>
        <v>1</v>
      </c>
      <c r="J479" s="11">
        <f>1-I479</f>
        <v>0</v>
      </c>
      <c r="K479">
        <f>H479-C484</f>
        <v>0</v>
      </c>
      <c r="N479" s="10">
        <f>2*(C485*I479)/(C485+I479)</f>
        <v>1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323</v>
      </c>
      <c r="E480" s="1">
        <v>16</v>
      </c>
      <c r="F480" s="1">
        <v>0</v>
      </c>
      <c r="G480" s="6">
        <v>0</v>
      </c>
      <c r="H480" s="1">
        <f>SUM(C480:G480)</f>
        <v>339</v>
      </c>
      <c r="I480" s="10">
        <f>D480/H480</f>
        <v>0.9528023598820059</v>
      </c>
      <c r="J480" s="11">
        <f>1-I480</f>
        <v>4.71976401179941E-2</v>
      </c>
      <c r="K480">
        <f>H480-D484</f>
        <v>-137</v>
      </c>
      <c r="N480" s="10">
        <f>2*(D485*I480)/(D485+I480)</f>
        <v>0.79263803680981604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151</v>
      </c>
      <c r="E481" s="27">
        <v>7048</v>
      </c>
      <c r="F481" s="1">
        <v>119</v>
      </c>
      <c r="G481" s="6">
        <v>81</v>
      </c>
      <c r="H481" s="1">
        <f>SUM(C481:G481)</f>
        <v>7399</v>
      </c>
      <c r="I481" s="10">
        <f>E481/H481</f>
        <v>0.9525611569130964</v>
      </c>
      <c r="J481" s="11">
        <f>1-I481</f>
        <v>4.7438843086903604E-2</v>
      </c>
      <c r="K481">
        <f>H481-E484</f>
        <v>158</v>
      </c>
      <c r="N481" s="10">
        <f>2*(E485*I481)/(E485+I481)</f>
        <v>0.96284153005464479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2</v>
      </c>
      <c r="E482" s="1">
        <v>123</v>
      </c>
      <c r="F482" s="27">
        <v>2371</v>
      </c>
      <c r="G482" s="6">
        <v>107</v>
      </c>
      <c r="H482" s="1">
        <f>SUM(C482:G482)</f>
        <v>2603</v>
      </c>
      <c r="I482" s="10">
        <f>F482/H482</f>
        <v>0.91087207068766807</v>
      </c>
      <c r="J482" s="11">
        <f>1-I482</f>
        <v>8.9127929312331933E-2</v>
      </c>
      <c r="K482">
        <f>H482-F484</f>
        <v>6</v>
      </c>
      <c r="N482" s="10">
        <f>2*(F485*I482)/(F485+I482)</f>
        <v>0.91192307692307695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0</v>
      </c>
      <c r="E483" s="8">
        <v>54</v>
      </c>
      <c r="F483" s="8">
        <v>107</v>
      </c>
      <c r="G483" s="28">
        <v>799</v>
      </c>
      <c r="H483" s="1">
        <f>SUM(C483:G483)</f>
        <v>960</v>
      </c>
      <c r="I483" s="10">
        <f>G483/H483</f>
        <v>0.83229166666666665</v>
      </c>
      <c r="J483" s="11">
        <f>1-I483</f>
        <v>0.16770833333333335</v>
      </c>
      <c r="K483">
        <f>H483-G484</f>
        <v>-27</v>
      </c>
      <c r="N483" s="10">
        <f>2*(G485*I483)/(G485+I483)</f>
        <v>0.82074987159732926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259</v>
      </c>
      <c r="D484" s="1">
        <f>SUM(D479:D483)</f>
        <v>476</v>
      </c>
      <c r="E484" s="1">
        <f>SUM(E479:E483)</f>
        <v>7241</v>
      </c>
      <c r="F484" s="1">
        <f>SUM(F479:F483)</f>
        <v>2597</v>
      </c>
      <c r="G484" s="1">
        <f>SUM(G479:G483)</f>
        <v>987</v>
      </c>
      <c r="H484" s="1">
        <f>SUM(H478:H483)</f>
        <v>11560</v>
      </c>
      <c r="I484" s="13" t="s">
        <v>12</v>
      </c>
      <c r="N484" s="16"/>
      <c r="O484" s="1"/>
      <c r="P484" s="1"/>
    </row>
    <row r="485" spans="1:40" x14ac:dyDescent="0.3">
      <c r="A485" s="1" t="s">
        <v>57</v>
      </c>
      <c r="B485" s="1" t="s">
        <v>2</v>
      </c>
      <c r="C485" s="10">
        <f>C479/C484</f>
        <v>1</v>
      </c>
      <c r="D485" s="10">
        <f>D480/D484</f>
        <v>0.6785714285714286</v>
      </c>
      <c r="E485" s="10">
        <f>E481/E484</f>
        <v>0.97334622289738981</v>
      </c>
      <c r="F485" s="10">
        <f>F482/F484</f>
        <v>0.91297651135926072</v>
      </c>
      <c r="G485" s="10">
        <f>G483/G484</f>
        <v>0.80952380952380953</v>
      </c>
      <c r="H485" s="10"/>
      <c r="I485" s="14">
        <f>(C479+D480+E481+F482+G483)/H484</f>
        <v>0.93425605536332179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0.3214285714285714</v>
      </c>
      <c r="E486" s="11">
        <f>1-E485</f>
        <v>2.6653777102610188E-2</v>
      </c>
      <c r="F486" s="11">
        <f>1-F485</f>
        <v>8.7023488640739277E-2</v>
      </c>
      <c r="G486" s="11">
        <f>1-G485</f>
        <v>0.19047619047619047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1.4561612240285036</v>
      </c>
      <c r="D490" s="31">
        <f>(D479/$L490)*$O490</f>
        <v>0</v>
      </c>
      <c r="E490" s="31">
        <f>(E479/$L490)*$O490</f>
        <v>0</v>
      </c>
      <c r="F490" s="31">
        <f>(F479/$L490)*$O490</f>
        <v>0</v>
      </c>
      <c r="G490" s="32">
        <f>(G479/$L490)*$O490</f>
        <v>0</v>
      </c>
      <c r="H490" s="17">
        <f>SUM(C490:G490)</f>
        <v>1.4561612240285036</v>
      </c>
      <c r="I490" s="17">
        <f>C490/H490*100</f>
        <v>100</v>
      </c>
      <c r="J490" s="17">
        <f>SQRT(I490*(100-I490)/(L490-1))</f>
        <v>0</v>
      </c>
      <c r="K490" s="18">
        <f>100-I490</f>
        <v>0</v>
      </c>
      <c r="L490" s="1">
        <f>H479</f>
        <v>259</v>
      </c>
      <c r="M490">
        <v>0</v>
      </c>
      <c r="N490" s="1">
        <v>2658.07</v>
      </c>
      <c r="O490" s="17">
        <f>N490/N495*100</f>
        <v>1.4561612240285036</v>
      </c>
      <c r="P490" s="52">
        <f>((O490*O490*(I490/100)*(K490/100))/(L490-1))</f>
        <v>0</v>
      </c>
    </row>
    <row r="491" spans="1:40" x14ac:dyDescent="0.3">
      <c r="A491" t="s">
        <v>4</v>
      </c>
      <c r="B491" s="13">
        <v>1</v>
      </c>
      <c r="C491" s="33">
        <f t="shared" ref="C491:G494" si="55">(C480/$L491)*$O491</f>
        <v>0</v>
      </c>
      <c r="D491" s="34">
        <f t="shared" si="55"/>
        <v>4.9270299397109358</v>
      </c>
      <c r="E491" s="19">
        <f t="shared" si="55"/>
        <v>0.24406340258630022</v>
      </c>
      <c r="F491" s="18">
        <f t="shared" si="55"/>
        <v>0</v>
      </c>
      <c r="G491" s="20">
        <f t="shared" si="55"/>
        <v>0</v>
      </c>
      <c r="H491" s="17">
        <f>SUM(C491:G491)</f>
        <v>5.1710933422972358</v>
      </c>
      <c r="I491" s="17">
        <f>D491/H491*100</f>
        <v>95.280235988200587</v>
      </c>
      <c r="J491" s="17">
        <f>SQRT(I491*(100-I491)/(L491-1))</f>
        <v>1.153461767836518</v>
      </c>
      <c r="K491" s="18">
        <f>100-I491</f>
        <v>4.7197640117994126</v>
      </c>
      <c r="L491" s="1">
        <f>H480</f>
        <v>339</v>
      </c>
      <c r="M491">
        <v>1</v>
      </c>
      <c r="N491" s="1">
        <v>9439.2900000000009</v>
      </c>
      <c r="O491" s="17">
        <f>N491/N495*100</f>
        <v>5.1710933422972358</v>
      </c>
      <c r="P491" s="52">
        <f>((O491*O491*(I491/100)*(K491/100))/(L491-1))</f>
        <v>3.5577150642911986E-3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55"/>
        <v>0</v>
      </c>
      <c r="D492" s="19">
        <f t="shared" si="55"/>
        <v>1.1602032041040173</v>
      </c>
      <c r="E492" s="34">
        <f t="shared" si="55"/>
        <v>54.153060811424602</v>
      </c>
      <c r="F492" s="19">
        <f t="shared" si="55"/>
        <v>0.91433232641309992</v>
      </c>
      <c r="G492" s="20">
        <f t="shared" si="55"/>
        <v>0.62236065915513517</v>
      </c>
      <c r="H492" s="17">
        <f>SUM(C492:G492)</f>
        <v>56.849957001096854</v>
      </c>
      <c r="I492" s="17">
        <f>E492/H492*100</f>
        <v>95.256115691309645</v>
      </c>
      <c r="J492" s="17">
        <f>SQRT(I492*(100-I492)/(L492-1))</f>
        <v>0.24714755313726086</v>
      </c>
      <c r="K492" s="18">
        <f>100-I492</f>
        <v>4.7438843086903546</v>
      </c>
      <c r="L492" s="1">
        <f>H481</f>
        <v>7399</v>
      </c>
      <c r="M492">
        <v>2</v>
      </c>
      <c r="N492" s="1">
        <v>103773.65</v>
      </c>
      <c r="O492" s="17">
        <f>N492/N495*100</f>
        <v>56.849957001096854</v>
      </c>
      <c r="P492" s="52">
        <f>((O492*O492*(I492/100)*(K492/100))/(L492-1))</f>
        <v>1.9741171041013857E-2</v>
      </c>
    </row>
    <row r="493" spans="1:40" x14ac:dyDescent="0.3">
      <c r="A493" t="s">
        <v>6</v>
      </c>
      <c r="B493" s="13">
        <v>3</v>
      </c>
      <c r="C493" s="33">
        <f t="shared" si="55"/>
        <v>0</v>
      </c>
      <c r="D493" s="19">
        <f t="shared" si="55"/>
        <v>1.7848646652225509E-2</v>
      </c>
      <c r="E493" s="19">
        <f t="shared" si="55"/>
        <v>1.0976917691118686</v>
      </c>
      <c r="F493" s="34">
        <f t="shared" si="55"/>
        <v>21.15957060621334</v>
      </c>
      <c r="G493" s="20">
        <f t="shared" si="55"/>
        <v>0.95490259589406479</v>
      </c>
      <c r="H493" s="17">
        <f>SUM(C493:G493)</f>
        <v>23.230013617871499</v>
      </c>
      <c r="I493" s="17">
        <f>F493/H493*100</f>
        <v>91.087207068766801</v>
      </c>
      <c r="J493" s="17">
        <f>SQRT(I493*(100-I493)/(L493-1))</f>
        <v>0.55857559294987813</v>
      </c>
      <c r="K493" s="18">
        <f>100-I493</f>
        <v>8.9127929312331986</v>
      </c>
      <c r="L493" s="1">
        <f>H482</f>
        <v>2603</v>
      </c>
      <c r="M493">
        <v>3</v>
      </c>
      <c r="N493" s="1">
        <v>42403.96</v>
      </c>
      <c r="O493" s="17">
        <f>N493/N495*100</f>
        <v>23.230013617871499</v>
      </c>
      <c r="P493" s="52">
        <f>((O493*O493*(I493/100)*(K493/100))/(L493-1))</f>
        <v>1.6836927398663274E-2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55"/>
        <v>0</v>
      </c>
      <c r="D494" s="36">
        <f t="shared" si="55"/>
        <v>0</v>
      </c>
      <c r="E494" s="21">
        <f t="shared" si="55"/>
        <v>0.74771858332720686</v>
      </c>
      <c r="F494" s="21">
        <f t="shared" si="55"/>
        <v>1.4815905262224285</v>
      </c>
      <c r="G494" s="37">
        <f t="shared" si="55"/>
        <v>11.063465705156263</v>
      </c>
      <c r="H494" s="17">
        <f>SUM(C494:G494)</f>
        <v>13.292774814705899</v>
      </c>
      <c r="I494" s="17">
        <f>G494/H494*100</f>
        <v>83.229166666666671</v>
      </c>
      <c r="J494" s="17">
        <f>SQRT(I494*(100-I494)/(L494-1))</f>
        <v>1.2064401752225082</v>
      </c>
      <c r="K494" s="18">
        <f>100-I494</f>
        <v>16.770833333333329</v>
      </c>
      <c r="L494" s="1">
        <f>H483</f>
        <v>960</v>
      </c>
      <c r="M494">
        <v>4</v>
      </c>
      <c r="N494" s="1">
        <v>24264.57</v>
      </c>
      <c r="O494" s="17">
        <f>N494/N495*100</f>
        <v>13.292774814705899</v>
      </c>
      <c r="P494" s="52">
        <f>((O494*O494*(I494/100)*(K494/100))/(L494-1))</f>
        <v>2.571833668372767E-2</v>
      </c>
    </row>
    <row r="495" spans="1:40" x14ac:dyDescent="0.3">
      <c r="B495" t="s">
        <v>28</v>
      </c>
      <c r="C495" s="17">
        <f t="shared" ref="C495:H495" si="56">SUM(C490:C494)</f>
        <v>1.4561612240285036</v>
      </c>
      <c r="D495" s="17">
        <f t="shared" si="56"/>
        <v>6.105081790467179</v>
      </c>
      <c r="E495" s="17">
        <f t="shared" si="56"/>
        <v>56.242534566449976</v>
      </c>
      <c r="F495" s="17">
        <f t="shared" si="56"/>
        <v>23.555493458848868</v>
      </c>
      <c r="G495" s="17">
        <f t="shared" si="56"/>
        <v>12.640728960205463</v>
      </c>
      <c r="H495" s="18">
        <f t="shared" si="56"/>
        <v>99.999999999999986</v>
      </c>
      <c r="I495" s="13" t="s">
        <v>24</v>
      </c>
      <c r="J495" s="12" t="s">
        <v>29</v>
      </c>
      <c r="N495" s="1">
        <f>SUM(N490:N494)</f>
        <v>182539.54</v>
      </c>
      <c r="O495" s="17">
        <f>SUM(O490:O494)</f>
        <v>99.999999999999986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0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0.11152954554093587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0.20588830047443155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0.20486871067633186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0.19645009573666369</v>
      </c>
      <c r="H496" s="1"/>
      <c r="I496" s="14">
        <f>(C490+D491+E492+F493+G494)/H495</f>
        <v>0.92759288286533659</v>
      </c>
      <c r="J496" s="53">
        <f>SQRT(SUM(P490:P494))/100</f>
        <v>2.566206347659829E-3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80.703749905599622</v>
      </c>
      <c r="E497" s="17">
        <f>E492/E495*100</f>
        <v>96.284886925647555</v>
      </c>
      <c r="F497" s="17">
        <f>F493/F495*100</f>
        <v>89.828602585544743</v>
      </c>
      <c r="G497" s="17">
        <f>G494/G495*100</f>
        <v>87.522371059338312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2.2601145448715023</v>
      </c>
      <c r="E498" s="18">
        <f>SQRT((E501+E502)/(E495*E495))</f>
        <v>0.2739923581625231</v>
      </c>
      <c r="F498" s="18">
        <f>SQRT((F501+F502)/(F495*F495))</f>
        <v>0.8245234433169838</v>
      </c>
      <c r="G498" s="18">
        <f>SQRT((G501+G502)/(G495*G495))</f>
        <v>1.7676391559668518</v>
      </c>
      <c r="H498" s="1"/>
    </row>
    <row r="499" spans="1:40" x14ac:dyDescent="0.3">
      <c r="B499" s="1" t="s">
        <v>37</v>
      </c>
      <c r="C499" s="18">
        <f>100-C497</f>
        <v>0</v>
      </c>
      <c r="D499" s="18">
        <f>100-D497</f>
        <v>19.296250094400378</v>
      </c>
      <c r="E499" s="18">
        <f>100-E497</f>
        <v>3.7151130743524448</v>
      </c>
      <c r="F499" s="18">
        <f>100-F497</f>
        <v>10.171397414455257</v>
      </c>
      <c r="G499" s="18">
        <f>100-G497</f>
        <v>12.477628940661688</v>
      </c>
      <c r="AM499" s="78"/>
      <c r="AN499" s="78"/>
    </row>
    <row r="500" spans="1:40" ht="15.6" x14ac:dyDescent="0.35">
      <c r="B500" s="1" t="s">
        <v>25</v>
      </c>
      <c r="C500" s="1">
        <f>C484</f>
        <v>259</v>
      </c>
      <c r="D500" s="1">
        <f>D484</f>
        <v>476</v>
      </c>
      <c r="E500" s="1">
        <f>E484</f>
        <v>7241</v>
      </c>
      <c r="F500" s="1">
        <f>F484</f>
        <v>2597</v>
      </c>
      <c r="G500" s="1">
        <f>G484</f>
        <v>987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132.46983680339181</v>
      </c>
      <c r="E501" s="18">
        <f>(O492*O492*(100-E497)*(100-E497)*(I492)*(100-I492))/((L492-1)*100)</f>
        <v>27.246892894850387</v>
      </c>
      <c r="F501" s="18">
        <f>(O493*O493*(100-F497)*(100-F497)*(I493)*(100-I493))/((L493-1)*100)</f>
        <v>174.19034759931301</v>
      </c>
      <c r="G501" s="18">
        <f>(O494*O494*(100-G497)*(100-G497)*(I494)*(100-I494))/((L494-1)*100)</f>
        <v>400.41193170408491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57.920049096425814</v>
      </c>
      <c r="E502" s="18">
        <f>E497*E497*(SUM((H490*E490*(1-E479/H479))/(H479-1),(H491*E491*(1-E480/H480))/(H480-1), (H493*E493*(1-E482/H482))/(H482-1),(H494*E494*(1-E483/H483))/(H483-1)))</f>
        <v>210.22196758614092</v>
      </c>
      <c r="F502" s="18">
        <f>F497*F497*(SUM((H490*F490*(1-F479/H479))/(H479-1),(H491*F491*(1-F480/H480))/(H480-1), (H492*F492*(1-F481/H481))/(H481-1),(H494*F494*(1-F483/H483))/(H483-1)))</f>
        <v>203.02593403118482</v>
      </c>
      <c r="G502" s="18">
        <f>G497*G497*(SUM((H490*G490*(1-G479/H479))/(H479-1),(H491*G491*(1-G480/H480))/(H480-1), (H492*G492*(1-G481/H481))/(H481-1),(H493*G493*(1-G482/H482))/(H482-1)))</f>
        <v>98.853463297558875</v>
      </c>
    </row>
    <row r="503" spans="1:40" x14ac:dyDescent="0.3">
      <c r="AM503" s="78"/>
      <c r="AN503" s="78"/>
    </row>
    <row r="505" spans="1:40" x14ac:dyDescent="0.3">
      <c r="A505" s="361" t="s">
        <v>405</v>
      </c>
      <c r="B505" s="361"/>
      <c r="C505" s="361"/>
      <c r="D505" s="361"/>
      <c r="E505" s="361"/>
      <c r="F505" s="361"/>
      <c r="G505" s="361"/>
      <c r="H505" s="361"/>
      <c r="I505" s="361"/>
      <c r="J505" s="361"/>
      <c r="K505" s="361"/>
      <c r="L505" s="361" t="s">
        <v>95</v>
      </c>
      <c r="M505" s="361"/>
      <c r="N505" s="361"/>
      <c r="O505" s="361"/>
      <c r="P505" s="361"/>
      <c r="AM505" s="78"/>
      <c r="AN505" s="78"/>
    </row>
    <row r="506" spans="1:40" x14ac:dyDescent="0.3">
      <c r="A506" t="s">
        <v>15</v>
      </c>
      <c r="B506" t="s">
        <v>21</v>
      </c>
      <c r="I506" s="1" t="s">
        <v>58</v>
      </c>
      <c r="O506" s="143"/>
      <c r="P506" s="143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56</v>
      </c>
      <c r="O507" s="13"/>
      <c r="P507" s="13"/>
      <c r="AM507" s="78"/>
      <c r="AN507" s="78"/>
    </row>
    <row r="508" spans="1:40" x14ac:dyDescent="0.3">
      <c r="A508" t="s">
        <v>3</v>
      </c>
      <c r="B508" s="13">
        <v>0</v>
      </c>
      <c r="C508" s="26">
        <v>259</v>
      </c>
      <c r="D508" s="3">
        <v>0</v>
      </c>
      <c r="E508" s="3">
        <v>0</v>
      </c>
      <c r="F508" s="3">
        <v>0</v>
      </c>
      <c r="G508" s="4">
        <v>0</v>
      </c>
      <c r="H508" s="1">
        <f>SUM(C508:G508)</f>
        <v>259</v>
      </c>
      <c r="I508" s="10">
        <f>C508/H508</f>
        <v>1</v>
      </c>
      <c r="J508" s="11">
        <f>1-I508</f>
        <v>0</v>
      </c>
      <c r="K508">
        <f>H508-C513</f>
        <v>0</v>
      </c>
      <c r="N508" s="10">
        <f>2*(C514*I508)/(C514+I508)</f>
        <v>1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323</v>
      </c>
      <c r="E509" s="1">
        <v>16</v>
      </c>
      <c r="F509" s="1">
        <v>0</v>
      </c>
      <c r="G509" s="6">
        <v>0</v>
      </c>
      <c r="H509" s="1">
        <f>SUM(C509:G509)</f>
        <v>339</v>
      </c>
      <c r="I509" s="10">
        <f>D509/H509</f>
        <v>0.9528023598820059</v>
      </c>
      <c r="J509" s="11">
        <f>1-I509</f>
        <v>4.71976401179941E-2</v>
      </c>
      <c r="K509">
        <f>H509-D513</f>
        <v>-137</v>
      </c>
      <c r="N509" s="10">
        <f>2*(D514*I509)/(D514+I509)</f>
        <v>0.79263803680981604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151</v>
      </c>
      <c r="E510" s="27">
        <v>7048</v>
      </c>
      <c r="F510" s="1">
        <v>119</v>
      </c>
      <c r="G510" s="6">
        <v>81</v>
      </c>
      <c r="H510" s="1">
        <f>SUM(C510:G510)</f>
        <v>7399</v>
      </c>
      <c r="I510" s="10">
        <f>E510/H510</f>
        <v>0.9525611569130964</v>
      </c>
      <c r="J510" s="11">
        <f>1-I510</f>
        <v>4.7438843086903604E-2</v>
      </c>
      <c r="K510">
        <f>H510-E513</f>
        <v>158</v>
      </c>
      <c r="N510" s="10">
        <f>2*(E514*I510)/(E514+I510)</f>
        <v>0.96284153005464479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2</v>
      </c>
      <c r="E511" s="1">
        <v>123</v>
      </c>
      <c r="F511" s="27">
        <v>2371</v>
      </c>
      <c r="G511" s="6">
        <v>107</v>
      </c>
      <c r="H511" s="1">
        <f>SUM(C511:G511)</f>
        <v>2603</v>
      </c>
      <c r="I511" s="10">
        <f>F511/H511</f>
        <v>0.91087207068766807</v>
      </c>
      <c r="J511" s="11">
        <f>1-I511</f>
        <v>8.9127929312331933E-2</v>
      </c>
      <c r="K511">
        <f>H511-F513</f>
        <v>6</v>
      </c>
      <c r="N511" s="10">
        <f>2*(F514*I511)/(F514+I511)</f>
        <v>0.91192307692307695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0</v>
      </c>
      <c r="E512" s="8">
        <v>54</v>
      </c>
      <c r="F512" s="8">
        <v>107</v>
      </c>
      <c r="G512" s="28">
        <v>799</v>
      </c>
      <c r="H512" s="1">
        <f>SUM(C512:G512)</f>
        <v>960</v>
      </c>
      <c r="I512" s="10">
        <f>G512/H512</f>
        <v>0.83229166666666665</v>
      </c>
      <c r="J512" s="11">
        <f>1-I512</f>
        <v>0.16770833333333335</v>
      </c>
      <c r="K512">
        <f>H512-G513</f>
        <v>-27</v>
      </c>
      <c r="N512" s="10">
        <f>2*(G514*I512)/(G514+I512)</f>
        <v>0.82074987159732926</v>
      </c>
      <c r="O512" s="1"/>
      <c r="P512" s="1"/>
    </row>
    <row r="513" spans="1:40" ht="15.6" x14ac:dyDescent="0.35">
      <c r="B513" s="1" t="s">
        <v>19</v>
      </c>
      <c r="C513" s="1">
        <f>SUM(C508:C512)</f>
        <v>259</v>
      </c>
      <c r="D513" s="1">
        <f>SUM(D508:D512)</f>
        <v>476</v>
      </c>
      <c r="E513" s="1">
        <f>SUM(E508:E512)</f>
        <v>7241</v>
      </c>
      <c r="F513" s="1">
        <f>SUM(F508:F512)</f>
        <v>2597</v>
      </c>
      <c r="G513" s="1">
        <f>SUM(G508:G512)</f>
        <v>987</v>
      </c>
      <c r="H513" s="1">
        <f>SUM(H507:H512)</f>
        <v>11560</v>
      </c>
      <c r="I513" s="13" t="s">
        <v>12</v>
      </c>
      <c r="N513" s="16"/>
      <c r="O513" s="1"/>
      <c r="P513" s="1"/>
      <c r="AM513" s="78"/>
      <c r="AN513" s="78"/>
    </row>
    <row r="514" spans="1:40" x14ac:dyDescent="0.3">
      <c r="A514" s="1" t="s">
        <v>57</v>
      </c>
      <c r="B514" s="1" t="s">
        <v>2</v>
      </c>
      <c r="C514" s="10">
        <f>C508/C513</f>
        <v>1</v>
      </c>
      <c r="D514" s="10">
        <f>D509/D513</f>
        <v>0.6785714285714286</v>
      </c>
      <c r="E514" s="10">
        <f>E510/E513</f>
        <v>0.97334622289738981</v>
      </c>
      <c r="F514" s="10">
        <f>F511/F513</f>
        <v>0.91297651135926072</v>
      </c>
      <c r="G514" s="10">
        <f>G512/G513</f>
        <v>0.80952380952380953</v>
      </c>
      <c r="H514" s="10"/>
      <c r="I514" s="14">
        <f>(C508+D509+E510+F511+G512)/H513</f>
        <v>0.93425605536332179</v>
      </c>
    </row>
    <row r="515" spans="1:40" x14ac:dyDescent="0.3">
      <c r="B515" s="1" t="s">
        <v>14</v>
      </c>
      <c r="C515" s="11">
        <f>1-C514</f>
        <v>0</v>
      </c>
      <c r="D515" s="11">
        <f>1-D514</f>
        <v>0.3214285714285714</v>
      </c>
      <c r="E515" s="11">
        <f>1-E514</f>
        <v>2.6653777102610188E-2</v>
      </c>
      <c r="F515" s="11">
        <f>1-F514</f>
        <v>8.7023488640739277E-2</v>
      </c>
      <c r="G515" s="11">
        <f>1-G514</f>
        <v>0.19047619047619047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1.4329771274225227</v>
      </c>
      <c r="D519" s="31">
        <f>(D508/$L519)*$O519</f>
        <v>0</v>
      </c>
      <c r="E519" s="31">
        <f>(E508/$L519)*$O519</f>
        <v>0</v>
      </c>
      <c r="F519" s="31">
        <f>(F508/$L519)*$O519</f>
        <v>0</v>
      </c>
      <c r="G519" s="32">
        <f>(G508/$L519)*$O519</f>
        <v>0</v>
      </c>
      <c r="H519" s="17">
        <f>SUM(C519:G519)</f>
        <v>1.4329771274225227</v>
      </c>
      <c r="I519" s="17">
        <f>C519/H519*100</f>
        <v>100</v>
      </c>
      <c r="J519" s="17">
        <f>SQRT(I519*(100-I519)/(L519-1))</f>
        <v>0</v>
      </c>
      <c r="K519" s="18">
        <f>100-I519</f>
        <v>0</v>
      </c>
      <c r="L519" s="1">
        <f>H508</f>
        <v>259</v>
      </c>
      <c r="M519">
        <v>0</v>
      </c>
      <c r="N519" s="1">
        <v>2615.75</v>
      </c>
      <c r="O519" s="17">
        <f>N519/N524*100</f>
        <v>1.4329771274225227</v>
      </c>
      <c r="P519" s="52">
        <f>((O519*O519*(I519/100)*(K519/100))/(L519-1))</f>
        <v>0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57">(C509/$L520)*$O520</f>
        <v>0</v>
      </c>
      <c r="D520" s="34">
        <f t="shared" si="57"/>
        <v>4.7717487051816008</v>
      </c>
      <c r="E520" s="19">
        <f t="shared" si="57"/>
        <v>0.23637145288825265</v>
      </c>
      <c r="F520" s="18">
        <f t="shared" si="57"/>
        <v>0</v>
      </c>
      <c r="G520" s="20">
        <f t="shared" si="57"/>
        <v>0</v>
      </c>
      <c r="H520" s="17">
        <f>SUM(C520:G520)</f>
        <v>5.0081201580698531</v>
      </c>
      <c r="I520" s="17">
        <f>D520/H520*100</f>
        <v>95.280235988200602</v>
      </c>
      <c r="J520" s="17">
        <f>SQRT(I520*(100-I520)/(L520-1))</f>
        <v>1.1534617678365164</v>
      </c>
      <c r="K520" s="18">
        <f>100-I520</f>
        <v>4.7197640117993984</v>
      </c>
      <c r="L520" s="1">
        <f>H509</f>
        <v>339</v>
      </c>
      <c r="M520">
        <v>1</v>
      </c>
      <c r="N520" s="1">
        <v>9141.7999999999993</v>
      </c>
      <c r="O520" s="17">
        <f>N520/N524*100</f>
        <v>5.0081201580698531</v>
      </c>
      <c r="P520" s="52">
        <f>((O520*O520*(I520/100)*(K520/100))/(L520-1))</f>
        <v>3.3369975569864227E-3</v>
      </c>
    </row>
    <row r="521" spans="1:40" x14ac:dyDescent="0.3">
      <c r="A521" t="s">
        <v>5</v>
      </c>
      <c r="B521" s="13">
        <v>2</v>
      </c>
      <c r="C521" s="33">
        <f t="shared" si="57"/>
        <v>0</v>
      </c>
      <c r="D521" s="19">
        <f t="shared" si="57"/>
        <v>1.1727393111380462</v>
      </c>
      <c r="E521" s="34">
        <f t="shared" si="57"/>
        <v>54.738189833781135</v>
      </c>
      <c r="F521" s="19">
        <f t="shared" si="57"/>
        <v>0.92421177500283136</v>
      </c>
      <c r="G521" s="20">
        <f t="shared" si="57"/>
        <v>0.62908532584226329</v>
      </c>
      <c r="H521" s="17">
        <f>SUM(C521:G521)</f>
        <v>57.464226245764273</v>
      </c>
      <c r="I521" s="17">
        <f>E521/H521*100</f>
        <v>95.256115691309645</v>
      </c>
      <c r="J521" s="17">
        <f>SQRT(I521*(100-I521)/(L521-1))</f>
        <v>0.24714755313726086</v>
      </c>
      <c r="K521" s="18">
        <f>100-I521</f>
        <v>4.7438843086903546</v>
      </c>
      <c r="L521" s="1">
        <f>H510</f>
        <v>7399</v>
      </c>
      <c r="M521">
        <v>2</v>
      </c>
      <c r="N521" s="1">
        <v>104894.94</v>
      </c>
      <c r="O521" s="17">
        <f>N521/N524*100</f>
        <v>57.464226245764273</v>
      </c>
      <c r="P521" s="52">
        <f>((O521*O521*(I521/100)*(K521/100))/(L521-1))</f>
        <v>2.0170086322375304E-2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57"/>
        <v>0</v>
      </c>
      <c r="D522" s="19">
        <f t="shared" si="57"/>
        <v>1.7317550732360021E-2</v>
      </c>
      <c r="E522" s="19">
        <f t="shared" si="57"/>
        <v>1.065029370040141</v>
      </c>
      <c r="F522" s="34">
        <f t="shared" si="57"/>
        <v>20.529956393212803</v>
      </c>
      <c r="G522" s="20">
        <f t="shared" si="57"/>
        <v>0.92648896418126103</v>
      </c>
      <c r="H522" s="17">
        <f>SUM(C522:G522)</f>
        <v>22.538792278166564</v>
      </c>
      <c r="I522" s="17">
        <f>F522/H522*100</f>
        <v>91.087207068766801</v>
      </c>
      <c r="J522" s="17">
        <f>SQRT(I522*(100-I522)/(L522-1))</f>
        <v>0.55857559294987813</v>
      </c>
      <c r="K522" s="18">
        <f>100-I522</f>
        <v>8.9127929312331986</v>
      </c>
      <c r="L522" s="1">
        <f>H511</f>
        <v>2603</v>
      </c>
      <c r="M522">
        <v>3</v>
      </c>
      <c r="N522" s="1">
        <v>41142.21</v>
      </c>
      <c r="O522" s="17">
        <f>N522/N524*100</f>
        <v>22.538792278166564</v>
      </c>
      <c r="P522" s="52">
        <f>((O522*O522*(I522/100)*(K522/100))/(L522-1))</f>
        <v>1.5849851314074487E-2</v>
      </c>
    </row>
    <row r="523" spans="1:40" x14ac:dyDescent="0.3">
      <c r="A523" t="s">
        <v>7</v>
      </c>
      <c r="B523" s="13">
        <v>4</v>
      </c>
      <c r="C523" s="35">
        <f t="shared" si="57"/>
        <v>0</v>
      </c>
      <c r="D523" s="36">
        <f t="shared" si="57"/>
        <v>0</v>
      </c>
      <c r="E523" s="21">
        <f t="shared" si="57"/>
        <v>0.76251848571994385</v>
      </c>
      <c r="F523" s="21">
        <f t="shared" si="57"/>
        <v>1.5109162587413703</v>
      </c>
      <c r="G523" s="37">
        <f t="shared" si="57"/>
        <v>11.282449446115466</v>
      </c>
      <c r="H523" s="17">
        <f>SUM(C523:G523)</f>
        <v>13.55588419057678</v>
      </c>
      <c r="I523" s="17">
        <f>G523/H523*100</f>
        <v>83.229166666666671</v>
      </c>
      <c r="J523" s="17">
        <f>SQRT(I523*(100-I523)/(L523-1))</f>
        <v>1.2064401752225082</v>
      </c>
      <c r="K523" s="18">
        <f>100-I523</f>
        <v>16.770833333333329</v>
      </c>
      <c r="L523" s="1">
        <f>H512</f>
        <v>960</v>
      </c>
      <c r="M523">
        <v>4</v>
      </c>
      <c r="N523" s="1">
        <v>24744.85</v>
      </c>
      <c r="O523" s="17">
        <f>N523/N524*100</f>
        <v>13.55588419057678</v>
      </c>
      <c r="P523" s="52">
        <f>((O523*O523*(I523/100)*(K523/100))/(L523-1))</f>
        <v>2.6746519888870911E-2</v>
      </c>
      <c r="AM523" s="78"/>
      <c r="AN523" s="78"/>
    </row>
    <row r="524" spans="1:40" x14ac:dyDescent="0.3">
      <c r="B524" t="s">
        <v>28</v>
      </c>
      <c r="C524" s="17">
        <f>SUM(C519:C523)</f>
        <v>1.4329771274225227</v>
      </c>
      <c r="D524" s="17">
        <f>SUM(D519:D523)</f>
        <v>5.9618055670520071</v>
      </c>
      <c r="E524" s="17">
        <f>SUM(E519:E523)</f>
        <v>56.802109142429472</v>
      </c>
      <c r="F524" s="17">
        <f>SUM(F519:F523)</f>
        <v>22.965084426957006</v>
      </c>
      <c r="G524" s="17">
        <f>SUM(G519:G523)</f>
        <v>12.83802373613899</v>
      </c>
      <c r="H524" s="1">
        <f>SUM(H518:H523)</f>
        <v>99.999999999999986</v>
      </c>
      <c r="I524" s="13" t="s">
        <v>24</v>
      </c>
      <c r="J524" s="12" t="s">
        <v>29</v>
      </c>
      <c r="N524" s="1">
        <f>SUM(N519:N523)</f>
        <v>182539.55000000002</v>
      </c>
      <c r="O524" s="17">
        <f>SUM(O519:O523)</f>
        <v>99.999999999999986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0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0.1113515671290168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0.20601516009931453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0.20460553006015725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0.19809959044302244</v>
      </c>
      <c r="H525" s="1"/>
      <c r="I525" s="14">
        <f>(C519+D520+E521+F522+G523)/H524</f>
        <v>0.92755321505713539</v>
      </c>
      <c r="J525" s="53">
        <f>SQRT(SUM(P519:P523))/100</f>
        <v>2.5710592191217053E-3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100</v>
      </c>
      <c r="D526" s="17">
        <f>D520/D524*100</f>
        <v>80.038650229600407</v>
      </c>
      <c r="E526" s="17">
        <f>E521/E524*100</f>
        <v>96.366474168286388</v>
      </c>
      <c r="F526" s="17">
        <f>F522/F524*100</f>
        <v>89.396389804316215</v>
      </c>
      <c r="G526" s="17">
        <f>G523/G524*100</f>
        <v>87.883070463216328</v>
      </c>
      <c r="H526" s="1"/>
    </row>
    <row r="527" spans="1:40" x14ac:dyDescent="0.3">
      <c r="B527" s="16" t="s">
        <v>39</v>
      </c>
      <c r="C527" s="18">
        <f>SQRT((C530+C531)/(C524*C524))</f>
        <v>0</v>
      </c>
      <c r="D527" s="18">
        <f>SQRT((D530+D531)/(D524*D524))</f>
        <v>2.3186795991936902</v>
      </c>
      <c r="E527" s="18">
        <f>SQRT((E530+E531)/(E524*E524))</f>
        <v>0.26913541913129629</v>
      </c>
      <c r="F527" s="18">
        <f>SQRT((F530+F531)/(F524*F524))</f>
        <v>0.85586286160207847</v>
      </c>
      <c r="G527" s="18">
        <f>SQRT((G530+G531)/(G524*G524))</f>
        <v>1.7232886957359961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0</v>
      </c>
      <c r="D528" s="18">
        <f>100-D526</f>
        <v>19.961349770399593</v>
      </c>
      <c r="E528" s="18">
        <f>100-E526</f>
        <v>3.6335258317136123</v>
      </c>
      <c r="F528" s="18">
        <f>100-F526</f>
        <v>10.603610195683785</v>
      </c>
      <c r="G528" s="18">
        <f>100-G526</f>
        <v>12.116929536783672</v>
      </c>
    </row>
    <row r="529" spans="1:40" ht="15.6" x14ac:dyDescent="0.35">
      <c r="B529" s="1" t="s">
        <v>25</v>
      </c>
      <c r="C529" s="1">
        <f>C513</f>
        <v>259</v>
      </c>
      <c r="D529" s="1">
        <f>D513</f>
        <v>476</v>
      </c>
      <c r="E529" s="1">
        <f>E513</f>
        <v>7241</v>
      </c>
      <c r="F529" s="1">
        <f>F513</f>
        <v>2597</v>
      </c>
      <c r="G529" s="1">
        <f>G513</f>
        <v>987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132.96449788656867</v>
      </c>
      <c r="E530" s="18">
        <f>(O521*O521*(100-E526)*(100-E526)*(I521)*(100-I521))/((L521-1)*100)</f>
        <v>26.629576576147667</v>
      </c>
      <c r="F530" s="18">
        <f>(O522*O522*(100-F526)*(100-F526)*(I522)*(100-I522))/((L522-1)*100)</f>
        <v>178.21025868024677</v>
      </c>
      <c r="G530" s="18">
        <f>(O523*O523*(100-G526)*(100-G526)*(I523)*(100-I523))/((L523-1)*100)</f>
        <v>392.69235525821892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58.125122778071429</v>
      </c>
      <c r="E531" s="18">
        <f>E526*E526*(SUM((H519*E519*(1-E508/H508))/(H508-1),(H520*E520*(1-E509/H509))/(H509-1), (H522*E522*(1-E511/H511))/(H511-1),(H523*E523*(1-E512/H512))/(H512-1)))</f>
        <v>207.07683990784221</v>
      </c>
      <c r="F531" s="18">
        <f>F526*F526*(SUM((H519*F519*(1-F508/H508))/(H508-1),(H520*F520*(1-F509/H509))/(H509-1), (H521*F521*(1-F510/H510))/(H510-1),(H523*F523*(1-F512/H512))/(H512-1)))</f>
        <v>208.10730692121535</v>
      </c>
      <c r="G531" s="18">
        <f>G526*G526*(SUM((H519*G519*(1-G508/H508))/(H508-1),(H520*G520*(1-G509/H509))/(H509-1), (H521*G521*(1-G510/H510))/(H510-1),(H522*G522*(1-G511/H511))/(H511-1)))</f>
        <v>96.762258861408782</v>
      </c>
      <c r="AM531" s="78"/>
      <c r="AN531" s="78"/>
    </row>
    <row r="533" spans="1:40" x14ac:dyDescent="0.3">
      <c r="AM533" s="78"/>
      <c r="AN533" s="78"/>
    </row>
    <row r="534" spans="1:40" x14ac:dyDescent="0.3">
      <c r="A534" s="361" t="s">
        <v>405</v>
      </c>
      <c r="B534" s="361"/>
      <c r="C534" s="361"/>
      <c r="D534" s="361"/>
      <c r="E534" s="361"/>
      <c r="F534" s="361"/>
      <c r="G534" s="361"/>
      <c r="H534" s="361"/>
      <c r="I534" s="361"/>
      <c r="J534" s="361"/>
      <c r="K534" s="361"/>
      <c r="L534" s="361" t="s">
        <v>96</v>
      </c>
      <c r="M534" s="361"/>
      <c r="N534" s="361"/>
      <c r="O534" s="361"/>
      <c r="P534" s="361"/>
    </row>
    <row r="535" spans="1:40" x14ac:dyDescent="0.3">
      <c r="A535" t="s">
        <v>15</v>
      </c>
      <c r="B535" t="s">
        <v>21</v>
      </c>
      <c r="I535" s="1" t="s">
        <v>58</v>
      </c>
      <c r="O535" s="143"/>
      <c r="P535" s="143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56</v>
      </c>
      <c r="O536" s="13"/>
      <c r="P536" s="13"/>
    </row>
    <row r="537" spans="1:40" x14ac:dyDescent="0.3">
      <c r="A537" t="s">
        <v>3</v>
      </c>
      <c r="B537" s="13">
        <v>0</v>
      </c>
      <c r="C537" s="26">
        <v>259</v>
      </c>
      <c r="D537" s="3">
        <v>0</v>
      </c>
      <c r="E537" s="3">
        <v>0</v>
      </c>
      <c r="F537" s="3">
        <v>0</v>
      </c>
      <c r="G537" s="4">
        <v>0</v>
      </c>
      <c r="H537" s="1">
        <f>SUM(C537:G537)</f>
        <v>259</v>
      </c>
      <c r="I537" s="10">
        <f>C537/H537</f>
        <v>1</v>
      </c>
      <c r="J537" s="11">
        <f>1-I537</f>
        <v>0</v>
      </c>
      <c r="K537">
        <f>H537-C542</f>
        <v>0</v>
      </c>
      <c r="N537" s="10">
        <f>2*(C543*I537)/(C543+I537)</f>
        <v>1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323</v>
      </c>
      <c r="E538" s="1">
        <v>16</v>
      </c>
      <c r="F538" s="1">
        <v>0</v>
      </c>
      <c r="G538" s="6">
        <v>0</v>
      </c>
      <c r="H538" s="1">
        <f>SUM(C538:G538)</f>
        <v>339</v>
      </c>
      <c r="I538" s="10">
        <f>D538/H538</f>
        <v>0.9528023598820059</v>
      </c>
      <c r="J538" s="11">
        <f>1-I538</f>
        <v>4.71976401179941E-2</v>
      </c>
      <c r="K538">
        <f>H538-D542</f>
        <v>-137</v>
      </c>
      <c r="N538" s="10">
        <f>2*(D543*I538)/(D543+I538)</f>
        <v>0.79263803680981604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151</v>
      </c>
      <c r="E539" s="27">
        <v>7048</v>
      </c>
      <c r="F539" s="1">
        <v>119</v>
      </c>
      <c r="G539" s="6">
        <v>81</v>
      </c>
      <c r="H539" s="1">
        <f>SUM(C539:G539)</f>
        <v>7399</v>
      </c>
      <c r="I539" s="10">
        <f>E539/H539</f>
        <v>0.9525611569130964</v>
      </c>
      <c r="J539" s="11">
        <f>1-I539</f>
        <v>4.7438843086903604E-2</v>
      </c>
      <c r="K539">
        <f>H539-E542</f>
        <v>158</v>
      </c>
      <c r="N539" s="10">
        <f>2*(E543*I539)/(E543+I539)</f>
        <v>0.96284153005464479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0</v>
      </c>
      <c r="D540" s="1">
        <v>2</v>
      </c>
      <c r="E540" s="1">
        <v>123</v>
      </c>
      <c r="F540" s="27">
        <v>2371</v>
      </c>
      <c r="G540" s="6">
        <v>107</v>
      </c>
      <c r="H540" s="1">
        <f>SUM(C540:G540)</f>
        <v>2603</v>
      </c>
      <c r="I540" s="10">
        <f>F540/H540</f>
        <v>0.91087207068766807</v>
      </c>
      <c r="J540" s="11">
        <f>1-I540</f>
        <v>8.9127929312331933E-2</v>
      </c>
      <c r="K540">
        <f>H540-F542</f>
        <v>6</v>
      </c>
      <c r="N540" s="10">
        <f>2*(F543*I540)/(F543+I540)</f>
        <v>0.91192307692307695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0</v>
      </c>
      <c r="E541" s="8">
        <v>54</v>
      </c>
      <c r="F541" s="8">
        <v>107</v>
      </c>
      <c r="G541" s="28">
        <v>799</v>
      </c>
      <c r="H541" s="1">
        <f>SUM(C541:G541)</f>
        <v>960</v>
      </c>
      <c r="I541" s="10">
        <f>G541/H541</f>
        <v>0.83229166666666665</v>
      </c>
      <c r="J541" s="11">
        <f>1-I541</f>
        <v>0.16770833333333335</v>
      </c>
      <c r="K541">
        <f>H541-G542</f>
        <v>-27</v>
      </c>
      <c r="N541" s="10">
        <f>2*(G543*I541)/(G543+I541)</f>
        <v>0.82074987159732926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259</v>
      </c>
      <c r="D542" s="1">
        <f>SUM(D537:D541)</f>
        <v>476</v>
      </c>
      <c r="E542" s="1">
        <f>SUM(E537:E541)</f>
        <v>7241</v>
      </c>
      <c r="F542" s="1">
        <f>SUM(F537:F541)</f>
        <v>2597</v>
      </c>
      <c r="G542" s="1">
        <f>SUM(G537:G541)</f>
        <v>987</v>
      </c>
      <c r="H542" s="1">
        <f>SUM(H536:H541)</f>
        <v>11560</v>
      </c>
      <c r="I542" s="13" t="s">
        <v>12</v>
      </c>
      <c r="N542" s="16"/>
      <c r="O542" s="1"/>
      <c r="P542" s="1"/>
    </row>
    <row r="543" spans="1:40" x14ac:dyDescent="0.3">
      <c r="A543" s="1" t="s">
        <v>57</v>
      </c>
      <c r="B543" s="1" t="s">
        <v>2</v>
      </c>
      <c r="C543" s="10">
        <f>C537/C542</f>
        <v>1</v>
      </c>
      <c r="D543" s="10">
        <f>D538/D542</f>
        <v>0.6785714285714286</v>
      </c>
      <c r="E543" s="10">
        <f>E539/E542</f>
        <v>0.97334622289738981</v>
      </c>
      <c r="F543" s="10">
        <f>F540/F542</f>
        <v>0.91297651135926072</v>
      </c>
      <c r="G543" s="10">
        <f>G541/G542</f>
        <v>0.80952380952380953</v>
      </c>
      <c r="H543" s="10"/>
      <c r="I543" s="14">
        <f>(C537+D538+E539+F540+G541)/H542</f>
        <v>0.93425605536332179</v>
      </c>
    </row>
    <row r="544" spans="1:40" x14ac:dyDescent="0.3">
      <c r="B544" s="1" t="s">
        <v>14</v>
      </c>
      <c r="C544" s="11">
        <f>1-C543</f>
        <v>0</v>
      </c>
      <c r="D544" s="11">
        <f>1-D543</f>
        <v>0.3214285714285714</v>
      </c>
      <c r="E544" s="11">
        <f>1-E543</f>
        <v>2.6653777102610188E-2</v>
      </c>
      <c r="F544" s="11">
        <f>1-F543</f>
        <v>8.7023488640739277E-2</v>
      </c>
      <c r="G544" s="11">
        <f>1-G543</f>
        <v>0.19047619047619047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1.4341604326295314</v>
      </c>
      <c r="D548" s="31">
        <f>(D537/$L548)*$O548</f>
        <v>0</v>
      </c>
      <c r="E548" s="31">
        <f>(E537/$L548)*$O548</f>
        <v>0</v>
      </c>
      <c r="F548" s="31">
        <f>(F537/$L548)*$O548</f>
        <v>0</v>
      </c>
      <c r="G548" s="32">
        <f>(G537/$L548)*$O548</f>
        <v>0</v>
      </c>
      <c r="H548" s="17">
        <f>SUM(C548:G548)</f>
        <v>1.4341604326295314</v>
      </c>
      <c r="I548" s="17">
        <f>C548/H548*100</f>
        <v>100</v>
      </c>
      <c r="J548" s="17">
        <f>SQRT(I548*(100-I548)/(L548-1))</f>
        <v>0</v>
      </c>
      <c r="K548" s="18">
        <f>100-I548</f>
        <v>0</v>
      </c>
      <c r="L548" s="1">
        <f>H537</f>
        <v>259</v>
      </c>
      <c r="M548">
        <v>0</v>
      </c>
      <c r="N548" s="1">
        <v>2617.91</v>
      </c>
      <c r="O548" s="17">
        <f>N548/N553*100</f>
        <v>1.4341604326295314</v>
      </c>
      <c r="P548" s="52">
        <f>((O548*O548*(I548/100)*(K548/100))/(L548-1))</f>
        <v>0</v>
      </c>
    </row>
    <row r="549" spans="1:16" x14ac:dyDescent="0.3">
      <c r="A549" t="s">
        <v>4</v>
      </c>
      <c r="B549" s="13">
        <v>1</v>
      </c>
      <c r="C549" s="33">
        <f t="shared" ref="C549:G552" si="58">(C538/$L549)*$O549</f>
        <v>0</v>
      </c>
      <c r="D549" s="34">
        <f t="shared" si="58"/>
        <v>4.9000646806125658</v>
      </c>
      <c r="E549" s="19">
        <f t="shared" si="58"/>
        <v>0.24272766219752648</v>
      </c>
      <c r="F549" s="18">
        <f t="shared" si="58"/>
        <v>0</v>
      </c>
      <c r="G549" s="20">
        <f t="shared" si="58"/>
        <v>0</v>
      </c>
      <c r="H549" s="17">
        <f>SUM(C549:G549)</f>
        <v>5.1427923428100923</v>
      </c>
      <c r="I549" s="17">
        <f>D549/H549*100</f>
        <v>95.280235988200587</v>
      </c>
      <c r="J549" s="17">
        <f>SQRT(I549*(100-I549)/(L549-1))</f>
        <v>1.153461767836518</v>
      </c>
      <c r="K549" s="18">
        <f>100-I549</f>
        <v>4.7197640117994126</v>
      </c>
      <c r="L549" s="1">
        <f>H538</f>
        <v>339</v>
      </c>
      <c r="M549">
        <v>1</v>
      </c>
      <c r="N549" s="1">
        <v>9387.6299999999992</v>
      </c>
      <c r="O549" s="17">
        <f>N549/N553*100</f>
        <v>5.1427923428100923</v>
      </c>
      <c r="P549" s="52">
        <f>((O549*O549*(I549/100)*(K549/100))/(L549-1))</f>
        <v>3.5188794217211774E-3</v>
      </c>
    </row>
    <row r="550" spans="1:16" x14ac:dyDescent="0.3">
      <c r="A550" t="s">
        <v>5</v>
      </c>
      <c r="B550" s="13">
        <v>2</v>
      </c>
      <c r="C550" s="33">
        <f t="shared" si="58"/>
        <v>0</v>
      </c>
      <c r="D550" s="19">
        <f t="shared" si="58"/>
        <v>1.1636176647633851</v>
      </c>
      <c r="E550" s="34">
        <f t="shared" si="58"/>
        <v>54.312432458624762</v>
      </c>
      <c r="F550" s="19">
        <f t="shared" si="58"/>
        <v>0.91702319276054856</v>
      </c>
      <c r="G550" s="20">
        <f t="shared" si="58"/>
        <v>0.62419225725718008</v>
      </c>
      <c r="H550" s="17">
        <f>SUM(C550:G550)</f>
        <v>57.017265573405872</v>
      </c>
      <c r="I550" s="17">
        <f>E550/H550*100</f>
        <v>95.256115691309645</v>
      </c>
      <c r="J550" s="17">
        <f>SQRT(I550*(100-I550)/(L550-1))</f>
        <v>0.24714755313726086</v>
      </c>
      <c r="K550" s="18">
        <f>100-I550</f>
        <v>4.7438843086903546</v>
      </c>
      <c r="L550" s="1">
        <f>H539</f>
        <v>7399</v>
      </c>
      <c r="M550">
        <v>2</v>
      </c>
      <c r="N550" s="1">
        <v>104079.06</v>
      </c>
      <c r="O550" s="17">
        <f>N550/N553*100</f>
        <v>57.017265573405872</v>
      </c>
      <c r="P550" s="52">
        <f>((O550*O550*(I550/100)*(K550/100))/(L550-1))</f>
        <v>1.985753796409849E-2</v>
      </c>
    </row>
    <row r="551" spans="1:16" x14ac:dyDescent="0.3">
      <c r="A551" t="s">
        <v>6</v>
      </c>
      <c r="B551" s="13">
        <v>3</v>
      </c>
      <c r="C551" s="33">
        <f t="shared" si="58"/>
        <v>0</v>
      </c>
      <c r="D551" s="19">
        <f t="shared" si="58"/>
        <v>1.7796422215374461E-2</v>
      </c>
      <c r="E551" s="19">
        <f t="shared" si="58"/>
        <v>1.0944799662455291</v>
      </c>
      <c r="F551" s="34">
        <f t="shared" si="58"/>
        <v>21.097658536326421</v>
      </c>
      <c r="G551" s="20">
        <f t="shared" si="58"/>
        <v>0.95210858852253355</v>
      </c>
      <c r="H551" s="17">
        <f>SUM(C551:G551)</f>
        <v>23.162043513309857</v>
      </c>
      <c r="I551" s="17">
        <f>F551/H551*100</f>
        <v>91.087207068766801</v>
      </c>
      <c r="J551" s="17">
        <f>SQRT(I551*(100-I551)/(L551-1))</f>
        <v>0.55857559294987813</v>
      </c>
      <c r="K551" s="18">
        <f>100-I551</f>
        <v>8.9127929312331986</v>
      </c>
      <c r="L551" s="1">
        <f>H540</f>
        <v>2603</v>
      </c>
      <c r="M551">
        <v>3</v>
      </c>
      <c r="N551" s="1">
        <v>42279.89</v>
      </c>
      <c r="O551" s="17">
        <f>N551/N553*100</f>
        <v>23.162043513309857</v>
      </c>
      <c r="P551" s="52">
        <f>((O551*O551*(I551/100)*(K551/100))/(L551-1))</f>
        <v>1.6738543171375349E-2</v>
      </c>
    </row>
    <row r="552" spans="1:16" x14ac:dyDescent="0.3">
      <c r="A552" t="s">
        <v>7</v>
      </c>
      <c r="B552" s="13">
        <v>4</v>
      </c>
      <c r="C552" s="35">
        <f t="shared" si="58"/>
        <v>0</v>
      </c>
      <c r="D552" s="36">
        <f t="shared" si="58"/>
        <v>0</v>
      </c>
      <c r="E552" s="21">
        <f t="shared" si="58"/>
        <v>0.74496027025376144</v>
      </c>
      <c r="F552" s="21">
        <f t="shared" si="58"/>
        <v>1.4761249799472682</v>
      </c>
      <c r="G552" s="37">
        <f t="shared" si="58"/>
        <v>11.022652887643618</v>
      </c>
      <c r="H552" s="17">
        <f>SUM(C552:G552)</f>
        <v>13.243738137844648</v>
      </c>
      <c r="I552" s="17">
        <f>G552/H552*100</f>
        <v>83.229166666666671</v>
      </c>
      <c r="J552" s="17">
        <f>SQRT(I552*(100-I552)/(L552-1))</f>
        <v>1.2064401752225082</v>
      </c>
      <c r="K552" s="18">
        <f>100-I552</f>
        <v>16.770833333333329</v>
      </c>
      <c r="L552" s="1">
        <f>H541</f>
        <v>960</v>
      </c>
      <c r="M552">
        <v>4</v>
      </c>
      <c r="N552" s="1">
        <v>24175.06</v>
      </c>
      <c r="O552" s="17">
        <f>N552/N553*100</f>
        <v>13.243738137844648</v>
      </c>
      <c r="P552" s="52">
        <f>((O552*O552*(I552/100)*(K552/100))/(L552-1))</f>
        <v>2.5528938213588134E-2</v>
      </c>
    </row>
    <row r="553" spans="1:16" x14ac:dyDescent="0.3">
      <c r="B553" t="s">
        <v>28</v>
      </c>
      <c r="C553" s="17">
        <f>SUM(C548:C552)</f>
        <v>1.4341604326295314</v>
      </c>
      <c r="D553" s="17">
        <f>SUM(D548:D552)</f>
        <v>6.0814787675913253</v>
      </c>
      <c r="E553" s="17">
        <f>SUM(E548:E552)</f>
        <v>56.394600357321579</v>
      </c>
      <c r="F553" s="17">
        <f>SUM(F548:F552)</f>
        <v>23.490806709034239</v>
      </c>
      <c r="G553" s="17">
        <f>SUM(G548:G552)</f>
        <v>12.598953733423333</v>
      </c>
      <c r="H553" s="1">
        <f>SUM(H547:H552)</f>
        <v>100</v>
      </c>
      <c r="I553" s="13" t="s">
        <v>24</v>
      </c>
      <c r="J553" s="12" t="s">
        <v>29</v>
      </c>
      <c r="N553" s="1">
        <f>SUM(N548:N552)</f>
        <v>182539.55</v>
      </c>
      <c r="O553" s="17">
        <f>SUM(O548:O552)</f>
        <v>100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0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0.11158253890103245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0.20576959879920798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0.20439996752377601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0.19591724902510399</v>
      </c>
      <c r="H554" s="1"/>
      <c r="I554" s="56">
        <f>(C548+D549+E550+F551+G552)/H553</f>
        <v>0.92766968995836907</v>
      </c>
      <c r="J554" s="53">
        <f>SQRT(SUM(P548:P552))/100</f>
        <v>2.5621065311727991E-3</v>
      </c>
      <c r="M554" s="1"/>
      <c r="N554" s="9"/>
    </row>
    <row r="555" spans="1:16" x14ac:dyDescent="0.3">
      <c r="B555" s="1" t="s">
        <v>30</v>
      </c>
      <c r="C555" s="17">
        <f>C548/C553*100</f>
        <v>100</v>
      </c>
      <c r="D555" s="17">
        <f>D549/D553*100</f>
        <v>80.573572117449345</v>
      </c>
      <c r="E555" s="17">
        <f>E550/E553*100</f>
        <v>96.307859466147463</v>
      </c>
      <c r="F555" s="17">
        <f>F551/F553*100</f>
        <v>89.812405327964129</v>
      </c>
      <c r="G555" s="17">
        <f>G552/G553*100</f>
        <v>87.488636920715095</v>
      </c>
      <c r="H555" s="1"/>
    </row>
    <row r="556" spans="1:16" x14ac:dyDescent="0.3">
      <c r="B556" s="16" t="s">
        <v>39</v>
      </c>
      <c r="C556" s="18">
        <f>SQRT((C559+C560)/(C553*C553))</f>
        <v>0</v>
      </c>
      <c r="D556" s="18">
        <f>SQRT((D559+D560)/(D553*D553))</f>
        <v>2.2716807335729481</v>
      </c>
      <c r="E556" s="18">
        <f>SQRT((E559+E560)/(E553*E553))</f>
        <v>0.2723248989361759</v>
      </c>
      <c r="F556" s="18">
        <f>SQRT((F559+F560)/(F553*F553))</f>
        <v>0.82537423109709895</v>
      </c>
      <c r="G556" s="18">
        <f>SQRT((G559+G560)/(G553*G553))</f>
        <v>1.7716785826078385</v>
      </c>
      <c r="H556" s="1"/>
    </row>
    <row r="557" spans="1:16" x14ac:dyDescent="0.3">
      <c r="B557" s="1" t="s">
        <v>37</v>
      </c>
      <c r="C557" s="18">
        <f>100-C555</f>
        <v>0</v>
      </c>
      <c r="D557" s="18">
        <f>100-D555</f>
        <v>19.426427882550655</v>
      </c>
      <c r="E557" s="18">
        <f>100-E555</f>
        <v>3.6921405338525375</v>
      </c>
      <c r="F557" s="18">
        <f>100-F555</f>
        <v>10.187594672035871</v>
      </c>
      <c r="G557" s="18">
        <f>100-G555</f>
        <v>12.511363079284905</v>
      </c>
    </row>
    <row r="558" spans="1:16" ht="15.6" x14ac:dyDescent="0.35">
      <c r="B558" s="1" t="s">
        <v>25</v>
      </c>
      <c r="C558" s="1">
        <f>C542</f>
        <v>259</v>
      </c>
      <c r="D558" s="1">
        <f>D542</f>
        <v>476</v>
      </c>
      <c r="E558" s="1">
        <f>E542</f>
        <v>7241</v>
      </c>
      <c r="F558" s="1">
        <f>F542</f>
        <v>2597</v>
      </c>
      <c r="G558" s="1">
        <f>G542</f>
        <v>987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132.79761823046152</v>
      </c>
      <c r="E559" s="18">
        <f>(O550*O550*(100-E555)*(100-E555)*(I550)*(100-I550))/((L550-1)*100)</f>
        <v>27.069600596185289</v>
      </c>
      <c r="F559" s="18">
        <f>(O551*O551*(100-F555)*(100-F555)*(I551)*(100-I551))/((L551-1)*100)</f>
        <v>173.7244606279761</v>
      </c>
      <c r="G559" s="18">
        <f>(O552*O552*(100-G555)*(100-G555)*(I552)*(100-I552))/((L552-1)*100)</f>
        <v>399.61520758832029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58.061529029691023</v>
      </c>
      <c r="E560" s="18">
        <f>E555*E555*(SUM((H548*E548*(1-E537/H537))/(H537-1),(H549*E549*(1-E538/H538))/(H538-1), (H551*E551*(1-E540/H540))/(H540-1),(H552*E552*(1-E541/H541))/(H541-1)))</f>
        <v>208.7879309607315</v>
      </c>
      <c r="F560" s="18">
        <f>F555*F555*(SUM((H548*F548*(1-F537/H537))/(H537-1),(H549*F549*(1-F538/H538))/(H538-1), (H550*F550*(1-F539/H539))/(H539-1),(H552*F552*(1-F541/H541))/(H541-1)))</f>
        <v>202.19748009699887</v>
      </c>
      <c r="G560" s="18">
        <f>G555*G555*(SUM((H548*G548*(1-G537/H537))/(H537-1),(H549*G549*(1-G538/H538))/(H538-1), (H550*G550*(1-G539/H539))/(H539-1),(H551*G551*(1-G540/H540))/(H540-1)))</f>
        <v>98.625069529968258</v>
      </c>
    </row>
    <row r="563" spans="1:16" x14ac:dyDescent="0.3">
      <c r="A563" s="361" t="s">
        <v>405</v>
      </c>
      <c r="B563" s="361"/>
      <c r="C563" s="361"/>
      <c r="D563" s="361"/>
      <c r="E563" s="361"/>
      <c r="F563" s="361"/>
      <c r="G563" s="361"/>
      <c r="H563" s="361"/>
      <c r="I563" s="361"/>
      <c r="J563" s="361"/>
      <c r="K563" s="361"/>
      <c r="L563" s="361" t="s">
        <v>97</v>
      </c>
      <c r="M563" s="361"/>
      <c r="N563" s="361"/>
      <c r="O563" s="361"/>
      <c r="P563" s="361"/>
    </row>
    <row r="564" spans="1:16" x14ac:dyDescent="0.3">
      <c r="A564" t="s">
        <v>15</v>
      </c>
      <c r="B564" t="s">
        <v>21</v>
      </c>
      <c r="I564" s="1" t="s">
        <v>58</v>
      </c>
      <c r="O564" s="143"/>
      <c r="P564" s="143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56</v>
      </c>
      <c r="O565" s="13"/>
      <c r="P565" s="13"/>
    </row>
    <row r="566" spans="1:16" x14ac:dyDescent="0.3">
      <c r="A566" t="s">
        <v>3</v>
      </c>
      <c r="B566" s="13">
        <v>0</v>
      </c>
      <c r="C566" s="26">
        <v>259</v>
      </c>
      <c r="D566" s="3">
        <v>0</v>
      </c>
      <c r="E566" s="3">
        <v>0</v>
      </c>
      <c r="F566" s="3">
        <v>0</v>
      </c>
      <c r="G566" s="4">
        <v>0</v>
      </c>
      <c r="H566" s="1">
        <f>SUM(C566:G566)</f>
        <v>259</v>
      </c>
      <c r="I566" s="10">
        <f>C566/H566</f>
        <v>1</v>
      </c>
      <c r="J566" s="11">
        <f>1-I566</f>
        <v>0</v>
      </c>
      <c r="K566">
        <f>H566-C571</f>
        <v>0</v>
      </c>
      <c r="N566" s="10">
        <f>2*(C572*I566)/(C572+I566)</f>
        <v>1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323</v>
      </c>
      <c r="E567" s="1">
        <v>16</v>
      </c>
      <c r="F567" s="1">
        <v>0</v>
      </c>
      <c r="G567" s="6">
        <v>0</v>
      </c>
      <c r="H567" s="1">
        <f>SUM(C567:G567)</f>
        <v>339</v>
      </c>
      <c r="I567" s="10">
        <f>D567/H567</f>
        <v>0.9528023598820059</v>
      </c>
      <c r="J567" s="11">
        <f>1-I567</f>
        <v>4.71976401179941E-2</v>
      </c>
      <c r="K567">
        <f>H567-D571</f>
        <v>-137</v>
      </c>
      <c r="N567" s="10">
        <f>2*(D572*I567)/(D572+I567)</f>
        <v>0.79263803680981604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151</v>
      </c>
      <c r="E568" s="27">
        <v>7048</v>
      </c>
      <c r="F568" s="1">
        <v>119</v>
      </c>
      <c r="G568" s="6">
        <v>81</v>
      </c>
      <c r="H568" s="1">
        <f>SUM(C568:G568)</f>
        <v>7399</v>
      </c>
      <c r="I568" s="10">
        <f>E568/H568</f>
        <v>0.9525611569130964</v>
      </c>
      <c r="J568" s="11">
        <f>1-I568</f>
        <v>4.7438843086903604E-2</v>
      </c>
      <c r="K568">
        <f>H568-E571</f>
        <v>158</v>
      </c>
      <c r="N568" s="10">
        <f>2*(E572*I568)/(E572+I568)</f>
        <v>0.96284153005464479</v>
      </c>
      <c r="O568" s="1"/>
      <c r="P568" s="1"/>
    </row>
    <row r="569" spans="1:16" x14ac:dyDescent="0.3">
      <c r="A569" t="s">
        <v>6</v>
      </c>
      <c r="B569" s="13">
        <v>3</v>
      </c>
      <c r="C569" s="5">
        <v>0</v>
      </c>
      <c r="D569" s="1">
        <v>2</v>
      </c>
      <c r="E569" s="1">
        <v>123</v>
      </c>
      <c r="F569" s="27">
        <v>2371</v>
      </c>
      <c r="G569" s="6">
        <v>107</v>
      </c>
      <c r="H569" s="1">
        <f>SUM(C569:G569)</f>
        <v>2603</v>
      </c>
      <c r="I569" s="10">
        <f>F569/H569</f>
        <v>0.91087207068766807</v>
      </c>
      <c r="J569" s="11">
        <f>1-I569</f>
        <v>8.9127929312331933E-2</v>
      </c>
      <c r="K569">
        <f>H569-F571</f>
        <v>6</v>
      </c>
      <c r="N569" s="10">
        <f>2*(F572*I569)/(F572+I569)</f>
        <v>0.91192307692307695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0</v>
      </c>
      <c r="E570" s="8">
        <v>54</v>
      </c>
      <c r="F570" s="8">
        <v>107</v>
      </c>
      <c r="G570" s="28">
        <v>799</v>
      </c>
      <c r="H570" s="1">
        <f>SUM(C570:G570)</f>
        <v>960</v>
      </c>
      <c r="I570" s="10">
        <f>G570/H570</f>
        <v>0.83229166666666665</v>
      </c>
      <c r="J570" s="11">
        <f>1-I570</f>
        <v>0.16770833333333335</v>
      </c>
      <c r="K570">
        <f>H570-G571</f>
        <v>-27</v>
      </c>
      <c r="N570" s="10">
        <f>2*(G572*I570)/(G572+I570)</f>
        <v>0.82074987159732926</v>
      </c>
      <c r="O570" s="1"/>
      <c r="P570" s="1"/>
    </row>
    <row r="571" spans="1:16" ht="15.6" x14ac:dyDescent="0.35">
      <c r="B571" s="1" t="s">
        <v>19</v>
      </c>
      <c r="C571" s="1">
        <f>SUM(C566:C570)</f>
        <v>259</v>
      </c>
      <c r="D571" s="1">
        <f>SUM(D566:D570)</f>
        <v>476</v>
      </c>
      <c r="E571" s="1">
        <f>SUM(E566:E570)</f>
        <v>7241</v>
      </c>
      <c r="F571" s="1">
        <f>SUM(F566:F570)</f>
        <v>2597</v>
      </c>
      <c r="G571" s="1">
        <f>SUM(G566:G570)</f>
        <v>987</v>
      </c>
      <c r="H571" s="1">
        <f>SUM(H565:H570)</f>
        <v>11560</v>
      </c>
      <c r="I571" s="13" t="s">
        <v>12</v>
      </c>
      <c r="N571" s="16"/>
      <c r="O571" s="1"/>
      <c r="P571" s="1"/>
    </row>
    <row r="572" spans="1:16" x14ac:dyDescent="0.3">
      <c r="A572" s="1" t="s">
        <v>57</v>
      </c>
      <c r="B572" s="1" t="s">
        <v>2</v>
      </c>
      <c r="C572" s="10">
        <f>C566/C571</f>
        <v>1</v>
      </c>
      <c r="D572" s="10">
        <f>D567/D571</f>
        <v>0.6785714285714286</v>
      </c>
      <c r="E572" s="10">
        <f>E568/E571</f>
        <v>0.97334622289738981</v>
      </c>
      <c r="F572" s="10">
        <f>F569/F571</f>
        <v>0.91297651135926072</v>
      </c>
      <c r="G572" s="10">
        <f>G570/G571</f>
        <v>0.80952380952380953</v>
      </c>
      <c r="H572" s="10"/>
      <c r="I572" s="14">
        <f>(C566+D567+E568+F569+G570)/H571</f>
        <v>0.93425605536332179</v>
      </c>
    </row>
    <row r="573" spans="1:16" x14ac:dyDescent="0.3">
      <c r="B573" s="1" t="s">
        <v>14</v>
      </c>
      <c r="C573" s="11">
        <f>1-C572</f>
        <v>0</v>
      </c>
      <c r="D573" s="11">
        <f>1-D572</f>
        <v>0.3214285714285714</v>
      </c>
      <c r="E573" s="11">
        <f>1-E572</f>
        <v>2.6653777102610188E-2</v>
      </c>
      <c r="F573" s="11">
        <f>1-F572</f>
        <v>8.7023488640739277E-2</v>
      </c>
      <c r="G573" s="11">
        <f>1-G572</f>
        <v>0.19047619047619047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1.4257786874132208</v>
      </c>
      <c r="D577" s="31">
        <f>(D566/$L577)*$O577</f>
        <v>0</v>
      </c>
      <c r="E577" s="31">
        <f>(E566/$L577)*$O577</f>
        <v>0</v>
      </c>
      <c r="F577" s="31">
        <f>(F566/$L577)*$O577</f>
        <v>0</v>
      </c>
      <c r="G577" s="32">
        <f>(G566/$L577)*$O577</f>
        <v>0</v>
      </c>
      <c r="H577" s="17">
        <f>SUM(C577:G577)</f>
        <v>1.4257786874132208</v>
      </c>
      <c r="I577" s="17">
        <f>C577/H577*100</f>
        <v>100</v>
      </c>
      <c r="J577" s="17">
        <f>SQRT(I577*(100-I577)/(L577-1))</f>
        <v>0</v>
      </c>
      <c r="K577" s="18">
        <f>100-I577</f>
        <v>0</v>
      </c>
      <c r="L577" s="1">
        <f>H566</f>
        <v>259</v>
      </c>
      <c r="M577">
        <v>0</v>
      </c>
      <c r="N577" s="1">
        <v>2602.61</v>
      </c>
      <c r="O577" s="17">
        <f>N577/N582*100</f>
        <v>1.4257786874132208</v>
      </c>
      <c r="P577" s="52">
        <f>((O577*O577*(I577/100)*(K577/100))/(L577-1))</f>
        <v>0</v>
      </c>
    </row>
    <row r="578" spans="1:16" x14ac:dyDescent="0.3">
      <c r="A578" t="s">
        <v>4</v>
      </c>
      <c r="B578" s="13">
        <v>1</v>
      </c>
      <c r="C578" s="33">
        <f t="shared" ref="C578:G581" si="59">(C567/$L578)*$O578</f>
        <v>0</v>
      </c>
      <c r="D578" s="34">
        <f t="shared" si="59"/>
        <v>4.8670709336858629</v>
      </c>
      <c r="E578" s="19">
        <f t="shared" si="59"/>
        <v>0.24109329702468671</v>
      </c>
      <c r="F578" s="18">
        <f t="shared" si="59"/>
        <v>0</v>
      </c>
      <c r="G578" s="20">
        <f t="shared" si="59"/>
        <v>0</v>
      </c>
      <c r="H578" s="17">
        <f>SUM(C578:G578)</f>
        <v>5.1081642307105497</v>
      </c>
      <c r="I578" s="17">
        <f>D578/H578*100</f>
        <v>95.280235988200587</v>
      </c>
      <c r="J578" s="17">
        <f>SQRT(I578*(100-I578)/(L578-1))</f>
        <v>1.153461767836518</v>
      </c>
      <c r="K578" s="18">
        <f>100-I578</f>
        <v>4.7197640117994126</v>
      </c>
      <c r="L578" s="1">
        <f>H567</f>
        <v>339</v>
      </c>
      <c r="M578">
        <v>1</v>
      </c>
      <c r="N578" s="1">
        <v>9324.42</v>
      </c>
      <c r="O578" s="17">
        <f>N578/N582*100</f>
        <v>5.1081642307105497</v>
      </c>
      <c r="P578" s="52">
        <f>((O578*O578*(I578/100)*(K578/100))/(L578-1))</f>
        <v>3.4716514149566438E-3</v>
      </c>
    </row>
    <row r="579" spans="1:16" x14ac:dyDescent="0.3">
      <c r="A579" t="s">
        <v>5</v>
      </c>
      <c r="B579" s="13">
        <v>2</v>
      </c>
      <c r="C579" s="33">
        <f t="shared" si="59"/>
        <v>0</v>
      </c>
      <c r="D579" s="19">
        <f t="shared" si="59"/>
        <v>1.1631808569928086</v>
      </c>
      <c r="E579" s="34">
        <f t="shared" si="59"/>
        <v>54.292044238975599</v>
      </c>
      <c r="F579" s="19">
        <f t="shared" si="59"/>
        <v>0.91667895352413409</v>
      </c>
      <c r="G579" s="20">
        <f t="shared" si="59"/>
        <v>0.62395794315508279</v>
      </c>
      <c r="H579" s="17">
        <f>SUM(C579:G579)</f>
        <v>56.995861992647626</v>
      </c>
      <c r="I579" s="17">
        <f>E579/H579*100</f>
        <v>95.256115691309631</v>
      </c>
      <c r="J579" s="17">
        <f>SQRT(I579*(100-I579)/(L579-1))</f>
        <v>0.24714755313726122</v>
      </c>
      <c r="K579" s="18">
        <f>100-I579</f>
        <v>4.7438843086903688</v>
      </c>
      <c r="L579" s="1">
        <f>H568</f>
        <v>7399</v>
      </c>
      <c r="M579">
        <v>2</v>
      </c>
      <c r="N579" s="1">
        <v>104039.99</v>
      </c>
      <c r="O579" s="17">
        <f>N579/N582*100</f>
        <v>56.995861992647626</v>
      </c>
      <c r="P579" s="52">
        <f>((O579*O579*(I579/100)*(K579/100))/(L579-1))</f>
        <v>1.9842632210933953E-2</v>
      </c>
    </row>
    <row r="580" spans="1:16" x14ac:dyDescent="0.3">
      <c r="A580" t="s">
        <v>6</v>
      </c>
      <c r="B580" s="13">
        <v>3</v>
      </c>
      <c r="C580" s="33">
        <f t="shared" si="59"/>
        <v>0</v>
      </c>
      <c r="D580" s="19">
        <f t="shared" si="59"/>
        <v>1.7641856434770304E-2</v>
      </c>
      <c r="E580" s="19">
        <f t="shared" si="59"/>
        <v>1.0849741707383735</v>
      </c>
      <c r="F580" s="34">
        <f t="shared" si="59"/>
        <v>20.914420803420196</v>
      </c>
      <c r="G580" s="20">
        <f t="shared" si="59"/>
        <v>0.94383931926021136</v>
      </c>
      <c r="H580" s="17">
        <f>SUM(C580:G580)</f>
        <v>22.960876149853551</v>
      </c>
      <c r="I580" s="17">
        <f>F580/H580*100</f>
        <v>91.087207068766801</v>
      </c>
      <c r="J580" s="17">
        <f>SQRT(I580*(100-I580)/(L580-1))</f>
        <v>0.55857559294987813</v>
      </c>
      <c r="K580" s="18">
        <f>100-I580</f>
        <v>8.9127929312331986</v>
      </c>
      <c r="L580" s="1">
        <f>H569</f>
        <v>2603</v>
      </c>
      <c r="M580">
        <v>3</v>
      </c>
      <c r="N580" s="1">
        <v>41912.68</v>
      </c>
      <c r="O580" s="17">
        <f>N580/N582*100</f>
        <v>22.960876149853551</v>
      </c>
      <c r="P580" s="52">
        <f>((O580*O580*(I580/100)*(K580/100))/(L580-1))</f>
        <v>1.6449050065609636E-2</v>
      </c>
    </row>
    <row r="581" spans="1:16" x14ac:dyDescent="0.3">
      <c r="A581" t="s">
        <v>7</v>
      </c>
      <c r="B581" s="13">
        <v>4</v>
      </c>
      <c r="C581" s="35">
        <f t="shared" si="59"/>
        <v>0</v>
      </c>
      <c r="D581" s="36">
        <f t="shared" si="59"/>
        <v>0</v>
      </c>
      <c r="E581" s="21">
        <f t="shared" si="59"/>
        <v>0.75989919033984676</v>
      </c>
      <c r="F581" s="21">
        <f t="shared" si="59"/>
        <v>1.5057261734511778</v>
      </c>
      <c r="G581" s="37">
        <f t="shared" si="59"/>
        <v>11.243693575584029</v>
      </c>
      <c r="H581" s="17">
        <f>SUM(C581:G581)</f>
        <v>13.509318939375053</v>
      </c>
      <c r="I581" s="17">
        <f>G581/H581*100</f>
        <v>83.229166666666671</v>
      </c>
      <c r="J581" s="17">
        <f>SQRT(I581*(100-I581)/(L581-1))</f>
        <v>1.2064401752225082</v>
      </c>
      <c r="K581" s="18">
        <f>100-I581</f>
        <v>16.770833333333329</v>
      </c>
      <c r="L581" s="1">
        <f>H570</f>
        <v>960</v>
      </c>
      <c r="M581">
        <v>4</v>
      </c>
      <c r="N581" s="1">
        <v>24659.85</v>
      </c>
      <c r="O581" s="17">
        <f>N581/N582*100</f>
        <v>13.509318939375053</v>
      </c>
      <c r="P581" s="52">
        <f>((O581*O581*(I581/100)*(K581/100))/(L581-1))</f>
        <v>2.656308378262499E-2</v>
      </c>
    </row>
    <row r="582" spans="1:16" x14ac:dyDescent="0.3">
      <c r="B582" t="s">
        <v>28</v>
      </c>
      <c r="C582" s="17">
        <f t="shared" ref="C582:H582" si="60">SUM(C577:C581)</f>
        <v>1.4257786874132208</v>
      </c>
      <c r="D582" s="17">
        <f t="shared" si="60"/>
        <v>6.0478936471134421</v>
      </c>
      <c r="E582" s="17">
        <f t="shared" si="60"/>
        <v>56.378010897078504</v>
      </c>
      <c r="F582" s="17">
        <f t="shared" si="60"/>
        <v>23.336825930395506</v>
      </c>
      <c r="G582" s="17">
        <f t="shared" si="60"/>
        <v>12.811490837999322</v>
      </c>
      <c r="H582" s="18">
        <f t="shared" si="60"/>
        <v>100</v>
      </c>
      <c r="I582" s="13" t="s">
        <v>24</v>
      </c>
      <c r="J582" s="12" t="s">
        <v>29</v>
      </c>
      <c r="N582" s="1">
        <f>SUM(N577:N581)</f>
        <v>182539.55000000002</v>
      </c>
      <c r="O582" s="17">
        <f>SUM(O577:O581)</f>
        <v>100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0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0.11132943953847112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0.20618330820755518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0.20546951292821528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0.19817306697725637</v>
      </c>
      <c r="H583" s="1"/>
      <c r="I583" s="56">
        <f>(C577+D578+E579+F580+G581)/H582</f>
        <v>0.92743008239078917</v>
      </c>
      <c r="J583" s="53">
        <f>SQRT(SUM(P577:P581))/100</f>
        <v>2.5753915716668256E-3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80.475471588506423</v>
      </c>
      <c r="E584" s="17">
        <f>E579/E582*100</f>
        <v>96.300035022677605</v>
      </c>
      <c r="F584" s="17">
        <f>F580/F582*100</f>
        <v>89.619817475605373</v>
      </c>
      <c r="G584" s="17">
        <f>G581/G582*100</f>
        <v>87.762569694346951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2.2803577915967139</v>
      </c>
      <c r="E585" s="18">
        <f>SQRT((E588+E589)/(E582*E582))</f>
        <v>0.27343168773022969</v>
      </c>
      <c r="F585" s="18">
        <f>SQRT((F588+F589)/(F582*F582))</f>
        <v>0.84015631639348232</v>
      </c>
      <c r="G585" s="18">
        <f>SQRT((G588+G589)/(G582*G582))</f>
        <v>1.7382399723799649</v>
      </c>
      <c r="H585" s="1"/>
    </row>
    <row r="586" spans="1:16" x14ac:dyDescent="0.3">
      <c r="B586" s="1" t="s">
        <v>37</v>
      </c>
      <c r="C586" s="18">
        <f>100-C584</f>
        <v>0</v>
      </c>
      <c r="D586" s="18">
        <f>100-D584</f>
        <v>19.524528411493577</v>
      </c>
      <c r="E586" s="18">
        <f>100-E584</f>
        <v>3.699964977322395</v>
      </c>
      <c r="F586" s="18">
        <f>100-F584</f>
        <v>10.380182524394627</v>
      </c>
      <c r="G586" s="18">
        <f>100-G584</f>
        <v>12.237430305653049</v>
      </c>
    </row>
    <row r="587" spans="1:16" ht="15.6" x14ac:dyDescent="0.35">
      <c r="B587" s="1" t="s">
        <v>25</v>
      </c>
      <c r="C587" s="1">
        <f>C571</f>
        <v>259</v>
      </c>
      <c r="D587" s="1">
        <f>D571</f>
        <v>476</v>
      </c>
      <c r="E587" s="1">
        <f>E571</f>
        <v>7241</v>
      </c>
      <c r="F587" s="1">
        <f>F571</f>
        <v>2597</v>
      </c>
      <c r="G587" s="1">
        <f>G571</f>
        <v>987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132.34185489161976</v>
      </c>
      <c r="E588" s="18">
        <f>(O579*O579*(100-E584)*(100-E584)*(I579)*(100-I579))/((L579-1)*100)</f>
        <v>27.164049242040495</v>
      </c>
      <c r="F588" s="18">
        <f>(O580*O580*(100-F584)*(100-F584)*(I580)*(100-I580))/((L580-1)*100)</f>
        <v>177.235535928339</v>
      </c>
      <c r="G588" s="18">
        <f>(O581*O581*(100-G584)*(100-G584)*(I581)*(100-I581))/((L581-1)*100)</f>
        <v>397.79466558439765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57.859794399811889</v>
      </c>
      <c r="E589" s="18">
        <f>E584*E584*(SUM((H577*E577*(1-E566/H566))/(H566-1),(H578*E578*(1-E567/H567))/(H567-1), (H580*E580*(1-E569/H569))/(H569-1),(H581*E581*(1-E570/H570))/(H570-1)))</f>
        <v>210.47465993415872</v>
      </c>
      <c r="F589" s="18">
        <f>F584*F584*(SUM((H577*F577*(1-F566/H566))/(H566-1),(H578*F578*(1-F567/H567))/(H567-1), (H579*F579*(1-F568/H568))/(H568-1),(H581*F581*(1-F570/H570))/(H570-1)))</f>
        <v>207.18251042244938</v>
      </c>
      <c r="G589" s="18">
        <f>G584*G584*(SUM((H577*G577*(1-G566/H566))/(H566-1),(H578*G578*(1-G567/H567))/(H567-1), (H579*G579*(1-G568/H568))/(H568-1),(H580*G580*(1-G569/H569))/(H569-1)))</f>
        <v>98.133536419670079</v>
      </c>
    </row>
    <row r="592" spans="1:16" x14ac:dyDescent="0.3">
      <c r="A592" s="361"/>
      <c r="B592" s="361"/>
      <c r="C592" s="361"/>
      <c r="D592" s="361"/>
      <c r="E592" s="361"/>
      <c r="F592" s="361"/>
      <c r="G592" s="361"/>
      <c r="H592" s="361"/>
      <c r="I592" s="361"/>
      <c r="J592" s="361"/>
      <c r="K592" s="361"/>
      <c r="L592" s="361"/>
      <c r="M592" s="361"/>
      <c r="N592" s="361"/>
      <c r="O592" s="361"/>
      <c r="P592" s="361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61"/>
      <c r="B621" s="361"/>
      <c r="C621" s="361"/>
      <c r="D621" s="361"/>
      <c r="E621" s="361"/>
      <c r="F621" s="361"/>
      <c r="G621" s="361"/>
      <c r="H621" s="361"/>
      <c r="I621" s="361"/>
      <c r="J621" s="361"/>
      <c r="K621" s="361"/>
      <c r="L621" s="361"/>
      <c r="M621" s="361"/>
      <c r="N621" s="361"/>
      <c r="O621" s="361"/>
      <c r="P621" s="361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61"/>
      <c r="B650" s="361"/>
      <c r="C650" s="361"/>
      <c r="D650" s="361"/>
      <c r="E650" s="361"/>
      <c r="F650" s="361"/>
      <c r="G650" s="361"/>
      <c r="H650" s="361"/>
      <c r="I650" s="361"/>
      <c r="J650" s="361"/>
      <c r="K650" s="361"/>
      <c r="L650" s="361"/>
      <c r="M650" s="361"/>
      <c r="N650" s="361"/>
      <c r="O650" s="361"/>
      <c r="P650" s="361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61"/>
      <c r="B679" s="361"/>
      <c r="C679" s="361"/>
      <c r="D679" s="361"/>
      <c r="E679" s="361"/>
      <c r="F679" s="361"/>
      <c r="G679" s="361"/>
      <c r="H679" s="361"/>
      <c r="I679" s="361"/>
      <c r="J679" s="361"/>
      <c r="K679" s="361"/>
      <c r="L679" s="361"/>
      <c r="M679" s="361"/>
      <c r="N679" s="361"/>
      <c r="O679" s="361"/>
      <c r="P679" s="361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61"/>
      <c r="B708" s="361"/>
      <c r="C708" s="361"/>
      <c r="D708" s="361"/>
      <c r="E708" s="361"/>
      <c r="F708" s="361"/>
      <c r="G708" s="361"/>
      <c r="H708" s="361"/>
      <c r="I708" s="361"/>
      <c r="J708" s="361"/>
      <c r="K708" s="361"/>
      <c r="L708" s="361"/>
      <c r="M708" s="361"/>
      <c r="N708" s="361"/>
      <c r="O708" s="361"/>
      <c r="P708" s="361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61"/>
      <c r="B737" s="361"/>
      <c r="C737" s="361"/>
      <c r="D737" s="361"/>
      <c r="E737" s="361"/>
      <c r="F737" s="361"/>
      <c r="G737" s="361"/>
      <c r="H737" s="361"/>
      <c r="I737" s="361"/>
      <c r="J737" s="361"/>
      <c r="K737" s="361"/>
      <c r="L737" s="361"/>
      <c r="M737" s="361"/>
      <c r="N737" s="361"/>
      <c r="O737" s="361"/>
      <c r="P737" s="361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61"/>
      <c r="B766" s="361"/>
      <c r="C766" s="361"/>
      <c r="D766" s="361"/>
      <c r="E766" s="361"/>
      <c r="F766" s="361"/>
      <c r="G766" s="361"/>
      <c r="H766" s="361"/>
      <c r="I766" s="361"/>
      <c r="J766" s="361"/>
      <c r="K766" s="361"/>
      <c r="L766" s="361"/>
      <c r="M766" s="361"/>
      <c r="N766" s="361"/>
      <c r="O766" s="361"/>
      <c r="P766" s="361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61"/>
      <c r="B795" s="361"/>
      <c r="C795" s="361"/>
      <c r="D795" s="361"/>
      <c r="E795" s="361"/>
      <c r="F795" s="361"/>
      <c r="G795" s="361"/>
      <c r="H795" s="361"/>
      <c r="I795" s="361"/>
      <c r="J795" s="361"/>
      <c r="K795" s="361"/>
      <c r="L795" s="361"/>
      <c r="M795" s="361"/>
      <c r="N795" s="361"/>
      <c r="O795" s="361"/>
      <c r="P795" s="361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61"/>
      <c r="B824" s="361"/>
      <c r="C824" s="361"/>
      <c r="D824" s="361"/>
      <c r="E824" s="361"/>
      <c r="F824" s="361"/>
      <c r="G824" s="361"/>
      <c r="H824" s="361"/>
      <c r="I824" s="361"/>
      <c r="J824" s="361"/>
      <c r="K824" s="361"/>
      <c r="L824" s="361"/>
      <c r="M824" s="361"/>
      <c r="N824" s="361"/>
      <c r="O824" s="361"/>
      <c r="P824" s="361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61"/>
      <c r="B853" s="361"/>
      <c r="C853" s="361"/>
      <c r="D853" s="361"/>
      <c r="E853" s="361"/>
      <c r="F853" s="361"/>
      <c r="G853" s="361"/>
      <c r="H853" s="361"/>
      <c r="I853" s="361"/>
      <c r="J853" s="361"/>
      <c r="K853" s="361"/>
      <c r="L853" s="361"/>
      <c r="M853" s="361"/>
      <c r="N853" s="361"/>
      <c r="O853" s="361"/>
      <c r="P853" s="361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61"/>
      <c r="B882" s="361"/>
      <c r="C882" s="361"/>
      <c r="D882" s="361"/>
      <c r="E882" s="361"/>
      <c r="F882" s="361"/>
      <c r="G882" s="361"/>
      <c r="H882" s="361"/>
      <c r="I882" s="361"/>
      <c r="J882" s="361"/>
      <c r="K882" s="361"/>
      <c r="L882" s="361"/>
      <c r="M882" s="361"/>
      <c r="N882" s="361"/>
      <c r="O882" s="361"/>
      <c r="P882" s="361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61"/>
      <c r="B911" s="361"/>
      <c r="C911" s="361"/>
      <c r="D911" s="361"/>
      <c r="E911" s="361"/>
      <c r="F911" s="361"/>
      <c r="G911" s="361"/>
      <c r="H911" s="361"/>
      <c r="I911" s="361"/>
      <c r="J911" s="361"/>
      <c r="K911" s="361"/>
      <c r="L911" s="361"/>
      <c r="M911" s="361"/>
      <c r="N911" s="361"/>
      <c r="O911" s="361"/>
      <c r="P911" s="361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61"/>
      <c r="B940" s="361"/>
      <c r="C940" s="361"/>
      <c r="D940" s="361"/>
      <c r="E940" s="361"/>
      <c r="F940" s="361"/>
      <c r="G940" s="361"/>
      <c r="H940" s="361"/>
      <c r="I940" s="361"/>
      <c r="J940" s="361"/>
      <c r="K940" s="361"/>
      <c r="L940" s="361"/>
      <c r="M940" s="361"/>
      <c r="N940" s="361"/>
      <c r="O940" s="361"/>
      <c r="P940" s="361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61"/>
      <c r="B969" s="361"/>
      <c r="C969" s="361"/>
      <c r="D969" s="361"/>
      <c r="E969" s="361"/>
      <c r="F969" s="361"/>
      <c r="G969" s="361"/>
      <c r="H969" s="361"/>
      <c r="I969" s="361"/>
      <c r="J969" s="361"/>
      <c r="K969" s="361"/>
      <c r="L969" s="361"/>
      <c r="M969" s="361"/>
      <c r="N969" s="361"/>
      <c r="O969" s="361"/>
      <c r="P969" s="361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61"/>
      <c r="B998" s="361"/>
      <c r="C998" s="361"/>
      <c r="D998" s="361"/>
      <c r="E998" s="361"/>
      <c r="F998" s="361"/>
      <c r="G998" s="361"/>
      <c r="H998" s="361"/>
      <c r="I998" s="361"/>
      <c r="J998" s="361"/>
      <c r="K998" s="361"/>
      <c r="L998" s="361"/>
      <c r="M998" s="361"/>
      <c r="N998" s="361"/>
      <c r="O998" s="361"/>
      <c r="P998" s="361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61"/>
      <c r="B1027" s="361"/>
      <c r="C1027" s="361"/>
      <c r="D1027" s="361"/>
      <c r="E1027" s="361"/>
      <c r="F1027" s="361"/>
      <c r="G1027" s="361"/>
      <c r="H1027" s="361"/>
      <c r="I1027" s="361"/>
      <c r="J1027" s="361"/>
      <c r="K1027" s="361"/>
      <c r="L1027" s="361"/>
      <c r="M1027" s="361"/>
      <c r="N1027" s="361"/>
      <c r="O1027" s="361"/>
      <c r="P1027" s="361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61"/>
      <c r="B1056" s="361"/>
      <c r="C1056" s="361"/>
      <c r="D1056" s="361"/>
      <c r="E1056" s="361"/>
      <c r="F1056" s="361"/>
      <c r="G1056" s="361"/>
      <c r="H1056" s="361"/>
      <c r="I1056" s="361"/>
      <c r="J1056" s="361"/>
      <c r="K1056" s="361"/>
      <c r="L1056" s="361"/>
      <c r="M1056" s="361"/>
      <c r="N1056" s="361"/>
      <c r="O1056" s="361"/>
      <c r="P1056" s="361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61"/>
      <c r="B1085" s="361"/>
      <c r="C1085" s="361"/>
      <c r="D1085" s="361"/>
      <c r="E1085" s="361"/>
      <c r="F1085" s="361"/>
      <c r="G1085" s="361"/>
      <c r="H1085" s="361"/>
      <c r="I1085" s="361"/>
      <c r="J1085" s="361"/>
      <c r="K1085" s="361"/>
      <c r="L1085" s="361"/>
      <c r="M1085" s="361"/>
      <c r="N1085" s="361"/>
      <c r="O1085" s="361"/>
      <c r="P1085" s="361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61"/>
      <c r="B1114" s="361"/>
      <c r="C1114" s="361"/>
      <c r="D1114" s="361"/>
      <c r="E1114" s="361"/>
      <c r="F1114" s="361"/>
      <c r="G1114" s="361"/>
      <c r="H1114" s="361"/>
      <c r="I1114" s="361"/>
      <c r="J1114" s="361"/>
      <c r="K1114" s="361"/>
      <c r="L1114" s="361"/>
      <c r="M1114" s="361"/>
      <c r="N1114" s="361"/>
      <c r="O1114" s="361"/>
      <c r="P1114" s="361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61"/>
      <c r="B1143" s="361"/>
      <c r="C1143" s="361"/>
      <c r="D1143" s="361"/>
      <c r="E1143" s="361"/>
      <c r="F1143" s="361"/>
      <c r="G1143" s="361"/>
      <c r="H1143" s="361"/>
      <c r="I1143" s="361"/>
      <c r="J1143" s="361"/>
      <c r="K1143" s="361"/>
      <c r="L1143" s="361"/>
      <c r="M1143" s="361"/>
      <c r="N1143" s="361"/>
      <c r="O1143" s="361"/>
      <c r="P1143" s="361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61"/>
      <c r="B1172" s="361"/>
      <c r="C1172" s="361"/>
      <c r="D1172" s="361"/>
      <c r="E1172" s="361"/>
      <c r="F1172" s="361"/>
      <c r="G1172" s="361"/>
      <c r="H1172" s="361"/>
      <c r="I1172" s="361"/>
      <c r="J1172" s="361"/>
      <c r="K1172" s="361"/>
      <c r="L1172" s="361"/>
      <c r="M1172" s="361"/>
      <c r="N1172" s="361"/>
      <c r="O1172" s="361"/>
      <c r="P1172" s="361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61"/>
      <c r="B1201" s="361"/>
      <c r="C1201" s="361"/>
      <c r="D1201" s="361"/>
      <c r="E1201" s="361"/>
      <c r="F1201" s="361"/>
      <c r="G1201" s="361"/>
      <c r="H1201" s="361"/>
      <c r="I1201" s="361"/>
      <c r="J1201" s="361"/>
      <c r="K1201" s="361"/>
      <c r="L1201" s="361"/>
      <c r="M1201" s="361"/>
      <c r="N1201" s="361"/>
      <c r="O1201" s="361"/>
      <c r="P1201" s="361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61"/>
      <c r="B1230" s="361"/>
      <c r="C1230" s="361"/>
      <c r="D1230" s="361"/>
      <c r="E1230" s="361"/>
      <c r="F1230" s="361"/>
      <c r="G1230" s="361"/>
      <c r="H1230" s="361"/>
      <c r="I1230" s="361"/>
      <c r="J1230" s="361"/>
      <c r="K1230" s="361"/>
      <c r="L1230" s="361"/>
      <c r="M1230" s="361"/>
      <c r="N1230" s="361"/>
      <c r="O1230" s="361"/>
      <c r="P1230" s="361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61"/>
      <c r="B1259" s="361"/>
      <c r="C1259" s="361"/>
      <c r="D1259" s="361"/>
      <c r="E1259" s="361"/>
      <c r="F1259" s="361"/>
      <c r="G1259" s="361"/>
      <c r="H1259" s="361"/>
      <c r="I1259" s="361"/>
      <c r="J1259" s="361"/>
      <c r="K1259" s="361"/>
      <c r="L1259" s="361"/>
      <c r="M1259" s="361"/>
      <c r="N1259" s="361"/>
      <c r="O1259" s="361"/>
      <c r="P1259" s="361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61"/>
      <c r="B1288" s="361"/>
      <c r="C1288" s="361"/>
      <c r="D1288" s="361"/>
      <c r="E1288" s="361"/>
      <c r="F1288" s="361"/>
      <c r="G1288" s="361"/>
      <c r="H1288" s="361"/>
      <c r="I1288" s="361"/>
      <c r="J1288" s="361"/>
      <c r="K1288" s="361"/>
      <c r="L1288" s="361"/>
      <c r="M1288" s="361"/>
      <c r="N1288" s="361"/>
      <c r="O1288" s="361"/>
      <c r="P1288" s="361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61"/>
      <c r="B1317" s="361"/>
      <c r="C1317" s="361"/>
      <c r="D1317" s="361"/>
      <c r="E1317" s="361"/>
      <c r="F1317" s="361"/>
      <c r="G1317" s="361"/>
      <c r="H1317" s="361"/>
      <c r="I1317" s="361"/>
      <c r="J1317" s="361"/>
      <c r="K1317" s="361"/>
      <c r="L1317" s="361"/>
      <c r="M1317" s="361"/>
      <c r="N1317" s="361"/>
      <c r="O1317" s="361"/>
      <c r="P1317" s="361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61"/>
      <c r="B1346" s="361"/>
      <c r="C1346" s="361"/>
      <c r="D1346" s="361"/>
      <c r="E1346" s="361"/>
      <c r="F1346" s="361"/>
      <c r="G1346" s="361"/>
      <c r="H1346" s="361"/>
      <c r="I1346" s="361"/>
      <c r="J1346" s="361"/>
      <c r="K1346" s="361"/>
      <c r="L1346" s="361"/>
      <c r="M1346" s="361"/>
      <c r="N1346" s="361"/>
      <c r="O1346" s="361"/>
      <c r="P1346" s="361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61"/>
      <c r="B1375" s="361"/>
      <c r="C1375" s="361"/>
      <c r="D1375" s="361"/>
      <c r="E1375" s="361"/>
      <c r="F1375" s="361"/>
      <c r="G1375" s="361"/>
      <c r="H1375" s="361"/>
      <c r="I1375" s="361"/>
      <c r="J1375" s="361"/>
      <c r="K1375" s="361"/>
      <c r="L1375" s="361"/>
      <c r="M1375" s="361"/>
      <c r="N1375" s="361"/>
      <c r="O1375" s="361"/>
      <c r="P1375" s="361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61"/>
      <c r="B1404" s="361"/>
      <c r="C1404" s="361"/>
      <c r="D1404" s="361"/>
      <c r="E1404" s="361"/>
      <c r="F1404" s="361"/>
      <c r="G1404" s="361"/>
      <c r="H1404" s="361"/>
      <c r="I1404" s="361"/>
      <c r="J1404" s="361"/>
      <c r="K1404" s="361"/>
      <c r="L1404" s="361"/>
      <c r="M1404" s="361"/>
      <c r="N1404" s="361"/>
      <c r="O1404" s="361"/>
      <c r="P1404" s="361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61"/>
      <c r="B1433" s="361"/>
      <c r="C1433" s="361"/>
      <c r="D1433" s="361"/>
      <c r="E1433" s="361"/>
      <c r="F1433" s="361"/>
      <c r="G1433" s="361"/>
      <c r="H1433" s="361"/>
      <c r="I1433" s="361"/>
      <c r="J1433" s="361"/>
      <c r="K1433" s="361"/>
      <c r="L1433" s="361"/>
      <c r="M1433" s="361"/>
      <c r="N1433" s="361"/>
      <c r="O1433" s="361"/>
      <c r="P1433" s="361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mergeCells count="102"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505:K505"/>
    <mergeCell ref="L505:P505"/>
    <mergeCell ref="A534:K534"/>
    <mergeCell ref="L534:P534"/>
    <mergeCell ref="A563:K563"/>
    <mergeCell ref="L563:P563"/>
    <mergeCell ref="A418:K418"/>
    <mergeCell ref="L418:P418"/>
    <mergeCell ref="A447:K447"/>
    <mergeCell ref="L447:P447"/>
    <mergeCell ref="A476:K476"/>
    <mergeCell ref="L476:P476"/>
    <mergeCell ref="A360:K360"/>
    <mergeCell ref="L360:P360"/>
    <mergeCell ref="A389:K389"/>
    <mergeCell ref="L389:P389"/>
    <mergeCell ref="A244:K244"/>
    <mergeCell ref="L244:P244"/>
    <mergeCell ref="A273:K273"/>
    <mergeCell ref="L273:P273"/>
    <mergeCell ref="A302:K302"/>
    <mergeCell ref="L302:P302"/>
    <mergeCell ref="A215:K215"/>
    <mergeCell ref="L215:P215"/>
    <mergeCell ref="AJ80:AT80"/>
    <mergeCell ref="AU80:AY80"/>
    <mergeCell ref="A99:K99"/>
    <mergeCell ref="L99:P99"/>
    <mergeCell ref="A128:K128"/>
    <mergeCell ref="L128:P128"/>
    <mergeCell ref="A331:K331"/>
    <mergeCell ref="L331:P331"/>
    <mergeCell ref="A12:K12"/>
    <mergeCell ref="L12:P12"/>
    <mergeCell ref="A41:K41"/>
    <mergeCell ref="L41:P41"/>
    <mergeCell ref="A70:K70"/>
    <mergeCell ref="L70:P70"/>
    <mergeCell ref="A157:K157"/>
    <mergeCell ref="L157:P157"/>
    <mergeCell ref="A186:K186"/>
    <mergeCell ref="L186:P18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64FF1-9EAD-4EBD-90B2-848B40BDDDEE}">
  <dimension ref="A1:BE1459"/>
  <sheetViews>
    <sheetView topLeftCell="AC90" zoomScale="80" zoomScaleNormal="80" workbookViewId="0">
      <selection activeCell="AL100" sqref="AL100:AP100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</cols>
  <sheetData>
    <row r="1" spans="1:57" x14ac:dyDescent="0.3">
      <c r="A1" s="12"/>
      <c r="B1" s="12" t="s">
        <v>10</v>
      </c>
      <c r="C1" s="12"/>
      <c r="D1" s="12"/>
      <c r="E1" s="12"/>
      <c r="F1" s="12"/>
      <c r="G1" t="s">
        <v>47</v>
      </c>
    </row>
    <row r="2" spans="1:57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G2" t="s">
        <v>46</v>
      </c>
      <c r="AG2" s="51" t="s">
        <v>127</v>
      </c>
      <c r="AH2" s="51" t="s">
        <v>131</v>
      </c>
    </row>
    <row r="3" spans="1:57" x14ac:dyDescent="0.3">
      <c r="A3" s="12" t="s">
        <v>3</v>
      </c>
      <c r="B3" s="103">
        <v>175.36</v>
      </c>
      <c r="C3" s="22">
        <f>B3/$B$8</f>
        <v>5.8291477331276827E-2</v>
      </c>
      <c r="D3" s="85">
        <v>0.02</v>
      </c>
      <c r="E3" s="86">
        <f>D3-C3</f>
        <v>-3.829147733127683E-2</v>
      </c>
      <c r="F3" s="12" t="s">
        <v>49</v>
      </c>
      <c r="G3" t="s">
        <v>50</v>
      </c>
      <c r="AG3" s="51" t="s">
        <v>128</v>
      </c>
      <c r="AH3" s="51" t="s">
        <v>134</v>
      </c>
    </row>
    <row r="4" spans="1:57" x14ac:dyDescent="0.3">
      <c r="A4" s="12" t="s">
        <v>4</v>
      </c>
      <c r="B4" s="103">
        <v>249.32</v>
      </c>
      <c r="C4" s="22">
        <f>B4/$B$8</f>
        <v>8.2876546123596809E-2</v>
      </c>
      <c r="D4" s="85">
        <v>7.0000000000000007E-2</v>
      </c>
      <c r="E4" s="86">
        <f>D4-C4</f>
        <v>-1.2876546123596802E-2</v>
      </c>
      <c r="F4" s="12" t="s">
        <v>49</v>
      </c>
      <c r="G4" t="s">
        <v>55</v>
      </c>
      <c r="AG4" s="51" t="s">
        <v>129</v>
      </c>
      <c r="AH4" s="51" t="s">
        <v>132</v>
      </c>
    </row>
    <row r="5" spans="1:57" x14ac:dyDescent="0.3">
      <c r="A5" s="12" t="s">
        <v>5</v>
      </c>
      <c r="B5" s="103">
        <v>1402.65</v>
      </c>
      <c r="C5" s="22">
        <f>B5/$B$8</f>
        <v>0.46625536427187181</v>
      </c>
      <c r="D5" s="85">
        <v>0.48</v>
      </c>
      <c r="E5" s="86">
        <f>D5-C5</f>
        <v>1.3744635728128174E-2</v>
      </c>
      <c r="F5" s="12"/>
      <c r="AG5" s="51" t="s">
        <v>130</v>
      </c>
      <c r="AH5" s="51" t="s">
        <v>133</v>
      </c>
    </row>
    <row r="6" spans="1:57" x14ac:dyDescent="0.3">
      <c r="A6" s="12" t="s">
        <v>6</v>
      </c>
      <c r="B6" s="103">
        <v>728.96</v>
      </c>
      <c r="C6" s="22">
        <f>B6/$B$8</f>
        <v>0.2423138418989938</v>
      </c>
      <c r="D6" s="85">
        <v>0.28000000000000003</v>
      </c>
      <c r="E6" s="86">
        <f>D6-C6</f>
        <v>3.7686158101006229E-2</v>
      </c>
      <c r="F6" s="12"/>
      <c r="I6" s="12"/>
      <c r="J6" s="12" t="s">
        <v>54</v>
      </c>
      <c r="K6" s="12"/>
      <c r="AG6" s="51" t="s">
        <v>155</v>
      </c>
      <c r="AH6" s="51" t="s">
        <v>157</v>
      </c>
    </row>
    <row r="7" spans="1:57" x14ac:dyDescent="0.3">
      <c r="A7" s="12" t="s">
        <v>7</v>
      </c>
      <c r="B7" s="103">
        <v>452.04</v>
      </c>
      <c r="C7" s="22">
        <f>B7/$B$8</f>
        <v>0.15026277037426081</v>
      </c>
      <c r="D7" s="85">
        <v>0.15</v>
      </c>
      <c r="E7" s="86">
        <f>D7-C7</f>
        <v>-2.6277037426081229E-4</v>
      </c>
      <c r="F7" s="12"/>
      <c r="I7" s="12"/>
      <c r="J7" s="12">
        <v>17253</v>
      </c>
      <c r="K7" s="12"/>
      <c r="AG7" s="51" t="s">
        <v>156</v>
      </c>
      <c r="AH7" s="51" t="s">
        <v>158</v>
      </c>
    </row>
    <row r="8" spans="1:57" x14ac:dyDescent="0.3">
      <c r="A8" s="12"/>
      <c r="B8" s="103">
        <f>SUM(B3:B7)</f>
        <v>3008.33</v>
      </c>
      <c r="C8" s="61">
        <f>SUM(C3:C7)</f>
        <v>1</v>
      </c>
      <c r="D8" s="12"/>
      <c r="E8" s="12" t="s">
        <v>16</v>
      </c>
      <c r="F8" s="12">
        <v>155885.64000000001</v>
      </c>
      <c r="I8" s="12" t="s">
        <v>60</v>
      </c>
      <c r="J8" s="12" t="s">
        <v>54</v>
      </c>
      <c r="K8" s="12" t="s">
        <v>59</v>
      </c>
      <c r="AG8" s="51" t="s">
        <v>210</v>
      </c>
      <c r="AH8" s="51" t="s">
        <v>215</v>
      </c>
    </row>
    <row r="9" spans="1:57" x14ac:dyDescent="0.3">
      <c r="A9" s="12"/>
      <c r="B9" s="87">
        <f>B8/0.09</f>
        <v>33425.888888888891</v>
      </c>
      <c r="C9" s="12" t="s">
        <v>48</v>
      </c>
      <c r="D9" s="12"/>
      <c r="E9" s="12" t="s">
        <v>51</v>
      </c>
      <c r="F9" s="88">
        <f>B8/F8</f>
        <v>1.929831381517887E-2</v>
      </c>
      <c r="I9" s="12">
        <v>9285</v>
      </c>
      <c r="J9" s="12">
        <v>15762</v>
      </c>
      <c r="K9" s="89">
        <f>(J7-J9)/J7</f>
        <v>8.6419753086419748E-2</v>
      </c>
      <c r="AG9" s="51" t="s">
        <v>211</v>
      </c>
      <c r="AH9" s="51" t="s">
        <v>216</v>
      </c>
    </row>
    <row r="10" spans="1:57" x14ac:dyDescent="0.3">
      <c r="A10" s="130" t="s">
        <v>417</v>
      </c>
      <c r="B10" s="131">
        <v>43418</v>
      </c>
      <c r="F10" s="46"/>
      <c r="I10" s="89">
        <f>I9/(I9+J9)</f>
        <v>0.37070307821295961</v>
      </c>
      <c r="J10" s="89">
        <f>J9/(J9+I9)</f>
        <v>0.62929692178704033</v>
      </c>
      <c r="K10" s="12"/>
      <c r="AG10" s="51" t="s">
        <v>212</v>
      </c>
      <c r="AH10" s="51" t="s">
        <v>217</v>
      </c>
    </row>
    <row r="11" spans="1:57" x14ac:dyDescent="0.3">
      <c r="B11" s="18"/>
      <c r="F11" s="46"/>
      <c r="I11" s="45"/>
      <c r="J11" s="45"/>
      <c r="AG11" s="51" t="s">
        <v>213</v>
      </c>
      <c r="AH11" s="51" t="s">
        <v>218</v>
      </c>
    </row>
    <row r="12" spans="1:57" x14ac:dyDescent="0.3">
      <c r="A12" s="361" t="s">
        <v>429</v>
      </c>
      <c r="B12" s="361"/>
      <c r="C12" s="361"/>
      <c r="D12" s="361"/>
      <c r="E12" s="361"/>
      <c r="F12" s="361"/>
      <c r="G12" s="361"/>
      <c r="H12" s="361"/>
      <c r="I12" s="361"/>
      <c r="J12" s="361"/>
      <c r="K12" s="361"/>
      <c r="L12" s="361" t="s">
        <v>52</v>
      </c>
      <c r="M12" s="361"/>
      <c r="N12" s="361"/>
      <c r="O12" s="361"/>
      <c r="P12" s="361"/>
      <c r="R12" s="47" t="s">
        <v>429</v>
      </c>
      <c r="S12" s="47" t="s">
        <v>41</v>
      </c>
      <c r="T12" s="47"/>
      <c r="U12" s="47"/>
      <c r="V12" s="47"/>
      <c r="W12" s="47"/>
      <c r="X12" s="47"/>
      <c r="Y12" s="47"/>
      <c r="Z12" s="47"/>
      <c r="AA12" s="47"/>
      <c r="AB12" s="47" t="s">
        <v>63</v>
      </c>
      <c r="AC12" s="47"/>
      <c r="AD12" s="47"/>
      <c r="AE12" s="47"/>
      <c r="AF12" s="47"/>
      <c r="AG12" s="51" t="s">
        <v>214</v>
      </c>
      <c r="AH12" s="51" t="s">
        <v>219</v>
      </c>
      <c r="AW12" s="66"/>
      <c r="AX12" s="77" t="s">
        <v>328</v>
      </c>
      <c r="AY12" s="77" t="s">
        <v>331</v>
      </c>
      <c r="AZ12" s="77" t="s">
        <v>329</v>
      </c>
      <c r="BA12" s="77" t="s">
        <v>330</v>
      </c>
      <c r="BB12" s="77" t="s">
        <v>332</v>
      </c>
      <c r="BC12" s="77" t="s">
        <v>333</v>
      </c>
      <c r="BD12" s="77" t="s">
        <v>372</v>
      </c>
      <c r="BE12" s="13"/>
    </row>
    <row r="13" spans="1:57" x14ac:dyDescent="0.3">
      <c r="A13" t="s">
        <v>320</v>
      </c>
      <c r="B13" t="s">
        <v>21</v>
      </c>
      <c r="I13" s="1" t="s">
        <v>58</v>
      </c>
      <c r="AG13" s="51" t="s">
        <v>324</v>
      </c>
      <c r="AH13" s="51" t="s">
        <v>326</v>
      </c>
      <c r="AW13" s="51" t="s">
        <v>131</v>
      </c>
      <c r="AX13" s="80">
        <f>MIN($AE$16:$AE$20)</f>
        <v>0.92544606705442845</v>
      </c>
      <c r="AY13" s="80">
        <f>_xlfn.QUARTILE.EXC($AE$16:$AE$20,1)</f>
        <v>0.92652526873295704</v>
      </c>
      <c r="AZ13" s="80">
        <f>MEDIAN($AE$16:$AE$20)</f>
        <v>0.92801175889853393</v>
      </c>
      <c r="BA13" s="80">
        <f>AVERAGE($AE$16:$AE$20)</f>
        <v>0.92822273306679237</v>
      </c>
      <c r="BB13" s="80">
        <f>_xlfn.QUARTILE.EXC(AE16:AE20,3)</f>
        <v>0.93002568448475686</v>
      </c>
      <c r="BC13" s="80">
        <f>MAX(AE16:AE20)</f>
        <v>0.93149716262912663</v>
      </c>
      <c r="BD13" s="80">
        <f>(BB13-AY13)/AZ13</f>
        <v>3.771951937284179E-3</v>
      </c>
      <c r="BE13" s="80"/>
    </row>
    <row r="14" spans="1:57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56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325</v>
      </c>
      <c r="AH14" s="51" t="s">
        <v>327</v>
      </c>
      <c r="AW14" s="51" t="s">
        <v>134</v>
      </c>
      <c r="AX14" s="80">
        <f>MIN($AE$16:$AE$25)</f>
        <v>0.92544606705442845</v>
      </c>
      <c r="AY14" s="80">
        <f>_xlfn.QUARTILE.EXC($AE$16:$AE$25,1)</f>
        <v>0.92758475521204198</v>
      </c>
      <c r="AZ14" s="80">
        <f>MEDIAN($AE$16:$AE$25)</f>
        <v>0.92901588336610907</v>
      </c>
      <c r="BA14" s="80">
        <f>AVERAGE($AE$16:$AE$25)</f>
        <v>0.9289434698953134</v>
      </c>
      <c r="BB14" s="80">
        <f>_xlfn.QUARTILE.EXC($AE$16:$AE$25,3)</f>
        <v>0.93048879802898266</v>
      </c>
      <c r="BC14" s="80">
        <f>MAX($AE$16:$AE$25)</f>
        <v>0.93149716262912663</v>
      </c>
      <c r="BD14" s="80">
        <f t="shared" ref="BD14:BD23" si="0">(BB14-AY14)/AZ14</f>
        <v>3.1259345173071107E-3</v>
      </c>
      <c r="BE14" s="80"/>
    </row>
    <row r="15" spans="1:57" x14ac:dyDescent="0.3">
      <c r="A15" t="s">
        <v>3</v>
      </c>
      <c r="B15" s="13">
        <v>0</v>
      </c>
      <c r="C15" s="26">
        <v>90</v>
      </c>
      <c r="D15" s="3">
        <v>0</v>
      </c>
      <c r="E15" s="3">
        <v>0</v>
      </c>
      <c r="F15" s="3">
        <v>0</v>
      </c>
      <c r="G15" s="4">
        <v>0</v>
      </c>
      <c r="H15" s="1">
        <f>SUM(C15:G15)</f>
        <v>90</v>
      </c>
      <c r="I15" s="10">
        <f>C15/H15</f>
        <v>1</v>
      </c>
      <c r="J15" s="11">
        <f>1-I15</f>
        <v>0</v>
      </c>
      <c r="K15">
        <f>H15-C20</f>
        <v>0</v>
      </c>
      <c r="N15" s="10">
        <f>2*(C21*I15)/(C21+I15)</f>
        <v>1</v>
      </c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77</v>
      </c>
      <c r="AF15" s="12" t="s">
        <v>29</v>
      </c>
      <c r="AH15" t="s">
        <v>125</v>
      </c>
      <c r="AI15" t="s">
        <v>126</v>
      </c>
      <c r="AW15" s="51" t="s">
        <v>132</v>
      </c>
      <c r="AX15" s="80">
        <f>MIN($AE$16:$AE$35)</f>
        <v>0.92454073190329145</v>
      </c>
      <c r="AY15" s="80">
        <f>_xlfn.QUARTILE.EXC($AE$16:$AE$35,1)</f>
        <v>0.92754052160746592</v>
      </c>
      <c r="AZ15" s="126">
        <f>MEDIAN($AE$16:$AE$35)</f>
        <v>0.9286733952497932</v>
      </c>
      <c r="BA15" s="126">
        <f>AVERAGE($AE$16:$AE$35)</f>
        <v>0.92856500079669857</v>
      </c>
      <c r="BB15" s="80">
        <f>_xlfn.QUARTILE.EXC($AE$16:$AE$35,3)</f>
        <v>0.93005340421566762</v>
      </c>
      <c r="BC15" s="80">
        <f>MAX($AE$16:$AE$35)</f>
        <v>0.93155768858221588</v>
      </c>
      <c r="BD15" s="80">
        <f t="shared" si="0"/>
        <v>2.7058841365061328E-3</v>
      </c>
      <c r="BE15" s="80"/>
    </row>
    <row r="16" spans="1:57" x14ac:dyDescent="0.3">
      <c r="A16" t="s">
        <v>4</v>
      </c>
      <c r="B16" s="13">
        <v>1</v>
      </c>
      <c r="C16" s="5">
        <v>0</v>
      </c>
      <c r="D16" s="27">
        <v>189</v>
      </c>
      <c r="E16" s="1">
        <v>10</v>
      </c>
      <c r="F16" s="1">
        <v>0</v>
      </c>
      <c r="G16" s="6">
        <v>2</v>
      </c>
      <c r="H16" s="1">
        <f>SUM(C16:G16)</f>
        <v>201</v>
      </c>
      <c r="I16" s="10">
        <f>D16/H16</f>
        <v>0.94029850746268662</v>
      </c>
      <c r="J16" s="11">
        <f>1-I16</f>
        <v>5.9701492537313383E-2</v>
      </c>
      <c r="K16">
        <f>H16-D20</f>
        <v>-123</v>
      </c>
      <c r="N16" s="10">
        <f>2*(D21*I16)/(D21+I16)</f>
        <v>0.72000000000000008</v>
      </c>
      <c r="R16" t="s">
        <v>70</v>
      </c>
      <c r="S16" t="s">
        <v>28</v>
      </c>
      <c r="T16" s="57">
        <f t="shared" ref="T16:X19" si="1">C31</f>
        <v>1.3307575989680642</v>
      </c>
      <c r="U16" s="57">
        <f t="shared" si="1"/>
        <v>5.6997328590884146</v>
      </c>
      <c r="V16" s="57">
        <f t="shared" si="1"/>
        <v>57.730225107917988</v>
      </c>
      <c r="W16" s="57">
        <f t="shared" si="1"/>
        <v>25.113815460263371</v>
      </c>
      <c r="X16" s="57">
        <f t="shared" si="1"/>
        <v>10.125468973762175</v>
      </c>
      <c r="AC16" t="s">
        <v>70</v>
      </c>
      <c r="AD16" s="51">
        <f>I21</f>
        <v>0.93914916532040926</v>
      </c>
      <c r="AE16" s="55">
        <f>I32</f>
        <v>0.93149716262912663</v>
      </c>
      <c r="AF16" s="55">
        <f>J32</f>
        <v>2.7405073941843268E-3</v>
      </c>
      <c r="AH16">
        <v>21</v>
      </c>
      <c r="AI16">
        <v>32</v>
      </c>
      <c r="AW16" s="51" t="s">
        <v>133</v>
      </c>
      <c r="AX16" s="80">
        <f>MIN($AE$16:$AE$45)</f>
        <v>0.92454073190329145</v>
      </c>
      <c r="AY16" s="80">
        <f>_xlfn.QUARTILE.EXC($AE$16:$AE$45,1)</f>
        <v>0.92754052160746592</v>
      </c>
      <c r="AZ16" s="80">
        <f>MEDIAN($AE$16:$AE$45)</f>
        <v>0.9286733952497932</v>
      </c>
      <c r="BA16" s="80">
        <f>AVERAGE($AE$16:$AE$45)</f>
        <v>0.92856500079669857</v>
      </c>
      <c r="BB16" s="80">
        <f>_xlfn.QUARTILE.EXC($AE$16:$AE$45,3)</f>
        <v>0.93005340421566762</v>
      </c>
      <c r="BC16" s="80">
        <f>MAX($AE$16:$AE$45)</f>
        <v>0.93155768858221588</v>
      </c>
      <c r="BD16" s="80">
        <f t="shared" si="0"/>
        <v>2.7058841365061328E-3</v>
      </c>
      <c r="BE16" s="80"/>
    </row>
    <row r="17" spans="1:57" x14ac:dyDescent="0.3">
      <c r="A17" t="s">
        <v>5</v>
      </c>
      <c r="B17" s="13">
        <v>2</v>
      </c>
      <c r="C17" s="5">
        <v>0</v>
      </c>
      <c r="D17" s="1">
        <v>133</v>
      </c>
      <c r="E17" s="27">
        <v>5751</v>
      </c>
      <c r="F17" s="1">
        <v>43</v>
      </c>
      <c r="G17" s="6">
        <v>23</v>
      </c>
      <c r="H17" s="1">
        <f>SUM(C17:G17)</f>
        <v>5950</v>
      </c>
      <c r="I17" s="10">
        <f>E17/H17</f>
        <v>0.96655462184873953</v>
      </c>
      <c r="J17" s="11">
        <f>1-I17</f>
        <v>3.3445378151260474E-2</v>
      </c>
      <c r="K17">
        <f>H17-E20</f>
        <v>106</v>
      </c>
      <c r="N17" s="10">
        <f>2*(E21*I17)/(E21+I17)</f>
        <v>0.97524164829574367</v>
      </c>
      <c r="S17" s="66" t="s">
        <v>39</v>
      </c>
      <c r="T17" s="67">
        <f t="shared" si="1"/>
        <v>0</v>
      </c>
      <c r="U17" s="67">
        <f t="shared" si="1"/>
        <v>0.13721324892359313</v>
      </c>
      <c r="V17" s="67">
        <f t="shared" si="1"/>
        <v>0.18537674186290815</v>
      </c>
      <c r="W17" s="67">
        <f t="shared" si="1"/>
        <v>0.22932701016083276</v>
      </c>
      <c r="X17" s="67">
        <f t="shared" si="1"/>
        <v>0.21672786189156315</v>
      </c>
      <c r="AC17" t="s">
        <v>71</v>
      </c>
      <c r="AD17" s="51">
        <f>I50</f>
        <v>0.93344103392568656</v>
      </c>
      <c r="AE17" s="55">
        <f>I61</f>
        <v>0.92544606705442845</v>
      </c>
      <c r="AF17" s="55">
        <f>J61</f>
        <v>2.8460293493290153E-3</v>
      </c>
      <c r="AH17">
        <v>50</v>
      </c>
      <c r="AI17">
        <v>61</v>
      </c>
      <c r="AW17" s="51" t="s">
        <v>157</v>
      </c>
      <c r="AX17" s="80">
        <f>MIN($AE$16:$AE$55)</f>
        <v>0.92454073190329145</v>
      </c>
      <c r="AY17" s="80">
        <f>_xlfn.QUARTILE.EXC($AE$16:$AE$55,1)</f>
        <v>0.92754052160746592</v>
      </c>
      <c r="AZ17" s="80">
        <f>MEDIAN($AE$16:$AE$55)</f>
        <v>0.9286733952497932</v>
      </c>
      <c r="BA17" s="80">
        <f>AVERAGE($AE$16:$AE$55)</f>
        <v>0.92856500079669857</v>
      </c>
      <c r="BB17" s="80">
        <f>_xlfn.QUARTILE.EXC($AE$16:$AE$55,3)</f>
        <v>0.93005340421566762</v>
      </c>
      <c r="BC17" s="80">
        <f>MAX($AE$16:$AE$55)</f>
        <v>0.93155768858221588</v>
      </c>
      <c r="BD17" s="80">
        <f t="shared" si="0"/>
        <v>2.7058841365061328E-3</v>
      </c>
      <c r="BE17" s="80"/>
    </row>
    <row r="18" spans="1:57" x14ac:dyDescent="0.3">
      <c r="A18" t="s">
        <v>6</v>
      </c>
      <c r="B18" s="13">
        <v>3</v>
      </c>
      <c r="C18" s="5">
        <v>0</v>
      </c>
      <c r="D18" s="1">
        <v>2</v>
      </c>
      <c r="E18" s="1">
        <v>68</v>
      </c>
      <c r="F18" s="27">
        <v>2122</v>
      </c>
      <c r="G18" s="6">
        <v>101</v>
      </c>
      <c r="H18" s="1">
        <f>SUM(C18:G18)</f>
        <v>2293</v>
      </c>
      <c r="I18" s="10">
        <f>F18/H18</f>
        <v>0.92542520715220233</v>
      </c>
      <c r="J18" s="11">
        <f>1-I18</f>
        <v>7.4574792847797666E-2</v>
      </c>
      <c r="K18">
        <f>H18-F20</f>
        <v>-40</v>
      </c>
      <c r="N18" s="10">
        <f>2*(F21*I18)/(F21+I18)</f>
        <v>0.91742325983571116</v>
      </c>
      <c r="S18" s="70" t="s">
        <v>30</v>
      </c>
      <c r="T18" s="64">
        <f t="shared" si="1"/>
        <v>100</v>
      </c>
      <c r="U18" s="64">
        <f t="shared" si="1"/>
        <v>76.686311486589034</v>
      </c>
      <c r="V18" s="64">
        <f t="shared" si="1"/>
        <v>97.97072027725747</v>
      </c>
      <c r="W18" s="64">
        <f t="shared" si="1"/>
        <v>87.950000798051747</v>
      </c>
      <c r="X18" s="64">
        <f t="shared" si="1"/>
        <v>86.926596080596212</v>
      </c>
      <c r="AC18" t="s">
        <v>72</v>
      </c>
      <c r="AD18" s="51">
        <f>I79</f>
        <v>0.93667205169628431</v>
      </c>
      <c r="AE18" s="55">
        <f>I90</f>
        <v>0.9285542063403871</v>
      </c>
      <c r="AF18" s="55">
        <f>J90</f>
        <v>2.774475171341773E-3</v>
      </c>
      <c r="AH18">
        <v>79</v>
      </c>
      <c r="AI18">
        <v>90</v>
      </c>
      <c r="AW18" s="51" t="s">
        <v>158</v>
      </c>
      <c r="AX18" s="80">
        <f>MIN($AE$16:$AE$65)</f>
        <v>0.92454073190329145</v>
      </c>
      <c r="AY18" s="80">
        <f>_xlfn.QUARTILE.EXC($AE$16:$AE$65,1)</f>
        <v>0.92754052160746592</v>
      </c>
      <c r="AZ18" s="80">
        <f>MEDIAN($AE$16:$AE$65)</f>
        <v>0.9286733952497932</v>
      </c>
      <c r="BA18" s="80">
        <f>AVERAGE($AE$16:$AE$65)</f>
        <v>0.92856500079669857</v>
      </c>
      <c r="BB18" s="80">
        <f>_xlfn.QUARTILE.EXC($AE$16:$AE$65,3)</f>
        <v>0.93005340421566762</v>
      </c>
      <c r="BC18" s="80">
        <f>MAX($AE$16:$AE$65)</f>
        <v>0.93155768858221588</v>
      </c>
      <c r="BD18" s="80">
        <f t="shared" si="0"/>
        <v>2.7058841365061328E-3</v>
      </c>
      <c r="BE18" s="80"/>
    </row>
    <row r="19" spans="1:57" x14ac:dyDescent="0.3">
      <c r="A19" t="s">
        <v>7</v>
      </c>
      <c r="B19" s="13">
        <v>4</v>
      </c>
      <c r="C19" s="7">
        <v>0</v>
      </c>
      <c r="D19" s="8">
        <v>0</v>
      </c>
      <c r="E19" s="8">
        <v>15</v>
      </c>
      <c r="F19" s="8">
        <v>168</v>
      </c>
      <c r="G19" s="28">
        <v>568</v>
      </c>
      <c r="H19" s="1">
        <f>SUM(C19:G19)</f>
        <v>751</v>
      </c>
      <c r="I19" s="10">
        <f>G19/H19</f>
        <v>0.75632490013315579</v>
      </c>
      <c r="J19" s="11">
        <f>1-I19</f>
        <v>0.24367509986684421</v>
      </c>
      <c r="K19">
        <f>H19-G20</f>
        <v>57</v>
      </c>
      <c r="N19" s="10">
        <f>2*(G21*I19)/(G21+I19)</f>
        <v>0.78615916955017295</v>
      </c>
      <c r="S19" s="66" t="s">
        <v>39</v>
      </c>
      <c r="T19" s="67">
        <f t="shared" si="1"/>
        <v>0</v>
      </c>
      <c r="U19" s="67">
        <f t="shared" si="1"/>
        <v>3.5303454045217024</v>
      </c>
      <c r="V19" s="67">
        <f t="shared" si="1"/>
        <v>0.21860055449713647</v>
      </c>
      <c r="W19" s="67">
        <f t="shared" si="1"/>
        <v>0.91111754881688711</v>
      </c>
      <c r="X19" s="67">
        <f t="shared" si="1"/>
        <v>2.5614332335565813</v>
      </c>
      <c r="AC19" t="s">
        <v>73</v>
      </c>
      <c r="AD19" s="51">
        <f>I108</f>
        <v>0.93570274636510498</v>
      </c>
      <c r="AE19" s="73">
        <f>I119</f>
        <v>0.92801175889853393</v>
      </c>
      <c r="AF19" s="73">
        <f>J119</f>
        <v>2.7755860974653756E-3</v>
      </c>
      <c r="AH19">
        <v>108</v>
      </c>
      <c r="AI19">
        <v>119</v>
      </c>
      <c r="AW19" s="51" t="s">
        <v>215</v>
      </c>
      <c r="AX19" s="80">
        <f>MIN($AE$16:$AE$75)</f>
        <v>0.92454073190329145</v>
      </c>
      <c r="AY19" s="80">
        <f>_xlfn.QUARTILE.EXC($AE$16:$AE$75,1)</f>
        <v>0.92754052160746592</v>
      </c>
      <c r="AZ19" s="80">
        <f>MEDIAN($AE$16:$AE$75)</f>
        <v>0.9286733952497932</v>
      </c>
      <c r="BA19" s="80">
        <f>AVERAGE($AE$16:$AE$75)</f>
        <v>0.92856500079669857</v>
      </c>
      <c r="BB19" s="80">
        <f>_xlfn.QUARTILE.EXC($AE$16:$AE$75,3)</f>
        <v>0.93005340421566762</v>
      </c>
      <c r="BC19" s="80">
        <f>MAX($AE$16:$AE$75)</f>
        <v>0.93155768858221588</v>
      </c>
      <c r="BD19" s="80">
        <f t="shared" si="0"/>
        <v>2.7058841365061328E-3</v>
      </c>
      <c r="BE19" s="80"/>
    </row>
    <row r="20" spans="1:57" ht="15.6" x14ac:dyDescent="0.35">
      <c r="B20" s="1" t="s">
        <v>19</v>
      </c>
      <c r="C20" s="1">
        <f>SUM(C15:C19)</f>
        <v>90</v>
      </c>
      <c r="D20" s="1">
        <f>SUM(D15:D19)</f>
        <v>324</v>
      </c>
      <c r="E20" s="1">
        <f>SUM(E15:E19)</f>
        <v>5844</v>
      </c>
      <c r="F20" s="1">
        <f>SUM(F15:F19)</f>
        <v>2333</v>
      </c>
      <c r="G20" s="1">
        <f>SUM(G15:G19)</f>
        <v>694</v>
      </c>
      <c r="H20" s="1">
        <f>SUM(H14:H19)</f>
        <v>9285</v>
      </c>
      <c r="I20" s="13" t="s">
        <v>12</v>
      </c>
      <c r="N20" s="16"/>
      <c r="S20" s="70" t="s">
        <v>31</v>
      </c>
      <c r="T20" s="64">
        <f>I26</f>
        <v>100</v>
      </c>
      <c r="U20" s="64">
        <f>I27</f>
        <v>94.029850746268664</v>
      </c>
      <c r="V20" s="64">
        <f>I28</f>
        <v>96.65546218487394</v>
      </c>
      <c r="W20" s="64">
        <f>I29</f>
        <v>92.542520715220249</v>
      </c>
      <c r="X20" s="64">
        <f>I30</f>
        <v>75.632490013315575</v>
      </c>
      <c r="AC20" t="s">
        <v>76</v>
      </c>
      <c r="AD20" s="51">
        <f>I137</f>
        <v>0.93548734518039844</v>
      </c>
      <c r="AE20" s="73">
        <f>I148</f>
        <v>0.92760447041148564</v>
      </c>
      <c r="AF20" s="73">
        <f>J148</f>
        <v>2.7649727971008004E-3</v>
      </c>
      <c r="AH20">
        <v>137</v>
      </c>
      <c r="AI20">
        <v>148</v>
      </c>
      <c r="AW20" s="51" t="s">
        <v>216</v>
      </c>
      <c r="AX20" s="80">
        <f>MIN($AE$16:$AE$85)</f>
        <v>0.92454073190329145</v>
      </c>
      <c r="AY20" s="80">
        <f>_xlfn.QUARTILE.EXC($AE$16:$AE$85,1)</f>
        <v>0.92754052160746592</v>
      </c>
      <c r="AZ20" s="80">
        <f>MEDIAN($AE$16:$AE$85)</f>
        <v>0.9286733952497932</v>
      </c>
      <c r="BA20" s="80">
        <f>AVERAGE($AE$16:$AE$85)</f>
        <v>0.92856500079669857</v>
      </c>
      <c r="BB20" s="80">
        <f>_xlfn.QUARTILE.EXC($AE$16:$AE$85,3)</f>
        <v>0.93005340421566762</v>
      </c>
      <c r="BC20" s="80">
        <f>MAX($AE$16:$AE$85)</f>
        <v>0.93155768858221588</v>
      </c>
      <c r="BD20" s="80">
        <f t="shared" si="0"/>
        <v>2.7058841365061328E-3</v>
      </c>
      <c r="BE20" s="80"/>
    </row>
    <row r="21" spans="1:57" x14ac:dyDescent="0.3">
      <c r="A21" s="1" t="s">
        <v>321</v>
      </c>
      <c r="B21" s="1" t="s">
        <v>2</v>
      </c>
      <c r="C21" s="10">
        <f>C15/C20</f>
        <v>1</v>
      </c>
      <c r="D21" s="10">
        <f>D16/D20</f>
        <v>0.58333333333333337</v>
      </c>
      <c r="E21" s="10">
        <f>E17/E20</f>
        <v>0.98408624229979469</v>
      </c>
      <c r="F21" s="10">
        <f>F18/F20</f>
        <v>0.90955850835833696</v>
      </c>
      <c r="G21" s="10">
        <f>G19/G20</f>
        <v>0.81844380403458217</v>
      </c>
      <c r="H21" s="10"/>
      <c r="I21" s="14">
        <f>(C15+D16+E17+F18+G19)/H20</f>
        <v>0.93914916532040926</v>
      </c>
      <c r="S21" s="66" t="s">
        <v>39</v>
      </c>
      <c r="T21" s="67">
        <f>J26</f>
        <v>0</v>
      </c>
      <c r="U21" s="67">
        <f>J27</f>
        <v>1.6753689791525102</v>
      </c>
      <c r="V21" s="67">
        <f>J28</f>
        <v>0.23310912371581652</v>
      </c>
      <c r="W21" s="67">
        <f>J29</f>
        <v>0.54873085809222066</v>
      </c>
      <c r="X21" s="67">
        <f>J30</f>
        <v>1.5675779430774843</v>
      </c>
      <c r="AC21" t="s">
        <v>98</v>
      </c>
      <c r="AD21" s="51">
        <f>I166</f>
        <v>0.9387183629509962</v>
      </c>
      <c r="AE21" s="55">
        <f>I177</f>
        <v>0.93017018907299442</v>
      </c>
      <c r="AF21" s="55">
        <f>J177</f>
        <v>2.7800301460694614E-3</v>
      </c>
      <c r="AH21">
        <v>166</v>
      </c>
      <c r="AI21">
        <v>177</v>
      </c>
      <c r="AW21" s="51" t="s">
        <v>217</v>
      </c>
      <c r="AX21" s="80">
        <f>MIN($AE$16:$AE$95)</f>
        <v>0.92454073190329145</v>
      </c>
      <c r="AY21" s="80">
        <f>_xlfn.QUARTILE.EXC($AE$16:$AE$95,1)</f>
        <v>0.92754052160746592</v>
      </c>
      <c r="AZ21" s="80">
        <f>MEDIAN($AE$16:$AE$95)</f>
        <v>0.9286733952497932</v>
      </c>
      <c r="BA21" s="80">
        <f>AVERAGE($AE$16:$AE$95)</f>
        <v>0.92856500079669857</v>
      </c>
      <c r="BB21" s="80">
        <f>_xlfn.QUARTILE.EXC($AE$16:$AE$95,3)</f>
        <v>0.93005340421566762</v>
      </c>
      <c r="BC21" s="80">
        <f>MAX($AE$16:$AE$95)</f>
        <v>0.93155768858221588</v>
      </c>
      <c r="BD21" s="80">
        <f t="shared" si="0"/>
        <v>2.7058841365061328E-3</v>
      </c>
      <c r="BE21" s="80"/>
    </row>
    <row r="22" spans="1:57" x14ac:dyDescent="0.3">
      <c r="B22" s="1" t="s">
        <v>14</v>
      </c>
      <c r="C22" s="11">
        <f>1-C21</f>
        <v>0</v>
      </c>
      <c r="D22" s="11">
        <f>1-D21</f>
        <v>0.41666666666666663</v>
      </c>
      <c r="E22" s="11">
        <f>1-E21</f>
        <v>1.5913757700205311E-2</v>
      </c>
      <c r="F22" s="11">
        <f>1-F21</f>
        <v>9.0441491641663041E-2</v>
      </c>
      <c r="G22" s="11">
        <f>1-G21</f>
        <v>0.18155619596541783</v>
      </c>
      <c r="S22" s="68" t="s">
        <v>56</v>
      </c>
      <c r="T22" s="65">
        <f>N15*100</f>
        <v>100</v>
      </c>
      <c r="U22" s="65">
        <f>N16*100</f>
        <v>72.000000000000014</v>
      </c>
      <c r="V22" s="65">
        <f>N17*100</f>
        <v>97.52416482957436</v>
      </c>
      <c r="W22" s="65">
        <f>N18*100</f>
        <v>91.742325983571121</v>
      </c>
      <c r="X22" s="65">
        <f>N19*100</f>
        <v>78.615916955017298</v>
      </c>
      <c r="Y22" s="46"/>
      <c r="Z22" s="46"/>
      <c r="AA22" s="46"/>
      <c r="AC22" t="s">
        <v>99</v>
      </c>
      <c r="AD22" s="51">
        <f>I195</f>
        <v>0.93548734518039844</v>
      </c>
      <c r="AE22" s="55">
        <f>I206</f>
        <v>0.92752560961371078</v>
      </c>
      <c r="AF22" s="55">
        <f>J206</f>
        <v>2.8000221828245382E-3</v>
      </c>
      <c r="AH22">
        <v>195</v>
      </c>
      <c r="AI22">
        <v>206</v>
      </c>
      <c r="AW22" s="51" t="s">
        <v>218</v>
      </c>
      <c r="AX22" s="80">
        <f>MIN($AE$16:$AE$105)</f>
        <v>0.92454073190329145</v>
      </c>
      <c r="AY22" s="80">
        <f>_xlfn.QUARTILE.EXC($AE$16:$AE$105,1)</f>
        <v>0.92754052160746592</v>
      </c>
      <c r="AZ22" s="80">
        <f>MEDIAN($AE$16:$AE$105)</f>
        <v>0.9286733952497932</v>
      </c>
      <c r="BA22" s="80">
        <f>AVERAGE($AE$16:$AE$105)</f>
        <v>0.92856500079669857</v>
      </c>
      <c r="BB22" s="80">
        <f>_xlfn.QUARTILE.EXC($AE$16:$AE$105,3)</f>
        <v>0.93005340421566762</v>
      </c>
      <c r="BC22" s="80">
        <f>MAX($AE$16:$AE$105)</f>
        <v>0.93155768858221588</v>
      </c>
      <c r="BD22" s="80">
        <f t="shared" si="0"/>
        <v>2.7058841365061328E-3</v>
      </c>
      <c r="BE22" s="80"/>
    </row>
    <row r="23" spans="1:57" x14ac:dyDescent="0.3">
      <c r="C23" s="2"/>
      <c r="R23" s="16" t="s">
        <v>66</v>
      </c>
      <c r="S23" t="s">
        <v>9</v>
      </c>
      <c r="T23" s="30">
        <f>N26</f>
        <v>2074.46</v>
      </c>
      <c r="U23" s="30">
        <f>N27</f>
        <v>7246.24</v>
      </c>
      <c r="V23" s="30">
        <f>N28</f>
        <v>91217.73</v>
      </c>
      <c r="W23" s="30">
        <f>N29</f>
        <v>37206.03</v>
      </c>
      <c r="X23" s="30">
        <f>N30</f>
        <v>18141.18</v>
      </c>
      <c r="Z23" t="s">
        <v>36</v>
      </c>
      <c r="AA23" s="1">
        <f>N31</f>
        <v>155885.63999999998</v>
      </c>
      <c r="AC23" t="s">
        <v>100</v>
      </c>
      <c r="AD23" s="51">
        <f>I224</f>
        <v>0.93893376413570273</v>
      </c>
      <c r="AE23" s="55">
        <f>I235</f>
        <v>0.93144462489694757</v>
      </c>
      <c r="AF23" s="55">
        <f>J235</f>
        <v>2.7347100623404241E-3</v>
      </c>
      <c r="AH23">
        <v>224</v>
      </c>
      <c r="AI23">
        <v>235</v>
      </c>
      <c r="AW23" s="51" t="s">
        <v>219</v>
      </c>
      <c r="AX23" s="80">
        <f>MIN($AE$16:$AE$115)</f>
        <v>0.92454073190329145</v>
      </c>
      <c r="AY23" s="80">
        <f>_xlfn.QUARTILE.EXC($AE$16:$AE$115,1)</f>
        <v>0.92754052160746592</v>
      </c>
      <c r="AZ23" s="126">
        <f>MEDIAN($AE$16:$AE$115)</f>
        <v>0.9286733952497932</v>
      </c>
      <c r="BA23" s="126">
        <f>AVERAGE($AE$16:$AE$115)</f>
        <v>0.92856500079669857</v>
      </c>
      <c r="BB23" s="80">
        <f>_xlfn.QUARTILE.EXC($AE$16:$AE$115,3)</f>
        <v>0.93005340421566762</v>
      </c>
      <c r="BC23" s="80">
        <f>MAX($AE$16:$AE$115)</f>
        <v>0.93155768858221588</v>
      </c>
      <c r="BD23" s="80">
        <f t="shared" si="0"/>
        <v>2.7058841365061328E-3</v>
      </c>
      <c r="BE23" s="80"/>
    </row>
    <row r="24" spans="1:57" ht="15.6" x14ac:dyDescent="0.35">
      <c r="A24" t="s">
        <v>322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323</v>
      </c>
      <c r="S24" t="s">
        <v>68</v>
      </c>
      <c r="T24" s="57">
        <f>$AA23*T16/100</f>
        <v>2074.46</v>
      </c>
      <c r="U24" s="57">
        <f>$AA23*U16/100</f>
        <v>8885.0650456802723</v>
      </c>
      <c r="V24" s="57">
        <f>$AA23*V16/100</f>
        <v>89993.130882918631</v>
      </c>
      <c r="W24" s="57">
        <f>$AA23*W16/100</f>
        <v>39148.831958650502</v>
      </c>
      <c r="X24" s="57">
        <f>$AA23*X16/100</f>
        <v>15784.152112750597</v>
      </c>
      <c r="Z24" t="s">
        <v>36</v>
      </c>
      <c r="AA24" s="25">
        <f>SUM(T24:X24)</f>
        <v>155885.64000000001</v>
      </c>
      <c r="AC24" t="s">
        <v>101</v>
      </c>
      <c r="AD24" s="51">
        <f>I253</f>
        <v>0.93677975228863763</v>
      </c>
      <c r="AE24" s="55">
        <f>I264</f>
        <v>0.92970304964368733</v>
      </c>
      <c r="AF24" s="55">
        <f>J264</f>
        <v>2.7293040555917535E-3</v>
      </c>
      <c r="AH24">
        <v>253</v>
      </c>
      <c r="AI24">
        <v>264</v>
      </c>
      <c r="BE24" s="80"/>
    </row>
    <row r="25" spans="1:57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67</v>
      </c>
      <c r="T25" s="67">
        <f>$AA23*T17/100</f>
        <v>0</v>
      </c>
      <c r="U25" s="67">
        <f>$AA23*U17/100</f>
        <v>213.89575124933626</v>
      </c>
      <c r="V25" s="67">
        <f>$AA23*V17/100</f>
        <v>288.97572046414223</v>
      </c>
      <c r="W25" s="67">
        <f>$AA23*W17/100</f>
        <v>357.48787748207911</v>
      </c>
      <c r="X25" s="67">
        <f>$AA23*X17/100</f>
        <v>337.84761456797935</v>
      </c>
      <c r="AA25" s="1"/>
      <c r="AC25" t="s">
        <v>102</v>
      </c>
      <c r="AD25" s="51">
        <f>I282</f>
        <v>0.93753365643511044</v>
      </c>
      <c r="AE25" s="55">
        <f>I293</f>
        <v>0.92947756039183116</v>
      </c>
      <c r="AF25" s="55">
        <f>J293</f>
        <v>2.7625486378502549E-3</v>
      </c>
      <c r="AH25">
        <v>282</v>
      </c>
      <c r="AI25">
        <v>293</v>
      </c>
      <c r="BE25" s="80"/>
    </row>
    <row r="26" spans="1:57" x14ac:dyDescent="0.3">
      <c r="A26" t="s">
        <v>3</v>
      </c>
      <c r="B26" s="13">
        <v>0</v>
      </c>
      <c r="C26" s="29">
        <f>(C15/$L26)*$O26</f>
        <v>1.3307575989680642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0</v>
      </c>
      <c r="G26" s="32">
        <f t="shared" si="2"/>
        <v>0</v>
      </c>
      <c r="H26" s="17">
        <f>SUM(C26:G26)</f>
        <v>1.3307575989680642</v>
      </c>
      <c r="I26" s="17">
        <f>C26/H26*100</f>
        <v>100</v>
      </c>
      <c r="J26" s="17">
        <f>SQRT(I26*(100-I26)/(L26-1))</f>
        <v>0</v>
      </c>
      <c r="K26" s="18">
        <f>100-I26</f>
        <v>0</v>
      </c>
      <c r="L26" s="1">
        <f>H15</f>
        <v>90</v>
      </c>
      <c r="M26">
        <v>0</v>
      </c>
      <c r="N26" s="1">
        <v>2074.46</v>
      </c>
      <c r="O26" s="17">
        <f>N26/N31*100</f>
        <v>1.3307575989680642</v>
      </c>
      <c r="P26" s="52">
        <f>((O26*O26*(I26/100)*(K26/100))/(L26-1))</f>
        <v>0</v>
      </c>
      <c r="R26" t="s">
        <v>71</v>
      </c>
      <c r="S26" s="70" t="s">
        <v>28</v>
      </c>
      <c r="T26" s="64">
        <f t="shared" ref="T26:X29" si="3">C60</f>
        <v>1.3276248319574635</v>
      </c>
      <c r="U26" s="64">
        <f t="shared" si="3"/>
        <v>5.5055367335350924</v>
      </c>
      <c r="V26" s="64">
        <f t="shared" si="3"/>
        <v>58.680024041119943</v>
      </c>
      <c r="W26" s="64">
        <f t="shared" si="3"/>
        <v>24.421046845199903</v>
      </c>
      <c r="X26" s="64">
        <f t="shared" si="3"/>
        <v>10.065767548187587</v>
      </c>
      <c r="Y26" s="13"/>
      <c r="Z26" s="74"/>
      <c r="AA26" s="12"/>
      <c r="AC26" t="s">
        <v>103</v>
      </c>
      <c r="AD26" s="51">
        <f>I311</f>
        <v>0.93721055465805059</v>
      </c>
      <c r="AE26" s="55">
        <f>I322</f>
        <v>0.92887976773448888</v>
      </c>
      <c r="AF26" s="55">
        <f>J322</f>
        <v>2.7960985231393707E-3</v>
      </c>
      <c r="AH26">
        <v>311</v>
      </c>
      <c r="AI26">
        <v>322</v>
      </c>
    </row>
    <row r="27" spans="1:57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4.3709148942240086</v>
      </c>
      <c r="E27" s="19">
        <f t="shared" si="2"/>
        <v>0.23126533831873061</v>
      </c>
      <c r="F27" s="18">
        <f t="shared" si="2"/>
        <v>0</v>
      </c>
      <c r="G27" s="20">
        <f t="shared" si="2"/>
        <v>4.6253067663746122E-2</v>
      </c>
      <c r="H27" s="17">
        <f>SUM(C27:G27)</f>
        <v>4.6484333002064853</v>
      </c>
      <c r="I27" s="17">
        <f>D27/H27*100</f>
        <v>94.029850746268664</v>
      </c>
      <c r="J27" s="17">
        <f>SQRT(I27*(100-I27)/(L27-1))</f>
        <v>1.6753689791525102</v>
      </c>
      <c r="K27" s="18">
        <f>100-I27</f>
        <v>5.9701492537313356</v>
      </c>
      <c r="L27" s="1">
        <f>H16</f>
        <v>201</v>
      </c>
      <c r="M27">
        <v>1</v>
      </c>
      <c r="N27" s="1">
        <v>7246.24</v>
      </c>
      <c r="O27" s="17">
        <f>N27/N31*100</f>
        <v>4.6484333002064853</v>
      </c>
      <c r="P27" s="52">
        <f>((O27*O27*(I27/100)*(K27/100))/(L27-1))</f>
        <v>6.0650466706505569E-3</v>
      </c>
      <c r="S27" s="66" t="s">
        <v>39</v>
      </c>
      <c r="T27" s="67">
        <f t="shared" si="3"/>
        <v>1.4834028492022385E-2</v>
      </c>
      <c r="U27" s="67">
        <f t="shared" si="3"/>
        <v>0.14178452163723881</v>
      </c>
      <c r="V27" s="67">
        <f t="shared" si="3"/>
        <v>0.20250453347745667</v>
      </c>
      <c r="W27" s="67">
        <f t="shared" si="3"/>
        <v>0.23873287612457408</v>
      </c>
      <c r="X27" s="67">
        <f t="shared" si="3"/>
        <v>0.21650505011170718</v>
      </c>
      <c r="AC27" t="s">
        <v>104</v>
      </c>
      <c r="AD27" s="51">
        <f>I340</f>
        <v>0.9387183629509962</v>
      </c>
      <c r="AE27" s="55">
        <f>I351</f>
        <v>0.93155768858221588</v>
      </c>
      <c r="AF27" s="55">
        <f>J351</f>
        <v>2.7357971942890292E-3</v>
      </c>
      <c r="AH27">
        <v>340</v>
      </c>
      <c r="AI27">
        <v>351</v>
      </c>
    </row>
    <row r="28" spans="1:57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1.3080002448854025</v>
      </c>
      <c r="E28" s="34">
        <f t="shared" si="2"/>
        <v>56.558717355909394</v>
      </c>
      <c r="F28" s="19">
        <f t="shared" si="2"/>
        <v>0.42288729721858875</v>
      </c>
      <c r="G28" s="20">
        <f t="shared" si="2"/>
        <v>0.22619553107040793</v>
      </c>
      <c r="H28" s="17">
        <f>SUM(C28:G28)</f>
        <v>58.515800429083797</v>
      </c>
      <c r="I28" s="17">
        <f>E28/H28*100</f>
        <v>96.65546218487394</v>
      </c>
      <c r="J28" s="17">
        <f>SQRT(I28*(100-I28)/(L28-1))</f>
        <v>0.23310912371581652</v>
      </c>
      <c r="K28" s="18">
        <f>100-I28</f>
        <v>3.3445378151260599</v>
      </c>
      <c r="L28" s="1">
        <f>H17</f>
        <v>5950</v>
      </c>
      <c r="M28">
        <v>2</v>
      </c>
      <c r="N28" s="1">
        <v>91217.73</v>
      </c>
      <c r="O28" s="17">
        <f>N28/N31*100</f>
        <v>58.515800429083789</v>
      </c>
      <c r="P28" s="52">
        <f>((O28*O28*(I28/100)*(K28/100))/(L28-1))</f>
        <v>1.8606506703262006E-2</v>
      </c>
      <c r="S28" t="s">
        <v>30</v>
      </c>
      <c r="T28" s="57">
        <f t="shared" si="3"/>
        <v>100</v>
      </c>
      <c r="U28" s="57">
        <f t="shared" si="3"/>
        <v>75.176844173693397</v>
      </c>
      <c r="V28" s="57">
        <f t="shared" si="3"/>
        <v>96.971545844039625</v>
      </c>
      <c r="W28" s="57">
        <f t="shared" si="3"/>
        <v>87.370726782325349</v>
      </c>
      <c r="X28" s="57">
        <f t="shared" si="3"/>
        <v>87.805728964506741</v>
      </c>
      <c r="AC28" t="s">
        <v>105</v>
      </c>
      <c r="AD28" s="51">
        <f>I369</f>
        <v>0.93247172859450722</v>
      </c>
      <c r="AE28" s="55">
        <f>I380</f>
        <v>0.92454073190329145</v>
      </c>
      <c r="AF28" s="55">
        <f>J380</f>
        <v>2.8346043598956191E-3</v>
      </c>
      <c r="AH28">
        <v>369</v>
      </c>
      <c r="AI28">
        <v>380</v>
      </c>
    </row>
    <row r="29" spans="1:57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2.0817719979003658E-2</v>
      </c>
      <c r="E29" s="19">
        <f t="shared" si="2"/>
        <v>0.70780247928612439</v>
      </c>
      <c r="F29" s="34">
        <f t="shared" si="2"/>
        <v>22.087600897722879</v>
      </c>
      <c r="G29" s="20">
        <f t="shared" si="2"/>
        <v>1.0512948589396847</v>
      </c>
      <c r="H29" s="17">
        <f>SUM(C29:G29)</f>
        <v>23.86751595592769</v>
      </c>
      <c r="I29" s="17">
        <f>F29/H29*100</f>
        <v>92.542520715220249</v>
      </c>
      <c r="J29" s="17">
        <f>SQRT(I29*(100-I29)/(L29-1))</f>
        <v>0.54873085809222066</v>
      </c>
      <c r="K29" s="18">
        <f>100-I29</f>
        <v>7.4574792847797511</v>
      </c>
      <c r="L29" s="1">
        <f>H18</f>
        <v>2293</v>
      </c>
      <c r="M29">
        <v>3</v>
      </c>
      <c r="N29" s="1">
        <v>37206.03</v>
      </c>
      <c r="O29" s="17">
        <f>N29/N31*100</f>
        <v>23.867515955927693</v>
      </c>
      <c r="P29" s="52">
        <f>((O29*O29*(I29/100)*(K29/100))/(L29-1))</f>
        <v>1.7152728375861702E-2</v>
      </c>
      <c r="S29" s="66" t="s">
        <v>39</v>
      </c>
      <c r="T29" s="67">
        <f t="shared" si="3"/>
        <v>0</v>
      </c>
      <c r="U29" s="67">
        <f t="shared" si="3"/>
        <v>4.0631522915071558</v>
      </c>
      <c r="V29" s="67">
        <f t="shared" si="3"/>
        <v>0.25536247311557148</v>
      </c>
      <c r="W29" s="67">
        <f t="shared" si="3"/>
        <v>1.0083549945536296</v>
      </c>
      <c r="X29" s="67">
        <f t="shared" si="3"/>
        <v>2.4483002360549744</v>
      </c>
      <c r="AC29" t="s">
        <v>106</v>
      </c>
      <c r="AD29" s="51">
        <f>I398</f>
        <v>0.9365643511039311</v>
      </c>
      <c r="AE29" s="55">
        <f>I409</f>
        <v>0.92806584285285698</v>
      </c>
      <c r="AF29" s="55">
        <f>J409</f>
        <v>2.8039264389003388E-3</v>
      </c>
      <c r="AH29">
        <v>398</v>
      </c>
      <c r="AI29">
        <v>409</v>
      </c>
    </row>
    <row r="30" spans="1:57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0</v>
      </c>
      <c r="E30" s="21">
        <f t="shared" si="2"/>
        <v>0.23243993440374125</v>
      </c>
      <c r="F30" s="21">
        <f t="shared" si="2"/>
        <v>2.603327265321902</v>
      </c>
      <c r="G30" s="37">
        <f t="shared" si="2"/>
        <v>8.8017255160883359</v>
      </c>
      <c r="H30" s="17">
        <f>SUM(C30:G30)</f>
        <v>11.637492715813979</v>
      </c>
      <c r="I30" s="17">
        <f>G30/H30*100</f>
        <v>75.632490013315575</v>
      </c>
      <c r="J30" s="17">
        <f>SQRT(I30*(100-I30)/(L30-1))</f>
        <v>1.5675779430774843</v>
      </c>
      <c r="K30" s="18">
        <f>100-I30</f>
        <v>24.367509986684425</v>
      </c>
      <c r="L30" s="1">
        <f>H19</f>
        <v>751</v>
      </c>
      <c r="M30">
        <v>4</v>
      </c>
      <c r="N30" s="1">
        <v>18141.18</v>
      </c>
      <c r="O30" s="17">
        <f>N30/N31*100</f>
        <v>11.637492715813979</v>
      </c>
      <c r="P30" s="52">
        <f>((O30*O30*(I30/100)*(K30/100))/(L30-1))</f>
        <v>3.3279526026015416E-2</v>
      </c>
      <c r="S30" t="s">
        <v>31</v>
      </c>
      <c r="T30" s="57">
        <f>I55</f>
        <v>98.888888888888886</v>
      </c>
      <c r="U30" s="57">
        <f>I56</f>
        <v>92.53731343283583</v>
      </c>
      <c r="V30" s="57">
        <f>I57</f>
        <v>96.621848739495803</v>
      </c>
      <c r="W30" s="57">
        <f>I58</f>
        <v>90.623637156563461</v>
      </c>
      <c r="X30" s="57">
        <f>I59</f>
        <v>75.233022636484691</v>
      </c>
      <c r="AC30" t="s">
        <v>107</v>
      </c>
      <c r="AD30" s="51">
        <f>I427</f>
        <v>0.93624124932687125</v>
      </c>
      <c r="AE30" s="55">
        <f>I438</f>
        <v>0.92717136312276804</v>
      </c>
      <c r="AF30" s="55">
        <f>J438</f>
        <v>2.8205677468850681E-3</v>
      </c>
      <c r="AH30">
        <v>427</v>
      </c>
      <c r="AI30">
        <v>438</v>
      </c>
    </row>
    <row r="31" spans="1:57" x14ac:dyDescent="0.3">
      <c r="B31" t="s">
        <v>28</v>
      </c>
      <c r="C31" s="17">
        <f>SUM(C26:C30)</f>
        <v>1.3307575989680642</v>
      </c>
      <c r="D31" s="17">
        <f>SUM(D26:D30)</f>
        <v>5.6997328590884146</v>
      </c>
      <c r="E31" s="17">
        <f>SUM(E26:E30)</f>
        <v>57.730225107917988</v>
      </c>
      <c r="F31" s="17">
        <f>SUM(F26:F30)</f>
        <v>25.113815460263371</v>
      </c>
      <c r="G31" s="17">
        <f>SUM(G26:G30)</f>
        <v>10.125468973762175</v>
      </c>
      <c r="H31" s="1">
        <f>SUM(H25:H30)</f>
        <v>100.00000000000001</v>
      </c>
      <c r="I31" s="13" t="s">
        <v>24</v>
      </c>
      <c r="J31" s="12" t="s">
        <v>29</v>
      </c>
      <c r="N31" s="1">
        <f>SUM(N26:N30)</f>
        <v>155885.63999999998</v>
      </c>
      <c r="O31" s="17">
        <f>SUM(O26:O30)</f>
        <v>100</v>
      </c>
      <c r="S31" s="66" t="s">
        <v>39</v>
      </c>
      <c r="T31" s="67">
        <f>J55</f>
        <v>1.1111111111111127</v>
      </c>
      <c r="U31" s="67">
        <f>J56</f>
        <v>1.8581939698490635</v>
      </c>
      <c r="V31" s="67">
        <f>J57</f>
        <v>0.23423685743494932</v>
      </c>
      <c r="W31" s="67">
        <f>J58</f>
        <v>0.60887850162688584</v>
      </c>
      <c r="X31" s="67">
        <f>J59</f>
        <v>1.576195659862337</v>
      </c>
      <c r="AC31" t="s">
        <v>108</v>
      </c>
      <c r="AD31" s="51">
        <f>I456</f>
        <v>0.93839526117393646</v>
      </c>
      <c r="AE31" s="55">
        <f>I467</f>
        <v>0.93050517646821673</v>
      </c>
      <c r="AF31" s="55">
        <f>J467</f>
        <v>2.7301652560143752E-3</v>
      </c>
      <c r="AH31">
        <v>456</v>
      </c>
      <c r="AI31">
        <v>467</v>
      </c>
    </row>
    <row r="32" spans="1:57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0</v>
      </c>
      <c r="D32" s="18">
        <f>SQRT(SUM((O26*O26*(D26/O26)*(1-D26/O26))/L26,(O27*O27*(D27/O27)*(1-D27/O27))/L27,(O28*O28*(D28/O28)*(1-D28/O28))/L28,(O29*O29*(D29/O29)*(1-D29/O29))/L29,(O30*O30*(D30/O30)*(1-D30/O30))/L30))</f>
        <v>0.13721324892359313</v>
      </c>
      <c r="E32" s="18">
        <f>SQRT(SUM((O26*O26*(E26/O26)*(1-E26/O26))/L26,(O27*O27*(E27/O27)*(1-E27/O27))/L27,(O28*O28*(E28/O28)*(1-E28/O28))/L28,(O29*O29*(E29/O29)*(1-E29/O29))/L29,(O30*O30*(E30/O30)*(1-E30/O30))/L30))</f>
        <v>0.18537674186290815</v>
      </c>
      <c r="F32" s="18">
        <f>SQRT(SUM((O26*O26*(F26/O26)*(1-F26/O26))/L26,(O27*O27*(F27/O27)*(1-F27/O27))/L27,(O28*O28*(F28/O28)*(1-F28/O28))/L28,(O29*O29*(F29/O29)*(1-F29/O29))/L29,(O30*O30*(F30/O30)*(1-F30/O30))/L30))</f>
        <v>0.22932701016083276</v>
      </c>
      <c r="G32" s="18">
        <f>SQRT(SUM((O26*O26*(G26/O26)*(1-G26/O26))/L26,(O27*O27*(G27/O27)*(1-G27/O27))/L27,(O28*O28*(G28/O28)*(1-G28/O28))/L28,(O29*O29*(G29/O29)*(1-G29/O29))/L29,(O30*O30*(G30/O30)*(1-G30/O30))/L30))</f>
        <v>0.21672786189156315</v>
      </c>
      <c r="H32" s="1"/>
      <c r="I32" s="14">
        <f>(C26+D27+E28+F29+G30)/H31</f>
        <v>0.93149716262912663</v>
      </c>
      <c r="J32" s="53">
        <f>SQRT(SUM(P26:P30))/100</f>
        <v>2.7405073941843268E-3</v>
      </c>
      <c r="M32" s="1"/>
      <c r="N32" s="9"/>
      <c r="S32" s="66" t="s">
        <v>56</v>
      </c>
      <c r="T32" s="67">
        <f>N44*100</f>
        <v>99.441340782122907</v>
      </c>
      <c r="U32" s="67">
        <f>N45*100</f>
        <v>70.857142857142861</v>
      </c>
      <c r="V32" s="67">
        <f>N46*100</f>
        <v>97.045914922349766</v>
      </c>
      <c r="W32" s="67">
        <f>N47*100</f>
        <v>90.663176265270508</v>
      </c>
      <c r="X32" s="67">
        <f>N48*100</f>
        <v>78.800557880055791</v>
      </c>
      <c r="AC32" t="s">
        <v>109</v>
      </c>
      <c r="AD32" s="51">
        <f>I485</f>
        <v>0.93408723747980615</v>
      </c>
      <c r="AE32" s="55">
        <f>I496</f>
        <v>0.92560092739330346</v>
      </c>
      <c r="AF32" s="55">
        <f>J496</f>
        <v>2.839915347377518E-3</v>
      </c>
      <c r="AH32">
        <v>485</v>
      </c>
      <c r="AI32">
        <v>496</v>
      </c>
    </row>
    <row r="33" spans="1:35" x14ac:dyDescent="0.3">
      <c r="B33" s="1" t="s">
        <v>30</v>
      </c>
      <c r="C33" s="17">
        <f>C26/C31*100</f>
        <v>100</v>
      </c>
      <c r="D33" s="17">
        <f>D27/D31*100</f>
        <v>76.686311486589034</v>
      </c>
      <c r="E33" s="17">
        <f>E28/E31*100</f>
        <v>97.97072027725747</v>
      </c>
      <c r="F33" s="17">
        <f>F29/F31*100</f>
        <v>87.950000798051747</v>
      </c>
      <c r="G33" s="17">
        <f>G30/G31*100</f>
        <v>86.926596080596212</v>
      </c>
      <c r="H33" s="1"/>
      <c r="R33" s="16" t="s">
        <v>66</v>
      </c>
      <c r="S33" t="s">
        <v>9</v>
      </c>
      <c r="T33" s="30">
        <f>N55</f>
        <v>2092.83</v>
      </c>
      <c r="U33" s="30">
        <f>N56</f>
        <v>6972.25</v>
      </c>
      <c r="V33" s="30">
        <f>N57</f>
        <v>91804.79</v>
      </c>
      <c r="W33" s="30">
        <f>N58</f>
        <v>36702.43</v>
      </c>
      <c r="X33" s="30">
        <f>N59</f>
        <v>18313.330000000002</v>
      </c>
      <c r="Z33" t="s">
        <v>36</v>
      </c>
      <c r="AA33" s="1">
        <f>N60</f>
        <v>155885.63</v>
      </c>
      <c r="AC33" t="s">
        <v>110</v>
      </c>
      <c r="AD33" s="51">
        <f>I514</f>
        <v>0.93613354873451804</v>
      </c>
      <c r="AE33" s="55">
        <f>I525</f>
        <v>0.92879258415919941</v>
      </c>
      <c r="AF33" s="55">
        <f>J525</f>
        <v>2.7529878516802464E-3</v>
      </c>
      <c r="AH33">
        <v>514</v>
      </c>
      <c r="AI33">
        <v>525</v>
      </c>
    </row>
    <row r="34" spans="1:35" ht="15.6" x14ac:dyDescent="0.35">
      <c r="B34" s="16" t="s">
        <v>39</v>
      </c>
      <c r="C34" s="18">
        <f>SQRT((C37+C38)/(C31*C31))</f>
        <v>0</v>
      </c>
      <c r="D34" s="18">
        <f>SQRT((D37+D38)/(D31*D31))</f>
        <v>3.5303454045217024</v>
      </c>
      <c r="E34" s="18">
        <f>SQRT((E37+E38)/(E31*E31))</f>
        <v>0.21860055449713647</v>
      </c>
      <c r="F34" s="18">
        <f>SQRT((F37+F38)/(F31*F31))</f>
        <v>0.91111754881688711</v>
      </c>
      <c r="G34" s="18">
        <f>SQRT((G37+G38)/(G31*G31))</f>
        <v>2.5614332335565813</v>
      </c>
      <c r="H34" s="1"/>
      <c r="R34" s="16" t="s">
        <v>323</v>
      </c>
      <c r="S34" t="s">
        <v>68</v>
      </c>
      <c r="T34" s="57">
        <f>$AA33*T26/100</f>
        <v>2069.5763333333334</v>
      </c>
      <c r="U34" s="57">
        <f>$AA33*U26/100</f>
        <v>8582.3406219526005</v>
      </c>
      <c r="V34" s="57">
        <f>$AA33*V26/100</f>
        <v>91473.725160651287</v>
      </c>
      <c r="W34" s="57">
        <f>$AA33*W26/100</f>
        <v>38068.902727234999</v>
      </c>
      <c r="X34" s="57">
        <f>$AA33*X26/100</f>
        <v>15691.085156827774</v>
      </c>
      <c r="Z34" t="s">
        <v>36</v>
      </c>
      <c r="AA34" s="25">
        <f>SUM(T34:X34)</f>
        <v>155885.63</v>
      </c>
      <c r="AB34" s="25"/>
      <c r="AC34" t="s">
        <v>111</v>
      </c>
      <c r="AD34" s="51">
        <f>I543</f>
        <v>0.93710285406569738</v>
      </c>
      <c r="AE34" s="55">
        <f>I554</f>
        <v>0.92916597717576477</v>
      </c>
      <c r="AF34" s="55">
        <f>J554</f>
        <v>2.778549379561649E-3</v>
      </c>
      <c r="AH34">
        <v>543</v>
      </c>
      <c r="AI34">
        <v>554</v>
      </c>
    </row>
    <row r="35" spans="1:35" x14ac:dyDescent="0.3">
      <c r="B35" s="1" t="s">
        <v>37</v>
      </c>
      <c r="C35" s="18">
        <f>100-C33</f>
        <v>0</v>
      </c>
      <c r="D35" s="18">
        <f>100-D33</f>
        <v>23.313688513410966</v>
      </c>
      <c r="E35" s="18">
        <f>100-E33</f>
        <v>2.0292797227425297</v>
      </c>
      <c r="F35" s="18">
        <f>100-F33</f>
        <v>12.049999201948253</v>
      </c>
      <c r="G35" s="18">
        <f>100-G33</f>
        <v>13.073403919403788</v>
      </c>
      <c r="R35" s="66"/>
      <c r="S35" s="66" t="s">
        <v>67</v>
      </c>
      <c r="T35" s="67">
        <f>$AA33*T27/100</f>
        <v>23.124118769168593</v>
      </c>
      <c r="U35" s="67">
        <f>$AA33*U27/100</f>
        <v>221.02169479669604</v>
      </c>
      <c r="V35" s="67">
        <f>$AA33*V27/100</f>
        <v>315.67546778989424</v>
      </c>
      <c r="W35" s="67">
        <f>$AA33*W27/100</f>
        <v>372.15024796391191</v>
      </c>
      <c r="X35" s="67">
        <f>$AA33*X27/100</f>
        <v>337.50026134845046</v>
      </c>
      <c r="AA35" s="1"/>
      <c r="AB35" s="25"/>
      <c r="AC35" s="58" t="s">
        <v>112</v>
      </c>
      <c r="AD35" s="120">
        <f>I572</f>
        <v>0.93548734518039844</v>
      </c>
      <c r="AE35" s="121">
        <f>I583</f>
        <v>0.92758525758873145</v>
      </c>
      <c r="AF35" s="121">
        <f>J583</f>
        <v>2.8051247212006972E-3</v>
      </c>
      <c r="AH35">
        <v>572</v>
      </c>
      <c r="AI35">
        <v>583</v>
      </c>
    </row>
    <row r="36" spans="1:35" ht="15.6" x14ac:dyDescent="0.35">
      <c r="B36" s="1" t="s">
        <v>25</v>
      </c>
      <c r="C36" s="1">
        <f>C20</f>
        <v>90</v>
      </c>
      <c r="D36" s="1">
        <f>D20</f>
        <v>324</v>
      </c>
      <c r="E36" s="1">
        <f>E20</f>
        <v>5844</v>
      </c>
      <c r="F36" s="1">
        <f>F20</f>
        <v>2333</v>
      </c>
      <c r="G36" s="1">
        <f>G20</f>
        <v>694</v>
      </c>
      <c r="R36" t="s">
        <v>72</v>
      </c>
      <c r="S36" t="s">
        <v>28</v>
      </c>
      <c r="T36" s="57">
        <f t="shared" ref="T36:X39" si="4">C89</f>
        <v>1.330757598968064</v>
      </c>
      <c r="U36" s="57">
        <f t="shared" si="4"/>
        <v>5.7819033911634383</v>
      </c>
      <c r="V36" s="57">
        <f t="shared" si="4"/>
        <v>58.327264003705402</v>
      </c>
      <c r="W36" s="57">
        <f t="shared" si="4"/>
        <v>24.947800260098276</v>
      </c>
      <c r="X36" s="57">
        <f t="shared" si="4"/>
        <v>9.6122747460648164</v>
      </c>
      <c r="Y36" s="13"/>
      <c r="Z36" s="74"/>
      <c r="AA36" s="12"/>
      <c r="AC36" t="s">
        <v>113</v>
      </c>
      <c r="AD36" s="51"/>
      <c r="AE36" s="51"/>
      <c r="AH36">
        <v>601</v>
      </c>
      <c r="AI36">
        <v>612</v>
      </c>
    </row>
    <row r="37" spans="1:3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329.65231240973458</v>
      </c>
      <c r="E37" s="18">
        <f>(O28*O28*(100-E33)*(100-E33)*(I28)*(100-I28))/((L28-1)*100)</f>
        <v>7.6621151641421088</v>
      </c>
      <c r="F37" s="18">
        <f>(O29*O29*(100-F33)*(100-F33)*(I29)*(100-I29))/((L29-1)*100)</f>
        <v>249.06187120968377</v>
      </c>
      <c r="G37" s="18">
        <f>(O30*O30*(100-G33)*(100-G33)*(I30)*(100-I30))/((L30-1)*100)</f>
        <v>568.79332517898013</v>
      </c>
      <c r="S37" s="66" t="s">
        <v>39</v>
      </c>
      <c r="T37" s="67">
        <f t="shared" si="4"/>
        <v>0</v>
      </c>
      <c r="U37" s="67">
        <f t="shared" si="4"/>
        <v>0.14035679078509358</v>
      </c>
      <c r="V37" s="67">
        <f t="shared" si="4"/>
        <v>0.19564713260415567</v>
      </c>
      <c r="W37" s="67">
        <f t="shared" si="4"/>
        <v>0.22906722770507937</v>
      </c>
      <c r="X37" s="67">
        <f t="shared" si="4"/>
        <v>0.21747308803161902</v>
      </c>
      <c r="AC37" t="s">
        <v>114</v>
      </c>
      <c r="AD37" s="51"/>
      <c r="AE37" s="51"/>
      <c r="AH37">
        <v>630</v>
      </c>
      <c r="AI37">
        <v>641</v>
      </c>
    </row>
    <row r="38" spans="1:35" x14ac:dyDescent="0.3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75.243606106575896</v>
      </c>
      <c r="E38" s="18">
        <f>E33*E33*(SUM((H26*E26*(1-E15/H15))/(H15-1),(H27*E27*(1-E16/H16))/(H16-1), (H29*E29*(1-E18/H18))/(H18-1),(H30*E30*(1-E19/H19))/(H19-1)))</f>
        <v>151.59873156432198</v>
      </c>
      <c r="F38" s="18">
        <f>F33*F33*(SUM((H26*F26*(1-F15/H15))/(H15-1),(H27*F27*(1-F16/H16))/(H16-1), (H28*F28*(1-F17/H17))/(H17-1),(H30*F30*(1-F19/H19))/(H19-1)))</f>
        <v>274.50748560260485</v>
      </c>
      <c r="G38" s="18">
        <f>G33*G33*(SUM((H26*G26*(1-G15/H15))/(H15-1),(H27*G27*(1-G16/H16))/(H16-1), (H28*G28*(1-G17/H17))/(H17-1),(H29*G29*(1-G18/H18))/(H18-1)))</f>
        <v>103.86786987999972</v>
      </c>
      <c r="S38" t="s">
        <v>30</v>
      </c>
      <c r="T38" s="57">
        <f t="shared" si="4"/>
        <v>100</v>
      </c>
      <c r="U38" s="57">
        <f t="shared" si="4"/>
        <v>76.921302156344737</v>
      </c>
      <c r="V38" s="57">
        <f t="shared" si="4"/>
        <v>97.475956361822142</v>
      </c>
      <c r="W38" s="57">
        <f t="shared" si="4"/>
        <v>87.692685303264227</v>
      </c>
      <c r="X38" s="57">
        <f t="shared" si="4"/>
        <v>86.812887668556556</v>
      </c>
      <c r="Z38" s="50"/>
      <c r="AA38" s="54"/>
      <c r="AC38" t="s">
        <v>115</v>
      </c>
      <c r="AD38" s="51"/>
      <c r="AE38" s="51"/>
      <c r="AH38">
        <v>659</v>
      </c>
      <c r="AI38">
        <v>670</v>
      </c>
    </row>
    <row r="39" spans="1:35" x14ac:dyDescent="0.3">
      <c r="S39" s="66" t="s">
        <v>39</v>
      </c>
      <c r="T39" s="67">
        <f t="shared" si="4"/>
        <v>0</v>
      </c>
      <c r="U39" s="67">
        <f t="shared" si="4"/>
        <v>3.6302634188940242</v>
      </c>
      <c r="V39" s="67">
        <f t="shared" si="4"/>
        <v>0.24248633607417569</v>
      </c>
      <c r="W39" s="67">
        <f t="shared" si="4"/>
        <v>0.92639942898911753</v>
      </c>
      <c r="X39" s="67">
        <f t="shared" si="4"/>
        <v>2.7395959084465495</v>
      </c>
      <c r="AC39" t="s">
        <v>116</v>
      </c>
      <c r="AD39" s="51"/>
      <c r="AE39" s="51"/>
      <c r="AH39">
        <v>688</v>
      </c>
      <c r="AI39">
        <v>699</v>
      </c>
    </row>
    <row r="40" spans="1:35" x14ac:dyDescent="0.3">
      <c r="S40" t="s">
        <v>31</v>
      </c>
      <c r="T40" s="57">
        <f>I84</f>
        <v>100</v>
      </c>
      <c r="U40" s="57">
        <f>I85</f>
        <v>93.53233830845771</v>
      </c>
      <c r="V40" s="57">
        <f>I86</f>
        <v>96.70588235294116</v>
      </c>
      <c r="W40" s="57">
        <f>I87</f>
        <v>92.280854775403398</v>
      </c>
      <c r="X40" s="57">
        <f>I88</f>
        <v>73.102529960053275</v>
      </c>
      <c r="AC40" t="s">
        <v>117</v>
      </c>
      <c r="AD40" s="51"/>
      <c r="AE40" s="51"/>
      <c r="AH40">
        <v>717</v>
      </c>
      <c r="AI40">
        <v>728</v>
      </c>
    </row>
    <row r="41" spans="1:35" x14ac:dyDescent="0.3">
      <c r="A41" s="361" t="s">
        <v>429</v>
      </c>
      <c r="B41" s="361"/>
      <c r="C41" s="361"/>
      <c r="D41" s="361"/>
      <c r="E41" s="361"/>
      <c r="F41" s="361"/>
      <c r="G41" s="361"/>
      <c r="H41" s="361"/>
      <c r="I41" s="361"/>
      <c r="J41" s="361"/>
      <c r="K41" s="361"/>
      <c r="L41" s="361" t="s">
        <v>53</v>
      </c>
      <c r="M41" s="361"/>
      <c r="N41" s="361"/>
      <c r="O41" s="361"/>
      <c r="P41" s="361"/>
      <c r="S41" s="66" t="s">
        <v>39</v>
      </c>
      <c r="T41" s="67">
        <f>J84</f>
        <v>0</v>
      </c>
      <c r="U41" s="67">
        <f>J85</f>
        <v>1.7391600291491083</v>
      </c>
      <c r="V41" s="67">
        <f>J86</f>
        <v>0.23140567972439793</v>
      </c>
      <c r="W41" s="67">
        <f>J87</f>
        <v>0.55748489342466034</v>
      </c>
      <c r="X41" s="67">
        <f>J88</f>
        <v>1.6191656738146927</v>
      </c>
      <c r="AC41" t="s">
        <v>118</v>
      </c>
      <c r="AD41" s="51"/>
      <c r="AE41" s="51"/>
      <c r="AH41">
        <v>746</v>
      </c>
      <c r="AI41">
        <v>757</v>
      </c>
    </row>
    <row r="42" spans="1:35" x14ac:dyDescent="0.3">
      <c r="A42" t="s">
        <v>320</v>
      </c>
      <c r="B42" t="s">
        <v>21</v>
      </c>
      <c r="I42" s="1" t="s">
        <v>58</v>
      </c>
      <c r="S42" s="66" t="s">
        <v>56</v>
      </c>
      <c r="T42" s="67">
        <f>N73*100</f>
        <v>100</v>
      </c>
      <c r="U42" s="67">
        <f>N74*100</f>
        <v>71.755725190839698</v>
      </c>
      <c r="V42" s="67">
        <f>N75*100</f>
        <v>97.360406091370564</v>
      </c>
      <c r="W42" s="67">
        <f>N76*100</f>
        <v>91.502702702702706</v>
      </c>
      <c r="X42" s="67">
        <f>N77*100</f>
        <v>77.269528501055589</v>
      </c>
      <c r="AC42" t="s">
        <v>119</v>
      </c>
      <c r="AD42" s="51"/>
      <c r="AE42" s="51"/>
      <c r="AH42">
        <v>775</v>
      </c>
      <c r="AI42">
        <v>786</v>
      </c>
    </row>
    <row r="43" spans="1:3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56</v>
      </c>
      <c r="R43" s="16" t="s">
        <v>66</v>
      </c>
      <c r="S43" t="s">
        <v>9</v>
      </c>
      <c r="T43" s="30">
        <f>N84</f>
        <v>2074.46</v>
      </c>
      <c r="U43" s="30">
        <f>N85</f>
        <v>7412.45</v>
      </c>
      <c r="V43" s="30">
        <f>N86</f>
        <v>91647.86</v>
      </c>
      <c r="W43" s="30">
        <f>N87</f>
        <v>36956.44</v>
      </c>
      <c r="X43" s="30">
        <f>N88</f>
        <v>17794.43</v>
      </c>
      <c r="Z43" t="s">
        <v>36</v>
      </c>
      <c r="AA43" s="1">
        <f>N89</f>
        <v>155885.64000000001</v>
      </c>
      <c r="AC43" t="s">
        <v>120</v>
      </c>
      <c r="AD43" s="51"/>
      <c r="AE43" s="51"/>
      <c r="AH43">
        <v>804</v>
      </c>
      <c r="AI43">
        <v>815</v>
      </c>
    </row>
    <row r="44" spans="1:35" ht="15.6" x14ac:dyDescent="0.35">
      <c r="A44" t="s">
        <v>3</v>
      </c>
      <c r="B44" s="13">
        <v>0</v>
      </c>
      <c r="C44" s="26">
        <v>89</v>
      </c>
      <c r="D44" s="3">
        <v>0</v>
      </c>
      <c r="E44" s="3">
        <v>0</v>
      </c>
      <c r="F44" s="3">
        <v>1</v>
      </c>
      <c r="G44" s="4">
        <v>0</v>
      </c>
      <c r="H44" s="1">
        <f>SUM(C44:G44)</f>
        <v>90</v>
      </c>
      <c r="I44" s="10">
        <f>C44/H44</f>
        <v>0.98888888888888893</v>
      </c>
      <c r="J44" s="11">
        <f>1-I44</f>
        <v>1.1111111111111072E-2</v>
      </c>
      <c r="K44">
        <f>H44-C49</f>
        <v>1</v>
      </c>
      <c r="N44" s="10">
        <f>2*(C50*I44)/(C50+I44)</f>
        <v>0.99441340782122911</v>
      </c>
      <c r="R44" s="16" t="s">
        <v>323</v>
      </c>
      <c r="S44" t="s">
        <v>68</v>
      </c>
      <c r="T44" s="57">
        <f>$AA43*T36/100</f>
        <v>2074.4600000000005</v>
      </c>
      <c r="U44" s="57">
        <f>$AA43*U36/100</f>
        <v>9013.1571054968299</v>
      </c>
      <c r="V44" s="57">
        <f>$AA43*V36/100</f>
        <v>90923.828786665792</v>
      </c>
      <c r="W44" s="57">
        <f>$AA43*W36/100</f>
        <v>38890.038101375867</v>
      </c>
      <c r="X44" s="57">
        <f>$AA43*X36/100</f>
        <v>14984.156006461515</v>
      </c>
      <c r="Z44" t="s">
        <v>36</v>
      </c>
      <c r="AA44" s="25">
        <f>SUM(T44:X44)</f>
        <v>155885.63999999998</v>
      </c>
      <c r="AC44" t="s">
        <v>121</v>
      </c>
      <c r="AD44" s="51"/>
      <c r="AE44" s="51"/>
      <c r="AH44">
        <v>833</v>
      </c>
      <c r="AI44">
        <v>844</v>
      </c>
    </row>
    <row r="45" spans="1:35" x14ac:dyDescent="0.3">
      <c r="A45" t="s">
        <v>4</v>
      </c>
      <c r="B45" s="13">
        <v>1</v>
      </c>
      <c r="C45" s="5">
        <v>0</v>
      </c>
      <c r="D45" s="27">
        <v>186</v>
      </c>
      <c r="E45" s="1">
        <v>13</v>
      </c>
      <c r="F45" s="1">
        <v>0</v>
      </c>
      <c r="G45" s="6">
        <v>2</v>
      </c>
      <c r="H45" s="1">
        <f>SUM(C45:G45)</f>
        <v>201</v>
      </c>
      <c r="I45" s="10">
        <f>D45/H45</f>
        <v>0.92537313432835822</v>
      </c>
      <c r="J45" s="11">
        <f>1-I45</f>
        <v>7.4626865671641784E-2</v>
      </c>
      <c r="K45">
        <f>H45-D49</f>
        <v>-123</v>
      </c>
      <c r="N45" s="10">
        <f>2*(D50*I45)/(D50+I45)</f>
        <v>0.70857142857142863</v>
      </c>
      <c r="R45" s="66"/>
      <c r="S45" s="66" t="s">
        <v>67</v>
      </c>
      <c r="T45" s="67">
        <f>$AA43*T37/100</f>
        <v>0</v>
      </c>
      <c r="U45" s="67">
        <f>$AA43*U37/100</f>
        <v>218.79608159880416</v>
      </c>
      <c r="V45" s="67">
        <f>$AA43*V37/100</f>
        <v>304.98578480163678</v>
      </c>
      <c r="W45" s="67">
        <f>$AA43*W37/100</f>
        <v>357.08291393832036</v>
      </c>
      <c r="X45" s="67">
        <f>$AA43*X37/100</f>
        <v>339.00931510585275</v>
      </c>
      <c r="AA45" s="1"/>
      <c r="AC45" t="s">
        <v>122</v>
      </c>
      <c r="AD45" s="51"/>
      <c r="AE45" s="51"/>
      <c r="AH45">
        <v>862</v>
      </c>
      <c r="AI45">
        <v>873</v>
      </c>
    </row>
    <row r="46" spans="1:35" x14ac:dyDescent="0.3">
      <c r="A46" t="s">
        <v>5</v>
      </c>
      <c r="B46" s="13">
        <v>2</v>
      </c>
      <c r="C46" s="5">
        <v>0</v>
      </c>
      <c r="D46" s="1">
        <v>136</v>
      </c>
      <c r="E46" s="27">
        <v>5749</v>
      </c>
      <c r="F46" s="1">
        <v>43</v>
      </c>
      <c r="G46" s="6">
        <v>22</v>
      </c>
      <c r="H46" s="1">
        <f>SUM(C46:G46)</f>
        <v>5950</v>
      </c>
      <c r="I46" s="10">
        <f>E46/H46</f>
        <v>0.96621848739495797</v>
      </c>
      <c r="J46" s="11">
        <f>1-I46</f>
        <v>3.378151260504203E-2</v>
      </c>
      <c r="K46">
        <f>H46-E49</f>
        <v>52</v>
      </c>
      <c r="N46" s="10">
        <f>2*(E50*I46)/(E50+I46)</f>
        <v>0.97045914922349763</v>
      </c>
      <c r="R46" t="s">
        <v>73</v>
      </c>
      <c r="S46" t="s">
        <v>28</v>
      </c>
      <c r="T46" s="57">
        <f t="shared" ref="T46:X49" si="5">C118</f>
        <v>1.3371656441364466</v>
      </c>
      <c r="U46" s="57">
        <f t="shared" si="5"/>
        <v>5.8856869531095262</v>
      </c>
      <c r="V46" s="57">
        <f t="shared" si="5"/>
        <v>57.939268426593166</v>
      </c>
      <c r="W46" s="57">
        <f t="shared" si="5"/>
        <v>25.045259503655792</v>
      </c>
      <c r="X46" s="57">
        <f t="shared" si="5"/>
        <v>9.7926194725050433</v>
      </c>
      <c r="Y46" s="60"/>
      <c r="Z46" s="74"/>
      <c r="AA46" s="12"/>
      <c r="AC46" t="s">
        <v>135</v>
      </c>
      <c r="AD46" s="51"/>
      <c r="AE46" s="51"/>
      <c r="AH46">
        <v>891</v>
      </c>
      <c r="AI46">
        <v>902</v>
      </c>
    </row>
    <row r="47" spans="1:35" x14ac:dyDescent="0.3">
      <c r="A47" t="s">
        <v>6</v>
      </c>
      <c r="B47" s="13">
        <v>3</v>
      </c>
      <c r="C47" s="5">
        <v>0</v>
      </c>
      <c r="D47" s="1">
        <v>2</v>
      </c>
      <c r="E47" s="1">
        <v>119</v>
      </c>
      <c r="F47" s="27">
        <v>2078</v>
      </c>
      <c r="G47" s="6">
        <v>94</v>
      </c>
      <c r="H47" s="1">
        <f>SUM(C47:G47)</f>
        <v>2293</v>
      </c>
      <c r="I47" s="10">
        <f>F47/H47</f>
        <v>0.90623637156563452</v>
      </c>
      <c r="J47" s="11">
        <f>1-I47</f>
        <v>9.3763628434365476E-2</v>
      </c>
      <c r="K47">
        <f>H47-F49</f>
        <v>2</v>
      </c>
      <c r="N47" s="10">
        <f>2*(F50*I47)/(F50+I47)</f>
        <v>0.90663176265270506</v>
      </c>
      <c r="S47" s="66" t="s">
        <v>39</v>
      </c>
      <c r="T47" s="67">
        <f t="shared" si="5"/>
        <v>1.4940631408970992E-2</v>
      </c>
      <c r="U47" s="67">
        <f t="shared" si="5"/>
        <v>0.13834118447854502</v>
      </c>
      <c r="V47" s="67">
        <f t="shared" si="5"/>
        <v>0.18855271082562106</v>
      </c>
      <c r="W47" s="67">
        <f t="shared" si="5"/>
        <v>0.23319195809759444</v>
      </c>
      <c r="X47" s="67">
        <f t="shared" si="5"/>
        <v>0.21957512506542093</v>
      </c>
      <c r="AC47" t="s">
        <v>136</v>
      </c>
      <c r="AD47" s="51"/>
      <c r="AE47" s="51"/>
      <c r="AH47">
        <v>920</v>
      </c>
      <c r="AI47">
        <v>931</v>
      </c>
    </row>
    <row r="48" spans="1:35" x14ac:dyDescent="0.3">
      <c r="A48" t="s">
        <v>7</v>
      </c>
      <c r="B48" s="13">
        <v>4</v>
      </c>
      <c r="C48" s="7">
        <v>0</v>
      </c>
      <c r="D48" s="8">
        <v>0</v>
      </c>
      <c r="E48" s="8">
        <v>17</v>
      </c>
      <c r="F48" s="8">
        <v>169</v>
      </c>
      <c r="G48" s="28">
        <v>565</v>
      </c>
      <c r="H48" s="1">
        <f>SUM(C48:G48)</f>
        <v>751</v>
      </c>
      <c r="I48" s="10">
        <f>G48/H48</f>
        <v>0.75233022636484692</v>
      </c>
      <c r="J48" s="11">
        <f>1-I48</f>
        <v>0.24766977363515308</v>
      </c>
      <c r="K48">
        <f>H48-G49</f>
        <v>68</v>
      </c>
      <c r="N48" s="10">
        <f>2*(G50*I48)/(G50+I48)</f>
        <v>0.78800557880055788</v>
      </c>
      <c r="S48" t="s">
        <v>30</v>
      </c>
      <c r="T48" s="57">
        <f t="shared" si="5"/>
        <v>100</v>
      </c>
      <c r="U48" s="57">
        <f t="shared" si="5"/>
        <v>75.906257053332226</v>
      </c>
      <c r="V48" s="57">
        <f t="shared" si="5"/>
        <v>97.7935160245204</v>
      </c>
      <c r="W48" s="57">
        <f t="shared" si="5"/>
        <v>87.303616250796694</v>
      </c>
      <c r="X48" s="57">
        <f t="shared" si="5"/>
        <v>86.495146698785348</v>
      </c>
      <c r="AC48" t="s">
        <v>137</v>
      </c>
      <c r="AD48" s="51"/>
      <c r="AE48" s="51"/>
      <c r="AH48">
        <v>949</v>
      </c>
      <c r="AI48">
        <v>960</v>
      </c>
    </row>
    <row r="49" spans="1:35" ht="15.6" x14ac:dyDescent="0.35">
      <c r="B49" s="1" t="s">
        <v>19</v>
      </c>
      <c r="C49" s="1">
        <f>SUM(C44:C48)</f>
        <v>89</v>
      </c>
      <c r="D49" s="1">
        <f>SUM(D44:D48)</f>
        <v>324</v>
      </c>
      <c r="E49" s="1">
        <f>SUM(E44:E48)</f>
        <v>5898</v>
      </c>
      <c r="F49" s="1">
        <f>SUM(F44:F48)</f>
        <v>2291</v>
      </c>
      <c r="G49" s="1">
        <f>SUM(G44:G48)</f>
        <v>683</v>
      </c>
      <c r="H49" s="1">
        <f>SUM(H43:H48)</f>
        <v>9285</v>
      </c>
      <c r="I49" s="13" t="s">
        <v>12</v>
      </c>
      <c r="S49" s="66" t="s">
        <v>39</v>
      </c>
      <c r="T49" s="67">
        <f t="shared" si="5"/>
        <v>0</v>
      </c>
      <c r="U49" s="67">
        <f t="shared" si="5"/>
        <v>3.3278963939438837</v>
      </c>
      <c r="V49" s="67">
        <f t="shared" si="5"/>
        <v>0.22145178337870361</v>
      </c>
      <c r="W49" s="67">
        <f t="shared" si="5"/>
        <v>0.95133683722224693</v>
      </c>
      <c r="X49" s="67">
        <f t="shared" si="5"/>
        <v>2.7582316906647195</v>
      </c>
      <c r="AC49" t="s">
        <v>138</v>
      </c>
      <c r="AD49" s="51"/>
      <c r="AE49" s="51"/>
      <c r="AH49">
        <v>978</v>
      </c>
      <c r="AI49">
        <v>989</v>
      </c>
    </row>
    <row r="50" spans="1:35" x14ac:dyDescent="0.3">
      <c r="A50" s="1" t="s">
        <v>321</v>
      </c>
      <c r="B50" s="1" t="s">
        <v>2</v>
      </c>
      <c r="C50" s="10">
        <f>C44/C49</f>
        <v>1</v>
      </c>
      <c r="D50" s="10">
        <f>D45/D49</f>
        <v>0.57407407407407407</v>
      </c>
      <c r="E50" s="10">
        <f>E46/E49</f>
        <v>0.97473719905052558</v>
      </c>
      <c r="F50" s="10">
        <f>F47/F49</f>
        <v>0.90702749890877343</v>
      </c>
      <c r="G50" s="10">
        <f>G48/G49</f>
        <v>0.82723279648609083</v>
      </c>
      <c r="H50" s="10"/>
      <c r="I50" s="14">
        <f>(C44+D45+E46+F47+G48)/H49</f>
        <v>0.93344103392568656</v>
      </c>
      <c r="S50" s="15" t="s">
        <v>31</v>
      </c>
      <c r="T50" s="71">
        <f>I113</f>
        <v>98.888888888888886</v>
      </c>
      <c r="U50" s="71">
        <f>I114</f>
        <v>95.024875621890558</v>
      </c>
      <c r="V50" s="71">
        <f>I115</f>
        <v>96.537815126050432</v>
      </c>
      <c r="W50" s="71">
        <f>I116</f>
        <v>92.062799825556027</v>
      </c>
      <c r="X50" s="71">
        <f>I117</f>
        <v>73.635153129161125</v>
      </c>
      <c r="AC50" t="s">
        <v>139</v>
      </c>
      <c r="AD50" s="51"/>
      <c r="AE50" s="51"/>
      <c r="AH50">
        <v>1007</v>
      </c>
      <c r="AI50">
        <v>1018</v>
      </c>
    </row>
    <row r="51" spans="1:35" x14ac:dyDescent="0.3">
      <c r="B51" s="1" t="s">
        <v>14</v>
      </c>
      <c r="C51" s="11">
        <f>1-C50</f>
        <v>0</v>
      </c>
      <c r="D51" s="11">
        <f>1-D50</f>
        <v>0.42592592592592593</v>
      </c>
      <c r="E51" s="11">
        <f>1-E50</f>
        <v>2.5262800949474418E-2</v>
      </c>
      <c r="F51" s="11">
        <f>1-F50</f>
        <v>9.2972501091226567E-2</v>
      </c>
      <c r="G51" s="11">
        <f>1-G50</f>
        <v>0.17276720351390917</v>
      </c>
      <c r="S51" s="75" t="s">
        <v>39</v>
      </c>
      <c r="T51" s="76">
        <f>J113</f>
        <v>1.1111111111111127</v>
      </c>
      <c r="U51" s="76">
        <f>J114</f>
        <v>1.5374663821256145</v>
      </c>
      <c r="V51" s="76">
        <f>J115</f>
        <v>0.23702921358143256</v>
      </c>
      <c r="W51" s="76">
        <f>J116</f>
        <v>0.56463585032377883</v>
      </c>
      <c r="X51" s="76">
        <f>J117</f>
        <v>1.6088834789219946</v>
      </c>
      <c r="AC51" t="s">
        <v>140</v>
      </c>
      <c r="AD51" s="51"/>
      <c r="AE51" s="51"/>
      <c r="AH51">
        <v>1036</v>
      </c>
      <c r="AI51">
        <v>1047</v>
      </c>
    </row>
    <row r="52" spans="1:35" x14ac:dyDescent="0.3">
      <c r="C52" s="2"/>
      <c r="S52" s="66" t="s">
        <v>56</v>
      </c>
      <c r="T52" s="67">
        <f>N102*100</f>
        <v>99.441340782122907</v>
      </c>
      <c r="U52" s="67">
        <f>N103*100</f>
        <v>71.535580524344567</v>
      </c>
      <c r="V52" s="67">
        <f>N104*100</f>
        <v>97.355932203389841</v>
      </c>
      <c r="W52" s="67">
        <f>N105*100</f>
        <v>91.227312013828879</v>
      </c>
      <c r="X52" s="67">
        <f>N106*100</f>
        <v>77.396780965710292</v>
      </c>
      <c r="AC52" t="s">
        <v>141</v>
      </c>
      <c r="AD52" s="51"/>
      <c r="AE52" s="51"/>
      <c r="AH52">
        <v>1065</v>
      </c>
      <c r="AI52">
        <v>1076</v>
      </c>
    </row>
    <row r="53" spans="1:35" ht="15.6" x14ac:dyDescent="0.35">
      <c r="A53" t="s">
        <v>322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66</v>
      </c>
      <c r="S53" t="s">
        <v>9</v>
      </c>
      <c r="T53" s="30">
        <f>N113</f>
        <v>2107.87</v>
      </c>
      <c r="U53" s="30">
        <f>N114</f>
        <v>7328.98</v>
      </c>
      <c r="V53" s="30">
        <f>N115</f>
        <v>91493.81</v>
      </c>
      <c r="W53" s="30">
        <f>N116</f>
        <v>37023.69</v>
      </c>
      <c r="X53" s="30">
        <f>N117</f>
        <v>17931.29</v>
      </c>
      <c r="Z53" t="s">
        <v>36</v>
      </c>
      <c r="AA53" s="1">
        <f>N118</f>
        <v>155885.64000000001</v>
      </c>
      <c r="AC53" t="s">
        <v>142</v>
      </c>
      <c r="AD53" s="51"/>
      <c r="AE53" s="51"/>
      <c r="AH53">
        <v>1094</v>
      </c>
      <c r="AI53">
        <v>1105</v>
      </c>
    </row>
    <row r="54" spans="1:35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323</v>
      </c>
      <c r="S54" t="s">
        <v>68</v>
      </c>
      <c r="T54" s="57">
        <f>$AA53*T46/100</f>
        <v>2084.4492222222225</v>
      </c>
      <c r="U54" s="57">
        <f>$AA53*U46/100</f>
        <v>9174.9407752512852</v>
      </c>
      <c r="V54" s="57">
        <f>$AA53*V46/100</f>
        <v>90318.99939811269</v>
      </c>
      <c r="W54" s="57">
        <f>$AA53*W46/100</f>
        <v>39041.963066934659</v>
      </c>
      <c r="X54" s="57">
        <f>$AA53*X46/100</f>
        <v>15265.287537479111</v>
      </c>
      <c r="Z54" t="s">
        <v>36</v>
      </c>
      <c r="AA54" s="25">
        <f>SUM(T54:X54)</f>
        <v>155885.63999999996</v>
      </c>
      <c r="AC54" t="s">
        <v>143</v>
      </c>
      <c r="AD54" s="51"/>
      <c r="AE54" s="51"/>
      <c r="AH54">
        <v>1123</v>
      </c>
      <c r="AI54">
        <v>1134</v>
      </c>
    </row>
    <row r="55" spans="1:35" x14ac:dyDescent="0.3">
      <c r="A55" t="s">
        <v>3</v>
      </c>
      <c r="B55" s="13">
        <v>0</v>
      </c>
      <c r="C55" s="29">
        <f>(C44/$L55)*$O55</f>
        <v>1.3276248319574635</v>
      </c>
      <c r="D55" s="31">
        <f>(D44/$L55)*$O55</f>
        <v>0</v>
      </c>
      <c r="E55" s="31">
        <f>(E44/$L55)*$O55</f>
        <v>0</v>
      </c>
      <c r="F55" s="31">
        <f>(F44/$L55)*$O55</f>
        <v>1.4917132943342286E-2</v>
      </c>
      <c r="G55" s="32">
        <f>(G44/$L55)*$O55</f>
        <v>0</v>
      </c>
      <c r="H55" s="17">
        <f>SUM(C55:G55)</f>
        <v>1.3425419649008057</v>
      </c>
      <c r="I55" s="17">
        <f>C55/H55*100</f>
        <v>98.888888888888886</v>
      </c>
      <c r="J55" s="17">
        <f>SQRT(I55*(100-I55)/(L55-1))</f>
        <v>1.1111111111111127</v>
      </c>
      <c r="K55" s="18">
        <f>100-I55</f>
        <v>1.1111111111111143</v>
      </c>
      <c r="L55" s="1">
        <f>H44</f>
        <v>90</v>
      </c>
      <c r="M55">
        <v>0</v>
      </c>
      <c r="N55" s="1">
        <v>2092.83</v>
      </c>
      <c r="O55" s="17">
        <f>N55/N60*100</f>
        <v>1.3425419649008057</v>
      </c>
      <c r="P55" s="52">
        <f>((O55*O55*(I55/100)*(K55/100))/(L55-1))</f>
        <v>2.2252085524934829E-4</v>
      </c>
      <c r="R55" s="66"/>
      <c r="S55" s="66" t="s">
        <v>67</v>
      </c>
      <c r="T55" s="67">
        <f>$AA53*T47/100</f>
        <v>23.290298891915448</v>
      </c>
      <c r="U55" s="67">
        <f>$AA53*U47/100</f>
        <v>215.6540408079606</v>
      </c>
      <c r="V55" s="67">
        <f>$AA53*V47/100</f>
        <v>293.92660000786867</v>
      </c>
      <c r="W55" s="67">
        <f>$AA53*W47/100</f>
        <v>363.51277630896692</v>
      </c>
      <c r="X55" s="67">
        <f>$AA53*X47/100</f>
        <v>342.28608898903184</v>
      </c>
      <c r="AA55" s="1"/>
      <c r="AC55" t="s">
        <v>144</v>
      </c>
      <c r="AD55" s="51"/>
      <c r="AE55" s="51"/>
      <c r="AH55">
        <v>1152</v>
      </c>
      <c r="AI55">
        <v>1163</v>
      </c>
    </row>
    <row r="56" spans="1:35" x14ac:dyDescent="0.3">
      <c r="A56" t="s">
        <v>4</v>
      </c>
      <c r="B56" s="13">
        <v>1</v>
      </c>
      <c r="C56" s="33">
        <f t="shared" ref="C56:G59" si="6">(C45/$L56)*$O56</f>
        <v>0</v>
      </c>
      <c r="D56" s="34">
        <f t="shared" si="6"/>
        <v>4.1388887710951261</v>
      </c>
      <c r="E56" s="19">
        <f t="shared" si="6"/>
        <v>0.28927717217331522</v>
      </c>
      <c r="F56" s="18">
        <f t="shared" si="6"/>
        <v>0</v>
      </c>
      <c r="G56" s="20">
        <f t="shared" si="6"/>
        <v>4.4504180334356193E-2</v>
      </c>
      <c r="H56" s="17">
        <f>SUM(C56:G56)</f>
        <v>4.4726701236027973</v>
      </c>
      <c r="I56" s="17">
        <f>D56/H56*100</f>
        <v>92.53731343283583</v>
      </c>
      <c r="J56" s="17">
        <f>SQRT(I56*(100-I56)/(L56-1))</f>
        <v>1.8581939698490635</v>
      </c>
      <c r="K56" s="18">
        <f>100-I56</f>
        <v>7.4626865671641696</v>
      </c>
      <c r="L56" s="1">
        <f>H45</f>
        <v>201</v>
      </c>
      <c r="M56">
        <v>1</v>
      </c>
      <c r="N56" s="1">
        <v>6972.25</v>
      </c>
      <c r="O56" s="17">
        <f>N56/N60*100</f>
        <v>4.4726701236027973</v>
      </c>
      <c r="P56" s="52">
        <f>((O56*O56*(I56/100)*(K56/100))/(L56-1))</f>
        <v>6.9074194594747175E-3</v>
      </c>
      <c r="R56" t="s">
        <v>76</v>
      </c>
      <c r="S56" t="s">
        <v>28</v>
      </c>
      <c r="T56" s="57">
        <f t="shared" ref="T56:X59" si="7">C147</f>
        <v>1.3303652173050278</v>
      </c>
      <c r="U56" s="57">
        <f t="shared" si="7"/>
        <v>6.0122024962234759</v>
      </c>
      <c r="V56" s="57">
        <f t="shared" si="7"/>
        <v>57.794262860991779</v>
      </c>
      <c r="W56" s="57">
        <f t="shared" si="7"/>
        <v>25.237770795615042</v>
      </c>
      <c r="X56" s="57">
        <f t="shared" si="7"/>
        <v>9.6253986298646623</v>
      </c>
      <c r="Y56" s="13"/>
      <c r="Z56" s="74"/>
      <c r="AA56" s="12"/>
      <c r="AC56" t="s">
        <v>145</v>
      </c>
      <c r="AD56" s="51"/>
      <c r="AE56" s="51"/>
      <c r="AH56">
        <v>1181</v>
      </c>
      <c r="AI56">
        <v>1192</v>
      </c>
    </row>
    <row r="57" spans="1:35" x14ac:dyDescent="0.3">
      <c r="A57" t="s">
        <v>5</v>
      </c>
      <c r="B57" s="13">
        <v>2</v>
      </c>
      <c r="C57" s="33">
        <f t="shared" si="6"/>
        <v>0</v>
      </c>
      <c r="D57" s="19">
        <f t="shared" si="6"/>
        <v>1.3461120181507429</v>
      </c>
      <c r="E57" s="34">
        <f t="shared" si="6"/>
        <v>56.902926414328093</v>
      </c>
      <c r="F57" s="19">
        <f t="shared" si="6"/>
        <v>0.42560894691530843</v>
      </c>
      <c r="G57" s="20">
        <f t="shared" si="6"/>
        <v>0.21775341470085549</v>
      </c>
      <c r="H57" s="17">
        <f>SUM(C57:G57)</f>
        <v>58.892400794095003</v>
      </c>
      <c r="I57" s="17">
        <f>E57/H57*100</f>
        <v>96.621848739495803</v>
      </c>
      <c r="J57" s="17">
        <f>SQRT(I57*(100-I57)/(L57-1))</f>
        <v>0.23423685743494932</v>
      </c>
      <c r="K57" s="18">
        <f>100-I57</f>
        <v>3.3781512605041968</v>
      </c>
      <c r="L57" s="1">
        <f>H46</f>
        <v>5950</v>
      </c>
      <c r="M57">
        <v>2</v>
      </c>
      <c r="N57" s="1">
        <v>91804.79</v>
      </c>
      <c r="O57" s="17">
        <f>N57/N60*100</f>
        <v>58.892400794095003</v>
      </c>
      <c r="P57" s="52">
        <f>((O57*O57*(I57/100)*(K57/100))/(L57-1))</f>
        <v>1.902957038747137E-2</v>
      </c>
      <c r="S57" s="66" t="s">
        <v>39</v>
      </c>
      <c r="T57" s="67">
        <f t="shared" si="7"/>
        <v>1.4864647800539654E-2</v>
      </c>
      <c r="U57" s="67">
        <f t="shared" si="7"/>
        <v>0.13335367634180398</v>
      </c>
      <c r="V57" s="67">
        <f t="shared" si="7"/>
        <v>0.18783266921610889</v>
      </c>
      <c r="W57" s="67">
        <f t="shared" si="7"/>
        <v>0.2342115691734708</v>
      </c>
      <c r="X57" s="67">
        <f t="shared" si="7"/>
        <v>0.22056227811660889</v>
      </c>
      <c r="AC57" t="s">
        <v>146</v>
      </c>
      <c r="AD57" s="51"/>
      <c r="AE57" s="51"/>
      <c r="AH57">
        <v>1210</v>
      </c>
      <c r="AI57">
        <v>1221</v>
      </c>
    </row>
    <row r="58" spans="1:35" x14ac:dyDescent="0.3">
      <c r="A58" t="s">
        <v>6</v>
      </c>
      <c r="B58" s="13">
        <v>3</v>
      </c>
      <c r="C58" s="33">
        <f t="shared" si="6"/>
        <v>0</v>
      </c>
      <c r="D58" s="19">
        <f t="shared" si="6"/>
        <v>2.0535944289223576E-2</v>
      </c>
      <c r="E58" s="19">
        <f t="shared" si="6"/>
        <v>1.2218886852088027</v>
      </c>
      <c r="F58" s="34">
        <f t="shared" si="6"/>
        <v>21.336846116503292</v>
      </c>
      <c r="G58" s="20">
        <f t="shared" si="6"/>
        <v>0.96518938159350809</v>
      </c>
      <c r="H58" s="17">
        <f>SUM(C58:G58)</f>
        <v>23.544460127594824</v>
      </c>
      <c r="I58" s="17">
        <f>F58/H58*100</f>
        <v>90.623637156563461</v>
      </c>
      <c r="J58" s="17">
        <f>SQRT(I58*(100-I58)/(L58-1))</f>
        <v>0.60887850162688584</v>
      </c>
      <c r="K58" s="18">
        <f>100-I58</f>
        <v>9.3763628434365387</v>
      </c>
      <c r="L58" s="1">
        <f>H47</f>
        <v>2293</v>
      </c>
      <c r="M58">
        <v>3</v>
      </c>
      <c r="N58" s="1">
        <v>36702.43</v>
      </c>
      <c r="O58" s="17">
        <f>N58/N60*100</f>
        <v>23.544460127594828</v>
      </c>
      <c r="P58" s="52">
        <f>((O58*O58*(I58/100)*(K58/100))/(L58-1))</f>
        <v>2.0551274188174797E-2</v>
      </c>
      <c r="S58" t="s">
        <v>30</v>
      </c>
      <c r="T58" s="57">
        <f t="shared" si="7"/>
        <v>100</v>
      </c>
      <c r="U58" s="57">
        <f t="shared" si="7"/>
        <v>76.174333750512616</v>
      </c>
      <c r="V58" s="57">
        <f t="shared" si="7"/>
        <v>97.732421987339023</v>
      </c>
      <c r="W58" s="57">
        <f t="shared" si="7"/>
        <v>87.235911919533564</v>
      </c>
      <c r="X58" s="57">
        <f t="shared" si="7"/>
        <v>86.75167215633607</v>
      </c>
      <c r="AC58" t="s">
        <v>147</v>
      </c>
      <c r="AD58" s="51"/>
      <c r="AE58" s="51"/>
      <c r="AH58">
        <v>1239</v>
      </c>
      <c r="AI58">
        <v>1250</v>
      </c>
    </row>
    <row r="59" spans="1:35" x14ac:dyDescent="0.3">
      <c r="A59" t="s">
        <v>7</v>
      </c>
      <c r="B59" s="13">
        <v>4</v>
      </c>
      <c r="C59" s="35">
        <f t="shared" si="6"/>
        <v>0</v>
      </c>
      <c r="D59" s="36">
        <f t="shared" si="6"/>
        <v>0</v>
      </c>
      <c r="E59" s="21">
        <f t="shared" si="6"/>
        <v>0.26593176940973584</v>
      </c>
      <c r="F59" s="21">
        <f t="shared" si="6"/>
        <v>2.6436746488379619</v>
      </c>
      <c r="G59" s="37">
        <f t="shared" si="6"/>
        <v>8.8383205715588673</v>
      </c>
      <c r="H59" s="17">
        <f>SUM(C59:G59)</f>
        <v>11.747926989806565</v>
      </c>
      <c r="I59" s="17">
        <f>G59/H59*100</f>
        <v>75.233022636484691</v>
      </c>
      <c r="J59" s="17">
        <f>SQRT(I59*(100-I59)/(L59-1))</f>
        <v>1.576195659862337</v>
      </c>
      <c r="K59" s="18">
        <f>100-I59</f>
        <v>24.766977363515309</v>
      </c>
      <c r="L59" s="1">
        <f>H48</f>
        <v>751</v>
      </c>
      <c r="M59">
        <v>4</v>
      </c>
      <c r="N59" s="1">
        <v>18313.330000000002</v>
      </c>
      <c r="O59" s="17">
        <f>N59/N60*100</f>
        <v>11.747926989806565</v>
      </c>
      <c r="P59" s="52">
        <f>((O59*O59*(I59/100)*(K59/100))/(L59-1))</f>
        <v>3.4288045682051113E-2</v>
      </c>
      <c r="S59" s="66" t="s">
        <v>39</v>
      </c>
      <c r="T59" s="67">
        <f t="shared" si="7"/>
        <v>0</v>
      </c>
      <c r="U59" s="67">
        <f t="shared" si="7"/>
        <v>2.8624046040564166</v>
      </c>
      <c r="V59" s="67">
        <f t="shared" si="7"/>
        <v>0.22296560178354358</v>
      </c>
      <c r="W59" s="67">
        <f t="shared" si="7"/>
        <v>0.9503147452831846</v>
      </c>
      <c r="X59" s="67">
        <f t="shared" si="7"/>
        <v>2.7900738623970973</v>
      </c>
      <c r="AC59" t="s">
        <v>148</v>
      </c>
      <c r="AD59" s="51"/>
      <c r="AE59" s="51"/>
      <c r="AH59">
        <v>1268</v>
      </c>
      <c r="AI59">
        <v>1279</v>
      </c>
    </row>
    <row r="60" spans="1:35" x14ac:dyDescent="0.3">
      <c r="B60" t="s">
        <v>28</v>
      </c>
      <c r="C60" s="17">
        <f>SUM(C55:C59)</f>
        <v>1.3276248319574635</v>
      </c>
      <c r="D60" s="17">
        <f>SUM(D55:D59)</f>
        <v>5.5055367335350924</v>
      </c>
      <c r="E60" s="17">
        <f>SUM(E55:E59)</f>
        <v>58.680024041119943</v>
      </c>
      <c r="F60" s="17">
        <f>SUM(F55:F59)</f>
        <v>24.421046845199903</v>
      </c>
      <c r="G60" s="17">
        <f>SUM(G55:G59)</f>
        <v>10.065767548187587</v>
      </c>
      <c r="H60" s="1">
        <f>SUM(H54:H59)</f>
        <v>100</v>
      </c>
      <c r="I60" s="13" t="s">
        <v>24</v>
      </c>
      <c r="J60" s="12" t="s">
        <v>29</v>
      </c>
      <c r="N60" s="1">
        <f>SUM(N55:N59)</f>
        <v>155885.63</v>
      </c>
      <c r="O60" s="17">
        <f>SUM(O55:O59)</f>
        <v>100</v>
      </c>
      <c r="S60" s="15" t="s">
        <v>31</v>
      </c>
      <c r="T60" s="71">
        <f>I142</f>
        <v>98.888888888888886</v>
      </c>
      <c r="U60" s="71">
        <f>I143</f>
        <v>96.517412935323378</v>
      </c>
      <c r="V60" s="71">
        <f>I144</f>
        <v>96.588235294117638</v>
      </c>
      <c r="W60" s="71">
        <f>I145</f>
        <v>92.106410815525521</v>
      </c>
      <c r="X60" s="71">
        <f>I146</f>
        <v>72.436750998668444</v>
      </c>
      <c r="AC60" t="s">
        <v>149</v>
      </c>
      <c r="AD60" s="51"/>
      <c r="AE60" s="51"/>
      <c r="AH60">
        <v>1297</v>
      </c>
      <c r="AI60">
        <v>1308</v>
      </c>
    </row>
    <row r="61" spans="1:35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1.4834028492022385E-2</v>
      </c>
      <c r="D61" s="18">
        <f>SQRT(SUM((O55*O55*(D55/O55)*(1-D55/O55))/L55,(O56*O56*(D56/O56)*(1-D56/O56))/L56,(O57*O57*(D57/O57)*(1-D57/O57))/L57,(O58*O58*(D58/O58)*(1-D58/O58))/L58,(O59*O59*(D59/O59)*(1-D59/O59))/L59))</f>
        <v>0.14178452163723881</v>
      </c>
      <c r="E61" s="18">
        <f>SQRT(SUM((O55*O55*(E55/O55)*(1-E55/O55))/L55,(O56*O56*(E56/O56)*(1-E56/O56))/L56,(O57*O57*(E57/O57)*(1-E57/O57))/L57,(O58*O58*(E58/O58)*(1-E58/O58))/L58,(O59*O59*(E59/O59)*(1-E59/O59))/L59))</f>
        <v>0.20250453347745667</v>
      </c>
      <c r="F61" s="18">
        <f>SQRT(SUM((O55*O55*(F55/O55)*(1-F55/O55))/L55,(O56*O56*(F56/O56)*(1-F56/O56))/L56,(O57*O57*(F57/O57)*(1-F57/O57))/L57,(O58*O58*(F58/O58)*(1-F58/O58))/L58,(O59*O59*(F59/O59)*(1-F59/O59))/L59))</f>
        <v>0.23873287612457408</v>
      </c>
      <c r="G61" s="18">
        <f>SQRT(SUM((O55*O55*(G55/O55)*(1-G55/O55))/L55,(O56*O56*(G56/O56)*(1-G56/O56))/L56,(O57*O57*(G57/O57)*(1-G57/O57))/L57,(O58*O58*(G58/O58)*(1-G58/O58))/L58,(O59*O59*(G59/O59)*(1-G59/O59))/L59))</f>
        <v>0.21650505011170718</v>
      </c>
      <c r="H61" s="1"/>
      <c r="I61" s="14">
        <f>(C55+D56+E57+F58+G59)/H60</f>
        <v>0.92544606705442845</v>
      </c>
      <c r="J61" s="53">
        <f>SQRT(SUM(P55:P59))/100</f>
        <v>2.8460293493290153E-3</v>
      </c>
      <c r="M61" s="1"/>
      <c r="N61" s="9"/>
      <c r="S61" s="75" t="s">
        <v>39</v>
      </c>
      <c r="T61" s="76">
        <f>J142</f>
        <v>1.1111111111111127</v>
      </c>
      <c r="U61" s="76">
        <f>J143</f>
        <v>1.2963994249547655</v>
      </c>
      <c r="V61" s="76">
        <f>J144</f>
        <v>0.2353583806718697</v>
      </c>
      <c r="W61" s="76">
        <f>J145</f>
        <v>0.56321586917045008</v>
      </c>
      <c r="X61" s="76">
        <f>J146</f>
        <v>1.631601342086459</v>
      </c>
      <c r="AC61" t="s">
        <v>150</v>
      </c>
      <c r="AD61" s="51"/>
      <c r="AE61" s="51"/>
      <c r="AH61">
        <v>1326</v>
      </c>
      <c r="AI61">
        <v>1337</v>
      </c>
    </row>
    <row r="62" spans="1:35" x14ac:dyDescent="0.3">
      <c r="B62" s="1" t="s">
        <v>30</v>
      </c>
      <c r="C62" s="17">
        <f>C55/C60*100</f>
        <v>100</v>
      </c>
      <c r="D62" s="17">
        <f>D56/D60*100</f>
        <v>75.176844173693397</v>
      </c>
      <c r="E62" s="17">
        <f>E57/E60*100</f>
        <v>96.971545844039625</v>
      </c>
      <c r="F62" s="17">
        <f>F58/F60*100</f>
        <v>87.370726782325349</v>
      </c>
      <c r="G62" s="17">
        <f>G59/G60*100</f>
        <v>87.805728964506741</v>
      </c>
      <c r="H62" s="1"/>
      <c r="S62" s="66" t="s">
        <v>56</v>
      </c>
      <c r="T62" s="67">
        <f>N131*100</f>
        <v>99.441340782122907</v>
      </c>
      <c r="U62" s="67">
        <f>N132*100</f>
        <v>71.98515769944342</v>
      </c>
      <c r="V62" s="67">
        <f>N133*100</f>
        <v>97.357275961375564</v>
      </c>
      <c r="W62" s="67">
        <f>N134*100</f>
        <v>91.231101511879046</v>
      </c>
      <c r="X62" s="67">
        <f>N135*100</f>
        <v>76.83615819209038</v>
      </c>
      <c r="AC62" t="s">
        <v>151</v>
      </c>
      <c r="AD62" s="51"/>
      <c r="AE62" s="51"/>
      <c r="AH62">
        <v>1355</v>
      </c>
      <c r="AI62">
        <v>1366</v>
      </c>
    </row>
    <row r="63" spans="1:35" x14ac:dyDescent="0.3">
      <c r="B63" s="16" t="s">
        <v>39</v>
      </c>
      <c r="C63" s="18">
        <f>SQRT((C66+C67)/(C60*C60))</f>
        <v>0</v>
      </c>
      <c r="D63" s="18">
        <f>SQRT((D66+D67)/(D60*D60))</f>
        <v>4.0631522915071558</v>
      </c>
      <c r="E63" s="18">
        <f>SQRT((E66+E67)/(E60*E60))</f>
        <v>0.25536247311557148</v>
      </c>
      <c r="F63" s="18">
        <f>SQRT((F66+F67)/(F60*F60))</f>
        <v>1.0083549945536296</v>
      </c>
      <c r="G63" s="18">
        <f>SQRT((G66+G67)/(G60*G60))</f>
        <v>2.4483002360549744</v>
      </c>
      <c r="H63" s="1"/>
      <c r="R63" s="16" t="s">
        <v>66</v>
      </c>
      <c r="S63" t="s">
        <v>9</v>
      </c>
      <c r="T63" s="30">
        <f>N142</f>
        <v>2097.15</v>
      </c>
      <c r="U63" s="30">
        <f>N143</f>
        <v>7396.78</v>
      </c>
      <c r="V63" s="30">
        <f>N144</f>
        <v>91160.2</v>
      </c>
      <c r="W63" s="30">
        <f>N145</f>
        <v>37261.69</v>
      </c>
      <c r="X63" s="30">
        <f>N146</f>
        <v>17969.82</v>
      </c>
      <c r="Z63" t="s">
        <v>36</v>
      </c>
      <c r="AA63" s="1">
        <f>N147</f>
        <v>155885.64000000001</v>
      </c>
      <c r="AC63" t="s">
        <v>152</v>
      </c>
      <c r="AD63" s="51"/>
      <c r="AE63" s="51"/>
      <c r="AH63">
        <v>1384</v>
      </c>
      <c r="AI63">
        <v>1395</v>
      </c>
    </row>
    <row r="64" spans="1:35" ht="15.6" x14ac:dyDescent="0.35">
      <c r="B64" s="1" t="s">
        <v>37</v>
      </c>
      <c r="C64" s="18">
        <f>100-C62</f>
        <v>0</v>
      </c>
      <c r="D64" s="18">
        <f>100-D62</f>
        <v>24.823155826306603</v>
      </c>
      <c r="E64" s="18">
        <f>100-E62</f>
        <v>3.0284541559603753</v>
      </c>
      <c r="F64" s="18">
        <f>100-F62</f>
        <v>12.629273217674651</v>
      </c>
      <c r="G64" s="18">
        <f>100-G62</f>
        <v>12.194271035493259</v>
      </c>
      <c r="R64" s="16" t="s">
        <v>323</v>
      </c>
      <c r="S64" t="s">
        <v>68</v>
      </c>
      <c r="T64" s="57">
        <f>$AA63*T56/100</f>
        <v>2073.8483333333334</v>
      </c>
      <c r="U64" s="57">
        <f>$AA63*U56/100</f>
        <v>9372.1603393339428</v>
      </c>
      <c r="V64" s="57">
        <f>$AA63*V56/100</f>
        <v>90092.95654413935</v>
      </c>
      <c r="W64" s="57">
        <f>$AA63*W56/100</f>
        <v>39342.060526477602</v>
      </c>
      <c r="X64" s="57">
        <f>$AA63*X56/100</f>
        <v>15004.61425671576</v>
      </c>
      <c r="Z64" t="s">
        <v>36</v>
      </c>
      <c r="AA64" s="25">
        <f>SUM(T64:X64)</f>
        <v>155885.63999999998</v>
      </c>
      <c r="AC64" t="s">
        <v>153</v>
      </c>
      <c r="AD64" s="51"/>
      <c r="AE64" s="51"/>
      <c r="AH64">
        <v>1413</v>
      </c>
      <c r="AI64">
        <v>1424</v>
      </c>
    </row>
    <row r="65" spans="1:51" ht="15.6" x14ac:dyDescent="0.35">
      <c r="B65" s="1" t="s">
        <v>25</v>
      </c>
      <c r="C65" s="1">
        <f>C49</f>
        <v>89</v>
      </c>
      <c r="D65" s="1">
        <f>D49</f>
        <v>324</v>
      </c>
      <c r="E65" s="1">
        <f>E49</f>
        <v>5898</v>
      </c>
      <c r="F65" s="1">
        <f>F49</f>
        <v>2291</v>
      </c>
      <c r="G65" s="1">
        <f>G49</f>
        <v>683</v>
      </c>
      <c r="R65" s="66"/>
      <c r="S65" s="66" t="s">
        <v>67</v>
      </c>
      <c r="T65" s="67">
        <f>$AA63*T57/100</f>
        <v>23.171851357617165</v>
      </c>
      <c r="U65" s="67">
        <f>$AA63*U57/100</f>
        <v>207.87923182894974</v>
      </c>
      <c r="V65" s="67">
        <f>$AA63*V57/100</f>
        <v>292.80415853661435</v>
      </c>
      <c r="W65" s="67">
        <f>$AA63*W57/100</f>
        <v>365.10220356010774</v>
      </c>
      <c r="X65" s="67">
        <f>$AA63*X57/100</f>
        <v>343.82491884065576</v>
      </c>
      <c r="AA65" s="1"/>
      <c r="AC65" t="s">
        <v>154</v>
      </c>
      <c r="AD65" s="51"/>
      <c r="AE65" s="51"/>
      <c r="AH65">
        <v>1442</v>
      </c>
      <c r="AI65">
        <v>1453</v>
      </c>
    </row>
    <row r="66" spans="1:51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425.62763395198323</v>
      </c>
      <c r="E66" s="18">
        <f>(O57*O57*(100-E62)*(100-E62)*(I57)*(100-I57))/((L57-1)*100)</f>
        <v>17.453036275140221</v>
      </c>
      <c r="F66" s="18">
        <f>(O58*O58*(100-F62)*(100-F62)*(I58)*(100-I58))/((L58-1)*100)</f>
        <v>327.78982693932772</v>
      </c>
      <c r="G66" s="18">
        <f>(O59*O59*(100-G62)*(100-G62)*(I59)*(100-I59))/((L59-1)*100)</f>
        <v>509.86408307656933</v>
      </c>
      <c r="R66" t="s">
        <v>98</v>
      </c>
      <c r="S66" t="s">
        <v>28</v>
      </c>
      <c r="T66" s="57">
        <f>C176</f>
        <v>1.3411562476184467</v>
      </c>
      <c r="U66" s="57">
        <f t="shared" ref="U66:X69" si="8">D176</f>
        <v>5.5786001267274585</v>
      </c>
      <c r="V66" s="57">
        <f t="shared" si="8"/>
        <v>58.016051710879516</v>
      </c>
      <c r="W66" s="57">
        <f t="shared" si="8"/>
        <v>25.074907262181451</v>
      </c>
      <c r="X66" s="57">
        <f t="shared" si="8"/>
        <v>9.9892846525931489</v>
      </c>
      <c r="Y66" s="13"/>
      <c r="Z66" s="74"/>
      <c r="AA66" s="12"/>
      <c r="AC66" t="s">
        <v>163</v>
      </c>
      <c r="AD66" s="51"/>
      <c r="AE66" s="51"/>
      <c r="AH66" s="78"/>
    </row>
    <row r="67" spans="1:51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74.781847952646743</v>
      </c>
      <c r="E67" s="18">
        <f>E62*E62*(SUM((H55*E55*(1-E44/H44))/(H44-1),(H56*E56*(1-E45/H45))/(H45-1), (H58*E58*(1-E47/H47))/(H47-1),(H59*E59*(1-E48/H48))/(H48-1)))</f>
        <v>207.0874803965946</v>
      </c>
      <c r="F67" s="18">
        <f>F62*F62*(SUM((H55*F55*(1-F44/H44))/(H44-1),(H56*F56*(1-F45/H45))/(H45-1), (H57*F57*(1-F46/H46))/(H46-1),(H59*F59*(1-F48/H48))/(H48-1)))</f>
        <v>278.60496257815743</v>
      </c>
      <c r="G67" s="18">
        <f>G62*G62*(SUM((H55*G55*(1-G44/H44))/(H44-1),(H56*G56*(1-G45/H45))/(H45-1), (H57*G57*(1-G46/H46))/(H46-1),(H58*G58*(1-G47/H47))/(H47-1)))</f>
        <v>97.463691141199803</v>
      </c>
      <c r="S67" s="66" t="s">
        <v>39</v>
      </c>
      <c r="T67" s="67">
        <f>C177</f>
        <v>0</v>
      </c>
      <c r="U67" s="67">
        <f t="shared" si="8"/>
        <v>0.14349290637822668</v>
      </c>
      <c r="V67" s="67">
        <f t="shared" si="8"/>
        <v>0.19654998798050824</v>
      </c>
      <c r="W67" s="67">
        <f t="shared" si="8"/>
        <v>0.22718501908194355</v>
      </c>
      <c r="X67" s="67">
        <f t="shared" si="8"/>
        <v>0.21724004854108087</v>
      </c>
      <c r="AC67" t="s">
        <v>164</v>
      </c>
      <c r="AD67" s="51"/>
      <c r="AE67" s="51"/>
      <c r="AI67" s="78"/>
    </row>
    <row r="68" spans="1:51" x14ac:dyDescent="0.3">
      <c r="S68" t="s">
        <v>30</v>
      </c>
      <c r="T68" s="57">
        <f>C178</f>
        <v>100</v>
      </c>
      <c r="U68" s="57">
        <f t="shared" si="8"/>
        <v>76.027083863512956</v>
      </c>
      <c r="V68" s="57">
        <f t="shared" si="8"/>
        <v>97.494001998796406</v>
      </c>
      <c r="W68" s="57">
        <f t="shared" si="8"/>
        <v>88.225467072941825</v>
      </c>
      <c r="X68" s="57">
        <f t="shared" si="8"/>
        <v>87.593769748650004</v>
      </c>
      <c r="AC68" t="s">
        <v>165</v>
      </c>
      <c r="AD68" s="51"/>
      <c r="AE68" s="51"/>
      <c r="AH68" s="2"/>
      <c r="AI68" s="2"/>
    </row>
    <row r="69" spans="1:51" x14ac:dyDescent="0.3">
      <c r="S69" s="66" t="s">
        <v>39</v>
      </c>
      <c r="T69" s="67">
        <f>C179</f>
        <v>0</v>
      </c>
      <c r="U69" s="67">
        <f t="shared" si="8"/>
        <v>4.0928966292367122</v>
      </c>
      <c r="V69" s="67">
        <f t="shared" si="8"/>
        <v>0.24578002159696591</v>
      </c>
      <c r="W69" s="67">
        <f t="shared" si="8"/>
        <v>0.89482782870160937</v>
      </c>
      <c r="X69" s="67">
        <f t="shared" si="8"/>
        <v>2.507708625952588</v>
      </c>
      <c r="AC69" t="s">
        <v>166</v>
      </c>
      <c r="AD69" s="51"/>
      <c r="AE69" s="51"/>
    </row>
    <row r="70" spans="1:51" x14ac:dyDescent="0.3">
      <c r="A70" s="361" t="s">
        <v>429</v>
      </c>
      <c r="B70" s="361"/>
      <c r="C70" s="361"/>
      <c r="D70" s="361"/>
      <c r="E70" s="361"/>
      <c r="F70" s="361"/>
      <c r="G70" s="361"/>
      <c r="H70" s="361"/>
      <c r="I70" s="361"/>
      <c r="J70" s="361"/>
      <c r="K70" s="361"/>
      <c r="L70" s="361" t="s">
        <v>61</v>
      </c>
      <c r="M70" s="361"/>
      <c r="N70" s="361"/>
      <c r="O70" s="361"/>
      <c r="P70" s="361"/>
      <c r="S70" s="15" t="s">
        <v>31</v>
      </c>
      <c r="T70" s="71">
        <f>I171</f>
        <v>100</v>
      </c>
      <c r="U70" s="71">
        <f>I172</f>
        <v>92.039800995024891</v>
      </c>
      <c r="V70" s="71">
        <f>I173</f>
        <v>96.672268907563037</v>
      </c>
      <c r="W70" s="71">
        <f>I174</f>
        <v>92.76057566506762</v>
      </c>
      <c r="X70" s="71">
        <f>I175</f>
        <v>74.833555259653792</v>
      </c>
      <c r="AC70" t="s">
        <v>167</v>
      </c>
      <c r="AD70" s="51"/>
      <c r="AE70" s="51"/>
      <c r="AH70" s="2"/>
      <c r="AI70" s="2"/>
    </row>
    <row r="71" spans="1:51" x14ac:dyDescent="0.3">
      <c r="A71" t="s">
        <v>320</v>
      </c>
      <c r="B71" t="s">
        <v>21</v>
      </c>
      <c r="I71" s="1" t="s">
        <v>58</v>
      </c>
      <c r="O71" s="143"/>
      <c r="P71" s="143"/>
      <c r="S71" s="75" t="s">
        <v>39</v>
      </c>
      <c r="T71" s="76">
        <f>J171</f>
        <v>0</v>
      </c>
      <c r="U71" s="76">
        <f>J172</f>
        <v>1.9139685633503809</v>
      </c>
      <c r="V71" s="76">
        <f>J173</f>
        <v>0.23254289970905889</v>
      </c>
      <c r="W71" s="76">
        <f>J174</f>
        <v>0.5412855427036426</v>
      </c>
      <c r="X71" s="76">
        <f>J175</f>
        <v>1.584632253096691</v>
      </c>
      <c r="AC71" t="s">
        <v>168</v>
      </c>
      <c r="AD71" s="51"/>
      <c r="AE71" s="51"/>
    </row>
    <row r="72" spans="1:51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56</v>
      </c>
      <c r="O72" s="13"/>
      <c r="P72" s="13"/>
      <c r="S72" s="66" t="s">
        <v>56</v>
      </c>
      <c r="T72" s="67">
        <f>N160*100</f>
        <v>100</v>
      </c>
      <c r="U72" s="67">
        <f>N161*100</f>
        <v>70.88122605363985</v>
      </c>
      <c r="V72" s="67">
        <f>N162*100</f>
        <v>97.384237704224162</v>
      </c>
      <c r="W72" s="67">
        <f>N163*100</f>
        <v>91.998269896193776</v>
      </c>
      <c r="X72" s="67">
        <f>N164*100</f>
        <v>78.546470999301178</v>
      </c>
      <c r="AC72" t="s">
        <v>159</v>
      </c>
      <c r="AD72" s="51"/>
      <c r="AE72" s="51"/>
      <c r="AH72" s="2"/>
      <c r="AI72" s="2"/>
    </row>
    <row r="73" spans="1:51" x14ac:dyDescent="0.3">
      <c r="A73" t="s">
        <v>3</v>
      </c>
      <c r="B73" s="13">
        <v>0</v>
      </c>
      <c r="C73" s="26">
        <v>90</v>
      </c>
      <c r="D73" s="3">
        <v>0</v>
      </c>
      <c r="E73" s="3">
        <v>0</v>
      </c>
      <c r="F73" s="3">
        <v>0</v>
      </c>
      <c r="G73" s="4">
        <v>0</v>
      </c>
      <c r="H73" s="1">
        <f>SUM(C73:G73)</f>
        <v>90</v>
      </c>
      <c r="I73" s="10">
        <f>C73/H73</f>
        <v>1</v>
      </c>
      <c r="J73" s="11">
        <f>1-I73</f>
        <v>0</v>
      </c>
      <c r="K73">
        <f>H73-C78</f>
        <v>0</v>
      </c>
      <c r="N73" s="10">
        <f>2*(C79*I73)/(C79+I73)</f>
        <v>1</v>
      </c>
      <c r="O73" s="1"/>
      <c r="P73" s="1"/>
      <c r="R73" s="16" t="s">
        <v>66</v>
      </c>
      <c r="S73" t="s">
        <v>9</v>
      </c>
      <c r="T73" s="1">
        <f>N171</f>
        <v>2090.67</v>
      </c>
      <c r="U73" s="1">
        <f>N172</f>
        <v>7183.3</v>
      </c>
      <c r="V73" s="1">
        <f>N173</f>
        <v>91207.44</v>
      </c>
      <c r="W73" s="1">
        <f>N174</f>
        <v>37177.14</v>
      </c>
      <c r="X73" s="1">
        <f>N175</f>
        <v>18227.09</v>
      </c>
      <c r="Z73" t="s">
        <v>36</v>
      </c>
      <c r="AA73" s="1">
        <f>N176</f>
        <v>155885.63999999998</v>
      </c>
      <c r="AC73" t="s">
        <v>169</v>
      </c>
      <c r="AD73" s="51"/>
      <c r="AE73" s="51"/>
    </row>
    <row r="74" spans="1:51" ht="15.6" x14ac:dyDescent="0.35">
      <c r="A74" t="s">
        <v>4</v>
      </c>
      <c r="B74" s="13">
        <v>1</v>
      </c>
      <c r="C74" s="5">
        <v>0</v>
      </c>
      <c r="D74" s="27">
        <v>188</v>
      </c>
      <c r="E74" s="1">
        <v>11</v>
      </c>
      <c r="F74" s="1">
        <v>0</v>
      </c>
      <c r="G74" s="6">
        <v>2</v>
      </c>
      <c r="H74" s="1">
        <f>SUM(C74:G74)</f>
        <v>201</v>
      </c>
      <c r="I74" s="10">
        <f>D74/H74</f>
        <v>0.93532338308457708</v>
      </c>
      <c r="J74" s="11">
        <f>1-I74</f>
        <v>6.4676616915422924E-2</v>
      </c>
      <c r="K74">
        <f>H74-D78</f>
        <v>-122</v>
      </c>
      <c r="N74" s="10">
        <f>2*(D79*I74)/(D79+I74)</f>
        <v>0.71755725190839692</v>
      </c>
      <c r="O74" s="1"/>
      <c r="P74" s="1"/>
      <c r="R74" s="16" t="s">
        <v>323</v>
      </c>
      <c r="S74" t="s">
        <v>68</v>
      </c>
      <c r="T74" s="57">
        <f>$AA73*T66/100</f>
        <v>2090.67</v>
      </c>
      <c r="U74" s="57">
        <f>$AA73*U66/100</f>
        <v>8696.236510589908</v>
      </c>
      <c r="V74" s="57">
        <f>$AA73*V66/100</f>
        <v>90438.693512235477</v>
      </c>
      <c r="W74" s="57">
        <f>$AA73*W66/100</f>
        <v>39088.179665058029</v>
      </c>
      <c r="X74" s="57">
        <f>$AA73*X66/100</f>
        <v>15571.860312116605</v>
      </c>
      <c r="Z74" t="s">
        <v>36</v>
      </c>
      <c r="AA74" s="25">
        <f>SUM(T74:X74)</f>
        <v>155885.64000000001</v>
      </c>
      <c r="AC74" t="s">
        <v>170</v>
      </c>
      <c r="AD74" s="51"/>
      <c r="AE74" s="51"/>
      <c r="AH74" s="2"/>
      <c r="AI74" s="2"/>
    </row>
    <row r="75" spans="1:51" x14ac:dyDescent="0.3">
      <c r="A75" t="s">
        <v>5</v>
      </c>
      <c r="B75" s="13">
        <v>2</v>
      </c>
      <c r="C75" s="5">
        <v>0</v>
      </c>
      <c r="D75" s="1">
        <v>134</v>
      </c>
      <c r="E75" s="27">
        <v>5754</v>
      </c>
      <c r="F75" s="1">
        <v>40</v>
      </c>
      <c r="G75" s="6">
        <v>22</v>
      </c>
      <c r="H75" s="1">
        <f>SUM(C75:G75)</f>
        <v>5950</v>
      </c>
      <c r="I75" s="10">
        <f>E75/H75</f>
        <v>0.96705882352941175</v>
      </c>
      <c r="J75" s="11">
        <f>1-I75</f>
        <v>3.2941176470588251E-2</v>
      </c>
      <c r="K75">
        <f>H75-E78</f>
        <v>80</v>
      </c>
      <c r="N75" s="10">
        <f>2*(E79*I75)/(E79+I75)</f>
        <v>0.97360406091370566</v>
      </c>
      <c r="O75" s="1"/>
      <c r="P75" s="1"/>
      <c r="R75" s="66"/>
      <c r="S75" s="66" t="s">
        <v>67</v>
      </c>
      <c r="T75" s="67">
        <f>$AA73*T67/100</f>
        <v>0</v>
      </c>
      <c r="U75" s="67">
        <f>$AA73*U67/100</f>
        <v>223.68483546229945</v>
      </c>
      <c r="V75" s="67">
        <f>$AA73*V67/100</f>
        <v>306.39320668333835</v>
      </c>
      <c r="W75" s="67">
        <f>$AA73*W67/100</f>
        <v>354.14882098000976</v>
      </c>
      <c r="X75" s="67">
        <f>$AA73*X67/100</f>
        <v>338.64604000457456</v>
      </c>
      <c r="AA75" s="1"/>
      <c r="AC75" t="s">
        <v>171</v>
      </c>
      <c r="AD75" s="51"/>
      <c r="AE75" s="51"/>
    </row>
    <row r="76" spans="1:51" x14ac:dyDescent="0.3">
      <c r="A76" t="s">
        <v>6</v>
      </c>
      <c r="B76" s="13">
        <v>3</v>
      </c>
      <c r="C76" s="5">
        <v>0</v>
      </c>
      <c r="D76" s="1">
        <v>1</v>
      </c>
      <c r="E76" s="1">
        <v>79</v>
      </c>
      <c r="F76" s="27">
        <v>2116</v>
      </c>
      <c r="G76" s="6">
        <v>97</v>
      </c>
      <c r="H76" s="1">
        <f>SUM(C76:G76)</f>
        <v>2293</v>
      </c>
      <c r="I76" s="10">
        <f>F76/H76</f>
        <v>0.92280854775403398</v>
      </c>
      <c r="J76" s="11">
        <f>1-I76</f>
        <v>7.7191452245966019E-2</v>
      </c>
      <c r="K76">
        <f>H76-F78</f>
        <v>-39</v>
      </c>
      <c r="N76" s="10">
        <f>2*(F79*I76)/(F79+I76)</f>
        <v>0.9150270270270271</v>
      </c>
      <c r="O76" s="1"/>
      <c r="P76" s="1"/>
      <c r="R76" t="s">
        <v>99</v>
      </c>
      <c r="S76" t="s">
        <v>28</v>
      </c>
      <c r="T76" s="57">
        <f>C205</f>
        <v>1.3277960261980086</v>
      </c>
      <c r="U76" s="57">
        <f t="shared" ref="U76:X79" si="9">D205</f>
        <v>5.5994616185699702</v>
      </c>
      <c r="V76" s="57">
        <f t="shared" si="9"/>
        <v>58.746067293061884</v>
      </c>
      <c r="W76" s="57">
        <f t="shared" si="9"/>
        <v>24.527774531887452</v>
      </c>
      <c r="X76" s="57">
        <f t="shared" si="9"/>
        <v>9.7989005302826904</v>
      </c>
      <c r="AC76" t="s">
        <v>172</v>
      </c>
      <c r="AD76" s="51"/>
      <c r="AE76" s="51"/>
      <c r="AH76" s="78"/>
      <c r="AI76" s="78"/>
    </row>
    <row r="77" spans="1:51" x14ac:dyDescent="0.3">
      <c r="A77" t="s">
        <v>7</v>
      </c>
      <c r="B77" s="13">
        <v>4</v>
      </c>
      <c r="C77" s="7">
        <v>0</v>
      </c>
      <c r="D77" s="8">
        <v>0</v>
      </c>
      <c r="E77" s="8">
        <v>26</v>
      </c>
      <c r="F77" s="8">
        <v>176</v>
      </c>
      <c r="G77" s="28">
        <v>549</v>
      </c>
      <c r="H77" s="1">
        <f>SUM(C77:G77)</f>
        <v>751</v>
      </c>
      <c r="I77" s="10">
        <f>G77/H77</f>
        <v>0.73102529960053264</v>
      </c>
      <c r="J77" s="11">
        <f>1-I77</f>
        <v>0.26897470039946736</v>
      </c>
      <c r="K77">
        <f>H77-G78</f>
        <v>81</v>
      </c>
      <c r="N77" s="10">
        <f>2*(G79*I77)/(G79+I77)</f>
        <v>0.77269528501055595</v>
      </c>
      <c r="O77" s="1"/>
      <c r="P77" s="1"/>
      <c r="S77" s="66" t="s">
        <v>39</v>
      </c>
      <c r="T77" s="67">
        <f>C206</f>
        <v>1.4835941306682664E-2</v>
      </c>
      <c r="U77" s="67">
        <f t="shared" si="9"/>
        <v>0.1411931737113245</v>
      </c>
      <c r="V77" s="67">
        <f t="shared" si="9"/>
        <v>0.20142747112578388</v>
      </c>
      <c r="W77" s="67">
        <f t="shared" si="9"/>
        <v>0.23139646659414173</v>
      </c>
      <c r="X77" s="67">
        <f t="shared" si="9"/>
        <v>0.2156494196230884</v>
      </c>
      <c r="AC77" t="s">
        <v>173</v>
      </c>
      <c r="AD77" s="51"/>
      <c r="AE77" s="51"/>
    </row>
    <row r="78" spans="1:51" ht="15.6" x14ac:dyDescent="0.35">
      <c r="B78" s="1" t="s">
        <v>19</v>
      </c>
      <c r="C78" s="1">
        <f>SUM(C73:C77)</f>
        <v>90</v>
      </c>
      <c r="D78" s="1">
        <f>SUM(D73:D77)</f>
        <v>323</v>
      </c>
      <c r="E78" s="1">
        <f>SUM(E73:E77)</f>
        <v>5870</v>
      </c>
      <c r="F78" s="1">
        <f>SUM(F73:F77)</f>
        <v>2332</v>
      </c>
      <c r="G78" s="1">
        <f>SUM(G73:G77)</f>
        <v>670</v>
      </c>
      <c r="H78" s="1">
        <f>SUM(H72:H77)</f>
        <v>9285</v>
      </c>
      <c r="I78" s="13" t="s">
        <v>12</v>
      </c>
      <c r="N78" s="16"/>
      <c r="O78" s="1"/>
      <c r="P78" s="1"/>
      <c r="S78" s="70" t="s">
        <v>30</v>
      </c>
      <c r="T78" s="64">
        <f>C207</f>
        <v>100</v>
      </c>
      <c r="U78" s="64">
        <f t="shared" si="9"/>
        <v>75.814146349527448</v>
      </c>
      <c r="V78" s="64">
        <f t="shared" si="9"/>
        <v>97.088640554219239</v>
      </c>
      <c r="W78" s="64">
        <f t="shared" si="9"/>
        <v>87.916313567612889</v>
      </c>
      <c r="X78" s="64">
        <f t="shared" si="9"/>
        <v>87.559901234403426</v>
      </c>
      <c r="AC78" t="s">
        <v>174</v>
      </c>
      <c r="AD78" s="51"/>
      <c r="AE78" s="51"/>
      <c r="AH78" s="78"/>
      <c r="AI78" s="78"/>
    </row>
    <row r="79" spans="1:51" x14ac:dyDescent="0.3">
      <c r="A79" s="1" t="s">
        <v>321</v>
      </c>
      <c r="B79" s="1" t="s">
        <v>2</v>
      </c>
      <c r="C79" s="10">
        <f>C73/C78</f>
        <v>1</v>
      </c>
      <c r="D79" s="10">
        <f>D74/D78</f>
        <v>0.58204334365325072</v>
      </c>
      <c r="E79" s="10">
        <f>E75/E78</f>
        <v>0.98023850085178876</v>
      </c>
      <c r="F79" s="10">
        <f>F76/F78</f>
        <v>0.90737564322469988</v>
      </c>
      <c r="G79" s="10">
        <f>G77/G78</f>
        <v>0.81940298507462683</v>
      </c>
      <c r="H79" s="10"/>
      <c r="I79" s="14">
        <f>(C73+D74+E75+F76+G77)/H78</f>
        <v>0.93667205169628431</v>
      </c>
      <c r="S79" s="66" t="s">
        <v>39</v>
      </c>
      <c r="T79" s="67">
        <f>C208</f>
        <v>0</v>
      </c>
      <c r="U79" s="67">
        <f t="shared" si="9"/>
        <v>3.8743092700771435</v>
      </c>
      <c r="V79" s="67">
        <f t="shared" si="9"/>
        <v>0.25424356034228479</v>
      </c>
      <c r="W79" s="67">
        <f t="shared" si="9"/>
        <v>0.95078419191688879</v>
      </c>
      <c r="X79" s="67">
        <f t="shared" si="9"/>
        <v>2.5453034350764705</v>
      </c>
      <c r="AC79" t="s">
        <v>175</v>
      </c>
      <c r="AD79" s="51"/>
      <c r="AE79" s="51"/>
    </row>
    <row r="80" spans="1:51" x14ac:dyDescent="0.3">
      <c r="B80" s="1" t="s">
        <v>14</v>
      </c>
      <c r="C80" s="11">
        <f>1-C79</f>
        <v>0</v>
      </c>
      <c r="D80" s="11">
        <f>1-D79</f>
        <v>0.41795665634674928</v>
      </c>
      <c r="E80" s="11">
        <f>1-E79</f>
        <v>1.9761499148211237E-2</v>
      </c>
      <c r="F80" s="11">
        <f>1-F79</f>
        <v>9.2624356775300121E-2</v>
      </c>
      <c r="G80" s="11">
        <f>1-G79</f>
        <v>0.18059701492537317</v>
      </c>
      <c r="S80" s="70" t="s">
        <v>31</v>
      </c>
      <c r="T80" s="64">
        <f>I200</f>
        <v>98.888888888888886</v>
      </c>
      <c r="U80" s="64">
        <f>I201</f>
        <v>93.03482587064677</v>
      </c>
      <c r="V80" s="64">
        <f>I202</f>
        <v>96.705882352941174</v>
      </c>
      <c r="W80" s="64">
        <f>I203</f>
        <v>91.495856955952902</v>
      </c>
      <c r="X80" s="64">
        <f>I204</f>
        <v>74.300932090545928</v>
      </c>
      <c r="AC80" t="s">
        <v>176</v>
      </c>
      <c r="AD80" s="51"/>
      <c r="AE80" s="51"/>
      <c r="AH80" s="78"/>
      <c r="AI80" s="78"/>
      <c r="AJ80" s="361" t="s">
        <v>430</v>
      </c>
      <c r="AK80" s="361"/>
      <c r="AL80" s="361"/>
      <c r="AM80" s="361"/>
      <c r="AN80" s="361"/>
      <c r="AO80" s="361"/>
      <c r="AP80" s="361"/>
      <c r="AQ80" s="361"/>
      <c r="AR80" s="361"/>
      <c r="AS80" s="361"/>
      <c r="AT80" s="361"/>
      <c r="AU80" s="361" t="s">
        <v>374</v>
      </c>
      <c r="AV80" s="361"/>
      <c r="AW80" s="361"/>
      <c r="AX80" s="361"/>
      <c r="AY80" s="361"/>
    </row>
    <row r="81" spans="1:51" x14ac:dyDescent="0.3">
      <c r="C81" s="2"/>
      <c r="S81" s="66" t="s">
        <v>39</v>
      </c>
      <c r="T81" s="67">
        <f>J200</f>
        <v>1.1111111111111127</v>
      </c>
      <c r="U81" s="67">
        <f>J201</f>
        <v>1.8000052253856256</v>
      </c>
      <c r="V81" s="67">
        <f>J202</f>
        <v>0.23140567972439743</v>
      </c>
      <c r="W81" s="67">
        <f>J203</f>
        <v>0.58265125499200532</v>
      </c>
      <c r="X81" s="67">
        <f>J204</f>
        <v>1.5956042531616561</v>
      </c>
      <c r="AC81" t="s">
        <v>177</v>
      </c>
      <c r="AD81" s="51"/>
      <c r="AE81" s="51"/>
      <c r="AJ81" t="s">
        <v>320</v>
      </c>
      <c r="AK81" t="s">
        <v>21</v>
      </c>
      <c r="AR81" s="1" t="s">
        <v>58</v>
      </c>
    </row>
    <row r="82" spans="1:51" ht="15.6" x14ac:dyDescent="0.35">
      <c r="A82" t="s">
        <v>322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56</v>
      </c>
      <c r="T82" s="65">
        <f>N189*100</f>
        <v>99.441340782122907</v>
      </c>
      <c r="U82" s="65">
        <f>N190*100</f>
        <v>71.374045801526705</v>
      </c>
      <c r="V82" s="65">
        <f>N191*100</f>
        <v>97.17132483323482</v>
      </c>
      <c r="W82" s="65">
        <f>N192*100</f>
        <v>91.257068290561108</v>
      </c>
      <c r="X82" s="65">
        <f>N193*100</f>
        <v>78.260869565217391</v>
      </c>
      <c r="Z82" s="46"/>
      <c r="AA82" s="46"/>
      <c r="AC82" t="s">
        <v>178</v>
      </c>
      <c r="AD82" s="51"/>
      <c r="AE82" s="51"/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56</v>
      </c>
    </row>
    <row r="83" spans="1:51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66</v>
      </c>
      <c r="S83" t="s">
        <v>9</v>
      </c>
      <c r="T83" s="30">
        <f>N200</f>
        <v>2093.1</v>
      </c>
      <c r="U83" s="30">
        <f>N201</f>
        <v>7113.07</v>
      </c>
      <c r="V83" s="30">
        <f>N202</f>
        <v>91939.14</v>
      </c>
      <c r="W83" s="30">
        <f>N203</f>
        <v>36739.42</v>
      </c>
      <c r="X83" s="30">
        <f>N204</f>
        <v>18000.91</v>
      </c>
      <c r="Z83" t="s">
        <v>36</v>
      </c>
      <c r="AA83" s="1">
        <f>N205</f>
        <v>155885.63999999998</v>
      </c>
      <c r="AC83" t="s">
        <v>179</v>
      </c>
      <c r="AD83" s="51"/>
      <c r="AE83" s="51"/>
      <c r="AJ83" t="s">
        <v>3</v>
      </c>
      <c r="AK83" s="13">
        <v>0</v>
      </c>
      <c r="AL83" s="26">
        <v>90</v>
      </c>
      <c r="AM83" s="3">
        <v>0</v>
      </c>
      <c r="AN83" s="3">
        <v>0</v>
      </c>
      <c r="AO83" s="3">
        <v>0</v>
      </c>
      <c r="AP83" s="4">
        <v>0</v>
      </c>
      <c r="AQ83" s="1">
        <f>SUM(AL83:AP83)</f>
        <v>90</v>
      </c>
      <c r="AR83" s="10">
        <f>AL83/AQ83</f>
        <v>1</v>
      </c>
      <c r="AS83" s="11">
        <f>1-AR83</f>
        <v>0</v>
      </c>
      <c r="AT83">
        <f>AQ83-AL88</f>
        <v>0</v>
      </c>
      <c r="AW83" s="10">
        <f>2*(AL89*AR83)/(AL89+AR83)</f>
        <v>1</v>
      </c>
    </row>
    <row r="84" spans="1:51" ht="15.6" x14ac:dyDescent="0.35">
      <c r="A84" t="s">
        <v>3</v>
      </c>
      <c r="B84" s="13">
        <v>0</v>
      </c>
      <c r="C84" s="29">
        <f>(C73/$L84)*$O84</f>
        <v>1.330757598968064</v>
      </c>
      <c r="D84" s="31">
        <f>(D73/$L84)*$O84</f>
        <v>0</v>
      </c>
      <c r="E84" s="31">
        <f>(E73/$L84)*$O84</f>
        <v>0</v>
      </c>
      <c r="F84" s="31">
        <f>(F73/$L84)*$O84</f>
        <v>0</v>
      </c>
      <c r="G84" s="32">
        <f>(G73/$L84)*$O84</f>
        <v>0</v>
      </c>
      <c r="H84" s="17">
        <f>SUM(C84:G84)</f>
        <v>1.330757598968064</v>
      </c>
      <c r="I84" s="17">
        <f>C84/H84*100</f>
        <v>100</v>
      </c>
      <c r="J84" s="17">
        <f>SQRT(I84*(100-I84)/(L84-1))</f>
        <v>0</v>
      </c>
      <c r="K84" s="18">
        <f>100-I84</f>
        <v>0</v>
      </c>
      <c r="L84" s="1">
        <f>H73</f>
        <v>90</v>
      </c>
      <c r="M84">
        <v>0</v>
      </c>
      <c r="N84" s="1">
        <v>2074.46</v>
      </c>
      <c r="O84" s="17">
        <f>N84/N89*100</f>
        <v>1.330757598968064</v>
      </c>
      <c r="P84" s="52">
        <f>((O84*O84*(I84/100)*(K84/100))/(L84-1))</f>
        <v>0</v>
      </c>
      <c r="R84" s="16" t="s">
        <v>323</v>
      </c>
      <c r="S84" t="s">
        <v>68</v>
      </c>
      <c r="T84" s="57">
        <f>$AA83*T76/100</f>
        <v>2069.8433333333332</v>
      </c>
      <c r="U84" s="57">
        <f>$AA83*U76/100</f>
        <v>8728.7565806621551</v>
      </c>
      <c r="V84" s="57">
        <f>$AA83*V76/100</f>
        <v>91576.682974620184</v>
      </c>
      <c r="W84" s="57">
        <f>$AA83*W76/100</f>
        <v>38235.278306789754</v>
      </c>
      <c r="X84" s="57">
        <f>$AA83*X76/100</f>
        <v>15275.078804594565</v>
      </c>
      <c r="Z84" t="s">
        <v>36</v>
      </c>
      <c r="AA84" s="25">
        <f>SUM(T84:X84)</f>
        <v>155885.63999999998</v>
      </c>
      <c r="AC84" t="s">
        <v>180</v>
      </c>
      <c r="AD84" s="51"/>
      <c r="AE84" s="51"/>
      <c r="AH84" s="78"/>
      <c r="AI84" s="78"/>
      <c r="AJ84" t="s">
        <v>4</v>
      </c>
      <c r="AK84" s="13">
        <v>1</v>
      </c>
      <c r="AL84" s="5">
        <v>0</v>
      </c>
      <c r="AM84" s="27">
        <v>187</v>
      </c>
      <c r="AN84" s="1">
        <v>12</v>
      </c>
      <c r="AO84" s="1">
        <v>0</v>
      </c>
      <c r="AP84" s="6">
        <v>2</v>
      </c>
      <c r="AQ84" s="1">
        <f>SUM(AL84:AP84)</f>
        <v>201</v>
      </c>
      <c r="AR84" s="10">
        <f>AM84/AQ84</f>
        <v>0.93034825870646765</v>
      </c>
      <c r="AS84" s="11">
        <f>1-AR84</f>
        <v>6.9651741293532354E-2</v>
      </c>
      <c r="AT84">
        <f>AQ84-AM88</f>
        <v>-122</v>
      </c>
      <c r="AW84" s="10">
        <f>2*(AM89*AR84)/(AM89+AR84)</f>
        <v>0.71374045801526709</v>
      </c>
    </row>
    <row r="85" spans="1:51" x14ac:dyDescent="0.3">
      <c r="A85" t="s">
        <v>4</v>
      </c>
      <c r="B85" s="13">
        <v>1</v>
      </c>
      <c r="C85" s="33">
        <f t="shared" ref="C85:G88" si="10">(C74/$L85)*$O85</f>
        <v>0</v>
      </c>
      <c r="D85" s="34">
        <f t="shared" si="10"/>
        <v>4.4475153779047716</v>
      </c>
      <c r="E85" s="19">
        <f t="shared" si="10"/>
        <v>0.2602269636008111</v>
      </c>
      <c r="F85" s="18">
        <f t="shared" si="10"/>
        <v>0</v>
      </c>
      <c r="G85" s="20">
        <f t="shared" si="10"/>
        <v>4.7313993381965659E-2</v>
      </c>
      <c r="H85" s="17">
        <f>SUM(C85:G85)</f>
        <v>4.7550563348875485</v>
      </c>
      <c r="I85" s="17">
        <f>D85/H85*100</f>
        <v>93.53233830845771</v>
      </c>
      <c r="J85" s="17">
        <f>SQRT(I85*(100-I85)/(L85-1))</f>
        <v>1.7391600291491083</v>
      </c>
      <c r="K85" s="18">
        <f>100-I85</f>
        <v>6.4676616915422898</v>
      </c>
      <c r="L85" s="1">
        <f>H74</f>
        <v>201</v>
      </c>
      <c r="M85">
        <v>1</v>
      </c>
      <c r="N85" s="1">
        <v>7412.45</v>
      </c>
      <c r="O85" s="17">
        <f>N85/N89*100</f>
        <v>4.7550563348875485</v>
      </c>
      <c r="P85" s="52">
        <f>((O85*O85*(I85/100)*(K85/100))/(L85-1))</f>
        <v>6.8389656775822479E-3</v>
      </c>
      <c r="R85" s="66"/>
      <c r="S85" s="66" t="s">
        <v>67</v>
      </c>
      <c r="T85" s="67">
        <f>$AA83*T77/100</f>
        <v>23.127102055946629</v>
      </c>
      <c r="U85" s="67">
        <f>$AA83*U77/100</f>
        <v>220.09988247620993</v>
      </c>
      <c r="V85" s="67">
        <f>$AA83*V77/100</f>
        <v>313.99650250024337</v>
      </c>
      <c r="W85" s="67">
        <f>$AA83*W77/100</f>
        <v>360.71386288766399</v>
      </c>
      <c r="X85" s="67">
        <f>$AA83*X77/100</f>
        <v>336.16647793573691</v>
      </c>
      <c r="AA85" s="1"/>
      <c r="AC85" t="s">
        <v>181</v>
      </c>
      <c r="AD85" s="51"/>
      <c r="AE85" s="51"/>
      <c r="AJ85" t="s">
        <v>5</v>
      </c>
      <c r="AK85" s="13">
        <v>2</v>
      </c>
      <c r="AL85" s="5">
        <v>0</v>
      </c>
      <c r="AM85" s="1">
        <v>135</v>
      </c>
      <c r="AN85" s="27">
        <v>5753</v>
      </c>
      <c r="AO85" s="1">
        <v>42</v>
      </c>
      <c r="AP85" s="6">
        <v>20</v>
      </c>
      <c r="AQ85" s="1">
        <f>SUM(AL85:AP85)</f>
        <v>5950</v>
      </c>
      <c r="AR85" s="10">
        <f>AN85/AQ85</f>
        <v>0.96689075630252097</v>
      </c>
      <c r="AS85" s="11">
        <f>1-AR85</f>
        <v>3.3109243697479029E-2</v>
      </c>
      <c r="AT85">
        <f>AQ85-AN88</f>
        <v>77</v>
      </c>
      <c r="AW85" s="10">
        <f>2*(AN89*AR85)/(AN89+AR85)</f>
        <v>0.97318785418252562</v>
      </c>
    </row>
    <row r="86" spans="1:51" x14ac:dyDescent="0.3">
      <c r="A86" t="s">
        <v>5</v>
      </c>
      <c r="B86" s="13">
        <v>2</v>
      </c>
      <c r="C86" s="33">
        <f t="shared" si="10"/>
        <v>0</v>
      </c>
      <c r="D86" s="19">
        <f t="shared" si="10"/>
        <v>1.3240489792453518</v>
      </c>
      <c r="E86" s="34">
        <f t="shared" si="10"/>
        <v>56.855058407296674</v>
      </c>
      <c r="F86" s="19">
        <f t="shared" si="10"/>
        <v>0.39523850126726923</v>
      </c>
      <c r="G86" s="20">
        <f t="shared" si="10"/>
        <v>0.21738117569699805</v>
      </c>
      <c r="H86" s="17">
        <f>SUM(C86:G86)</f>
        <v>58.791727063506301</v>
      </c>
      <c r="I86" s="17">
        <f>E86/H86*100</f>
        <v>96.70588235294116</v>
      </c>
      <c r="J86" s="17">
        <f>SQRT(I86*(100-I86)/(L86-1))</f>
        <v>0.23140567972439793</v>
      </c>
      <c r="K86" s="18">
        <f>100-I86</f>
        <v>3.2941176470588402</v>
      </c>
      <c r="L86" s="1">
        <f>H75</f>
        <v>5950</v>
      </c>
      <c r="M86">
        <v>2</v>
      </c>
      <c r="N86" s="1">
        <v>91647.86</v>
      </c>
      <c r="O86" s="17">
        <f>N86/N89*100</f>
        <v>58.791727063506293</v>
      </c>
      <c r="P86" s="52">
        <f>((O86*O86*(I86/100)*(K86/100))/(L86-1))</f>
        <v>1.8508893858527352E-2</v>
      </c>
      <c r="R86" t="s">
        <v>100</v>
      </c>
      <c r="S86" s="70" t="s">
        <v>28</v>
      </c>
      <c r="T86" s="64">
        <f>C234</f>
        <v>1.3461278408966983</v>
      </c>
      <c r="U86" s="64">
        <f t="shared" ref="U86:X89" si="11">D234</f>
        <v>5.9263500980753836</v>
      </c>
      <c r="V86" s="64">
        <f t="shared" si="11"/>
        <v>57.986222692925139</v>
      </c>
      <c r="W86" s="64">
        <f t="shared" si="11"/>
        <v>24.907673869954458</v>
      </c>
      <c r="X86" s="64">
        <f t="shared" si="11"/>
        <v>9.8336254981483116</v>
      </c>
      <c r="AA86" s="12"/>
      <c r="AC86" t="s">
        <v>182</v>
      </c>
      <c r="AD86" s="51"/>
      <c r="AE86" s="51"/>
      <c r="AH86" s="78"/>
      <c r="AI86" s="78"/>
      <c r="AJ86" t="s">
        <v>6</v>
      </c>
      <c r="AK86" s="13">
        <v>3</v>
      </c>
      <c r="AL86" s="5">
        <v>0</v>
      </c>
      <c r="AM86" s="1">
        <v>1</v>
      </c>
      <c r="AN86" s="1">
        <v>85</v>
      </c>
      <c r="AO86" s="27">
        <v>2115</v>
      </c>
      <c r="AP86" s="6">
        <v>92</v>
      </c>
      <c r="AQ86" s="1">
        <f>SUM(AL86:AP86)</f>
        <v>2293</v>
      </c>
      <c r="AR86" s="10">
        <f>AO86/AQ86</f>
        <v>0.92237243785433931</v>
      </c>
      <c r="AS86" s="11">
        <f>1-AR86</f>
        <v>7.7627562145660689E-2</v>
      </c>
      <c r="AT86">
        <f>AQ86-AO88</f>
        <v>-38</v>
      </c>
      <c r="AW86" s="10">
        <f>2*(AO89*AR86)/(AO89+AR86)</f>
        <v>0.91479238754325254</v>
      </c>
    </row>
    <row r="87" spans="1:51" x14ac:dyDescent="0.3">
      <c r="A87" t="s">
        <v>6</v>
      </c>
      <c r="B87" s="13">
        <v>3</v>
      </c>
      <c r="C87" s="33">
        <f t="shared" si="10"/>
        <v>0</v>
      </c>
      <c r="D87" s="19">
        <f t="shared" si="10"/>
        <v>1.0339034013315179E-2</v>
      </c>
      <c r="E87" s="19">
        <f t="shared" si="10"/>
        <v>0.81678368705189908</v>
      </c>
      <c r="F87" s="34">
        <f t="shared" si="10"/>
        <v>21.877395972174916</v>
      </c>
      <c r="G87" s="20">
        <f t="shared" si="10"/>
        <v>1.0028862992915721</v>
      </c>
      <c r="H87" s="17">
        <f>SUM(C87:G87)</f>
        <v>23.707404992531703</v>
      </c>
      <c r="I87" s="17">
        <f>F87/H87*100</f>
        <v>92.280854775403398</v>
      </c>
      <c r="J87" s="17">
        <f>SQRT(I87*(100-I87)/(L87-1))</f>
        <v>0.55748489342466034</v>
      </c>
      <c r="K87" s="18">
        <f>100-I87</f>
        <v>7.7191452245966019</v>
      </c>
      <c r="L87" s="1">
        <f>H76</f>
        <v>2293</v>
      </c>
      <c r="M87">
        <v>3</v>
      </c>
      <c r="N87" s="1">
        <v>36956.44</v>
      </c>
      <c r="O87" s="17">
        <f>N87/N89*100</f>
        <v>23.707404992531703</v>
      </c>
      <c r="P87" s="52">
        <f>((O87*O87*(I87/100)*(K87/100))/(L87-1))</f>
        <v>1.7467640476002331E-2</v>
      </c>
      <c r="S87" s="66" t="s">
        <v>39</v>
      </c>
      <c r="T87" s="67">
        <f>C235</f>
        <v>0</v>
      </c>
      <c r="U87" s="67">
        <f t="shared" si="11"/>
        <v>0.14029808057817753</v>
      </c>
      <c r="V87" s="67">
        <f t="shared" si="11"/>
        <v>0.19311875605194553</v>
      </c>
      <c r="W87" s="67">
        <f t="shared" si="11"/>
        <v>0.2237470267745281</v>
      </c>
      <c r="X87" s="67">
        <f t="shared" si="11"/>
        <v>0.21488545715181304</v>
      </c>
      <c r="AC87" t="s">
        <v>183</v>
      </c>
      <c r="AD87" s="51"/>
      <c r="AE87" s="51"/>
      <c r="AJ87" t="s">
        <v>7</v>
      </c>
      <c r="AK87" s="13">
        <v>4</v>
      </c>
      <c r="AL87" s="7">
        <v>0</v>
      </c>
      <c r="AM87" s="8">
        <v>0</v>
      </c>
      <c r="AN87" s="8">
        <v>23</v>
      </c>
      <c r="AO87" s="8">
        <v>174</v>
      </c>
      <c r="AP87" s="28">
        <v>554</v>
      </c>
      <c r="AQ87" s="1">
        <f>SUM(AL87:AP87)</f>
        <v>751</v>
      </c>
      <c r="AR87" s="10">
        <f>AP87/AQ87</f>
        <v>0.73768308921438086</v>
      </c>
      <c r="AS87" s="11">
        <f>1-AR87</f>
        <v>0.26231691078561914</v>
      </c>
      <c r="AT87">
        <f>AQ87-AP88</f>
        <v>83</v>
      </c>
      <c r="AW87" s="10">
        <f>2*(AP89*AR87)/(AP89+AR87)</f>
        <v>0.78083157152924587</v>
      </c>
    </row>
    <row r="88" spans="1:51" ht="15.6" x14ac:dyDescent="0.35">
      <c r="A88" t="s">
        <v>7</v>
      </c>
      <c r="B88" s="13">
        <v>4</v>
      </c>
      <c r="C88" s="35">
        <f t="shared" si="10"/>
        <v>0</v>
      </c>
      <c r="D88" s="36">
        <f t="shared" si="10"/>
        <v>0</v>
      </c>
      <c r="E88" s="21">
        <f t="shared" si="10"/>
        <v>0.39519494575601316</v>
      </c>
      <c r="F88" s="21">
        <f t="shared" si="10"/>
        <v>2.6751657866560894</v>
      </c>
      <c r="G88" s="37">
        <f t="shared" si="10"/>
        <v>8.3446932776942795</v>
      </c>
      <c r="H88" s="17">
        <f>SUM(C88:G88)</f>
        <v>11.415054010106381</v>
      </c>
      <c r="I88" s="17">
        <f>G88/H88*100</f>
        <v>73.102529960053275</v>
      </c>
      <c r="J88" s="17">
        <f>SQRT(I88*(100-I88)/(L88-1))</f>
        <v>1.6191656738146927</v>
      </c>
      <c r="K88" s="18">
        <f>100-I88</f>
        <v>26.897470039946725</v>
      </c>
      <c r="L88" s="1">
        <f>H77</f>
        <v>751</v>
      </c>
      <c r="M88">
        <v>4</v>
      </c>
      <c r="N88" s="1">
        <v>17794.43</v>
      </c>
      <c r="O88" s="17">
        <f>N88/N89*100</f>
        <v>11.415054010106381</v>
      </c>
      <c r="P88" s="52">
        <f>((O88*O88*(I88/100)*(K88/100))/(L88-1))</f>
        <v>3.4161624751807666E-2</v>
      </c>
      <c r="S88" t="s">
        <v>30</v>
      </c>
      <c r="T88" s="57">
        <f>C236</f>
        <v>100</v>
      </c>
      <c r="U88" s="57">
        <f t="shared" si="11"/>
        <v>77.056644006492576</v>
      </c>
      <c r="V88" s="57">
        <f t="shared" si="11"/>
        <v>97.628085163154438</v>
      </c>
      <c r="W88" s="57">
        <f t="shared" si="11"/>
        <v>88.488585329707902</v>
      </c>
      <c r="X88" s="57">
        <f t="shared" si="11"/>
        <v>87.255723061204819</v>
      </c>
      <c r="AC88" t="s">
        <v>184</v>
      </c>
      <c r="AD88" s="51"/>
      <c r="AE88" s="51"/>
      <c r="AH88" s="78"/>
      <c r="AI88" s="78"/>
      <c r="AK88" s="1" t="s">
        <v>19</v>
      </c>
      <c r="AL88" s="1">
        <f>SUM(AL83:AL87)</f>
        <v>90</v>
      </c>
      <c r="AM88" s="1">
        <f>SUM(AM83:AM87)</f>
        <v>323</v>
      </c>
      <c r="AN88" s="1">
        <f>SUM(AN83:AN87)</f>
        <v>5873</v>
      </c>
      <c r="AO88" s="1">
        <f>SUM(AO83:AO87)</f>
        <v>2331</v>
      </c>
      <c r="AP88" s="1">
        <f>SUM(AP83:AP87)</f>
        <v>668</v>
      </c>
      <c r="AQ88" s="1">
        <f>SUM(AQ82:AQ87)</f>
        <v>9285</v>
      </c>
      <c r="AR88" s="13" t="s">
        <v>12</v>
      </c>
    </row>
    <row r="89" spans="1:51" x14ac:dyDescent="0.3">
      <c r="B89" t="s">
        <v>28</v>
      </c>
      <c r="C89" s="17">
        <f>SUM(C84:C88)</f>
        <v>1.330757598968064</v>
      </c>
      <c r="D89" s="17">
        <f>SUM(D84:D88)</f>
        <v>5.7819033911634383</v>
      </c>
      <c r="E89" s="17">
        <f>SUM(E84:E88)</f>
        <v>58.327264003705402</v>
      </c>
      <c r="F89" s="17">
        <f>SUM(F84:F88)</f>
        <v>24.947800260098276</v>
      </c>
      <c r="G89" s="17">
        <f>SUM(G84:G88)</f>
        <v>9.6122747460648164</v>
      </c>
      <c r="H89" s="1">
        <f>SUM(H83:H88)</f>
        <v>100</v>
      </c>
      <c r="I89" s="13" t="s">
        <v>24</v>
      </c>
      <c r="J89" s="12" t="s">
        <v>29</v>
      </c>
      <c r="N89" s="1">
        <f>SUM(N84:N88)</f>
        <v>155885.64000000001</v>
      </c>
      <c r="O89" s="17">
        <f>SUM(O84:O88)</f>
        <v>100</v>
      </c>
      <c r="S89" s="66" t="s">
        <v>39</v>
      </c>
      <c r="T89" s="67">
        <f>C237</f>
        <v>0</v>
      </c>
      <c r="U89" s="67">
        <f t="shared" si="11"/>
        <v>3.4838176853249712</v>
      </c>
      <c r="V89" s="67">
        <f t="shared" si="11"/>
        <v>0.23632678256876347</v>
      </c>
      <c r="W89" s="67">
        <f t="shared" si="11"/>
        <v>0.88200605924101483</v>
      </c>
      <c r="X89" s="67">
        <f t="shared" si="11"/>
        <v>2.562191722391558</v>
      </c>
      <c r="AC89" t="s">
        <v>185</v>
      </c>
      <c r="AD89" s="51"/>
      <c r="AE89" s="51"/>
      <c r="AJ89" s="1" t="s">
        <v>321</v>
      </c>
      <c r="AK89" s="1" t="s">
        <v>2</v>
      </c>
      <c r="AL89" s="10">
        <f>AL83/AL88</f>
        <v>1</v>
      </c>
      <c r="AM89" s="10">
        <f>AM84/AM88</f>
        <v>0.57894736842105265</v>
      </c>
      <c r="AN89" s="10">
        <f>AN85/AN88</f>
        <v>0.97956751234462791</v>
      </c>
      <c r="AO89" s="10">
        <f>AO86/AO88</f>
        <v>0.9073359073359073</v>
      </c>
      <c r="AP89" s="10">
        <f>AP87/AP88</f>
        <v>0.8293413173652695</v>
      </c>
      <c r="AQ89" s="10"/>
      <c r="AR89" s="14">
        <f>(AL83+AM84+AN85+AO86+AP87)/AQ88</f>
        <v>0.93688745288099085</v>
      </c>
    </row>
    <row r="90" spans="1:51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0</v>
      </c>
      <c r="D90" s="18">
        <f>SQRT(SUM((O84*O84*(D84/O84)*(1-D84/O84))/L84,(O85*O85*(D85/O85)*(1-D85/O85))/L85,(O86*O86*(D86/O86)*(1-D86/O86))/L86,(O87*O87*(D87/O87)*(1-D87/O87))/L87,(O88*O88*(D88/O88)*(1-D88/O88))/L88))</f>
        <v>0.14035679078509358</v>
      </c>
      <c r="E90" s="18">
        <f>SQRT(SUM((O84*O84*(E84/O84)*(1-E84/O84))/L84,(O85*O85*(E85/O85)*(1-E85/O85))/L85,(O86*O86*(E86/O86)*(1-E86/O86))/L86,(O87*O87*(E87/O87)*(1-E87/O87))/L87,(O88*O88*(E88/O88)*(1-E88/O88))/L88))</f>
        <v>0.19564713260415567</v>
      </c>
      <c r="F90" s="18">
        <f>SQRT(SUM((O84*O84*(F84/O84)*(1-F84/O84))/L84,(O85*O85*(F85/O85)*(1-F85/O85))/L85,(O86*O86*(F86/O86)*(1-F86/O86))/L86,(O87*O87*(F87/O87)*(1-F87/O87))/L87,(O88*O88*(F88/O88)*(1-F88/O88))/L88))</f>
        <v>0.22906722770507937</v>
      </c>
      <c r="G90" s="18">
        <f>SQRT(SUM((O84*O84*(G84/O84)*(1-G84/O84))/L84,(O85*O85*(G85/O85)*(1-G85/O85))/L85,(O86*O86*(G86/O86)*(1-G86/O86))/L86,(O87*O87*(G87/O87)*(1-G87/O87))/L87,(O88*O88*(G88/O88)*(1-G88/O88))/L88))</f>
        <v>0.21747308803161902</v>
      </c>
      <c r="H90" s="1"/>
      <c r="I90" s="14">
        <f>(C84+D85+E86+F87+G88)/H89</f>
        <v>0.9285542063403871</v>
      </c>
      <c r="J90" s="53">
        <f>SQRT(SUM(P84:P88))/100</f>
        <v>2.774475171341773E-3</v>
      </c>
      <c r="M90" s="1"/>
      <c r="N90" s="9"/>
      <c r="S90" t="s">
        <v>31</v>
      </c>
      <c r="T90" s="57">
        <f>I229</f>
        <v>100</v>
      </c>
      <c r="U90" s="57">
        <f>I230</f>
        <v>94.029850746268664</v>
      </c>
      <c r="V90" s="57">
        <f>I231</f>
        <v>96.638655462184886</v>
      </c>
      <c r="W90" s="57">
        <f>I232</f>
        <v>92.71696467509814</v>
      </c>
      <c r="X90" s="57">
        <f>I233</f>
        <v>74.966711051930758</v>
      </c>
      <c r="AC90" t="s">
        <v>186</v>
      </c>
      <c r="AD90" s="51"/>
      <c r="AE90" s="51"/>
      <c r="AH90" s="78"/>
      <c r="AI90" s="78"/>
      <c r="AK90" s="1" t="s">
        <v>14</v>
      </c>
      <c r="AL90" s="11">
        <f>1-AL89</f>
        <v>0</v>
      </c>
      <c r="AM90" s="11">
        <f>1-AM89</f>
        <v>0.42105263157894735</v>
      </c>
      <c r="AN90" s="11">
        <f>1-AN89</f>
        <v>2.0432487655372089E-2</v>
      </c>
      <c r="AO90" s="11">
        <f>1-AO89</f>
        <v>9.2664092664092701E-2</v>
      </c>
      <c r="AP90" s="11">
        <f>1-AP89</f>
        <v>0.1706586826347305</v>
      </c>
    </row>
    <row r="91" spans="1:51" x14ac:dyDescent="0.3">
      <c r="B91" s="1" t="s">
        <v>30</v>
      </c>
      <c r="C91" s="17">
        <f>C84/C89*100</f>
        <v>100</v>
      </c>
      <c r="D91" s="17">
        <f>D85/D89*100</f>
        <v>76.921302156344737</v>
      </c>
      <c r="E91" s="17">
        <f>E86/E89*100</f>
        <v>97.475956361822142</v>
      </c>
      <c r="F91" s="17">
        <f>F87/F89*100</f>
        <v>87.692685303264227</v>
      </c>
      <c r="G91" s="17">
        <f>G88/G89*100</f>
        <v>86.812887668556556</v>
      </c>
      <c r="H91" s="1"/>
      <c r="S91" s="66" t="s">
        <v>39</v>
      </c>
      <c r="T91" s="67">
        <f>J229</f>
        <v>0</v>
      </c>
      <c r="U91" s="67">
        <f>J230</f>
        <v>1.6753689791525102</v>
      </c>
      <c r="V91" s="67">
        <f>J231</f>
        <v>0.2336737724938836</v>
      </c>
      <c r="W91" s="67">
        <f>J232</f>
        <v>0.54278583358992194</v>
      </c>
      <c r="X91" s="67">
        <f>J233</f>
        <v>1.581840000020819</v>
      </c>
      <c r="AC91" t="s">
        <v>187</v>
      </c>
      <c r="AD91" s="51"/>
      <c r="AE91" s="51"/>
      <c r="AL91" s="2"/>
    </row>
    <row r="92" spans="1:51" ht="15.6" x14ac:dyDescent="0.35">
      <c r="B92" s="16" t="s">
        <v>39</v>
      </c>
      <c r="C92" s="18">
        <f>SQRT((C95+C96)/(C89*C89))</f>
        <v>0</v>
      </c>
      <c r="D92" s="18">
        <f>SQRT((D95+D96)/(D89*D89))</f>
        <v>3.6302634188940242</v>
      </c>
      <c r="E92" s="18">
        <f>SQRT((E95+E96)/(E89*E89))</f>
        <v>0.24248633607417569</v>
      </c>
      <c r="F92" s="18">
        <f>SQRT((F95+F96)/(F89*F89))</f>
        <v>0.92639942898911753</v>
      </c>
      <c r="G92" s="18">
        <f>SQRT((G95+G96)/(G89*G89))</f>
        <v>2.7395959084465495</v>
      </c>
      <c r="H92" s="1"/>
      <c r="S92" s="66" t="s">
        <v>56</v>
      </c>
      <c r="T92" s="67">
        <f>N218*100</f>
        <v>100</v>
      </c>
      <c r="U92" s="67">
        <f>N219*100</f>
        <v>71.590909090909093</v>
      </c>
      <c r="V92" s="67">
        <f>N220*100</f>
        <v>97.391598915989164</v>
      </c>
      <c r="W92" s="67">
        <f>N221*100</f>
        <v>91.994807442665504</v>
      </c>
      <c r="X92" s="67">
        <f>N222*100</f>
        <v>78.63128491620111</v>
      </c>
      <c r="AC92" t="s">
        <v>188</v>
      </c>
      <c r="AD92" s="51"/>
      <c r="AE92" s="51"/>
      <c r="AH92" s="78"/>
      <c r="AI92" s="78"/>
      <c r="AJ92" t="s">
        <v>322</v>
      </c>
      <c r="AK92" s="15" t="s">
        <v>23</v>
      </c>
      <c r="AW92" s="12" t="s">
        <v>17</v>
      </c>
      <c r="AX92" s="1" t="s">
        <v>27</v>
      </c>
      <c r="AY92" s="1" t="s">
        <v>33</v>
      </c>
    </row>
    <row r="93" spans="1:51" ht="15.6" x14ac:dyDescent="0.35">
      <c r="B93" s="1" t="s">
        <v>37</v>
      </c>
      <c r="C93" s="18">
        <f>100-C91</f>
        <v>0</v>
      </c>
      <c r="D93" s="18">
        <f>100-D91</f>
        <v>23.078697843655263</v>
      </c>
      <c r="E93" s="18">
        <f>100-E91</f>
        <v>2.5240436381778579</v>
      </c>
      <c r="F93" s="18">
        <f>100-F91</f>
        <v>12.307314696735773</v>
      </c>
      <c r="G93" s="18">
        <f>100-G91</f>
        <v>13.187112331443444</v>
      </c>
      <c r="R93" s="16" t="s">
        <v>66</v>
      </c>
      <c r="S93" t="s">
        <v>9</v>
      </c>
      <c r="T93" s="30">
        <f>N229</f>
        <v>2098.42</v>
      </c>
      <c r="U93" s="30">
        <f>N230</f>
        <v>7570.73</v>
      </c>
      <c r="V93" s="30">
        <f>N231</f>
        <v>91317.67</v>
      </c>
      <c r="W93" s="30">
        <f>N232</f>
        <v>37056.75</v>
      </c>
      <c r="X93" s="30">
        <f>N233</f>
        <v>17842.07</v>
      </c>
      <c r="Z93" t="s">
        <v>36</v>
      </c>
      <c r="AA93" s="1">
        <f>N234</f>
        <v>155885.64000000001</v>
      </c>
      <c r="AC93" t="s">
        <v>189</v>
      </c>
      <c r="AD93" s="51"/>
      <c r="AE93" s="51"/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</row>
    <row r="94" spans="1:51" ht="15.6" x14ac:dyDescent="0.35">
      <c r="B94" s="1" t="s">
        <v>25</v>
      </c>
      <c r="C94" s="1">
        <f>C78</f>
        <v>90</v>
      </c>
      <c r="D94" s="1">
        <f>D78</f>
        <v>323</v>
      </c>
      <c r="E94" s="1">
        <f>E78</f>
        <v>5870</v>
      </c>
      <c r="F94" s="1">
        <f>F78</f>
        <v>2332</v>
      </c>
      <c r="G94" s="1">
        <f>G78</f>
        <v>670</v>
      </c>
      <c r="R94" s="16" t="s">
        <v>323</v>
      </c>
      <c r="S94" t="s">
        <v>68</v>
      </c>
      <c r="T94" s="57">
        <f>$AA93*T86/100</f>
        <v>2098.42</v>
      </c>
      <c r="U94" s="57">
        <f>$AA93*U86/100</f>
        <v>9238.3287790254399</v>
      </c>
      <c r="V94" s="57">
        <f>$AA93*V86/100</f>
        <v>90392.194356691602</v>
      </c>
      <c r="W94" s="57">
        <f>$AA93*W86/100</f>
        <v>38827.486821291277</v>
      </c>
      <c r="X94" s="57">
        <f>$AA93*X86/100</f>
        <v>15329.210042991685</v>
      </c>
      <c r="Z94" t="s">
        <v>36</v>
      </c>
      <c r="AA94" s="25">
        <f>SUM(T94:X94)</f>
        <v>155885.63999999998</v>
      </c>
      <c r="AC94" t="s">
        <v>190</v>
      </c>
      <c r="AD94" s="51"/>
      <c r="AE94" s="51"/>
      <c r="AH94" s="78"/>
      <c r="AI94" s="78"/>
      <c r="AJ94" t="s">
        <v>3</v>
      </c>
      <c r="AK94" s="13">
        <v>0</v>
      </c>
      <c r="AL94" s="29">
        <f>(AL83/$AU94)*$AX94</f>
        <v>1.350169265109987</v>
      </c>
      <c r="AM94" s="31">
        <f t="shared" ref="AM94:AO95" si="12">(AM83/$AU94)*$AX94</f>
        <v>0</v>
      </c>
      <c r="AN94" s="31">
        <f t="shared" si="12"/>
        <v>0</v>
      </c>
      <c r="AO94" s="31">
        <f t="shared" si="12"/>
        <v>0</v>
      </c>
      <c r="AP94" s="32">
        <f>(AP83/$AU94)*$AX94</f>
        <v>0</v>
      </c>
      <c r="AQ94" s="17">
        <f>SUM(AL94:AP94)</f>
        <v>1.350169265109987</v>
      </c>
      <c r="AR94" s="17">
        <f>AL94/AQ94*100</f>
        <v>100</v>
      </c>
      <c r="AS94" s="17">
        <f>SQRT(AR94*(100-AR94)/(AU94-1))</f>
        <v>0</v>
      </c>
      <c r="AT94" s="18">
        <f>100-AR94</f>
        <v>0</v>
      </c>
      <c r="AU94" s="1">
        <f>AQ83</f>
        <v>90</v>
      </c>
      <c r="AV94">
        <v>0</v>
      </c>
      <c r="AW94" s="1">
        <v>2104.7199999999998</v>
      </c>
      <c r="AX94" s="17">
        <f>AW94/AW99*100</f>
        <v>1.350169265109987</v>
      </c>
      <c r="AY94" s="52">
        <f>((AX94*AX94*(AR94/100)*(AT94/100))/(AU94-1))</f>
        <v>0</v>
      </c>
    </row>
    <row r="95" spans="1:51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364.26129447294363</v>
      </c>
      <c r="E95" s="18">
        <f>(O86*O86*(100-E91)*(100-E91)*(I86)*(100-I86))/((L86-1)*100)</f>
        <v>11.791639227827012</v>
      </c>
      <c r="F95" s="18">
        <f>(O87*O87*(100-F91)*(100-F91)*(I87)*(100-I87))/((L87-1)*100)</f>
        <v>264.58234163389773</v>
      </c>
      <c r="G95" s="18">
        <f>(O88*O88*(100-G91)*(100-G91)*(I88)*(100-I88))/((L88-1)*100)</f>
        <v>594.0704209122689</v>
      </c>
      <c r="R95" s="66"/>
      <c r="S95" s="66" t="s">
        <v>67</v>
      </c>
      <c r="T95" s="67">
        <f>$AA93*T87/100</f>
        <v>0</v>
      </c>
      <c r="U95" s="67">
        <f>$AA93*U87/100</f>
        <v>218.70456081700777</v>
      </c>
      <c r="V95" s="67">
        <f>$AA93*V87/100</f>
        <v>301.04440883161408</v>
      </c>
      <c r="W95" s="67">
        <f>$AA93*W87/100</f>
        <v>348.78948466844452</v>
      </c>
      <c r="X95" s="67">
        <f>$AA93*X87/100</f>
        <v>334.97557014802959</v>
      </c>
      <c r="AA95" s="1"/>
      <c r="AC95" t="s">
        <v>191</v>
      </c>
      <c r="AD95" s="51"/>
      <c r="AE95" s="51"/>
      <c r="AJ95" t="s">
        <v>4</v>
      </c>
      <c r="AK95" s="13">
        <v>1</v>
      </c>
      <c r="AL95" s="33">
        <f t="shared" ref="AL95:AO98" si="13">(AL84/$AU95)*$AX95</f>
        <v>0</v>
      </c>
      <c r="AM95" s="34">
        <f>(AM84/$AU95)*$AX95</f>
        <v>4.3134297757896745</v>
      </c>
      <c r="AN95" s="19">
        <f t="shared" si="12"/>
        <v>0.27679763267099516</v>
      </c>
      <c r="AO95" s="18">
        <f t="shared" si="12"/>
        <v>0</v>
      </c>
      <c r="AP95" s="20">
        <f>(AP84/$AU95)*$AX95</f>
        <v>4.6132938778499194E-2</v>
      </c>
      <c r="AQ95" s="17">
        <f>SUM(AL95:AP95)</f>
        <v>4.6363603472391688</v>
      </c>
      <c r="AR95" s="17">
        <f>AM95/AQ95*100</f>
        <v>93.03482587064677</v>
      </c>
      <c r="AS95" s="17">
        <f>SQRT(AR95*(100-AR95)/(AU95-1))</f>
        <v>1.8000052253856256</v>
      </c>
      <c r="AT95" s="18">
        <f>100-AR95</f>
        <v>6.9651741293532297</v>
      </c>
      <c r="AU95" s="1">
        <f>AQ84</f>
        <v>201</v>
      </c>
      <c r="AV95">
        <v>1</v>
      </c>
      <c r="AW95" s="1">
        <v>7227.42</v>
      </c>
      <c r="AX95" s="17">
        <f>AW95/AW99*100</f>
        <v>4.6363603472391688</v>
      </c>
      <c r="AY95" s="52">
        <f>((AX95*AX95*(AR95/100)*(AT95/100))/(AU95-1))</f>
        <v>6.9646917120151156E-3</v>
      </c>
    </row>
    <row r="96" spans="1:51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76.311768553542294</v>
      </c>
      <c r="E96" s="18">
        <f>E91*E91*(SUM((H84*E84*(1-E73/H73))/(H73-1),(H85*E85*(1-E74/H74))/(H74-1), (H87*E87*(1-E76/H76))/(H76-1),(H88*E88*(1-E77/H77))/(H77-1)))</f>
        <v>188.24877871145716</v>
      </c>
      <c r="F96" s="18">
        <f>F91*F91*(SUM((H84*F84*(1-F73/H73))/(H73-1),(H85*F85*(1-F74/H74))/(H74-1), (H86*F86*(1-F75/H75))/(H75-1),(H88*F88*(1-F77/H77))/(H77-1)))</f>
        <v>269.56500327014055</v>
      </c>
      <c r="G96" s="18">
        <f>G91*G91*(SUM((H84*G84*(1-G73/H73))/(H73-1),(H85*G85*(1-G74/H74))/(H74-1), (H86*G86*(1-G75/H75))/(H75-1),(H87*G87*(1-G76/H76))/(H76-1)))</f>
        <v>99.395892582022981</v>
      </c>
      <c r="R96" t="s">
        <v>101</v>
      </c>
      <c r="S96" t="s">
        <v>28</v>
      </c>
      <c r="T96" s="57">
        <f>C263</f>
        <v>1.3378076389845786</v>
      </c>
      <c r="U96" s="57">
        <f t="shared" ref="U96:X99" si="14">D263</f>
        <v>6.1096568166578207</v>
      </c>
      <c r="V96" s="57">
        <f t="shared" si="14"/>
        <v>57.922914150385523</v>
      </c>
      <c r="W96" s="57">
        <f t="shared" si="14"/>
        <v>24.927659277145736</v>
      </c>
      <c r="X96" s="57">
        <f t="shared" si="14"/>
        <v>9.7019621168263335</v>
      </c>
      <c r="Y96" s="13"/>
      <c r="Z96" s="74"/>
      <c r="AA96" s="12"/>
      <c r="AC96" t="s">
        <v>192</v>
      </c>
      <c r="AD96" s="51"/>
      <c r="AE96" s="51"/>
      <c r="AH96" s="78"/>
      <c r="AI96" s="78"/>
      <c r="AJ96" t="s">
        <v>5</v>
      </c>
      <c r="AK96" s="13">
        <v>2</v>
      </c>
      <c r="AL96" s="33">
        <f t="shared" si="13"/>
        <v>0</v>
      </c>
      <c r="AM96" s="19">
        <f t="shared" si="13"/>
        <v>1.3343217610080846</v>
      </c>
      <c r="AN96" s="34">
        <f t="shared" si="13"/>
        <v>56.861874748737115</v>
      </c>
      <c r="AO96" s="19">
        <f t="shared" si="13"/>
        <v>0.41512232564695967</v>
      </c>
      <c r="AP96" s="20">
        <f>(AP85/$AU96)*$AX96</f>
        <v>0.19767729792712366</v>
      </c>
      <c r="AQ96" s="17">
        <f>SUM(AL96:AP96)</f>
        <v>58.808996133319283</v>
      </c>
      <c r="AR96" s="17">
        <f>AN96/AQ96*100</f>
        <v>96.689075630252091</v>
      </c>
      <c r="AS96" s="17">
        <f>SQRT(AR96*(100-AR96)/(AU96-1))</f>
        <v>0.23197508893876798</v>
      </c>
      <c r="AT96" s="18">
        <f>100-AR96</f>
        <v>3.3109243697479087</v>
      </c>
      <c r="AU96" s="1">
        <f>AQ85</f>
        <v>5950</v>
      </c>
      <c r="AV96">
        <v>2</v>
      </c>
      <c r="AW96" s="1">
        <v>91674.78</v>
      </c>
      <c r="AX96" s="17">
        <f>AW96/AW99*100</f>
        <v>58.808996133319283</v>
      </c>
      <c r="AY96" s="52">
        <f>((AX96*AX96*(AR96/100)*(AT96/100))/(AU96-1))</f>
        <v>1.8611022405563813E-2</v>
      </c>
    </row>
    <row r="97" spans="1:51" x14ac:dyDescent="0.3">
      <c r="S97" s="66" t="s">
        <v>39</v>
      </c>
      <c r="T97" s="67">
        <f>C264</f>
        <v>0</v>
      </c>
      <c r="U97" s="67">
        <f t="shared" si="14"/>
        <v>0.1362883130162133</v>
      </c>
      <c r="V97" s="67">
        <f t="shared" si="14"/>
        <v>0.18075965653179127</v>
      </c>
      <c r="W97" s="67">
        <f t="shared" si="14"/>
        <v>0.23162410879819026</v>
      </c>
      <c r="X97" s="67">
        <f t="shared" si="14"/>
        <v>0.21661051216341776</v>
      </c>
      <c r="AC97" t="s">
        <v>193</v>
      </c>
      <c r="AD97" s="51"/>
      <c r="AE97" s="51"/>
      <c r="AJ97" t="s">
        <v>6</v>
      </c>
      <c r="AK97" s="13">
        <v>3</v>
      </c>
      <c r="AL97" s="33">
        <f t="shared" si="13"/>
        <v>0</v>
      </c>
      <c r="AM97" s="19">
        <f t="shared" si="13"/>
        <v>1.0355556799298527E-2</v>
      </c>
      <c r="AN97" s="19">
        <f t="shared" si="13"/>
        <v>0.8802223279403748</v>
      </c>
      <c r="AO97" s="34">
        <f t="shared" si="13"/>
        <v>21.902002630516385</v>
      </c>
      <c r="AP97" s="20">
        <f>(AP86/$AU97)*$AX97</f>
        <v>0.95271122553546439</v>
      </c>
      <c r="AQ97" s="17">
        <f>SUM(AL97:AP97)</f>
        <v>23.745291740791522</v>
      </c>
      <c r="AR97" s="17">
        <f>AO97/AQ97*100</f>
        <v>92.237243785433932</v>
      </c>
      <c r="AS97" s="17">
        <f>SQRT(AR97*(100-AR97)/(AU97-1))</f>
        <v>0.55892537340948734</v>
      </c>
      <c r="AT97" s="18">
        <f>100-AR97</f>
        <v>7.7627562145660676</v>
      </c>
      <c r="AU97" s="1">
        <f>AQ86</f>
        <v>2293</v>
      </c>
      <c r="AV97">
        <v>3</v>
      </c>
      <c r="AW97" s="1">
        <v>37015.5</v>
      </c>
      <c r="AX97" s="17">
        <f>AW97/AW99*100</f>
        <v>23.745291740791522</v>
      </c>
      <c r="AY97" s="52">
        <f>((AX97*AX97*(AR97/100)*(AT97/100))/(AU97-1))</f>
        <v>1.7614189765291565E-2</v>
      </c>
    </row>
    <row r="98" spans="1:51" x14ac:dyDescent="0.3">
      <c r="S98" t="s">
        <v>30</v>
      </c>
      <c r="T98" s="57">
        <f>C265</f>
        <v>100</v>
      </c>
      <c r="U98" s="57">
        <f t="shared" si="14"/>
        <v>75.877228741280973</v>
      </c>
      <c r="V98" s="57">
        <f t="shared" si="14"/>
        <v>97.967262511915578</v>
      </c>
      <c r="W98" s="57">
        <f t="shared" si="14"/>
        <v>87.40508875248581</v>
      </c>
      <c r="X98" s="57">
        <f t="shared" si="14"/>
        <v>87.231045329041848</v>
      </c>
      <c r="AA98" s="54"/>
      <c r="AC98" t="s">
        <v>194</v>
      </c>
      <c r="AD98" s="51"/>
      <c r="AE98" s="51"/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13"/>
        <v>0</v>
      </c>
      <c r="AN98" s="21">
        <f t="shared" si="13"/>
        <v>0.35094700108045446</v>
      </c>
      <c r="AO98" s="21">
        <f t="shared" si="13"/>
        <v>2.6549903559999599</v>
      </c>
      <c r="AP98" s="37">
        <f>(AP87/$AU98)*$AX98</f>
        <v>8.4532451564596425</v>
      </c>
      <c r="AQ98" s="17">
        <f>SUM(AL98:AP98)</f>
        <v>11.459182513540057</v>
      </c>
      <c r="AR98" s="17">
        <f>AP98/AQ98*100</f>
        <v>73.768308921438091</v>
      </c>
      <c r="AS98" s="17">
        <f>SQRT(AR98*(100-AR98)/(AU98-1))</f>
        <v>1.6062658522237578</v>
      </c>
      <c r="AT98" s="18">
        <f>100-AR98</f>
        <v>26.231691078561909</v>
      </c>
      <c r="AU98" s="1">
        <f>AQ87</f>
        <v>751</v>
      </c>
      <c r="AV98">
        <v>4</v>
      </c>
      <c r="AW98" s="1">
        <v>17863.22</v>
      </c>
      <c r="AX98" s="17">
        <f>AW98/AW99*100</f>
        <v>11.459182513540057</v>
      </c>
      <c r="AY98" s="52">
        <f>((AX98*AX98*(AR98/100)*(AT98/100))/(AU98-1))</f>
        <v>3.3879900539148133E-2</v>
      </c>
    </row>
    <row r="99" spans="1:51" x14ac:dyDescent="0.3">
      <c r="A99" s="361" t="s">
        <v>429</v>
      </c>
      <c r="B99" s="361"/>
      <c r="C99" s="361"/>
      <c r="D99" s="361"/>
      <c r="E99" s="361"/>
      <c r="F99" s="361"/>
      <c r="G99" s="361"/>
      <c r="H99" s="361"/>
      <c r="I99" s="361"/>
      <c r="J99" s="361"/>
      <c r="K99" s="361"/>
      <c r="L99" s="361" t="s">
        <v>62</v>
      </c>
      <c r="M99" s="361"/>
      <c r="N99" s="361"/>
      <c r="O99" s="361"/>
      <c r="P99" s="361"/>
      <c r="S99" s="66" t="s">
        <v>39</v>
      </c>
      <c r="T99" s="67">
        <f>C266</f>
        <v>0</v>
      </c>
      <c r="U99" s="67">
        <f t="shared" si="14"/>
        <v>2.883529477836162</v>
      </c>
      <c r="V99" s="67">
        <f t="shared" si="14"/>
        <v>0.20426608816573344</v>
      </c>
      <c r="W99" s="67">
        <f t="shared" si="14"/>
        <v>0.94760373538837461</v>
      </c>
      <c r="X99" s="67">
        <f t="shared" si="14"/>
        <v>2.6292956735839099</v>
      </c>
      <c r="AC99" t="s">
        <v>195</v>
      </c>
      <c r="AD99" s="51"/>
      <c r="AE99" s="51"/>
      <c r="AK99" t="s">
        <v>28</v>
      </c>
      <c r="AL99" s="17">
        <f t="shared" ref="AL99:AQ99" si="15">SUM(AL94:AL98)</f>
        <v>1.350169265109987</v>
      </c>
      <c r="AM99" s="17">
        <f t="shared" si="15"/>
        <v>5.6581070935970583</v>
      </c>
      <c r="AN99" s="17">
        <f t="shared" si="15"/>
        <v>58.369841710428943</v>
      </c>
      <c r="AO99" s="17">
        <f t="shared" si="15"/>
        <v>24.972115312163304</v>
      </c>
      <c r="AP99" s="17">
        <f t="shared" si="15"/>
        <v>9.6497666187007294</v>
      </c>
      <c r="AQ99" s="18">
        <f t="shared" si="15"/>
        <v>100.00000000000001</v>
      </c>
      <c r="AR99" s="13" t="s">
        <v>24</v>
      </c>
      <c r="AS99" s="12" t="s">
        <v>29</v>
      </c>
      <c r="AW99" s="1">
        <f>SUM(AW94:AW98)</f>
        <v>155885.63999999998</v>
      </c>
      <c r="AX99" s="17">
        <f>SUM(AX94:AX98)</f>
        <v>100.00000000000001</v>
      </c>
    </row>
    <row r="100" spans="1:51" x14ac:dyDescent="0.3">
      <c r="A100" t="s">
        <v>320</v>
      </c>
      <c r="B100" t="s">
        <v>21</v>
      </c>
      <c r="I100" s="1" t="s">
        <v>58</v>
      </c>
      <c r="O100" s="143"/>
      <c r="P100" s="143"/>
      <c r="S100" t="s">
        <v>31</v>
      </c>
      <c r="T100" s="57">
        <f>I258</f>
        <v>100</v>
      </c>
      <c r="U100" s="57">
        <f>I259</f>
        <v>96.517412935323392</v>
      </c>
      <c r="V100" s="57">
        <f>I260</f>
        <v>96.621848739495803</v>
      </c>
      <c r="W100" s="57">
        <f>I261</f>
        <v>92.019188835586561</v>
      </c>
      <c r="X100" s="57">
        <f>I262</f>
        <v>73.901464713715058</v>
      </c>
      <c r="AC100" t="s">
        <v>196</v>
      </c>
      <c r="AD100" s="51"/>
      <c r="AE100" s="51"/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0</v>
      </c>
      <c r="AM100" s="18">
        <f>SQRT(SUM((AX94*AM94-AM94*AM94)/AU94,(AX95*AM95-AM95*AM95)/AU95,(AX96*AM96-AM96*AM96)/AU96,(AX97*AM97-AM97*AM97)/AU97,(AX98*AM98-AM98*AM98)/AU98))</f>
        <v>0.14116040156394305</v>
      </c>
      <c r="AN100" s="18">
        <f>SQRT(SUM((AX94*AN94-AN94*AN94)/AU94,(AX95*AN95-AN95*AN95)/AU95,(AX96*AN96-AN96*AN96)/AU96,(AX97*AN97-AN97*AN97)/AU97,(AX98*AN98-AN98*AN98)/AU98))</f>
        <v>0.19641717337489359</v>
      </c>
      <c r="AO100" s="18">
        <f>SQRT(SUM((AX94*AO94-AO94*AO94)/AU94,(AX95*AO95-AO95*AO95)/AU95,(AX96*AO96-AO96*AO96)/AU96,(AX97*AO97-AO97*AO97)/AU97,(AX98*AO98-AO98*AO98)/AU98))</f>
        <v>0.2297950941720788</v>
      </c>
      <c r="AP100" s="18">
        <f>SQRT(SUM((AX94*AP94-AP94*AP94)/AU94,(AX95*AP95-AP95*AP95)/AU95,(AX96*AP96-AP96*AP96)/AU96,(AX97*AP97-AP97*AP97)/AU97,(AX98*AP98-AP98*AP98)/AU98))</f>
        <v>0.21518733174249552</v>
      </c>
      <c r="AQ100" s="1"/>
      <c r="AR100" s="56">
        <f>(AL94+AM95+AN96+AO97+AP98)/AQ99</f>
        <v>0.92880721576612801</v>
      </c>
      <c r="AS100" s="53">
        <f>SQRT(SUM(AY94:AY98))/100</f>
        <v>2.7761448885463206E-3</v>
      </c>
      <c r="AV100" s="1"/>
      <c r="AW100" s="9"/>
    </row>
    <row r="101" spans="1:51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56</v>
      </c>
      <c r="O101" s="13"/>
      <c r="P101" s="13"/>
      <c r="S101" s="66" t="s">
        <v>39</v>
      </c>
      <c r="T101" s="67">
        <f>J258</f>
        <v>0</v>
      </c>
      <c r="U101" s="67">
        <f>J259</f>
        <v>1.2963994249547628</v>
      </c>
      <c r="V101" s="67">
        <f>J260</f>
        <v>0.23423685743494932</v>
      </c>
      <c r="W101" s="67">
        <f>J261</f>
        <v>0.56605080341042457</v>
      </c>
      <c r="X101" s="67">
        <f>J262</f>
        <v>1.60362921090009</v>
      </c>
      <c r="AC101" t="s">
        <v>197</v>
      </c>
      <c r="AD101" s="51"/>
      <c r="AE101" s="51"/>
      <c r="AK101" s="1" t="s">
        <v>30</v>
      </c>
      <c r="AL101" s="17">
        <f>AL94/AL99*100</f>
        <v>100</v>
      </c>
      <c r="AM101" s="17">
        <f>AM95/AM99*100</f>
        <v>76.234502183087443</v>
      </c>
      <c r="AN101" s="17">
        <f>AN96/AN99*100</f>
        <v>97.416530664631907</v>
      </c>
      <c r="AO101" s="17">
        <f>AO97/AO99*100</f>
        <v>87.705836516974827</v>
      </c>
      <c r="AP101" s="17">
        <f>AP98/AP99*100</f>
        <v>87.600513986293791</v>
      </c>
      <c r="AQ101" s="1"/>
    </row>
    <row r="102" spans="1:51" x14ac:dyDescent="0.3">
      <c r="A102" t="s">
        <v>3</v>
      </c>
      <c r="B102" s="13">
        <v>0</v>
      </c>
      <c r="C102" s="26">
        <v>89</v>
      </c>
      <c r="D102" s="3">
        <v>0</v>
      </c>
      <c r="E102" s="3">
        <v>0</v>
      </c>
      <c r="F102" s="3">
        <v>1</v>
      </c>
      <c r="G102" s="4">
        <v>0</v>
      </c>
      <c r="H102" s="1">
        <f>SUM(C102:G102)</f>
        <v>90</v>
      </c>
      <c r="I102" s="10">
        <f>C102/H102</f>
        <v>0.98888888888888893</v>
      </c>
      <c r="J102" s="11">
        <f>1-I102</f>
        <v>1.1111111111111072E-2</v>
      </c>
      <c r="K102">
        <f>H102-C107</f>
        <v>1</v>
      </c>
      <c r="N102" s="10">
        <f>2*(C108*I102)/(C108+I102)</f>
        <v>0.99441340782122911</v>
      </c>
      <c r="O102" s="1"/>
      <c r="P102" s="1"/>
      <c r="S102" s="66" t="s">
        <v>56</v>
      </c>
      <c r="T102" s="67">
        <f>N247*100</f>
        <v>100</v>
      </c>
      <c r="U102" s="67">
        <f>N248*100</f>
        <v>71.71903881700554</v>
      </c>
      <c r="V102" s="67">
        <f>N249*100</f>
        <v>97.415911209014652</v>
      </c>
      <c r="W102" s="67">
        <f>N250*100</f>
        <v>91.282716850529951</v>
      </c>
      <c r="X102" s="67">
        <f>N251*100</f>
        <v>78.004216444132112</v>
      </c>
      <c r="AC102" t="s">
        <v>198</v>
      </c>
      <c r="AD102" s="51"/>
      <c r="AE102" s="51"/>
      <c r="AH102" s="78"/>
      <c r="AI102" s="78"/>
      <c r="AK102" s="16" t="s">
        <v>39</v>
      </c>
      <c r="AL102" s="18">
        <f>SQRT((AL105+AL106)/(AL99*AL99))</f>
        <v>0</v>
      </c>
      <c r="AM102" s="18">
        <f>SQRT((AM105+AM106)/(AM99*AM99))</f>
        <v>3.8271250282764773</v>
      </c>
      <c r="AN102" s="18">
        <f>SQRT((AN105+AN106)/(AN99*AN99))</f>
        <v>0.24369856602539555</v>
      </c>
      <c r="AO102" s="18">
        <f>SQRT((AO105+AO106)/(AO99*AO99))</f>
        <v>0.92824244358332397</v>
      </c>
      <c r="AP102" s="18">
        <f>SQRT((AP105+AP106)/(AP99*AP99))</f>
        <v>2.5734091835796948</v>
      </c>
      <c r="AQ102" s="1"/>
    </row>
    <row r="103" spans="1:51" x14ac:dyDescent="0.3">
      <c r="A103" t="s">
        <v>4</v>
      </c>
      <c r="B103" s="13">
        <v>1</v>
      </c>
      <c r="C103" s="5">
        <v>0</v>
      </c>
      <c r="D103" s="27">
        <v>191</v>
      </c>
      <c r="E103" s="1">
        <v>7</v>
      </c>
      <c r="F103" s="1">
        <v>0</v>
      </c>
      <c r="G103" s="6">
        <v>3</v>
      </c>
      <c r="H103" s="1">
        <f>SUM(C103:G103)</f>
        <v>201</v>
      </c>
      <c r="I103" s="10">
        <f>D103/H103</f>
        <v>0.95024875621890548</v>
      </c>
      <c r="J103" s="11">
        <f>1-I103</f>
        <v>4.9751243781094523E-2</v>
      </c>
      <c r="K103">
        <f>H103-D107</f>
        <v>-132</v>
      </c>
      <c r="N103" s="10">
        <f>2*(D108*I103)/(D108+I103)</f>
        <v>0.71535580524344566</v>
      </c>
      <c r="O103" s="1"/>
      <c r="P103" s="1"/>
      <c r="R103" s="16" t="s">
        <v>66</v>
      </c>
      <c r="S103" t="s">
        <v>9</v>
      </c>
      <c r="T103" s="30">
        <f>N258</f>
        <v>2085.4499999999998</v>
      </c>
      <c r="U103" s="30">
        <f>N259</f>
        <v>7487.36</v>
      </c>
      <c r="V103" s="30">
        <f>N260</f>
        <v>91550.8</v>
      </c>
      <c r="W103" s="30">
        <f>N261</f>
        <v>36910.160000000003</v>
      </c>
      <c r="X103" s="30">
        <f>N262</f>
        <v>17851.87</v>
      </c>
      <c r="Z103" t="s">
        <v>36</v>
      </c>
      <c r="AA103" s="1">
        <f>N263</f>
        <v>155885.64000000001</v>
      </c>
      <c r="AC103" t="s">
        <v>199</v>
      </c>
      <c r="AD103" s="51"/>
      <c r="AE103" s="51"/>
      <c r="AK103" s="1" t="s">
        <v>37</v>
      </c>
      <c r="AL103" s="18">
        <f>100-AL101</f>
        <v>0</v>
      </c>
      <c r="AM103" s="18">
        <f>100-AM101</f>
        <v>23.765497816912557</v>
      </c>
      <c r="AN103" s="18">
        <f>100-AN101</f>
        <v>2.5834693353680933</v>
      </c>
      <c r="AO103" s="18">
        <f>100-AO101</f>
        <v>12.294163483025173</v>
      </c>
      <c r="AP103" s="18">
        <f>100-AP101</f>
        <v>12.399486013706209</v>
      </c>
    </row>
    <row r="104" spans="1:51" ht="15.6" x14ac:dyDescent="0.35">
      <c r="A104" t="s">
        <v>5</v>
      </c>
      <c r="B104" s="13">
        <v>2</v>
      </c>
      <c r="C104" s="5">
        <v>0</v>
      </c>
      <c r="D104" s="1">
        <v>137</v>
      </c>
      <c r="E104" s="27">
        <v>5744</v>
      </c>
      <c r="F104" s="1">
        <v>46</v>
      </c>
      <c r="G104" s="6">
        <v>23</v>
      </c>
      <c r="H104" s="1">
        <f>SUM(C104:G104)</f>
        <v>5950</v>
      </c>
      <c r="I104" s="10">
        <f>E104/H104</f>
        <v>0.96537815126050419</v>
      </c>
      <c r="J104" s="11">
        <f>1-I104</f>
        <v>3.4621848739495809E-2</v>
      </c>
      <c r="K104">
        <f>H104-E107</f>
        <v>100</v>
      </c>
      <c r="N104" s="10">
        <f>2*(E108*I104)/(E108+I104)</f>
        <v>0.97355932203389839</v>
      </c>
      <c r="O104" s="1"/>
      <c r="P104" s="1"/>
      <c r="R104" s="16" t="s">
        <v>323</v>
      </c>
      <c r="S104" t="s">
        <v>68</v>
      </c>
      <c r="T104" s="57">
        <f>$AA103*T96/100</f>
        <v>2085.4499999999998</v>
      </c>
      <c r="U104" s="57">
        <f>$AA103*U96/100</f>
        <v>9524.0776304506708</v>
      </c>
      <c r="V104" s="57">
        <f>$AA103*V96/100</f>
        <v>90293.505429979035</v>
      </c>
      <c r="W104" s="57">
        <f>$AA103*W96/100</f>
        <v>38858.641201198006</v>
      </c>
      <c r="X104" s="57">
        <f>$AA103*X96/100</f>
        <v>15123.965738372279</v>
      </c>
      <c r="Z104" t="s">
        <v>36</v>
      </c>
      <c r="AA104" s="25">
        <f>SUM(T104:X104)</f>
        <v>155885.63999999998</v>
      </c>
      <c r="AC104" t="s">
        <v>200</v>
      </c>
      <c r="AD104" s="51"/>
      <c r="AE104" s="51"/>
      <c r="AH104" s="78"/>
      <c r="AI104" s="78"/>
      <c r="AK104" s="1" t="s">
        <v>25</v>
      </c>
      <c r="AL104" s="1">
        <f>AL88</f>
        <v>90</v>
      </c>
      <c r="AM104" s="1">
        <f>AM88</f>
        <v>323</v>
      </c>
      <c r="AN104" s="1">
        <f>AN88</f>
        <v>5873</v>
      </c>
      <c r="AO104" s="1">
        <f>AO88</f>
        <v>2331</v>
      </c>
      <c r="AP104" s="1">
        <f>AP88</f>
        <v>668</v>
      </c>
    </row>
    <row r="105" spans="1:51" x14ac:dyDescent="0.3">
      <c r="A105" t="s">
        <v>6</v>
      </c>
      <c r="B105" s="13">
        <v>3</v>
      </c>
      <c r="C105" s="5">
        <v>0</v>
      </c>
      <c r="D105" s="1">
        <v>2</v>
      </c>
      <c r="E105" s="1">
        <v>81</v>
      </c>
      <c r="F105" s="27">
        <v>2111</v>
      </c>
      <c r="G105" s="6">
        <v>99</v>
      </c>
      <c r="H105" s="1">
        <f>SUM(C105:G105)</f>
        <v>2293</v>
      </c>
      <c r="I105" s="10">
        <f>F105/H105</f>
        <v>0.92062799825556041</v>
      </c>
      <c r="J105" s="11">
        <f>1-I105</f>
        <v>7.9372001744439591E-2</v>
      </c>
      <c r="K105">
        <f>H105-F107</f>
        <v>-42</v>
      </c>
      <c r="N105" s="10">
        <f>2*(F108*I105)/(F108+I105)</f>
        <v>0.91227312013828876</v>
      </c>
      <c r="O105" s="1"/>
      <c r="P105" s="1"/>
      <c r="R105" s="66"/>
      <c r="S105" s="66" t="s">
        <v>67</v>
      </c>
      <c r="T105" s="67">
        <f>$AA103*T97/100</f>
        <v>0</v>
      </c>
      <c r="U105" s="67">
        <f>$AA103*U97/100</f>
        <v>212.45390899052742</v>
      </c>
      <c r="V105" s="67">
        <f>$AA103*V97/100</f>
        <v>281.77834744638466</v>
      </c>
      <c r="W105" s="67">
        <f>$AA103*W97/100</f>
        <v>361.06872439435523</v>
      </c>
      <c r="X105" s="67">
        <f>$AA103*X97/100</f>
        <v>337.66468319322166</v>
      </c>
      <c r="AA105" s="1"/>
      <c r="AC105" t="s">
        <v>201</v>
      </c>
      <c r="AD105" s="51"/>
      <c r="AE105" s="51"/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393.36501236621496</v>
      </c>
      <c r="AN105" s="18">
        <f>(AX96*AX96*(100-AN101)*(100-AN101)*(AR96)*(100-AR96))/((AU96-1)*100)</f>
        <v>12.421580379988157</v>
      </c>
      <c r="AO105" s="18">
        <f>(AX97*AX97*(100-AO101)*(100-AO101)*(AR97)*(100-AR97))/((AU97-1)*100)</f>
        <v>266.23223538850601</v>
      </c>
      <c r="AP105" s="18">
        <f>(AX98*AX98*(100-AP101)*(100-AP101)*(AR98)*(100-AR98))/((AU98-1)*100)</f>
        <v>520.89416534979739</v>
      </c>
    </row>
    <row r="106" spans="1:51" x14ac:dyDescent="0.3">
      <c r="A106" t="s">
        <v>7</v>
      </c>
      <c r="B106" s="13">
        <v>4</v>
      </c>
      <c r="C106" s="7">
        <v>0</v>
      </c>
      <c r="D106" s="8">
        <v>3</v>
      </c>
      <c r="E106" s="8">
        <v>18</v>
      </c>
      <c r="F106" s="8">
        <v>177</v>
      </c>
      <c r="G106" s="28">
        <v>553</v>
      </c>
      <c r="H106" s="1">
        <f>SUM(C106:G106)</f>
        <v>751</v>
      </c>
      <c r="I106" s="10">
        <f>G106/H106</f>
        <v>0.73635153129161124</v>
      </c>
      <c r="J106" s="11">
        <f>1-I106</f>
        <v>0.26364846870838876</v>
      </c>
      <c r="K106">
        <f>H106-G107</f>
        <v>73</v>
      </c>
      <c r="N106" s="10">
        <f>2*(G108*I106)/(G108+I106)</f>
        <v>0.77396780965710288</v>
      </c>
      <c r="O106" s="1"/>
      <c r="P106" s="1"/>
      <c r="R106" t="s">
        <v>102</v>
      </c>
      <c r="S106" t="s">
        <v>28</v>
      </c>
      <c r="T106" s="57">
        <f>C292</f>
        <v>1.3303597861637684</v>
      </c>
      <c r="U106" s="57">
        <f t="shared" ref="U106:X109" si="16">D292</f>
        <v>5.6478577851439722</v>
      </c>
      <c r="V106" s="57">
        <f t="shared" si="16"/>
        <v>58.237010670193428</v>
      </c>
      <c r="W106" s="57">
        <f t="shared" si="16"/>
        <v>25.104209710191768</v>
      </c>
      <c r="X106" s="57">
        <f t="shared" si="16"/>
        <v>9.6805620483070722</v>
      </c>
      <c r="Y106" s="60"/>
      <c r="Z106" s="74"/>
      <c r="AA106" s="12"/>
      <c r="AC106" t="s">
        <v>202</v>
      </c>
      <c r="AD106" s="51"/>
      <c r="AE106" s="51"/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75.54297159604512</v>
      </c>
      <c r="AN106" s="18">
        <f>AN101*AN101*(SUM((AQ94*AN94*(1-AN83/AQ83))/(AQ83-1),(AQ95*AN95*(1-AN84/AQ84))/(AQ84-1), (AQ97*AN97*(1-AN86/AQ86))/(AQ86-1),(AQ98*AN98*(1-AN87/AQ87))/(AQ87-1)))</f>
        <v>189.91899404150215</v>
      </c>
      <c r="AO106" s="18">
        <f>AO101*AO101*(SUM((AQ94*AO94*(1-AO83/AQ83))/(AQ83-1),(AQ95*AO95*(1-AO84/AQ84))/(AQ84-1), (AQ96*AO96*(1-AO85/AQ85))/(AQ85-1),(AQ98*AO98*(1-AO87/AQ87))/(AQ87-1)))</f>
        <v>271.08838607003577</v>
      </c>
      <c r="AP106" s="18">
        <f>AP101*AP101*(SUM((AQ94*AP94*(1-AP83/AQ83))/(AQ83-1),(AQ95*AP95*(1-AP84/AQ84))/(AQ84-1), (AQ96*AP96*(1-AP85/AQ85))/(AQ85-1),(AQ97*AP97*(1-AP86/AQ86))/(AQ86-1)))</f>
        <v>95.773692945241578</v>
      </c>
    </row>
    <row r="107" spans="1:51" ht="15.6" x14ac:dyDescent="0.35">
      <c r="B107" s="1" t="s">
        <v>19</v>
      </c>
      <c r="C107" s="1">
        <f>SUM(C102:C106)</f>
        <v>89</v>
      </c>
      <c r="D107" s="1">
        <f>SUM(D102:D106)</f>
        <v>333</v>
      </c>
      <c r="E107" s="1">
        <f>SUM(E102:E106)</f>
        <v>5850</v>
      </c>
      <c r="F107" s="1">
        <f>SUM(F102:F106)</f>
        <v>2335</v>
      </c>
      <c r="G107" s="1">
        <f>SUM(G102:G106)</f>
        <v>678</v>
      </c>
      <c r="H107" s="1">
        <f>SUM(H101:H106)</f>
        <v>9285</v>
      </c>
      <c r="I107" s="13" t="s">
        <v>12</v>
      </c>
      <c r="N107" s="16"/>
      <c r="O107" s="1"/>
      <c r="P107" s="1"/>
      <c r="S107" s="66" t="s">
        <v>39</v>
      </c>
      <c r="T107" s="67">
        <f>C293</f>
        <v>0</v>
      </c>
      <c r="U107" s="67">
        <f t="shared" si="16"/>
        <v>0.14103912128858137</v>
      </c>
      <c r="V107" s="67">
        <f t="shared" si="16"/>
        <v>0.19479896142315692</v>
      </c>
      <c r="W107" s="67">
        <f t="shared" si="16"/>
        <v>0.22656553222671405</v>
      </c>
      <c r="X107" s="67">
        <f t="shared" si="16"/>
        <v>0.21710933838836377</v>
      </c>
      <c r="AC107" t="s">
        <v>203</v>
      </c>
      <c r="AD107" s="51"/>
      <c r="AE107" s="51"/>
    </row>
    <row r="108" spans="1:51" x14ac:dyDescent="0.3">
      <c r="A108" s="1" t="s">
        <v>321</v>
      </c>
      <c r="B108" s="1" t="s">
        <v>2</v>
      </c>
      <c r="C108" s="10">
        <f>C102/C107</f>
        <v>1</v>
      </c>
      <c r="D108" s="10">
        <f>D103/D107</f>
        <v>0.57357357357357353</v>
      </c>
      <c r="E108" s="10">
        <f>E104/E107</f>
        <v>0.9818803418803419</v>
      </c>
      <c r="F108" s="10">
        <f>F105/F107</f>
        <v>0.9040685224839401</v>
      </c>
      <c r="G108" s="10">
        <f>G106/G107</f>
        <v>0.81563421828908556</v>
      </c>
      <c r="H108" s="10"/>
      <c r="I108" s="14">
        <f>(C102+D103+E104+F105+G106)/H107</f>
        <v>0.93570274636510498</v>
      </c>
      <c r="S108" t="s">
        <v>30</v>
      </c>
      <c r="T108" s="57">
        <f>C294</f>
        <v>100</v>
      </c>
      <c r="U108" s="57">
        <f t="shared" si="16"/>
        <v>76.305318192890752</v>
      </c>
      <c r="V108" s="57">
        <f t="shared" si="16"/>
        <v>97.711666426913524</v>
      </c>
      <c r="W108" s="57">
        <f t="shared" si="16"/>
        <v>87.663190369008717</v>
      </c>
      <c r="X108" s="57">
        <f t="shared" si="16"/>
        <v>86.733348798746761</v>
      </c>
      <c r="AC108" t="s">
        <v>204</v>
      </c>
      <c r="AD108" s="51"/>
      <c r="AE108" s="51"/>
      <c r="AH108" s="78"/>
      <c r="AI108" s="78"/>
      <c r="AJ108" s="118" t="s">
        <v>375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</row>
    <row r="109" spans="1:51" x14ac:dyDescent="0.3">
      <c r="B109" s="1" t="s">
        <v>14</v>
      </c>
      <c r="C109" s="11">
        <f>1-C108</f>
        <v>0</v>
      </c>
      <c r="D109" s="11">
        <f>1-D108</f>
        <v>0.42642642642642647</v>
      </c>
      <c r="E109" s="11">
        <f>1-E108</f>
        <v>1.81196581196581E-2</v>
      </c>
      <c r="F109" s="11">
        <f>1-F108</f>
        <v>9.5931477516059904E-2</v>
      </c>
      <c r="G109" s="11">
        <f>1-G108</f>
        <v>0.18436578171091444</v>
      </c>
      <c r="S109" s="66" t="s">
        <v>39</v>
      </c>
      <c r="T109" s="67">
        <f>C295</f>
        <v>0</v>
      </c>
      <c r="U109" s="67">
        <f t="shared" si="16"/>
        <v>3.8217062002728932</v>
      </c>
      <c r="V109" s="67">
        <f t="shared" si="16"/>
        <v>0.23453763646152234</v>
      </c>
      <c r="W109" s="67">
        <f t="shared" si="16"/>
        <v>0.90405206612566713</v>
      </c>
      <c r="X109" s="67">
        <f t="shared" si="16"/>
        <v>2.7262236897235947</v>
      </c>
      <c r="AC109" t="s">
        <v>205</v>
      </c>
      <c r="AD109" s="51"/>
      <c r="AE109" s="51"/>
      <c r="AJ109" s="106" t="s">
        <v>431</v>
      </c>
      <c r="AK109" s="107" t="s">
        <v>28</v>
      </c>
      <c r="AL109" s="108">
        <f t="shared" ref="AL109:AP112" si="17">AL99</f>
        <v>1.350169265109987</v>
      </c>
      <c r="AM109" s="108">
        <f t="shared" si="17"/>
        <v>5.6581070935970583</v>
      </c>
      <c r="AN109" s="108">
        <f t="shared" si="17"/>
        <v>58.369841710428943</v>
      </c>
      <c r="AO109" s="108">
        <f t="shared" si="17"/>
        <v>24.972115312163304</v>
      </c>
      <c r="AP109" s="108">
        <f t="shared" si="17"/>
        <v>9.6497666187007294</v>
      </c>
      <c r="AQ109" s="107"/>
      <c r="AR109" s="232" t="s">
        <v>77</v>
      </c>
      <c r="AS109" s="233">
        <f>AR100</f>
        <v>0.92880721576612801</v>
      </c>
    </row>
    <row r="110" spans="1:51" x14ac:dyDescent="0.3">
      <c r="C110" s="2"/>
      <c r="S110" s="15" t="s">
        <v>31</v>
      </c>
      <c r="T110" s="71">
        <f>I287</f>
        <v>100</v>
      </c>
      <c r="U110" s="71">
        <f>I288</f>
        <v>93.03482587064677</v>
      </c>
      <c r="V110" s="71">
        <f>I289</f>
        <v>96.537815126050432</v>
      </c>
      <c r="W110" s="71">
        <f>I290</f>
        <v>92.978630614914962</v>
      </c>
      <c r="X110" s="71">
        <f>I291</f>
        <v>73.501997336884159</v>
      </c>
      <c r="AC110" t="s">
        <v>206</v>
      </c>
      <c r="AD110" s="51"/>
      <c r="AE110" s="51"/>
      <c r="AH110" s="78"/>
      <c r="AI110" s="78"/>
      <c r="AJ110" s="107"/>
      <c r="AK110" s="109" t="s">
        <v>39</v>
      </c>
      <c r="AL110" s="110">
        <f t="shared" si="17"/>
        <v>0</v>
      </c>
      <c r="AM110" s="110">
        <f t="shared" si="17"/>
        <v>0.14116040156394305</v>
      </c>
      <c r="AN110" s="110">
        <f t="shared" si="17"/>
        <v>0.19641717337489359</v>
      </c>
      <c r="AO110" s="110">
        <f t="shared" si="17"/>
        <v>0.2297950941720788</v>
      </c>
      <c r="AP110" s="110">
        <f t="shared" si="17"/>
        <v>0.21518733174249552</v>
      </c>
      <c r="AQ110" s="107"/>
      <c r="AR110" s="232" t="s">
        <v>29</v>
      </c>
      <c r="AS110" s="234">
        <f>AS100</f>
        <v>2.7761448885463206E-3</v>
      </c>
      <c r="AX110" s="103" t="s">
        <v>386</v>
      </c>
    </row>
    <row r="111" spans="1:51" ht="15.6" x14ac:dyDescent="0.35">
      <c r="A111" t="s">
        <v>322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</v>
      </c>
      <c r="U111" s="76">
        <f>J288</f>
        <v>1.8000052253856256</v>
      </c>
      <c r="V111" s="76">
        <f>J289</f>
        <v>0.23702921358143256</v>
      </c>
      <c r="W111" s="76">
        <f>J290</f>
        <v>0.53369751029008161</v>
      </c>
      <c r="X111" s="76">
        <f>J291</f>
        <v>1.6114821836545759</v>
      </c>
      <c r="AC111" t="s">
        <v>160</v>
      </c>
      <c r="AD111" s="51"/>
      <c r="AE111" s="51"/>
      <c r="AJ111" s="107"/>
      <c r="AK111" s="107" t="s">
        <v>30</v>
      </c>
      <c r="AL111" s="108">
        <f t="shared" si="17"/>
        <v>100</v>
      </c>
      <c r="AM111" s="108">
        <f t="shared" si="17"/>
        <v>76.234502183087443</v>
      </c>
      <c r="AN111" s="108">
        <f t="shared" si="17"/>
        <v>97.416530664631907</v>
      </c>
      <c r="AO111" s="108">
        <f t="shared" si="17"/>
        <v>87.705836516974827</v>
      </c>
      <c r="AP111" s="108">
        <f t="shared" si="17"/>
        <v>87.600513986293791</v>
      </c>
      <c r="AQ111" s="107"/>
      <c r="AR111" s="107"/>
      <c r="AS111" s="107"/>
      <c r="AU111" s="103" t="s">
        <v>386</v>
      </c>
      <c r="AW111" s="101"/>
      <c r="AX111" s="1" t="s">
        <v>380</v>
      </c>
      <c r="AY111" s="96"/>
    </row>
    <row r="112" spans="1:51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56</v>
      </c>
      <c r="T112" s="67">
        <f>N276*100</f>
        <v>100</v>
      </c>
      <c r="U112" s="67">
        <f>N277*100</f>
        <v>71.510516252390062</v>
      </c>
      <c r="V112" s="67">
        <f>N278*100</f>
        <v>97.388945405222103</v>
      </c>
      <c r="W112" s="67">
        <f>N279*100</f>
        <v>91.797631862217443</v>
      </c>
      <c r="X112" s="67">
        <f>N280*100</f>
        <v>77.41935483870968</v>
      </c>
      <c r="AC112" t="s">
        <v>207</v>
      </c>
      <c r="AD112" s="51"/>
      <c r="AE112" s="51"/>
      <c r="AH112" s="78"/>
      <c r="AI112" s="78"/>
      <c r="AJ112" s="107"/>
      <c r="AK112" s="109" t="s">
        <v>39</v>
      </c>
      <c r="AL112" s="110">
        <f t="shared" si="17"/>
        <v>0</v>
      </c>
      <c r="AM112" s="110">
        <f t="shared" si="17"/>
        <v>3.8271250282764773</v>
      </c>
      <c r="AN112" s="110">
        <f t="shared" si="17"/>
        <v>0.24369856602539555</v>
      </c>
      <c r="AO112" s="110">
        <f t="shared" si="17"/>
        <v>0.92824244358332397</v>
      </c>
      <c r="AP112" s="110">
        <f t="shared" si="17"/>
        <v>2.5734091835796948</v>
      </c>
      <c r="AQ112" s="107"/>
      <c r="AR112" s="107"/>
      <c r="AS112" s="107"/>
      <c r="AU112" s="93"/>
      <c r="AV112" s="1" t="s">
        <v>380</v>
      </c>
      <c r="AW112" s="97"/>
      <c r="AX112" s="71" t="s">
        <v>381</v>
      </c>
      <c r="AY112" s="95"/>
    </row>
    <row r="113" spans="1:51" x14ac:dyDescent="0.3">
      <c r="A113" t="s">
        <v>3</v>
      </c>
      <c r="B113" s="13">
        <v>0</v>
      </c>
      <c r="C113" s="29">
        <f>(C102/$L113)*$O113</f>
        <v>1.3371656441364466</v>
      </c>
      <c r="D113" s="31">
        <f>(D102/$L113)*$O113</f>
        <v>0</v>
      </c>
      <c r="E113" s="31">
        <f>(E102/$L113)*$O113</f>
        <v>0</v>
      </c>
      <c r="F113" s="31">
        <f>(F102/$L113)*$O113</f>
        <v>1.5024333080184792E-2</v>
      </c>
      <c r="G113" s="32">
        <f>(G102/$L113)*$O113</f>
        <v>0</v>
      </c>
      <c r="H113" s="17">
        <f>SUM(C113:G113)</f>
        <v>1.3521899772166313</v>
      </c>
      <c r="I113" s="17">
        <f>C113/H113*100</f>
        <v>98.888888888888886</v>
      </c>
      <c r="J113" s="17">
        <f>SQRT(I113*(100-I113)/(L113-1))</f>
        <v>1.1111111111111127</v>
      </c>
      <c r="K113" s="18">
        <f>100-I113</f>
        <v>1.1111111111111143</v>
      </c>
      <c r="L113" s="1">
        <f>H102</f>
        <v>90</v>
      </c>
      <c r="M113">
        <v>0</v>
      </c>
      <c r="N113" s="1">
        <v>2107.87</v>
      </c>
      <c r="O113" s="17">
        <f>N113/N118*100</f>
        <v>1.3521899772166313</v>
      </c>
      <c r="P113" s="52">
        <f>((O113*O113*(I113/100)*(K113/100))/(L113-1))</f>
        <v>2.2573058450433569E-4</v>
      </c>
      <c r="R113" s="16" t="s">
        <v>66</v>
      </c>
      <c r="S113" t="s">
        <v>9</v>
      </c>
      <c r="T113" s="30">
        <f>N287</f>
        <v>2073.84</v>
      </c>
      <c r="U113" s="30">
        <f>N288</f>
        <v>7221.03</v>
      </c>
      <c r="V113" s="30">
        <f>N289</f>
        <v>91887.02</v>
      </c>
      <c r="W113" s="30">
        <f>N290</f>
        <v>36896.639999999999</v>
      </c>
      <c r="X113" s="30">
        <f>N291</f>
        <v>17807.12</v>
      </c>
      <c r="Z113" t="s">
        <v>36</v>
      </c>
      <c r="AA113" s="1">
        <f>N292</f>
        <v>155885.65</v>
      </c>
      <c r="AC113" t="s">
        <v>161</v>
      </c>
      <c r="AD113" s="51"/>
      <c r="AE113" s="51"/>
      <c r="AJ113" s="107"/>
      <c r="AK113" s="111" t="s">
        <v>31</v>
      </c>
      <c r="AL113" s="112">
        <f>AR94</f>
        <v>100</v>
      </c>
      <c r="AM113" s="112">
        <f>AR95</f>
        <v>93.03482587064677</v>
      </c>
      <c r="AN113" s="112">
        <f>AR96</f>
        <v>96.689075630252091</v>
      </c>
      <c r="AO113" s="112">
        <f>AR97</f>
        <v>92.237243785433932</v>
      </c>
      <c r="AP113" s="112">
        <f>AR98</f>
        <v>73.768308921438091</v>
      </c>
      <c r="AQ113" s="107"/>
      <c r="AR113" s="107"/>
      <c r="AS113" s="107"/>
      <c r="AU113" s="94"/>
      <c r="AV113" s="71" t="s">
        <v>383</v>
      </c>
      <c r="AW113" s="98"/>
      <c r="AX113" s="71" t="s">
        <v>382</v>
      </c>
      <c r="AY113" s="93"/>
    </row>
    <row r="114" spans="1:51" ht="15.6" x14ac:dyDescent="0.35">
      <c r="A114" t="s">
        <v>4</v>
      </c>
      <c r="B114" s="13">
        <v>1</v>
      </c>
      <c r="C114" s="33">
        <f t="shared" ref="C114:G117" si="18">(C103/$L114)*$O114</f>
        <v>0</v>
      </c>
      <c r="D114" s="34">
        <f t="shared" si="18"/>
        <v>4.467604667981754</v>
      </c>
      <c r="E114" s="19">
        <f t="shared" si="18"/>
        <v>0.16373420249147791</v>
      </c>
      <c r="F114" s="18">
        <f t="shared" si="18"/>
        <v>0</v>
      </c>
      <c r="G114" s="20">
        <f t="shared" si="18"/>
        <v>7.0171801067776249E-2</v>
      </c>
      <c r="H114" s="17">
        <f>SUM(C114:G114)</f>
        <v>4.7015106715410075</v>
      </c>
      <c r="I114" s="17">
        <f>D114/H114*100</f>
        <v>95.024875621890558</v>
      </c>
      <c r="J114" s="17">
        <f>SQRT(I114*(100-I114)/(L114-1))</f>
        <v>1.5374663821256145</v>
      </c>
      <c r="K114" s="18">
        <f>100-I114</f>
        <v>4.9751243781094416</v>
      </c>
      <c r="L114" s="1">
        <f>H103</f>
        <v>201</v>
      </c>
      <c r="M114">
        <v>1</v>
      </c>
      <c r="N114" s="1">
        <v>7328.98</v>
      </c>
      <c r="O114" s="17">
        <f>N114/N118*100</f>
        <v>4.7015106715410084</v>
      </c>
      <c r="P114" s="52">
        <f>((O114*O114*(I114/100)*(K114/100))/(L114-1))</f>
        <v>5.2249977668513926E-3</v>
      </c>
      <c r="R114" s="16" t="s">
        <v>323</v>
      </c>
      <c r="S114" t="s">
        <v>68</v>
      </c>
      <c r="T114" s="57">
        <f>$AA113*T106/100</f>
        <v>2073.84</v>
      </c>
      <c r="U114" s="57">
        <f>$AA113*U106/100</f>
        <v>8804.1998194472835</v>
      </c>
      <c r="V114" s="57">
        <f>$AA113*V106/100</f>
        <v>90783.142623800377</v>
      </c>
      <c r="W114" s="57">
        <f>$AA113*W106/100</f>
        <v>39133.860484095552</v>
      </c>
      <c r="X114" s="57">
        <f>$AA113*X106/100</f>
        <v>15090.607072656792</v>
      </c>
      <c r="Z114" t="s">
        <v>36</v>
      </c>
      <c r="AA114" s="25">
        <f>SUM(T114:X114)</f>
        <v>155885.65000000002</v>
      </c>
      <c r="AC114" t="s">
        <v>208</v>
      </c>
      <c r="AD114" s="51"/>
      <c r="AE114" s="51"/>
      <c r="AH114" s="78"/>
      <c r="AI114" s="78"/>
      <c r="AJ114" s="107"/>
      <c r="AK114" s="113" t="s">
        <v>39</v>
      </c>
      <c r="AL114" s="114">
        <f>AS94</f>
        <v>0</v>
      </c>
      <c r="AM114" s="114">
        <f>AS95</f>
        <v>1.8000052253856256</v>
      </c>
      <c r="AN114" s="114">
        <f>AS96</f>
        <v>0.23197508893876798</v>
      </c>
      <c r="AO114" s="114">
        <f>AS97</f>
        <v>0.55892537340948734</v>
      </c>
      <c r="AP114" s="114">
        <f>AS98</f>
        <v>1.6062658522237578</v>
      </c>
      <c r="AQ114" s="107"/>
      <c r="AR114" s="107"/>
      <c r="AS114" s="107"/>
      <c r="AU114" s="95"/>
      <c r="AV114" s="1" t="s">
        <v>384</v>
      </c>
      <c r="AW114" s="99"/>
      <c r="AX114" s="1" t="s">
        <v>387</v>
      </c>
      <c r="AY114" s="99"/>
    </row>
    <row r="115" spans="1:51" x14ac:dyDescent="0.3">
      <c r="A115" t="s">
        <v>5</v>
      </c>
      <c r="B115" s="13">
        <v>2</v>
      </c>
      <c r="C115" s="33">
        <f t="shared" si="18"/>
        <v>0</v>
      </c>
      <c r="D115" s="19">
        <f t="shared" si="18"/>
        <v>1.3514164592958371</v>
      </c>
      <c r="E115" s="34">
        <f t="shared" si="18"/>
        <v>56.660847753250273</v>
      </c>
      <c r="F115" s="19">
        <f t="shared" si="18"/>
        <v>0.45376027100444161</v>
      </c>
      <c r="G115" s="20">
        <f t="shared" si="18"/>
        <v>0.2268801355022208</v>
      </c>
      <c r="H115" s="17">
        <f>SUM(C115:G115)</f>
        <v>58.692904619052769</v>
      </c>
      <c r="I115" s="17">
        <f>E115/H115*100</f>
        <v>96.537815126050432</v>
      </c>
      <c r="J115" s="17">
        <f>SQRT(I115*(100-I115)/(L115-1))</f>
        <v>0.23702921358143256</v>
      </c>
      <c r="K115" s="18">
        <f>100-I115</f>
        <v>3.4621848739495675</v>
      </c>
      <c r="L115" s="1">
        <f>H104</f>
        <v>5950</v>
      </c>
      <c r="M115">
        <v>2</v>
      </c>
      <c r="N115" s="1">
        <v>91493.81</v>
      </c>
      <c r="O115" s="17">
        <f>N115/N118*100</f>
        <v>58.692904619052776</v>
      </c>
      <c r="P115" s="52">
        <f>((O115*O115*(I115/100)*(K115/100))/(L115-1))</f>
        <v>1.9354188048273987E-2</v>
      </c>
      <c r="R115" s="66"/>
      <c r="S115" s="66" t="s">
        <v>67</v>
      </c>
      <c r="T115" s="67">
        <f>$AA113*T107/100</f>
        <v>0</v>
      </c>
      <c r="U115" s="67">
        <f>$AA113*U107/100</f>
        <v>219.85975097499343</v>
      </c>
      <c r="V115" s="67">
        <f>$AA113*V107/100</f>
        <v>303.66362720773742</v>
      </c>
      <c r="W115" s="67">
        <f>$AA113*W107/100</f>
        <v>353.18315258757264</v>
      </c>
      <c r="X115" s="67">
        <f>$AA113*X107/100</f>
        <v>338.44230335740036</v>
      </c>
      <c r="AA115" s="1"/>
      <c r="AC115" t="s">
        <v>209</v>
      </c>
      <c r="AD115" s="51"/>
      <c r="AE115" s="51"/>
      <c r="AJ115" s="107"/>
      <c r="AK115" s="109" t="s">
        <v>56</v>
      </c>
      <c r="AL115" s="110">
        <f>AW83*100</f>
        <v>100</v>
      </c>
      <c r="AM115" s="110">
        <f>AW84*100</f>
        <v>71.374045801526705</v>
      </c>
      <c r="AN115" s="110">
        <f>AW85*100</f>
        <v>97.31878541825256</v>
      </c>
      <c r="AO115" s="110">
        <f>AW86*100</f>
        <v>91.479238754325252</v>
      </c>
      <c r="AP115" s="110">
        <f>AW87*100</f>
        <v>78.083157152924585</v>
      </c>
      <c r="AQ115" s="107"/>
      <c r="AR115" s="107"/>
      <c r="AS115" s="107"/>
      <c r="AU115" s="96"/>
      <c r="AV115" s="1" t="s">
        <v>385</v>
      </c>
      <c r="AW115" s="100"/>
      <c r="AX115" s="71" t="s">
        <v>388</v>
      </c>
      <c r="AY115" s="102"/>
    </row>
    <row r="116" spans="1:51" x14ac:dyDescent="0.3">
      <c r="A116" t="s">
        <v>6</v>
      </c>
      <c r="B116" s="13">
        <v>3</v>
      </c>
      <c r="C116" s="33">
        <f t="shared" si="18"/>
        <v>0</v>
      </c>
      <c r="D116" s="19">
        <f t="shared" si="18"/>
        <v>2.0715696111878582E-2</v>
      </c>
      <c r="E116" s="19">
        <f t="shared" si="18"/>
        <v>0.83898569253108257</v>
      </c>
      <c r="F116" s="34">
        <f t="shared" si="18"/>
        <v>21.865417246087841</v>
      </c>
      <c r="G116" s="20">
        <f t="shared" si="18"/>
        <v>1.0254269575379897</v>
      </c>
      <c r="H116" s="17">
        <f>SUM(C116:G116)</f>
        <v>23.750545592268793</v>
      </c>
      <c r="I116" s="17">
        <f>F116/H116*100</f>
        <v>92.062799825556027</v>
      </c>
      <c r="J116" s="17">
        <f>SQRT(I116*(100-I116)/(L116-1))</f>
        <v>0.56463585032377883</v>
      </c>
      <c r="K116" s="18">
        <f>100-I116</f>
        <v>7.9372001744439729</v>
      </c>
      <c r="L116" s="1">
        <f>H105</f>
        <v>2293</v>
      </c>
      <c r="M116">
        <v>3</v>
      </c>
      <c r="N116" s="1">
        <v>37023.69</v>
      </c>
      <c r="O116" s="17">
        <f>N116/N118*100</f>
        <v>23.750545592268793</v>
      </c>
      <c r="P116" s="52">
        <f>((O116*O116*(I116/100)*(K116/100))/(L116-1))</f>
        <v>1.7983908312248727E-2</v>
      </c>
      <c r="R116" t="s">
        <v>103</v>
      </c>
      <c r="S116" t="s">
        <v>28</v>
      </c>
      <c r="T116" s="57">
        <f>C321</f>
        <v>1.3631659721831981</v>
      </c>
      <c r="U116" s="57">
        <f t="shared" ref="U116:X119" si="19">D321</f>
        <v>5.276009931964416</v>
      </c>
      <c r="V116" s="57">
        <f t="shared" si="19"/>
        <v>58.267531506259509</v>
      </c>
      <c r="W116" s="57">
        <f t="shared" si="19"/>
        <v>24.971774662628956</v>
      </c>
      <c r="X116" s="57">
        <f t="shared" si="19"/>
        <v>10.12151792696392</v>
      </c>
      <c r="Z116" s="74"/>
      <c r="AA116" s="12"/>
      <c r="AD116" s="51"/>
      <c r="AE116" s="51"/>
      <c r="AH116" s="78"/>
      <c r="AI116" s="78"/>
      <c r="AJ116" s="115" t="s">
        <v>379</v>
      </c>
      <c r="AK116" s="107" t="s">
        <v>9</v>
      </c>
      <c r="AL116" s="116">
        <f>AW94</f>
        <v>2104.7199999999998</v>
      </c>
      <c r="AM116" s="116">
        <f>AW95</f>
        <v>7227.42</v>
      </c>
      <c r="AN116" s="116">
        <f>AW96</f>
        <v>91674.78</v>
      </c>
      <c r="AO116" s="116">
        <f>AW97</f>
        <v>37015.5</v>
      </c>
      <c r="AP116" s="116">
        <f>AW98</f>
        <v>17863.22</v>
      </c>
      <c r="AQ116" s="107"/>
      <c r="AR116" s="115" t="s">
        <v>36</v>
      </c>
      <c r="AS116" s="137">
        <f>AW99</f>
        <v>155885.63999999998</v>
      </c>
      <c r="AW116" s="102"/>
      <c r="AX116" s="1" t="s">
        <v>385</v>
      </c>
      <c r="AY116" s="104"/>
    </row>
    <row r="117" spans="1:51" ht="15.6" x14ac:dyDescent="0.35">
      <c r="A117" t="s">
        <v>7</v>
      </c>
      <c r="B117" s="13">
        <v>4</v>
      </c>
      <c r="C117" s="35">
        <f t="shared" si="18"/>
        <v>0</v>
      </c>
      <c r="D117" s="36">
        <f t="shared" si="18"/>
        <v>4.5950129720056368E-2</v>
      </c>
      <c r="E117" s="21">
        <f t="shared" si="18"/>
        <v>0.27570077832033818</v>
      </c>
      <c r="F117" s="21">
        <f t="shared" si="18"/>
        <v>2.7110576534833255</v>
      </c>
      <c r="G117" s="37">
        <f t="shared" si="18"/>
        <v>8.4701405783970571</v>
      </c>
      <c r="H117" s="17">
        <f>SUM(C117:G117)</f>
        <v>11.502849139920777</v>
      </c>
      <c r="I117" s="17">
        <f>G117/H117*100</f>
        <v>73.635153129161125</v>
      </c>
      <c r="J117" s="17">
        <f>SQRT(I117*(100-I117)/(L117-1))</f>
        <v>1.6088834789219946</v>
      </c>
      <c r="K117" s="18">
        <f>100-I117</f>
        <v>26.364846870838875</v>
      </c>
      <c r="L117" s="1">
        <f>H106</f>
        <v>751</v>
      </c>
      <c r="M117">
        <v>4</v>
      </c>
      <c r="N117" s="1">
        <v>17931.29</v>
      </c>
      <c r="O117" s="17">
        <f>N117/N118*100</f>
        <v>11.502849139920777</v>
      </c>
      <c r="P117" s="52">
        <f>((O117*O117*(I117/100)*(K117/100))/(L117-1))</f>
        <v>3.42499571325523E-2</v>
      </c>
      <c r="S117" s="66" t="s">
        <v>39</v>
      </c>
      <c r="T117" s="67">
        <f>C322</f>
        <v>0</v>
      </c>
      <c r="U117" s="67">
        <f t="shared" si="19"/>
        <v>0.14268200015436452</v>
      </c>
      <c r="V117" s="67">
        <f t="shared" si="19"/>
        <v>0.19455087195966841</v>
      </c>
      <c r="W117" s="67">
        <f t="shared" si="19"/>
        <v>0.23154179329926439</v>
      </c>
      <c r="X117" s="67">
        <f t="shared" si="19"/>
        <v>0.21832543639152327</v>
      </c>
      <c r="AD117" s="51"/>
      <c r="AE117" s="51"/>
      <c r="AJ117" s="115" t="s">
        <v>378</v>
      </c>
      <c r="AK117" s="107" t="s">
        <v>68</v>
      </c>
      <c r="AL117" s="108">
        <f>$AS116*AL109/100</f>
        <v>2104.7199999999998</v>
      </c>
      <c r="AM117" s="108">
        <f>$AS116*AM109/100</f>
        <v>8820.1764547391722</v>
      </c>
      <c r="AN117" s="108">
        <f>$AS116*AN109/100</f>
        <v>90990.201317289102</v>
      </c>
      <c r="AO117" s="108">
        <f>$AS116*AO109/100</f>
        <v>38927.941775903761</v>
      </c>
      <c r="AP117" s="108">
        <f>$AS116*AP109/100</f>
        <v>15042.600452067989</v>
      </c>
      <c r="AQ117" s="107"/>
      <c r="AR117" s="115" t="s">
        <v>36</v>
      </c>
      <c r="AS117" s="137">
        <f>SUM(AL117:AP117)</f>
        <v>155885.64000000004</v>
      </c>
    </row>
    <row r="118" spans="1:51" x14ac:dyDescent="0.3">
      <c r="B118" t="s">
        <v>28</v>
      </c>
      <c r="C118" s="17">
        <f t="shared" ref="C118:H118" si="20">SUM(C113:C117)</f>
        <v>1.3371656441364466</v>
      </c>
      <c r="D118" s="17">
        <f t="shared" si="20"/>
        <v>5.8856869531095262</v>
      </c>
      <c r="E118" s="17">
        <f t="shared" si="20"/>
        <v>57.939268426593166</v>
      </c>
      <c r="F118" s="17">
        <f t="shared" si="20"/>
        <v>25.045259503655792</v>
      </c>
      <c r="G118" s="17">
        <f t="shared" si="20"/>
        <v>9.7926194725050433</v>
      </c>
      <c r="H118" s="18">
        <f t="shared" si="20"/>
        <v>99.999999999999972</v>
      </c>
      <c r="I118" s="13" t="s">
        <v>24</v>
      </c>
      <c r="J118" s="12" t="s">
        <v>29</v>
      </c>
      <c r="N118" s="1">
        <f>SUM(N113:N117)</f>
        <v>155885.64000000001</v>
      </c>
      <c r="O118" s="17">
        <f>SUM(O113:O117)</f>
        <v>99.999999999999972</v>
      </c>
      <c r="S118" t="s">
        <v>30</v>
      </c>
      <c r="T118" s="57">
        <f>C323</f>
        <v>100</v>
      </c>
      <c r="U118" s="57">
        <f t="shared" si="19"/>
        <v>75.810594005061688</v>
      </c>
      <c r="V118" s="57">
        <f t="shared" si="19"/>
        <v>97.538774203645971</v>
      </c>
      <c r="W118" s="57">
        <f t="shared" si="19"/>
        <v>87.861848926239801</v>
      </c>
      <c r="X118" s="57">
        <f t="shared" si="19"/>
        <v>86.458745387941647</v>
      </c>
      <c r="AD118" s="51"/>
      <c r="AE118" s="51"/>
      <c r="AH118" s="78"/>
      <c r="AI118" s="78"/>
      <c r="AJ118" s="109"/>
      <c r="AK118" s="109" t="s">
        <v>377</v>
      </c>
      <c r="AL118" s="110">
        <f>$AS116*AL110/100</f>
        <v>0</v>
      </c>
      <c r="AM118" s="110">
        <f>$AS116*AM110/100</f>
        <v>220.04879540452259</v>
      </c>
      <c r="AN118" s="110">
        <f>$AS116*AN110/100</f>
        <v>306.18616778536244</v>
      </c>
      <c r="AO118" s="110">
        <f>$AS116*AO110/100</f>
        <v>358.21755323874771</v>
      </c>
      <c r="AP118" s="110">
        <f>$AS116*AP110/100</f>
        <v>335.44614928571224</v>
      </c>
      <c r="AQ118" s="107"/>
      <c r="AR118" s="107"/>
      <c r="AS118" s="107"/>
    </row>
    <row r="119" spans="1:51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1.4940631408970992E-2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0.13834118447854502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0.18855271082562106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0.23319195809759444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0.21957512506542093</v>
      </c>
      <c r="H119" s="1"/>
      <c r="I119" s="56">
        <f>(C113+D114+E115+F116+G117)/H118</f>
        <v>0.92801175889853393</v>
      </c>
      <c r="J119" s="53">
        <f>SQRT(SUM(P113:P117))/100</f>
        <v>2.7755860974653756E-3</v>
      </c>
      <c r="M119" s="1"/>
      <c r="N119" s="9"/>
      <c r="S119" s="66" t="s">
        <v>39</v>
      </c>
      <c r="T119" s="67">
        <f>C324</f>
        <v>0</v>
      </c>
      <c r="U119" s="67">
        <f t="shared" si="19"/>
        <v>4.3733450678761665</v>
      </c>
      <c r="V119" s="67">
        <f t="shared" si="19"/>
        <v>0.23961136110824188</v>
      </c>
      <c r="W119" s="67">
        <f t="shared" si="19"/>
        <v>0.9316495626874034</v>
      </c>
      <c r="X119" s="67">
        <f t="shared" si="19"/>
        <v>2.6543897644230063</v>
      </c>
      <c r="AD119" s="51"/>
      <c r="AE119" s="51"/>
      <c r="AJ119" s="115" t="s">
        <v>410</v>
      </c>
      <c r="AK119" s="122" t="s">
        <v>9</v>
      </c>
      <c r="AL119" s="136">
        <f>AVERAGE(AR195:AR214)</f>
        <v>2093.3135000000002</v>
      </c>
      <c r="AM119" s="136">
        <f>AVERAGE(AS195:AS214)</f>
        <v>7245.4624999999996</v>
      </c>
      <c r="AN119" s="136">
        <f>AVERAGE(AT195:AT214)</f>
        <v>91535.944500000012</v>
      </c>
      <c r="AO119" s="136">
        <f>AVERAGE(AU195:AU214)</f>
        <v>37035.397000000004</v>
      </c>
      <c r="AP119" s="136">
        <f>AVERAGE(AV195:AV214)</f>
        <v>17975.521500000006</v>
      </c>
      <c r="AQ119" s="107"/>
      <c r="AR119" s="115" t="s">
        <v>36</v>
      </c>
      <c r="AS119" s="137">
        <f>SUM(AL119:AP119)</f>
        <v>155885.63900000002</v>
      </c>
    </row>
    <row r="120" spans="1:51" x14ac:dyDescent="0.3">
      <c r="B120" s="1" t="s">
        <v>30</v>
      </c>
      <c r="C120" s="17">
        <f>C113/C118*100</f>
        <v>100</v>
      </c>
      <c r="D120" s="17">
        <f>D114/D118*100</f>
        <v>75.906257053332226</v>
      </c>
      <c r="E120" s="17">
        <f>E115/E118*100</f>
        <v>97.7935160245204</v>
      </c>
      <c r="F120" s="17">
        <f>F116/F118*100</f>
        <v>87.303616250796694</v>
      </c>
      <c r="G120" s="17">
        <f>G117/G118*100</f>
        <v>86.495146698785348</v>
      </c>
      <c r="H120" s="1"/>
      <c r="S120" s="15" t="s">
        <v>31</v>
      </c>
      <c r="T120" s="71">
        <f>I316</f>
        <v>100</v>
      </c>
      <c r="U120" s="71">
        <f>I317</f>
        <v>91.044776119402997</v>
      </c>
      <c r="V120" s="71">
        <f>I318</f>
        <v>96.689075630252105</v>
      </c>
      <c r="W120" s="71">
        <f>I319</f>
        <v>92.062799825556041</v>
      </c>
      <c r="X120" s="71">
        <f>I320</f>
        <v>75.233022636484677</v>
      </c>
      <c r="AD120" s="51"/>
      <c r="AE120" s="51"/>
      <c r="AH120" s="78"/>
      <c r="AI120" s="78"/>
      <c r="AJ120" s="141"/>
      <c r="AK120" s="129" t="s">
        <v>394</v>
      </c>
      <c r="AL120" s="125">
        <f>_xlfn.STDEV.S(AR195:AR214)/SQRT($AK$108)</f>
        <v>3.3121747725149091</v>
      </c>
      <c r="AM120" s="125">
        <f>_xlfn.STDEV.S(AS195:AS214)/SQRT($AK$108)</f>
        <v>49.232357197247495</v>
      </c>
      <c r="AN120" s="125">
        <f>_xlfn.STDEV.S(AT195:AT214)/SQRT($AK$108)</f>
        <v>61.38274043150561</v>
      </c>
      <c r="AO120" s="125">
        <f>_xlfn.STDEV.S(AU195:AU214)/SQRT($AK$108)</f>
        <v>38.050913586791395</v>
      </c>
      <c r="AP120" s="125">
        <f>_xlfn.STDEV.S(AV195:AV214)/SQRT($AK$108)</f>
        <v>45.965427576059859</v>
      </c>
      <c r="AQ120" s="107"/>
      <c r="AR120" s="107"/>
      <c r="AS120" s="107"/>
    </row>
    <row r="121" spans="1:51" x14ac:dyDescent="0.3">
      <c r="B121" s="16" t="s">
        <v>39</v>
      </c>
      <c r="C121" s="18">
        <f>SQRT((C124+C125)/(C118*C118))</f>
        <v>0</v>
      </c>
      <c r="D121" s="18">
        <f>SQRT((D124+D125)/(D118*D118))</f>
        <v>3.3278963939438837</v>
      </c>
      <c r="E121" s="18">
        <f>SQRT((E124+E125)/(E118*E118))</f>
        <v>0.22145178337870361</v>
      </c>
      <c r="F121" s="18">
        <f>SQRT((F124+F125)/(F118*F118))</f>
        <v>0.95133683722224693</v>
      </c>
      <c r="G121" s="18">
        <f>SQRT((G124+G125)/(G118*G118))</f>
        <v>2.7582316906647195</v>
      </c>
      <c r="H121" s="1"/>
      <c r="S121" s="75" t="s">
        <v>39</v>
      </c>
      <c r="T121" s="76">
        <f>J316</f>
        <v>0</v>
      </c>
      <c r="U121" s="76">
        <f>J317</f>
        <v>2.0190670535027873</v>
      </c>
      <c r="V121" s="76">
        <f>J318</f>
        <v>0.2319750889387675</v>
      </c>
      <c r="W121" s="76">
        <f>J319</f>
        <v>0.56463585032377839</v>
      </c>
      <c r="X121" s="76">
        <f>J320</f>
        <v>1.5761956598623375</v>
      </c>
      <c r="AD121" s="51"/>
      <c r="AE121" s="51"/>
      <c r="AJ121" s="119" t="s">
        <v>432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</row>
    <row r="122" spans="1:51" x14ac:dyDescent="0.3">
      <c r="B122" s="1" t="s">
        <v>37</v>
      </c>
      <c r="C122" s="18">
        <f>100-C120</f>
        <v>0</v>
      </c>
      <c r="D122" s="18">
        <f>100-D120</f>
        <v>24.093742946667774</v>
      </c>
      <c r="E122" s="18">
        <f>100-E120</f>
        <v>2.2064839754795997</v>
      </c>
      <c r="F122" s="18">
        <f>100-F120</f>
        <v>12.696383749203306</v>
      </c>
      <c r="G122" s="18">
        <f>100-G120</f>
        <v>13.504853301214652</v>
      </c>
      <c r="S122" s="66" t="s">
        <v>56</v>
      </c>
      <c r="T122" s="67">
        <f>N305*100</f>
        <v>100</v>
      </c>
      <c r="U122" s="67">
        <f>N306*100</f>
        <v>71.484375000000014</v>
      </c>
      <c r="V122" s="67">
        <f>N307*100</f>
        <v>97.384680490901403</v>
      </c>
      <c r="W122" s="67">
        <f>N308*100</f>
        <v>91.464471403812837</v>
      </c>
      <c r="X122" s="67">
        <f>N309*100</f>
        <v>78.092605390463035</v>
      </c>
      <c r="AD122" s="51"/>
      <c r="AE122" s="51"/>
      <c r="AH122" s="78"/>
      <c r="AI122" s="78"/>
      <c r="AJ122" s="115" t="s">
        <v>409</v>
      </c>
      <c r="AK122" s="122" t="s">
        <v>9</v>
      </c>
      <c r="AL122" s="136">
        <v>127.48</v>
      </c>
      <c r="AM122" s="136">
        <v>894.44</v>
      </c>
      <c r="AN122" s="136">
        <v>11434.58</v>
      </c>
      <c r="AO122" s="136">
        <v>1481.15</v>
      </c>
      <c r="AP122" s="136">
        <v>1273.72</v>
      </c>
      <c r="AQ122" s="107"/>
      <c r="AR122" s="115" t="s">
        <v>36</v>
      </c>
      <c r="AS122" s="137">
        <f>SUM(AL122:AP122)</f>
        <v>15211.369999999999</v>
      </c>
      <c r="AU122">
        <v>1</v>
      </c>
      <c r="AV122">
        <v>68</v>
      </c>
    </row>
    <row r="123" spans="1:51" ht="15.6" x14ac:dyDescent="0.35">
      <c r="B123" s="1" t="s">
        <v>25</v>
      </c>
      <c r="C123" s="1">
        <f>C107</f>
        <v>89</v>
      </c>
      <c r="D123" s="1">
        <f>D107</f>
        <v>333</v>
      </c>
      <c r="E123" s="1">
        <f>E107</f>
        <v>5850</v>
      </c>
      <c r="F123" s="1">
        <f>F107</f>
        <v>2335</v>
      </c>
      <c r="G123" s="1">
        <f>G107</f>
        <v>678</v>
      </c>
      <c r="R123" s="16" t="s">
        <v>66</v>
      </c>
      <c r="S123" t="s">
        <v>9</v>
      </c>
      <c r="T123" s="30">
        <f>N316</f>
        <v>2124.98</v>
      </c>
      <c r="U123" s="30">
        <f>N317</f>
        <v>6848.36</v>
      </c>
      <c r="V123" s="30">
        <f>N318</f>
        <v>91628.93</v>
      </c>
      <c r="W123" s="30">
        <f>N319</f>
        <v>37151.1</v>
      </c>
      <c r="X123" s="30">
        <f>N320</f>
        <v>18132.27</v>
      </c>
      <c r="Z123" t="s">
        <v>36</v>
      </c>
      <c r="AA123" s="1">
        <f>N321</f>
        <v>155885.63999999998</v>
      </c>
      <c r="AD123" s="51"/>
      <c r="AE123" s="51"/>
      <c r="AJ123" s="107"/>
      <c r="AK123" s="107" t="s">
        <v>391</v>
      </c>
      <c r="AL123" s="108">
        <f>(AL122/$AS122)*100</f>
        <v>0.83805732159562218</v>
      </c>
      <c r="AM123" s="108">
        <f>(AM122/$AS122)*100</f>
        <v>5.8800752331972737</v>
      </c>
      <c r="AN123" s="108">
        <f>(AN122/$AS122)*100</f>
        <v>75.171269911914578</v>
      </c>
      <c r="AO123" s="108">
        <f>(AO122/$AS122)*100</f>
        <v>9.7371242695431128</v>
      </c>
      <c r="AP123" s="108">
        <f>(AP122/$AS122)*100</f>
        <v>8.3734732637494211</v>
      </c>
      <c r="AQ123" s="107"/>
      <c r="AR123" s="107"/>
      <c r="AS123" s="107"/>
      <c r="AU123">
        <v>2</v>
      </c>
      <c r="AV123">
        <v>97</v>
      </c>
    </row>
    <row r="124" spans="1:51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303.31553506044031</v>
      </c>
      <c r="E124" s="18">
        <f>(O115*O115*(100-E120)*(100-E120)*(I115)*(100-I115))/((L115-1)*100)</f>
        <v>9.4227248996443791</v>
      </c>
      <c r="F124" s="18">
        <f>(O116*O116*(100-F120)*(100-F120)*(I116)*(100-I116))/((L116-1)*100)</f>
        <v>289.89729350648679</v>
      </c>
      <c r="G124" s="18">
        <f>(O117*O117*(100-G120)*(100-G120)*(I117)*(100-I117))/((L117-1)*100)</f>
        <v>624.65435788303273</v>
      </c>
      <c r="R124" s="16" t="s">
        <v>323</v>
      </c>
      <c r="S124" t="s">
        <v>68</v>
      </c>
      <c r="T124" s="57">
        <f>$AA123*T116/100</f>
        <v>2124.9800000000005</v>
      </c>
      <c r="U124" s="57">
        <f>$AA123*U116/100</f>
        <v>8224.541848906294</v>
      </c>
      <c r="V124" s="57">
        <f>$AA123*V116/100</f>
        <v>90830.714400734272</v>
      </c>
      <c r="W124" s="57">
        <f>$AA123*W116/100</f>
        <v>38927.410752196985</v>
      </c>
      <c r="X124" s="57">
        <f>$AA123*X116/100</f>
        <v>15777.992998162437</v>
      </c>
      <c r="Z124" t="s">
        <v>36</v>
      </c>
      <c r="AA124" s="25">
        <f>SUM(T124:X124)</f>
        <v>155885.63999999998</v>
      </c>
      <c r="AD124" s="51"/>
      <c r="AE124" s="51"/>
      <c r="AH124" s="78"/>
      <c r="AI124" s="78"/>
      <c r="AJ124" s="115" t="s">
        <v>410</v>
      </c>
      <c r="AK124" s="122" t="s">
        <v>9</v>
      </c>
      <c r="AL124" s="136">
        <f>AVERAGE(AR216:AR235)</f>
        <v>126.3105</v>
      </c>
      <c r="AM124" s="136">
        <f>AVERAGE(AS216:AS235)</f>
        <v>920.04899999999998</v>
      </c>
      <c r="AN124" s="136">
        <f>AVERAGE(AT216:AT235)</f>
        <v>11401.132500000002</v>
      </c>
      <c r="AO124" s="136">
        <f>AVERAGE(AU216:AU235)</f>
        <v>1476.9025000000001</v>
      </c>
      <c r="AP124" s="136">
        <f>AVERAGE(AV216:AV235)</f>
        <v>1286.9755</v>
      </c>
      <c r="AQ124" s="107"/>
      <c r="AR124" s="115" t="s">
        <v>36</v>
      </c>
      <c r="AS124" s="137">
        <f>SUM(AL124:AP124)</f>
        <v>15211.370000000003</v>
      </c>
      <c r="AU124">
        <v>3</v>
      </c>
      <c r="AV124">
        <v>126</v>
      </c>
    </row>
    <row r="125" spans="1:51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80.333325451117915</v>
      </c>
      <c r="E125" s="18">
        <f>E120*E120*(SUM((H113*E113*(1-E102/H102))/(H102-1),(H114*E114*(1-E103/H103))/(H103-1), (H116*E116*(1-E105/H105))/(H105-1),(H117*E117*(1-E106/H106))/(H106-1)))</f>
        <v>155.20553153919664</v>
      </c>
      <c r="F125" s="18">
        <f>F120*F120*(SUM((H113*F113*(1-F102/H102))/(H102-1),(H114*F114*(1-F103/H103))/(H103-1), (H115*F115*(1-F104/H104))/(H104-1),(H117*F117*(1-F106/H106))/(H106-1)))</f>
        <v>277.80375864430277</v>
      </c>
      <c r="G125" s="18">
        <f>G120*G120*(SUM((H113*G113*(1-G102/H102))/(H102-1),(H114*G114*(1-G103/H103))/(H103-1), (H115*G115*(1-G104/H104))/(H104-1),(H116*G116*(1-G105/H105))/(H105-1)))</f>
        <v>104.90267012136505</v>
      </c>
      <c r="R125" s="66"/>
      <c r="S125" s="66" t="s">
        <v>67</v>
      </c>
      <c r="T125" s="67">
        <f>$AA123*T117/100</f>
        <v>0</v>
      </c>
      <c r="U125" s="67">
        <f>$AA123*U117/100</f>
        <v>222.42074910543212</v>
      </c>
      <c r="V125" s="67">
        <f>$AA123*V117/100</f>
        <v>303.27687187990961</v>
      </c>
      <c r="W125" s="67">
        <f>$AA123*W117/100</f>
        <v>360.94040635203532</v>
      </c>
      <c r="X125" s="67">
        <f>$AA123*X117/100</f>
        <v>340.33800380171897</v>
      </c>
      <c r="AA125" s="1"/>
      <c r="AD125" s="51"/>
      <c r="AE125" s="51"/>
      <c r="AJ125" s="107"/>
      <c r="AK125" s="129" t="s">
        <v>394</v>
      </c>
      <c r="AL125" s="125">
        <f>_xlfn.STDEV.S(AR216:AR235)/SQRT($AK$108)</f>
        <v>0.38764910543862796</v>
      </c>
      <c r="AM125" s="125">
        <f>_xlfn.STDEV.S(AS216:AS235)/SQRT($AK$108)</f>
        <v>11.106941710385208</v>
      </c>
      <c r="AN125" s="125">
        <f>_xlfn.STDEV.S(AT216:AT235)/SQRT($AK$108)</f>
        <v>11.338555669530994</v>
      </c>
      <c r="AO125" s="125">
        <f>_xlfn.STDEV.S(AU216:AU235)/SQRT($AK$108)</f>
        <v>3.3026622335545253</v>
      </c>
      <c r="AP125" s="125">
        <f>_xlfn.STDEV.S(AV216:AV235)/SQRT($AK$108)</f>
        <v>6.0754688134029244</v>
      </c>
      <c r="AQ125" s="107"/>
      <c r="AR125" s="107"/>
      <c r="AS125" s="142"/>
      <c r="AU125">
        <v>4</v>
      </c>
      <c r="AV125">
        <v>155</v>
      </c>
    </row>
    <row r="126" spans="1:51" x14ac:dyDescent="0.3">
      <c r="R126" t="s">
        <v>104</v>
      </c>
      <c r="S126" t="s">
        <v>28</v>
      </c>
      <c r="T126" s="57">
        <f>C350</f>
        <v>1.3500537958467502</v>
      </c>
      <c r="U126" s="57">
        <f t="shared" ref="U126:X129" si="21">D350</f>
        <v>5.704869132308926</v>
      </c>
      <c r="V126" s="57">
        <f t="shared" si="21"/>
        <v>58.041584619178487</v>
      </c>
      <c r="W126" s="57">
        <f t="shared" si="21"/>
        <v>25.048424917315497</v>
      </c>
      <c r="X126" s="57">
        <f t="shared" si="21"/>
        <v>9.8550675353503223</v>
      </c>
      <c r="Y126" s="13"/>
      <c r="Z126" s="74"/>
      <c r="AA126" s="12"/>
      <c r="AD126" s="51"/>
      <c r="AE126" s="51"/>
      <c r="AH126" s="78"/>
      <c r="AI126" s="78"/>
      <c r="AJ126" s="119" t="s">
        <v>433</v>
      </c>
      <c r="AK126" s="107"/>
      <c r="AL126" s="116"/>
      <c r="AM126" s="116"/>
      <c r="AN126" s="116"/>
      <c r="AO126" s="116"/>
      <c r="AP126" s="116"/>
      <c r="AQ126" s="107"/>
      <c r="AR126" s="107"/>
      <c r="AS126" s="142"/>
      <c r="AU126">
        <v>5</v>
      </c>
      <c r="AV126">
        <v>184</v>
      </c>
    </row>
    <row r="127" spans="1:51" x14ac:dyDescent="0.3">
      <c r="S127" s="66" t="s">
        <v>39</v>
      </c>
      <c r="T127" s="67">
        <f>C351</f>
        <v>0</v>
      </c>
      <c r="U127" s="67">
        <f t="shared" si="21"/>
        <v>0.14350382614839113</v>
      </c>
      <c r="V127" s="67">
        <f t="shared" si="21"/>
        <v>0.1896808643560258</v>
      </c>
      <c r="W127" s="67">
        <f t="shared" si="21"/>
        <v>0.22533715475368857</v>
      </c>
      <c r="X127" s="67">
        <f t="shared" si="21"/>
        <v>0.21188121067857504</v>
      </c>
      <c r="AD127" s="51"/>
      <c r="AE127" s="51"/>
      <c r="AJ127" s="115" t="s">
        <v>409</v>
      </c>
      <c r="AK127" s="122" t="s">
        <v>9</v>
      </c>
      <c r="AL127" s="136">
        <v>32.28</v>
      </c>
      <c r="AM127" s="136">
        <v>74.58</v>
      </c>
      <c r="AN127" s="136">
        <v>12858.68</v>
      </c>
      <c r="AO127" s="136">
        <v>12748.79</v>
      </c>
      <c r="AP127" s="136">
        <v>9725.4699999999993</v>
      </c>
      <c r="AQ127" s="107"/>
      <c r="AR127" s="115" t="s">
        <v>36</v>
      </c>
      <c r="AS127" s="137">
        <f>SUM(AL127:AP127)</f>
        <v>35439.800000000003</v>
      </c>
      <c r="AU127">
        <v>6</v>
      </c>
      <c r="AV127">
        <v>213</v>
      </c>
    </row>
    <row r="128" spans="1:51" x14ac:dyDescent="0.3">
      <c r="A128" s="361" t="s">
        <v>429</v>
      </c>
      <c r="B128" s="361"/>
      <c r="C128" s="361"/>
      <c r="D128" s="361"/>
      <c r="E128" s="361"/>
      <c r="F128" s="361"/>
      <c r="G128" s="361"/>
      <c r="H128" s="361"/>
      <c r="I128" s="361"/>
      <c r="J128" s="361"/>
      <c r="K128" s="361"/>
      <c r="L128" s="361" t="s">
        <v>64</v>
      </c>
      <c r="M128" s="361"/>
      <c r="N128" s="361"/>
      <c r="O128" s="361"/>
      <c r="P128" s="361"/>
      <c r="S128" t="s">
        <v>30</v>
      </c>
      <c r="T128" s="57">
        <f>C352</f>
        <v>100</v>
      </c>
      <c r="U128" s="57">
        <f t="shared" si="21"/>
        <v>76.715550496249037</v>
      </c>
      <c r="V128" s="57">
        <f t="shared" si="21"/>
        <v>97.802970413709502</v>
      </c>
      <c r="W128" s="57">
        <f t="shared" si="21"/>
        <v>88.343930999270498</v>
      </c>
      <c r="X128" s="57">
        <f t="shared" si="21"/>
        <v>86.595411078829329</v>
      </c>
      <c r="AD128" s="51"/>
      <c r="AE128" s="51"/>
      <c r="AH128" s="78"/>
      <c r="AI128" s="78"/>
      <c r="AJ128" s="107"/>
      <c r="AK128" s="107" t="s">
        <v>391</v>
      </c>
      <c r="AL128" s="108">
        <f>(AL127/$AS127)*100</f>
        <v>9.1084035462954085E-2</v>
      </c>
      <c r="AM128" s="108">
        <f>(AM127/$AS127)*100</f>
        <v>0.21044136817927867</v>
      </c>
      <c r="AN128" s="108">
        <f>(AN127/$AS127)*100</f>
        <v>36.283161868859303</v>
      </c>
      <c r="AO128" s="108">
        <f>(AO127/$AS127)*100</f>
        <v>35.973086755568595</v>
      </c>
      <c r="AP128" s="108">
        <f>(AP127/$AS127)*100</f>
        <v>27.442225971929862</v>
      </c>
      <c r="AQ128" s="107"/>
      <c r="AR128" s="107"/>
      <c r="AS128" s="142"/>
      <c r="AU128">
        <v>7</v>
      </c>
      <c r="AV128">
        <v>242</v>
      </c>
    </row>
    <row r="129" spans="1:48" x14ac:dyDescent="0.3">
      <c r="A129" t="s">
        <v>320</v>
      </c>
      <c r="B129" t="s">
        <v>21</v>
      </c>
      <c r="I129" s="1" t="s">
        <v>58</v>
      </c>
      <c r="O129" s="143"/>
      <c r="P129" s="143"/>
      <c r="S129" s="66" t="s">
        <v>39</v>
      </c>
      <c r="T129" s="67">
        <f>C353</f>
        <v>0</v>
      </c>
      <c r="U129" s="67">
        <f t="shared" si="21"/>
        <v>3.8988208104453106</v>
      </c>
      <c r="V129" s="67">
        <f t="shared" si="21"/>
        <v>0.22747058484451019</v>
      </c>
      <c r="W129" s="67">
        <f t="shared" si="21"/>
        <v>0.89099562724338233</v>
      </c>
      <c r="X129" s="67">
        <f t="shared" si="21"/>
        <v>2.6066030018544937</v>
      </c>
      <c r="AD129" s="51"/>
      <c r="AE129" s="51"/>
      <c r="AJ129" s="115" t="s">
        <v>410</v>
      </c>
      <c r="AK129" s="122" t="s">
        <v>9</v>
      </c>
      <c r="AL129" s="136">
        <f>AVERAGE(AL195:AL214)</f>
        <v>33.073999999999998</v>
      </c>
      <c r="AM129" s="136">
        <f>AVERAGE(AM195:AM214)</f>
        <v>80.141499999999979</v>
      </c>
      <c r="AN129" s="136">
        <f>AVERAGE(AN195:AN214)</f>
        <v>12861.898499999999</v>
      </c>
      <c r="AO129" s="136">
        <f>AVERAGE(AO195:AO214)</f>
        <v>12737.435500000001</v>
      </c>
      <c r="AP129" s="136">
        <f>AVERAGE(AP195:AP214)</f>
        <v>9727.2484999999979</v>
      </c>
      <c r="AQ129" s="107"/>
      <c r="AR129" s="115" t="s">
        <v>36</v>
      </c>
      <c r="AS129" s="137">
        <f>SUM(AL129:AP129)</f>
        <v>35439.797999999995</v>
      </c>
      <c r="AU129">
        <v>8</v>
      </c>
      <c r="AV129">
        <v>271</v>
      </c>
    </row>
    <row r="130" spans="1:48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56</v>
      </c>
      <c r="O130" s="13"/>
      <c r="P130" s="13"/>
      <c r="S130" s="15" t="s">
        <v>31</v>
      </c>
      <c r="T130" s="71">
        <f>I345</f>
        <v>100</v>
      </c>
      <c r="U130" s="71">
        <f>I346</f>
        <v>92.53731343283583</v>
      </c>
      <c r="V130" s="71">
        <f>I347</f>
        <v>96.655462184873954</v>
      </c>
      <c r="W130" s="71">
        <f>I348</f>
        <v>92.411687745311824</v>
      </c>
      <c r="X130" s="71">
        <f>I349</f>
        <v>75.898801597869507</v>
      </c>
      <c r="AD130" s="51"/>
      <c r="AE130" s="51"/>
      <c r="AH130" s="78"/>
      <c r="AI130" s="78"/>
      <c r="AJ130" s="107"/>
      <c r="AK130" s="129" t="s">
        <v>394</v>
      </c>
      <c r="AL130" s="125">
        <f>_xlfn.STDEV.S(AL195:AL214)/SQRT($AK$108)</f>
        <v>0.51443039527126255</v>
      </c>
      <c r="AM130" s="125">
        <f>_xlfn.STDEV.S(AM195:AM214)/SQRT($AK$108)</f>
        <v>1.3152834945564518</v>
      </c>
      <c r="AN130" s="125">
        <f>_xlfn.STDEV.S(AN195:AN214)/SQRT($AK$108)</f>
        <v>20.072385852931063</v>
      </c>
      <c r="AO130" s="125">
        <f>_xlfn.STDEV.S(AO195:AO214)/SQRT($AK$108)</f>
        <v>13.57398379398899</v>
      </c>
      <c r="AP130" s="125">
        <f>_xlfn.STDEV.S(AP195:AP214)/SQRT($AK$108)</f>
        <v>25.427067159923567</v>
      </c>
      <c r="AQ130" s="107"/>
      <c r="AR130" s="107"/>
      <c r="AS130" s="142"/>
      <c r="AU130">
        <v>9</v>
      </c>
      <c r="AV130">
        <v>300</v>
      </c>
    </row>
    <row r="131" spans="1:48" x14ac:dyDescent="0.3">
      <c r="A131" t="s">
        <v>3</v>
      </c>
      <c r="B131" s="13">
        <v>0</v>
      </c>
      <c r="C131" s="26">
        <v>89</v>
      </c>
      <c r="D131" s="3">
        <v>0</v>
      </c>
      <c r="E131" s="3">
        <v>0</v>
      </c>
      <c r="F131" s="3">
        <v>1</v>
      </c>
      <c r="G131" s="4">
        <v>0</v>
      </c>
      <c r="H131" s="1">
        <f>SUM(C131:G131)</f>
        <v>90</v>
      </c>
      <c r="I131" s="10">
        <f>C131/H131</f>
        <v>0.98888888888888893</v>
      </c>
      <c r="J131" s="11">
        <f>1-I131</f>
        <v>1.1111111111111072E-2</v>
      </c>
      <c r="K131">
        <f>H131-C136</f>
        <v>1</v>
      </c>
      <c r="N131" s="10">
        <f>2*(C137*I131)/(C137+I131)</f>
        <v>0.99441340782122911</v>
      </c>
      <c r="O131" s="1"/>
      <c r="P131" s="1"/>
      <c r="S131" s="75" t="s">
        <v>39</v>
      </c>
      <c r="T131" s="76">
        <f>J345</f>
        <v>0</v>
      </c>
      <c r="U131" s="76">
        <f>J346</f>
        <v>1.8581939698490635</v>
      </c>
      <c r="V131" s="76">
        <f>J347</f>
        <v>0.23310912371581605</v>
      </c>
      <c r="W131" s="76">
        <f>J348</f>
        <v>0.55313194517747255</v>
      </c>
      <c r="X131" s="76">
        <f>J349</f>
        <v>1.5617306962871638</v>
      </c>
      <c r="AD131" s="51"/>
      <c r="AE131" s="51"/>
      <c r="AJ131" s="119" t="s">
        <v>434</v>
      </c>
      <c r="AK131" s="107"/>
      <c r="AL131" s="116"/>
      <c r="AM131" s="116"/>
      <c r="AN131" s="116"/>
      <c r="AO131" s="116"/>
      <c r="AP131" s="116"/>
      <c r="AQ131" s="107"/>
      <c r="AR131" s="107"/>
      <c r="AS131" s="142"/>
      <c r="AU131">
        <v>10</v>
      </c>
      <c r="AV131">
        <v>329</v>
      </c>
    </row>
    <row r="132" spans="1:48" x14ac:dyDescent="0.3">
      <c r="A132" t="s">
        <v>4</v>
      </c>
      <c r="B132" s="13">
        <v>1</v>
      </c>
      <c r="C132" s="5">
        <v>0</v>
      </c>
      <c r="D132" s="27">
        <v>194</v>
      </c>
      <c r="E132" s="1">
        <v>5</v>
      </c>
      <c r="F132" s="1">
        <v>0</v>
      </c>
      <c r="G132" s="6">
        <v>2</v>
      </c>
      <c r="H132" s="1">
        <f>SUM(C132:G132)</f>
        <v>201</v>
      </c>
      <c r="I132" s="10">
        <f>D132/H132</f>
        <v>0.96517412935323388</v>
      </c>
      <c r="J132" s="11">
        <f>1-I132</f>
        <v>3.4825870646766122E-2</v>
      </c>
      <c r="K132">
        <f>H132-D136</f>
        <v>-137</v>
      </c>
      <c r="N132" s="10">
        <f>2*(D137*I132)/(D137+I132)</f>
        <v>0.71985157699443425</v>
      </c>
      <c r="O132" s="1"/>
      <c r="P132" s="1"/>
      <c r="S132" s="66" t="s">
        <v>56</v>
      </c>
      <c r="T132" s="67">
        <f>N334*100</f>
        <v>100</v>
      </c>
      <c r="U132" s="67">
        <f>N335*100</f>
        <v>71.40115163147793</v>
      </c>
      <c r="V132" s="67">
        <f>N336*100</f>
        <v>97.458057956278594</v>
      </c>
      <c r="W132" s="67">
        <f>N337*100</f>
        <v>91.691908264820427</v>
      </c>
      <c r="X132" s="67">
        <f>N338*100</f>
        <v>78.892733564013838</v>
      </c>
      <c r="AD132" s="51"/>
      <c r="AE132" s="51"/>
      <c r="AH132" s="78"/>
      <c r="AI132" s="78"/>
      <c r="AJ132" s="115" t="s">
        <v>409</v>
      </c>
      <c r="AK132" s="122" t="s">
        <v>9</v>
      </c>
      <c r="AL132" s="136">
        <v>0</v>
      </c>
      <c r="AM132" s="136">
        <v>6.52</v>
      </c>
      <c r="AN132" s="136">
        <v>920.19</v>
      </c>
      <c r="AO132" s="136">
        <v>229.97</v>
      </c>
      <c r="AP132" s="136">
        <v>110.75</v>
      </c>
      <c r="AQ132" s="107"/>
      <c r="AR132" s="115" t="s">
        <v>36</v>
      </c>
      <c r="AS132" s="137">
        <f>SUM(AL132:AP132)</f>
        <v>1267.43</v>
      </c>
      <c r="AU132">
        <v>11</v>
      </c>
      <c r="AV132">
        <v>358</v>
      </c>
    </row>
    <row r="133" spans="1:48" x14ac:dyDescent="0.3">
      <c r="A133" t="s">
        <v>5</v>
      </c>
      <c r="B133" s="13">
        <v>2</v>
      </c>
      <c r="C133" s="5">
        <v>0</v>
      </c>
      <c r="D133" s="1">
        <v>140</v>
      </c>
      <c r="E133" s="27">
        <v>5747</v>
      </c>
      <c r="F133" s="1">
        <v>42</v>
      </c>
      <c r="G133" s="6">
        <v>21</v>
      </c>
      <c r="H133" s="1">
        <f>SUM(C133:G133)</f>
        <v>5950</v>
      </c>
      <c r="I133" s="10">
        <f>E133/H133</f>
        <v>0.96588235294117653</v>
      </c>
      <c r="J133" s="11">
        <f>1-I133</f>
        <v>3.4117647058823475E-2</v>
      </c>
      <c r="K133">
        <f>H133-E136</f>
        <v>94</v>
      </c>
      <c r="N133" s="10">
        <f>2*(E137*I133)/(E137+I133)</f>
        <v>0.97357275961375567</v>
      </c>
      <c r="O133" s="1"/>
      <c r="P133" s="1"/>
      <c r="R133" s="16" t="s">
        <v>66</v>
      </c>
      <c r="S133" t="s">
        <v>9</v>
      </c>
      <c r="T133" s="30">
        <f>N345</f>
        <v>2104.54</v>
      </c>
      <c r="U133" s="30">
        <f>N346</f>
        <v>7372.56</v>
      </c>
      <c r="V133" s="30">
        <f>N347</f>
        <v>91552.67</v>
      </c>
      <c r="W133" s="30">
        <f>N348</f>
        <v>37328.14</v>
      </c>
      <c r="X133" s="30">
        <f>N349</f>
        <v>17527.73</v>
      </c>
      <c r="Z133" t="s">
        <v>36</v>
      </c>
      <c r="AA133" s="1">
        <f>N350</f>
        <v>155885.64000000001</v>
      </c>
      <c r="AD133" s="51"/>
      <c r="AE133" s="51"/>
      <c r="AJ133" s="107"/>
      <c r="AK133" s="107" t="s">
        <v>391</v>
      </c>
      <c r="AL133" s="108">
        <f>(AL132/$AS132)*100</f>
        <v>0</v>
      </c>
      <c r="AM133" s="108">
        <f>(AM132/$AS132)*100</f>
        <v>0.51442683225109076</v>
      </c>
      <c r="AN133" s="108">
        <f>(AN132/$AS132)*100</f>
        <v>72.602826191584541</v>
      </c>
      <c r="AO133" s="108">
        <f>(AO132/$AS132)*100</f>
        <v>18.144591811776586</v>
      </c>
      <c r="AP133" s="108">
        <f>(AP132/$AS132)*100</f>
        <v>8.7381551643877753</v>
      </c>
      <c r="AQ133" s="107"/>
      <c r="AR133" s="107"/>
      <c r="AS133" s="142"/>
      <c r="AU133">
        <v>12</v>
      </c>
      <c r="AV133">
        <v>387</v>
      </c>
    </row>
    <row r="134" spans="1:48" ht="15.6" x14ac:dyDescent="0.35">
      <c r="A134" t="s">
        <v>6</v>
      </c>
      <c r="B134" s="13">
        <v>3</v>
      </c>
      <c r="C134" s="5">
        <v>0</v>
      </c>
      <c r="D134" s="1">
        <v>1</v>
      </c>
      <c r="E134" s="1">
        <v>82</v>
      </c>
      <c r="F134" s="27">
        <v>2112</v>
      </c>
      <c r="G134" s="6">
        <v>98</v>
      </c>
      <c r="H134" s="1">
        <f>SUM(C134:G134)</f>
        <v>2293</v>
      </c>
      <c r="I134" s="10">
        <f>F134/H134</f>
        <v>0.92106410815525508</v>
      </c>
      <c r="J134" s="11">
        <f>1-I134</f>
        <v>7.8935891844744921E-2</v>
      </c>
      <c r="K134">
        <f>H134-F136</f>
        <v>-44</v>
      </c>
      <c r="N134" s="10">
        <f>2*(F137*I134)/(F137+I134)</f>
        <v>0.91231101511879054</v>
      </c>
      <c r="O134" s="1"/>
      <c r="P134" s="1"/>
      <c r="R134" s="16" t="s">
        <v>323</v>
      </c>
      <c r="S134" t="s">
        <v>68</v>
      </c>
      <c r="T134" s="57">
        <f>$AA133*T126/100</f>
        <v>2104.5400000000004</v>
      </c>
      <c r="U134" s="57">
        <f>$AA133*U126/100</f>
        <v>8893.0717580622168</v>
      </c>
      <c r="V134" s="57">
        <f>$AA133*V126/100</f>
        <v>90478.495649747958</v>
      </c>
      <c r="W134" s="57">
        <f>$AA133*W126/100</f>
        <v>39046.897492276737</v>
      </c>
      <c r="X134" s="57">
        <f>$AA133*X126/100</f>
        <v>15362.635099913077</v>
      </c>
      <c r="Z134" t="s">
        <v>36</v>
      </c>
      <c r="AA134" s="25">
        <f>SUM(T134:X134)</f>
        <v>155885.63999999998</v>
      </c>
      <c r="AD134" s="51"/>
      <c r="AE134" s="51"/>
      <c r="AH134" s="78"/>
      <c r="AI134" s="78"/>
      <c r="AJ134" s="115" t="s">
        <v>410</v>
      </c>
      <c r="AK134" s="122" t="s">
        <v>9</v>
      </c>
      <c r="AL134" s="136">
        <f>AVERAGE(AL216:AL235)</f>
        <v>0</v>
      </c>
      <c r="AM134" s="136">
        <f>AVERAGE(AM216:AM235)</f>
        <v>7.283500000000001</v>
      </c>
      <c r="AN134" s="136">
        <f>AVERAGE(AN216:AN235)</f>
        <v>918.44499999999994</v>
      </c>
      <c r="AO134" s="136">
        <f>AVERAGE(AO216:AO235)</f>
        <v>228.24150000000003</v>
      </c>
      <c r="AP134" s="136">
        <f>AVERAGE(AP216:AP235)</f>
        <v>113.455</v>
      </c>
      <c r="AQ134" s="107"/>
      <c r="AR134" s="115" t="s">
        <v>36</v>
      </c>
      <c r="AS134" s="137">
        <f>SUM(AL134:AP134)</f>
        <v>1267.425</v>
      </c>
      <c r="AU134">
        <v>13</v>
      </c>
      <c r="AV134">
        <v>416</v>
      </c>
    </row>
    <row r="135" spans="1:48" x14ac:dyDescent="0.3">
      <c r="A135" t="s">
        <v>7</v>
      </c>
      <c r="B135" s="13">
        <v>4</v>
      </c>
      <c r="C135" s="7">
        <v>0</v>
      </c>
      <c r="D135" s="8">
        <v>3</v>
      </c>
      <c r="E135" s="8">
        <v>22</v>
      </c>
      <c r="F135" s="8">
        <v>182</v>
      </c>
      <c r="G135" s="28">
        <v>544</v>
      </c>
      <c r="H135" s="1">
        <f>SUM(C135:G135)</f>
        <v>751</v>
      </c>
      <c r="I135" s="10">
        <f>G135/H135</f>
        <v>0.72436750998668442</v>
      </c>
      <c r="J135" s="11">
        <f>1-I135</f>
        <v>0.27563249001331558</v>
      </c>
      <c r="K135">
        <f>H135-G136</f>
        <v>86</v>
      </c>
      <c r="N135" s="10">
        <f>2*(G137*I135)/(G137+I135)</f>
        <v>0.76836158192090387</v>
      </c>
      <c r="O135" s="1"/>
      <c r="P135" s="1"/>
      <c r="R135" s="66"/>
      <c r="S135" s="66" t="s">
        <v>67</v>
      </c>
      <c r="T135" s="67">
        <f>$AA133*T127/100</f>
        <v>0</v>
      </c>
      <c r="U135" s="67">
        <f>$AA133*U127/100</f>
        <v>223.70185781590689</v>
      </c>
      <c r="V135" s="67">
        <f>$AA133*V127/100</f>
        <v>295.68522935892275</v>
      </c>
      <c r="W135" s="67">
        <f>$AA133*W127/100</f>
        <v>351.26826584557784</v>
      </c>
      <c r="X135" s="67">
        <f>$AA133*X127/100</f>
        <v>330.29238130604506</v>
      </c>
      <c r="AA135" s="1"/>
      <c r="AD135" s="51"/>
      <c r="AE135" s="51"/>
      <c r="AJ135" s="107"/>
      <c r="AK135" s="129" t="s">
        <v>394</v>
      </c>
      <c r="AL135" s="125">
        <f>_xlfn.STDEV.S(AL216:AL235)/SQRT($AK$108)</f>
        <v>0</v>
      </c>
      <c r="AM135" s="125">
        <f>_xlfn.STDEV.S(AM216:AM235)/SQRT($AK$108)</f>
        <v>0.17307022456672988</v>
      </c>
      <c r="AN135" s="125">
        <f>_xlfn.STDEV.S(AN216:AN235)/SQRT($AK$108)</f>
        <v>0.57090256335219214</v>
      </c>
      <c r="AO135" s="125">
        <f>_xlfn.STDEV.S(AO216:AO235)/SQRT($AK$108)</f>
        <v>0.27488014134393712</v>
      </c>
      <c r="AP135" s="125">
        <f>_xlfn.STDEV.S(AP216:AP235)/SQRT($AK$108)</f>
        <v>0.636213097368451</v>
      </c>
      <c r="AQ135" s="107"/>
      <c r="AR135" s="107"/>
      <c r="AS135" s="107"/>
      <c r="AU135">
        <v>14</v>
      </c>
      <c r="AV135">
        <v>445</v>
      </c>
    </row>
    <row r="136" spans="1:48" ht="15.6" x14ac:dyDescent="0.35">
      <c r="B136" s="1" t="s">
        <v>19</v>
      </c>
      <c r="C136" s="1">
        <f>SUM(C131:C135)</f>
        <v>89</v>
      </c>
      <c r="D136" s="1">
        <f>SUM(D131:D135)</f>
        <v>338</v>
      </c>
      <c r="E136" s="1">
        <f>SUM(E131:E135)</f>
        <v>5856</v>
      </c>
      <c r="F136" s="1">
        <f>SUM(F131:F135)</f>
        <v>2337</v>
      </c>
      <c r="G136" s="1">
        <f>SUM(G131:G135)</f>
        <v>665</v>
      </c>
      <c r="H136" s="1">
        <f>SUM(H130:H135)</f>
        <v>9285</v>
      </c>
      <c r="I136" s="13" t="s">
        <v>12</v>
      </c>
      <c r="N136" s="16"/>
      <c r="O136" s="1"/>
      <c r="P136" s="1"/>
      <c r="R136" t="s">
        <v>105</v>
      </c>
      <c r="S136" t="s">
        <v>28</v>
      </c>
      <c r="T136" s="57">
        <f>C379</f>
        <v>1.3539220161651837</v>
      </c>
      <c r="U136" s="57">
        <f t="shared" ref="U136:X139" si="22">D379</f>
        <v>6.0881090410986198</v>
      </c>
      <c r="V136" s="57">
        <f t="shared" si="22"/>
        <v>58.24763512789724</v>
      </c>
      <c r="W136" s="57">
        <f t="shared" si="22"/>
        <v>24.774545609159823</v>
      </c>
      <c r="X136" s="57">
        <f t="shared" si="22"/>
        <v>9.5357882056791148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</row>
    <row r="137" spans="1:48" x14ac:dyDescent="0.3">
      <c r="A137" s="1" t="s">
        <v>321</v>
      </c>
      <c r="B137" s="1" t="s">
        <v>2</v>
      </c>
      <c r="C137" s="10">
        <f>C131/C136</f>
        <v>1</v>
      </c>
      <c r="D137" s="10">
        <f>D132/D136</f>
        <v>0.57396449704142016</v>
      </c>
      <c r="E137" s="10">
        <f>E133/E136</f>
        <v>0.98138661202185795</v>
      </c>
      <c r="F137" s="10">
        <f>F134/F136</f>
        <v>0.90372272143774068</v>
      </c>
      <c r="G137" s="10">
        <f>G135/G136</f>
        <v>0.81804511278195491</v>
      </c>
      <c r="H137" s="10"/>
      <c r="I137" s="14">
        <f>(C131+D132+E133+F134+G135)/H136</f>
        <v>0.93548734518039844</v>
      </c>
      <c r="S137" s="66" t="s">
        <v>39</v>
      </c>
      <c r="T137" s="67">
        <f>C380</f>
        <v>0</v>
      </c>
      <c r="U137" s="67">
        <f t="shared" si="22"/>
        <v>0.14377405003872412</v>
      </c>
      <c r="V137" s="67">
        <f t="shared" si="22"/>
        <v>0.20438627339047444</v>
      </c>
      <c r="W137" s="67">
        <f t="shared" si="22"/>
        <v>0.23441364889980176</v>
      </c>
      <c r="X137" s="67">
        <f t="shared" si="22"/>
        <v>0.21837640752240847</v>
      </c>
      <c r="AD137" s="51"/>
      <c r="AE137" s="51"/>
      <c r="AU137">
        <v>16</v>
      </c>
      <c r="AV137">
        <v>503</v>
      </c>
    </row>
    <row r="138" spans="1:48" x14ac:dyDescent="0.3">
      <c r="B138" s="1" t="s">
        <v>14</v>
      </c>
      <c r="C138" s="11">
        <f>1-C137</f>
        <v>0</v>
      </c>
      <c r="D138" s="11">
        <f>1-D137</f>
        <v>0.42603550295857984</v>
      </c>
      <c r="E138" s="11">
        <f>1-E137</f>
        <v>1.8613387978142049E-2</v>
      </c>
      <c r="F138" s="11">
        <f>1-F137</f>
        <v>9.6277278562259316E-2</v>
      </c>
      <c r="G138" s="11">
        <f>1-G137</f>
        <v>0.18195488721804509</v>
      </c>
      <c r="S138" t="s">
        <v>30</v>
      </c>
      <c r="T138" s="57">
        <f>C381</f>
        <v>100</v>
      </c>
      <c r="U138" s="57">
        <f t="shared" si="22"/>
        <v>76.370607400749762</v>
      </c>
      <c r="V138" s="57">
        <f t="shared" si="22"/>
        <v>97.044372129712855</v>
      </c>
      <c r="W138" s="57">
        <f t="shared" si="22"/>
        <v>87.471622621241892</v>
      </c>
      <c r="X138" s="57">
        <f t="shared" si="22"/>
        <v>86.556835267121613</v>
      </c>
      <c r="AA138" s="54"/>
      <c r="AD138" s="51"/>
      <c r="AE138" s="51"/>
      <c r="AH138" s="78"/>
      <c r="AI138" s="78"/>
      <c r="AU138">
        <v>17</v>
      </c>
      <c r="AV138">
        <v>532</v>
      </c>
    </row>
    <row r="139" spans="1:48" x14ac:dyDescent="0.3">
      <c r="C139" s="2"/>
      <c r="S139" s="66" t="s">
        <v>39</v>
      </c>
      <c r="T139" s="67">
        <f>C382</f>
        <v>0</v>
      </c>
      <c r="U139" s="67">
        <f t="shared" si="22"/>
        <v>3.5379105085034226</v>
      </c>
      <c r="V139" s="67">
        <f t="shared" si="22"/>
        <v>0.25947555279784545</v>
      </c>
      <c r="W139" s="67">
        <f t="shared" si="22"/>
        <v>0.97214425460932463</v>
      </c>
      <c r="X139" s="67">
        <f t="shared" si="22"/>
        <v>2.8157715489565711</v>
      </c>
      <c r="AD139" s="51"/>
      <c r="AE139" s="51"/>
      <c r="AU139">
        <v>18</v>
      </c>
      <c r="AV139">
        <v>561</v>
      </c>
    </row>
    <row r="140" spans="1:48" ht="15.6" x14ac:dyDescent="0.35">
      <c r="A140" t="s">
        <v>322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100</v>
      </c>
      <c r="U140" s="57">
        <f>I375</f>
        <v>94.029850746268664</v>
      </c>
      <c r="V140" s="57">
        <f>I376</f>
        <v>96.521008403361336</v>
      </c>
      <c r="W140" s="57">
        <f>I377</f>
        <v>91.190580026166586</v>
      </c>
      <c r="X140" s="57">
        <f>I378</f>
        <v>72.56990679094541</v>
      </c>
      <c r="AD140" s="51"/>
      <c r="AE140" s="51"/>
      <c r="AH140" s="78"/>
      <c r="AI140" s="78"/>
      <c r="AU140">
        <v>19</v>
      </c>
      <c r="AV140">
        <v>590</v>
      </c>
    </row>
    <row r="141" spans="1:48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</v>
      </c>
      <c r="U141" s="67">
        <f>J375</f>
        <v>1.6753689791525102</v>
      </c>
      <c r="V141" s="67">
        <f>J376</f>
        <v>0.23758314701503555</v>
      </c>
      <c r="W141" s="67">
        <f>J377</f>
        <v>0.59202676298667523</v>
      </c>
      <c r="X141" s="67">
        <f>J378</f>
        <v>1.6291508247951494</v>
      </c>
      <c r="AD141" s="51"/>
      <c r="AE141" s="51"/>
    </row>
    <row r="142" spans="1:48" x14ac:dyDescent="0.3">
      <c r="A142" t="s">
        <v>3</v>
      </c>
      <c r="B142" s="13">
        <v>0</v>
      </c>
      <c r="C142" s="29">
        <f>(C131/$L142)*$O142</f>
        <v>1.3303652173050278</v>
      </c>
      <c r="D142" s="31">
        <f>(D131/$L142)*$O142</f>
        <v>0</v>
      </c>
      <c r="E142" s="31">
        <f>(E131/$L142)*$O142</f>
        <v>0</v>
      </c>
      <c r="F142" s="31">
        <f>(F131/$L142)*$O142</f>
        <v>1.4947923789944133E-2</v>
      </c>
      <c r="G142" s="32">
        <f>(G131/$L142)*$O142</f>
        <v>0</v>
      </c>
      <c r="H142" s="17">
        <f>SUM(C142:G142)</f>
        <v>1.3453131410949719</v>
      </c>
      <c r="I142" s="17">
        <f>C142/H142*100</f>
        <v>98.888888888888886</v>
      </c>
      <c r="J142" s="17">
        <f>SQRT(I142*(100-I142)/(L142-1))</f>
        <v>1.1111111111111127</v>
      </c>
      <c r="K142" s="18">
        <f>100-I142</f>
        <v>1.1111111111111143</v>
      </c>
      <c r="L142" s="1">
        <f>H131</f>
        <v>90</v>
      </c>
      <c r="M142">
        <v>0</v>
      </c>
      <c r="N142" s="1">
        <v>2097.15</v>
      </c>
      <c r="O142" s="17">
        <f>N142/N147*100</f>
        <v>1.3453131410949719</v>
      </c>
      <c r="P142" s="52">
        <f>((O142*O142*(I142/100)*(K142/100))/(L142-1))</f>
        <v>2.2344042562997841E-4</v>
      </c>
      <c r="S142" s="66" t="s">
        <v>56</v>
      </c>
      <c r="T142" s="67">
        <f>N363*100</f>
        <v>100</v>
      </c>
      <c r="U142" s="67">
        <f>N364*100</f>
        <v>70.522388059701512</v>
      </c>
      <c r="V142" s="67">
        <f>N365*100</f>
        <v>97.075726842461123</v>
      </c>
      <c r="W142" s="67">
        <f>N366*100</f>
        <v>90.834057341442218</v>
      </c>
      <c r="X142" s="67">
        <f>N367*100</f>
        <v>76.86882933709451</v>
      </c>
      <c r="AD142" s="51"/>
      <c r="AE142" s="51"/>
      <c r="AH142" s="78"/>
      <c r="AI142" s="78"/>
    </row>
    <row r="143" spans="1:48" x14ac:dyDescent="0.3">
      <c r="A143" t="s">
        <v>4</v>
      </c>
      <c r="B143" s="13">
        <v>1</v>
      </c>
      <c r="C143" s="33">
        <f t="shared" ref="C143:G146" si="23">(C132/$L143)*$O143</f>
        <v>0</v>
      </c>
      <c r="D143" s="34">
        <f t="shared" si="23"/>
        <v>4.5797551952299207</v>
      </c>
      <c r="E143" s="19">
        <f t="shared" si="23"/>
        <v>0.11803492771211137</v>
      </c>
      <c r="F143" s="18">
        <f t="shared" si="23"/>
        <v>0</v>
      </c>
      <c r="G143" s="20">
        <f t="shared" si="23"/>
        <v>4.7213971084844542E-2</v>
      </c>
      <c r="H143" s="17">
        <f>SUM(C143:G143)</f>
        <v>4.7450040940268767</v>
      </c>
      <c r="I143" s="17">
        <f>D143/H143*100</f>
        <v>96.517412935323378</v>
      </c>
      <c r="J143" s="17">
        <f>SQRT(I143*(100-I143)/(L143-1))</f>
        <v>1.2963994249547655</v>
      </c>
      <c r="K143" s="18">
        <f>100-I143</f>
        <v>3.4825870646766219</v>
      </c>
      <c r="L143" s="1">
        <f>H132</f>
        <v>201</v>
      </c>
      <c r="M143">
        <v>1</v>
      </c>
      <c r="N143" s="1">
        <v>7396.78</v>
      </c>
      <c r="O143" s="17">
        <f>N143/N147*100</f>
        <v>4.7450040940268767</v>
      </c>
      <c r="P143" s="52">
        <f>((O143*O143*(I143/100)*(K143/100))/(L143-1))</f>
        <v>3.7839975138569161E-3</v>
      </c>
      <c r="R143" s="16" t="s">
        <v>66</v>
      </c>
      <c r="S143" t="s">
        <v>9</v>
      </c>
      <c r="T143" s="30">
        <f>N374</f>
        <v>2110.5700000000002</v>
      </c>
      <c r="U143" s="30">
        <f>N375</f>
        <v>7708.13</v>
      </c>
      <c r="V143" s="30">
        <f>N376</f>
        <v>91292.04</v>
      </c>
      <c r="W143" s="30">
        <f>N377</f>
        <v>37044.949999999997</v>
      </c>
      <c r="X143" s="30">
        <f>N378</f>
        <v>17729.95</v>
      </c>
      <c r="Z143" t="s">
        <v>36</v>
      </c>
      <c r="AA143" s="1">
        <f>N379</f>
        <v>155885.64000000001</v>
      </c>
      <c r="AD143" s="51"/>
      <c r="AE143" s="51"/>
    </row>
    <row r="144" spans="1:48" ht="15.6" x14ac:dyDescent="0.35">
      <c r="A144" t="s">
        <v>5</v>
      </c>
      <c r="B144" s="13">
        <v>2</v>
      </c>
      <c r="C144" s="33">
        <f t="shared" si="23"/>
        <v>0</v>
      </c>
      <c r="D144" s="19">
        <f t="shared" si="23"/>
        <v>1.3759740039896817</v>
      </c>
      <c r="E144" s="34">
        <f t="shared" si="23"/>
        <v>56.483732863776439</v>
      </c>
      <c r="F144" s="19">
        <f t="shared" si="23"/>
        <v>0.41279220119690457</v>
      </c>
      <c r="G144" s="20">
        <f t="shared" si="23"/>
        <v>0.20639610059845229</v>
      </c>
      <c r="H144" s="17">
        <f>SUM(C144:G144)</f>
        <v>58.478895169561483</v>
      </c>
      <c r="I144" s="17">
        <f>E144/H144*100</f>
        <v>96.588235294117638</v>
      </c>
      <c r="J144" s="17">
        <f>SQRT(I144*(100-I144)/(L144-1))</f>
        <v>0.2353583806718697</v>
      </c>
      <c r="K144" s="18">
        <f>100-I144</f>
        <v>3.4117647058823621</v>
      </c>
      <c r="L144" s="1">
        <f>H133</f>
        <v>5950</v>
      </c>
      <c r="M144">
        <v>2</v>
      </c>
      <c r="N144" s="1">
        <v>91160.2</v>
      </c>
      <c r="O144" s="17">
        <f>N144/N147*100</f>
        <v>58.478895169561476</v>
      </c>
      <c r="P144" s="52">
        <f>((O144*O144*(I144/100)*(K144/100))/(L144-1))</f>
        <v>1.894338791390799E-2</v>
      </c>
      <c r="R144" s="16" t="s">
        <v>323</v>
      </c>
      <c r="S144" t="s">
        <v>68</v>
      </c>
      <c r="T144" s="57">
        <f>$AA143*T136/100</f>
        <v>2110.5700000000002</v>
      </c>
      <c r="U144" s="57">
        <f>$AA143*U136/100</f>
        <v>9490.4877426144467</v>
      </c>
      <c r="V144" s="57">
        <f>$AA143*V136/100</f>
        <v>90799.698803987441</v>
      </c>
      <c r="W144" s="57">
        <f>$AA143*W136/100</f>
        <v>38619.958979930692</v>
      </c>
      <c r="X144" s="57">
        <f>$AA143*X136/100</f>
        <v>14864.924473467407</v>
      </c>
      <c r="Z144" t="s">
        <v>36</v>
      </c>
      <c r="AA144" s="25">
        <f>SUM(T144:X144)</f>
        <v>155885.63999999998</v>
      </c>
      <c r="AD144" s="51"/>
      <c r="AE144" s="51"/>
      <c r="AH144" s="78"/>
      <c r="AI144" s="78"/>
    </row>
    <row r="145" spans="1:35" x14ac:dyDescent="0.3">
      <c r="A145" t="s">
        <v>6</v>
      </c>
      <c r="B145" s="13">
        <v>3</v>
      </c>
      <c r="C145" s="33">
        <f t="shared" si="23"/>
        <v>0</v>
      </c>
      <c r="D145" s="19">
        <f t="shared" si="23"/>
        <v>1.0424431582252133E-2</v>
      </c>
      <c r="E145" s="19">
        <f t="shared" si="23"/>
        <v>0.85480338974467496</v>
      </c>
      <c r="F145" s="34">
        <f t="shared" si="23"/>
        <v>22.016399501716503</v>
      </c>
      <c r="G145" s="20">
        <f t="shared" si="23"/>
        <v>1.0215942950607091</v>
      </c>
      <c r="H145" s="17">
        <f>SUM(C145:G145)</f>
        <v>23.903221618104137</v>
      </c>
      <c r="I145" s="17">
        <f>F145/H145*100</f>
        <v>92.106410815525521</v>
      </c>
      <c r="J145" s="17">
        <f>SQRT(I145*(100-I145)/(L145-1))</f>
        <v>0.56321586917045008</v>
      </c>
      <c r="K145" s="18">
        <f>100-I145</f>
        <v>7.8935891844744788</v>
      </c>
      <c r="L145" s="1">
        <f>H134</f>
        <v>2293</v>
      </c>
      <c r="M145">
        <v>3</v>
      </c>
      <c r="N145" s="1">
        <v>37261.69</v>
      </c>
      <c r="O145" s="17">
        <f>N145/N147*100</f>
        <v>23.903221618104141</v>
      </c>
      <c r="P145" s="52">
        <f>((O145*O145*(I145/100)*(K145/100))/(L145-1))</f>
        <v>1.8124358421930362E-2</v>
      </c>
      <c r="R145" s="66"/>
      <c r="S145" s="66" t="s">
        <v>67</v>
      </c>
      <c r="T145" s="67">
        <f>$AA143*T137/100</f>
        <v>0</v>
      </c>
      <c r="U145" s="67">
        <f>$AA143*U137/100</f>
        <v>224.12309805678535</v>
      </c>
      <c r="V145" s="67">
        <f>$AA143*V137/100</f>
        <v>318.60885034689079</v>
      </c>
      <c r="W145" s="67">
        <f>$AA143*W137/100</f>
        <v>365.41721683480898</v>
      </c>
      <c r="X145" s="67">
        <f>$AA143*X137/100</f>
        <v>340.41746047531467</v>
      </c>
      <c r="AA145" s="1"/>
      <c r="AD145" s="51"/>
      <c r="AE145" s="51"/>
    </row>
    <row r="146" spans="1:35" x14ac:dyDescent="0.3">
      <c r="A146" t="s">
        <v>7</v>
      </c>
      <c r="B146" s="13">
        <v>4</v>
      </c>
      <c r="C146" s="35">
        <f t="shared" si="23"/>
        <v>0</v>
      </c>
      <c r="D146" s="36">
        <f t="shared" si="23"/>
        <v>4.6048865421621267E-2</v>
      </c>
      <c r="E146" s="21">
        <f t="shared" si="23"/>
        <v>0.33769167975855596</v>
      </c>
      <c r="F146" s="21">
        <f t="shared" si="23"/>
        <v>2.7936311689116899</v>
      </c>
      <c r="G146" s="37">
        <f t="shared" si="23"/>
        <v>8.350194263120656</v>
      </c>
      <c r="H146" s="17">
        <f>SUM(C146:G146)</f>
        <v>11.527565977212523</v>
      </c>
      <c r="I146" s="17">
        <f>G146/H146*100</f>
        <v>72.436750998668444</v>
      </c>
      <c r="J146" s="17">
        <f>SQRT(I146*(100-I146)/(L146-1))</f>
        <v>1.631601342086459</v>
      </c>
      <c r="K146" s="18">
        <f>100-I146</f>
        <v>27.563249001331556</v>
      </c>
      <c r="L146" s="1">
        <f>H135</f>
        <v>751</v>
      </c>
      <c r="M146">
        <v>4</v>
      </c>
      <c r="N146" s="1">
        <v>17969.82</v>
      </c>
      <c r="O146" s="17">
        <f>N146/N147*100</f>
        <v>11.527565977212523</v>
      </c>
      <c r="P146" s="52">
        <f>((O146*O146*(I146/100)*(K146/100))/(L146-1))</f>
        <v>3.5375561411749003E-2</v>
      </c>
      <c r="R146" t="s">
        <v>106</v>
      </c>
      <c r="S146" t="s">
        <v>28</v>
      </c>
      <c r="T146" s="57">
        <f>C408</f>
        <v>1.3412718029237203</v>
      </c>
      <c r="U146" s="57">
        <f t="shared" ref="U146:X149" si="24">D408</f>
        <v>5.547119013934271</v>
      </c>
      <c r="V146" s="57">
        <f t="shared" si="24"/>
        <v>58.134611082550471</v>
      </c>
      <c r="W146" s="57">
        <f t="shared" si="24"/>
        <v>25.124945807214864</v>
      </c>
      <c r="X146" s="57">
        <f t="shared" si="24"/>
        <v>9.8520522933766745</v>
      </c>
      <c r="Y146" s="60"/>
      <c r="Z146" s="74"/>
      <c r="AA146" s="12"/>
      <c r="AD146" s="51"/>
      <c r="AE146" s="51"/>
      <c r="AH146" s="78"/>
      <c r="AI146" s="78"/>
    </row>
    <row r="147" spans="1:35" x14ac:dyDescent="0.3">
      <c r="B147" t="s">
        <v>28</v>
      </c>
      <c r="C147" s="17">
        <f t="shared" ref="C147:H147" si="25">SUM(C142:C146)</f>
        <v>1.3303652173050278</v>
      </c>
      <c r="D147" s="17">
        <f t="shared" si="25"/>
        <v>6.0122024962234759</v>
      </c>
      <c r="E147" s="17">
        <f t="shared" si="25"/>
        <v>57.794262860991779</v>
      </c>
      <c r="F147" s="17">
        <f t="shared" si="25"/>
        <v>25.237770795615042</v>
      </c>
      <c r="G147" s="17">
        <f t="shared" si="25"/>
        <v>9.6253986298646623</v>
      </c>
      <c r="H147" s="18">
        <f t="shared" si="25"/>
        <v>99.999999999999986</v>
      </c>
      <c r="I147" s="13" t="s">
        <v>24</v>
      </c>
      <c r="J147" s="12" t="s">
        <v>29</v>
      </c>
      <c r="N147" s="1">
        <f>SUM(N142:N146)</f>
        <v>155885.64000000001</v>
      </c>
      <c r="O147" s="17">
        <f>SUM(O142:O146)</f>
        <v>99.999999999999986</v>
      </c>
      <c r="S147" s="66" t="s">
        <v>39</v>
      </c>
      <c r="T147" s="67">
        <f>C409</f>
        <v>0</v>
      </c>
      <c r="U147" s="67">
        <f t="shared" si="24"/>
        <v>0.14125598769809419</v>
      </c>
      <c r="V147" s="67">
        <f t="shared" si="24"/>
        <v>0.19727594751342017</v>
      </c>
      <c r="W147" s="67">
        <f t="shared" si="24"/>
        <v>0.23328521347738038</v>
      </c>
      <c r="X147" s="67">
        <f t="shared" si="24"/>
        <v>0.21729158962728967</v>
      </c>
      <c r="AD147" s="51"/>
      <c r="AE147" s="51"/>
    </row>
    <row r="148" spans="1:35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1.4864647800539654E-2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0.13335367634180398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0.18783266921610889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0.2342115691734708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0.22056227811660889</v>
      </c>
      <c r="H148" s="1"/>
      <c r="I148" s="56">
        <f>(C142+D143+E144+F145+G146)/H147</f>
        <v>0.92760447041148564</v>
      </c>
      <c r="J148" s="53">
        <f>SQRT(SUM(P142:P146))/100</f>
        <v>2.7649727971008004E-3</v>
      </c>
      <c r="M148" s="1"/>
      <c r="N148" s="9"/>
      <c r="S148" t="s">
        <v>30</v>
      </c>
      <c r="T148" s="57">
        <f>C410</f>
        <v>100</v>
      </c>
      <c r="U148" s="57">
        <f t="shared" si="24"/>
        <v>76.015196153346679</v>
      </c>
      <c r="V148" s="57">
        <f t="shared" si="24"/>
        <v>97.40406046262629</v>
      </c>
      <c r="W148" s="57">
        <f t="shared" si="24"/>
        <v>87.435069723952964</v>
      </c>
      <c r="X148" s="57">
        <f t="shared" si="24"/>
        <v>87.851477155425997</v>
      </c>
      <c r="AD148" s="51"/>
      <c r="AE148" s="51"/>
      <c r="AH148" s="78"/>
      <c r="AI148" s="78"/>
    </row>
    <row r="149" spans="1:35" x14ac:dyDescent="0.3">
      <c r="B149" s="1" t="s">
        <v>30</v>
      </c>
      <c r="C149" s="17">
        <f>C142/C147*100</f>
        <v>100</v>
      </c>
      <c r="D149" s="17">
        <f>D143/D147*100</f>
        <v>76.174333750512616</v>
      </c>
      <c r="E149" s="17">
        <f>E144/E147*100</f>
        <v>97.732421987339023</v>
      </c>
      <c r="F149" s="17">
        <f>F145/F147*100</f>
        <v>87.235911919533564</v>
      </c>
      <c r="G149" s="17">
        <f>G146/G147*100</f>
        <v>86.75167215633607</v>
      </c>
      <c r="H149" s="1"/>
      <c r="S149" s="66" t="s">
        <v>39</v>
      </c>
      <c r="T149" s="67">
        <f>C411</f>
        <v>0</v>
      </c>
      <c r="U149" s="67">
        <f t="shared" si="24"/>
        <v>3.9763487052447335</v>
      </c>
      <c r="V149" s="67">
        <f t="shared" si="24"/>
        <v>0.24491042497033744</v>
      </c>
      <c r="W149" s="67">
        <f t="shared" si="24"/>
        <v>0.94248732799617896</v>
      </c>
      <c r="X149" s="67">
        <f t="shared" si="24"/>
        <v>2.5064433466490983</v>
      </c>
      <c r="AD149" s="51"/>
      <c r="AE149" s="51"/>
    </row>
    <row r="150" spans="1:35" x14ac:dyDescent="0.3">
      <c r="B150" s="16" t="s">
        <v>39</v>
      </c>
      <c r="C150" s="18">
        <f>SQRT((C153+C154)/(C147*C147))</f>
        <v>0</v>
      </c>
      <c r="D150" s="18">
        <f>SQRT((D153+D154)/(D147*D147))</f>
        <v>2.8624046040564166</v>
      </c>
      <c r="E150" s="18">
        <f>SQRT((E153+E154)/(E147*E147))</f>
        <v>0.22296560178354358</v>
      </c>
      <c r="F150" s="18">
        <f>SQRT((F153+F154)/(F147*F147))</f>
        <v>0.9503147452831846</v>
      </c>
      <c r="G150" s="18">
        <f>SQRT((G153+G154)/(G147*G147))</f>
        <v>2.7900738623970973</v>
      </c>
      <c r="H150" s="1"/>
      <c r="S150" s="15" t="s">
        <v>31</v>
      </c>
      <c r="T150" s="71">
        <f>I403</f>
        <v>100</v>
      </c>
      <c r="U150" s="71">
        <f>I404</f>
        <v>92.537313432835816</v>
      </c>
      <c r="V150" s="71">
        <f>I405</f>
        <v>96.605042016806721</v>
      </c>
      <c r="W150" s="71">
        <f>I406</f>
        <v>92.237243785433918</v>
      </c>
      <c r="X150" s="71">
        <f>I407</f>
        <v>74.167776298268976</v>
      </c>
      <c r="AD150" s="51"/>
      <c r="AE150" s="51"/>
      <c r="AH150" s="78"/>
      <c r="AI150" s="78"/>
    </row>
    <row r="151" spans="1:35" x14ac:dyDescent="0.3">
      <c r="B151" s="1" t="s">
        <v>37</v>
      </c>
      <c r="C151" s="18">
        <f>100-C149</f>
        <v>0</v>
      </c>
      <c r="D151" s="18">
        <f>100-D149</f>
        <v>23.825666249487384</v>
      </c>
      <c r="E151" s="18">
        <f>100-E149</f>
        <v>2.2675780126609766</v>
      </c>
      <c r="F151" s="18">
        <f>100-F149</f>
        <v>12.764088080466436</v>
      </c>
      <c r="G151" s="18">
        <f>100-G149</f>
        <v>13.24832784366393</v>
      </c>
      <c r="S151" s="75" t="s">
        <v>39</v>
      </c>
      <c r="T151" s="76">
        <f>J403</f>
        <v>0</v>
      </c>
      <c r="U151" s="76">
        <f>J404</f>
        <v>1.858193969849065</v>
      </c>
      <c r="V151" s="76">
        <f>J405</f>
        <v>0.23479838979002374</v>
      </c>
      <c r="W151" s="76">
        <f>J406</f>
        <v>0.55892537340948778</v>
      </c>
      <c r="X151" s="76">
        <f>J407</f>
        <v>1.5982985072869746</v>
      </c>
      <c r="AD151" s="51"/>
      <c r="AE151" s="51"/>
    </row>
    <row r="152" spans="1:35" ht="15.6" x14ac:dyDescent="0.35">
      <c r="B152" s="1" t="s">
        <v>25</v>
      </c>
      <c r="C152" s="1">
        <f>C136</f>
        <v>89</v>
      </c>
      <c r="D152" s="1">
        <f>D136</f>
        <v>338</v>
      </c>
      <c r="E152" s="1">
        <f>E136</f>
        <v>5856</v>
      </c>
      <c r="F152" s="1">
        <f>F136</f>
        <v>2337</v>
      </c>
      <c r="G152" s="1">
        <f>G136</f>
        <v>665</v>
      </c>
      <c r="S152" s="66" t="s">
        <v>56</v>
      </c>
      <c r="T152" s="67">
        <f>N392*100</f>
        <v>100</v>
      </c>
      <c r="U152" s="67">
        <f>N393*100</f>
        <v>71.264367816091962</v>
      </c>
      <c r="V152" s="67">
        <f>N394*100</f>
        <v>97.275342697579958</v>
      </c>
      <c r="W152" s="67">
        <f>N395*100</f>
        <v>91.400172860847007</v>
      </c>
      <c r="X152" s="67">
        <f>N396*100</f>
        <v>78.340365682137829</v>
      </c>
      <c r="AD152" s="51"/>
      <c r="AE152" s="51"/>
      <c r="AH152" s="78"/>
      <c r="AI152" s="78"/>
    </row>
    <row r="153" spans="1:35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214.80330052358647</v>
      </c>
      <c r="E153" s="18">
        <f>(O144*O144*(100-E149)*(100-E149)*(I144)*(100-I144))/((L144-1)*100)</f>
        <v>9.7405196572506405</v>
      </c>
      <c r="F153" s="18">
        <f>(O145*O145*(100-F149)*(100-F149)*(I145)*(100-I145))/((L145-1)*100)</f>
        <v>295.28557173853648</v>
      </c>
      <c r="G153" s="18">
        <f>(O146*O146*(100-G149)*(100-G149)*(I146)*(100-I146))/((L146-1)*100)</f>
        <v>620.90545323313802</v>
      </c>
      <c r="R153" s="16" t="s">
        <v>66</v>
      </c>
      <c r="S153" t="s">
        <v>9</v>
      </c>
      <c r="T153" s="30">
        <f>N403</f>
        <v>2090.85</v>
      </c>
      <c r="U153" s="30">
        <f>N404</f>
        <v>7103.25</v>
      </c>
      <c r="V153" s="30">
        <f>N405</f>
        <v>91373.05</v>
      </c>
      <c r="W153" s="30">
        <f>N406</f>
        <v>37127.06</v>
      </c>
      <c r="X153" s="30">
        <f>N407</f>
        <v>18191.419999999998</v>
      </c>
      <c r="Z153" t="s">
        <v>36</v>
      </c>
      <c r="AA153" s="1">
        <f>N408</f>
        <v>155885.63</v>
      </c>
      <c r="AD153" s="51"/>
      <c r="AE153" s="51"/>
    </row>
    <row r="154" spans="1:35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81.358637049536384</v>
      </c>
      <c r="E154" s="18">
        <f>E149*E149*(SUM((H142*E142*(1-E131/H131))/(H131-1),(H143*E143*(1-E132/H132))/(H132-1), (H145*E145*(1-E134/H134))/(H134-1),(H146*E146*(1-E135/H135))/(H135-1)))</f>
        <v>156.3118936872587</v>
      </c>
      <c r="F154" s="18">
        <f>F149*F149*(SUM((H142*F142*(1-F131/H131))/(H131-1),(H143*F143*(1-F132/H132))/(H132-1), (H144*F144*(1-F133/H133))/(H133-1),(H146*F146*(1-F135/H135))/(H135-1)))</f>
        <v>279.93832467584502</v>
      </c>
      <c r="G154" s="18">
        <f>G149*G149*(SUM((H142*G142*(1-G131/H131))/(H131-1),(H143*G143*(1-G132/H132))/(H132-1), (H144*G144*(1-G133/H133))/(H133-1),(H145*G145*(1-G134/H134))/(H134-1)))</f>
        <v>100.31635503322887</v>
      </c>
      <c r="R154" s="16" t="s">
        <v>323</v>
      </c>
      <c r="S154" t="s">
        <v>68</v>
      </c>
      <c r="T154" s="57">
        <f>$AA153*T146/100</f>
        <v>2090.85</v>
      </c>
      <c r="U154" s="57">
        <f>$AA153*U146/100</f>
        <v>8647.1614217212264</v>
      </c>
      <c r="V154" s="57">
        <f>$AA153*V146/100</f>
        <v>90623.504734083617</v>
      </c>
      <c r="W154" s="57">
        <f>$AA153*W146/100</f>
        <v>39166.180058735481</v>
      </c>
      <c r="X154" s="57">
        <f>$AA153*X146/100</f>
        <v>15357.933785459678</v>
      </c>
      <c r="Z154" t="s">
        <v>36</v>
      </c>
      <c r="AA154" s="25">
        <f>SUM(T154:X154)</f>
        <v>155885.63</v>
      </c>
      <c r="AD154" s="51"/>
      <c r="AE154" s="51"/>
      <c r="AH154" s="78"/>
      <c r="AI154" s="78"/>
    </row>
    <row r="155" spans="1:35" x14ac:dyDescent="0.3">
      <c r="R155" s="66"/>
      <c r="S155" s="66" t="s">
        <v>67</v>
      </c>
      <c r="T155" s="67">
        <f>$AA153*T147/100</f>
        <v>0</v>
      </c>
      <c r="U155" s="67">
        <f>$AA153*U147/100</f>
        <v>220.19778633589664</v>
      </c>
      <c r="V155" s="67">
        <f>$AA153*V147/100</f>
        <v>307.52485361976437</v>
      </c>
      <c r="W155" s="67">
        <f>$AA153*W147/100</f>
        <v>363.65812472605933</v>
      </c>
      <c r="X155" s="67">
        <f>$AA153*X147/100</f>
        <v>338.7263634275152</v>
      </c>
      <c r="AA155" s="1"/>
      <c r="AD155" s="51"/>
      <c r="AE155" s="51"/>
    </row>
    <row r="156" spans="1:35" x14ac:dyDescent="0.3">
      <c r="R156" t="s">
        <v>107</v>
      </c>
      <c r="S156" t="s">
        <v>28</v>
      </c>
      <c r="T156" s="57">
        <f>C437</f>
        <v>1.336826064490221</v>
      </c>
      <c r="U156" s="57">
        <f t="shared" ref="U156:X159" si="26">D437</f>
        <v>5.65167162000097</v>
      </c>
      <c r="V156" s="57">
        <f t="shared" si="26"/>
        <v>58.112988489277086</v>
      </c>
      <c r="W156" s="57">
        <f t="shared" si="26"/>
        <v>25.061123283022077</v>
      </c>
      <c r="X156" s="57">
        <f t="shared" si="26"/>
        <v>9.8373905432096507</v>
      </c>
      <c r="Z156" s="74"/>
      <c r="AA156" s="12"/>
      <c r="AD156" s="51"/>
      <c r="AE156" s="51"/>
      <c r="AH156" s="78"/>
      <c r="AI156" s="78"/>
    </row>
    <row r="157" spans="1:35" x14ac:dyDescent="0.3">
      <c r="A157" s="361" t="s">
        <v>429</v>
      </c>
      <c r="B157" s="361"/>
      <c r="C157" s="361"/>
      <c r="D157" s="361"/>
      <c r="E157" s="361"/>
      <c r="F157" s="361"/>
      <c r="G157" s="361"/>
      <c r="H157" s="361"/>
      <c r="I157" s="361"/>
      <c r="J157" s="361"/>
      <c r="K157" s="361"/>
      <c r="L157" s="361" t="s">
        <v>83</v>
      </c>
      <c r="M157" s="361"/>
      <c r="N157" s="361"/>
      <c r="O157" s="361"/>
      <c r="P157" s="361"/>
      <c r="S157" s="66" t="s">
        <v>39</v>
      </c>
      <c r="T157" s="67">
        <f>C438</f>
        <v>0</v>
      </c>
      <c r="U157" s="67">
        <f t="shared" si="26"/>
        <v>0.14663474462774165</v>
      </c>
      <c r="V157" s="67">
        <f t="shared" si="26"/>
        <v>0.19259467905663974</v>
      </c>
      <c r="W157" s="67">
        <f t="shared" si="26"/>
        <v>0.23295837873357117</v>
      </c>
      <c r="X157" s="67">
        <f t="shared" si="26"/>
        <v>0.22279133278158084</v>
      </c>
      <c r="AD157" s="51"/>
      <c r="AE157" s="51"/>
    </row>
    <row r="158" spans="1:35" x14ac:dyDescent="0.3">
      <c r="A158" t="s">
        <v>320</v>
      </c>
      <c r="B158" t="s">
        <v>21</v>
      </c>
      <c r="I158" s="1" t="s">
        <v>58</v>
      </c>
      <c r="O158" s="143"/>
      <c r="P158" s="143"/>
      <c r="S158" t="s">
        <v>30</v>
      </c>
      <c r="T158" s="57">
        <f>C439</f>
        <v>100</v>
      </c>
      <c r="U158" s="57">
        <f t="shared" si="26"/>
        <v>75.149521491497907</v>
      </c>
      <c r="V158" s="57">
        <f t="shared" si="26"/>
        <v>97.712017416940995</v>
      </c>
      <c r="W158" s="57">
        <f t="shared" si="26"/>
        <v>87.052791917032295</v>
      </c>
      <c r="X158" s="57">
        <f t="shared" si="26"/>
        <v>86.743787326689073</v>
      </c>
      <c r="AD158" s="51"/>
      <c r="AE158" s="51"/>
      <c r="AH158" s="78"/>
      <c r="AI158" s="78"/>
    </row>
    <row r="159" spans="1:35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56</v>
      </c>
      <c r="O159" s="13"/>
      <c r="P159" s="13"/>
      <c r="S159" s="66" t="s">
        <v>39</v>
      </c>
      <c r="T159" s="67">
        <f>C440</f>
        <v>0</v>
      </c>
      <c r="U159" s="67">
        <f t="shared" si="26"/>
        <v>4.1846373186216326</v>
      </c>
      <c r="V159" s="67">
        <f t="shared" si="26"/>
        <v>0.23314240194785682</v>
      </c>
      <c r="W159" s="67">
        <f t="shared" si="26"/>
        <v>0.94959149961369893</v>
      </c>
      <c r="X159" s="67">
        <f t="shared" si="26"/>
        <v>2.7565264121075486</v>
      </c>
      <c r="AD159" s="51"/>
      <c r="AE159" s="51"/>
    </row>
    <row r="160" spans="1:35" x14ac:dyDescent="0.3">
      <c r="A160" t="s">
        <v>3</v>
      </c>
      <c r="B160" s="13">
        <v>0</v>
      </c>
      <c r="C160" s="26">
        <v>90</v>
      </c>
      <c r="D160" s="3">
        <v>0</v>
      </c>
      <c r="E160" s="3">
        <v>0</v>
      </c>
      <c r="F160" s="3">
        <v>0</v>
      </c>
      <c r="G160" s="4">
        <v>0</v>
      </c>
      <c r="H160" s="1">
        <f>SUM(C160:G160)</f>
        <v>90</v>
      </c>
      <c r="I160" s="10">
        <f>C160/H160</f>
        <v>1</v>
      </c>
      <c r="J160" s="11">
        <f>1-I160</f>
        <v>0</v>
      </c>
      <c r="K160">
        <f>H160-C165</f>
        <v>0</v>
      </c>
      <c r="N160" s="10">
        <f>2*(C166*I160)/(C166+I160)</f>
        <v>1</v>
      </c>
      <c r="O160" s="1"/>
      <c r="P160" s="1"/>
      <c r="S160" s="15" t="s">
        <v>31</v>
      </c>
      <c r="T160" s="71">
        <f>I432</f>
        <v>100</v>
      </c>
      <c r="U160" s="71">
        <f>I433</f>
        <v>92.039800995024876</v>
      </c>
      <c r="V160" s="71">
        <f>I434</f>
        <v>96.621848739495803</v>
      </c>
      <c r="W160" s="71">
        <f>I435</f>
        <v>92.498909725250769</v>
      </c>
      <c r="X160" s="71">
        <f>I436</f>
        <v>72.969374167776309</v>
      </c>
      <c r="AD160" s="51"/>
      <c r="AE160" s="51"/>
      <c r="AH160" s="78"/>
      <c r="AI160" s="78"/>
    </row>
    <row r="161" spans="1:35" x14ac:dyDescent="0.3">
      <c r="A161" t="s">
        <v>4</v>
      </c>
      <c r="B161" s="13">
        <v>1</v>
      </c>
      <c r="C161" s="5">
        <v>0</v>
      </c>
      <c r="D161" s="27">
        <v>185</v>
      </c>
      <c r="E161" s="1">
        <v>14</v>
      </c>
      <c r="F161" s="1">
        <v>0</v>
      </c>
      <c r="G161" s="6">
        <v>2</v>
      </c>
      <c r="H161" s="1">
        <f>SUM(C161:G161)</f>
        <v>201</v>
      </c>
      <c r="I161" s="10">
        <f>D161/H161</f>
        <v>0.92039800995024879</v>
      </c>
      <c r="J161" s="11">
        <f>1-I161</f>
        <v>7.9601990049751215E-2</v>
      </c>
      <c r="K161">
        <f>H161-D165</f>
        <v>-120</v>
      </c>
      <c r="N161" s="10">
        <f>2*(D166*I161)/(D166+I161)</f>
        <v>0.70881226053639856</v>
      </c>
      <c r="O161" s="1"/>
      <c r="P161" s="1"/>
      <c r="S161" s="75" t="s">
        <v>39</v>
      </c>
      <c r="T161" s="76">
        <f>J432</f>
        <v>0</v>
      </c>
      <c r="U161" s="76">
        <f>J433</f>
        <v>1.9139685633503825</v>
      </c>
      <c r="V161" s="76">
        <f>J434</f>
        <v>0.23423685743494932</v>
      </c>
      <c r="W161" s="76">
        <f>J435</f>
        <v>0.55020330692849784</v>
      </c>
      <c r="X161" s="76">
        <f>J436</f>
        <v>1.6216895923041459</v>
      </c>
      <c r="AD161" s="51"/>
      <c r="AE161" s="51"/>
    </row>
    <row r="162" spans="1:35" x14ac:dyDescent="0.3">
      <c r="A162" t="s">
        <v>5</v>
      </c>
      <c r="B162" s="13">
        <v>2</v>
      </c>
      <c r="C162" s="5">
        <v>0</v>
      </c>
      <c r="D162" s="1">
        <v>136</v>
      </c>
      <c r="E162" s="27">
        <v>5752</v>
      </c>
      <c r="F162" s="1">
        <v>39</v>
      </c>
      <c r="G162" s="6">
        <v>23</v>
      </c>
      <c r="H162" s="1">
        <f>SUM(C162:G162)</f>
        <v>5950</v>
      </c>
      <c r="I162" s="10">
        <f>E162/H162</f>
        <v>0.9667226890756303</v>
      </c>
      <c r="J162" s="11">
        <f>1-I162</f>
        <v>3.3277310924369696E-2</v>
      </c>
      <c r="K162">
        <f>H162-E165</f>
        <v>87</v>
      </c>
      <c r="N162" s="10">
        <f>2*(E166*I162)/(E166+I162)</f>
        <v>0.97384237704224164</v>
      </c>
      <c r="O162" s="1"/>
      <c r="P162" s="1"/>
      <c r="S162" s="66" t="s">
        <v>56</v>
      </c>
      <c r="T162" s="67">
        <f>N421*100</f>
        <v>100</v>
      </c>
      <c r="U162" s="67">
        <f>N422*100</f>
        <v>70.208728652751446</v>
      </c>
      <c r="V162" s="67">
        <f>N423*100</f>
        <v>97.415911209014652</v>
      </c>
      <c r="W162" s="67">
        <f>N424*100</f>
        <v>91.481561354323915</v>
      </c>
      <c r="X162" s="67">
        <f>N425*100</f>
        <v>77.020379479971893</v>
      </c>
      <c r="AD162" s="51"/>
      <c r="AE162" s="51"/>
      <c r="AH162" s="78"/>
      <c r="AI162" s="78"/>
    </row>
    <row r="163" spans="1:35" x14ac:dyDescent="0.3">
      <c r="A163" t="s">
        <v>6</v>
      </c>
      <c r="B163" s="13">
        <v>3</v>
      </c>
      <c r="C163" s="5">
        <v>0</v>
      </c>
      <c r="D163" s="1">
        <v>0</v>
      </c>
      <c r="E163" s="1">
        <v>73</v>
      </c>
      <c r="F163" s="27">
        <v>2127</v>
      </c>
      <c r="G163" s="6">
        <v>93</v>
      </c>
      <c r="H163" s="1">
        <f>SUM(C163:G163)</f>
        <v>2293</v>
      </c>
      <c r="I163" s="10">
        <f>F163/H163</f>
        <v>0.92760575665067602</v>
      </c>
      <c r="J163" s="11">
        <f>1-I163</f>
        <v>7.2394243349323983E-2</v>
      </c>
      <c r="K163">
        <f>H163-F165</f>
        <v>-38</v>
      </c>
      <c r="N163" s="10">
        <f>2*(F166*I163)/(F166+I163)</f>
        <v>0.91998269896193774</v>
      </c>
      <c r="O163" s="1"/>
      <c r="P163" s="1"/>
      <c r="R163" s="16" t="s">
        <v>66</v>
      </c>
      <c r="S163" t="s">
        <v>9</v>
      </c>
      <c r="T163" s="30">
        <f>N432</f>
        <v>2083.92</v>
      </c>
      <c r="U163" s="30">
        <f>N433</f>
        <v>7193.39</v>
      </c>
      <c r="V163" s="30">
        <f>N434</f>
        <v>91611.92</v>
      </c>
      <c r="W163" s="30">
        <f>N435</f>
        <v>36766.54</v>
      </c>
      <c r="X163" s="30">
        <f>N436</f>
        <v>18229.88</v>
      </c>
      <c r="Z163" t="s">
        <v>36</v>
      </c>
      <c r="AA163" s="1">
        <f>N437</f>
        <v>155885.65</v>
      </c>
      <c r="AD163" s="51"/>
      <c r="AE163" s="51"/>
    </row>
    <row r="164" spans="1:35" ht="15.6" x14ac:dyDescent="0.35">
      <c r="A164" t="s">
        <v>7</v>
      </c>
      <c r="B164" s="13">
        <v>4</v>
      </c>
      <c r="C164" s="7">
        <v>0</v>
      </c>
      <c r="D164" s="8">
        <v>0</v>
      </c>
      <c r="E164" s="8">
        <v>24</v>
      </c>
      <c r="F164" s="8">
        <v>165</v>
      </c>
      <c r="G164" s="28">
        <v>562</v>
      </c>
      <c r="H164" s="1">
        <f>SUM(C164:G164)</f>
        <v>751</v>
      </c>
      <c r="I164" s="10">
        <f>G164/H164</f>
        <v>0.74833555259653795</v>
      </c>
      <c r="J164" s="11">
        <f>1-I164</f>
        <v>0.25166444740346205</v>
      </c>
      <c r="K164">
        <f>H164-G165</f>
        <v>71</v>
      </c>
      <c r="N164" s="10">
        <f>2*(G166*I164)/(G166+I164)</f>
        <v>0.78546470999301177</v>
      </c>
      <c r="O164" s="1"/>
      <c r="P164" s="1"/>
      <c r="R164" s="16" t="s">
        <v>323</v>
      </c>
      <c r="S164" t="s">
        <v>68</v>
      </c>
      <c r="T164" s="57">
        <f>$AA163*T156/100</f>
        <v>2083.92</v>
      </c>
      <c r="U164" s="57">
        <f>$AA163*U156/100</f>
        <v>8810.1450407040429</v>
      </c>
      <c r="V164" s="57">
        <f>$AA163*V156/100</f>
        <v>90589.809840934759</v>
      </c>
      <c r="W164" s="57">
        <f>$AA163*W156/100</f>
        <v>39066.694927040298</v>
      </c>
      <c r="X164" s="57">
        <f>$AA163*X156/100</f>
        <v>15335.080191320892</v>
      </c>
      <c r="Z164" t="s">
        <v>36</v>
      </c>
      <c r="AA164" s="25">
        <f>SUM(T164:X164)</f>
        <v>155885.65</v>
      </c>
      <c r="AD164" s="51"/>
      <c r="AE164" s="51"/>
      <c r="AH164" s="78"/>
      <c r="AI164" s="78"/>
    </row>
    <row r="165" spans="1:35" ht="15.6" x14ac:dyDescent="0.35">
      <c r="B165" s="1" t="s">
        <v>19</v>
      </c>
      <c r="C165" s="1">
        <f>SUM(C160:C164)</f>
        <v>90</v>
      </c>
      <c r="D165" s="1">
        <f>SUM(D160:D164)</f>
        <v>321</v>
      </c>
      <c r="E165" s="1">
        <f>SUM(E160:E164)</f>
        <v>5863</v>
      </c>
      <c r="F165" s="1">
        <f>SUM(F160:F164)</f>
        <v>2331</v>
      </c>
      <c r="G165" s="1">
        <f>SUM(G160:G164)</f>
        <v>680</v>
      </c>
      <c r="H165" s="1">
        <f>SUM(H159:H164)</f>
        <v>9285</v>
      </c>
      <c r="I165" s="13" t="s">
        <v>12</v>
      </c>
      <c r="N165" s="16"/>
      <c r="O165" s="1"/>
      <c r="P165" s="1"/>
      <c r="R165" s="66"/>
      <c r="S165" s="66" t="s">
        <v>67</v>
      </c>
      <c r="T165" s="67">
        <f>$AA163*T157/100</f>
        <v>0</v>
      </c>
      <c r="U165" s="67">
        <f>$AA163*U157/100</f>
        <v>228.58252478879513</v>
      </c>
      <c r="V165" s="67">
        <f>$AA163*V157/100</f>
        <v>300.22746731285673</v>
      </c>
      <c r="W165" s="67">
        <f>$AA163*W157/100</f>
        <v>363.14868291828918</v>
      </c>
      <c r="X165" s="67">
        <f>$AA163*X157/100</f>
        <v>347.2997172502304</v>
      </c>
      <c r="AA165" s="1"/>
      <c r="AD165" s="51"/>
      <c r="AE165" s="51"/>
    </row>
    <row r="166" spans="1:35" x14ac:dyDescent="0.3">
      <c r="A166" s="1" t="s">
        <v>321</v>
      </c>
      <c r="B166" s="1" t="s">
        <v>2</v>
      </c>
      <c r="C166" s="10">
        <f>C160/C165</f>
        <v>1</v>
      </c>
      <c r="D166" s="10">
        <f>D161/D165</f>
        <v>0.57632398753894076</v>
      </c>
      <c r="E166" s="10">
        <f>E162/E165</f>
        <v>0.9810677127750298</v>
      </c>
      <c r="F166" s="10">
        <f>F163/F165</f>
        <v>0.91248391248391247</v>
      </c>
      <c r="G166" s="10">
        <f>G164/G165</f>
        <v>0.82647058823529407</v>
      </c>
      <c r="H166" s="10"/>
      <c r="I166" s="14">
        <f>(C160+D161+E162+F163+G164)/H165</f>
        <v>0.9387183629509962</v>
      </c>
      <c r="R166" t="s">
        <v>108</v>
      </c>
      <c r="S166" t="s">
        <v>28</v>
      </c>
      <c r="T166" s="57">
        <f>C466</f>
        <v>1.349938239985528</v>
      </c>
      <c r="U166" s="57">
        <f t="shared" ref="U166:X169" si="27">D466</f>
        <v>5.5235116719212609</v>
      </c>
      <c r="V166" s="57">
        <f t="shared" si="27"/>
        <v>58.492074983627063</v>
      </c>
      <c r="W166" s="57">
        <f t="shared" si="27"/>
        <v>25.067291802653422</v>
      </c>
      <c r="X166" s="57">
        <f t="shared" si="27"/>
        <v>9.567183301812717</v>
      </c>
      <c r="Z166" s="74"/>
      <c r="AA166" s="12"/>
      <c r="AD166" s="51"/>
      <c r="AE166" s="51"/>
      <c r="AH166" s="78"/>
      <c r="AI166" s="78"/>
    </row>
    <row r="167" spans="1:35" x14ac:dyDescent="0.3">
      <c r="B167" s="1" t="s">
        <v>14</v>
      </c>
      <c r="C167" s="11">
        <f>1-C166</f>
        <v>0</v>
      </c>
      <c r="D167" s="11">
        <f>1-D166</f>
        <v>0.42367601246105924</v>
      </c>
      <c r="E167" s="11">
        <f>1-E166</f>
        <v>1.8932287224970201E-2</v>
      </c>
      <c r="F167" s="11">
        <f>1-F166</f>
        <v>8.7516087516087526E-2</v>
      </c>
      <c r="G167" s="11">
        <f>1-G166</f>
        <v>0.17352941176470593</v>
      </c>
      <c r="S167" s="66" t="s">
        <v>39</v>
      </c>
      <c r="T167" s="67">
        <f>C467</f>
        <v>0</v>
      </c>
      <c r="U167" s="67">
        <f t="shared" si="27"/>
        <v>0.13453705996866719</v>
      </c>
      <c r="V167" s="67">
        <f t="shared" si="27"/>
        <v>0.19114182738815269</v>
      </c>
      <c r="W167" s="67">
        <f t="shared" si="27"/>
        <v>0.22757156238367118</v>
      </c>
      <c r="X167" s="67">
        <f t="shared" si="27"/>
        <v>0.21523471644366157</v>
      </c>
      <c r="AD167" s="51"/>
      <c r="AE167" s="51"/>
    </row>
    <row r="168" spans="1:35" x14ac:dyDescent="0.3">
      <c r="C168" s="2"/>
      <c r="S168" t="s">
        <v>30</v>
      </c>
      <c r="T168" s="57">
        <f>C468</f>
        <v>100</v>
      </c>
      <c r="U168" s="57">
        <f t="shared" si="27"/>
        <v>76.845803747951649</v>
      </c>
      <c r="V168" s="57">
        <f t="shared" si="27"/>
        <v>97.594514308756857</v>
      </c>
      <c r="W168" s="57">
        <f t="shared" si="27"/>
        <v>87.808040167373136</v>
      </c>
      <c r="X168" s="57">
        <f t="shared" si="27"/>
        <v>87.380350719538441</v>
      </c>
      <c r="AD168" s="51"/>
      <c r="AE168" s="51"/>
      <c r="AH168" s="78"/>
      <c r="AI168" s="78"/>
    </row>
    <row r="169" spans="1:35" ht="15.6" x14ac:dyDescent="0.35">
      <c r="A169" t="s">
        <v>322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0</v>
      </c>
      <c r="U169" s="67">
        <f t="shared" si="27"/>
        <v>3.5288562351784454</v>
      </c>
      <c r="V169" s="67">
        <f t="shared" si="27"/>
        <v>0.23360394086844152</v>
      </c>
      <c r="W169" s="67">
        <f t="shared" si="27"/>
        <v>0.91037205720042824</v>
      </c>
      <c r="X169" s="67">
        <f t="shared" si="27"/>
        <v>2.6329489982740597</v>
      </c>
      <c r="AD169" s="51"/>
      <c r="AE169" s="51"/>
    </row>
    <row r="170" spans="1:35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100</v>
      </c>
      <c r="U170" s="71">
        <f>I462</f>
        <v>94.02985074626865</v>
      </c>
      <c r="V170" s="71">
        <f>I463</f>
        <v>96.806722689075627</v>
      </c>
      <c r="W170" s="71">
        <f>I464</f>
        <v>92.586131705189715</v>
      </c>
      <c r="X170" s="71">
        <f>I465</f>
        <v>73.368841544607193</v>
      </c>
      <c r="AD170" s="51"/>
      <c r="AE170" s="51"/>
      <c r="AH170" s="78"/>
      <c r="AI170" s="78"/>
    </row>
    <row r="171" spans="1:35" x14ac:dyDescent="0.3">
      <c r="A171" t="s">
        <v>3</v>
      </c>
      <c r="B171" s="13">
        <v>0</v>
      </c>
      <c r="C171" s="29">
        <f>(C160/$L171)*$O171</f>
        <v>1.3411562476184467</v>
      </c>
      <c r="D171" s="31">
        <f>(D160/$L171)*$O171</f>
        <v>0</v>
      </c>
      <c r="E171" s="31">
        <f>(E160/$L171)*$O171</f>
        <v>0</v>
      </c>
      <c r="F171" s="31">
        <f>(F160/$L171)*$O171</f>
        <v>0</v>
      </c>
      <c r="G171" s="32">
        <f>(G160/$L171)*$O171</f>
        <v>0</v>
      </c>
      <c r="H171" s="17">
        <f>SUM(C171:G171)</f>
        <v>1.3411562476184467</v>
      </c>
      <c r="I171" s="17">
        <f>C171/H171*100</f>
        <v>100</v>
      </c>
      <c r="J171" s="17">
        <f>SQRT(I171*(100-I171)/(L171-1))</f>
        <v>0</v>
      </c>
      <c r="K171" s="18">
        <f>100-I171</f>
        <v>0</v>
      </c>
      <c r="L171" s="1">
        <f>H160</f>
        <v>90</v>
      </c>
      <c r="M171">
        <v>0</v>
      </c>
      <c r="N171" s="1">
        <v>2090.67</v>
      </c>
      <c r="O171" s="17">
        <f>N171/N176*100</f>
        <v>1.3411562476184467</v>
      </c>
      <c r="P171" s="52">
        <f>((O171*O171*(I171/100)*(K171/100))/(L171-1))</f>
        <v>0</v>
      </c>
      <c r="S171" s="75" t="s">
        <v>39</v>
      </c>
      <c r="T171" s="76">
        <f>J461</f>
        <v>0</v>
      </c>
      <c r="U171" s="76">
        <f>J462</f>
        <v>1.6753689791525119</v>
      </c>
      <c r="V171" s="76">
        <f>J463</f>
        <v>0.22795498397661823</v>
      </c>
      <c r="W171" s="76">
        <f>J464</f>
        <v>0.54725293117122298</v>
      </c>
      <c r="X171" s="76">
        <f>J465</f>
        <v>1.6140620578168781</v>
      </c>
      <c r="AD171" s="51"/>
      <c r="AE171" s="51"/>
    </row>
    <row r="172" spans="1:35" x14ac:dyDescent="0.3">
      <c r="A172" t="s">
        <v>4</v>
      </c>
      <c r="B172" s="13">
        <v>1</v>
      </c>
      <c r="C172" s="33">
        <f t="shared" ref="C172:G175" si="28">(C161/$L172)*$O172</f>
        <v>0</v>
      </c>
      <c r="D172" s="34">
        <f t="shared" si="28"/>
        <v>4.2412469967571251</v>
      </c>
      <c r="E172" s="19">
        <f t="shared" si="28"/>
        <v>0.32095923218702566</v>
      </c>
      <c r="F172" s="18">
        <f t="shared" si="28"/>
        <v>0</v>
      </c>
      <c r="G172" s="20">
        <f t="shared" si="28"/>
        <v>4.5851318883860806E-2</v>
      </c>
      <c r="H172" s="17">
        <f>SUM(C172:G172)</f>
        <v>4.608057547828011</v>
      </c>
      <c r="I172" s="17">
        <f>D172/H172*100</f>
        <v>92.039800995024891</v>
      </c>
      <c r="J172" s="17">
        <f>SQRT(I172*(100-I172)/(L172-1))</f>
        <v>1.9139685633503809</v>
      </c>
      <c r="K172" s="18">
        <f>100-I172</f>
        <v>7.9601990049751095</v>
      </c>
      <c r="L172" s="1">
        <f>H161</f>
        <v>201</v>
      </c>
      <c r="M172">
        <v>1</v>
      </c>
      <c r="N172" s="1">
        <v>7183.3</v>
      </c>
      <c r="O172" s="17">
        <f>N172/N176*100</f>
        <v>4.608057547828011</v>
      </c>
      <c r="P172" s="52">
        <f>((O172*O172*(I172/100)*(K172/100))/(L172-1))</f>
        <v>7.7786707405411012E-3</v>
      </c>
      <c r="S172" s="66" t="s">
        <v>56</v>
      </c>
      <c r="T172" s="67">
        <f>N450*100</f>
        <v>100</v>
      </c>
      <c r="U172" s="67">
        <f>N451*100</f>
        <v>72.832369942196522</v>
      </c>
      <c r="V172" s="67">
        <f>N452*100</f>
        <v>97.445440703772633</v>
      </c>
      <c r="W172" s="67">
        <f>N453*100</f>
        <v>91.666666666666671</v>
      </c>
      <c r="X172" s="67">
        <f>N454*100</f>
        <v>77.769936485532824</v>
      </c>
      <c r="AD172" s="51"/>
      <c r="AE172" s="51"/>
      <c r="AH172" s="78"/>
      <c r="AI172" s="78"/>
    </row>
    <row r="173" spans="1:35" x14ac:dyDescent="0.3">
      <c r="A173" t="s">
        <v>5</v>
      </c>
      <c r="B173" s="13">
        <v>2</v>
      </c>
      <c r="C173" s="33">
        <f t="shared" si="28"/>
        <v>0</v>
      </c>
      <c r="D173" s="19">
        <f t="shared" si="28"/>
        <v>1.3373531299703334</v>
      </c>
      <c r="E173" s="34">
        <f t="shared" si="28"/>
        <v>56.562170614627632</v>
      </c>
      <c r="F173" s="19">
        <f t="shared" si="28"/>
        <v>0.38350567697678678</v>
      </c>
      <c r="G173" s="20">
        <f t="shared" si="28"/>
        <v>0.2261700146273358</v>
      </c>
      <c r="H173" s="17">
        <f>SUM(C173:G173)</f>
        <v>58.509199436202088</v>
      </c>
      <c r="I173" s="17">
        <f>E173/H173*100</f>
        <v>96.672268907563037</v>
      </c>
      <c r="J173" s="17">
        <f>SQRT(I173*(100-I173)/(L173-1))</f>
        <v>0.23254289970905889</v>
      </c>
      <c r="K173" s="18">
        <f>100-I173</f>
        <v>3.327731092436963</v>
      </c>
      <c r="L173" s="1">
        <f>H162</f>
        <v>5950</v>
      </c>
      <c r="M173">
        <v>2</v>
      </c>
      <c r="N173" s="1">
        <v>91207.44</v>
      </c>
      <c r="O173" s="17">
        <f>N173/N176*100</f>
        <v>58.509199436202088</v>
      </c>
      <c r="P173" s="52">
        <f>((O173*O173*(I173/100)*(K173/100))/(L173-1))</f>
        <v>1.8512048478314239E-2</v>
      </c>
      <c r="R173" s="16" t="s">
        <v>66</v>
      </c>
      <c r="S173" t="s">
        <v>9</v>
      </c>
      <c r="T173" s="1">
        <f>N461</f>
        <v>2104.36</v>
      </c>
      <c r="U173" s="1">
        <f>N462</f>
        <v>7036.81</v>
      </c>
      <c r="V173" s="1">
        <f>N463</f>
        <v>91922.76</v>
      </c>
      <c r="W173" s="1">
        <f>N464</f>
        <v>37059.699999999997</v>
      </c>
      <c r="X173" s="1">
        <f>N465</f>
        <v>17762.02</v>
      </c>
      <c r="Z173" t="s">
        <v>36</v>
      </c>
      <c r="AA173" s="1">
        <f>N466</f>
        <v>155885.65</v>
      </c>
      <c r="AD173" s="51"/>
      <c r="AE173" s="51"/>
    </row>
    <row r="174" spans="1:35" ht="15.6" x14ac:dyDescent="0.35">
      <c r="A174" t="s">
        <v>6</v>
      </c>
      <c r="B174" s="13">
        <v>3</v>
      </c>
      <c r="C174" s="33">
        <f t="shared" si="28"/>
        <v>0</v>
      </c>
      <c r="D174" s="19">
        <f t="shared" si="28"/>
        <v>0</v>
      </c>
      <c r="E174" s="19">
        <f t="shared" si="28"/>
        <v>0.75925676805931419</v>
      </c>
      <c r="F174" s="34">
        <f t="shared" si="28"/>
        <v>22.122454050166596</v>
      </c>
      <c r="G174" s="20">
        <f t="shared" si="28"/>
        <v>0.967272320952277</v>
      </c>
      <c r="H174" s="17">
        <f>SUM(C174:G174)</f>
        <v>23.848983139178184</v>
      </c>
      <c r="I174" s="17">
        <f>F174/H174*100</f>
        <v>92.76057566506762</v>
      </c>
      <c r="J174" s="17">
        <f>SQRT(I174*(100-I174)/(L174-1))</f>
        <v>0.5412855427036426</v>
      </c>
      <c r="K174" s="18">
        <f>100-I174</f>
        <v>7.2394243349323801</v>
      </c>
      <c r="L174" s="1">
        <f>H163</f>
        <v>2293</v>
      </c>
      <c r="M174">
        <v>3</v>
      </c>
      <c r="N174" s="1">
        <v>37177.14</v>
      </c>
      <c r="O174" s="17">
        <f>N174/N176*100</f>
        <v>23.848983139178184</v>
      </c>
      <c r="P174" s="52">
        <f>((O174*O174*(I174/100)*(K174/100))/(L174-1))</f>
        <v>1.6664511534875567E-2</v>
      </c>
      <c r="R174" s="16" t="s">
        <v>323</v>
      </c>
      <c r="S174" t="s">
        <v>68</v>
      </c>
      <c r="T174" s="57">
        <f>$AA173*T166/100</f>
        <v>2104.36</v>
      </c>
      <c r="U174" s="57">
        <f>$AA173*U166/100</f>
        <v>8610.3620726003246</v>
      </c>
      <c r="V174" s="57">
        <f>$AA173*V166/100</f>
        <v>91180.751286714425</v>
      </c>
      <c r="W174" s="57">
        <f>$AA173*W166/100</f>
        <v>39076.310763963003</v>
      </c>
      <c r="X174" s="57">
        <f>$AA173*X166/100</f>
        <v>14913.865876722215</v>
      </c>
      <c r="Z174" t="s">
        <v>36</v>
      </c>
      <c r="AA174" s="25">
        <f>SUM(T174:X174)</f>
        <v>155885.64999999997</v>
      </c>
      <c r="AD174" s="51"/>
      <c r="AE174" s="51"/>
      <c r="AH174" s="78"/>
      <c r="AI174" s="78"/>
    </row>
    <row r="175" spans="1:35" x14ac:dyDescent="0.3">
      <c r="A175" t="s">
        <v>7</v>
      </c>
      <c r="B175" s="13">
        <v>4</v>
      </c>
      <c r="C175" s="35">
        <f t="shared" si="28"/>
        <v>0</v>
      </c>
      <c r="D175" s="36">
        <f t="shared" si="28"/>
        <v>0</v>
      </c>
      <c r="E175" s="21">
        <f t="shared" si="28"/>
        <v>0.37366509600553771</v>
      </c>
      <c r="F175" s="21">
        <f t="shared" si="28"/>
        <v>2.5689475350380717</v>
      </c>
      <c r="G175" s="37">
        <f t="shared" si="28"/>
        <v>8.7499909981296753</v>
      </c>
      <c r="H175" s="17">
        <f>SUM(C175:G175)</f>
        <v>11.692603629173284</v>
      </c>
      <c r="I175" s="17">
        <f>G175/H175*100</f>
        <v>74.833555259653792</v>
      </c>
      <c r="J175" s="17">
        <f>SQRT(I175*(100-I175)/(L175-1))</f>
        <v>1.584632253096691</v>
      </c>
      <c r="K175" s="18">
        <f>100-I175</f>
        <v>25.166444740346208</v>
      </c>
      <c r="L175" s="1">
        <f>H164</f>
        <v>751</v>
      </c>
      <c r="M175">
        <v>4</v>
      </c>
      <c r="N175" s="1">
        <v>18227.09</v>
      </c>
      <c r="O175" s="17">
        <f>N175/N176*100</f>
        <v>11.692603629173284</v>
      </c>
      <c r="P175" s="52">
        <f>((O175*O175*(I175/100)*(K175/100))/(L175-1))</f>
        <v>3.4330445376819022E-2</v>
      </c>
      <c r="R175" s="66"/>
      <c r="S175" s="66" t="s">
        <v>67</v>
      </c>
      <c r="T175" s="67">
        <f>$AA173*T167/100</f>
        <v>0</v>
      </c>
      <c r="U175" s="67">
        <f>$AA173*U167/100</f>
        <v>209.72397042304664</v>
      </c>
      <c r="V175" s="67">
        <f>$AA173*V167/100</f>
        <v>297.96268004589984</v>
      </c>
      <c r="W175" s="67">
        <f>$AA173*W167/100</f>
        <v>354.7514092369413</v>
      </c>
      <c r="X175" s="67">
        <f>$AA173*X167/100</f>
        <v>335.52003675385873</v>
      </c>
      <c r="AA175" s="1"/>
      <c r="AD175" s="51"/>
      <c r="AE175" s="51"/>
    </row>
    <row r="176" spans="1:35" x14ac:dyDescent="0.3">
      <c r="B176" t="s">
        <v>28</v>
      </c>
      <c r="C176" s="17">
        <f t="shared" ref="C176:H176" si="29">SUM(C171:C175)</f>
        <v>1.3411562476184467</v>
      </c>
      <c r="D176" s="17">
        <f t="shared" si="29"/>
        <v>5.5786001267274585</v>
      </c>
      <c r="E176" s="17">
        <f t="shared" si="29"/>
        <v>58.016051710879516</v>
      </c>
      <c r="F176" s="17">
        <f t="shared" si="29"/>
        <v>25.074907262181451</v>
      </c>
      <c r="G176" s="17">
        <f t="shared" si="29"/>
        <v>9.9892846525931489</v>
      </c>
      <c r="H176" s="18">
        <f t="shared" si="29"/>
        <v>100.00000000000003</v>
      </c>
      <c r="I176" s="13" t="s">
        <v>24</v>
      </c>
      <c r="J176" s="12" t="s">
        <v>29</v>
      </c>
      <c r="N176" s="1">
        <f>SUM(N171:N175)</f>
        <v>155885.63999999998</v>
      </c>
      <c r="O176" s="17">
        <f>SUM(O171:O175)</f>
        <v>100.00000000000003</v>
      </c>
      <c r="R176" t="s">
        <v>109</v>
      </c>
      <c r="S176" t="s">
        <v>28</v>
      </c>
      <c r="T176" s="57">
        <f>C495</f>
        <v>1.3295452569938615</v>
      </c>
      <c r="U176" s="57">
        <f t="shared" ref="U176:X179" si="30">D495</f>
        <v>5.6406259351157466</v>
      </c>
      <c r="V176" s="57">
        <f t="shared" si="30"/>
        <v>58.345427070014516</v>
      </c>
      <c r="W176" s="57">
        <f t="shared" si="30"/>
        <v>24.781368029220566</v>
      </c>
      <c r="X176" s="57">
        <f t="shared" si="30"/>
        <v>9.903033708655304</v>
      </c>
      <c r="AD176" s="51"/>
      <c r="AE176" s="51"/>
      <c r="AH176" s="78"/>
      <c r="AI176" s="78"/>
    </row>
    <row r="177" spans="1:41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0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0.14349290637822668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0.19654998798050824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0.22718501908194355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0.21724004854108087</v>
      </c>
      <c r="H177" s="1"/>
      <c r="I177" s="14">
        <f>(C171+D172+E173+F174+G175)/H176</f>
        <v>0.93017018907299442</v>
      </c>
      <c r="J177" s="53">
        <f>SQRT(SUM(P171:P175))/100</f>
        <v>2.7800301460694614E-3</v>
      </c>
      <c r="M177" s="1"/>
      <c r="N177" s="9"/>
      <c r="S177" s="66" t="s">
        <v>39</v>
      </c>
      <c r="T177" s="67">
        <f>C496</f>
        <v>0</v>
      </c>
      <c r="U177" s="67">
        <f t="shared" si="30"/>
        <v>0.14395106823503329</v>
      </c>
      <c r="V177" s="67">
        <f t="shared" si="30"/>
        <v>0.20545974823184104</v>
      </c>
      <c r="W177" s="67">
        <f t="shared" si="30"/>
        <v>0.23218178603117598</v>
      </c>
      <c r="X177" s="67">
        <f t="shared" si="30"/>
        <v>0.22147788778696006</v>
      </c>
      <c r="AD177" s="51"/>
      <c r="AE177" s="51"/>
    </row>
    <row r="178" spans="1:41" x14ac:dyDescent="0.3">
      <c r="B178" s="1" t="s">
        <v>30</v>
      </c>
      <c r="C178" s="17">
        <f>C171/C176*100</f>
        <v>100</v>
      </c>
      <c r="D178" s="17">
        <f>D172/D176*100</f>
        <v>76.027083863512956</v>
      </c>
      <c r="E178" s="17">
        <f>E173/E176*100</f>
        <v>97.494001998796406</v>
      </c>
      <c r="F178" s="17">
        <f>F174/F176*100</f>
        <v>88.225467072941825</v>
      </c>
      <c r="G178" s="17">
        <f>G175/G176*100</f>
        <v>87.593769748650004</v>
      </c>
      <c r="H178" s="1"/>
      <c r="S178" s="70" t="s">
        <v>30</v>
      </c>
      <c r="T178" s="64">
        <f>C497</f>
        <v>100</v>
      </c>
      <c r="U178" s="64">
        <f t="shared" si="30"/>
        <v>75.148346015302408</v>
      </c>
      <c r="V178" s="64">
        <f t="shared" si="30"/>
        <v>97.084637409909973</v>
      </c>
      <c r="W178" s="64">
        <f t="shared" si="30"/>
        <v>87.862266269116162</v>
      </c>
      <c r="X178" s="64">
        <f t="shared" si="30"/>
        <v>86.577434352695519</v>
      </c>
      <c r="AD178" s="51"/>
      <c r="AE178" s="51"/>
      <c r="AH178" s="78"/>
      <c r="AI178" s="78"/>
    </row>
    <row r="179" spans="1:41" x14ac:dyDescent="0.3">
      <c r="B179" s="16" t="s">
        <v>39</v>
      </c>
      <c r="C179" s="18">
        <f>SQRT((C182+C183)/(C176*C176))</f>
        <v>0</v>
      </c>
      <c r="D179" s="18">
        <f>SQRT((D182+D183)/(D176*D176))</f>
        <v>4.0928966292367122</v>
      </c>
      <c r="E179" s="18">
        <f>SQRT((E182+E183)/(E176*E176))</f>
        <v>0.24578002159696591</v>
      </c>
      <c r="F179" s="18">
        <f>SQRT((F182+F183)/(F176*F176))</f>
        <v>0.89482782870160937</v>
      </c>
      <c r="G179" s="18">
        <f>SQRT((G182+G183)/(G176*G176))</f>
        <v>2.507708625952588</v>
      </c>
      <c r="H179" s="1"/>
      <c r="S179" s="66" t="s">
        <v>39</v>
      </c>
      <c r="T179" s="67">
        <f>C498</f>
        <v>0</v>
      </c>
      <c r="U179" s="67">
        <f t="shared" si="30"/>
        <v>4.0574019739389158</v>
      </c>
      <c r="V179" s="67">
        <f t="shared" si="30"/>
        <v>0.25942471000681394</v>
      </c>
      <c r="W179" s="67">
        <f t="shared" si="30"/>
        <v>0.94364339662701613</v>
      </c>
      <c r="X179" s="67">
        <f t="shared" si="30"/>
        <v>2.7419820473370695</v>
      </c>
      <c r="AD179" s="51"/>
      <c r="AE179" s="51"/>
    </row>
    <row r="180" spans="1:41" x14ac:dyDescent="0.3">
      <c r="B180" s="1" t="s">
        <v>37</v>
      </c>
      <c r="C180" s="18">
        <f>100-C178</f>
        <v>0</v>
      </c>
      <c r="D180" s="18">
        <f>100-D178</f>
        <v>23.972916136487044</v>
      </c>
      <c r="E180" s="18">
        <f>100-E178</f>
        <v>2.5059980012035936</v>
      </c>
      <c r="F180" s="18">
        <f>100-F178</f>
        <v>11.774532927058175</v>
      </c>
      <c r="G180" s="18">
        <f>100-G178</f>
        <v>12.406230251349996</v>
      </c>
      <c r="S180" s="70" t="s">
        <v>31</v>
      </c>
      <c r="T180" s="64">
        <f>I490</f>
        <v>100</v>
      </c>
      <c r="U180" s="64">
        <f>I491</f>
        <v>92.537313432835816</v>
      </c>
      <c r="V180" s="64">
        <f>I492</f>
        <v>96.470588235294102</v>
      </c>
      <c r="W180" s="64">
        <f>I493</f>
        <v>91.757522895769725</v>
      </c>
      <c r="X180" s="64">
        <f>I494</f>
        <v>73.635153129161111</v>
      </c>
      <c r="AD180" s="51"/>
      <c r="AE180" s="51"/>
      <c r="AH180" s="78"/>
      <c r="AI180" s="78"/>
    </row>
    <row r="181" spans="1:41" ht="15.6" x14ac:dyDescent="0.35">
      <c r="B181" s="1" t="s">
        <v>25</v>
      </c>
      <c r="C181" s="1">
        <f>C165</f>
        <v>90</v>
      </c>
      <c r="D181" s="1">
        <f>D165</f>
        <v>321</v>
      </c>
      <c r="E181" s="1">
        <f>E165</f>
        <v>5863</v>
      </c>
      <c r="F181" s="1">
        <f>F165</f>
        <v>2331</v>
      </c>
      <c r="G181" s="1">
        <f>G165</f>
        <v>680</v>
      </c>
      <c r="S181" s="66" t="s">
        <v>39</v>
      </c>
      <c r="T181" s="67">
        <f>J490</f>
        <v>0</v>
      </c>
      <c r="U181" s="67">
        <f>J491</f>
        <v>1.858193969849065</v>
      </c>
      <c r="V181" s="67">
        <f>J492</f>
        <v>0.23923606110750084</v>
      </c>
      <c r="W181" s="67">
        <f>J493</f>
        <v>0.574437003993712</v>
      </c>
      <c r="X181" s="67">
        <f>J494</f>
        <v>1.608883478921995</v>
      </c>
      <c r="AD181" s="51"/>
      <c r="AE181" s="51"/>
      <c r="AN181" s="2"/>
      <c r="AO181" s="2"/>
    </row>
    <row r="182" spans="1:41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447.04075825649181</v>
      </c>
      <c r="E182" s="18">
        <f>(O173*O173*(100-E178)*(100-E178)*(I173)*(100-I173))/((L173-1)*100)</f>
        <v>11.625614542453093</v>
      </c>
      <c r="F182" s="18">
        <f>(O174*O174*(100-F178)*(100-F178)*(I174)*(100-I174))/((L174-1)*100)</f>
        <v>231.03616408415405</v>
      </c>
      <c r="G182" s="18">
        <f>(O175*O175*(100-G178)*(100-G178)*(I175)*(100-I175))/((L175-1)*100)</f>
        <v>528.39550188419958</v>
      </c>
      <c r="S182" s="68" t="s">
        <v>56</v>
      </c>
      <c r="T182" s="65">
        <f>N479*100</f>
        <v>100</v>
      </c>
      <c r="U182" s="65">
        <f>N480*100</f>
        <v>70.321361058601141</v>
      </c>
      <c r="V182" s="65">
        <f>N481*100</f>
        <v>97.090663058186735</v>
      </c>
      <c r="W182" s="65">
        <f>N482*100</f>
        <v>91.339266333839802</v>
      </c>
      <c r="X182" s="65">
        <f>N483*100</f>
        <v>77.342657342657333</v>
      </c>
      <c r="AD182" s="51"/>
      <c r="AE182" s="51"/>
      <c r="AH182" s="78"/>
      <c r="AI182" s="78"/>
    </row>
    <row r="183" spans="1:41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74.2884013460463</v>
      </c>
      <c r="E183" s="18">
        <f>E178*E178*(SUM((H171*E171*(1-E160/H160))/(H160-1),(H172*E172*(1-E161/H161))/(H161-1), (H174*E174*(1-E163/H163))/(H163-1),(H175*E175*(1-E164/H164))/(H164-1)))</f>
        <v>191.69878345868594</v>
      </c>
      <c r="F183" s="18">
        <f>F178*F178*(SUM((H171*F171*(1-F160/H160))/(H160-1),(H172*F172*(1-F161/H161))/(H161-1), (H173*F173*(1-F162/H162))/(H162-1),(H175*F175*(1-F164/H164))/(H164-1)))</f>
        <v>272.41533102789316</v>
      </c>
      <c r="G183" s="18">
        <f>G178*G178*(SUM((H171*G171*(1-G160/H160))/(H160-1),(H172*G172*(1-G161/H161))/(H161-1), (H173*G173*(1-G162/H162))/(H162-1),(H174*G174*(1-G163/H163))/(H163-1)))</f>
        <v>99.11778421137295</v>
      </c>
      <c r="R183" s="16" t="s">
        <v>66</v>
      </c>
      <c r="S183" t="s">
        <v>9</v>
      </c>
      <c r="T183" s="1">
        <f>N490</f>
        <v>2072.5700000000002</v>
      </c>
      <c r="U183" s="1">
        <f>N491</f>
        <v>7140.62</v>
      </c>
      <c r="V183" s="1">
        <f>N492</f>
        <v>91531.06</v>
      </c>
      <c r="W183" s="1">
        <f>N493</f>
        <v>36990.660000000003</v>
      </c>
      <c r="X183" s="1">
        <f>N494</f>
        <v>18150.72</v>
      </c>
      <c r="Z183" t="s">
        <v>36</v>
      </c>
      <c r="AA183" s="1">
        <f>N495</f>
        <v>155885.63</v>
      </c>
      <c r="AD183" s="51"/>
      <c r="AE183" s="51"/>
      <c r="AN183" s="78"/>
      <c r="AO183" s="78"/>
    </row>
    <row r="184" spans="1:41" ht="15.6" x14ac:dyDescent="0.35">
      <c r="R184" s="16" t="s">
        <v>323</v>
      </c>
      <c r="S184" t="s">
        <v>68</v>
      </c>
      <c r="T184" s="57">
        <f>$AA183*T176/100</f>
        <v>2072.5700000000002</v>
      </c>
      <c r="U184" s="57">
        <f>$AA183*U176/100</f>
        <v>8792.9252748985728</v>
      </c>
      <c r="V184" s="57">
        <f>$AA183*V176/100</f>
        <v>90952.136564282657</v>
      </c>
      <c r="W184" s="57">
        <f>$AA183*W176/100</f>
        <v>38630.591674969066</v>
      </c>
      <c r="X184" s="57">
        <f>$AA183*X176/100</f>
        <v>15437.406485849686</v>
      </c>
      <c r="Z184" t="s">
        <v>36</v>
      </c>
      <c r="AA184" s="25">
        <f>SUM(T184:X184)</f>
        <v>155885.63</v>
      </c>
      <c r="AD184" s="51"/>
      <c r="AE184" s="51"/>
      <c r="AH184" s="78"/>
      <c r="AI184" s="78"/>
    </row>
    <row r="185" spans="1:41" x14ac:dyDescent="0.3">
      <c r="R185" s="66"/>
      <c r="S185" s="66" t="s">
        <v>67</v>
      </c>
      <c r="T185" s="67">
        <f>$AA183*T177/100</f>
        <v>0</v>
      </c>
      <c r="U185" s="67">
        <f>$AA183*U177/100</f>
        <v>224.39902960991151</v>
      </c>
      <c r="V185" s="67">
        <f>$AA183*V177/100</f>
        <v>320.28222292761927</v>
      </c>
      <c r="W185" s="67">
        <f>$AA183*W177/100</f>
        <v>361.9380398999507</v>
      </c>
      <c r="X185" s="67">
        <f>$AA183*X177/100</f>
        <v>345.25220068739577</v>
      </c>
      <c r="AA185" s="1"/>
      <c r="AD185" s="51"/>
      <c r="AE185" s="51"/>
      <c r="AN185" s="78"/>
      <c r="AO185" s="78"/>
    </row>
    <row r="186" spans="1:41" x14ac:dyDescent="0.3">
      <c r="A186" s="361" t="s">
        <v>429</v>
      </c>
      <c r="B186" s="361"/>
      <c r="C186" s="361"/>
      <c r="D186" s="361"/>
      <c r="E186" s="361"/>
      <c r="F186" s="361"/>
      <c r="G186" s="361"/>
      <c r="H186" s="361"/>
      <c r="I186" s="361"/>
      <c r="J186" s="361"/>
      <c r="K186" s="361"/>
      <c r="L186" s="361" t="s">
        <v>84</v>
      </c>
      <c r="M186" s="361"/>
      <c r="N186" s="361"/>
      <c r="O186" s="361"/>
      <c r="P186" s="361"/>
      <c r="R186" t="s">
        <v>110</v>
      </c>
      <c r="S186" s="70" t="s">
        <v>28</v>
      </c>
      <c r="T186" s="64">
        <f>C524</f>
        <v>1.3449668195843325</v>
      </c>
      <c r="U186" s="64">
        <f t="shared" ref="U186:X189" si="31">D524</f>
        <v>5.5517694434788796</v>
      </c>
      <c r="V186" s="64">
        <f t="shared" si="31"/>
        <v>58.460314304814361</v>
      </c>
      <c r="W186" s="64">
        <f t="shared" si="31"/>
        <v>24.86151831190314</v>
      </c>
      <c r="X186" s="64">
        <f t="shared" si="31"/>
        <v>9.7814311202192918</v>
      </c>
      <c r="AA186" s="12"/>
      <c r="AD186" s="51"/>
      <c r="AE186" s="51"/>
    </row>
    <row r="187" spans="1:41" x14ac:dyDescent="0.3">
      <c r="A187" t="s">
        <v>320</v>
      </c>
      <c r="B187" t="s">
        <v>21</v>
      </c>
      <c r="I187" s="1" t="s">
        <v>58</v>
      </c>
      <c r="O187" s="143"/>
      <c r="P187" s="143"/>
      <c r="S187" s="66" t="s">
        <v>39</v>
      </c>
      <c r="T187" s="67">
        <f>C525</f>
        <v>0</v>
      </c>
      <c r="U187" s="67">
        <f t="shared" si="31"/>
        <v>0.13276641880819604</v>
      </c>
      <c r="V187" s="67">
        <f t="shared" si="31"/>
        <v>0.19177239299165175</v>
      </c>
      <c r="W187" s="67">
        <f t="shared" si="31"/>
        <v>0.23190069741835964</v>
      </c>
      <c r="X187" s="67">
        <f t="shared" si="31"/>
        <v>0.21621245612029796</v>
      </c>
      <c r="AD187" s="51"/>
      <c r="AE187" s="51"/>
      <c r="AN187" s="78"/>
      <c r="AO187" s="78"/>
    </row>
    <row r="188" spans="1:41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56</v>
      </c>
      <c r="O188" s="13"/>
      <c r="P188" s="13"/>
      <c r="S188" t="s">
        <v>30</v>
      </c>
      <c r="T188" s="57">
        <f>C526</f>
        <v>100</v>
      </c>
      <c r="U188" s="57">
        <f t="shared" si="31"/>
        <v>75.865757366218617</v>
      </c>
      <c r="V188" s="57">
        <f t="shared" si="31"/>
        <v>97.555539316872242</v>
      </c>
      <c r="W188" s="57">
        <f t="shared" si="31"/>
        <v>87.672553610674413</v>
      </c>
      <c r="X188" s="57">
        <f t="shared" si="31"/>
        <v>86.842065129140749</v>
      </c>
      <c r="AD188" s="51"/>
      <c r="AE188" s="51"/>
    </row>
    <row r="189" spans="1:41" x14ac:dyDescent="0.3">
      <c r="A189" t="s">
        <v>3</v>
      </c>
      <c r="B189" s="13">
        <v>0</v>
      </c>
      <c r="C189" s="26">
        <v>89</v>
      </c>
      <c r="D189" s="3">
        <v>0</v>
      </c>
      <c r="E189" s="3">
        <v>0</v>
      </c>
      <c r="F189" s="3">
        <v>1</v>
      </c>
      <c r="G189" s="4">
        <v>0</v>
      </c>
      <c r="H189" s="1">
        <f>SUM(C189:G189)</f>
        <v>90</v>
      </c>
      <c r="I189" s="10">
        <f>C189/H189</f>
        <v>0.98888888888888893</v>
      </c>
      <c r="J189" s="11">
        <f>1-I189</f>
        <v>1.1111111111111072E-2</v>
      </c>
      <c r="K189">
        <f>H189-C194</f>
        <v>1</v>
      </c>
      <c r="N189" s="10">
        <f>2*(C195*I189)/(C195+I189)</f>
        <v>0.99441340782122911</v>
      </c>
      <c r="O189" s="1"/>
      <c r="P189" s="1"/>
      <c r="S189" s="66" t="s">
        <v>39</v>
      </c>
      <c r="T189" s="67">
        <f>C527</f>
        <v>0</v>
      </c>
      <c r="U189" s="67">
        <f t="shared" si="31"/>
        <v>3.347401625289125</v>
      </c>
      <c r="V189" s="67">
        <f t="shared" si="31"/>
        <v>0.22993512235209751</v>
      </c>
      <c r="W189" s="67">
        <f t="shared" si="31"/>
        <v>0.94638013689133271</v>
      </c>
      <c r="X189" s="67">
        <f t="shared" si="31"/>
        <v>2.6667086695704461</v>
      </c>
      <c r="AD189" s="51"/>
      <c r="AE189" s="51"/>
      <c r="AN189" s="78"/>
      <c r="AO189" s="78"/>
    </row>
    <row r="190" spans="1:41" x14ac:dyDescent="0.3">
      <c r="A190" t="s">
        <v>4</v>
      </c>
      <c r="B190" s="13">
        <v>1</v>
      </c>
      <c r="C190" s="5">
        <v>0</v>
      </c>
      <c r="D190" s="27">
        <v>187</v>
      </c>
      <c r="E190" s="1">
        <v>12</v>
      </c>
      <c r="F190" s="1">
        <v>0</v>
      </c>
      <c r="G190" s="6">
        <v>2</v>
      </c>
      <c r="H190" s="1">
        <f>SUM(C190:G190)</f>
        <v>201</v>
      </c>
      <c r="I190" s="10">
        <f>D190/H190</f>
        <v>0.93034825870646765</v>
      </c>
      <c r="J190" s="11">
        <f>1-I190</f>
        <v>6.9651741293532354E-2</v>
      </c>
      <c r="K190">
        <f>H190-D194</f>
        <v>-122</v>
      </c>
      <c r="N190" s="10">
        <f>2*(D195*I190)/(D195+I190)</f>
        <v>0.71374045801526709</v>
      </c>
      <c r="O190" s="1"/>
      <c r="P190" s="1"/>
      <c r="S190" t="s">
        <v>31</v>
      </c>
      <c r="T190" s="57">
        <f>I519</f>
        <v>100</v>
      </c>
      <c r="U190" s="57">
        <f>I520</f>
        <v>95.024875621890544</v>
      </c>
      <c r="V190" s="57">
        <f>I521</f>
        <v>96.638655462184857</v>
      </c>
      <c r="W190" s="57">
        <f>I522</f>
        <v>91.757522895769739</v>
      </c>
      <c r="X190" s="57">
        <f>I523</f>
        <v>74.16777629826899</v>
      </c>
      <c r="AD190" s="51"/>
      <c r="AE190" s="51"/>
    </row>
    <row r="191" spans="1:41" x14ac:dyDescent="0.3">
      <c r="A191" t="s">
        <v>5</v>
      </c>
      <c r="B191" s="13">
        <v>2</v>
      </c>
      <c r="C191" s="5">
        <v>0</v>
      </c>
      <c r="D191" s="1">
        <v>133</v>
      </c>
      <c r="E191" s="27">
        <v>5754</v>
      </c>
      <c r="F191" s="1">
        <v>40</v>
      </c>
      <c r="G191" s="6">
        <v>23</v>
      </c>
      <c r="H191" s="1">
        <f>SUM(C191:G191)</f>
        <v>5950</v>
      </c>
      <c r="I191" s="10">
        <f>E191/H191</f>
        <v>0.96705882352941175</v>
      </c>
      <c r="J191" s="11">
        <f>1-I191</f>
        <v>3.2941176470588251E-2</v>
      </c>
      <c r="K191">
        <f>H191-E194</f>
        <v>57</v>
      </c>
      <c r="N191" s="10">
        <f>2*(E195*I191)/(E195+I191)</f>
        <v>0.97171324833234818</v>
      </c>
      <c r="O191" s="1"/>
      <c r="P191" s="1"/>
      <c r="S191" s="66" t="s">
        <v>39</v>
      </c>
      <c r="T191" s="67">
        <f>J519</f>
        <v>0</v>
      </c>
      <c r="U191" s="67">
        <f>J520</f>
        <v>1.5374663821256167</v>
      </c>
      <c r="V191" s="67">
        <f>J521</f>
        <v>0.23367377249388455</v>
      </c>
      <c r="W191" s="67">
        <f>J522</f>
        <v>0.57443700399371156</v>
      </c>
      <c r="X191" s="67">
        <f>J523</f>
        <v>1.5982985072869742</v>
      </c>
      <c r="AD191" s="51"/>
      <c r="AE191" s="51"/>
      <c r="AN191" s="78"/>
      <c r="AO191" s="78"/>
    </row>
    <row r="192" spans="1:41" x14ac:dyDescent="0.3">
      <c r="A192" t="s">
        <v>6</v>
      </c>
      <c r="B192" s="13">
        <v>3</v>
      </c>
      <c r="C192" s="5">
        <v>0</v>
      </c>
      <c r="D192" s="1">
        <v>2</v>
      </c>
      <c r="E192" s="1">
        <v>101</v>
      </c>
      <c r="F192" s="27">
        <v>2098</v>
      </c>
      <c r="G192" s="6">
        <v>92</v>
      </c>
      <c r="H192" s="1">
        <f>SUM(C192:G192)</f>
        <v>2293</v>
      </c>
      <c r="I192" s="10">
        <f>F192/H192</f>
        <v>0.91495856955952903</v>
      </c>
      <c r="J192" s="11">
        <f>1-I192</f>
        <v>8.5041430440470966E-2</v>
      </c>
      <c r="K192">
        <f>H192-F194</f>
        <v>-12</v>
      </c>
      <c r="N192" s="10">
        <f>2*(F195*I192)/(F195+I192)</f>
        <v>0.91257068290561105</v>
      </c>
      <c r="O192" s="1"/>
      <c r="P192" s="1"/>
      <c r="S192" s="66" t="s">
        <v>56</v>
      </c>
      <c r="T192" s="67">
        <f>N508*100</f>
        <v>100</v>
      </c>
      <c r="U192" s="67">
        <f>N509*100</f>
        <v>72.485768500948751</v>
      </c>
      <c r="V192" s="67">
        <f>N510*100</f>
        <v>97.300956087655479</v>
      </c>
      <c r="W192" s="67">
        <f>N511*100</f>
        <v>91.220463906351625</v>
      </c>
      <c r="X192" s="67">
        <f>N512*100</f>
        <v>77.847658979734447</v>
      </c>
      <c r="AD192" s="51"/>
      <c r="AE192" s="51"/>
    </row>
    <row r="193" spans="1:48" x14ac:dyDescent="0.3">
      <c r="A193" t="s">
        <v>7</v>
      </c>
      <c r="B193" s="13">
        <v>4</v>
      </c>
      <c r="C193" s="7">
        <v>0</v>
      </c>
      <c r="D193" s="8">
        <v>1</v>
      </c>
      <c r="E193" s="8">
        <v>26</v>
      </c>
      <c r="F193" s="8">
        <v>166</v>
      </c>
      <c r="G193" s="28">
        <v>558</v>
      </c>
      <c r="H193" s="1">
        <f>SUM(C193:G193)</f>
        <v>751</v>
      </c>
      <c r="I193" s="10">
        <f>G193/H193</f>
        <v>0.74300932090545935</v>
      </c>
      <c r="J193" s="11">
        <f>1-I193</f>
        <v>0.25699067909454065</v>
      </c>
      <c r="K193">
        <f>H193-G194</f>
        <v>76</v>
      </c>
      <c r="N193" s="10">
        <f>2*(G195*I193)/(G195+I193)</f>
        <v>0.78260869565217395</v>
      </c>
      <c r="O193" s="1"/>
      <c r="P193" s="1"/>
      <c r="R193" s="16" t="s">
        <v>66</v>
      </c>
      <c r="S193" t="s">
        <v>9</v>
      </c>
      <c r="T193" s="1">
        <f>N519</f>
        <v>2096.61</v>
      </c>
      <c r="U193" s="1">
        <f>N520</f>
        <v>6909.49</v>
      </c>
      <c r="V193" s="1">
        <f>N521</f>
        <v>91995.86</v>
      </c>
      <c r="W193" s="1">
        <f>N522</f>
        <v>37030.17</v>
      </c>
      <c r="X193" s="1">
        <f>N523</f>
        <v>17853.5</v>
      </c>
      <c r="Z193" t="s">
        <v>36</v>
      </c>
      <c r="AA193" s="1">
        <f>N524</f>
        <v>155885.63</v>
      </c>
      <c r="AD193" s="51"/>
      <c r="AE193" s="51"/>
      <c r="AL193" s="132">
        <v>0</v>
      </c>
      <c r="AM193" s="133">
        <v>1</v>
      </c>
      <c r="AN193" s="133">
        <v>2</v>
      </c>
      <c r="AO193" s="133">
        <v>3</v>
      </c>
      <c r="AP193" s="134">
        <v>4</v>
      </c>
    </row>
    <row r="194" spans="1:48" ht="15.6" x14ac:dyDescent="0.35">
      <c r="B194" s="1" t="s">
        <v>19</v>
      </c>
      <c r="C194" s="1">
        <f>SUM(C189:C193)</f>
        <v>89</v>
      </c>
      <c r="D194" s="1">
        <f>SUM(D189:D193)</f>
        <v>323</v>
      </c>
      <c r="E194" s="1">
        <f>SUM(E189:E193)</f>
        <v>5893</v>
      </c>
      <c r="F194" s="1">
        <f>SUM(F189:F193)</f>
        <v>2305</v>
      </c>
      <c r="G194" s="1">
        <f>SUM(G189:G193)</f>
        <v>675</v>
      </c>
      <c r="H194" s="1">
        <f>SUM(H188:H193)</f>
        <v>9285</v>
      </c>
      <c r="I194" s="13" t="s">
        <v>12</v>
      </c>
      <c r="N194" s="16"/>
      <c r="O194" s="1"/>
      <c r="P194" s="1"/>
      <c r="R194" s="16" t="s">
        <v>323</v>
      </c>
      <c r="S194" t="s">
        <v>68</v>
      </c>
      <c r="T194" s="57">
        <f>$AA193*T186/100</f>
        <v>2096.61</v>
      </c>
      <c r="U194" s="57">
        <f>$AA193*U186/100</f>
        <v>8654.410773114545</v>
      </c>
      <c r="V194" s="57">
        <f>$AA193*V186/100</f>
        <v>91131.229254039994</v>
      </c>
      <c r="W194" s="57">
        <f>$AA193*W186/100</f>
        <v>38755.534448075574</v>
      </c>
      <c r="X194" s="57">
        <f>$AA193*X186/100</f>
        <v>15247.8455247699</v>
      </c>
      <c r="Z194" t="s">
        <v>36</v>
      </c>
      <c r="AA194" s="25">
        <f>SUM(T194:X194)</f>
        <v>155885.63</v>
      </c>
      <c r="AD194" s="51"/>
      <c r="AE194" s="51"/>
      <c r="AJ194" t="s">
        <v>2</v>
      </c>
      <c r="AQ194" t="s">
        <v>41</v>
      </c>
    </row>
    <row r="195" spans="1:48" x14ac:dyDescent="0.3">
      <c r="A195" s="1" t="s">
        <v>321</v>
      </c>
      <c r="B195" s="1" t="s">
        <v>2</v>
      </c>
      <c r="C195" s="10">
        <f>C189/C194</f>
        <v>1</v>
      </c>
      <c r="D195" s="10">
        <f>D190/D194</f>
        <v>0.57894736842105265</v>
      </c>
      <c r="E195" s="10">
        <f>E191/E194</f>
        <v>0.97641269302562361</v>
      </c>
      <c r="F195" s="10">
        <f>F192/F194</f>
        <v>0.9101952277657267</v>
      </c>
      <c r="G195" s="10">
        <f>G193/G194</f>
        <v>0.82666666666666666</v>
      </c>
      <c r="H195" s="10"/>
      <c r="I195" s="14">
        <f>(C189+D190+E191+F192+G193)/H194</f>
        <v>0.93548734518039844</v>
      </c>
      <c r="R195" s="66"/>
      <c r="S195" s="66" t="s">
        <v>67</v>
      </c>
      <c r="T195" s="67">
        <f>$AA193*T187/100</f>
        <v>0</v>
      </c>
      <c r="U195" s="67">
        <f>$AA193*U187/100</f>
        <v>206.96376838759491</v>
      </c>
      <c r="V195" s="67">
        <f>$AA193*V187/100</f>
        <v>298.94560298111219</v>
      </c>
      <c r="W195" s="67">
        <f>$AA193*W187/100</f>
        <v>361.4998631450037</v>
      </c>
      <c r="X195" s="67">
        <f>$AA193*X187/100</f>
        <v>337.04414936160009</v>
      </c>
      <c r="AA195" s="1"/>
      <c r="AD195" s="51"/>
      <c r="AE195" s="51"/>
      <c r="AJ195" t="s">
        <v>415</v>
      </c>
      <c r="AK195">
        <v>0</v>
      </c>
      <c r="AL195" s="1">
        <v>34.270000000000003</v>
      </c>
      <c r="AM195" s="1">
        <v>89.14</v>
      </c>
      <c r="AN195" s="1">
        <v>12732.36</v>
      </c>
      <c r="AO195" s="1">
        <v>12747.14</v>
      </c>
      <c r="AP195" s="1">
        <v>9836.89</v>
      </c>
      <c r="AR195" s="1">
        <v>2074.46</v>
      </c>
      <c r="AS195" s="1">
        <v>7246.24</v>
      </c>
      <c r="AT195" s="1">
        <v>91217.73</v>
      </c>
      <c r="AU195" s="1">
        <v>37206.03</v>
      </c>
      <c r="AV195" s="1">
        <v>18141.18</v>
      </c>
    </row>
    <row r="196" spans="1:48" x14ac:dyDescent="0.3">
      <c r="B196" s="1" t="s">
        <v>14</v>
      </c>
      <c r="C196" s="11">
        <f>1-C195</f>
        <v>0</v>
      </c>
      <c r="D196" s="11">
        <f>1-D195</f>
        <v>0.42105263157894735</v>
      </c>
      <c r="E196" s="11">
        <f>1-E195</f>
        <v>2.3587306974376387E-2</v>
      </c>
      <c r="F196" s="11">
        <f>1-F195</f>
        <v>8.98047722342733E-2</v>
      </c>
      <c r="G196" s="11">
        <f>1-G195</f>
        <v>0.17333333333333334</v>
      </c>
      <c r="R196" t="s">
        <v>111</v>
      </c>
      <c r="S196" t="s">
        <v>28</v>
      </c>
      <c r="T196" s="57">
        <f>C553</f>
        <v>1.340477046007716</v>
      </c>
      <c r="U196" s="57">
        <f t="shared" ref="U196:X199" si="32">D553</f>
        <v>5.8683353900903779</v>
      </c>
      <c r="V196" s="57">
        <f t="shared" si="32"/>
        <v>57.737682094517005</v>
      </c>
      <c r="W196" s="57">
        <f t="shared" si="32"/>
        <v>25.158250670405778</v>
      </c>
      <c r="X196" s="57">
        <f t="shared" si="32"/>
        <v>9.8952547989791153</v>
      </c>
      <c r="Y196" s="13"/>
      <c r="Z196" s="74"/>
      <c r="AA196" s="12"/>
      <c r="AD196" s="51"/>
      <c r="AE196" s="51"/>
      <c r="AJ196" t="s">
        <v>415</v>
      </c>
      <c r="AK196">
        <v>1</v>
      </c>
      <c r="AL196" s="1">
        <v>36.369999999999997</v>
      </c>
      <c r="AM196" s="1">
        <v>85.88</v>
      </c>
      <c r="AN196" s="1">
        <v>12830.07</v>
      </c>
      <c r="AO196" s="1">
        <v>12699.16</v>
      </c>
      <c r="AP196" s="1">
        <v>9788.33</v>
      </c>
      <c r="AR196" s="1">
        <v>2092.83</v>
      </c>
      <c r="AS196" s="1">
        <v>6972.25</v>
      </c>
      <c r="AT196" s="1">
        <v>91804.79</v>
      </c>
      <c r="AU196" s="1">
        <v>36702.43</v>
      </c>
      <c r="AV196" s="1">
        <v>18313.330000000002</v>
      </c>
    </row>
    <row r="197" spans="1:48" x14ac:dyDescent="0.3">
      <c r="C197" s="2"/>
      <c r="S197" s="66" t="s">
        <v>39</v>
      </c>
      <c r="T197" s="67">
        <f>C554</f>
        <v>1.4977630889942301E-2</v>
      </c>
      <c r="U197" s="67">
        <f t="shared" si="32"/>
        <v>0.14060706138240298</v>
      </c>
      <c r="V197" s="67">
        <f t="shared" si="32"/>
        <v>0.19191817232437253</v>
      </c>
      <c r="W197" s="67">
        <f t="shared" si="32"/>
        <v>0.23139113927636723</v>
      </c>
      <c r="X197" s="67">
        <f t="shared" si="32"/>
        <v>0.21676808596311936</v>
      </c>
      <c r="AD197" s="51"/>
      <c r="AE197" s="51"/>
      <c r="AJ197" t="s">
        <v>415</v>
      </c>
      <c r="AK197">
        <v>2</v>
      </c>
      <c r="AL197" s="1">
        <v>30.75</v>
      </c>
      <c r="AM197" s="1">
        <v>89.31</v>
      </c>
      <c r="AN197" s="1">
        <v>12901.06</v>
      </c>
      <c r="AO197" s="1">
        <v>12783.43</v>
      </c>
      <c r="AP197" s="1">
        <v>9635.24</v>
      </c>
      <c r="AR197" s="1">
        <v>2074.46</v>
      </c>
      <c r="AS197" s="1">
        <v>7412.45</v>
      </c>
      <c r="AT197" s="1">
        <v>91647.86</v>
      </c>
      <c r="AU197" s="1">
        <v>36956.44</v>
      </c>
      <c r="AV197" s="1">
        <v>17794.43</v>
      </c>
    </row>
    <row r="198" spans="1:48" ht="15.6" x14ac:dyDescent="0.35">
      <c r="A198" t="s">
        <v>322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100</v>
      </c>
      <c r="U198" s="57">
        <f t="shared" si="32"/>
        <v>76.058176713844261</v>
      </c>
      <c r="V198" s="57">
        <f t="shared" si="32"/>
        <v>97.70363508599921</v>
      </c>
      <c r="W198" s="57">
        <f t="shared" si="32"/>
        <v>87.635760629020169</v>
      </c>
      <c r="X198" s="57">
        <f t="shared" si="32"/>
        <v>87.449321816338028</v>
      </c>
      <c r="AD198" s="51"/>
      <c r="AE198" s="51"/>
      <c r="AJ198" t="s">
        <v>415</v>
      </c>
      <c r="AK198">
        <v>3</v>
      </c>
      <c r="AL198" s="1">
        <v>33.090000000000003</v>
      </c>
      <c r="AM198" s="1">
        <v>84.32</v>
      </c>
      <c r="AN198" s="1">
        <v>12892.57</v>
      </c>
      <c r="AO198" s="1">
        <v>12752.32</v>
      </c>
      <c r="AP198" s="1">
        <v>9677.49</v>
      </c>
      <c r="AR198" s="1">
        <v>2107.87</v>
      </c>
      <c r="AS198" s="1">
        <v>7328.98</v>
      </c>
      <c r="AT198" s="1">
        <v>91493.81</v>
      </c>
      <c r="AU198" s="1">
        <v>37023.69</v>
      </c>
      <c r="AV198" s="1">
        <v>17931.29</v>
      </c>
    </row>
    <row r="199" spans="1:48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</v>
      </c>
      <c r="U199" s="67">
        <f t="shared" si="32"/>
        <v>3.5764713929415501</v>
      </c>
      <c r="V199" s="67">
        <f t="shared" si="32"/>
        <v>0.23169402998500643</v>
      </c>
      <c r="W199" s="67">
        <f t="shared" si="32"/>
        <v>0.92716542343839004</v>
      </c>
      <c r="X199" s="67">
        <f t="shared" si="32"/>
        <v>2.5480881588202138</v>
      </c>
      <c r="AD199" s="51"/>
      <c r="AE199" s="51"/>
      <c r="AJ199" t="s">
        <v>415</v>
      </c>
      <c r="AK199">
        <v>4</v>
      </c>
      <c r="AL199" s="1">
        <v>28.46</v>
      </c>
      <c r="AM199" s="1">
        <v>74.86</v>
      </c>
      <c r="AN199" s="1">
        <v>12917.38</v>
      </c>
      <c r="AO199" s="1">
        <v>12820.79</v>
      </c>
      <c r="AP199" s="1">
        <v>9598.31</v>
      </c>
      <c r="AR199" s="1">
        <v>2097.15</v>
      </c>
      <c r="AS199" s="1">
        <v>7396.78</v>
      </c>
      <c r="AT199" s="1">
        <v>91160.2</v>
      </c>
      <c r="AU199" s="1">
        <v>37261.69</v>
      </c>
      <c r="AV199" s="1">
        <v>17969.82</v>
      </c>
    </row>
    <row r="200" spans="1:48" x14ac:dyDescent="0.3">
      <c r="A200" t="s">
        <v>3</v>
      </c>
      <c r="B200" s="13">
        <v>0</v>
      </c>
      <c r="C200" s="29">
        <f>(C189/$L200)*$O200</f>
        <v>1.3277960261980086</v>
      </c>
      <c r="D200" s="31">
        <f>(D189/$L200)*$O200</f>
        <v>0</v>
      </c>
      <c r="E200" s="31">
        <f>(E189/$L200)*$O200</f>
        <v>0</v>
      </c>
      <c r="F200" s="31">
        <f>(F189/$L200)*$O200</f>
        <v>1.4919056474134927E-2</v>
      </c>
      <c r="G200" s="32">
        <f>(G189/$L200)*$O200</f>
        <v>0</v>
      </c>
      <c r="H200" s="17">
        <f>SUM(C200:G200)</f>
        <v>1.3427150826721435</v>
      </c>
      <c r="I200" s="17">
        <f>C200/H200*100</f>
        <v>98.888888888888886</v>
      </c>
      <c r="J200" s="17">
        <f>SQRT(I200*(100-I200)/(L200-1))</f>
        <v>1.1111111111111127</v>
      </c>
      <c r="K200" s="18">
        <f>100-I200</f>
        <v>1.1111111111111143</v>
      </c>
      <c r="L200" s="1">
        <f>H189</f>
        <v>90</v>
      </c>
      <c r="M200">
        <v>0</v>
      </c>
      <c r="N200" s="1">
        <v>2093.1</v>
      </c>
      <c r="O200" s="17">
        <f>N200/N205*100</f>
        <v>1.3427150826721435</v>
      </c>
      <c r="P200" s="52">
        <f>((O200*O200*(I200/100)*(K200/100))/(L200-1))</f>
        <v>2.2257824607842792E-4</v>
      </c>
      <c r="S200" t="s">
        <v>31</v>
      </c>
      <c r="T200" s="57">
        <f>I548</f>
        <v>98.888888888888886</v>
      </c>
      <c r="U200" s="57">
        <f>I549</f>
        <v>94.02985074626865</v>
      </c>
      <c r="V200" s="57">
        <f>I550</f>
        <v>96.537815126050432</v>
      </c>
      <c r="W200" s="57">
        <f>I551</f>
        <v>92.411687745311838</v>
      </c>
      <c r="X200" s="57">
        <f>I552</f>
        <v>74.567243675099874</v>
      </c>
      <c r="AD200" s="51"/>
      <c r="AE200" s="51"/>
      <c r="AJ200" t="s">
        <v>415</v>
      </c>
      <c r="AK200">
        <v>5</v>
      </c>
      <c r="AL200" s="1">
        <v>29.95</v>
      </c>
      <c r="AM200" s="1">
        <v>77.62</v>
      </c>
      <c r="AN200" s="1">
        <v>12657.13</v>
      </c>
      <c r="AO200" s="1">
        <v>12725.88</v>
      </c>
      <c r="AP200" s="1">
        <v>9949.2099999999991</v>
      </c>
      <c r="AR200" s="1">
        <v>2090.67</v>
      </c>
      <c r="AS200" s="1">
        <v>7183.3</v>
      </c>
      <c r="AT200" s="1">
        <v>91207.44</v>
      </c>
      <c r="AU200" s="1">
        <v>37177.14</v>
      </c>
      <c r="AV200" s="1">
        <v>18227.09</v>
      </c>
    </row>
    <row r="201" spans="1:48" x14ac:dyDescent="0.3">
      <c r="A201" t="s">
        <v>4</v>
      </c>
      <c r="B201" s="13">
        <v>1</v>
      </c>
      <c r="C201" s="33">
        <f t="shared" ref="C201:G204" si="33">(C190/$L201)*$O201</f>
        <v>0</v>
      </c>
      <c r="D201" s="34">
        <f t="shared" si="33"/>
        <v>4.2451840262882552</v>
      </c>
      <c r="E201" s="19">
        <f t="shared" si="33"/>
        <v>0.27241822628587731</v>
      </c>
      <c r="F201" s="18">
        <f t="shared" si="33"/>
        <v>0</v>
      </c>
      <c r="G201" s="20">
        <f t="shared" si="33"/>
        <v>4.5403037714312887E-2</v>
      </c>
      <c r="H201" s="17">
        <f>SUM(C201:G201)</f>
        <v>4.5630052902884453</v>
      </c>
      <c r="I201" s="17">
        <f>D201/H201*100</f>
        <v>93.03482587064677</v>
      </c>
      <c r="J201" s="17">
        <f>SQRT(I201*(100-I201)/(L201-1))</f>
        <v>1.8000052253856256</v>
      </c>
      <c r="K201" s="18">
        <f>100-I201</f>
        <v>6.9651741293532297</v>
      </c>
      <c r="L201" s="1">
        <f>H190</f>
        <v>201</v>
      </c>
      <c r="M201">
        <v>1</v>
      </c>
      <c r="N201" s="1">
        <v>7113.07</v>
      </c>
      <c r="O201" s="17">
        <f>N201/N205*100</f>
        <v>4.5630052902884453</v>
      </c>
      <c r="P201" s="52">
        <f>((O201*O201*(I201/100)*(K201/100))/(L201-1))</f>
        <v>6.7460487657417453E-3</v>
      </c>
      <c r="S201" s="66" t="s">
        <v>39</v>
      </c>
      <c r="T201" s="67">
        <f>J548</f>
        <v>1.1111111111111127</v>
      </c>
      <c r="U201" s="67">
        <f>J549</f>
        <v>1.6753689791525119</v>
      </c>
      <c r="V201" s="67">
        <f>J550</f>
        <v>0.23702921358143256</v>
      </c>
      <c r="W201" s="67">
        <f>J551</f>
        <v>0.55313194517747211</v>
      </c>
      <c r="X201" s="67">
        <f>J552</f>
        <v>1.5901574505724332</v>
      </c>
      <c r="AD201" s="51"/>
      <c r="AE201" s="51"/>
      <c r="AJ201" t="s">
        <v>415</v>
      </c>
      <c r="AK201">
        <v>6</v>
      </c>
      <c r="AL201" s="1">
        <v>31.74</v>
      </c>
      <c r="AM201" s="1">
        <v>83.3</v>
      </c>
      <c r="AN201" s="1">
        <v>12845.92</v>
      </c>
      <c r="AO201" s="1">
        <v>12664.48</v>
      </c>
      <c r="AP201" s="1">
        <v>9814.3700000000008</v>
      </c>
      <c r="AR201" s="1">
        <v>2093.1</v>
      </c>
      <c r="AS201" s="1">
        <v>7113.07</v>
      </c>
      <c r="AT201" s="1">
        <v>91939.14</v>
      </c>
      <c r="AU201" s="1">
        <v>36739.42</v>
      </c>
      <c r="AV201" s="1">
        <v>18000.91</v>
      </c>
    </row>
    <row r="202" spans="1:48" x14ac:dyDescent="0.3">
      <c r="A202" t="s">
        <v>5</v>
      </c>
      <c r="B202" s="13">
        <v>2</v>
      </c>
      <c r="C202" s="33">
        <f t="shared" si="33"/>
        <v>0</v>
      </c>
      <c r="D202" s="19">
        <f t="shared" si="33"/>
        <v>1.3183447739222769</v>
      </c>
      <c r="E202" s="34">
        <f t="shared" si="33"/>
        <v>57.035758113900606</v>
      </c>
      <c r="F202" s="19">
        <f t="shared" si="33"/>
        <v>0.39649466884880508</v>
      </c>
      <c r="G202" s="20">
        <f t="shared" si="33"/>
        <v>0.22798443458806292</v>
      </c>
      <c r="H202" s="17">
        <f>SUM(C202:G202)</f>
        <v>58.978581991259752</v>
      </c>
      <c r="I202" s="17">
        <f>E202/H202*100</f>
        <v>96.705882352941174</v>
      </c>
      <c r="J202" s="17">
        <f>SQRT(I202*(100-I202)/(L202-1))</f>
        <v>0.23140567972439743</v>
      </c>
      <c r="K202" s="18">
        <f>100-I202</f>
        <v>3.294117647058826</v>
      </c>
      <c r="L202" s="1">
        <f>H191</f>
        <v>5950</v>
      </c>
      <c r="M202">
        <v>2</v>
      </c>
      <c r="N202" s="1">
        <v>91939.14</v>
      </c>
      <c r="O202" s="17">
        <f>N202/N205*100</f>
        <v>58.978581991259752</v>
      </c>
      <c r="P202" s="52">
        <f>((O202*O202*(I202/100)*(K202/100))/(L202-1))</f>
        <v>1.8626732682293957E-2</v>
      </c>
      <c r="S202" s="66" t="s">
        <v>56</v>
      </c>
      <c r="T202" s="67">
        <f>N537*100</f>
        <v>99.441340782122907</v>
      </c>
      <c r="U202" s="67">
        <f>N538*100</f>
        <v>70.919324577861161</v>
      </c>
      <c r="V202" s="67">
        <f>N539*100</f>
        <v>97.355932203389841</v>
      </c>
      <c r="W202" s="67">
        <f>N540*100</f>
        <v>91.553251242168926</v>
      </c>
      <c r="X202" s="67">
        <f>N541*100</f>
        <v>78.376487053883835</v>
      </c>
      <c r="AD202" s="51"/>
      <c r="AE202" s="51"/>
      <c r="AJ202" t="s">
        <v>415</v>
      </c>
      <c r="AK202">
        <v>7</v>
      </c>
      <c r="AL202" s="1">
        <v>33.630000000000003</v>
      </c>
      <c r="AM202" s="1">
        <v>83.16</v>
      </c>
      <c r="AN202" s="1">
        <v>12895.61</v>
      </c>
      <c r="AO202" s="1">
        <v>12664.71</v>
      </c>
      <c r="AP202" s="1">
        <v>9762.68</v>
      </c>
      <c r="AR202" s="1">
        <v>2098.42</v>
      </c>
      <c r="AS202" s="1">
        <v>7570.73</v>
      </c>
      <c r="AT202" s="1">
        <v>91317.67</v>
      </c>
      <c r="AU202" s="1">
        <v>37056.75</v>
      </c>
      <c r="AV202" s="1">
        <v>17842.07</v>
      </c>
    </row>
    <row r="203" spans="1:48" x14ac:dyDescent="0.3">
      <c r="A203" t="s">
        <v>6</v>
      </c>
      <c r="B203" s="13">
        <v>3</v>
      </c>
      <c r="C203" s="33">
        <f t="shared" si="33"/>
        <v>0</v>
      </c>
      <c r="D203" s="19">
        <f t="shared" si="33"/>
        <v>2.0556639817551257E-2</v>
      </c>
      <c r="E203" s="19">
        <f t="shared" si="33"/>
        <v>1.0381103107863383</v>
      </c>
      <c r="F203" s="34">
        <f t="shared" si="33"/>
        <v>21.563915168611267</v>
      </c>
      <c r="G203" s="20">
        <f t="shared" si="33"/>
        <v>0.94560543160735777</v>
      </c>
      <c r="H203" s="17">
        <f>SUM(C203:G203)</f>
        <v>23.568187550822515</v>
      </c>
      <c r="I203" s="17">
        <f>F203/H203*100</f>
        <v>91.495856955952902</v>
      </c>
      <c r="J203" s="17">
        <f>SQRT(I203*(100-I203)/(L203-1))</f>
        <v>0.58265125499200532</v>
      </c>
      <c r="K203" s="18">
        <f>100-I203</f>
        <v>8.5041430440470975</v>
      </c>
      <c r="L203" s="1">
        <f>H192</f>
        <v>2293</v>
      </c>
      <c r="M203">
        <v>3</v>
      </c>
      <c r="N203" s="1">
        <v>36739.42</v>
      </c>
      <c r="O203" s="17">
        <f>N203/N205*100</f>
        <v>23.568187550822515</v>
      </c>
      <c r="P203" s="52">
        <f>((O203*O203*(I203/100)*(K203/100))/(L203-1))</f>
        <v>1.8856875927047882E-2</v>
      </c>
      <c r="R203" s="16" t="s">
        <v>66</v>
      </c>
      <c r="S203" t="s">
        <v>9</v>
      </c>
      <c r="T203" s="1">
        <f>N548</f>
        <v>2113.09</v>
      </c>
      <c r="U203" s="1">
        <f>N549</f>
        <v>7399.48</v>
      </c>
      <c r="V203" s="1">
        <f>N550</f>
        <v>91091.68</v>
      </c>
      <c r="W203" s="1">
        <f>N551</f>
        <v>37191.269999999997</v>
      </c>
      <c r="X203" s="1">
        <f>N552</f>
        <v>18090.12</v>
      </c>
      <c r="Z203" t="s">
        <v>36</v>
      </c>
      <c r="AA203" s="1">
        <f>N553</f>
        <v>155885.63999999998</v>
      </c>
      <c r="AD203" s="51"/>
      <c r="AE203" s="51"/>
      <c r="AJ203" t="s">
        <v>415</v>
      </c>
      <c r="AK203">
        <v>8</v>
      </c>
      <c r="AL203" s="1">
        <v>32.64</v>
      </c>
      <c r="AM203" s="1">
        <v>84.49</v>
      </c>
      <c r="AN203" s="1">
        <v>12885.56</v>
      </c>
      <c r="AO203" s="1">
        <v>12759.83</v>
      </c>
      <c r="AP203" s="1">
        <v>9677.2800000000007</v>
      </c>
      <c r="AR203" s="1">
        <v>2085.4499999999998</v>
      </c>
      <c r="AS203" s="1">
        <v>7487.36</v>
      </c>
      <c r="AT203" s="1">
        <v>91550.8</v>
      </c>
      <c r="AU203" s="1">
        <v>36910.160000000003</v>
      </c>
      <c r="AV203" s="1">
        <v>17851.87</v>
      </c>
    </row>
    <row r="204" spans="1:48" ht="15.6" x14ac:dyDescent="0.35">
      <c r="A204" t="s">
        <v>7</v>
      </c>
      <c r="B204" s="13">
        <v>4</v>
      </c>
      <c r="C204" s="35">
        <f t="shared" si="33"/>
        <v>0</v>
      </c>
      <c r="D204" s="36">
        <f t="shared" si="33"/>
        <v>1.5376178541887022E-2</v>
      </c>
      <c r="E204" s="21">
        <f t="shared" si="33"/>
        <v>0.39978064208906255</v>
      </c>
      <c r="F204" s="21">
        <f t="shared" si="33"/>
        <v>2.5524456379532454</v>
      </c>
      <c r="G204" s="37">
        <f t="shared" si="33"/>
        <v>8.5799076263729575</v>
      </c>
      <c r="H204" s="17">
        <f>SUM(C204:G204)</f>
        <v>11.547510084957153</v>
      </c>
      <c r="I204" s="17">
        <f>G204/H204*100</f>
        <v>74.300932090545928</v>
      </c>
      <c r="J204" s="17">
        <f>SQRT(I204*(100-I204)/(L204-1))</f>
        <v>1.5956042531616561</v>
      </c>
      <c r="K204" s="18">
        <f>100-I204</f>
        <v>25.699067909454072</v>
      </c>
      <c r="L204" s="1">
        <f>H193</f>
        <v>751</v>
      </c>
      <c r="M204">
        <v>4</v>
      </c>
      <c r="N204" s="1">
        <v>18000.91</v>
      </c>
      <c r="O204" s="17">
        <f>N204/N205*100</f>
        <v>11.547510084957153</v>
      </c>
      <c r="P204" s="52">
        <f>((O204*O204*(I204/100)*(K204/100))/(L204-1))</f>
        <v>3.3949006621932905E-2</v>
      </c>
      <c r="R204" s="16" t="s">
        <v>323</v>
      </c>
      <c r="S204" t="s">
        <v>68</v>
      </c>
      <c r="T204" s="57">
        <f>$AA203*T196/100</f>
        <v>2089.6112222222223</v>
      </c>
      <c r="U204" s="57">
        <f>$AA203*U196/100</f>
        <v>9147.892180188881</v>
      </c>
      <c r="V204" s="57">
        <f>$AA203*V196/100</f>
        <v>90004.755254203235</v>
      </c>
      <c r="W204" s="57">
        <f>$AA203*W196/100</f>
        <v>39218.10007036633</v>
      </c>
      <c r="X204" s="57">
        <f>$AA203*X196/100</f>
        <v>15425.281273019307</v>
      </c>
      <c r="Z204" t="s">
        <v>36</v>
      </c>
      <c r="AA204" s="25">
        <f>SUM(T204:X204)</f>
        <v>155885.63999999998</v>
      </c>
      <c r="AD204" s="51"/>
      <c r="AE204" s="51"/>
      <c r="AJ204" t="s">
        <v>415</v>
      </c>
      <c r="AK204">
        <v>9</v>
      </c>
      <c r="AL204" s="1">
        <v>32.729999999999997</v>
      </c>
      <c r="AM204" s="1">
        <v>75.53</v>
      </c>
      <c r="AN204" s="1">
        <v>13052.58</v>
      </c>
      <c r="AO204" s="1">
        <v>12705.77</v>
      </c>
      <c r="AP204" s="1">
        <v>9573.19</v>
      </c>
      <c r="AR204" s="1">
        <v>2073.84</v>
      </c>
      <c r="AS204" s="1">
        <v>7221.03</v>
      </c>
      <c r="AT204" s="1">
        <v>91887.02</v>
      </c>
      <c r="AU204" s="1">
        <v>36896.639999999999</v>
      </c>
      <c r="AV204" s="1">
        <v>17807.12</v>
      </c>
    </row>
    <row r="205" spans="1:48" x14ac:dyDescent="0.3">
      <c r="B205" t="s">
        <v>28</v>
      </c>
      <c r="C205" s="17">
        <f t="shared" ref="C205:H205" si="34">SUM(C200:C204)</f>
        <v>1.3277960261980086</v>
      </c>
      <c r="D205" s="17">
        <f t="shared" si="34"/>
        <v>5.5994616185699702</v>
      </c>
      <c r="E205" s="17">
        <f t="shared" si="34"/>
        <v>58.746067293061884</v>
      </c>
      <c r="F205" s="17">
        <f t="shared" si="34"/>
        <v>24.527774531887452</v>
      </c>
      <c r="G205" s="17">
        <f t="shared" si="34"/>
        <v>9.7989005302826904</v>
      </c>
      <c r="H205" s="18">
        <f t="shared" si="34"/>
        <v>100.00000000000001</v>
      </c>
      <c r="I205" s="13" t="s">
        <v>24</v>
      </c>
      <c r="J205" s="12" t="s">
        <v>29</v>
      </c>
      <c r="N205" s="1">
        <f>SUM(N200:N204)</f>
        <v>155885.63999999998</v>
      </c>
      <c r="O205" s="17">
        <f>SUM(O200:O204)</f>
        <v>100.00000000000001</v>
      </c>
      <c r="R205" s="66"/>
      <c r="S205" s="66" t="s">
        <v>67</v>
      </c>
      <c r="T205" s="67">
        <f>$AA203*T197/100</f>
        <v>23.347975769624249</v>
      </c>
      <c r="U205" s="67">
        <f>$AA203*U197/100</f>
        <v>219.18621752115169</v>
      </c>
      <c r="V205" s="67">
        <f>$AA203*V197/100</f>
        <v>299.17287120415097</v>
      </c>
      <c r="W205" s="67">
        <f>$AA203*W197/100</f>
        <v>360.70555836425638</v>
      </c>
      <c r="X205" s="67">
        <f>$AA203*X197/100</f>
        <v>337.91031811935881</v>
      </c>
      <c r="AA205" s="1"/>
      <c r="AD205" s="51"/>
      <c r="AE205" s="51"/>
      <c r="AJ205" t="s">
        <v>415</v>
      </c>
      <c r="AK205">
        <v>10</v>
      </c>
      <c r="AL205" s="1">
        <v>33.590000000000003</v>
      </c>
      <c r="AM205" s="1">
        <v>72.8</v>
      </c>
      <c r="AN205" s="1">
        <v>12801.32</v>
      </c>
      <c r="AO205" s="1">
        <v>12736.23</v>
      </c>
      <c r="AP205" s="1">
        <v>9795.86</v>
      </c>
      <c r="AR205" s="1">
        <v>2124.98</v>
      </c>
      <c r="AS205" s="1">
        <v>6848.36</v>
      </c>
      <c r="AT205" s="1">
        <v>91628.93</v>
      </c>
      <c r="AU205" s="1">
        <v>37151.1</v>
      </c>
      <c r="AV205" s="1">
        <v>18132.27</v>
      </c>
    </row>
    <row r="206" spans="1:48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1.4835941306682664E-2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0.1411931737113245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0.20142747112578388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0.23139646659414173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0.2156494196230884</v>
      </c>
      <c r="H206" s="1"/>
      <c r="I206" s="14">
        <f>(C200+D201+E202+F203+G204)/H205</f>
        <v>0.92752560961371078</v>
      </c>
      <c r="J206" s="53">
        <f>SQRT(SUM(P200:P204))/100</f>
        <v>2.8000221828245382E-3</v>
      </c>
      <c r="M206" s="1"/>
      <c r="N206" s="9"/>
      <c r="R206" t="s">
        <v>112</v>
      </c>
      <c r="S206" t="s">
        <v>28</v>
      </c>
      <c r="T206" s="57">
        <f>C582</f>
        <v>1.3172846300486099</v>
      </c>
      <c r="U206" s="57">
        <f t="shared" ref="U206:X209" si="35">D582</f>
        <v>5.8077269750083431</v>
      </c>
      <c r="V206" s="57">
        <f t="shared" si="35"/>
        <v>58.118170738275339</v>
      </c>
      <c r="W206" s="57">
        <f t="shared" si="35"/>
        <v>24.905510017370386</v>
      </c>
      <c r="X206" s="57">
        <f>G582</f>
        <v>9.85130763929733</v>
      </c>
      <c r="Y206" s="60"/>
      <c r="Z206" s="74"/>
      <c r="AA206" s="12"/>
      <c r="AD206" s="51"/>
      <c r="AE206" s="51"/>
      <c r="AJ206" t="s">
        <v>415</v>
      </c>
      <c r="AK206">
        <v>11</v>
      </c>
      <c r="AL206" s="1">
        <v>32.82</v>
      </c>
      <c r="AM206" s="1">
        <v>90.03</v>
      </c>
      <c r="AN206" s="1">
        <v>12945.14</v>
      </c>
      <c r="AO206" s="1">
        <v>12823.36</v>
      </c>
      <c r="AP206" s="1">
        <v>9548.44</v>
      </c>
      <c r="AR206" s="1">
        <v>2104.54</v>
      </c>
      <c r="AS206" s="1">
        <v>7372.56</v>
      </c>
      <c r="AT206" s="1">
        <v>91552.67</v>
      </c>
      <c r="AU206" s="1">
        <v>37328.14</v>
      </c>
      <c r="AV206" s="1">
        <v>17527.73</v>
      </c>
    </row>
    <row r="207" spans="1:48" x14ac:dyDescent="0.3">
      <c r="B207" s="1" t="s">
        <v>30</v>
      </c>
      <c r="C207" s="17">
        <f>C200/C205*100</f>
        <v>100</v>
      </c>
      <c r="D207" s="17">
        <f>D201/D205*100</f>
        <v>75.814146349527448</v>
      </c>
      <c r="E207" s="17">
        <f>E202/E205*100</f>
        <v>97.088640554219239</v>
      </c>
      <c r="F207" s="17">
        <f>F203/F205*100</f>
        <v>87.916313567612889</v>
      </c>
      <c r="G207" s="17">
        <f>G204/G205*100</f>
        <v>87.559901234403426</v>
      </c>
      <c r="H207" s="1"/>
      <c r="S207" s="66" t="s">
        <v>39</v>
      </c>
      <c r="T207" s="67">
        <f>C583</f>
        <v>1.4718493706865465E-2</v>
      </c>
      <c r="U207" s="67">
        <f t="shared" si="35"/>
        <v>0.14614885407315609</v>
      </c>
      <c r="V207" s="67">
        <f t="shared" si="35"/>
        <v>0.19734165031011433</v>
      </c>
      <c r="W207" s="67">
        <f t="shared" si="35"/>
        <v>0.23127241565106726</v>
      </c>
      <c r="X207" s="67">
        <f t="shared" si="35"/>
        <v>0.21593757409716824</v>
      </c>
      <c r="AD207" s="51"/>
      <c r="AE207" s="51"/>
      <c r="AJ207" t="s">
        <v>415</v>
      </c>
      <c r="AK207">
        <v>12</v>
      </c>
      <c r="AL207" s="1">
        <v>34.36</v>
      </c>
      <c r="AM207" s="1">
        <v>84.03</v>
      </c>
      <c r="AN207" s="1">
        <v>12893.97</v>
      </c>
      <c r="AO207" s="1">
        <v>12866.37</v>
      </c>
      <c r="AP207" s="1">
        <v>9561.06</v>
      </c>
      <c r="AR207" s="1">
        <v>2110.5700000000002</v>
      </c>
      <c r="AS207" s="1">
        <v>7708.13</v>
      </c>
      <c r="AT207" s="1">
        <v>91292.04</v>
      </c>
      <c r="AU207" s="1">
        <v>37044.949999999997</v>
      </c>
      <c r="AV207" s="1">
        <v>17729.95</v>
      </c>
    </row>
    <row r="208" spans="1:48" x14ac:dyDescent="0.3">
      <c r="B208" s="16" t="s">
        <v>39</v>
      </c>
      <c r="C208" s="18">
        <f>SQRT((C211+C212)/(C205*C205))</f>
        <v>0</v>
      </c>
      <c r="D208" s="18">
        <f>SQRT((D211+D212)/(D205*D205))</f>
        <v>3.8743092700771435</v>
      </c>
      <c r="E208" s="18">
        <f>SQRT((E211+E212)/(E205*E205))</f>
        <v>0.25424356034228479</v>
      </c>
      <c r="F208" s="18">
        <f>SQRT((F211+F212)/(F205*F205))</f>
        <v>0.95078419191688879</v>
      </c>
      <c r="G208" s="18">
        <f>SQRT((G211+G212)/(G205*G205))</f>
        <v>2.5453034350764705</v>
      </c>
      <c r="H208" s="1"/>
      <c r="S208" t="s">
        <v>30</v>
      </c>
      <c r="T208" s="57">
        <f>C584</f>
        <v>100</v>
      </c>
      <c r="U208" s="57">
        <f t="shared" si="35"/>
        <v>74.656409655913905</v>
      </c>
      <c r="V208" s="57">
        <f t="shared" si="35"/>
        <v>97.457105436363051</v>
      </c>
      <c r="W208" s="57">
        <f t="shared" si="35"/>
        <v>87.820918611966562</v>
      </c>
      <c r="X208" s="57">
        <f t="shared" si="35"/>
        <v>87.225639325803257</v>
      </c>
      <c r="AD208" s="51"/>
      <c r="AE208" s="51"/>
      <c r="AJ208" t="s">
        <v>415</v>
      </c>
      <c r="AK208">
        <v>13</v>
      </c>
      <c r="AL208" s="1">
        <v>35.270000000000003</v>
      </c>
      <c r="AM208" s="1">
        <v>75.180000000000007</v>
      </c>
      <c r="AN208" s="1">
        <v>12754.53</v>
      </c>
      <c r="AO208" s="1">
        <v>12757.72</v>
      </c>
      <c r="AP208" s="1">
        <v>9817.11</v>
      </c>
      <c r="AR208" s="1">
        <v>2090.85</v>
      </c>
      <c r="AS208" s="1">
        <v>7103.25</v>
      </c>
      <c r="AT208" s="1">
        <v>91373.05</v>
      </c>
      <c r="AU208" s="1">
        <v>37127.06</v>
      </c>
      <c r="AV208" s="1">
        <v>18191.419999999998</v>
      </c>
    </row>
    <row r="209" spans="1:48" x14ac:dyDescent="0.3">
      <c r="B209" s="1" t="s">
        <v>37</v>
      </c>
      <c r="C209" s="18">
        <f>100-C207</f>
        <v>0</v>
      </c>
      <c r="D209" s="18">
        <f>100-D207</f>
        <v>24.185853650472552</v>
      </c>
      <c r="E209" s="18">
        <f>100-E207</f>
        <v>2.9113594457807608</v>
      </c>
      <c r="F209" s="18">
        <f>100-F207</f>
        <v>12.083686432387111</v>
      </c>
      <c r="G209" s="18">
        <f>100-G207</f>
        <v>12.440098765596574</v>
      </c>
      <c r="S209" s="66" t="s">
        <v>39</v>
      </c>
      <c r="T209" s="67">
        <f>C585</f>
        <v>0</v>
      </c>
      <c r="U209" s="67">
        <f t="shared" si="35"/>
        <v>3.9716003126219928</v>
      </c>
      <c r="V209" s="67">
        <f t="shared" si="35"/>
        <v>0.24173884063414852</v>
      </c>
      <c r="W209" s="67">
        <f t="shared" si="35"/>
        <v>0.93593697910853624</v>
      </c>
      <c r="X209" s="67">
        <f t="shared" si="35"/>
        <v>2.5833207006513974</v>
      </c>
      <c r="AD209" s="51"/>
      <c r="AE209" s="51"/>
      <c r="AJ209" t="s">
        <v>415</v>
      </c>
      <c r="AK209">
        <v>14</v>
      </c>
      <c r="AL209" s="1">
        <v>31.3</v>
      </c>
      <c r="AM209" s="1">
        <v>77.81</v>
      </c>
      <c r="AN209" s="1">
        <v>12867.59</v>
      </c>
      <c r="AO209" s="1">
        <v>12594.57</v>
      </c>
      <c r="AP209" s="1">
        <v>9868.52</v>
      </c>
      <c r="AR209" s="1">
        <v>2083.92</v>
      </c>
      <c r="AS209" s="1">
        <v>7193.39</v>
      </c>
      <c r="AT209" s="1">
        <v>91611.92</v>
      </c>
      <c r="AU209" s="1">
        <v>36766.54</v>
      </c>
      <c r="AV209" s="1">
        <v>18229.88</v>
      </c>
    </row>
    <row r="210" spans="1:48" ht="15.6" x14ac:dyDescent="0.35">
      <c r="B210" s="1" t="s">
        <v>25</v>
      </c>
      <c r="C210" s="1">
        <f>C194</f>
        <v>89</v>
      </c>
      <c r="D210" s="1">
        <f>D194</f>
        <v>323</v>
      </c>
      <c r="E210" s="1">
        <f>E194</f>
        <v>5893</v>
      </c>
      <c r="F210" s="1">
        <f>F194</f>
        <v>2305</v>
      </c>
      <c r="G210" s="1">
        <f>G194</f>
        <v>675</v>
      </c>
      <c r="S210" s="15" t="s">
        <v>31</v>
      </c>
      <c r="T210" s="71">
        <f>I577</f>
        <v>98.888888888888886</v>
      </c>
      <c r="U210" s="71">
        <f>I578</f>
        <v>93.03482587064677</v>
      </c>
      <c r="V210" s="71">
        <f>I579</f>
        <v>96.504201680672267</v>
      </c>
      <c r="W210" s="71">
        <f>I580</f>
        <v>91.931966855647616</v>
      </c>
      <c r="X210" s="71">
        <f>I581</f>
        <v>74.567243675099874</v>
      </c>
      <c r="AD210" s="51"/>
      <c r="AE210" s="51"/>
      <c r="AJ210" t="s">
        <v>415</v>
      </c>
      <c r="AK210">
        <v>15</v>
      </c>
      <c r="AL210" s="1">
        <v>33.18</v>
      </c>
      <c r="AM210" s="1">
        <v>71.11</v>
      </c>
      <c r="AN210" s="1">
        <v>12989.53</v>
      </c>
      <c r="AO210" s="1">
        <v>12736.94</v>
      </c>
      <c r="AP210" s="1">
        <v>9609.0499999999993</v>
      </c>
      <c r="AR210" s="1">
        <v>2104.36</v>
      </c>
      <c r="AS210" s="1">
        <v>7036.81</v>
      </c>
      <c r="AT210" s="1">
        <v>91922.76</v>
      </c>
      <c r="AU210" s="1">
        <v>37059.699999999997</v>
      </c>
      <c r="AV210" s="1">
        <v>17762.02</v>
      </c>
    </row>
    <row r="211" spans="1:48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394.61384421364727</v>
      </c>
      <c r="E211" s="18">
        <f>(O202*O202*(100-E207)*(100-E207)*(I202)*(100-I202))/((L202-1)*100)</f>
        <v>15.788044368382264</v>
      </c>
      <c r="F211" s="18">
        <f>(O203*O203*(100-F207)*(100-F207)*(I203)*(100-I203))/((L203-1)*100)</f>
        <v>275.33957482326213</v>
      </c>
      <c r="G211" s="18">
        <f>(O204*O204*(100-G207)*(100-G207)*(I204)*(100-I204))/((L204-1)*100)</f>
        <v>525.38144139871531</v>
      </c>
      <c r="S211" s="75" t="s">
        <v>39</v>
      </c>
      <c r="T211" s="76">
        <f>J577</f>
        <v>1.1111111111111127</v>
      </c>
      <c r="U211" s="76">
        <f>J578</f>
        <v>1.8000052253856256</v>
      </c>
      <c r="V211" s="76">
        <f>J579</f>
        <v>0.23813559254679428</v>
      </c>
      <c r="W211" s="76">
        <f>J580</f>
        <v>0.56886577532749183</v>
      </c>
      <c r="X211" s="76">
        <f>J581</f>
        <v>1.5901574505724332</v>
      </c>
      <c r="AD211" s="51"/>
      <c r="AE211" s="51"/>
      <c r="AJ211" t="s">
        <v>415</v>
      </c>
      <c r="AK211">
        <v>16</v>
      </c>
      <c r="AL211" s="1">
        <v>33.630000000000003</v>
      </c>
      <c r="AM211" s="1">
        <v>75.95</v>
      </c>
      <c r="AN211" s="1">
        <v>12795.32</v>
      </c>
      <c r="AO211" s="1">
        <v>12720.64</v>
      </c>
      <c r="AP211" s="1">
        <v>9814.25</v>
      </c>
      <c r="AR211" s="1">
        <v>2072.5700000000002</v>
      </c>
      <c r="AS211" s="1">
        <v>7140.62</v>
      </c>
      <c r="AT211" s="1">
        <v>91531.06</v>
      </c>
      <c r="AU211" s="1">
        <v>36990.660000000003</v>
      </c>
      <c r="AV211" s="1">
        <v>18150.72</v>
      </c>
    </row>
    <row r="212" spans="1:48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76.017790077777931</v>
      </c>
      <c r="E212" s="18">
        <f>E207*E207*(SUM((H200*E200*(1-E189/H189))/(H189-1),(H201*E201*(1-E190/H190))/(H190-1), (H203*E203*(1-E192/H192))/(H192-1),(H204*E204*(1-E193/H193))/(H193-1)))</f>
        <v>207.29035521784644</v>
      </c>
      <c r="F212" s="18">
        <f>F207*F207*(SUM((H200*F200*(1-F189/H189))/(H189-1),(H201*F201*(1-F190/H190))/(H190-1), (H202*F202*(1-F191/H191))/(H191-1),(H204*F204*(1-F193/H193))/(H193-1)))</f>
        <v>268.5117557854316</v>
      </c>
      <c r="G212" s="18">
        <f>G207*G207*(SUM((H200*G200*(1-G189/H189))/(H189-1),(H201*G201*(1-G190/H190))/(H190-1), (H202*G202*(1-G191/H191))/(H191-1),(H203*G203*(1-G192/H192))/(H192-1)))</f>
        <v>96.68077794582689</v>
      </c>
      <c r="S212" s="66" t="s">
        <v>56</v>
      </c>
      <c r="T212" s="67">
        <f>N566*100</f>
        <v>99.441340782122907</v>
      </c>
      <c r="U212" s="67">
        <f>N567*100</f>
        <v>69.776119402985088</v>
      </c>
      <c r="V212" s="67">
        <f>N568*100</f>
        <v>97.231394462788927</v>
      </c>
      <c r="W212" s="67">
        <f>N569*100</f>
        <v>91.39388684153478</v>
      </c>
      <c r="X212" s="67">
        <f>N570*100</f>
        <v>78.266946191474489</v>
      </c>
      <c r="AD212" s="51"/>
      <c r="AE212" s="51"/>
      <c r="AJ212" t="s">
        <v>415</v>
      </c>
      <c r="AK212">
        <v>17</v>
      </c>
      <c r="AL212" s="1">
        <v>31.74</v>
      </c>
      <c r="AM212" s="1">
        <v>74.709999999999994</v>
      </c>
      <c r="AN212" s="1">
        <v>12911.99</v>
      </c>
      <c r="AO212" s="1">
        <v>12731.87</v>
      </c>
      <c r="AP212" s="1">
        <v>9689.49</v>
      </c>
      <c r="AR212" s="1">
        <v>2096.61</v>
      </c>
      <c r="AS212" s="1">
        <v>6909.49</v>
      </c>
      <c r="AT212" s="1">
        <v>91995.86</v>
      </c>
      <c r="AU212" s="1">
        <v>37030.17</v>
      </c>
      <c r="AV212" s="1">
        <v>17853.5</v>
      </c>
    </row>
    <row r="213" spans="1:48" x14ac:dyDescent="0.3">
      <c r="R213" s="16" t="s">
        <v>66</v>
      </c>
      <c r="S213" t="s">
        <v>9</v>
      </c>
      <c r="T213" s="1">
        <f>N577</f>
        <v>2076.5300000000002</v>
      </c>
      <c r="U213" s="1">
        <f>N578</f>
        <v>7264.97</v>
      </c>
      <c r="V213" s="1">
        <f>N579</f>
        <v>91492.46</v>
      </c>
      <c r="W213" s="1">
        <f>N580</f>
        <v>37087.96</v>
      </c>
      <c r="X213" s="1">
        <f>N581</f>
        <v>17963.71</v>
      </c>
      <c r="Z213" t="s">
        <v>36</v>
      </c>
      <c r="AA213" s="1">
        <f>N582</f>
        <v>155885.63</v>
      </c>
      <c r="AD213" s="51"/>
      <c r="AE213" s="51"/>
      <c r="AJ213" t="s">
        <v>415</v>
      </c>
      <c r="AK213">
        <v>18</v>
      </c>
      <c r="AL213" s="1">
        <v>32.78</v>
      </c>
      <c r="AM213" s="1">
        <v>77.36</v>
      </c>
      <c r="AN213" s="1">
        <v>12806.26</v>
      </c>
      <c r="AO213" s="1">
        <v>12757.28</v>
      </c>
      <c r="AP213" s="1">
        <v>9766.1200000000008</v>
      </c>
      <c r="AR213" s="1">
        <v>2113.09</v>
      </c>
      <c r="AS213" s="1">
        <v>7399.48</v>
      </c>
      <c r="AT213" s="1">
        <v>91091.68</v>
      </c>
      <c r="AU213" s="1">
        <v>37191.269999999997</v>
      </c>
      <c r="AV213" s="1">
        <v>18090.12</v>
      </c>
    </row>
    <row r="214" spans="1:48" ht="15.6" x14ac:dyDescent="0.35">
      <c r="R214" s="16" t="s">
        <v>323</v>
      </c>
      <c r="S214" t="s">
        <v>68</v>
      </c>
      <c r="T214" s="57">
        <f>$AA213*T206/100</f>
        <v>2053.4574444444447</v>
      </c>
      <c r="U214" s="57">
        <f>$AA213*U206/100</f>
        <v>9053.4117836716978</v>
      </c>
      <c r="V214" s="57">
        <f>$AA213*V206/100</f>
        <v>90597.876599836163</v>
      </c>
      <c r="W214" s="57">
        <f>$AA213*W206/100</f>
        <v>38824.111195290934</v>
      </c>
      <c r="X214" s="57">
        <f>$AA213*X206/100</f>
        <v>15356.772976756771</v>
      </c>
      <c r="Z214" t="s">
        <v>36</v>
      </c>
      <c r="AA214" s="25">
        <f>SUM(T214:X214)</f>
        <v>155885.63</v>
      </c>
      <c r="AD214" s="51"/>
      <c r="AE214" s="51"/>
      <c r="AJ214" t="s">
        <v>415</v>
      </c>
      <c r="AK214">
        <v>19</v>
      </c>
      <c r="AL214" s="1">
        <v>39.18</v>
      </c>
      <c r="AM214" s="1">
        <v>76.239999999999995</v>
      </c>
      <c r="AN214" s="1">
        <v>12862.08</v>
      </c>
      <c r="AO214" s="1">
        <v>12700.22</v>
      </c>
      <c r="AP214" s="1">
        <v>9762.08</v>
      </c>
      <c r="AR214" s="1">
        <v>2076.5300000000002</v>
      </c>
      <c r="AS214" s="1">
        <v>7264.97</v>
      </c>
      <c r="AT214" s="1">
        <v>91492.46</v>
      </c>
      <c r="AU214" s="1">
        <v>37087.96</v>
      </c>
      <c r="AV214" s="1">
        <v>17963.71</v>
      </c>
    </row>
    <row r="215" spans="1:48" x14ac:dyDescent="0.3">
      <c r="A215" s="361" t="s">
        <v>429</v>
      </c>
      <c r="B215" s="361"/>
      <c r="C215" s="361"/>
      <c r="D215" s="361"/>
      <c r="E215" s="361"/>
      <c r="F215" s="361"/>
      <c r="G215" s="361"/>
      <c r="H215" s="361"/>
      <c r="I215" s="361"/>
      <c r="J215" s="361"/>
      <c r="K215" s="361"/>
      <c r="L215" s="361" t="s">
        <v>85</v>
      </c>
      <c r="M215" s="361"/>
      <c r="N215" s="361"/>
      <c r="O215" s="361"/>
      <c r="P215" s="361"/>
      <c r="R215" s="66"/>
      <c r="S215" s="66" t="s">
        <v>67</v>
      </c>
      <c r="T215" s="67">
        <f>$AA213*T207/100</f>
        <v>22.944016641457583</v>
      </c>
      <c r="U215" s="67">
        <f>$AA213*U207/100</f>
        <v>227.82506190972003</v>
      </c>
      <c r="V215" s="67">
        <f>$AA213*V207/100</f>
        <v>307.62727483831873</v>
      </c>
      <c r="W215" s="67">
        <f>$AA213*W207/100</f>
        <v>360.52046215388481</v>
      </c>
      <c r="X215" s="67">
        <f>$AA213*X207/100</f>
        <v>336.61564778808753</v>
      </c>
      <c r="AA215" s="1"/>
      <c r="AD215" s="51"/>
      <c r="AE215" s="51"/>
      <c r="AQ215" t="s">
        <v>412</v>
      </c>
    </row>
    <row r="216" spans="1:48" x14ac:dyDescent="0.3">
      <c r="A216" t="s">
        <v>320</v>
      </c>
      <c r="B216" t="s">
        <v>21</v>
      </c>
      <c r="I216" s="1" t="s">
        <v>58</v>
      </c>
      <c r="O216" s="143"/>
      <c r="P216" s="143"/>
      <c r="AJ216" t="s">
        <v>416</v>
      </c>
      <c r="AK216">
        <v>0</v>
      </c>
      <c r="AL216" s="1">
        <v>0</v>
      </c>
      <c r="AM216" s="1">
        <v>5.96</v>
      </c>
      <c r="AN216" s="1">
        <v>917.33</v>
      </c>
      <c r="AO216" s="1">
        <v>227.37</v>
      </c>
      <c r="AP216" s="1">
        <v>116.76</v>
      </c>
      <c r="AR216" s="1">
        <v>125.14</v>
      </c>
      <c r="AS216" s="1">
        <v>875.44</v>
      </c>
      <c r="AT216" s="1">
        <v>11406.67</v>
      </c>
      <c r="AU216" s="1">
        <v>1476.02</v>
      </c>
      <c r="AV216" s="1">
        <v>1328.1</v>
      </c>
    </row>
    <row r="217" spans="1:48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56</v>
      </c>
      <c r="O217" s="13"/>
      <c r="P217" s="13"/>
      <c r="AJ217" t="s">
        <v>416</v>
      </c>
      <c r="AK217">
        <v>1</v>
      </c>
      <c r="AL217" s="1">
        <v>0</v>
      </c>
      <c r="AM217" s="1">
        <v>6.57</v>
      </c>
      <c r="AN217" s="1">
        <v>914.2</v>
      </c>
      <c r="AO217" s="1">
        <v>228.65</v>
      </c>
      <c r="AP217" s="1">
        <v>118.01</v>
      </c>
      <c r="AR217" s="1">
        <v>124.33</v>
      </c>
      <c r="AS217" s="1">
        <v>860.95</v>
      </c>
      <c r="AT217" s="1">
        <v>11435.48</v>
      </c>
      <c r="AU217" s="1">
        <v>1468.82</v>
      </c>
      <c r="AV217" s="1">
        <v>1321.79</v>
      </c>
    </row>
    <row r="218" spans="1:48" x14ac:dyDescent="0.3">
      <c r="A218" t="s">
        <v>3</v>
      </c>
      <c r="B218" s="13">
        <v>0</v>
      </c>
      <c r="C218" s="26">
        <v>90</v>
      </c>
      <c r="D218" s="3">
        <v>0</v>
      </c>
      <c r="E218" s="3">
        <v>0</v>
      </c>
      <c r="F218" s="3">
        <v>0</v>
      </c>
      <c r="G218" s="4">
        <v>0</v>
      </c>
      <c r="H218" s="1">
        <f>SUM(C218:G218)</f>
        <v>90</v>
      </c>
      <c r="I218" s="10">
        <f>C218/H218</f>
        <v>1</v>
      </c>
      <c r="J218" s="11">
        <f>1-I218</f>
        <v>0</v>
      </c>
      <c r="K218">
        <f>H218-C223</f>
        <v>0</v>
      </c>
      <c r="N218" s="10">
        <f>2*(C224*I218)/(C224+I218)</f>
        <v>1</v>
      </c>
      <c r="O218" s="1"/>
      <c r="P218" s="1"/>
      <c r="R218" s="66"/>
      <c r="S218" s="66"/>
      <c r="T218" s="66"/>
      <c r="U218" s="66"/>
      <c r="V218" s="66"/>
      <c r="W218" s="66"/>
      <c r="X218" s="66"/>
      <c r="AJ218" t="s">
        <v>416</v>
      </c>
      <c r="AK218">
        <v>2</v>
      </c>
      <c r="AL218" s="1">
        <v>0</v>
      </c>
      <c r="AM218" s="1">
        <v>7.35</v>
      </c>
      <c r="AN218" s="1">
        <v>920.42</v>
      </c>
      <c r="AO218" s="1">
        <v>227.42</v>
      </c>
      <c r="AP218" s="1">
        <v>112.23</v>
      </c>
      <c r="AR218" s="1">
        <v>124.24</v>
      </c>
      <c r="AS218" s="1">
        <v>924.87</v>
      </c>
      <c r="AT218" s="1">
        <v>11415.58</v>
      </c>
      <c r="AU218" s="1">
        <v>1469.9</v>
      </c>
      <c r="AV218" s="1">
        <v>1276.78</v>
      </c>
    </row>
    <row r="219" spans="1:48" x14ac:dyDescent="0.3">
      <c r="A219" t="s">
        <v>4</v>
      </c>
      <c r="B219" s="13">
        <v>1</v>
      </c>
      <c r="C219" s="5">
        <v>0</v>
      </c>
      <c r="D219" s="27">
        <v>189</v>
      </c>
      <c r="E219" s="1">
        <v>9</v>
      </c>
      <c r="F219" s="1">
        <v>0</v>
      </c>
      <c r="G219" s="6">
        <v>3</v>
      </c>
      <c r="H219" s="1">
        <f>SUM(C219:G219)</f>
        <v>201</v>
      </c>
      <c r="I219" s="10">
        <f>D219/H219</f>
        <v>0.94029850746268662</v>
      </c>
      <c r="J219" s="11">
        <f>1-I219</f>
        <v>5.9701492537313383E-2</v>
      </c>
      <c r="K219">
        <f>H219-D223</f>
        <v>-126</v>
      </c>
      <c r="N219" s="10">
        <f>2*(D224*I219)/(D224+I219)</f>
        <v>0.71590909090909094</v>
      </c>
      <c r="O219" s="1"/>
      <c r="P219" s="1"/>
      <c r="R219" t="s">
        <v>371</v>
      </c>
      <c r="S219" t="s">
        <v>28</v>
      </c>
      <c r="T219" s="57">
        <f>AVERAGE(T16,T26,T36,T46,T56,T66,T76,T86,T96,T106,T116,T126,T136,T146,T156,T166,T176,T186,T196,T206)</f>
        <v>1.3383685037712847</v>
      </c>
      <c r="U219" s="57">
        <f>AVERAGE(U16,U26,U36,U46,U56,U66,U76,U86,U96,U106,U116,U126,U136,U146,U156,U166,U176,U186,U196,U206)</f>
        <v>5.7203368516608162</v>
      </c>
      <c r="V219" s="57">
        <f>AVERAGE(V16,V26,V36,V46,V56,V66,V76,V86,V96,V106,V116,V126,V136,V146,V156,V166,V176,V186,V196,V206)</f>
        <v>58.16686654870923</v>
      </c>
      <c r="W219" s="57">
        <f>AVERAGE(W16,W26,W36,W46,W56,W66,W76,W86,W96,W106,W116,W126,W136,W146,W156,W166,W176,W186,W196,W206)</f>
        <v>24.953133531354389</v>
      </c>
      <c r="X219" s="57">
        <f>AVERAGE(X16,X26,X36,X46,X56,X66,X76,X86,X96,X106,X116,X126,X136,X146,X156,X166,X176,X186,X196,X206)</f>
        <v>9.8212945645042637</v>
      </c>
      <c r="AJ219" t="s">
        <v>416</v>
      </c>
      <c r="AK219">
        <v>3</v>
      </c>
      <c r="AL219" s="1">
        <v>0</v>
      </c>
      <c r="AM219" s="1">
        <v>7.48</v>
      </c>
      <c r="AN219" s="1">
        <v>916.99</v>
      </c>
      <c r="AO219" s="1">
        <v>229.68</v>
      </c>
      <c r="AP219" s="1">
        <v>113.28</v>
      </c>
      <c r="AR219" s="1">
        <v>129.28</v>
      </c>
      <c r="AS219" s="1">
        <v>920.55</v>
      </c>
      <c r="AT219" s="1">
        <v>11380.11</v>
      </c>
      <c r="AU219" s="1">
        <v>1495.74</v>
      </c>
      <c r="AV219" s="1">
        <v>1285.69</v>
      </c>
    </row>
    <row r="220" spans="1:48" x14ac:dyDescent="0.3">
      <c r="A220" t="s">
        <v>5</v>
      </c>
      <c r="B220" s="13">
        <v>2</v>
      </c>
      <c r="C220" s="5">
        <v>0</v>
      </c>
      <c r="D220" s="1">
        <v>136</v>
      </c>
      <c r="E220" s="27">
        <v>5750</v>
      </c>
      <c r="F220" s="1">
        <v>42</v>
      </c>
      <c r="G220" s="6">
        <v>22</v>
      </c>
      <c r="H220" s="1">
        <f>SUM(C220:G220)</f>
        <v>5950</v>
      </c>
      <c r="I220" s="10">
        <f>E220/H220</f>
        <v>0.96638655462184875</v>
      </c>
      <c r="J220" s="11">
        <f>1-I220</f>
        <v>3.3613445378151252E-2</v>
      </c>
      <c r="K220">
        <f>H220-E223</f>
        <v>92</v>
      </c>
      <c r="N220" s="10">
        <f>2*(E224*I220)/(E224+I220)</f>
        <v>0.97391598915989164</v>
      </c>
      <c r="O220" s="1"/>
      <c r="P220" s="1"/>
      <c r="S220" s="66" t="s">
        <v>39</v>
      </c>
      <c r="T220" s="67">
        <f t="shared" ref="T220:X228" si="36">AVERAGE(T17,T27,T37,T47,T57,T67,T77,T87,T97,T107,T117,T127,T137,T147,T157,T167,T177,T187,T197,T207)</f>
        <v>4.4585686802511727E-3</v>
      </c>
      <c r="U220" s="67">
        <f t="shared" si="36"/>
        <v>0.14046110441367843</v>
      </c>
      <c r="V220" s="67">
        <f t="shared" si="36"/>
        <v>0.19413455243108987</v>
      </c>
      <c r="W220" s="67">
        <f t="shared" si="36"/>
        <v>0.23084512923307082</v>
      </c>
      <c r="X220" s="67">
        <f t="shared" si="36"/>
        <v>0.21733174382486337</v>
      </c>
      <c r="AC220" t="s">
        <v>123</v>
      </c>
      <c r="AD220" t="s">
        <v>162</v>
      </c>
      <c r="AE220" t="s">
        <v>124</v>
      </c>
      <c r="AJ220" t="s">
        <v>416</v>
      </c>
      <c r="AK220">
        <v>4</v>
      </c>
      <c r="AL220" s="1">
        <v>0</v>
      </c>
      <c r="AM220" s="1">
        <v>8.59</v>
      </c>
      <c r="AN220" s="1">
        <v>916.09</v>
      </c>
      <c r="AO220" s="1">
        <v>226.91</v>
      </c>
      <c r="AP220" s="1">
        <v>115.84</v>
      </c>
      <c r="AR220" s="1">
        <v>127.39</v>
      </c>
      <c r="AS220" s="1">
        <v>970.06</v>
      </c>
      <c r="AT220" s="1">
        <v>11325.65</v>
      </c>
      <c r="AU220" s="1">
        <v>1466.93</v>
      </c>
      <c r="AV220" s="1">
        <v>1321.34</v>
      </c>
    </row>
    <row r="221" spans="1:48" x14ac:dyDescent="0.3">
      <c r="A221" t="s">
        <v>6</v>
      </c>
      <c r="B221" s="13">
        <v>3</v>
      </c>
      <c r="C221" s="5">
        <v>0</v>
      </c>
      <c r="D221" s="1">
        <v>2</v>
      </c>
      <c r="E221" s="1">
        <v>72</v>
      </c>
      <c r="F221" s="27">
        <v>2126</v>
      </c>
      <c r="G221" s="6">
        <v>93</v>
      </c>
      <c r="H221" s="1">
        <f>SUM(C221:G221)</f>
        <v>2293</v>
      </c>
      <c r="I221" s="10">
        <f>F221/H221</f>
        <v>0.92716964675098124</v>
      </c>
      <c r="J221" s="11">
        <f>1-I221</f>
        <v>7.2830353249018764E-2</v>
      </c>
      <c r="K221">
        <f>H221-F223</f>
        <v>-36</v>
      </c>
      <c r="N221" s="10">
        <f>2*(F224*I221)/(F224+I221)</f>
        <v>0.91994807442665505</v>
      </c>
      <c r="O221" s="1"/>
      <c r="P221" s="1"/>
      <c r="S221" t="s">
        <v>30</v>
      </c>
      <c r="T221" s="57">
        <f t="shared" si="36"/>
        <v>100</v>
      </c>
      <c r="U221" s="57">
        <f t="shared" si="36"/>
        <v>76.029071641015619</v>
      </c>
      <c r="V221" s="57">
        <f t="shared" si="36"/>
        <v>97.536572166725733</v>
      </c>
      <c r="W221" s="57">
        <f t="shared" si="36"/>
        <v>87.710819481080819</v>
      </c>
      <c r="X221" s="57">
        <f t="shared" si="36"/>
        <v>87.04234436501757</v>
      </c>
      <c r="AB221">
        <v>0</v>
      </c>
      <c r="AC221">
        <v>31</v>
      </c>
      <c r="AD221">
        <v>26</v>
      </c>
      <c r="AE221">
        <v>15</v>
      </c>
      <c r="AJ221" t="s">
        <v>416</v>
      </c>
      <c r="AK221">
        <v>5</v>
      </c>
      <c r="AL221" s="1">
        <v>0</v>
      </c>
      <c r="AM221" s="1">
        <v>8.18</v>
      </c>
      <c r="AN221" s="1">
        <v>916.3</v>
      </c>
      <c r="AO221" s="1">
        <v>227.97</v>
      </c>
      <c r="AP221" s="1">
        <v>114.96</v>
      </c>
      <c r="AR221" s="1">
        <v>126.22</v>
      </c>
      <c r="AS221" s="1">
        <v>881.75</v>
      </c>
      <c r="AT221" s="1">
        <v>11444.12</v>
      </c>
      <c r="AU221" s="1">
        <v>1484.39</v>
      </c>
      <c r="AV221" s="1">
        <v>1274.8900000000001</v>
      </c>
    </row>
    <row r="222" spans="1:48" x14ac:dyDescent="0.3">
      <c r="A222" t="s">
        <v>7</v>
      </c>
      <c r="B222" s="13">
        <v>4</v>
      </c>
      <c r="C222" s="7">
        <v>0</v>
      </c>
      <c r="D222" s="8">
        <v>0</v>
      </c>
      <c r="E222" s="8">
        <v>27</v>
      </c>
      <c r="F222" s="8">
        <v>161</v>
      </c>
      <c r="G222" s="28">
        <v>563</v>
      </c>
      <c r="H222" s="1">
        <f>SUM(C222:G222)</f>
        <v>751</v>
      </c>
      <c r="I222" s="10">
        <f>G222/H222</f>
        <v>0.74966711051930757</v>
      </c>
      <c r="J222" s="11">
        <f>1-I222</f>
        <v>0.25033288948069243</v>
      </c>
      <c r="K222">
        <f>H222-G223</f>
        <v>70</v>
      </c>
      <c r="N222" s="10">
        <f>2*(G224*I222)/(G224+I222)</f>
        <v>0.78631284916201116</v>
      </c>
      <c r="O222" s="1"/>
      <c r="P222" s="1"/>
      <c r="S222" s="66" t="s">
        <v>39</v>
      </c>
      <c r="T222" s="67">
        <f t="shared" si="36"/>
        <v>0</v>
      </c>
      <c r="U222" s="67">
        <f t="shared" si="36"/>
        <v>3.7011557663166181</v>
      </c>
      <c r="V222" s="67">
        <f t="shared" si="36"/>
        <v>0.23685139037498501</v>
      </c>
      <c r="W222" s="67">
        <f t="shared" si="36"/>
        <v>0.93385818508271556</v>
      </c>
      <c r="X222" s="67">
        <f t="shared" si="36"/>
        <v>2.6390570363245973</v>
      </c>
      <c r="AB222">
        <v>1</v>
      </c>
      <c r="AC222">
        <v>60</v>
      </c>
      <c r="AD222">
        <v>55</v>
      </c>
      <c r="AE222">
        <v>44</v>
      </c>
      <c r="AJ222" t="s">
        <v>416</v>
      </c>
      <c r="AK222">
        <v>6</v>
      </c>
      <c r="AL222" s="1">
        <v>0</v>
      </c>
      <c r="AM222" s="1">
        <v>7.56</v>
      </c>
      <c r="AN222" s="1">
        <v>920.03</v>
      </c>
      <c r="AO222" s="1">
        <v>225.99</v>
      </c>
      <c r="AP222" s="1">
        <v>113.84</v>
      </c>
      <c r="AR222" s="1">
        <v>127.66</v>
      </c>
      <c r="AS222" s="1">
        <v>918.66</v>
      </c>
      <c r="AT222" s="1">
        <v>11431.43</v>
      </c>
      <c r="AU222" s="1">
        <v>1470.35</v>
      </c>
      <c r="AV222" s="1">
        <v>1263.28</v>
      </c>
    </row>
    <row r="223" spans="1:48" ht="15.6" x14ac:dyDescent="0.35">
      <c r="B223" s="1" t="s">
        <v>19</v>
      </c>
      <c r="C223" s="1">
        <f>SUM(C218:C222)</f>
        <v>90</v>
      </c>
      <c r="D223" s="1">
        <f>SUM(D218:D222)</f>
        <v>327</v>
      </c>
      <c r="E223" s="1">
        <f>SUM(E218:E222)</f>
        <v>5858</v>
      </c>
      <c r="F223" s="1">
        <f>SUM(F218:F222)</f>
        <v>2329</v>
      </c>
      <c r="G223" s="1">
        <f>SUM(G218:G222)</f>
        <v>681</v>
      </c>
      <c r="H223" s="1">
        <f>SUM(H217:H222)</f>
        <v>9285</v>
      </c>
      <c r="I223" s="13" t="s">
        <v>12</v>
      </c>
      <c r="N223" s="16"/>
      <c r="O223" s="1"/>
      <c r="P223" s="1"/>
      <c r="S223" s="15" t="s">
        <v>31</v>
      </c>
      <c r="T223" s="71">
        <f t="shared" si="36"/>
        <v>99.666666666666671</v>
      </c>
      <c r="U223" s="71">
        <f t="shared" si="36"/>
        <v>93.557213930348269</v>
      </c>
      <c r="V223" s="71">
        <f t="shared" si="36"/>
        <v>96.616806722689063</v>
      </c>
      <c r="W223" s="71">
        <f t="shared" si="36"/>
        <v>92.121674662014826</v>
      </c>
      <c r="X223" s="71">
        <f t="shared" si="36"/>
        <v>74.134487350199748</v>
      </c>
      <c r="AB223">
        <v>2</v>
      </c>
      <c r="AC223">
        <v>89</v>
      </c>
      <c r="AD223">
        <v>84</v>
      </c>
      <c r="AE223">
        <v>73</v>
      </c>
      <c r="AJ223" t="s">
        <v>416</v>
      </c>
      <c r="AK223">
        <v>7</v>
      </c>
      <c r="AL223" s="1">
        <v>0</v>
      </c>
      <c r="AM223" s="1">
        <v>8.3000000000000007</v>
      </c>
      <c r="AN223" s="1">
        <v>923.3</v>
      </c>
      <c r="AO223" s="1">
        <v>227.55</v>
      </c>
      <c r="AP223" s="1">
        <v>108.27</v>
      </c>
      <c r="AR223" s="1">
        <v>127.03</v>
      </c>
      <c r="AS223" s="1">
        <v>973.94</v>
      </c>
      <c r="AT223" s="1">
        <v>11405.86</v>
      </c>
      <c r="AU223" s="1">
        <v>1472.33</v>
      </c>
      <c r="AV223" s="1">
        <v>1232.22</v>
      </c>
    </row>
    <row r="224" spans="1:48" x14ac:dyDescent="0.3">
      <c r="A224" s="1" t="s">
        <v>321</v>
      </c>
      <c r="B224" s="1" t="s">
        <v>2</v>
      </c>
      <c r="C224" s="10">
        <f>C218/C223</f>
        <v>1</v>
      </c>
      <c r="D224" s="10">
        <f>D219/D223</f>
        <v>0.57798165137614677</v>
      </c>
      <c r="E224" s="10">
        <f>E220/E223</f>
        <v>0.98156367360874019</v>
      </c>
      <c r="F224" s="10">
        <f>F221/F223</f>
        <v>0.91283812795191066</v>
      </c>
      <c r="G224" s="10">
        <f>G222/G223</f>
        <v>0.82672540381791482</v>
      </c>
      <c r="H224" s="10"/>
      <c r="I224" s="14">
        <f>(C218+D219+E220+F221+G222)/H223</f>
        <v>0.93893376413570273</v>
      </c>
      <c r="S224" s="75" t="s">
        <v>39</v>
      </c>
      <c r="T224" s="76">
        <f t="shared" si="36"/>
        <v>0.33333333333333381</v>
      </c>
      <c r="U224" s="76">
        <f t="shared" si="36"/>
        <v>1.7231766137414553</v>
      </c>
      <c r="V224" s="76">
        <f t="shared" si="36"/>
        <v>0.23438799543365058</v>
      </c>
      <c r="W224" s="76">
        <f t="shared" si="36"/>
        <v>0.56232324080567975</v>
      </c>
      <c r="X224" s="76">
        <f t="shared" si="36"/>
        <v>1.5984618112151643</v>
      </c>
      <c r="AB224">
        <v>3</v>
      </c>
      <c r="AC224">
        <v>118</v>
      </c>
      <c r="AD224">
        <v>113</v>
      </c>
      <c r="AE224">
        <v>102</v>
      </c>
      <c r="AJ224" t="s">
        <v>416</v>
      </c>
      <c r="AK224">
        <v>8</v>
      </c>
      <c r="AL224" s="1">
        <v>0</v>
      </c>
      <c r="AM224" s="1">
        <v>6.8</v>
      </c>
      <c r="AN224" s="1">
        <v>917.35</v>
      </c>
      <c r="AO224" s="1">
        <v>229.14</v>
      </c>
      <c r="AP224" s="1">
        <v>114.14</v>
      </c>
      <c r="AR224" s="1">
        <v>125.14</v>
      </c>
      <c r="AS224" s="1">
        <v>970.15</v>
      </c>
      <c r="AT224" s="1">
        <v>11356.16</v>
      </c>
      <c r="AU224" s="1">
        <v>1461.26</v>
      </c>
      <c r="AV224" s="1">
        <v>1298.6600000000001</v>
      </c>
    </row>
    <row r="225" spans="1:48" x14ac:dyDescent="0.3">
      <c r="B225" s="1" t="s">
        <v>14</v>
      </c>
      <c r="C225" s="11">
        <f>1-C224</f>
        <v>0</v>
      </c>
      <c r="D225" s="11">
        <f>1-D224</f>
        <v>0.42201834862385323</v>
      </c>
      <c r="E225" s="11">
        <f>1-E224</f>
        <v>1.8436326391259805E-2</v>
      </c>
      <c r="F225" s="11">
        <f>1-F224</f>
        <v>8.7161872048089339E-2</v>
      </c>
      <c r="G225" s="11">
        <f>1-G224</f>
        <v>0.17327459618208518</v>
      </c>
      <c r="S225" s="66" t="s">
        <v>56</v>
      </c>
      <c r="T225" s="67">
        <f t="shared" si="36"/>
        <v>99.832402234636874</v>
      </c>
      <c r="U225" s="67">
        <f t="shared" si="36"/>
        <v>71.321264846492866</v>
      </c>
      <c r="V225" s="67">
        <f t="shared" si="36"/>
        <v>97.321490889388727</v>
      </c>
      <c r="W225" s="67">
        <f t="shared" si="36"/>
        <v>91.437140951761421</v>
      </c>
      <c r="X225" s="67">
        <f t="shared" si="36"/>
        <v>77.929986938222754</v>
      </c>
      <c r="AB225">
        <v>4</v>
      </c>
      <c r="AC225">
        <v>147</v>
      </c>
      <c r="AD225">
        <v>142</v>
      </c>
      <c r="AE225">
        <v>131</v>
      </c>
      <c r="AJ225" t="s">
        <v>416</v>
      </c>
      <c r="AK225">
        <v>9</v>
      </c>
      <c r="AL225" s="1">
        <v>0</v>
      </c>
      <c r="AM225" s="1">
        <v>7.97</v>
      </c>
      <c r="AN225" s="1">
        <v>921.84</v>
      </c>
      <c r="AO225" s="1">
        <v>227.34</v>
      </c>
      <c r="AP225" s="1">
        <v>110.28</v>
      </c>
      <c r="AR225" s="1">
        <v>125.23</v>
      </c>
      <c r="AS225" s="1">
        <v>952.15</v>
      </c>
      <c r="AT225" s="1">
        <v>11373.99</v>
      </c>
      <c r="AU225" s="1">
        <v>1467.92</v>
      </c>
      <c r="AV225" s="1">
        <v>1292.08</v>
      </c>
    </row>
    <row r="226" spans="1:48" x14ac:dyDescent="0.3">
      <c r="C226" s="2"/>
      <c r="R226" s="16" t="s">
        <v>66</v>
      </c>
      <c r="S226" t="s">
        <v>9</v>
      </c>
      <c r="T226" s="1">
        <f t="shared" si="36"/>
        <v>2093.3135000000002</v>
      </c>
      <c r="U226" s="1">
        <f t="shared" si="36"/>
        <v>7245.4624999999996</v>
      </c>
      <c r="V226" s="1">
        <f t="shared" si="36"/>
        <v>91535.944500000012</v>
      </c>
      <c r="W226" s="1">
        <f t="shared" si="36"/>
        <v>37035.397000000004</v>
      </c>
      <c r="X226" s="1">
        <f t="shared" si="36"/>
        <v>17975.521500000006</v>
      </c>
      <c r="AB226">
        <v>5</v>
      </c>
      <c r="AC226">
        <v>176</v>
      </c>
      <c r="AD226">
        <v>171</v>
      </c>
      <c r="AE226">
        <v>160</v>
      </c>
      <c r="AJ226" t="s">
        <v>416</v>
      </c>
      <c r="AK226">
        <v>10</v>
      </c>
      <c r="AL226" s="1">
        <v>0</v>
      </c>
      <c r="AM226" s="1">
        <v>5.85</v>
      </c>
      <c r="AN226" s="1">
        <v>918.3</v>
      </c>
      <c r="AO226" s="1">
        <v>228.53</v>
      </c>
      <c r="AP226" s="1">
        <v>114.75</v>
      </c>
      <c r="AR226" s="1">
        <v>130.28</v>
      </c>
      <c r="AS226" s="1">
        <v>814.31</v>
      </c>
      <c r="AT226" s="1">
        <v>11486.44</v>
      </c>
      <c r="AU226" s="1">
        <v>1489.25</v>
      </c>
      <c r="AV226" s="1">
        <v>1291.0899999999999</v>
      </c>
    </row>
    <row r="227" spans="1:48" ht="15.6" x14ac:dyDescent="0.35">
      <c r="A227" t="s">
        <v>322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323</v>
      </c>
      <c r="S227" t="s">
        <v>68</v>
      </c>
      <c r="T227" s="57">
        <f>AVERAGE(T24,T34,T44,T54,T64,T74,T84,T94,T104,T114,T124,T134,T144,T154,T164,T174,T184,T194,T204,T214)</f>
        <v>2086.3242944444446</v>
      </c>
      <c r="U227" s="57">
        <f t="shared" si="36"/>
        <v>8917.1836552186323</v>
      </c>
      <c r="V227" s="57">
        <f t="shared" si="36"/>
        <v>90673.791602918936</v>
      </c>
      <c r="W227" s="57">
        <f t="shared" si="36"/>
        <v>38898.351661097564</v>
      </c>
      <c r="X227" s="57">
        <f t="shared" si="36"/>
        <v>15309.987786320406</v>
      </c>
      <c r="AB227">
        <v>6</v>
      </c>
      <c r="AC227">
        <v>205</v>
      </c>
      <c r="AD227">
        <v>200</v>
      </c>
      <c r="AE227">
        <v>189</v>
      </c>
      <c r="AJ227" t="s">
        <v>416</v>
      </c>
      <c r="AK227">
        <v>11</v>
      </c>
      <c r="AL227" s="1">
        <v>0</v>
      </c>
      <c r="AM227" s="1">
        <v>7.57</v>
      </c>
      <c r="AN227" s="1">
        <v>919.89</v>
      </c>
      <c r="AO227" s="1">
        <v>229.53</v>
      </c>
      <c r="AP227" s="1">
        <v>110.44</v>
      </c>
      <c r="AR227" s="1">
        <v>128.02000000000001</v>
      </c>
      <c r="AS227" s="1">
        <v>910.92</v>
      </c>
      <c r="AT227" s="1">
        <v>11445.2</v>
      </c>
      <c r="AU227" s="1">
        <v>1472.15</v>
      </c>
      <c r="AV227" s="1">
        <v>1255.08</v>
      </c>
    </row>
    <row r="228" spans="1:48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67</v>
      </c>
      <c r="T228" s="67">
        <f>AVERAGE(T25,T35,T45,T55,T65,T75,T85,T95,T105,T115,T125,T135,T145,T155,T165,T175,T185,T195,T205,T215)</f>
        <v>6.9502681742864834</v>
      </c>
      <c r="U228" s="67">
        <f t="shared" si="36"/>
        <v>218.95869014785126</v>
      </c>
      <c r="V228" s="67">
        <f t="shared" si="36"/>
        <v>302.62788743924597</v>
      </c>
      <c r="W228" s="67">
        <f t="shared" si="36"/>
        <v>359.85440471241202</v>
      </c>
      <c r="X228" s="67">
        <f t="shared" si="36"/>
        <v>338.78897762310288</v>
      </c>
      <c r="AB228">
        <v>7</v>
      </c>
      <c r="AC228">
        <v>234</v>
      </c>
      <c r="AD228">
        <v>229</v>
      </c>
      <c r="AE228">
        <v>218</v>
      </c>
      <c r="AJ228" t="s">
        <v>416</v>
      </c>
      <c r="AK228">
        <v>12</v>
      </c>
      <c r="AL228" s="1">
        <v>0</v>
      </c>
      <c r="AM228" s="1">
        <v>7.72</v>
      </c>
      <c r="AN228" s="1">
        <v>920.93</v>
      </c>
      <c r="AO228" s="1">
        <v>228.74</v>
      </c>
      <c r="AP228" s="1">
        <v>110.04</v>
      </c>
      <c r="AR228" s="1">
        <v>126.04</v>
      </c>
      <c r="AS228" s="1">
        <v>1034.8</v>
      </c>
      <c r="AT228" s="1">
        <v>11317.09</v>
      </c>
      <c r="AU228" s="1">
        <v>1467.47</v>
      </c>
      <c r="AV228" s="1">
        <v>1265.98</v>
      </c>
    </row>
    <row r="229" spans="1:48" x14ac:dyDescent="0.3">
      <c r="A229" t="s">
        <v>3</v>
      </c>
      <c r="B229" s="13">
        <v>0</v>
      </c>
      <c r="C229" s="29">
        <f>(C218/$L229)*$O229</f>
        <v>1.3461278408966983</v>
      </c>
      <c r="D229" s="31">
        <f>(D218/$L229)*$O229</f>
        <v>0</v>
      </c>
      <c r="E229" s="31">
        <f>(E218/$L229)*$O229</f>
        <v>0</v>
      </c>
      <c r="F229" s="31">
        <f>(F218/$L229)*$O229</f>
        <v>0</v>
      </c>
      <c r="G229" s="32">
        <f>(G218/$L229)*$O229</f>
        <v>0</v>
      </c>
      <c r="H229" s="17">
        <f>SUM(C229:G229)</f>
        <v>1.3461278408966983</v>
      </c>
      <c r="I229" s="17">
        <f>C229/H229*100</f>
        <v>100</v>
      </c>
      <c r="J229" s="17">
        <f>SQRT(I229*(100-I229)/(L229-1))</f>
        <v>0</v>
      </c>
      <c r="K229" s="18">
        <f>100-I229</f>
        <v>0</v>
      </c>
      <c r="L229" s="1">
        <f>H218</f>
        <v>90</v>
      </c>
      <c r="M229">
        <v>0</v>
      </c>
      <c r="N229" s="1">
        <v>2098.42</v>
      </c>
      <c r="O229" s="17">
        <f>N229/N234*100</f>
        <v>1.3461278408966983</v>
      </c>
      <c r="P229" s="52">
        <f>((O229*O229*(I229/100)*(K229/100))/(L229-1))</f>
        <v>0</v>
      </c>
      <c r="AB229">
        <v>8</v>
      </c>
      <c r="AC229">
        <v>263</v>
      </c>
      <c r="AD229">
        <v>258</v>
      </c>
      <c r="AE229">
        <v>247</v>
      </c>
      <c r="AJ229" t="s">
        <v>416</v>
      </c>
      <c r="AK229">
        <v>13</v>
      </c>
      <c r="AL229" s="1">
        <v>0</v>
      </c>
      <c r="AM229" s="1">
        <v>6.77</v>
      </c>
      <c r="AN229" s="1">
        <v>917.03</v>
      </c>
      <c r="AO229" s="1">
        <v>227.92</v>
      </c>
      <c r="AP229" s="1">
        <v>115.71</v>
      </c>
      <c r="AR229" s="1">
        <v>126.67</v>
      </c>
      <c r="AS229" s="1">
        <v>965.56</v>
      </c>
      <c r="AT229" s="1">
        <v>11317.09</v>
      </c>
      <c r="AU229" s="1">
        <v>1485.11</v>
      </c>
      <c r="AV229" s="1">
        <v>1316.93</v>
      </c>
    </row>
    <row r="230" spans="1:48" x14ac:dyDescent="0.3">
      <c r="A230" t="s">
        <v>4</v>
      </c>
      <c r="B230" s="13">
        <v>1</v>
      </c>
      <c r="C230" s="33">
        <f t="shared" ref="C230:G233" si="37">(C219/$L230)*$O230</f>
        <v>0</v>
      </c>
      <c r="D230" s="34">
        <f t="shared" si="37"/>
        <v>4.5666464976523722</v>
      </c>
      <c r="E230" s="19">
        <f t="shared" si="37"/>
        <v>0.21745935703106531</v>
      </c>
      <c r="F230" s="18">
        <f t="shared" si="37"/>
        <v>0</v>
      </c>
      <c r="G230" s="20">
        <f t="shared" si="37"/>
        <v>7.2486452343688446E-2</v>
      </c>
      <c r="H230" s="17">
        <f>SUM(C230:G230)</f>
        <v>4.8565923070271255</v>
      </c>
      <c r="I230" s="17">
        <f>D230/H230*100</f>
        <v>94.029850746268664</v>
      </c>
      <c r="J230" s="17">
        <f>SQRT(I230*(100-I230)/(L230-1))</f>
        <v>1.6753689791525102</v>
      </c>
      <c r="K230" s="18">
        <f>100-I230</f>
        <v>5.9701492537313356</v>
      </c>
      <c r="L230" s="1">
        <f>H219</f>
        <v>201</v>
      </c>
      <c r="M230">
        <v>1</v>
      </c>
      <c r="N230" s="1">
        <v>7570.73</v>
      </c>
      <c r="O230" s="17">
        <f>N230/N234*100</f>
        <v>4.8565923070271255</v>
      </c>
      <c r="P230" s="52">
        <f>((O230*O230*(I230/100)*(K230/100))/(L230-1))</f>
        <v>6.6204000744509994E-3</v>
      </c>
      <c r="S230" t="s">
        <v>69</v>
      </c>
      <c r="T230" s="1" t="s">
        <v>418</v>
      </c>
      <c r="U230" s="1" t="s">
        <v>419</v>
      </c>
      <c r="V230" s="1" t="s">
        <v>420</v>
      </c>
      <c r="W230" s="1" t="s">
        <v>421</v>
      </c>
      <c r="X230" s="1" t="s">
        <v>422</v>
      </c>
      <c r="AB230">
        <v>9</v>
      </c>
      <c r="AC230">
        <v>292</v>
      </c>
      <c r="AD230">
        <v>287</v>
      </c>
      <c r="AE230">
        <v>276</v>
      </c>
      <c r="AJ230" t="s">
        <v>416</v>
      </c>
      <c r="AK230">
        <v>14</v>
      </c>
      <c r="AL230" s="1">
        <v>0</v>
      </c>
      <c r="AM230" s="1">
        <v>7.06</v>
      </c>
      <c r="AN230" s="1">
        <v>917.68</v>
      </c>
      <c r="AO230" s="1">
        <v>226.53</v>
      </c>
      <c r="AP230" s="1">
        <v>116.15</v>
      </c>
      <c r="AR230" s="1">
        <v>124.96</v>
      </c>
      <c r="AS230" s="1">
        <v>914.79</v>
      </c>
      <c r="AT230" s="1">
        <v>11419.63</v>
      </c>
      <c r="AU230" s="1">
        <v>1457.38</v>
      </c>
      <c r="AV230" s="1">
        <v>1294.6099999999999</v>
      </c>
    </row>
    <row r="231" spans="1:48" x14ac:dyDescent="0.3">
      <c r="A231" t="s">
        <v>5</v>
      </c>
      <c r="B231" s="13">
        <v>2</v>
      </c>
      <c r="C231" s="33">
        <f t="shared" si="37"/>
        <v>0</v>
      </c>
      <c r="D231" s="19">
        <f t="shared" si="37"/>
        <v>1.3389694064003768</v>
      </c>
      <c r="E231" s="34">
        <f t="shared" si="37"/>
        <v>56.61083887354534</v>
      </c>
      <c r="F231" s="19">
        <f t="shared" si="37"/>
        <v>0.41350525785893988</v>
      </c>
      <c r="G231" s="20">
        <f t="shared" si="37"/>
        <v>0.21659799221182566</v>
      </c>
      <c r="H231" s="17">
        <f>SUM(C231:G231)</f>
        <v>58.579911530016474</v>
      </c>
      <c r="I231" s="17">
        <f>E231/H231*100</f>
        <v>96.638655462184886</v>
      </c>
      <c r="J231" s="17">
        <f>SQRT(I231*(100-I231)/(L231-1))</f>
        <v>0.2336737724938836</v>
      </c>
      <c r="K231" s="18">
        <f>100-I231</f>
        <v>3.3613445378151141</v>
      </c>
      <c r="L231" s="1">
        <f>H220</f>
        <v>5950</v>
      </c>
      <c r="M231">
        <v>2</v>
      </c>
      <c r="N231" s="1">
        <v>91317.67</v>
      </c>
      <c r="O231" s="17">
        <f>N231/N234*100</f>
        <v>58.579911530016481</v>
      </c>
      <c r="P231" s="52">
        <f>((O231*O231*(I231/100)*(K231/100))/(L231-1))</f>
        <v>1.8737746660916346E-2</v>
      </c>
      <c r="T231" s="57">
        <f>T24</f>
        <v>2074.46</v>
      </c>
      <c r="U231" s="57">
        <f>U24</f>
        <v>8885.0650456802723</v>
      </c>
      <c r="V231" s="57">
        <f>V24</f>
        <v>89993.130882918631</v>
      </c>
      <c r="W231" s="57">
        <f>W24</f>
        <v>39148.831958650502</v>
      </c>
      <c r="X231" s="57">
        <f>X24</f>
        <v>15784.152112750597</v>
      </c>
      <c r="AB231">
        <v>10</v>
      </c>
      <c r="AC231">
        <v>321</v>
      </c>
      <c r="AD231">
        <v>316</v>
      </c>
      <c r="AE231">
        <v>305</v>
      </c>
      <c r="AJ231" t="s">
        <v>416</v>
      </c>
      <c r="AK231">
        <v>15</v>
      </c>
      <c r="AL231" s="1">
        <v>0</v>
      </c>
      <c r="AM231" s="1">
        <v>7.46</v>
      </c>
      <c r="AN231" s="1">
        <v>917.8</v>
      </c>
      <c r="AO231" s="1">
        <v>230.44</v>
      </c>
      <c r="AP231" s="1">
        <v>111.72</v>
      </c>
      <c r="AR231" s="1">
        <v>125.14</v>
      </c>
      <c r="AS231" s="1">
        <v>930</v>
      </c>
      <c r="AT231" s="1">
        <v>11383.35</v>
      </c>
      <c r="AU231" s="1">
        <v>1509.6</v>
      </c>
      <c r="AV231" s="1">
        <v>1263.28</v>
      </c>
    </row>
    <row r="232" spans="1:48" x14ac:dyDescent="0.3">
      <c r="A232" t="s">
        <v>6</v>
      </c>
      <c r="B232" s="13">
        <v>3</v>
      </c>
      <c r="C232" s="33">
        <f t="shared" si="37"/>
        <v>0</v>
      </c>
      <c r="D232" s="19">
        <f t="shared" si="37"/>
        <v>2.0734194022634066E-2</v>
      </c>
      <c r="E232" s="19">
        <f t="shared" si="37"/>
        <v>0.74643098481482628</v>
      </c>
      <c r="F232" s="34">
        <f t="shared" si="37"/>
        <v>22.040448246060009</v>
      </c>
      <c r="G232" s="20">
        <f t="shared" si="37"/>
        <v>0.96414002205248406</v>
      </c>
      <c r="H232" s="17">
        <f>SUM(C232:G232)</f>
        <v>23.771753446949951</v>
      </c>
      <c r="I232" s="17">
        <f>F232/H232*100</f>
        <v>92.71696467509814</v>
      </c>
      <c r="J232" s="17">
        <f>SQRT(I232*(100-I232)/(L232-1))</f>
        <v>0.54278583358992194</v>
      </c>
      <c r="K232" s="18">
        <f>100-I232</f>
        <v>7.28303532490186</v>
      </c>
      <c r="L232" s="1">
        <f>H221</f>
        <v>2293</v>
      </c>
      <c r="M232">
        <v>3</v>
      </c>
      <c r="N232" s="1">
        <v>37056.75</v>
      </c>
      <c r="O232" s="17">
        <f>N232/N234*100</f>
        <v>23.771753446949955</v>
      </c>
      <c r="P232" s="52">
        <f>((O232*O232*(I232/100)*(K232/100))/(L232-1))</f>
        <v>1.6648666090030222E-2</v>
      </c>
      <c r="T232" s="57">
        <f>T34</f>
        <v>2069.5763333333334</v>
      </c>
      <c r="U232" s="57">
        <f>U34</f>
        <v>8582.3406219526005</v>
      </c>
      <c r="V232" s="57">
        <f>V34</f>
        <v>91473.725160651287</v>
      </c>
      <c r="W232" s="57">
        <f>W34</f>
        <v>38068.902727234999</v>
      </c>
      <c r="X232" s="57">
        <f>X34</f>
        <v>15691.085156827774</v>
      </c>
      <c r="AB232">
        <v>11</v>
      </c>
      <c r="AC232">
        <v>350</v>
      </c>
      <c r="AD232">
        <v>345</v>
      </c>
      <c r="AE232">
        <v>334</v>
      </c>
      <c r="AJ232" t="s">
        <v>416</v>
      </c>
      <c r="AK232">
        <v>16</v>
      </c>
      <c r="AL232" s="1">
        <v>0</v>
      </c>
      <c r="AM232" s="1">
        <v>6.75</v>
      </c>
      <c r="AN232" s="1">
        <v>921.69</v>
      </c>
      <c r="AO232" s="1">
        <v>227.87</v>
      </c>
      <c r="AP232" s="1">
        <v>111.11</v>
      </c>
      <c r="AR232" s="1">
        <v>125.59</v>
      </c>
      <c r="AS232" s="1">
        <v>893.18</v>
      </c>
      <c r="AT232" s="1">
        <v>11457.36</v>
      </c>
      <c r="AU232" s="1">
        <v>1454.59</v>
      </c>
      <c r="AV232" s="1">
        <v>1280.6500000000001</v>
      </c>
    </row>
    <row r="233" spans="1:48" x14ac:dyDescent="0.3">
      <c r="A233" t="s">
        <v>7</v>
      </c>
      <c r="B233" s="13">
        <v>4</v>
      </c>
      <c r="C233" s="35">
        <f t="shared" si="37"/>
        <v>0</v>
      </c>
      <c r="D233" s="36">
        <f t="shared" si="37"/>
        <v>0</v>
      </c>
      <c r="E233" s="21">
        <f t="shared" si="37"/>
        <v>0.41149347753390492</v>
      </c>
      <c r="F233" s="21">
        <f t="shared" si="37"/>
        <v>2.4537203660355074</v>
      </c>
      <c r="G233" s="37">
        <f t="shared" si="37"/>
        <v>8.5804010315403136</v>
      </c>
      <c r="H233" s="17">
        <f>SUM(C233:G233)</f>
        <v>11.445614875109726</v>
      </c>
      <c r="I233" s="17">
        <f>G233/H233*100</f>
        <v>74.966711051930758</v>
      </c>
      <c r="J233" s="17">
        <f>SQRT(I233*(100-I233)/(L233-1))</f>
        <v>1.581840000020819</v>
      </c>
      <c r="K233" s="18">
        <f>100-I233</f>
        <v>25.033288948069242</v>
      </c>
      <c r="L233" s="1">
        <f>H222</f>
        <v>751</v>
      </c>
      <c r="M233">
        <v>4</v>
      </c>
      <c r="N233" s="1">
        <v>17842.07</v>
      </c>
      <c r="O233" s="17">
        <f>N233/N234*100</f>
        <v>11.445614875109726</v>
      </c>
      <c r="P233" s="52">
        <f>((O233*O233*(I233/100)*(K233/100))/(L233-1))</f>
        <v>3.27795784252621E-2</v>
      </c>
      <c r="T233" s="57">
        <f>T44</f>
        <v>2074.4600000000005</v>
      </c>
      <c r="U233" s="57">
        <f>U44</f>
        <v>9013.1571054968299</v>
      </c>
      <c r="V233" s="57">
        <f>V44</f>
        <v>90923.828786665792</v>
      </c>
      <c r="W233" s="57">
        <f>W44</f>
        <v>38890.038101375867</v>
      </c>
      <c r="X233" s="57">
        <f>X44</f>
        <v>14984.156006461515</v>
      </c>
      <c r="AB233">
        <v>12</v>
      </c>
      <c r="AC233">
        <v>379</v>
      </c>
      <c r="AD233">
        <v>374</v>
      </c>
      <c r="AE233">
        <v>363</v>
      </c>
      <c r="AJ233" t="s">
        <v>416</v>
      </c>
      <c r="AK233">
        <v>17</v>
      </c>
      <c r="AL233" s="1">
        <v>0</v>
      </c>
      <c r="AM233" s="1">
        <v>6.6</v>
      </c>
      <c r="AN233" s="1">
        <v>920.7</v>
      </c>
      <c r="AO233" s="1">
        <v>230.39</v>
      </c>
      <c r="AP233" s="1">
        <v>109.74</v>
      </c>
      <c r="AR233" s="1">
        <v>127.48</v>
      </c>
      <c r="AS233" s="1">
        <v>866.89</v>
      </c>
      <c r="AT233" s="1">
        <v>11479.68</v>
      </c>
      <c r="AU233" s="1">
        <v>1486.64</v>
      </c>
      <c r="AV233" s="1">
        <v>1250.67</v>
      </c>
    </row>
    <row r="234" spans="1:48" x14ac:dyDescent="0.3">
      <c r="B234" t="s">
        <v>28</v>
      </c>
      <c r="C234" s="17">
        <f>SUM(C229:C233)</f>
        <v>1.3461278408966983</v>
      </c>
      <c r="D234" s="17">
        <f>SUM(D229:D233)</f>
        <v>5.9263500980753836</v>
      </c>
      <c r="E234" s="17">
        <f>SUM(E229:E233)</f>
        <v>57.986222692925139</v>
      </c>
      <c r="F234" s="17">
        <f>SUM(F229:F233)</f>
        <v>24.907673869954458</v>
      </c>
      <c r="G234" s="17">
        <f>SUM(G229:G233)</f>
        <v>9.8336254981483116</v>
      </c>
      <c r="H234" s="1">
        <f>SUM(H228:H233)</f>
        <v>99.999999999999972</v>
      </c>
      <c r="I234" s="13" t="s">
        <v>24</v>
      </c>
      <c r="J234" s="12" t="s">
        <v>29</v>
      </c>
      <c r="N234" s="1">
        <f>SUM(N229:N233)</f>
        <v>155885.64000000001</v>
      </c>
      <c r="O234" s="17">
        <f>SUM(O229:O233)</f>
        <v>99.999999999999986</v>
      </c>
      <c r="T234" s="57">
        <f>T54</f>
        <v>2084.4492222222225</v>
      </c>
      <c r="U234" s="57">
        <f>U54</f>
        <v>9174.9407752512852</v>
      </c>
      <c r="V234" s="57">
        <f>V54</f>
        <v>90318.99939811269</v>
      </c>
      <c r="W234" s="57">
        <f>W54</f>
        <v>39041.963066934659</v>
      </c>
      <c r="X234" s="57">
        <f>X54</f>
        <v>15265.287537479111</v>
      </c>
      <c r="AB234">
        <v>13</v>
      </c>
      <c r="AC234">
        <v>408</v>
      </c>
      <c r="AD234">
        <v>403</v>
      </c>
      <c r="AE234">
        <v>392</v>
      </c>
      <c r="AJ234" t="s">
        <v>416</v>
      </c>
      <c r="AK234">
        <v>18</v>
      </c>
      <c r="AL234" s="1">
        <v>0</v>
      </c>
      <c r="AM234" s="1">
        <v>8.33</v>
      </c>
      <c r="AN234" s="1">
        <v>913.85</v>
      </c>
      <c r="AO234" s="1">
        <v>227.61</v>
      </c>
      <c r="AP234" s="1">
        <v>117.63</v>
      </c>
      <c r="AR234" s="1">
        <v>126.94</v>
      </c>
      <c r="AS234" s="1">
        <v>928.56</v>
      </c>
      <c r="AT234" s="1">
        <v>11353.82</v>
      </c>
      <c r="AU234" s="1">
        <v>1477.82</v>
      </c>
      <c r="AV234" s="1">
        <v>1324.22</v>
      </c>
    </row>
    <row r="235" spans="1:48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0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0.14029808057817753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0.19311875605194553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0.2237470267745281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0.21488545715181304</v>
      </c>
      <c r="H235" s="1"/>
      <c r="I235" s="14">
        <f>(C229+D230+E231+F232+G233)/H234</f>
        <v>0.93144462489694757</v>
      </c>
      <c r="J235" s="53">
        <f>SQRT(SUM(P229:P233))/100</f>
        <v>2.7347100623404241E-3</v>
      </c>
      <c r="M235" s="1"/>
      <c r="N235" s="9"/>
      <c r="T235" s="57">
        <f>T64</f>
        <v>2073.8483333333334</v>
      </c>
      <c r="U235" s="57">
        <f>U64</f>
        <v>9372.1603393339428</v>
      </c>
      <c r="V235" s="57">
        <f>V64</f>
        <v>90092.95654413935</v>
      </c>
      <c r="W235" s="57">
        <f>W64</f>
        <v>39342.060526477602</v>
      </c>
      <c r="X235" s="57">
        <f>X64</f>
        <v>15004.61425671576</v>
      </c>
      <c r="AB235">
        <v>14</v>
      </c>
      <c r="AC235">
        <v>437</v>
      </c>
      <c r="AD235">
        <v>432</v>
      </c>
      <c r="AE235">
        <v>421</v>
      </c>
      <c r="AJ235" t="s">
        <v>416</v>
      </c>
      <c r="AK235">
        <v>19</v>
      </c>
      <c r="AL235" s="1">
        <v>0</v>
      </c>
      <c r="AM235" s="1">
        <v>6.8</v>
      </c>
      <c r="AN235" s="1">
        <v>917.18</v>
      </c>
      <c r="AO235" s="1">
        <v>229.25</v>
      </c>
      <c r="AP235" s="1">
        <v>114.2</v>
      </c>
      <c r="AR235" s="1">
        <v>123.43</v>
      </c>
      <c r="AS235" s="1">
        <v>893.45</v>
      </c>
      <c r="AT235" s="1">
        <v>11387.94</v>
      </c>
      <c r="AU235" s="1">
        <v>1504.38</v>
      </c>
      <c r="AV235" s="1">
        <v>1302.17</v>
      </c>
    </row>
    <row r="236" spans="1:48" x14ac:dyDescent="0.3">
      <c r="B236" s="1" t="s">
        <v>30</v>
      </c>
      <c r="C236" s="17">
        <f>C229/C234*100</f>
        <v>100</v>
      </c>
      <c r="D236" s="17">
        <f>D230/D234*100</f>
        <v>77.056644006492576</v>
      </c>
      <c r="E236" s="17">
        <f>E231/E234*100</f>
        <v>97.628085163154438</v>
      </c>
      <c r="F236" s="17">
        <f>F232/F234*100</f>
        <v>88.488585329707902</v>
      </c>
      <c r="G236" s="17">
        <f>G233/G234*100</f>
        <v>87.255723061204819</v>
      </c>
      <c r="H236" s="1"/>
      <c r="T236" s="57">
        <f>T74</f>
        <v>2090.67</v>
      </c>
      <c r="U236" s="57">
        <f>U74</f>
        <v>8696.236510589908</v>
      </c>
      <c r="V236" s="57">
        <f>V74</f>
        <v>90438.693512235477</v>
      </c>
      <c r="W236" s="57">
        <f>W74</f>
        <v>39088.179665058029</v>
      </c>
      <c r="X236" s="57">
        <f>X74</f>
        <v>15571.860312116605</v>
      </c>
      <c r="AB236">
        <v>15</v>
      </c>
      <c r="AC236">
        <v>466</v>
      </c>
      <c r="AD236">
        <v>461</v>
      </c>
      <c r="AE236">
        <v>450</v>
      </c>
    </row>
    <row r="237" spans="1:48" x14ac:dyDescent="0.3">
      <c r="B237" s="16" t="s">
        <v>39</v>
      </c>
      <c r="C237" s="18">
        <f>SQRT((C240+C241)/(C234*C234))</f>
        <v>0</v>
      </c>
      <c r="D237" s="18">
        <f>SQRT((D240+D241)/(D234*D234))</f>
        <v>3.4838176853249712</v>
      </c>
      <c r="E237" s="18">
        <f>SQRT((E240+E241)/(E234*E234))</f>
        <v>0.23632678256876347</v>
      </c>
      <c r="F237" s="18">
        <f>SQRT((F240+F241)/(F234*F234))</f>
        <v>0.88200605924101483</v>
      </c>
      <c r="G237" s="18">
        <f>SQRT((G240+G241)/(G234*G234))</f>
        <v>2.562191722391558</v>
      </c>
      <c r="H237" s="1"/>
      <c r="T237" s="57">
        <f>T84</f>
        <v>2069.8433333333332</v>
      </c>
      <c r="U237" s="57">
        <f>U84</f>
        <v>8728.7565806621551</v>
      </c>
      <c r="V237" s="57">
        <f>V84</f>
        <v>91576.682974620184</v>
      </c>
      <c r="W237" s="57">
        <f>W84</f>
        <v>38235.278306789754</v>
      </c>
      <c r="X237" s="57">
        <f>X84</f>
        <v>15275.078804594565</v>
      </c>
      <c r="AB237">
        <v>16</v>
      </c>
      <c r="AC237">
        <v>495</v>
      </c>
      <c r="AD237">
        <v>490</v>
      </c>
      <c r="AE237">
        <v>479</v>
      </c>
      <c r="AN237" s="78"/>
      <c r="AO237" s="78"/>
    </row>
    <row r="238" spans="1:48" x14ac:dyDescent="0.3">
      <c r="B238" s="1" t="s">
        <v>37</v>
      </c>
      <c r="C238" s="18">
        <f>100-C236</f>
        <v>0</v>
      </c>
      <c r="D238" s="18">
        <f>100-D236</f>
        <v>22.943355993507424</v>
      </c>
      <c r="E238" s="18">
        <f>100-E236</f>
        <v>2.371914836845562</v>
      </c>
      <c r="F238" s="18">
        <f>100-F236</f>
        <v>11.511414670292098</v>
      </c>
      <c r="G238" s="18">
        <f>100-G236</f>
        <v>12.744276938795181</v>
      </c>
      <c r="T238" s="57">
        <f>T94</f>
        <v>2098.42</v>
      </c>
      <c r="U238" s="57">
        <f>U94</f>
        <v>9238.3287790254399</v>
      </c>
      <c r="V238" s="57">
        <f>V94</f>
        <v>90392.194356691602</v>
      </c>
      <c r="W238" s="57">
        <f>W94</f>
        <v>38827.486821291277</v>
      </c>
      <c r="X238" s="57">
        <f>X94</f>
        <v>15329.210042991685</v>
      </c>
      <c r="AB238">
        <v>17</v>
      </c>
      <c r="AC238">
        <v>524</v>
      </c>
      <c r="AD238">
        <v>519</v>
      </c>
      <c r="AE238">
        <v>508</v>
      </c>
    </row>
    <row r="239" spans="1:48" ht="15.6" x14ac:dyDescent="0.35">
      <c r="B239" s="1" t="s">
        <v>25</v>
      </c>
      <c r="C239" s="1">
        <f>C223</f>
        <v>90</v>
      </c>
      <c r="D239" s="1">
        <f>D223</f>
        <v>327</v>
      </c>
      <c r="E239" s="1">
        <f>E223</f>
        <v>5858</v>
      </c>
      <c r="F239" s="1">
        <f>F223</f>
        <v>2329</v>
      </c>
      <c r="G239" s="1">
        <f>G223</f>
        <v>681</v>
      </c>
      <c r="T239" s="57">
        <f>T104</f>
        <v>2085.4499999999998</v>
      </c>
      <c r="U239" s="57">
        <f>U104</f>
        <v>9524.0776304506708</v>
      </c>
      <c r="V239" s="57">
        <f>V104</f>
        <v>90293.505429979035</v>
      </c>
      <c r="W239" s="57">
        <f>W104</f>
        <v>38858.641201198006</v>
      </c>
      <c r="X239" s="57">
        <f>X104</f>
        <v>15123.965738372279</v>
      </c>
      <c r="AB239">
        <v>18</v>
      </c>
      <c r="AC239">
        <v>553</v>
      </c>
      <c r="AD239">
        <v>548</v>
      </c>
      <c r="AE239">
        <v>537</v>
      </c>
      <c r="AN239" s="78"/>
      <c r="AO239" s="78"/>
    </row>
    <row r="240" spans="1:48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348.49626059251869</v>
      </c>
      <c r="E240" s="18">
        <f>(O231*O231*(100-E236)*(100-E236)*(I231)*(100-I231))/((L231-1)*100)</f>
        <v>10.541818783286693</v>
      </c>
      <c r="F240" s="18">
        <f>(O232*O232*(100-F236)*(100-F236)*(I232)*(100-I232))/((L232-1)*100)</f>
        <v>220.61591574264963</v>
      </c>
      <c r="G240" s="18">
        <f>(O233*O233*(100-G236)*(100-G236)*(I233)*(100-I233))/((L233-1)*100)</f>
        <v>532.39475032935854</v>
      </c>
      <c r="T240" s="57">
        <f>T114</f>
        <v>2073.84</v>
      </c>
      <c r="U240" s="57">
        <f>U114</f>
        <v>8804.1998194472835</v>
      </c>
      <c r="V240" s="57">
        <f>V114</f>
        <v>90783.142623800377</v>
      </c>
      <c r="W240" s="57">
        <f>W114</f>
        <v>39133.860484095552</v>
      </c>
      <c r="X240" s="57">
        <f>X114</f>
        <v>15090.607072656792</v>
      </c>
      <c r="AB240">
        <v>19</v>
      </c>
      <c r="AC240">
        <v>582</v>
      </c>
      <c r="AD240">
        <v>577</v>
      </c>
      <c r="AE240">
        <v>566</v>
      </c>
    </row>
    <row r="241" spans="1:41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77.774404435272203</v>
      </c>
      <c r="E241" s="18">
        <f>E236*E236*(SUM((H229*E229*(1-E218/H218))/(H218-1),(H230*E230*(1-E219/H219))/(H219-1), (H232*E232*(1-E221/H221))/(H221-1),(H233*E233*(1-E222/H222))/(H222-1)))</f>
        <v>177.24950480776712</v>
      </c>
      <c r="F241" s="18">
        <f>F236*F236*(SUM((H229*F229*(1-F218/H218))/(H218-1),(H230*F230*(1-F219/H219))/(H219-1), (H231*F231*(1-F220/H220))/(H220-1),(H233*F233*(1-F222/H222))/(H222-1)))</f>
        <v>262.00871083666607</v>
      </c>
      <c r="G241" s="18">
        <f>G236*G236*(SUM((H229*G229*(1-G218/H218))/(H218-1),(H230*G230*(1-G219/H219))/(H219-1), (H231*G231*(1-G220/H220))/(H220-1),(H232*G232*(1-G221/H221))/(H221-1)))</f>
        <v>102.42521489757561</v>
      </c>
      <c r="T241" s="57">
        <f>T124</f>
        <v>2124.9800000000005</v>
      </c>
      <c r="U241" s="57">
        <f>U124</f>
        <v>8224.541848906294</v>
      </c>
      <c r="V241" s="57">
        <f>V124</f>
        <v>90830.714400734272</v>
      </c>
      <c r="W241" s="57">
        <f>W124</f>
        <v>38927.410752196985</v>
      </c>
      <c r="X241" s="57">
        <f>X124</f>
        <v>15777.992998162437</v>
      </c>
      <c r="AB241">
        <v>20</v>
      </c>
      <c r="AC241">
        <v>611</v>
      </c>
      <c r="AD241">
        <v>606</v>
      </c>
      <c r="AE241">
        <v>595</v>
      </c>
      <c r="AN241" s="78"/>
      <c r="AO241" s="78"/>
    </row>
    <row r="242" spans="1:41" x14ac:dyDescent="0.3">
      <c r="T242" s="57">
        <f>T134</f>
        <v>2104.5400000000004</v>
      </c>
      <c r="U242" s="57">
        <f>U134</f>
        <v>8893.0717580622168</v>
      </c>
      <c r="V242" s="57">
        <f>V134</f>
        <v>90478.495649747958</v>
      </c>
      <c r="W242" s="57">
        <f>W134</f>
        <v>39046.897492276737</v>
      </c>
      <c r="X242" s="57">
        <f>X134</f>
        <v>15362.635099913077</v>
      </c>
      <c r="AB242">
        <v>21</v>
      </c>
      <c r="AC242">
        <v>640</v>
      </c>
      <c r="AD242">
        <v>635</v>
      </c>
      <c r="AE242">
        <v>624</v>
      </c>
    </row>
    <row r="243" spans="1:41" x14ac:dyDescent="0.3">
      <c r="T243" s="57">
        <f>T144</f>
        <v>2110.5700000000002</v>
      </c>
      <c r="U243" s="57">
        <f>U144</f>
        <v>9490.4877426144467</v>
      </c>
      <c r="V243" s="57">
        <f>V144</f>
        <v>90799.698803987441</v>
      </c>
      <c r="W243" s="57">
        <f>W144</f>
        <v>38619.958979930692</v>
      </c>
      <c r="X243" s="57">
        <f>X144</f>
        <v>14864.924473467407</v>
      </c>
      <c r="AB243">
        <v>22</v>
      </c>
      <c r="AC243">
        <v>669</v>
      </c>
      <c r="AD243">
        <v>664</v>
      </c>
      <c r="AE243">
        <v>653</v>
      </c>
      <c r="AN243" s="78"/>
      <c r="AO243" s="78"/>
    </row>
    <row r="244" spans="1:41" x14ac:dyDescent="0.3">
      <c r="A244" s="361" t="s">
        <v>429</v>
      </c>
      <c r="B244" s="361"/>
      <c r="C244" s="361"/>
      <c r="D244" s="361"/>
      <c r="E244" s="361"/>
      <c r="F244" s="361"/>
      <c r="G244" s="361"/>
      <c r="H244" s="361"/>
      <c r="I244" s="361"/>
      <c r="J244" s="361"/>
      <c r="K244" s="361"/>
      <c r="L244" s="361" t="s">
        <v>86</v>
      </c>
      <c r="M244" s="361"/>
      <c r="N244" s="361"/>
      <c r="O244" s="361"/>
      <c r="P244" s="361"/>
      <c r="T244" s="57">
        <f>T154</f>
        <v>2090.85</v>
      </c>
      <c r="U244" s="57">
        <f>U154</f>
        <v>8647.1614217212264</v>
      </c>
      <c r="V244" s="57">
        <f>V154</f>
        <v>90623.504734083617</v>
      </c>
      <c r="W244" s="57">
        <f>W154</f>
        <v>39166.180058735481</v>
      </c>
      <c r="X244" s="57">
        <f>X154</f>
        <v>15357.933785459678</v>
      </c>
      <c r="AB244">
        <v>23</v>
      </c>
      <c r="AC244">
        <v>698</v>
      </c>
      <c r="AD244">
        <v>693</v>
      </c>
      <c r="AE244">
        <v>682</v>
      </c>
    </row>
    <row r="245" spans="1:41" x14ac:dyDescent="0.3">
      <c r="A245" t="s">
        <v>320</v>
      </c>
      <c r="B245" t="s">
        <v>21</v>
      </c>
      <c r="I245" s="1" t="s">
        <v>58</v>
      </c>
      <c r="O245" s="143"/>
      <c r="P245" s="143"/>
      <c r="T245" s="57">
        <f>T164</f>
        <v>2083.92</v>
      </c>
      <c r="U245" s="57">
        <f>U164</f>
        <v>8810.1450407040429</v>
      </c>
      <c r="V245" s="57">
        <f>V164</f>
        <v>90589.809840934759</v>
      </c>
      <c r="W245" s="57">
        <f>W164</f>
        <v>39066.694927040298</v>
      </c>
      <c r="X245" s="57">
        <f>X164</f>
        <v>15335.080191320892</v>
      </c>
      <c r="AB245">
        <v>24</v>
      </c>
      <c r="AC245">
        <v>727</v>
      </c>
      <c r="AD245">
        <v>722</v>
      </c>
      <c r="AE245">
        <v>711</v>
      </c>
      <c r="AN245" s="78"/>
      <c r="AO245" s="78"/>
    </row>
    <row r="246" spans="1:41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56</v>
      </c>
      <c r="O246" s="13"/>
      <c r="P246" s="13"/>
      <c r="T246" s="57">
        <f>T174</f>
        <v>2104.36</v>
      </c>
      <c r="U246" s="57">
        <f>U174</f>
        <v>8610.3620726003246</v>
      </c>
      <c r="V246" s="57">
        <f>V174</f>
        <v>91180.751286714425</v>
      </c>
      <c r="W246" s="57">
        <f>W174</f>
        <v>39076.310763963003</v>
      </c>
      <c r="X246" s="57">
        <f>X174</f>
        <v>14913.865876722215</v>
      </c>
      <c r="AB246">
        <v>25</v>
      </c>
      <c r="AC246">
        <v>756</v>
      </c>
      <c r="AD246">
        <v>751</v>
      </c>
      <c r="AE246">
        <v>740</v>
      </c>
    </row>
    <row r="247" spans="1:41" x14ac:dyDescent="0.3">
      <c r="A247" t="s">
        <v>3</v>
      </c>
      <c r="B247" s="13">
        <v>0</v>
      </c>
      <c r="C247" s="26">
        <v>90</v>
      </c>
      <c r="D247" s="3">
        <v>0</v>
      </c>
      <c r="E247" s="3">
        <v>0</v>
      </c>
      <c r="F247" s="3">
        <v>0</v>
      </c>
      <c r="G247" s="4">
        <v>0</v>
      </c>
      <c r="H247" s="1">
        <f>SUM(C247:G247)</f>
        <v>90</v>
      </c>
      <c r="I247" s="10">
        <f>C247/H247</f>
        <v>1</v>
      </c>
      <c r="J247" s="11">
        <f>1-I247</f>
        <v>0</v>
      </c>
      <c r="K247">
        <f>H247-C252</f>
        <v>0</v>
      </c>
      <c r="N247" s="10">
        <f>2*(C253*I247)/(C253+I247)</f>
        <v>1</v>
      </c>
      <c r="O247" s="1"/>
      <c r="P247" s="1"/>
      <c r="T247" s="57">
        <f>T184</f>
        <v>2072.5700000000002</v>
      </c>
      <c r="U247" s="57">
        <f>U184</f>
        <v>8792.9252748985728</v>
      </c>
      <c r="V247" s="57">
        <f>V184</f>
        <v>90952.136564282657</v>
      </c>
      <c r="W247" s="57">
        <f>W184</f>
        <v>38630.591674969066</v>
      </c>
      <c r="X247" s="57">
        <f>X184</f>
        <v>15437.406485849686</v>
      </c>
      <c r="AB247">
        <v>26</v>
      </c>
      <c r="AC247">
        <v>785</v>
      </c>
      <c r="AD247">
        <v>780</v>
      </c>
      <c r="AE247">
        <v>769</v>
      </c>
      <c r="AN247" s="78"/>
      <c r="AO247" s="78"/>
    </row>
    <row r="248" spans="1:41" x14ac:dyDescent="0.3">
      <c r="A248" t="s">
        <v>4</v>
      </c>
      <c r="B248" s="13">
        <v>1</v>
      </c>
      <c r="C248" s="5">
        <v>0</v>
      </c>
      <c r="D248" s="27">
        <v>194</v>
      </c>
      <c r="E248" s="1">
        <v>4</v>
      </c>
      <c r="F248" s="1">
        <v>0</v>
      </c>
      <c r="G248" s="6">
        <v>3</v>
      </c>
      <c r="H248" s="1">
        <f>SUM(C248:G248)</f>
        <v>201</v>
      </c>
      <c r="I248" s="10">
        <f>D248/H248</f>
        <v>0.96517412935323388</v>
      </c>
      <c r="J248" s="11">
        <f>1-I248</f>
        <v>3.4825870646766122E-2</v>
      </c>
      <c r="K248">
        <f>H248-D252</f>
        <v>-139</v>
      </c>
      <c r="N248" s="10">
        <f>2*(D253*I248)/(D253+I248)</f>
        <v>0.71719038817005543</v>
      </c>
      <c r="O248" s="1"/>
      <c r="P248" s="1"/>
      <c r="T248" s="57">
        <f>T194</f>
        <v>2096.61</v>
      </c>
      <c r="U248" s="57">
        <f>U194</f>
        <v>8654.410773114545</v>
      </c>
      <c r="V248" s="57">
        <f>V194</f>
        <v>91131.229254039994</v>
      </c>
      <c r="W248" s="57">
        <f>W194</f>
        <v>38755.534448075574</v>
      </c>
      <c r="X248" s="57">
        <f>X194</f>
        <v>15247.8455247699</v>
      </c>
      <c r="AB248">
        <v>27</v>
      </c>
      <c r="AC248">
        <v>814</v>
      </c>
      <c r="AD248">
        <v>809</v>
      </c>
      <c r="AE248">
        <v>798</v>
      </c>
    </row>
    <row r="249" spans="1:41" x14ac:dyDescent="0.3">
      <c r="A249" t="s">
        <v>5</v>
      </c>
      <c r="B249" s="13">
        <v>2</v>
      </c>
      <c r="C249" s="5">
        <v>0</v>
      </c>
      <c r="D249" s="1">
        <v>139</v>
      </c>
      <c r="E249" s="27">
        <v>5749</v>
      </c>
      <c r="F249" s="1">
        <v>40</v>
      </c>
      <c r="G249" s="6">
        <v>22</v>
      </c>
      <c r="H249" s="1">
        <f>SUM(C249:G249)</f>
        <v>5950</v>
      </c>
      <c r="I249" s="10">
        <f>E249/H249</f>
        <v>0.96621848739495797</v>
      </c>
      <c r="J249" s="11">
        <f>1-I249</f>
        <v>3.378151260504203E-2</v>
      </c>
      <c r="K249">
        <f>H249-E252</f>
        <v>97</v>
      </c>
      <c r="N249" s="10">
        <f>2*(E253*I249)/(E253+I249)</f>
        <v>0.9741591120901465</v>
      </c>
      <c r="O249" s="1"/>
      <c r="P249" s="1"/>
      <c r="T249" s="57">
        <f>T204</f>
        <v>2089.6112222222223</v>
      </c>
      <c r="U249" s="57">
        <f>U204</f>
        <v>9147.892180188881</v>
      </c>
      <c r="V249" s="57">
        <f>V204</f>
        <v>90004.755254203235</v>
      </c>
      <c r="W249" s="57">
        <f>W204</f>
        <v>39218.10007036633</v>
      </c>
      <c r="X249" s="57">
        <f>X204</f>
        <v>15425.281273019307</v>
      </c>
      <c r="AB249">
        <v>28</v>
      </c>
      <c r="AC249">
        <v>843</v>
      </c>
      <c r="AD249">
        <v>838</v>
      </c>
      <c r="AE249">
        <v>827</v>
      </c>
      <c r="AN249" s="78"/>
      <c r="AO249" s="78"/>
    </row>
    <row r="250" spans="1:41" x14ac:dyDescent="0.3">
      <c r="A250" t="s">
        <v>6</v>
      </c>
      <c r="B250" s="13">
        <v>3</v>
      </c>
      <c r="C250" s="5">
        <v>0</v>
      </c>
      <c r="D250" s="1">
        <v>1</v>
      </c>
      <c r="E250" s="1">
        <v>90</v>
      </c>
      <c r="F250" s="27">
        <v>2110</v>
      </c>
      <c r="G250" s="6">
        <v>92</v>
      </c>
      <c r="H250" s="1">
        <f>SUM(C250:G250)</f>
        <v>2293</v>
      </c>
      <c r="I250" s="10">
        <f>F250/H250</f>
        <v>0.92019188835586563</v>
      </c>
      <c r="J250" s="11">
        <f>1-I250</f>
        <v>7.9808111644134372E-2</v>
      </c>
      <c r="K250">
        <f>H250-F252</f>
        <v>-37</v>
      </c>
      <c r="N250" s="10">
        <f>2*(F253*I250)/(F253+I250)</f>
        <v>0.91282716850529955</v>
      </c>
      <c r="O250" s="1"/>
      <c r="P250" s="1"/>
      <c r="T250" s="57">
        <f>T214</f>
        <v>2053.4574444444447</v>
      </c>
      <c r="U250" s="57">
        <f>U214</f>
        <v>9053.4117836716978</v>
      </c>
      <c r="V250" s="57">
        <f>V214</f>
        <v>90597.876599836163</v>
      </c>
      <c r="W250" s="57">
        <f>W214</f>
        <v>38824.111195290934</v>
      </c>
      <c r="X250" s="57">
        <f>X214</f>
        <v>15356.772976756771</v>
      </c>
      <c r="AB250">
        <v>29</v>
      </c>
      <c r="AC250">
        <v>872</v>
      </c>
      <c r="AD250">
        <v>867</v>
      </c>
      <c r="AE250">
        <v>856</v>
      </c>
    </row>
    <row r="251" spans="1:41" x14ac:dyDescent="0.3">
      <c r="A251" t="s">
        <v>7</v>
      </c>
      <c r="B251" s="13">
        <v>4</v>
      </c>
      <c r="C251" s="7">
        <v>0</v>
      </c>
      <c r="D251" s="8">
        <v>6</v>
      </c>
      <c r="E251" s="8">
        <v>10</v>
      </c>
      <c r="F251" s="8">
        <v>180</v>
      </c>
      <c r="G251" s="28">
        <v>555</v>
      </c>
      <c r="H251" s="1">
        <f>SUM(C251:G251)</f>
        <v>751</v>
      </c>
      <c r="I251" s="10">
        <f>G251/H251</f>
        <v>0.73901464713715048</v>
      </c>
      <c r="J251" s="11">
        <f>1-I251</f>
        <v>0.26098535286284952</v>
      </c>
      <c r="K251">
        <f>H251-G252</f>
        <v>79</v>
      </c>
      <c r="N251" s="10">
        <f>2*(G253*I251)/(G253+I251)</f>
        <v>0.78004216444132113</v>
      </c>
      <c r="O251" s="1"/>
      <c r="P251" s="1"/>
      <c r="AN251" s="78"/>
      <c r="AO251" s="78"/>
    </row>
    <row r="252" spans="1:41" ht="15.6" x14ac:dyDescent="0.35">
      <c r="B252" s="1" t="s">
        <v>19</v>
      </c>
      <c r="C252" s="1">
        <f>SUM(C247:C251)</f>
        <v>90</v>
      </c>
      <c r="D252" s="1">
        <f>SUM(D247:D251)</f>
        <v>340</v>
      </c>
      <c r="E252" s="1">
        <f>SUM(E247:E251)</f>
        <v>5853</v>
      </c>
      <c r="F252" s="1">
        <f>SUM(F247:F251)</f>
        <v>2330</v>
      </c>
      <c r="G252" s="1">
        <f>SUM(G247:G251)</f>
        <v>672</v>
      </c>
      <c r="H252" s="1">
        <f>SUM(H246:H251)</f>
        <v>9285</v>
      </c>
      <c r="I252" s="13" t="s">
        <v>12</v>
      </c>
      <c r="N252" s="16"/>
      <c r="O252" s="1"/>
      <c r="P252" s="1"/>
    </row>
    <row r="253" spans="1:41" x14ac:dyDescent="0.3">
      <c r="A253" s="1" t="s">
        <v>321</v>
      </c>
      <c r="B253" s="1" t="s">
        <v>2</v>
      </c>
      <c r="C253" s="10">
        <f>C247/C252</f>
        <v>1</v>
      </c>
      <c r="D253" s="10">
        <f>D248/D252</f>
        <v>0.57058823529411762</v>
      </c>
      <c r="E253" s="10">
        <f>E249/E252</f>
        <v>0.98223133435844867</v>
      </c>
      <c r="F253" s="10">
        <f>F250/F252</f>
        <v>0.90557939914163088</v>
      </c>
      <c r="G253" s="10">
        <f>G251/G252</f>
        <v>0.8258928571428571</v>
      </c>
      <c r="H253" s="10"/>
      <c r="I253" s="14">
        <f>(C247+D248+E249+F250+G251)/H252</f>
        <v>0.93677975228863763</v>
      </c>
      <c r="AN253" s="78"/>
      <c r="AO253" s="78"/>
    </row>
    <row r="254" spans="1:41" x14ac:dyDescent="0.3">
      <c r="B254" s="1" t="s">
        <v>14</v>
      </c>
      <c r="C254" s="11">
        <f>1-C253</f>
        <v>0</v>
      </c>
      <c r="D254" s="11">
        <f>1-D253</f>
        <v>0.42941176470588238</v>
      </c>
      <c r="E254" s="11">
        <f>1-E253</f>
        <v>1.7768665641551329E-2</v>
      </c>
      <c r="F254" s="11">
        <f>1-F253</f>
        <v>9.4420600858369119E-2</v>
      </c>
      <c r="G254" s="11">
        <f>1-G253</f>
        <v>0.1741071428571429</v>
      </c>
    </row>
    <row r="255" spans="1:41" x14ac:dyDescent="0.3">
      <c r="C255" s="2"/>
      <c r="AN255" s="78"/>
      <c r="AO255" s="78"/>
    </row>
    <row r="256" spans="1:41" ht="15.6" x14ac:dyDescent="0.35">
      <c r="A256" t="s">
        <v>322</v>
      </c>
      <c r="B256" s="15" t="s">
        <v>23</v>
      </c>
      <c r="N256" s="12" t="s">
        <v>17</v>
      </c>
      <c r="O256" s="1" t="s">
        <v>27</v>
      </c>
      <c r="P256" s="1" t="s">
        <v>33</v>
      </c>
    </row>
    <row r="257" spans="1:41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N257" s="78"/>
      <c r="AO257" s="78"/>
    </row>
    <row r="258" spans="1:41" x14ac:dyDescent="0.3">
      <c r="A258" t="s">
        <v>3</v>
      </c>
      <c r="B258" s="13">
        <v>0</v>
      </c>
      <c r="C258" s="29">
        <f>(C247/$L258)*$O258</f>
        <v>1.3378076389845786</v>
      </c>
      <c r="D258" s="31">
        <f>(D247/$L258)*$O258</f>
        <v>0</v>
      </c>
      <c r="E258" s="31">
        <f>(E247/$L258)*$O258</f>
        <v>0</v>
      </c>
      <c r="F258" s="31">
        <f>(F247/$L258)*$O258</f>
        <v>0</v>
      </c>
      <c r="G258" s="32">
        <f>(G247/$L258)*$O258</f>
        <v>0</v>
      </c>
      <c r="H258" s="17">
        <f>SUM(C258:G258)</f>
        <v>1.3378076389845786</v>
      </c>
      <c r="I258" s="17">
        <f>C258/H258*100</f>
        <v>100</v>
      </c>
      <c r="J258" s="17">
        <f>SQRT(I258*(100-I258)/(L258-1))</f>
        <v>0</v>
      </c>
      <c r="K258" s="18">
        <f>100-I258</f>
        <v>0</v>
      </c>
      <c r="L258" s="1">
        <f>H247</f>
        <v>90</v>
      </c>
      <c r="M258">
        <v>0</v>
      </c>
      <c r="N258" s="1">
        <v>2085.4499999999998</v>
      </c>
      <c r="O258" s="17">
        <f>N258/N263*100</f>
        <v>1.3378076389845786</v>
      </c>
      <c r="P258" s="52">
        <f>((O258*O258*(I258/100)*(K258/100))/(L258-1))</f>
        <v>0</v>
      </c>
    </row>
    <row r="259" spans="1:41" x14ac:dyDescent="0.3">
      <c r="A259" t="s">
        <v>4</v>
      </c>
      <c r="B259" s="13">
        <v>1</v>
      </c>
      <c r="C259" s="33">
        <f t="shared" ref="C259:G262" si="38">(C248/$L259)*$O259</f>
        <v>0</v>
      </c>
      <c r="D259" s="34">
        <f t="shared" si="38"/>
        <v>4.6358382780827201</v>
      </c>
      <c r="E259" s="19">
        <f t="shared" si="38"/>
        <v>9.5584294393458141E-2</v>
      </c>
      <c r="F259" s="18">
        <f t="shared" si="38"/>
        <v>0</v>
      </c>
      <c r="G259" s="20">
        <f t="shared" si="38"/>
        <v>7.1688220795093613E-2</v>
      </c>
      <c r="H259" s="17">
        <f>SUM(C259:G259)</f>
        <v>4.8031107932712711</v>
      </c>
      <c r="I259" s="17">
        <f>D259/H259*100</f>
        <v>96.517412935323392</v>
      </c>
      <c r="J259" s="17">
        <f>SQRT(I259*(100-I259)/(L259-1))</f>
        <v>1.2963994249547628</v>
      </c>
      <c r="K259" s="18">
        <f>100-I259</f>
        <v>3.4825870646766077</v>
      </c>
      <c r="L259" s="1">
        <f>H248</f>
        <v>201</v>
      </c>
      <c r="M259">
        <v>1</v>
      </c>
      <c r="N259" s="1">
        <v>7487.36</v>
      </c>
      <c r="O259" s="17">
        <f>N259/N263*100</f>
        <v>4.803110793271272</v>
      </c>
      <c r="P259" s="52">
        <f>((O259*O259*(I259/100)*(K259/100))/(L259-1))</f>
        <v>3.8772416439112976E-3</v>
      </c>
      <c r="AN259" s="78"/>
      <c r="AO259" s="78"/>
    </row>
    <row r="260" spans="1:41" x14ac:dyDescent="0.3">
      <c r="A260" t="s">
        <v>5</v>
      </c>
      <c r="B260" s="13">
        <v>2</v>
      </c>
      <c r="C260" s="33">
        <f t="shared" si="38"/>
        <v>0</v>
      </c>
      <c r="D260" s="19">
        <f t="shared" si="38"/>
        <v>1.3719992306620448</v>
      </c>
      <c r="E260" s="34">
        <f t="shared" si="38"/>
        <v>56.74549336025968</v>
      </c>
      <c r="F260" s="19">
        <f t="shared" si="38"/>
        <v>0.39481992249267478</v>
      </c>
      <c r="G260" s="20">
        <f t="shared" si="38"/>
        <v>0.21715095737097112</v>
      </c>
      <c r="H260" s="17">
        <f>SUM(C260:G260)</f>
        <v>58.729463470785369</v>
      </c>
      <c r="I260" s="17">
        <f>E260/H260*100</f>
        <v>96.621848739495803</v>
      </c>
      <c r="J260" s="17">
        <f>SQRT(I260*(100-I260)/(L260-1))</f>
        <v>0.23423685743494932</v>
      </c>
      <c r="K260" s="18">
        <f>100-I260</f>
        <v>3.3781512605041968</v>
      </c>
      <c r="L260" s="1">
        <f>H249</f>
        <v>5950</v>
      </c>
      <c r="M260">
        <v>2</v>
      </c>
      <c r="N260" s="1">
        <v>91550.8</v>
      </c>
      <c r="O260" s="17">
        <f>N260/N263*100</f>
        <v>58.729463470785369</v>
      </c>
      <c r="P260" s="52">
        <f>((O260*O260*(I260/100)*(K260/100))/(L260-1))</f>
        <v>1.892441800870551E-2</v>
      </c>
    </row>
    <row r="261" spans="1:41" x14ac:dyDescent="0.3">
      <c r="A261" t="s">
        <v>6</v>
      </c>
      <c r="B261" s="13">
        <v>3</v>
      </c>
      <c r="C261" s="33">
        <f t="shared" si="38"/>
        <v>0</v>
      </c>
      <c r="D261" s="19">
        <f t="shared" si="38"/>
        <v>1.0326086594837202E-2</v>
      </c>
      <c r="E261" s="19">
        <f t="shared" si="38"/>
        <v>0.92934779353534813</v>
      </c>
      <c r="F261" s="34">
        <f t="shared" si="38"/>
        <v>21.788042715106492</v>
      </c>
      <c r="G261" s="20">
        <f t="shared" si="38"/>
        <v>0.94999996672502252</v>
      </c>
      <c r="H261" s="17">
        <f>SUM(C261:G261)</f>
        <v>23.677716561961702</v>
      </c>
      <c r="I261" s="17">
        <f>F261/H261*100</f>
        <v>92.019188835586561</v>
      </c>
      <c r="J261" s="17">
        <f>SQRT(I261*(100-I261)/(L261-1))</f>
        <v>0.56605080341042457</v>
      </c>
      <c r="K261" s="18">
        <f>100-I261</f>
        <v>7.9808111644134385</v>
      </c>
      <c r="L261" s="1">
        <f>H250</f>
        <v>2293</v>
      </c>
      <c r="M261">
        <v>3</v>
      </c>
      <c r="N261" s="1">
        <v>36910.160000000003</v>
      </c>
      <c r="O261" s="17">
        <f>N261/N263*100</f>
        <v>23.677716561961702</v>
      </c>
      <c r="P261" s="52">
        <f>((O261*O261*(I261/100)*(K261/100))/(L261-1))</f>
        <v>1.7963479272644373E-2</v>
      </c>
      <c r="AN261" s="78"/>
      <c r="AO261" s="78"/>
    </row>
    <row r="262" spans="1:41" x14ac:dyDescent="0.3">
      <c r="A262" t="s">
        <v>7</v>
      </c>
      <c r="B262" s="13">
        <v>4</v>
      </c>
      <c r="C262" s="35">
        <f t="shared" si="38"/>
        <v>0</v>
      </c>
      <c r="D262" s="36">
        <f t="shared" si="38"/>
        <v>9.1493221318218881E-2</v>
      </c>
      <c r="E262" s="21">
        <f t="shared" si="38"/>
        <v>0.15248870219703145</v>
      </c>
      <c r="F262" s="21">
        <f t="shared" si="38"/>
        <v>2.7447966395465664</v>
      </c>
      <c r="G262" s="37">
        <f t="shared" si="38"/>
        <v>8.4631229719352472</v>
      </c>
      <c r="H262" s="17">
        <f>SUM(C262:G262)</f>
        <v>11.451901534997063</v>
      </c>
      <c r="I262" s="17">
        <f>G262/H262*100</f>
        <v>73.901464713715058</v>
      </c>
      <c r="J262" s="17">
        <f>SQRT(I262*(100-I262)/(L262-1))</f>
        <v>1.60362921090009</v>
      </c>
      <c r="K262" s="18">
        <f>100-I262</f>
        <v>26.098535286284942</v>
      </c>
      <c r="L262" s="1">
        <f>H251</f>
        <v>751</v>
      </c>
      <c r="M262">
        <v>4</v>
      </c>
      <c r="N262" s="1">
        <v>17851.87</v>
      </c>
      <c r="O262" s="17">
        <f>N262/N263*100</f>
        <v>11.451901534997063</v>
      </c>
      <c r="P262" s="52">
        <f>((O262*O262*(I262/100)*(K262/100))/(L262-1))</f>
        <v>3.372586735343476E-2</v>
      </c>
    </row>
    <row r="263" spans="1:41" x14ac:dyDescent="0.3">
      <c r="B263" t="s">
        <v>28</v>
      </c>
      <c r="C263" s="17">
        <f>SUM(C258:C262)</f>
        <v>1.3378076389845786</v>
      </c>
      <c r="D263" s="17">
        <f>SUM(D258:D262)</f>
        <v>6.1096568166578207</v>
      </c>
      <c r="E263" s="17">
        <f>SUM(E258:E262)</f>
        <v>57.922914150385523</v>
      </c>
      <c r="F263" s="17">
        <f>SUM(F258:F262)</f>
        <v>24.927659277145736</v>
      </c>
      <c r="G263" s="17">
        <f>SUM(G258:G262)</f>
        <v>9.7019621168263335</v>
      </c>
      <c r="H263" s="1">
        <f>SUM(H257:H262)</f>
        <v>99.999999999999986</v>
      </c>
      <c r="I263" s="13" t="s">
        <v>24</v>
      </c>
      <c r="J263" s="12" t="s">
        <v>29</v>
      </c>
      <c r="N263" s="1">
        <f>SUM(N258:N262)</f>
        <v>155885.64000000001</v>
      </c>
      <c r="O263" s="17">
        <f>SUM(O258:O262)</f>
        <v>99.999999999999986</v>
      </c>
      <c r="AM263" s="78"/>
      <c r="AN263" s="78"/>
      <c r="AO263" s="78"/>
    </row>
    <row r="264" spans="1:41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0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0.1362883130162133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0.18075965653179127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0.23162410879819026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0.21661051216341776</v>
      </c>
      <c r="H264" s="1"/>
      <c r="I264" s="56">
        <f>(C258+D259+E260+F261+G262)/H263</f>
        <v>0.92970304964368733</v>
      </c>
      <c r="J264" s="53">
        <f>SQRT(SUM(P258:P262))/100</f>
        <v>2.7293040555917535E-3</v>
      </c>
      <c r="M264" s="1"/>
      <c r="N264" s="9"/>
    </row>
    <row r="265" spans="1:41" x14ac:dyDescent="0.3">
      <c r="B265" s="1" t="s">
        <v>30</v>
      </c>
      <c r="C265" s="17">
        <f>C258/C263*100</f>
        <v>100</v>
      </c>
      <c r="D265" s="17">
        <f>D259/D263*100</f>
        <v>75.877228741280973</v>
      </c>
      <c r="E265" s="17">
        <f>E260/E263*100</f>
        <v>97.967262511915578</v>
      </c>
      <c r="F265" s="17">
        <f>F261/F263*100</f>
        <v>87.40508875248581</v>
      </c>
      <c r="G265" s="17">
        <f>G262/G263*100</f>
        <v>87.231045329041848</v>
      </c>
      <c r="H265" s="1"/>
      <c r="AM265" s="78"/>
      <c r="AN265" s="78"/>
      <c r="AO265" s="78"/>
    </row>
    <row r="266" spans="1:41" x14ac:dyDescent="0.3">
      <c r="B266" s="16" t="s">
        <v>39</v>
      </c>
      <c r="C266" s="18">
        <f>SQRT((C269+C270)/(C263*C263))</f>
        <v>0</v>
      </c>
      <c r="D266" s="18">
        <f>SQRT((D269+D270)/(D263*D263))</f>
        <v>2.883529477836162</v>
      </c>
      <c r="E266" s="18">
        <f>SQRT((E269+E270)/(E263*E263))</f>
        <v>0.20426608816573344</v>
      </c>
      <c r="F266" s="18">
        <f>SQRT((F269+F270)/(F263*F263))</f>
        <v>0.94760373538837461</v>
      </c>
      <c r="G266" s="18">
        <f>SQRT((G269+G270)/(G263*G263))</f>
        <v>2.6292956735839099</v>
      </c>
      <c r="H266" s="1"/>
    </row>
    <row r="267" spans="1:41" x14ac:dyDescent="0.3">
      <c r="B267" s="1" t="s">
        <v>37</v>
      </c>
      <c r="C267" s="18">
        <f>100-C265</f>
        <v>0</v>
      </c>
      <c r="D267" s="18">
        <f>100-D265</f>
        <v>24.122771258719027</v>
      </c>
      <c r="E267" s="18">
        <f>100-E265</f>
        <v>2.0327374880844218</v>
      </c>
      <c r="F267" s="18">
        <f>100-F265</f>
        <v>12.59491124751419</v>
      </c>
      <c r="G267" s="18">
        <f>100-G265</f>
        <v>12.768954670958152</v>
      </c>
      <c r="AM267" s="78"/>
      <c r="AN267" s="78"/>
      <c r="AO267" s="78"/>
    </row>
    <row r="268" spans="1:41" ht="15.6" x14ac:dyDescent="0.35">
      <c r="B268" s="1" t="s">
        <v>25</v>
      </c>
      <c r="C268" s="1">
        <f>C252</f>
        <v>90</v>
      </c>
      <c r="D268" s="1">
        <f>D252</f>
        <v>340</v>
      </c>
      <c r="E268" s="1">
        <f>E252</f>
        <v>5853</v>
      </c>
      <c r="F268" s="1">
        <f>F252</f>
        <v>2330</v>
      </c>
      <c r="G268" s="1">
        <f>G252</f>
        <v>672</v>
      </c>
    </row>
    <row r="269" spans="1:41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225.61982918859209</v>
      </c>
      <c r="E269" s="18">
        <f>(O260*O260*(100-E265)*(100-E265)*(I260)*(100-I260))/((L260-1)*100)</f>
        <v>7.8196105785996339</v>
      </c>
      <c r="F269" s="18">
        <f>(O261*O261*(100-F265)*(100-F265)*(I261)*(100-I261))/((L261-1)*100)</f>
        <v>284.95788596615131</v>
      </c>
      <c r="G269" s="18">
        <f>(O262*O262*(100-G265)*(100-G265)*(I262)*(100-I262))/((L262-1)*100)</f>
        <v>549.88746279780207</v>
      </c>
      <c r="AM269" s="78"/>
      <c r="AN269" s="78"/>
      <c r="AO269" s="78"/>
    </row>
    <row r="270" spans="1:41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84.752091386861636</v>
      </c>
      <c r="E270" s="18">
        <f>E265*E265*(SUM((H258*E258*(1-E247/H247))/(H247-1),(H259*E259*(1-E248/H248))/(H248-1), (H261*E261*(1-E250/H250))/(H250-1),(H262*E262*(1-E251/H251))/(H251-1)))</f>
        <v>132.1692087853371</v>
      </c>
      <c r="F270" s="18">
        <f>F265*F265*(SUM((H258*F258*(1-F247/H247))/(H247-1),(H259*F259*(1-F248/H248))/(H248-1), (H260*F260*(1-F249/H249))/(H249-1),(H262*F262*(1-F251/H251))/(H251-1)))</f>
        <v>273.01940988482374</v>
      </c>
      <c r="G270" s="18">
        <f>G265*G265*(SUM((H258*G258*(1-G247/H247))/(H247-1),(H259*G259*(1-G248/H248))/(H248-1), (H260*G260*(1-G249/H249))/(H249-1),(H261*G261*(1-G250/H250))/(H250-1)))</f>
        <v>100.83830216685226</v>
      </c>
    </row>
    <row r="271" spans="1:41" x14ac:dyDescent="0.3">
      <c r="AM271" s="78"/>
      <c r="AN271" s="78"/>
      <c r="AO271" s="78"/>
    </row>
    <row r="272" spans="1:41" x14ac:dyDescent="0.3">
      <c r="T272" s="2"/>
    </row>
    <row r="273" spans="1:41" x14ac:dyDescent="0.3">
      <c r="A273" s="361" t="s">
        <v>429</v>
      </c>
      <c r="B273" s="361"/>
      <c r="C273" s="361"/>
      <c r="D273" s="361"/>
      <c r="E273" s="361"/>
      <c r="F273" s="361"/>
      <c r="G273" s="361"/>
      <c r="H273" s="361"/>
      <c r="I273" s="361"/>
      <c r="J273" s="361"/>
      <c r="K273" s="361"/>
      <c r="L273" s="361" t="s">
        <v>87</v>
      </c>
      <c r="M273" s="361"/>
      <c r="N273" s="361"/>
      <c r="O273" s="361"/>
      <c r="P273" s="361"/>
      <c r="AM273" s="78"/>
      <c r="AN273" s="78"/>
      <c r="AO273" s="78"/>
    </row>
    <row r="274" spans="1:41" ht="15" thickBot="1" x14ac:dyDescent="0.35">
      <c r="A274" t="s">
        <v>320</v>
      </c>
      <c r="B274" t="s">
        <v>21</v>
      </c>
      <c r="I274" s="1" t="s">
        <v>58</v>
      </c>
      <c r="O274" s="143"/>
      <c r="P274" s="143"/>
      <c r="R274" s="59" t="s">
        <v>78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77</v>
      </c>
      <c r="AA274" s="12" t="s">
        <v>29</v>
      </c>
    </row>
    <row r="275" spans="1:41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56</v>
      </c>
      <c r="O275" s="13"/>
      <c r="P275" s="13"/>
      <c r="S275" t="s">
        <v>28</v>
      </c>
      <c r="T275" s="57">
        <f t="shared" ref="T275:X276" si="39">AVERAGE(T16,T26,T36,T46,T56)</f>
        <v>1.3313341782670132</v>
      </c>
      <c r="U275" s="57">
        <f t="shared" si="39"/>
        <v>5.77701248662399</v>
      </c>
      <c r="V275" s="57">
        <f t="shared" si="39"/>
        <v>58.094208888065658</v>
      </c>
      <c r="W275" s="57">
        <f t="shared" si="39"/>
        <v>24.953138572966473</v>
      </c>
      <c r="X275" s="57">
        <f t="shared" si="39"/>
        <v>9.8443058740768556</v>
      </c>
      <c r="Z275" s="14">
        <f>AVERAGE(AE16,AE17,AE18,AE19,AE20)</f>
        <v>0.92822273306679237</v>
      </c>
      <c r="AA275" s="72">
        <f>AVERAGE(AF16,AF17,AF18,AF19,AF20)</f>
        <v>2.7803141618842585E-3</v>
      </c>
      <c r="AM275" s="78"/>
      <c r="AN275" s="78"/>
      <c r="AO275" s="78"/>
    </row>
    <row r="276" spans="1:41" x14ac:dyDescent="0.3">
      <c r="A276" t="s">
        <v>3</v>
      </c>
      <c r="B276" s="13">
        <v>0</v>
      </c>
      <c r="C276" s="26">
        <v>90</v>
      </c>
      <c r="D276" s="3">
        <v>0</v>
      </c>
      <c r="E276" s="3">
        <v>0</v>
      </c>
      <c r="F276" s="3">
        <v>0</v>
      </c>
      <c r="G276" s="4">
        <v>0</v>
      </c>
      <c r="H276" s="1">
        <f>SUM(C276:G276)</f>
        <v>90</v>
      </c>
      <c r="I276" s="10">
        <f>C276/H276</f>
        <v>1</v>
      </c>
      <c r="J276" s="11">
        <f>1-I276</f>
        <v>0</v>
      </c>
      <c r="K276">
        <f>H276-C281</f>
        <v>0</v>
      </c>
      <c r="N276" s="10">
        <f>2*(C282*I276)/(C282+I276)</f>
        <v>1</v>
      </c>
      <c r="O276" s="1"/>
      <c r="P276" s="1"/>
      <c r="S276" t="s">
        <v>39</v>
      </c>
      <c r="T276" s="57">
        <f t="shared" si="39"/>
        <v>8.9278615403066055E-3</v>
      </c>
      <c r="U276" s="57">
        <f t="shared" si="39"/>
        <v>0.13820988443325491</v>
      </c>
      <c r="V276" s="57">
        <f t="shared" si="39"/>
        <v>0.19198275759725009</v>
      </c>
      <c r="W276" s="57">
        <f t="shared" si="39"/>
        <v>0.2329061282523103</v>
      </c>
      <c r="X276" s="57">
        <f t="shared" si="39"/>
        <v>0.21816868064338379</v>
      </c>
    </row>
    <row r="277" spans="1:41" x14ac:dyDescent="0.3">
      <c r="A277" t="s">
        <v>4</v>
      </c>
      <c r="B277" s="13">
        <v>1</v>
      </c>
      <c r="C277" s="5">
        <v>0</v>
      </c>
      <c r="D277" s="27">
        <v>187</v>
      </c>
      <c r="E277" s="1">
        <v>12</v>
      </c>
      <c r="F277" s="1">
        <v>0</v>
      </c>
      <c r="G277" s="6">
        <v>2</v>
      </c>
      <c r="H277" s="1">
        <f>SUM(C277:G277)</f>
        <v>201</v>
      </c>
      <c r="I277" s="10">
        <f>D277/H277</f>
        <v>0.93034825870646765</v>
      </c>
      <c r="J277" s="11">
        <f>1-I277</f>
        <v>6.9651741293532354E-2</v>
      </c>
      <c r="K277">
        <f>H277-D281</f>
        <v>-121</v>
      </c>
      <c r="N277" s="10">
        <f>2*(D282*I277)/(D282+I277)</f>
        <v>0.71510516252390055</v>
      </c>
      <c r="O277" s="1"/>
      <c r="P277" s="1"/>
      <c r="S277" s="66" t="s">
        <v>65</v>
      </c>
      <c r="T277" s="67">
        <f>1.96*T276</f>
        <v>1.7498608619000947E-2</v>
      </c>
      <c r="U277" s="67">
        <f>1.96*U276</f>
        <v>0.27089137348917963</v>
      </c>
      <c r="V277" s="67">
        <f>1.96*V276</f>
        <v>0.37628620489061015</v>
      </c>
      <c r="W277" s="67">
        <f>1.96*W276</f>
        <v>0.45649601137452817</v>
      </c>
      <c r="X277" s="67">
        <f>1.96*X276</f>
        <v>0.42761061406103223</v>
      </c>
      <c r="AM277" s="78"/>
      <c r="AN277" s="78"/>
      <c r="AO277" s="78"/>
    </row>
    <row r="278" spans="1:41" x14ac:dyDescent="0.3">
      <c r="A278" t="s">
        <v>5</v>
      </c>
      <c r="B278" s="13">
        <v>2</v>
      </c>
      <c r="C278" s="5">
        <v>0</v>
      </c>
      <c r="D278" s="1">
        <v>133</v>
      </c>
      <c r="E278" s="27">
        <v>5744</v>
      </c>
      <c r="F278" s="1">
        <v>47</v>
      </c>
      <c r="G278" s="6">
        <v>26</v>
      </c>
      <c r="H278" s="1">
        <f>SUM(C278:G278)</f>
        <v>5950</v>
      </c>
      <c r="I278" s="10">
        <f>E278/H278</f>
        <v>0.96537815126050419</v>
      </c>
      <c r="J278" s="11">
        <f>1-I278</f>
        <v>3.4621848739495809E-2</v>
      </c>
      <c r="K278">
        <f>H278-E281</f>
        <v>104</v>
      </c>
      <c r="N278" s="10">
        <f>2*(E282*I278)/(E282+I278)</f>
        <v>0.97388945405222105</v>
      </c>
      <c r="O278" s="1"/>
      <c r="P278" s="1"/>
      <c r="S278" t="s">
        <v>30</v>
      </c>
      <c r="T278" s="57">
        <f t="shared" ref="T278:X279" si="40">AVERAGE(T18,T28,T38,T48,T58)</f>
        <v>100</v>
      </c>
      <c r="U278" s="57">
        <f t="shared" si="40"/>
        <v>76.173009724094399</v>
      </c>
      <c r="V278" s="57">
        <f t="shared" si="40"/>
        <v>97.588832098995738</v>
      </c>
      <c r="W278" s="57">
        <f t="shared" si="40"/>
        <v>87.510588210794324</v>
      </c>
      <c r="X278" s="57">
        <f t="shared" si="40"/>
        <v>86.958406313756171</v>
      </c>
    </row>
    <row r="279" spans="1:41" x14ac:dyDescent="0.3">
      <c r="A279" t="s">
        <v>6</v>
      </c>
      <c r="B279" s="13">
        <v>3</v>
      </c>
      <c r="C279" s="5">
        <v>0</v>
      </c>
      <c r="D279" s="1">
        <v>2</v>
      </c>
      <c r="E279" s="1">
        <v>64</v>
      </c>
      <c r="F279" s="27">
        <v>2132</v>
      </c>
      <c r="G279" s="6">
        <v>95</v>
      </c>
      <c r="H279" s="1">
        <f>SUM(C279:G279)</f>
        <v>2293</v>
      </c>
      <c r="I279" s="10">
        <f>F279/H279</f>
        <v>0.92978630614914959</v>
      </c>
      <c r="J279" s="11">
        <f>1-I279</f>
        <v>7.0213693850850412E-2</v>
      </c>
      <c r="K279">
        <f>H279-F281</f>
        <v>-59</v>
      </c>
      <c r="N279" s="10">
        <f>2*(F282*I279)/(F282+I279)</f>
        <v>0.91797631862217444</v>
      </c>
      <c r="O279" s="1"/>
      <c r="P279" s="1"/>
      <c r="S279" t="s">
        <v>39</v>
      </c>
      <c r="T279" s="57">
        <f t="shared" si="40"/>
        <v>0</v>
      </c>
      <c r="U279" s="57">
        <f t="shared" si="40"/>
        <v>3.4828124225846366</v>
      </c>
      <c r="V279" s="57">
        <f t="shared" si="40"/>
        <v>0.23217334976982618</v>
      </c>
      <c r="W279" s="57">
        <f t="shared" si="40"/>
        <v>0.94950471097301326</v>
      </c>
      <c r="X279" s="57">
        <f t="shared" si="40"/>
        <v>2.6595269862239848</v>
      </c>
      <c r="AM279" s="78"/>
      <c r="AN279" s="78"/>
      <c r="AO279" s="78"/>
    </row>
    <row r="280" spans="1:41" x14ac:dyDescent="0.3">
      <c r="A280" t="s">
        <v>7</v>
      </c>
      <c r="B280" s="13">
        <v>4</v>
      </c>
      <c r="C280" s="7">
        <v>0</v>
      </c>
      <c r="D280" s="8">
        <v>0</v>
      </c>
      <c r="E280" s="8">
        <v>26</v>
      </c>
      <c r="F280" s="8">
        <v>173</v>
      </c>
      <c r="G280" s="28">
        <v>552</v>
      </c>
      <c r="H280" s="1">
        <f>SUM(C280:G280)</f>
        <v>751</v>
      </c>
      <c r="I280" s="10">
        <f>G280/H280</f>
        <v>0.73501997336884151</v>
      </c>
      <c r="J280" s="11">
        <f>1-I280</f>
        <v>0.26498002663115849</v>
      </c>
      <c r="K280">
        <f>H280-G281</f>
        <v>76</v>
      </c>
      <c r="N280" s="10">
        <f>2*(G282*I280)/(G282+I280)</f>
        <v>0.77419354838709675</v>
      </c>
      <c r="O280" s="1"/>
      <c r="P280" s="1"/>
      <c r="S280" s="66" t="s">
        <v>65</v>
      </c>
      <c r="T280" s="67">
        <f>1.96*T279</f>
        <v>0</v>
      </c>
      <c r="U280" s="67">
        <f>1.96*U279</f>
        <v>6.8263123482658878</v>
      </c>
      <c r="V280" s="67">
        <f>1.96*V279</f>
        <v>0.4550597655488593</v>
      </c>
      <c r="W280" s="67">
        <f>1.96*W279</f>
        <v>1.8610292335071059</v>
      </c>
      <c r="X280" s="67">
        <f>1.96*X279</f>
        <v>5.2126728929990103</v>
      </c>
    </row>
    <row r="281" spans="1:41" ht="15.6" x14ac:dyDescent="0.35">
      <c r="B281" s="1" t="s">
        <v>19</v>
      </c>
      <c r="C281" s="1">
        <f>SUM(C276:C280)</f>
        <v>90</v>
      </c>
      <c r="D281" s="1">
        <f>SUM(D276:D280)</f>
        <v>322</v>
      </c>
      <c r="E281" s="1">
        <f>SUM(E276:E280)</f>
        <v>5846</v>
      </c>
      <c r="F281" s="1">
        <f>SUM(F276:F280)</f>
        <v>2352</v>
      </c>
      <c r="G281" s="1">
        <f>SUM(G276:G280)</f>
        <v>675</v>
      </c>
      <c r="H281" s="1">
        <f>SUM(H275:H280)</f>
        <v>9285</v>
      </c>
      <c r="I281" s="13" t="s">
        <v>12</v>
      </c>
      <c r="N281" s="16"/>
      <c r="O281" s="1"/>
      <c r="P281" s="1"/>
      <c r="S281" t="s">
        <v>31</v>
      </c>
      <c r="T281" s="57">
        <f t="shared" ref="T281:X282" si="41">AVERAGE(T20,T30,T40,T50,T60)</f>
        <v>99.333333333333343</v>
      </c>
      <c r="U281" s="57">
        <f t="shared" si="41"/>
        <v>94.328358208955223</v>
      </c>
      <c r="V281" s="57">
        <f t="shared" si="41"/>
        <v>96.621848739495789</v>
      </c>
      <c r="W281" s="57">
        <f t="shared" si="41"/>
        <v>91.923244657653726</v>
      </c>
      <c r="X281" s="57">
        <f t="shared" si="41"/>
        <v>74.007989347536636</v>
      </c>
      <c r="AM281" s="78"/>
      <c r="AN281" s="78"/>
      <c r="AO281" s="78"/>
    </row>
    <row r="282" spans="1:41" x14ac:dyDescent="0.3">
      <c r="A282" s="1" t="s">
        <v>321</v>
      </c>
      <c r="B282" s="1" t="s">
        <v>2</v>
      </c>
      <c r="C282" s="10">
        <f>C276/C281</f>
        <v>1</v>
      </c>
      <c r="D282" s="10">
        <f>D277/D281</f>
        <v>0.58074534161490687</v>
      </c>
      <c r="E282" s="10">
        <f>E278/E281</f>
        <v>0.98255217242559012</v>
      </c>
      <c r="F282" s="10">
        <f>F279/F281</f>
        <v>0.90646258503401356</v>
      </c>
      <c r="G282" s="10">
        <f>G280/G281</f>
        <v>0.81777777777777783</v>
      </c>
      <c r="H282" s="10"/>
      <c r="I282" s="14">
        <f>(C276+D277+E278+F279+G280)/H281</f>
        <v>0.93753365643511044</v>
      </c>
      <c r="S282" t="s">
        <v>39</v>
      </c>
      <c r="T282" s="57">
        <f t="shared" si="41"/>
        <v>0.66666666666666763</v>
      </c>
      <c r="U282" s="57">
        <f t="shared" si="41"/>
        <v>1.6213177570462125</v>
      </c>
      <c r="V282" s="57">
        <f t="shared" si="41"/>
        <v>0.23422785102569321</v>
      </c>
      <c r="W282" s="57">
        <f t="shared" si="41"/>
        <v>0.56858919452759904</v>
      </c>
      <c r="X282" s="57">
        <f t="shared" si="41"/>
        <v>1.6006848195525933</v>
      </c>
    </row>
    <row r="283" spans="1:41" x14ac:dyDescent="0.3">
      <c r="B283" s="1" t="s">
        <v>14</v>
      </c>
      <c r="C283" s="11">
        <f>1-C282</f>
        <v>0</v>
      </c>
      <c r="D283" s="11">
        <f>1-D282</f>
        <v>0.41925465838509313</v>
      </c>
      <c r="E283" s="11">
        <f>1-E282</f>
        <v>1.744782757440988E-2</v>
      </c>
      <c r="F283" s="11">
        <f>1-F282</f>
        <v>9.3537414965986443E-2</v>
      </c>
      <c r="G283" s="11">
        <f>1-G282</f>
        <v>0.18222222222222217</v>
      </c>
      <c r="S283" s="66" t="s">
        <v>65</v>
      </c>
      <c r="T283" s="67">
        <f>1.96*T282</f>
        <v>1.3066666666666684</v>
      </c>
      <c r="U283" s="67">
        <f>1.96*U282</f>
        <v>3.1777828038105764</v>
      </c>
      <c r="V283" s="67">
        <f>1.96*V282</f>
        <v>0.45908658801035868</v>
      </c>
      <c r="W283" s="67">
        <f>1.96*W282</f>
        <v>1.114434821274094</v>
      </c>
      <c r="X283" s="67">
        <f>1.96*X282</f>
        <v>3.1373422463230827</v>
      </c>
      <c r="AM283" s="78"/>
      <c r="AN283" s="78"/>
      <c r="AO283" s="78"/>
    </row>
    <row r="284" spans="1:41" x14ac:dyDescent="0.3">
      <c r="C284" s="2"/>
      <c r="S284" t="s">
        <v>56</v>
      </c>
      <c r="T284" s="57">
        <f>AVERAGE(T22,T32,T42,T52,T62)</f>
        <v>99.664804469273733</v>
      </c>
      <c r="U284" s="57">
        <f>AVERAGE(U22,U32,U42,U52,U62)</f>
        <v>71.626721254354123</v>
      </c>
      <c r="V284" s="57">
        <f>AVERAGE(V22,V32,V42,V52,V62)</f>
        <v>97.328738801612033</v>
      </c>
      <c r="W284" s="57">
        <f>AVERAGE(W22,W32,W42,W52,W62)</f>
        <v>91.273323695450443</v>
      </c>
      <c r="X284" s="57">
        <f>AVERAGE(X22,X32,X42,X52,X62)</f>
        <v>77.783788498785867</v>
      </c>
    </row>
    <row r="285" spans="1:41" ht="15.6" x14ac:dyDescent="0.35">
      <c r="A285" t="s">
        <v>322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0.30599025558947712</v>
      </c>
      <c r="U285" s="57">
        <f>_xlfn.STDEV.S(U22,U32,U42,U52,U62)</f>
        <v>0.47037571814160589</v>
      </c>
      <c r="V285" s="57">
        <f>_xlfn.STDEV.S(V22,V32,V42,V52,V62)</f>
        <v>0.17373640012556299</v>
      </c>
      <c r="W285" s="57">
        <f>_xlfn.STDEV.S(W22,W32,W42,W52,W62)</f>
        <v>0.40272743556182788</v>
      </c>
      <c r="X285" s="57">
        <f>_xlfn.STDEV.S(X22,X32,X42,X52,X62)</f>
        <v>0.87156455820104028</v>
      </c>
      <c r="AM285" s="78"/>
      <c r="AN285" s="78"/>
      <c r="AO285" s="78"/>
    </row>
    <row r="286" spans="1:41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65</v>
      </c>
      <c r="T286" s="67">
        <f>1.96*T285</f>
        <v>0.59974090095537513</v>
      </c>
      <c r="U286" s="67">
        <f>1.96*U285</f>
        <v>0.92193640755754758</v>
      </c>
      <c r="V286" s="67">
        <f>1.96*V285</f>
        <v>0.34052334424610348</v>
      </c>
      <c r="W286" s="67">
        <f>1.96*W285</f>
        <v>0.78934577370118264</v>
      </c>
      <c r="X286" s="67">
        <f>1.96*X285</f>
        <v>1.7082665340740388</v>
      </c>
    </row>
    <row r="287" spans="1:41" x14ac:dyDescent="0.3">
      <c r="A287" t="s">
        <v>3</v>
      </c>
      <c r="B287" s="13">
        <v>0</v>
      </c>
      <c r="C287" s="29">
        <f>(C276/$L287)*$O287</f>
        <v>1.3303597861637684</v>
      </c>
      <c r="D287" s="31">
        <f>(D276/$L287)*$O287</f>
        <v>0</v>
      </c>
      <c r="E287" s="31">
        <f>(E276/$L287)*$O287</f>
        <v>0</v>
      </c>
      <c r="F287" s="31">
        <f>(F276/$L287)*$O287</f>
        <v>0</v>
      </c>
      <c r="G287" s="32">
        <f>(G276/$L287)*$O287</f>
        <v>0</v>
      </c>
      <c r="H287" s="17">
        <f>SUM(C287:G287)</f>
        <v>1.3303597861637684</v>
      </c>
      <c r="I287" s="17">
        <f>C287/H287*100</f>
        <v>100</v>
      </c>
      <c r="J287" s="17">
        <f>SQRT(I287*(100-I287)/(L287-1))</f>
        <v>0</v>
      </c>
      <c r="K287" s="18">
        <f>100-I287</f>
        <v>0</v>
      </c>
      <c r="L287" s="1">
        <f>H276</f>
        <v>90</v>
      </c>
      <c r="M287">
        <v>0</v>
      </c>
      <c r="N287" s="1">
        <v>2073.84</v>
      </c>
      <c r="O287" s="17">
        <f>N287/N292*100</f>
        <v>1.3303597861637684</v>
      </c>
      <c r="P287" s="52">
        <f>((O287*O287*(I287/100)*(K287/100))/(L287-1))</f>
        <v>0</v>
      </c>
      <c r="R287" s="16" t="s">
        <v>75</v>
      </c>
      <c r="S287" t="s">
        <v>9</v>
      </c>
      <c r="T287" s="57">
        <f>AVERAGE(T23,T33,T43,T53,T63)</f>
        <v>2089.3539999999998</v>
      </c>
      <c r="U287" s="57">
        <f>AVERAGE(U23,U33,U43,U53,U63)</f>
        <v>7271.3399999999992</v>
      </c>
      <c r="V287" s="57">
        <f>AVERAGE(V23,V33,V43,V53,V63)</f>
        <v>91464.877999999997</v>
      </c>
      <c r="W287" s="57">
        <f>AVERAGE(W23,W33,W43,W53,W63)</f>
        <v>37030.055999999997</v>
      </c>
      <c r="X287" s="57">
        <f>AVERAGE(X23,X33,X43,X53,X63)</f>
        <v>18030.010000000002</v>
      </c>
      <c r="Z287" t="s">
        <v>36</v>
      </c>
      <c r="AA287" s="57">
        <f>AVERAGE(AA23,AA33,AA43,AA53,AA63)</f>
        <v>155885.63800000001</v>
      </c>
      <c r="AM287" s="78"/>
      <c r="AN287" s="78"/>
      <c r="AO287" s="78"/>
    </row>
    <row r="288" spans="1:41" x14ac:dyDescent="0.3">
      <c r="A288" t="s">
        <v>4</v>
      </c>
      <c r="B288" s="13">
        <v>1</v>
      </c>
      <c r="C288" s="33">
        <f t="shared" ref="C288:G291" si="42">(C277/$L288)*$O288</f>
        <v>0</v>
      </c>
      <c r="D288" s="34">
        <f t="shared" si="42"/>
        <v>4.3096158540360605</v>
      </c>
      <c r="E288" s="19">
        <f t="shared" si="42"/>
        <v>0.27655288902905201</v>
      </c>
      <c r="F288" s="18">
        <f t="shared" si="42"/>
        <v>0</v>
      </c>
      <c r="G288" s="20">
        <f t="shared" si="42"/>
        <v>4.6092148171508668E-2</v>
      </c>
      <c r="H288" s="17">
        <f>SUM(C288:G288)</f>
        <v>4.632260891236621</v>
      </c>
      <c r="I288" s="17">
        <f>D288/H288*100</f>
        <v>93.03482587064677</v>
      </c>
      <c r="J288" s="17">
        <f>SQRT(I288*(100-I288)/(L288-1))</f>
        <v>1.8000052253856256</v>
      </c>
      <c r="K288" s="18">
        <f>100-I288</f>
        <v>6.9651741293532297</v>
      </c>
      <c r="L288" s="1">
        <f>H277</f>
        <v>201</v>
      </c>
      <c r="M288">
        <v>1</v>
      </c>
      <c r="N288" s="1">
        <v>7221.03</v>
      </c>
      <c r="O288" s="17">
        <f>N288/N292*100</f>
        <v>4.632260891236621</v>
      </c>
      <c r="P288" s="52">
        <f>((O288*O288*(I288/100)*(K288/100))/(L288-1))</f>
        <v>6.9523808377279506E-3</v>
      </c>
      <c r="S288" t="s">
        <v>29</v>
      </c>
      <c r="T288" s="57">
        <f>_xlfn.STDEV.S(T23,T33,T43,T53,T63)</f>
        <v>14.657463286667262</v>
      </c>
      <c r="U288" s="57">
        <f>_xlfn.STDEV.S(U23,U33,U43,U53,U63)</f>
        <v>179.62073474407114</v>
      </c>
      <c r="V288" s="57">
        <f>_xlfn.STDEV.S(V23,V33,V43,V53,V63)</f>
        <v>275.57687597111607</v>
      </c>
      <c r="W288" s="57">
        <f>_xlfn.STDEV.S(W23,W33,W43,W53,W63)</f>
        <v>222.15973753135384</v>
      </c>
      <c r="X288" s="57">
        <f>_xlfn.STDEV.S(X23,X33,X43,X53,X63)</f>
        <v>200.93245270488339</v>
      </c>
      <c r="Z288" t="s">
        <v>29</v>
      </c>
      <c r="AA288" s="57">
        <f>_xlfn.STDEV.S(AA23,AA33,AA43,AA53,AA63)</f>
        <v>4.4721359559106739E-3</v>
      </c>
    </row>
    <row r="289" spans="1:41" x14ac:dyDescent="0.3">
      <c r="A289" t="s">
        <v>5</v>
      </c>
      <c r="B289" s="13">
        <v>2</v>
      </c>
      <c r="C289" s="33">
        <f t="shared" si="42"/>
        <v>0</v>
      </c>
      <c r="D289" s="19">
        <f t="shared" si="42"/>
        <v>1.3175973240264107</v>
      </c>
      <c r="E289" s="34">
        <f t="shared" si="42"/>
        <v>56.904353603065438</v>
      </c>
      <c r="F289" s="19">
        <f t="shared" si="42"/>
        <v>0.4656170994679798</v>
      </c>
      <c r="G289" s="20">
        <f t="shared" si="42"/>
        <v>0.25757541672696749</v>
      </c>
      <c r="H289" s="17">
        <f>SUM(C289:G289)</f>
        <v>58.945143443286788</v>
      </c>
      <c r="I289" s="17">
        <f>E289/H289*100</f>
        <v>96.537815126050432</v>
      </c>
      <c r="J289" s="17">
        <f>SQRT(I289*(100-I289)/(L289-1))</f>
        <v>0.23702921358143256</v>
      </c>
      <c r="K289" s="18">
        <f>100-I289</f>
        <v>3.4621848739495675</v>
      </c>
      <c r="L289" s="1">
        <f>H278</f>
        <v>5950</v>
      </c>
      <c r="M289">
        <v>2</v>
      </c>
      <c r="N289" s="1">
        <v>91887.02</v>
      </c>
      <c r="O289" s="17">
        <f>N289/N292*100</f>
        <v>58.945143443286796</v>
      </c>
      <c r="P289" s="52">
        <f>((O289*O289*(I289/100)*(K289/100))/(L289-1))</f>
        <v>1.9520898755673081E-2</v>
      </c>
      <c r="S289" t="s">
        <v>65</v>
      </c>
      <c r="T289" s="57">
        <f>1.96*T288</f>
        <v>28.728628041867832</v>
      </c>
      <c r="U289" s="57">
        <f>1.96*U288</f>
        <v>352.05664009837943</v>
      </c>
      <c r="V289" s="57">
        <f>1.96*V288</f>
        <v>540.13067690338744</v>
      </c>
      <c r="W289" s="57">
        <f>1.96*W288</f>
        <v>435.43308556145354</v>
      </c>
      <c r="X289" s="57">
        <f>1.96*X288</f>
        <v>393.82760730157145</v>
      </c>
      <c r="AM289" s="78"/>
      <c r="AN289" s="78"/>
      <c r="AO289" s="78"/>
    </row>
    <row r="290" spans="1:41" x14ac:dyDescent="0.3">
      <c r="A290" t="s">
        <v>6</v>
      </c>
      <c r="B290" s="13">
        <v>3</v>
      </c>
      <c r="C290" s="33">
        <f t="shared" si="42"/>
        <v>0</v>
      </c>
      <c r="D290" s="19">
        <f t="shared" si="42"/>
        <v>2.0644607081501485E-2</v>
      </c>
      <c r="E290" s="19">
        <f t="shared" si="42"/>
        <v>0.66062742660804752</v>
      </c>
      <c r="F290" s="34">
        <f t="shared" si="42"/>
        <v>22.007151148880581</v>
      </c>
      <c r="G290" s="20">
        <f t="shared" si="42"/>
        <v>0.98061883637132041</v>
      </c>
      <c r="H290" s="17">
        <f>SUM(C290:G290)</f>
        <v>23.66904201894145</v>
      </c>
      <c r="I290" s="17">
        <f>F290/H290*100</f>
        <v>92.978630614914962</v>
      </c>
      <c r="J290" s="17">
        <f>SQRT(I290*(100-I290)/(L290-1))</f>
        <v>0.53369751029008161</v>
      </c>
      <c r="K290" s="18">
        <f>100-I290</f>
        <v>7.0213693850850376</v>
      </c>
      <c r="L290" s="1">
        <f>H279</f>
        <v>2293</v>
      </c>
      <c r="M290">
        <v>3</v>
      </c>
      <c r="N290" s="1">
        <v>36896.639999999999</v>
      </c>
      <c r="O290" s="17">
        <f>N290/N292*100</f>
        <v>23.66904201894145</v>
      </c>
      <c r="P290" s="52">
        <f>((O290*O290*(I290/100)*(K290/100))/(L290-1))</f>
        <v>1.5957017264561162E-2</v>
      </c>
      <c r="R290" s="16" t="s">
        <v>74</v>
      </c>
      <c r="S290" t="s">
        <v>9</v>
      </c>
      <c r="T290" s="57">
        <f>AVERAGE(T24,T34,T44,T54,T64)</f>
        <v>2075.3587777777784</v>
      </c>
      <c r="U290" s="57">
        <f>AVERAGE(U24,U34,U44,U54,U64)</f>
        <v>9005.5327775429869</v>
      </c>
      <c r="V290" s="57">
        <f>AVERAGE(V24,V34,V44,V54,V64)</f>
        <v>90560.528154497559</v>
      </c>
      <c r="W290" s="57">
        <f>AVERAGE(W24,W34,W44,W54,W64)</f>
        <v>38898.359276134732</v>
      </c>
      <c r="X290" s="57">
        <f>AVERAGE(X24,X34,X44,X54,X64)</f>
        <v>15345.859014046951</v>
      </c>
      <c r="Z290" t="s">
        <v>36</v>
      </c>
      <c r="AA290" s="24">
        <f>SUM(T290:X290)</f>
        <v>155885.63800000001</v>
      </c>
    </row>
    <row r="291" spans="1:41" x14ac:dyDescent="0.3">
      <c r="A291" t="s">
        <v>7</v>
      </c>
      <c r="B291" s="13">
        <v>4</v>
      </c>
      <c r="C291" s="35">
        <f t="shared" si="42"/>
        <v>0</v>
      </c>
      <c r="D291" s="36">
        <f t="shared" si="42"/>
        <v>0</v>
      </c>
      <c r="E291" s="21">
        <f t="shared" si="42"/>
        <v>0.39547675149088624</v>
      </c>
      <c r="F291" s="21">
        <f t="shared" si="42"/>
        <v>2.6314414618432047</v>
      </c>
      <c r="G291" s="37">
        <f t="shared" si="42"/>
        <v>8.3962756470372764</v>
      </c>
      <c r="H291" s="17">
        <f>SUM(C291:G291)</f>
        <v>11.423193860371367</v>
      </c>
      <c r="I291" s="17">
        <f>G291/H291*100</f>
        <v>73.501997336884159</v>
      </c>
      <c r="J291" s="17">
        <f>SQRT(I291*(100-I291)/(L291-1))</f>
        <v>1.6114821836545759</v>
      </c>
      <c r="K291" s="18">
        <f>100-I291</f>
        <v>26.498002663115841</v>
      </c>
      <c r="L291" s="1">
        <f>H280</f>
        <v>751</v>
      </c>
      <c r="M291">
        <v>4</v>
      </c>
      <c r="N291" s="1">
        <v>17807.12</v>
      </c>
      <c r="O291" s="17">
        <f>N291/N292*100</f>
        <v>11.423193860371368</v>
      </c>
      <c r="P291" s="52">
        <f>((O291*O291*(I291/100)*(K291/100))/(L291-1))</f>
        <v>3.3886452906920821E-2</v>
      </c>
      <c r="S291" t="s">
        <v>29</v>
      </c>
      <c r="T291" s="57">
        <f>_xlfn.STDEV.S(T24,T34,T44,T54,T64)</f>
        <v>5.4765383536963261</v>
      </c>
      <c r="U291" s="57">
        <f>_xlfn.STDEV.S(U24,U34,U44,U54,U64)</f>
        <v>298.65408255306357</v>
      </c>
      <c r="V291" s="57">
        <f>_xlfn.STDEV.S(V24,V34,V44,V54,V64)</f>
        <v>625.46285584177031</v>
      </c>
      <c r="W291" s="57">
        <f>_xlfn.STDEV.S(W24,W34,W44,W54,W64)</f>
        <v>492.01037119063949</v>
      </c>
      <c r="X291" s="57">
        <f>_xlfn.STDEV.S(X24,X34,X44,X54,X64)</f>
        <v>375.84928594094202</v>
      </c>
      <c r="AM291" s="78"/>
      <c r="AN291" s="78"/>
      <c r="AO291" s="78"/>
    </row>
    <row r="292" spans="1:41" x14ac:dyDescent="0.3">
      <c r="B292" t="s">
        <v>28</v>
      </c>
      <c r="C292" s="17">
        <f>SUM(C287:C291)</f>
        <v>1.3303597861637684</v>
      </c>
      <c r="D292" s="17">
        <f>SUM(D287:D291)</f>
        <v>5.6478577851439722</v>
      </c>
      <c r="E292" s="17">
        <f>SUM(E287:E291)</f>
        <v>58.237010670193428</v>
      </c>
      <c r="F292" s="17">
        <f>SUM(F287:F291)</f>
        <v>25.104209710191768</v>
      </c>
      <c r="G292" s="17">
        <f>SUM(G287:G291)</f>
        <v>9.6805620483070722</v>
      </c>
      <c r="H292" s="1">
        <f>SUM(H286:H291)</f>
        <v>100</v>
      </c>
      <c r="I292" s="13" t="s">
        <v>24</v>
      </c>
      <c r="J292" s="12" t="s">
        <v>29</v>
      </c>
      <c r="N292" s="1">
        <f>SUM(N287:N291)</f>
        <v>155885.65</v>
      </c>
      <c r="O292" s="17">
        <f>SUM(O287:O291)</f>
        <v>100.00000000000001</v>
      </c>
      <c r="S292" s="66" t="s">
        <v>65</v>
      </c>
      <c r="T292" s="67">
        <f>1.96*T291</f>
        <v>10.734015173244799</v>
      </c>
      <c r="U292" s="67">
        <f>1.96*U291</f>
        <v>585.36200180400465</v>
      </c>
      <c r="V292" s="67">
        <f>1.96*V291</f>
        <v>1225.9071974498697</v>
      </c>
      <c r="W292" s="67">
        <f>1.96*W291</f>
        <v>964.34032753365341</v>
      </c>
      <c r="X292" s="67">
        <f>1.96*X291</f>
        <v>736.66460044424639</v>
      </c>
    </row>
    <row r="293" spans="1:41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0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0.14103912128858137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0.19479896142315692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0.22656553222671405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0.21710933838836377</v>
      </c>
      <c r="H293" s="1"/>
      <c r="I293" s="56">
        <f>(C287+D288+E289+F290+G291)/H292</f>
        <v>0.92947756039183116</v>
      </c>
      <c r="J293" s="53">
        <f>SQRT(SUM(P287:P291))/100</f>
        <v>2.7625486378502549E-3</v>
      </c>
      <c r="M293" s="1"/>
      <c r="N293" s="9"/>
      <c r="AM293" s="78"/>
      <c r="AN293" s="78"/>
      <c r="AO293" s="78"/>
    </row>
    <row r="294" spans="1:41" x14ac:dyDescent="0.3">
      <c r="B294" s="1" t="s">
        <v>30</v>
      </c>
      <c r="C294" s="17">
        <f>C287/C292*100</f>
        <v>100</v>
      </c>
      <c r="D294" s="17">
        <f>D288/D292*100</f>
        <v>76.305318192890752</v>
      </c>
      <c r="E294" s="17">
        <f>E289/E292*100</f>
        <v>97.711666426913524</v>
      </c>
      <c r="F294" s="17">
        <f>F290/F292*100</f>
        <v>87.663190369008717</v>
      </c>
      <c r="G294" s="17">
        <f>G291/G292*100</f>
        <v>86.733348798746761</v>
      </c>
      <c r="H294" s="1"/>
    </row>
    <row r="295" spans="1:41" x14ac:dyDescent="0.3">
      <c r="B295" s="16" t="s">
        <v>39</v>
      </c>
      <c r="C295" s="18">
        <f>SQRT((C298+C299)/(C292*C292))</f>
        <v>0</v>
      </c>
      <c r="D295" s="18">
        <f>SQRT((D298+D299)/(D292*D292))</f>
        <v>3.8217062002728932</v>
      </c>
      <c r="E295" s="18">
        <f>SQRT((E298+E299)/(E292*E292))</f>
        <v>0.23453763646152234</v>
      </c>
      <c r="F295" s="18">
        <f>SQRT((F298+F299)/(F292*F292))</f>
        <v>0.90405206612566713</v>
      </c>
      <c r="G295" s="18">
        <f>SQRT((G298+G299)/(G292*G292))</f>
        <v>2.7262236897235947</v>
      </c>
      <c r="H295" s="1"/>
      <c r="AM295" s="78"/>
      <c r="AN295" s="78"/>
      <c r="AO295" s="78"/>
    </row>
    <row r="296" spans="1:41" x14ac:dyDescent="0.3">
      <c r="B296" s="1" t="s">
        <v>37</v>
      </c>
      <c r="C296" s="18">
        <f>100-C294</f>
        <v>0</v>
      </c>
      <c r="D296" s="18">
        <f>100-D294</f>
        <v>23.694681807109248</v>
      </c>
      <c r="E296" s="18">
        <f>100-E294</f>
        <v>2.2883335730864758</v>
      </c>
      <c r="F296" s="18">
        <f>100-F294</f>
        <v>12.336809630991283</v>
      </c>
      <c r="G296" s="18">
        <f>100-G294</f>
        <v>13.266651201253239</v>
      </c>
    </row>
    <row r="297" spans="1:41" ht="15.6" x14ac:dyDescent="0.35">
      <c r="B297" s="1" t="s">
        <v>25</v>
      </c>
      <c r="C297" s="1">
        <f>C281</f>
        <v>90</v>
      </c>
      <c r="D297" s="1">
        <f>D281</f>
        <v>322</v>
      </c>
      <c r="E297" s="1">
        <f>E281</f>
        <v>5846</v>
      </c>
      <c r="F297" s="1">
        <f>F281</f>
        <v>2352</v>
      </c>
      <c r="G297" s="1">
        <f>G281</f>
        <v>675</v>
      </c>
      <c r="AM297" s="78"/>
      <c r="AN297" s="78"/>
      <c r="AO297" s="78"/>
    </row>
    <row r="298" spans="1:41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390.3330416927667</v>
      </c>
      <c r="E298" s="18">
        <f>(O289*O289*(100-E294)*(100-E294)*(I289)*(100-I289))/((L289-1)*100)</f>
        <v>10.222061128187757</v>
      </c>
      <c r="F298" s="18">
        <f>(O290*O290*(100-F294)*(100-F294)*(I290)*(100-I290))/((L290-1)*100)</f>
        <v>242.86081120628455</v>
      </c>
      <c r="G298" s="18">
        <f>(O291*O291*(100-G294)*(100-G294)*(I291)*(100-I291))/((L291-1)*100)</f>
        <v>596.41524128124991</v>
      </c>
    </row>
    <row r="299" spans="1:41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75.555574612994903</v>
      </c>
      <c r="E299" s="18">
        <f>E294*E294*(SUM((H287*E287*(1-E276/H276))/(H276-1),(H288*E288*(1-E277/H277))/(H277-1), (H290*E290*(1-E279/H279))/(H279-1),(H291*E291*(1-E280/H280))/(H280-1)))</f>
        <v>176.33995965418222</v>
      </c>
      <c r="F299" s="18">
        <f>F294*F294*(SUM((H287*F287*(1-F276/H276))/(H276-1),(H288*F288*(1-F277/H277))/(H277-1), (H289*F289*(1-F278/H278))/(H278-1),(H291*F291*(1-F280/H280))/(H280-1)))</f>
        <v>272.22548355553403</v>
      </c>
      <c r="G299" s="18">
        <f>G294*G294*(SUM((H287*G287*(1-G276/H276))/(H276-1),(H288*G288*(1-G277/H277))/(H277-1), (H289*G289*(1-G278/H278))/(H278-1),(H290*G290*(1-G279/H279))/(H279-1)))</f>
        <v>100.08956960208469</v>
      </c>
      <c r="AM299" s="78"/>
      <c r="AN299" s="78"/>
      <c r="AO299" s="78"/>
    </row>
    <row r="301" spans="1:41" x14ac:dyDescent="0.3">
      <c r="AM301" s="78"/>
      <c r="AN301" s="78"/>
      <c r="AO301" s="78"/>
    </row>
    <row r="302" spans="1:41" x14ac:dyDescent="0.3">
      <c r="A302" s="361" t="s">
        <v>429</v>
      </c>
      <c r="B302" s="361"/>
      <c r="C302" s="361"/>
      <c r="D302" s="361"/>
      <c r="E302" s="361"/>
      <c r="F302" s="361"/>
      <c r="G302" s="361"/>
      <c r="H302" s="361"/>
      <c r="I302" s="361"/>
      <c r="J302" s="361"/>
      <c r="K302" s="361"/>
      <c r="L302" s="361" t="s">
        <v>88</v>
      </c>
      <c r="M302" s="361"/>
      <c r="N302" s="361"/>
      <c r="O302" s="361"/>
      <c r="P302" s="361"/>
    </row>
    <row r="303" spans="1:41" x14ac:dyDescent="0.3">
      <c r="A303" t="s">
        <v>320</v>
      </c>
      <c r="B303" t="s">
        <v>21</v>
      </c>
      <c r="I303" s="1" t="s">
        <v>58</v>
      </c>
      <c r="O303" s="143"/>
      <c r="P303" s="143"/>
      <c r="AM303" s="78"/>
      <c r="AN303" s="78"/>
      <c r="AO303" s="78"/>
    </row>
    <row r="304" spans="1:41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56</v>
      </c>
      <c r="O304" s="13"/>
      <c r="P304" s="13"/>
    </row>
    <row r="305" spans="1:41" x14ac:dyDescent="0.3">
      <c r="A305" t="s">
        <v>3</v>
      </c>
      <c r="B305" s="13">
        <v>0</v>
      </c>
      <c r="C305" s="26">
        <v>90</v>
      </c>
      <c r="D305" s="3">
        <v>0</v>
      </c>
      <c r="E305" s="3">
        <v>0</v>
      </c>
      <c r="F305" s="3">
        <v>0</v>
      </c>
      <c r="G305" s="4">
        <v>0</v>
      </c>
      <c r="H305" s="1">
        <f>SUM(C305:G305)</f>
        <v>90</v>
      </c>
      <c r="I305" s="10">
        <f>C305/H305</f>
        <v>1</v>
      </c>
      <c r="J305" s="11">
        <f>1-I305</f>
        <v>0</v>
      </c>
      <c r="K305">
        <f>H305-C310</f>
        <v>0</v>
      </c>
      <c r="N305" s="10">
        <f>2*(C311*I305)/(C311+I305)</f>
        <v>1</v>
      </c>
      <c r="O305" s="1"/>
      <c r="P305" s="1"/>
      <c r="AM305" s="78"/>
      <c r="AN305" s="78"/>
      <c r="AO305" s="78"/>
    </row>
    <row r="306" spans="1:41" x14ac:dyDescent="0.3">
      <c r="A306" t="s">
        <v>4</v>
      </c>
      <c r="B306" s="13">
        <v>1</v>
      </c>
      <c r="C306" s="5">
        <v>0</v>
      </c>
      <c r="D306" s="27">
        <v>183</v>
      </c>
      <c r="E306" s="1">
        <v>16</v>
      </c>
      <c r="F306" s="1">
        <v>0</v>
      </c>
      <c r="G306" s="6">
        <v>2</v>
      </c>
      <c r="H306" s="1">
        <f>SUM(C306:G306)</f>
        <v>201</v>
      </c>
      <c r="I306" s="10">
        <f>D306/H306</f>
        <v>0.91044776119402981</v>
      </c>
      <c r="J306" s="11">
        <f>1-I306</f>
        <v>8.9552238805970186E-2</v>
      </c>
      <c r="K306">
        <f>H306-D310</f>
        <v>-110</v>
      </c>
      <c r="N306" s="10">
        <f>2*(D311*I306)/(D311+I306)</f>
        <v>0.71484375000000011</v>
      </c>
      <c r="O306" s="1"/>
      <c r="P306" s="1"/>
    </row>
    <row r="307" spans="1:41" x14ac:dyDescent="0.3">
      <c r="A307" t="s">
        <v>5</v>
      </c>
      <c r="B307" s="13">
        <v>2</v>
      </c>
      <c r="C307" s="5">
        <v>0</v>
      </c>
      <c r="D307" s="1">
        <v>125</v>
      </c>
      <c r="E307" s="27">
        <v>5753</v>
      </c>
      <c r="F307" s="1">
        <v>45</v>
      </c>
      <c r="G307" s="6">
        <v>27</v>
      </c>
      <c r="H307" s="1">
        <f>SUM(C307:G307)</f>
        <v>5950</v>
      </c>
      <c r="I307" s="10">
        <f>E307/H307</f>
        <v>0.96689075630252097</v>
      </c>
      <c r="J307" s="11">
        <f>1-I307</f>
        <v>3.3109243697479029E-2</v>
      </c>
      <c r="K307">
        <f>H307-E310</f>
        <v>85</v>
      </c>
      <c r="N307" s="10">
        <f>2*(E311*I307)/(E311+I307)</f>
        <v>0.97384680490901399</v>
      </c>
      <c r="O307" s="1"/>
      <c r="P307" s="1"/>
      <c r="AM307" s="78"/>
      <c r="AN307" s="78"/>
      <c r="AO307" s="78"/>
    </row>
    <row r="308" spans="1:41" x14ac:dyDescent="0.3">
      <c r="A308" t="s">
        <v>6</v>
      </c>
      <c r="B308" s="13">
        <v>3</v>
      </c>
      <c r="C308" s="5">
        <v>0</v>
      </c>
      <c r="D308" s="1">
        <v>1</v>
      </c>
      <c r="E308" s="1">
        <v>79</v>
      </c>
      <c r="F308" s="27">
        <v>2111</v>
      </c>
      <c r="G308" s="6">
        <v>102</v>
      </c>
      <c r="H308" s="1">
        <f>SUM(C308:G308)</f>
        <v>2293</v>
      </c>
      <c r="I308" s="10">
        <f>F308/H308</f>
        <v>0.92062799825556041</v>
      </c>
      <c r="J308" s="11">
        <f>1-I308</f>
        <v>7.9372001744439591E-2</v>
      </c>
      <c r="K308">
        <f>H308-F310</f>
        <v>-30</v>
      </c>
      <c r="N308" s="10">
        <f>2*(F311*I308)/(F311+I308)</f>
        <v>0.9146447140381283</v>
      </c>
      <c r="O308" s="1"/>
      <c r="P308" s="1"/>
    </row>
    <row r="309" spans="1:41" x14ac:dyDescent="0.3">
      <c r="A309" t="s">
        <v>7</v>
      </c>
      <c r="B309" s="13">
        <v>4</v>
      </c>
      <c r="C309" s="7">
        <v>0</v>
      </c>
      <c r="D309" s="8">
        <v>2</v>
      </c>
      <c r="E309" s="8">
        <v>17</v>
      </c>
      <c r="F309" s="8">
        <v>167</v>
      </c>
      <c r="G309" s="28">
        <v>565</v>
      </c>
      <c r="H309" s="1">
        <f>SUM(C309:G309)</f>
        <v>751</v>
      </c>
      <c r="I309" s="10">
        <f>G309/H309</f>
        <v>0.75233022636484692</v>
      </c>
      <c r="J309" s="11">
        <f>1-I309</f>
        <v>0.24766977363515308</v>
      </c>
      <c r="K309">
        <f>H309-G310</f>
        <v>55</v>
      </c>
      <c r="N309" s="10">
        <f>2*(G311*I309)/(G311+I309)</f>
        <v>0.78092605390463032</v>
      </c>
      <c r="O309" s="1"/>
      <c r="P309" s="1"/>
      <c r="AM309" s="78"/>
      <c r="AN309" s="78"/>
      <c r="AO309" s="78"/>
    </row>
    <row r="310" spans="1:41" ht="15.6" x14ac:dyDescent="0.35">
      <c r="B310" s="1" t="s">
        <v>19</v>
      </c>
      <c r="C310" s="1">
        <f>SUM(C305:C309)</f>
        <v>90</v>
      </c>
      <c r="D310" s="1">
        <f>SUM(D305:D309)</f>
        <v>311</v>
      </c>
      <c r="E310" s="1">
        <f>SUM(E305:E309)</f>
        <v>5865</v>
      </c>
      <c r="F310" s="1">
        <f>SUM(F305:F309)</f>
        <v>2323</v>
      </c>
      <c r="G310" s="1">
        <f>SUM(G305:G309)</f>
        <v>696</v>
      </c>
      <c r="H310" s="1">
        <f>SUM(H304:H309)</f>
        <v>9285</v>
      </c>
      <c r="I310" s="13" t="s">
        <v>12</v>
      </c>
      <c r="N310" s="16" t="s">
        <v>36</v>
      </c>
      <c r="O310" s="1"/>
      <c r="P310" s="1"/>
    </row>
    <row r="311" spans="1:41" x14ac:dyDescent="0.3">
      <c r="A311" s="1" t="s">
        <v>321</v>
      </c>
      <c r="B311" s="1" t="s">
        <v>2</v>
      </c>
      <c r="C311" s="10">
        <f>C305/C310</f>
        <v>1</v>
      </c>
      <c r="D311" s="10">
        <f>D306/D310</f>
        <v>0.58842443729903537</v>
      </c>
      <c r="E311" s="10">
        <f>E307/E310</f>
        <v>0.98090366581415178</v>
      </c>
      <c r="F311" s="10">
        <f>F308/F310</f>
        <v>0.90873869995695222</v>
      </c>
      <c r="G311" s="10">
        <f>G309/G310</f>
        <v>0.81178160919540232</v>
      </c>
      <c r="H311" s="10"/>
      <c r="I311" s="14">
        <f>(C305+D306+E307+F308+G309)/H310</f>
        <v>0.93721055465805059</v>
      </c>
      <c r="AM311" s="78"/>
      <c r="AN311" s="78"/>
      <c r="AO311" s="78"/>
    </row>
    <row r="312" spans="1:41" x14ac:dyDescent="0.3">
      <c r="B312" s="1" t="s">
        <v>14</v>
      </c>
      <c r="C312" s="11">
        <f>1-C311</f>
        <v>0</v>
      </c>
      <c r="D312" s="11">
        <f>1-D311</f>
        <v>0.41157556270096463</v>
      </c>
      <c r="E312" s="11">
        <f>1-E311</f>
        <v>1.9096334185848218E-2</v>
      </c>
      <c r="F312" s="11">
        <f>1-F311</f>
        <v>9.1261300043047777E-2</v>
      </c>
      <c r="G312" s="11">
        <f>1-G311</f>
        <v>0.18821839080459768</v>
      </c>
      <c r="Q312" s="25"/>
    </row>
    <row r="313" spans="1:41" x14ac:dyDescent="0.3">
      <c r="C313" s="2"/>
      <c r="Q313" s="25"/>
      <c r="AM313" s="78"/>
      <c r="AN313" s="78"/>
      <c r="AO313" s="78"/>
    </row>
    <row r="314" spans="1:41" ht="15.6" x14ac:dyDescent="0.35">
      <c r="A314" t="s">
        <v>322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1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  <c r="AO315" s="78"/>
    </row>
    <row r="316" spans="1:41" x14ac:dyDescent="0.3">
      <c r="A316" t="s">
        <v>3</v>
      </c>
      <c r="B316" s="13">
        <v>0</v>
      </c>
      <c r="C316" s="29">
        <f>(C305/$L316)*$O316</f>
        <v>1.3631659721831981</v>
      </c>
      <c r="D316" s="31">
        <f>(D305/$L316)*$O316</f>
        <v>0</v>
      </c>
      <c r="E316" s="31">
        <f>(E305/$L316)*$O316</f>
        <v>0</v>
      </c>
      <c r="F316" s="31">
        <f>(F305/$L316)*$O316</f>
        <v>0</v>
      </c>
      <c r="G316" s="32">
        <f>(G305/$L316)*$O316</f>
        <v>0</v>
      </c>
      <c r="H316" s="17">
        <f>SUM(C316:G316)</f>
        <v>1.3631659721831981</v>
      </c>
      <c r="I316" s="17">
        <f>C316/H316*100</f>
        <v>100</v>
      </c>
      <c r="J316" s="17">
        <f>SQRT(I316*(100-I316)/(L316-1))</f>
        <v>0</v>
      </c>
      <c r="K316" s="18">
        <f>100-I316</f>
        <v>0</v>
      </c>
      <c r="L316" s="1">
        <f>H305</f>
        <v>90</v>
      </c>
      <c r="M316">
        <v>0</v>
      </c>
      <c r="N316" s="1">
        <v>2124.98</v>
      </c>
      <c r="O316" s="17">
        <f>N316/N321*100</f>
        <v>1.3631659721831981</v>
      </c>
      <c r="P316" s="52">
        <f>((O316*O316*(I316/100)*(K316/100))/(L316-1))</f>
        <v>0</v>
      </c>
    </row>
    <row r="317" spans="1:41" x14ac:dyDescent="0.3">
      <c r="A317" t="s">
        <v>4</v>
      </c>
      <c r="B317" s="13">
        <v>1</v>
      </c>
      <c r="C317" s="33">
        <f t="shared" ref="C317:G320" si="43">(C306/$L317)*$O317</f>
        <v>0</v>
      </c>
      <c r="D317" s="34">
        <f t="shared" si="43"/>
        <v>3.9997744691882753</v>
      </c>
      <c r="E317" s="19">
        <f t="shared" si="43"/>
        <v>0.34970705741536834</v>
      </c>
      <c r="F317" s="18">
        <f t="shared" si="43"/>
        <v>0</v>
      </c>
      <c r="G317" s="20">
        <f t="shared" si="43"/>
        <v>4.3713382176921042E-2</v>
      </c>
      <c r="H317" s="17">
        <f>SUM(C317:G317)</f>
        <v>4.393194908780564</v>
      </c>
      <c r="I317" s="17">
        <f>D317/H317*100</f>
        <v>91.044776119402997</v>
      </c>
      <c r="J317" s="17">
        <f>SQRT(I317*(100-I317)/(L317-1))</f>
        <v>2.0190670535027873</v>
      </c>
      <c r="K317" s="18">
        <f>100-I317</f>
        <v>8.9552238805970035</v>
      </c>
      <c r="L317" s="1">
        <f>H306</f>
        <v>201</v>
      </c>
      <c r="M317">
        <v>1</v>
      </c>
      <c r="N317" s="1">
        <v>6848.36</v>
      </c>
      <c r="O317" s="17">
        <f>N317/N321*100</f>
        <v>4.3931949087805648</v>
      </c>
      <c r="P317" s="52">
        <f>((O317*O317*(I317/100)*(K317/100))/(L317-1))</f>
        <v>7.8679651496903254E-3</v>
      </c>
      <c r="AM317" s="78"/>
      <c r="AN317" s="78"/>
      <c r="AO317" s="78"/>
    </row>
    <row r="318" spans="1:41" x14ac:dyDescent="0.3">
      <c r="A318" t="s">
        <v>5</v>
      </c>
      <c r="B318" s="13">
        <v>2</v>
      </c>
      <c r="C318" s="33">
        <f t="shared" si="43"/>
        <v>0</v>
      </c>
      <c r="D318" s="19">
        <f t="shared" si="43"/>
        <v>1.2348652005459921</v>
      </c>
      <c r="E318" s="34">
        <f t="shared" si="43"/>
        <v>56.833435989928738</v>
      </c>
      <c r="F318" s="19">
        <f t="shared" si="43"/>
        <v>0.44455147219655716</v>
      </c>
      <c r="G318" s="20">
        <f t="shared" si="43"/>
        <v>0.26673088331793426</v>
      </c>
      <c r="H318" s="17">
        <f>SUM(C318:G318)</f>
        <v>58.779583545989219</v>
      </c>
      <c r="I318" s="17">
        <f>E318/H318*100</f>
        <v>96.689075630252105</v>
      </c>
      <c r="J318" s="17">
        <f>SQRT(I318*(100-I318)/(L318-1))</f>
        <v>0.2319750889387675</v>
      </c>
      <c r="K318" s="18">
        <f>100-I318</f>
        <v>3.3109243697478945</v>
      </c>
      <c r="L318" s="1">
        <f>H307</f>
        <v>5950</v>
      </c>
      <c r="M318">
        <v>2</v>
      </c>
      <c r="N318" s="1">
        <v>91628.93</v>
      </c>
      <c r="O318" s="17">
        <f>N318/N321*100</f>
        <v>58.779583545989226</v>
      </c>
      <c r="P318" s="52">
        <f>((O318*O318*(I318/100)*(K318/100))/(L318-1))</f>
        <v>1.8592410918527418E-2</v>
      </c>
    </row>
    <row r="319" spans="1:41" x14ac:dyDescent="0.3">
      <c r="A319" t="s">
        <v>6</v>
      </c>
      <c r="B319" s="13">
        <v>3</v>
      </c>
      <c r="C319" s="33">
        <f t="shared" si="43"/>
        <v>0</v>
      </c>
      <c r="D319" s="19">
        <f t="shared" si="43"/>
        <v>1.0393492623533911E-2</v>
      </c>
      <c r="E319" s="19">
        <f t="shared" si="43"/>
        <v>0.8210859172591789</v>
      </c>
      <c r="F319" s="34">
        <f t="shared" si="43"/>
        <v>21.940662928280084</v>
      </c>
      <c r="G319" s="20">
        <f t="shared" si="43"/>
        <v>1.0601362476004588</v>
      </c>
      <c r="H319" s="17">
        <f>SUM(C319:G319)</f>
        <v>23.832278585763255</v>
      </c>
      <c r="I319" s="17">
        <f>F319/H319*100</f>
        <v>92.062799825556041</v>
      </c>
      <c r="J319" s="17">
        <f>SQRT(I319*(100-I319)/(L319-1))</f>
        <v>0.56463585032377839</v>
      </c>
      <c r="K319" s="18">
        <f>100-I319</f>
        <v>7.9372001744439586</v>
      </c>
      <c r="L319" s="1">
        <f>H308</f>
        <v>2293</v>
      </c>
      <c r="M319">
        <v>3</v>
      </c>
      <c r="N319" s="1">
        <v>37151.1</v>
      </c>
      <c r="O319" s="17">
        <f>N319/N321*100</f>
        <v>23.832278585763255</v>
      </c>
      <c r="P319" s="52">
        <f>((O319*O319*(I319/100)*(K319/100))/(L319-1))</f>
        <v>1.8107897701001387E-2</v>
      </c>
      <c r="AM319" s="78"/>
      <c r="AN319" s="78"/>
      <c r="AO319" s="78"/>
    </row>
    <row r="320" spans="1:41" x14ac:dyDescent="0.3">
      <c r="A320" t="s">
        <v>7</v>
      </c>
      <c r="B320" s="13">
        <v>4</v>
      </c>
      <c r="C320" s="35">
        <f t="shared" si="43"/>
        <v>0</v>
      </c>
      <c r="D320" s="36">
        <f t="shared" si="43"/>
        <v>3.0976769606614534E-2</v>
      </c>
      <c r="E320" s="21">
        <f t="shared" si="43"/>
        <v>0.26330254165622352</v>
      </c>
      <c r="F320" s="21">
        <f t="shared" si="43"/>
        <v>2.5865602621523136</v>
      </c>
      <c r="G320" s="37">
        <f t="shared" si="43"/>
        <v>8.7509374138686056</v>
      </c>
      <c r="H320" s="17">
        <f>SUM(C320:G320)</f>
        <v>11.631776987283757</v>
      </c>
      <c r="I320" s="17">
        <f>G320/H320*100</f>
        <v>75.233022636484677</v>
      </c>
      <c r="J320" s="17">
        <f>SQRT(I320*(100-I320)/(L320-1))</f>
        <v>1.5761956598623375</v>
      </c>
      <c r="K320" s="18">
        <f>100-I320</f>
        <v>24.766977363515323</v>
      </c>
      <c r="L320" s="1">
        <f>H309</f>
        <v>751</v>
      </c>
      <c r="M320">
        <v>4</v>
      </c>
      <c r="N320" s="1">
        <v>18132.27</v>
      </c>
      <c r="O320" s="17">
        <f>N320/N321*100</f>
        <v>11.631776987283757</v>
      </c>
      <c r="P320" s="52">
        <f>((O320*O320*(I320/100)*(K320/100))/(L320-1))</f>
        <v>3.3613395741802575E-2</v>
      </c>
    </row>
    <row r="321" spans="1:41" x14ac:dyDescent="0.3">
      <c r="B321" t="s">
        <v>28</v>
      </c>
      <c r="C321" s="17">
        <f t="shared" ref="C321:H321" si="44">SUM(C316:C320)</f>
        <v>1.3631659721831981</v>
      </c>
      <c r="D321" s="17">
        <f t="shared" si="44"/>
        <v>5.276009931964416</v>
      </c>
      <c r="E321" s="17">
        <f t="shared" si="44"/>
        <v>58.267531506259509</v>
      </c>
      <c r="F321" s="17">
        <f t="shared" si="44"/>
        <v>24.971774662628956</v>
      </c>
      <c r="G321" s="17">
        <f t="shared" si="44"/>
        <v>10.12151792696392</v>
      </c>
      <c r="H321" s="18">
        <f t="shared" si="44"/>
        <v>100</v>
      </c>
      <c r="I321" s="13" t="s">
        <v>24</v>
      </c>
      <c r="J321" s="12" t="s">
        <v>29</v>
      </c>
      <c r="N321" s="1">
        <f>SUM(N316:N320)</f>
        <v>155885.63999999998</v>
      </c>
      <c r="O321" s="17">
        <f>SUM(O316:O320)</f>
        <v>100</v>
      </c>
      <c r="AM321" s="78"/>
      <c r="AN321" s="78"/>
      <c r="AO321" s="78"/>
    </row>
    <row r="322" spans="1:41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0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0.14268200015436452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0.19455087195966841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0.23154179329926439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0.21832543639152327</v>
      </c>
      <c r="H322" s="1"/>
      <c r="I322" s="14">
        <f>(C316+D317+E318+F319+G320)/H321</f>
        <v>0.92887976773448888</v>
      </c>
      <c r="J322" s="53">
        <f>SQRT(SUM(P316:P320))/100</f>
        <v>2.7960985231393707E-3</v>
      </c>
      <c r="M322" s="1"/>
      <c r="N322" s="9"/>
    </row>
    <row r="323" spans="1:41" x14ac:dyDescent="0.3">
      <c r="B323" s="1" t="s">
        <v>30</v>
      </c>
      <c r="C323" s="17">
        <f>C316/C321*100</f>
        <v>100</v>
      </c>
      <c r="D323" s="17">
        <f>D317/D321*100</f>
        <v>75.810594005061688</v>
      </c>
      <c r="E323" s="17">
        <f>E318/E321*100</f>
        <v>97.538774203645971</v>
      </c>
      <c r="F323" s="17">
        <f>F319/F321*100</f>
        <v>87.861848926239801</v>
      </c>
      <c r="G323" s="17">
        <f>G320/G321*100</f>
        <v>86.458745387941647</v>
      </c>
      <c r="H323" s="1"/>
      <c r="AM323" s="78"/>
      <c r="AN323" s="78"/>
      <c r="AO323" s="78"/>
    </row>
    <row r="324" spans="1:41" x14ac:dyDescent="0.3">
      <c r="B324" s="16" t="s">
        <v>39</v>
      </c>
      <c r="C324" s="18">
        <f>SQRT((C327+C328)/(C321*C321))</f>
        <v>0</v>
      </c>
      <c r="D324" s="18">
        <f>SQRT((D327+D328)/(D321*D321))</f>
        <v>4.3733450678761665</v>
      </c>
      <c r="E324" s="18">
        <f>SQRT((E327+E328)/(E321*E321))</f>
        <v>0.23961136110824188</v>
      </c>
      <c r="F324" s="18">
        <f>SQRT((F327+F328)/(F321*F321))</f>
        <v>0.9316495626874034</v>
      </c>
      <c r="G324" s="18">
        <f>SQRT((G327+G328)/(G321*G321))</f>
        <v>2.6543897644230063</v>
      </c>
      <c r="H324" s="1"/>
    </row>
    <row r="325" spans="1:41" x14ac:dyDescent="0.3">
      <c r="B325" s="1" t="s">
        <v>37</v>
      </c>
      <c r="C325" s="18">
        <f>100-C323</f>
        <v>0</v>
      </c>
      <c r="D325" s="18">
        <f>100-D323</f>
        <v>24.189405994938312</v>
      </c>
      <c r="E325" s="18">
        <f>100-E323</f>
        <v>2.4612257963540287</v>
      </c>
      <c r="F325" s="18">
        <f>100-F323</f>
        <v>12.138151073760199</v>
      </c>
      <c r="G325" s="18">
        <f>100-G323</f>
        <v>13.541254612058353</v>
      </c>
      <c r="AM325" s="78"/>
      <c r="AN325" s="78"/>
      <c r="AO325" s="78"/>
    </row>
    <row r="326" spans="1:41" ht="15.6" x14ac:dyDescent="0.35">
      <c r="B326" s="1" t="s">
        <v>25</v>
      </c>
      <c r="C326" s="1">
        <f>C310</f>
        <v>90</v>
      </c>
      <c r="D326" s="1">
        <f>D310</f>
        <v>311</v>
      </c>
      <c r="E326" s="1">
        <f>E310</f>
        <v>5865</v>
      </c>
      <c r="F326" s="1">
        <f>F310</f>
        <v>2323</v>
      </c>
      <c r="G326" s="1">
        <f>G310</f>
        <v>696</v>
      </c>
    </row>
    <row r="327" spans="1:41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460.37616953986725</v>
      </c>
      <c r="E327" s="18">
        <f>(O318*O318*(100-E323)*(100-E323)*(I318)*(100-I318))/((L318-1)*100)</f>
        <v>11.262599115790533</v>
      </c>
      <c r="F327" s="18">
        <f>(O319*O319*(100-F323)*(100-F323)*(I319)*(100-I319))/((L319-1)*100)</f>
        <v>266.7921883457077</v>
      </c>
      <c r="G327" s="18">
        <f>(O320*O320*(100-G323)*(100-G323)*(I320)*(100-I320))/((L320-1)*100)</f>
        <v>616.35396872625324</v>
      </c>
      <c r="AM327" s="78"/>
    </row>
    <row r="328" spans="1:41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72.024631318570286</v>
      </c>
      <c r="E328" s="18">
        <f>E323*E323*(SUM((H316*E316*(1-E305/H305))/(H305-1),(H317*E317*(1-E306/H306))/(H306-1), (H319*E319*(1-E308/H308))/(H308-1),(H320*E320*(1-E309/H309))/(H309-1)))</f>
        <v>183.66262923680895</v>
      </c>
      <c r="F328" s="18">
        <f>F323*F323*(SUM((H316*F316*(1-F305/H305))/(H305-1),(H317*F317*(1-F306/H306))/(H306-1), (H318*F318*(1-F307/H307))/(H307-1),(H320*F320*(1-F309/H309))/(H309-1)))</f>
        <v>274.46538184031573</v>
      </c>
      <c r="G328" s="18">
        <f>G323*G323*(SUM((H316*G316*(1-G305/H305))/(H305-1),(H317*G317*(1-G306/H306))/(H306-1), (H318*G318*(1-G307/H307))/(H307-1),(H319*G319*(1-G308/H308))/(H308-1)))</f>
        <v>105.45235954938181</v>
      </c>
    </row>
    <row r="329" spans="1:41" x14ac:dyDescent="0.3">
      <c r="AM329" s="78"/>
    </row>
    <row r="331" spans="1:41" x14ac:dyDescent="0.3">
      <c r="A331" s="361" t="s">
        <v>429</v>
      </c>
      <c r="B331" s="361"/>
      <c r="C331" s="361"/>
      <c r="D331" s="361"/>
      <c r="E331" s="361"/>
      <c r="F331" s="361"/>
      <c r="G331" s="361"/>
      <c r="H331" s="361"/>
      <c r="I331" s="361"/>
      <c r="J331" s="361"/>
      <c r="K331" s="361"/>
      <c r="L331" s="361" t="s">
        <v>89</v>
      </c>
      <c r="M331" s="361"/>
      <c r="N331" s="361"/>
      <c r="O331" s="361"/>
      <c r="P331" s="361"/>
      <c r="AM331" s="78"/>
    </row>
    <row r="332" spans="1:41" x14ac:dyDescent="0.3">
      <c r="A332" t="s">
        <v>320</v>
      </c>
      <c r="B332" t="s">
        <v>21</v>
      </c>
      <c r="I332" s="1" t="s">
        <v>58</v>
      </c>
      <c r="O332" s="143"/>
      <c r="P332" s="143"/>
    </row>
    <row r="333" spans="1:41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56</v>
      </c>
      <c r="O333" s="13"/>
      <c r="P333" s="13"/>
      <c r="AM333" s="78"/>
    </row>
    <row r="334" spans="1:41" x14ac:dyDescent="0.3">
      <c r="A334" t="s">
        <v>3</v>
      </c>
      <c r="B334" s="13">
        <v>0</v>
      </c>
      <c r="C334" s="26">
        <v>90</v>
      </c>
      <c r="D334" s="3">
        <v>0</v>
      </c>
      <c r="E334" s="3">
        <v>0</v>
      </c>
      <c r="F334" s="3">
        <v>0</v>
      </c>
      <c r="G334" s="4">
        <v>0</v>
      </c>
      <c r="H334" s="1">
        <f>SUM(C334:G334)</f>
        <v>90</v>
      </c>
      <c r="I334" s="10">
        <f>C334/H334</f>
        <v>1</v>
      </c>
      <c r="J334" s="11">
        <f>1-I334</f>
        <v>0</v>
      </c>
      <c r="K334">
        <f>H334-C339</f>
        <v>0</v>
      </c>
      <c r="N334" s="10">
        <f>2*(C340*I334)/(C340+I334)</f>
        <v>1</v>
      </c>
      <c r="O334" s="1"/>
      <c r="P334" s="1"/>
    </row>
    <row r="335" spans="1:41" x14ac:dyDescent="0.3">
      <c r="A335" t="s">
        <v>4</v>
      </c>
      <c r="B335" s="13">
        <v>1</v>
      </c>
      <c r="C335" s="5">
        <v>0</v>
      </c>
      <c r="D335" s="27">
        <v>186</v>
      </c>
      <c r="E335" s="1">
        <v>12</v>
      </c>
      <c r="F335" s="1">
        <v>0</v>
      </c>
      <c r="G335" s="6">
        <v>3</v>
      </c>
      <c r="H335" s="1">
        <f>SUM(C335:G335)</f>
        <v>201</v>
      </c>
      <c r="I335" s="10">
        <f>D335/H335</f>
        <v>0.92537313432835822</v>
      </c>
      <c r="J335" s="11">
        <f>1-I335</f>
        <v>7.4626865671641784E-2</v>
      </c>
      <c r="K335">
        <f>H335-D339</f>
        <v>-119</v>
      </c>
      <c r="N335" s="10">
        <f>2*(D340*I335)/(D340+I335)</f>
        <v>0.71401151631477933</v>
      </c>
      <c r="O335" s="1"/>
      <c r="P335" s="1"/>
      <c r="AM335" s="78"/>
    </row>
    <row r="336" spans="1:41" x14ac:dyDescent="0.3">
      <c r="A336" t="s">
        <v>5</v>
      </c>
      <c r="B336" s="13">
        <v>2</v>
      </c>
      <c r="C336" s="5">
        <v>0</v>
      </c>
      <c r="D336" s="1">
        <v>132</v>
      </c>
      <c r="E336" s="27">
        <v>5751</v>
      </c>
      <c r="F336" s="1">
        <v>44</v>
      </c>
      <c r="G336" s="6">
        <v>23</v>
      </c>
      <c r="H336" s="1">
        <f>SUM(C336:G336)</f>
        <v>5950</v>
      </c>
      <c r="I336" s="10">
        <f>E336/H336</f>
        <v>0.96655462184873953</v>
      </c>
      <c r="J336" s="11">
        <f>1-I336</f>
        <v>3.3445378151260474E-2</v>
      </c>
      <c r="K336">
        <f>H336-E339</f>
        <v>98</v>
      </c>
      <c r="N336" s="10">
        <f>2*(E340*I336)/(E340+I336)</f>
        <v>0.97458057956278599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1</v>
      </c>
      <c r="E337" s="1">
        <v>75</v>
      </c>
      <c r="F337" s="27">
        <v>2119</v>
      </c>
      <c r="G337" s="6">
        <v>98</v>
      </c>
      <c r="H337" s="1">
        <f>SUM(C337:G337)</f>
        <v>2293</v>
      </c>
      <c r="I337" s="10">
        <f>F337/H337</f>
        <v>0.92411687745311821</v>
      </c>
      <c r="J337" s="11">
        <f>1-I337</f>
        <v>7.5883122546881787E-2</v>
      </c>
      <c r="K337">
        <f>H337-F339</f>
        <v>-36</v>
      </c>
      <c r="N337" s="10">
        <f>2*(F340*I337)/(F340+I337)</f>
        <v>0.91691908264820421</v>
      </c>
      <c r="O337" s="1"/>
      <c r="P337" s="1"/>
      <c r="AM337" s="78"/>
    </row>
    <row r="338" spans="1:40" x14ac:dyDescent="0.3">
      <c r="A338" t="s">
        <v>7</v>
      </c>
      <c r="B338" s="13">
        <v>4</v>
      </c>
      <c r="C338" s="7">
        <v>0</v>
      </c>
      <c r="D338" s="8">
        <v>1</v>
      </c>
      <c r="E338" s="8">
        <v>14</v>
      </c>
      <c r="F338" s="8">
        <v>166</v>
      </c>
      <c r="G338" s="28">
        <v>570</v>
      </c>
      <c r="H338" s="1">
        <f>SUM(C338:G338)</f>
        <v>751</v>
      </c>
      <c r="I338" s="10">
        <f>G338/H338</f>
        <v>0.75898801597869503</v>
      </c>
      <c r="J338" s="11">
        <f>1-I338</f>
        <v>0.24101198402130497</v>
      </c>
      <c r="K338">
        <f>H338-G339</f>
        <v>57</v>
      </c>
      <c r="N338" s="10">
        <f>2*(G340*I338)/(G340+I338)</f>
        <v>0.78892733564013839</v>
      </c>
      <c r="O338" s="1"/>
      <c r="P338" s="1"/>
    </row>
    <row r="339" spans="1:40" ht="15.6" x14ac:dyDescent="0.35">
      <c r="B339" s="1" t="s">
        <v>19</v>
      </c>
      <c r="C339" s="1">
        <f>SUM(C334:C338)</f>
        <v>90</v>
      </c>
      <c r="D339" s="1">
        <f>SUM(D334:D338)</f>
        <v>320</v>
      </c>
      <c r="E339" s="1">
        <f>SUM(E334:E338)</f>
        <v>5852</v>
      </c>
      <c r="F339" s="1">
        <f>SUM(F334:F338)</f>
        <v>2329</v>
      </c>
      <c r="G339" s="1">
        <f>SUM(G334:G338)</f>
        <v>694</v>
      </c>
      <c r="H339" s="1">
        <f>SUM(H333:H338)</f>
        <v>9285</v>
      </c>
      <c r="I339" s="13" t="s">
        <v>12</v>
      </c>
      <c r="N339" s="16"/>
      <c r="O339" s="1"/>
      <c r="P339" s="1"/>
      <c r="AM339" s="78"/>
    </row>
    <row r="340" spans="1:40" x14ac:dyDescent="0.3">
      <c r="A340" s="1" t="s">
        <v>321</v>
      </c>
      <c r="B340" s="1" t="s">
        <v>2</v>
      </c>
      <c r="C340" s="10">
        <f>C334/C339</f>
        <v>1</v>
      </c>
      <c r="D340" s="10">
        <f>D335/D339</f>
        <v>0.58125000000000004</v>
      </c>
      <c r="E340" s="10">
        <f>E336/E339</f>
        <v>0.98274094326725903</v>
      </c>
      <c r="F340" s="10">
        <f>F337/F339</f>
        <v>0.90983254615714904</v>
      </c>
      <c r="G340" s="10">
        <f>G338/G339</f>
        <v>0.82132564841498557</v>
      </c>
      <c r="H340" s="10"/>
      <c r="I340" s="14">
        <f>(C334+D335+E336+F337+G338)/H339</f>
        <v>0.9387183629509962</v>
      </c>
    </row>
    <row r="341" spans="1:40" x14ac:dyDescent="0.3">
      <c r="B341" s="1" t="s">
        <v>14</v>
      </c>
      <c r="C341" s="11">
        <f>1-C340</f>
        <v>0</v>
      </c>
      <c r="D341" s="11">
        <f>1-D340</f>
        <v>0.41874999999999996</v>
      </c>
      <c r="E341" s="11">
        <f>1-E340</f>
        <v>1.7259056732740974E-2</v>
      </c>
      <c r="F341" s="11">
        <f>1-F340</f>
        <v>9.0167453842850964E-2</v>
      </c>
      <c r="G341" s="11">
        <f>1-G340</f>
        <v>0.17867435158501443</v>
      </c>
      <c r="AM341" s="78"/>
      <c r="AN341" s="78"/>
    </row>
    <row r="342" spans="1:40" x14ac:dyDescent="0.3">
      <c r="C342" s="2"/>
    </row>
    <row r="343" spans="1:40" ht="15.6" x14ac:dyDescent="0.35">
      <c r="A343" t="s">
        <v>322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1.3500537958467502</v>
      </c>
      <c r="D345" s="31">
        <f>(D334/$L345)*$O345</f>
        <v>0</v>
      </c>
      <c r="E345" s="31">
        <f>(E334/$L345)*$O345</f>
        <v>0</v>
      </c>
      <c r="F345" s="31">
        <f>(F334/$L345)*$O345</f>
        <v>0</v>
      </c>
      <c r="G345" s="32">
        <f>(G334/$L345)*$O345</f>
        <v>0</v>
      </c>
      <c r="H345" s="17">
        <f>SUM(C345:G345)</f>
        <v>1.3500537958467502</v>
      </c>
      <c r="I345" s="17">
        <f>C345/H345*100</f>
        <v>100</v>
      </c>
      <c r="J345" s="17">
        <f>SQRT(I345*(100-I345)/(L345-1))</f>
        <v>0</v>
      </c>
      <c r="K345" s="18">
        <f>100-I345</f>
        <v>0</v>
      </c>
      <c r="L345" s="1">
        <f>H334</f>
        <v>90</v>
      </c>
      <c r="M345">
        <v>0</v>
      </c>
      <c r="N345" s="1">
        <v>2104.54</v>
      </c>
      <c r="O345" s="17">
        <f>N345/N350*100</f>
        <v>1.3500537958467502</v>
      </c>
      <c r="P345" s="52">
        <f>((O345*O345*(I345/100)*(K345/100))/(L345-1))</f>
        <v>0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45">(C335/$L346)*$O346</f>
        <v>0</v>
      </c>
      <c r="D346" s="34">
        <f t="shared" si="45"/>
        <v>4.3765217599413786</v>
      </c>
      <c r="E346" s="19">
        <f t="shared" si="45"/>
        <v>0.28235624257686309</v>
      </c>
      <c r="F346" s="18">
        <f t="shared" si="45"/>
        <v>0</v>
      </c>
      <c r="G346" s="20">
        <f t="shared" si="45"/>
        <v>7.0589060644215773E-2</v>
      </c>
      <c r="H346" s="17">
        <f>SUM(C346:G346)</f>
        <v>4.7294670631624571</v>
      </c>
      <c r="I346" s="17">
        <f>D346/H346*100</f>
        <v>92.53731343283583</v>
      </c>
      <c r="J346" s="17">
        <f>SQRT(I346*(100-I346)/(L346-1))</f>
        <v>1.8581939698490635</v>
      </c>
      <c r="K346" s="18">
        <f>100-I346</f>
        <v>7.4626865671641696</v>
      </c>
      <c r="L346" s="1">
        <f>H335</f>
        <v>201</v>
      </c>
      <c r="M346">
        <v>1</v>
      </c>
      <c r="N346" s="1">
        <v>7372.56</v>
      </c>
      <c r="O346" s="17">
        <f>N346/N350*100</f>
        <v>4.7294670631624571</v>
      </c>
      <c r="P346" s="52">
        <f>((O346*O346*(I346/100)*(K346/100))/(L346-1))</f>
        <v>7.7233639980807903E-3</v>
      </c>
    </row>
    <row r="347" spans="1:40" x14ac:dyDescent="0.3">
      <c r="A347" t="s">
        <v>5</v>
      </c>
      <c r="B347" s="13">
        <v>2</v>
      </c>
      <c r="C347" s="33">
        <f t="shared" si="45"/>
        <v>0</v>
      </c>
      <c r="D347" s="19">
        <f t="shared" si="45"/>
        <v>1.3029323571417346</v>
      </c>
      <c r="E347" s="34">
        <f t="shared" si="45"/>
        <v>56.766393832743297</v>
      </c>
      <c r="F347" s="19">
        <f t="shared" si="45"/>
        <v>0.43431078571391152</v>
      </c>
      <c r="G347" s="20">
        <f t="shared" si="45"/>
        <v>0.22702609253227191</v>
      </c>
      <c r="H347" s="17">
        <f>SUM(C347:G347)</f>
        <v>58.730663068131214</v>
      </c>
      <c r="I347" s="17">
        <f>E347/H347*100</f>
        <v>96.655462184873954</v>
      </c>
      <c r="J347" s="17">
        <f>SQRT(I347*(100-I347)/(L347-1))</f>
        <v>0.23310912371581605</v>
      </c>
      <c r="K347" s="18">
        <f>100-I347</f>
        <v>3.3445378151260456</v>
      </c>
      <c r="L347" s="1">
        <f>H336</f>
        <v>5950</v>
      </c>
      <c r="M347">
        <v>2</v>
      </c>
      <c r="N347" s="1">
        <v>91552.67</v>
      </c>
      <c r="O347" s="17">
        <f>N347/N350*100</f>
        <v>58.730663068131214</v>
      </c>
      <c r="P347" s="52">
        <f>((O347*O347*(I347/100)*(K347/100))/(L347-1))</f>
        <v>1.8743399060274321E-2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45"/>
        <v>0</v>
      </c>
      <c r="D348" s="19">
        <f t="shared" si="45"/>
        <v>1.0443021814703767E-2</v>
      </c>
      <c r="E348" s="19">
        <f t="shared" si="45"/>
        <v>0.78322663610278243</v>
      </c>
      <c r="F348" s="34">
        <f t="shared" si="45"/>
        <v>22.128763225357279</v>
      </c>
      <c r="G348" s="20">
        <f t="shared" si="45"/>
        <v>1.023416137840969</v>
      </c>
      <c r="H348" s="17">
        <f>SUM(C348:G348)</f>
        <v>23.945849021115734</v>
      </c>
      <c r="I348" s="17">
        <f>F348/H348*100</f>
        <v>92.411687745311824</v>
      </c>
      <c r="J348" s="17">
        <f>SQRT(I348*(100-I348)/(L348-1))</f>
        <v>0.55313194517747255</v>
      </c>
      <c r="K348" s="18">
        <f>100-I348</f>
        <v>7.5883122546881765</v>
      </c>
      <c r="L348" s="1">
        <f>H337</f>
        <v>2293</v>
      </c>
      <c r="M348">
        <v>3</v>
      </c>
      <c r="N348" s="1">
        <v>37328.14</v>
      </c>
      <c r="O348" s="17">
        <f>N348/N350*100</f>
        <v>23.945849021115734</v>
      </c>
      <c r="P348" s="52">
        <f>((O348*O348*(I348/100)*(K348/100))/(L348-1))</f>
        <v>1.7543569517669607E-2</v>
      </c>
    </row>
    <row r="349" spans="1:40" x14ac:dyDescent="0.3">
      <c r="A349" t="s">
        <v>7</v>
      </c>
      <c r="B349" s="13">
        <v>4</v>
      </c>
      <c r="C349" s="35">
        <f t="shared" si="45"/>
        <v>0</v>
      </c>
      <c r="D349" s="36">
        <f t="shared" si="45"/>
        <v>1.4971993411110291E-2</v>
      </c>
      <c r="E349" s="21">
        <f t="shared" si="45"/>
        <v>0.20960790775554408</v>
      </c>
      <c r="F349" s="21">
        <f t="shared" si="45"/>
        <v>2.485350906244308</v>
      </c>
      <c r="G349" s="37">
        <f t="shared" si="45"/>
        <v>8.5340362443328655</v>
      </c>
      <c r="H349" s="17">
        <f>SUM(C349:G349)</f>
        <v>11.243967051743828</v>
      </c>
      <c r="I349" s="17">
        <f>G349/H349*100</f>
        <v>75.898801597869507</v>
      </c>
      <c r="J349" s="17">
        <f>SQRT(I349*(100-I349)/(L349-1))</f>
        <v>1.5617306962871638</v>
      </c>
      <c r="K349" s="18">
        <f>100-I349</f>
        <v>24.101198402130493</v>
      </c>
      <c r="L349" s="1">
        <f>H338</f>
        <v>751</v>
      </c>
      <c r="M349">
        <v>4</v>
      </c>
      <c r="N349" s="1">
        <v>17527.73</v>
      </c>
      <c r="O349" s="17">
        <f>N349/N350*100</f>
        <v>11.243967051743828</v>
      </c>
      <c r="P349" s="52">
        <f>((O349*O349*(I349/100)*(K349/100))/(L349-1))</f>
        <v>3.0835530306772507E-2</v>
      </c>
      <c r="AM349" s="78"/>
      <c r="AN349" s="78"/>
    </row>
    <row r="350" spans="1:40" x14ac:dyDescent="0.3">
      <c r="B350" t="s">
        <v>28</v>
      </c>
      <c r="C350" s="17">
        <f t="shared" ref="C350:H350" si="46">SUM(C345:C349)</f>
        <v>1.3500537958467502</v>
      </c>
      <c r="D350" s="17">
        <f t="shared" si="46"/>
        <v>5.704869132308926</v>
      </c>
      <c r="E350" s="17">
        <f t="shared" si="46"/>
        <v>58.041584619178487</v>
      </c>
      <c r="F350" s="17">
        <f t="shared" si="46"/>
        <v>25.048424917315497</v>
      </c>
      <c r="G350" s="17">
        <f t="shared" si="46"/>
        <v>9.8550675353503223</v>
      </c>
      <c r="H350" s="18">
        <f t="shared" si="46"/>
        <v>99.999999999999986</v>
      </c>
      <c r="I350" s="13" t="s">
        <v>24</v>
      </c>
      <c r="J350" s="12" t="s">
        <v>29</v>
      </c>
      <c r="N350" s="1">
        <f>SUM(N345:N349)</f>
        <v>155885.64000000001</v>
      </c>
      <c r="O350" s="17">
        <f>SUM(O345:O349)</f>
        <v>99.999999999999986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0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0.14350382614839113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0.1896808643560258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0.22533715475368857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0.21188121067857504</v>
      </c>
      <c r="H351" s="1"/>
      <c r="I351" s="14">
        <f>(C345+D346+E347+F348+G349)/H350</f>
        <v>0.93155768858221588</v>
      </c>
      <c r="J351" s="53">
        <f>SQRT(SUM(P345:P349))/100</f>
        <v>2.7357971942890292E-3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76.715550496249037</v>
      </c>
      <c r="E352" s="17">
        <f>E347/E350*100</f>
        <v>97.802970413709502</v>
      </c>
      <c r="F352" s="17">
        <f>F348/F350*100</f>
        <v>88.343930999270498</v>
      </c>
      <c r="G352" s="17">
        <f>G349/G350*100</f>
        <v>86.595411078829329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3.8988208104453106</v>
      </c>
      <c r="E353" s="18">
        <f>SQRT((E356+E357)/(E350*E350))</f>
        <v>0.22747058484451019</v>
      </c>
      <c r="F353" s="18">
        <f>SQRT((F356+F357)/(F350*F350))</f>
        <v>0.89099562724338233</v>
      </c>
      <c r="G353" s="18">
        <f>SQRT((G356+G357)/(G350*G350))</f>
        <v>2.6066030018544937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23.284449503750963</v>
      </c>
      <c r="E354" s="18">
        <f>100-E352</f>
        <v>2.1970295862904976</v>
      </c>
      <c r="F354" s="18">
        <f>100-F352</f>
        <v>11.656069000729502</v>
      </c>
      <c r="G354" s="18">
        <f>100-G352</f>
        <v>13.404588921170671</v>
      </c>
    </row>
    <row r="355" spans="1:40" ht="15.6" x14ac:dyDescent="0.35">
      <c r="B355" s="1" t="s">
        <v>25</v>
      </c>
      <c r="C355" s="1">
        <f>C339</f>
        <v>90</v>
      </c>
      <c r="D355" s="1">
        <f>D339</f>
        <v>320</v>
      </c>
      <c r="E355" s="1">
        <f>E339</f>
        <v>5852</v>
      </c>
      <c r="F355" s="1">
        <f>F339</f>
        <v>2329</v>
      </c>
      <c r="G355" s="1">
        <f>G339</f>
        <v>694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418.73421887076955</v>
      </c>
      <c r="E356" s="18">
        <f>(O347*O347*(100-E352)*(100-E352)*(I347)*(100-I347))/((L347-1)*100)</f>
        <v>9.0473243973502608</v>
      </c>
      <c r="F356" s="18">
        <f>(O348*O348*(100-F352)*(100-F352)*(I348)*(100-I348))/((L348-1)*100)</f>
        <v>238.35385561536509</v>
      </c>
      <c r="G356" s="18">
        <f>(O349*O349*(100-G352)*(100-G352)*(I349)*(100-I349))/((L349-1)*100)</f>
        <v>554.06207199427001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75.984021977364733</v>
      </c>
      <c r="E357" s="18">
        <f>E352*E352*(SUM((H345*E345*(1-E334/H334))/(H334-1),(H346*E346*(1-E335/H335))/(H335-1), (H348*E348*(1-E337/H337))/(H337-1),(H349*E349*(1-E338/H338))/(H338-1)))</f>
        <v>165.26536762649621</v>
      </c>
      <c r="F357" s="18">
        <f>F352*F352*(SUM((H345*F345*(1-F334/H334))/(H334-1),(H346*F346*(1-F335/H335))/(H335-1), (H347*F347*(1-F336/H336))/(H336-1),(H349*F349*(1-F338/H338))/(H338-1)))</f>
        <v>259.74092307209099</v>
      </c>
      <c r="G357" s="18">
        <f>G352*G352*(SUM((H345*G345*(1-G334/H334))/(H334-1),(H346*G346*(1-G335/H335))/(H335-1), (H347*G347*(1-G336/H336))/(H336-1),(H348*G348*(1-G337/H337))/(H337-1)))</f>
        <v>105.82404522635338</v>
      </c>
      <c r="AM357" s="78"/>
      <c r="AN357" s="78"/>
    </row>
    <row r="359" spans="1:40" x14ac:dyDescent="0.3">
      <c r="AM359" s="78"/>
      <c r="AN359" s="78"/>
    </row>
    <row r="360" spans="1:40" x14ac:dyDescent="0.3">
      <c r="A360" s="361" t="s">
        <v>429</v>
      </c>
      <c r="B360" s="361"/>
      <c r="C360" s="361"/>
      <c r="D360" s="361"/>
      <c r="E360" s="361"/>
      <c r="F360" s="361"/>
      <c r="G360" s="361"/>
      <c r="H360" s="361"/>
      <c r="I360" s="361"/>
      <c r="J360" s="361"/>
      <c r="K360" s="361"/>
      <c r="L360" s="361" t="s">
        <v>90</v>
      </c>
      <c r="M360" s="361"/>
      <c r="N360" s="361"/>
      <c r="O360" s="361"/>
      <c r="P360" s="361"/>
    </row>
    <row r="361" spans="1:40" x14ac:dyDescent="0.3">
      <c r="A361" t="s">
        <v>15</v>
      </c>
      <c r="B361" t="s">
        <v>21</v>
      </c>
      <c r="I361" s="1" t="s">
        <v>58</v>
      </c>
      <c r="O361" s="143"/>
      <c r="P361" s="143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56</v>
      </c>
      <c r="O362" s="13"/>
      <c r="P362" s="13"/>
    </row>
    <row r="363" spans="1:40" x14ac:dyDescent="0.3">
      <c r="A363" t="s">
        <v>3</v>
      </c>
      <c r="B363" s="13">
        <v>0</v>
      </c>
      <c r="C363" s="26">
        <v>90</v>
      </c>
      <c r="D363" s="3">
        <v>0</v>
      </c>
      <c r="E363" s="3">
        <v>0</v>
      </c>
      <c r="F363" s="3">
        <v>0</v>
      </c>
      <c r="G363" s="4">
        <v>0</v>
      </c>
      <c r="H363" s="1">
        <f>SUM(C363:G363)</f>
        <v>90</v>
      </c>
      <c r="I363" s="10">
        <f>C363/H363</f>
        <v>1</v>
      </c>
      <c r="J363" s="11">
        <f>1-I363</f>
        <v>0</v>
      </c>
      <c r="K363">
        <f>H363-C368</f>
        <v>0</v>
      </c>
      <c r="N363" s="10">
        <f>2*(C369*I363)/(C369+I363)</f>
        <v>1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189</v>
      </c>
      <c r="E364" s="1">
        <v>10</v>
      </c>
      <c r="F364" s="1">
        <v>0</v>
      </c>
      <c r="G364" s="6">
        <v>2</v>
      </c>
      <c r="H364" s="1">
        <f>SUM(C364:G364)</f>
        <v>201</v>
      </c>
      <c r="I364" s="10">
        <f>D364/H364</f>
        <v>0.94029850746268662</v>
      </c>
      <c r="J364" s="11">
        <f>1-I364</f>
        <v>5.9701492537313383E-2</v>
      </c>
      <c r="K364">
        <f>H364-D368</f>
        <v>-134</v>
      </c>
      <c r="N364" s="10">
        <f>2*(D369*I364)/(D369+I364)</f>
        <v>0.70522388059701513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143</v>
      </c>
      <c r="E365" s="27">
        <v>5743</v>
      </c>
      <c r="F365" s="1">
        <v>43</v>
      </c>
      <c r="G365" s="6">
        <v>21</v>
      </c>
      <c r="H365" s="1">
        <f>SUM(C365:G365)</f>
        <v>5950</v>
      </c>
      <c r="I365" s="10">
        <f>E365/H365</f>
        <v>0.96521008403361341</v>
      </c>
      <c r="J365" s="11">
        <f>1-I365</f>
        <v>3.4789915966386586E-2</v>
      </c>
      <c r="K365">
        <f>H365-E368</f>
        <v>68</v>
      </c>
      <c r="N365" s="10">
        <f>2*(E369*I365)/(E369+I365)</f>
        <v>0.97075726842461119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3</v>
      </c>
      <c r="E366" s="1">
        <v>100</v>
      </c>
      <c r="F366" s="27">
        <v>2091</v>
      </c>
      <c r="G366" s="6">
        <v>99</v>
      </c>
      <c r="H366" s="1">
        <f>SUM(C366:G366)</f>
        <v>2293</v>
      </c>
      <c r="I366" s="10">
        <f>F366/H366</f>
        <v>0.9119058002616659</v>
      </c>
      <c r="J366" s="11">
        <f>1-I366</f>
        <v>8.80941997383341E-2</v>
      </c>
      <c r="K366">
        <f>H366-F368</f>
        <v>-18</v>
      </c>
      <c r="N366" s="10">
        <f>2*(F369*I366)/(F369+I366)</f>
        <v>0.9083405734144222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0</v>
      </c>
      <c r="E367" s="8">
        <v>29</v>
      </c>
      <c r="F367" s="8">
        <v>177</v>
      </c>
      <c r="G367" s="28">
        <v>545</v>
      </c>
      <c r="H367" s="1">
        <f>SUM(C367:G367)</f>
        <v>751</v>
      </c>
      <c r="I367" s="10">
        <f>G367/H367</f>
        <v>0.72569906790945404</v>
      </c>
      <c r="J367" s="11">
        <f>1-I367</f>
        <v>0.27430093209054596</v>
      </c>
      <c r="K367">
        <f>H367-G368</f>
        <v>84</v>
      </c>
      <c r="N367" s="10">
        <f>2*(G369*I367)/(G369+I367)</f>
        <v>0.76868829337094513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90</v>
      </c>
      <c r="D368" s="1">
        <f>SUM(D363:D367)</f>
        <v>335</v>
      </c>
      <c r="E368" s="1">
        <f>SUM(E363:E367)</f>
        <v>5882</v>
      </c>
      <c r="F368" s="1">
        <f>SUM(F363:F367)</f>
        <v>2311</v>
      </c>
      <c r="G368" s="1">
        <f>SUM(G363:G367)</f>
        <v>667</v>
      </c>
      <c r="H368" s="1">
        <f>SUM(H362:H367)</f>
        <v>9285</v>
      </c>
      <c r="I368" s="13" t="s">
        <v>12</v>
      </c>
      <c r="N368" s="16"/>
      <c r="O368" s="1"/>
      <c r="P368" s="1"/>
    </row>
    <row r="369" spans="1:40" x14ac:dyDescent="0.3">
      <c r="A369" s="1" t="s">
        <v>57</v>
      </c>
      <c r="B369" s="1" t="s">
        <v>2</v>
      </c>
      <c r="C369" s="10">
        <f>C363/C368</f>
        <v>1</v>
      </c>
      <c r="D369" s="10">
        <f>D364/D368</f>
        <v>0.56417910447761199</v>
      </c>
      <c r="E369" s="10">
        <f>E365/E368</f>
        <v>0.97636858211492694</v>
      </c>
      <c r="F369" s="10">
        <f>F366/F368</f>
        <v>0.90480311553440074</v>
      </c>
      <c r="G369" s="10">
        <f>G367/G368</f>
        <v>0.81709145427286356</v>
      </c>
      <c r="H369" s="10"/>
      <c r="I369" s="14">
        <f>(C363+D364+E365+F366+G367)/H368</f>
        <v>0.93247172859450722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0.43582089552238801</v>
      </c>
      <c r="E370" s="11">
        <f>1-E369</f>
        <v>2.3631417885073058E-2</v>
      </c>
      <c r="F370" s="11">
        <f>1-F369</f>
        <v>9.5196884465599263E-2</v>
      </c>
      <c r="G370" s="11">
        <f>1-G369</f>
        <v>0.18290854572713644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1.3539220161651837</v>
      </c>
      <c r="D374" s="31">
        <f>(D363/$L374)*$O374</f>
        <v>0</v>
      </c>
      <c r="E374" s="31">
        <f>(E363/$L374)*$O374</f>
        <v>0</v>
      </c>
      <c r="F374" s="31">
        <f>(F363/$L374)*$O374</f>
        <v>0</v>
      </c>
      <c r="G374" s="32">
        <f>(G363/$L374)*$O374</f>
        <v>0</v>
      </c>
      <c r="H374" s="17">
        <f>SUM(C374:G374)</f>
        <v>1.3539220161651837</v>
      </c>
      <c r="I374" s="17">
        <f>C374/H374*100</f>
        <v>100</v>
      </c>
      <c r="J374" s="17">
        <f>SQRT(I374*(100-I374)/(L374-1))</f>
        <v>0</v>
      </c>
      <c r="K374" s="18">
        <f>100-I374</f>
        <v>0</v>
      </c>
      <c r="L374" s="1">
        <f>H363</f>
        <v>90</v>
      </c>
      <c r="M374">
        <v>0</v>
      </c>
      <c r="N374" s="1">
        <v>2110.5700000000002</v>
      </c>
      <c r="O374" s="17">
        <f>N374/N379*100</f>
        <v>1.3539220161651837</v>
      </c>
      <c r="P374" s="52">
        <f>((O374*O374*(I374/100)*(K374/100))/(L374-1))</f>
        <v>0</v>
      </c>
    </row>
    <row r="375" spans="1:40" x14ac:dyDescent="0.3">
      <c r="A375" t="s">
        <v>4</v>
      </c>
      <c r="B375" s="13">
        <v>1</v>
      </c>
      <c r="C375" s="33">
        <f t="shared" ref="C375:G378" si="47">(C364/$L375)*$O375</f>
        <v>0</v>
      </c>
      <c r="D375" s="34">
        <f t="shared" si="47"/>
        <v>4.6495258539069786</v>
      </c>
      <c r="E375" s="19">
        <f t="shared" si="47"/>
        <v>0.24600665893687718</v>
      </c>
      <c r="F375" s="18">
        <f t="shared" si="47"/>
        <v>0</v>
      </c>
      <c r="G375" s="20">
        <f t="shared" si="47"/>
        <v>4.920133178737543E-2</v>
      </c>
      <c r="H375" s="17">
        <f>SUM(C375:G375)</f>
        <v>4.944733844631231</v>
      </c>
      <c r="I375" s="17">
        <f>D375/H375*100</f>
        <v>94.029850746268664</v>
      </c>
      <c r="J375" s="17">
        <f>SQRT(I375*(100-I375)/(L375-1))</f>
        <v>1.6753689791525102</v>
      </c>
      <c r="K375" s="18">
        <f>100-I375</f>
        <v>5.9701492537313356</v>
      </c>
      <c r="L375" s="1">
        <f>H364</f>
        <v>201</v>
      </c>
      <c r="M375">
        <v>1</v>
      </c>
      <c r="N375" s="1">
        <v>7708.13</v>
      </c>
      <c r="O375" s="17">
        <f>N375/N379*100</f>
        <v>4.944733844631231</v>
      </c>
      <c r="P375" s="52">
        <f>((O375*O375*(I375/100)*(K375/100))/(L375-1))</f>
        <v>6.8628859257617112E-3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47"/>
        <v>0</v>
      </c>
      <c r="D376" s="19">
        <f t="shared" si="47"/>
        <v>1.4074917997578222</v>
      </c>
      <c r="E376" s="34">
        <f t="shared" si="47"/>
        <v>56.526051790273939</v>
      </c>
      <c r="F376" s="19">
        <f t="shared" si="47"/>
        <v>0.42323179992717735</v>
      </c>
      <c r="G376" s="20">
        <f t="shared" si="47"/>
        <v>0.20669459996443545</v>
      </c>
      <c r="H376" s="17">
        <f>SUM(C376:G376)</f>
        <v>58.563469989923377</v>
      </c>
      <c r="I376" s="17">
        <f>E376/H376*100</f>
        <v>96.521008403361336</v>
      </c>
      <c r="J376" s="17">
        <f>SQRT(I376*(100-I376)/(L376-1))</f>
        <v>0.23758314701503555</v>
      </c>
      <c r="K376" s="18">
        <f>100-I376</f>
        <v>3.4789915966386644</v>
      </c>
      <c r="L376" s="1">
        <f>H365</f>
        <v>5950</v>
      </c>
      <c r="M376">
        <v>2</v>
      </c>
      <c r="N376" s="1">
        <v>91292.04</v>
      </c>
      <c r="O376" s="17">
        <f>N376/N379*100</f>
        <v>58.563469989923377</v>
      </c>
      <c r="P376" s="52">
        <f>((O376*O376*(I376/100)*(K376/100))/(L376-1))</f>
        <v>1.9359086682103031E-2</v>
      </c>
    </row>
    <row r="377" spans="1:40" x14ac:dyDescent="0.3">
      <c r="A377" t="s">
        <v>6</v>
      </c>
      <c r="B377" s="13">
        <v>3</v>
      </c>
      <c r="C377" s="33">
        <f t="shared" si="47"/>
        <v>0</v>
      </c>
      <c r="D377" s="19">
        <f t="shared" si="47"/>
        <v>3.1091387433818847E-2</v>
      </c>
      <c r="E377" s="19">
        <f t="shared" si="47"/>
        <v>1.0363795811272949</v>
      </c>
      <c r="F377" s="34">
        <f t="shared" si="47"/>
        <v>21.670697041371735</v>
      </c>
      <c r="G377" s="20">
        <f t="shared" si="47"/>
        <v>1.0260157853160219</v>
      </c>
      <c r="H377" s="17">
        <f>SUM(C377:G377)</f>
        <v>23.764183795248872</v>
      </c>
      <c r="I377" s="17">
        <f>F377/H377*100</f>
        <v>91.190580026166586</v>
      </c>
      <c r="J377" s="17">
        <f>SQRT(I377*(100-I377)/(L377-1))</f>
        <v>0.59202676298667523</v>
      </c>
      <c r="K377" s="18">
        <f>100-I377</f>
        <v>8.809419973833414</v>
      </c>
      <c r="L377" s="1">
        <f>H366</f>
        <v>2293</v>
      </c>
      <c r="M377">
        <v>3</v>
      </c>
      <c r="N377" s="1">
        <v>37044.949999999997</v>
      </c>
      <c r="O377" s="17">
        <f>N377/N379*100</f>
        <v>23.764183795248872</v>
      </c>
      <c r="P377" s="52">
        <f>((O377*O377*(I377/100)*(K377/100))/(L377-1))</f>
        <v>1.9793768413349129E-2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47"/>
        <v>0</v>
      </c>
      <c r="D378" s="36">
        <f t="shared" si="47"/>
        <v>0</v>
      </c>
      <c r="E378" s="21">
        <f t="shared" si="47"/>
        <v>0.43919709755913244</v>
      </c>
      <c r="F378" s="21">
        <f t="shared" si="47"/>
        <v>2.6806167678609119</v>
      </c>
      <c r="G378" s="37">
        <f t="shared" si="47"/>
        <v>8.253876488611283</v>
      </c>
      <c r="H378" s="17">
        <f>SUM(C378:G378)</f>
        <v>11.373690354031327</v>
      </c>
      <c r="I378" s="17">
        <f>G378/H378*100</f>
        <v>72.56990679094541</v>
      </c>
      <c r="J378" s="17">
        <f>SQRT(I378*(100-I378)/(L378-1))</f>
        <v>1.6291508247951494</v>
      </c>
      <c r="K378" s="18">
        <f>100-I378</f>
        <v>27.43009320905459</v>
      </c>
      <c r="L378" s="1">
        <f>H367</f>
        <v>751</v>
      </c>
      <c r="M378">
        <v>4</v>
      </c>
      <c r="N378" s="1">
        <v>17729.95</v>
      </c>
      <c r="O378" s="17">
        <f>N378/N379*100</f>
        <v>11.373690354031327</v>
      </c>
      <c r="P378" s="52">
        <f>((O378*O378*(I378/100)*(K378/100))/(L378-1))</f>
        <v>3.4334077750178653E-2</v>
      </c>
    </row>
    <row r="379" spans="1:40" x14ac:dyDescent="0.3">
      <c r="B379" t="s">
        <v>28</v>
      </c>
      <c r="C379" s="17">
        <f t="shared" ref="C379:H379" si="48">SUM(C374:C378)</f>
        <v>1.3539220161651837</v>
      </c>
      <c r="D379" s="17">
        <f t="shared" si="48"/>
        <v>6.0881090410986198</v>
      </c>
      <c r="E379" s="17">
        <f t="shared" si="48"/>
        <v>58.24763512789724</v>
      </c>
      <c r="F379" s="17">
        <f t="shared" si="48"/>
        <v>24.774545609159823</v>
      </c>
      <c r="G379" s="17">
        <f t="shared" si="48"/>
        <v>9.5357882056791148</v>
      </c>
      <c r="H379" s="18">
        <f t="shared" si="48"/>
        <v>99.999999999999986</v>
      </c>
      <c r="I379" s="13" t="s">
        <v>24</v>
      </c>
      <c r="J379" s="12" t="s">
        <v>29</v>
      </c>
      <c r="N379" s="1">
        <f>SUM(N374:N378)</f>
        <v>155885.64000000001</v>
      </c>
      <c r="O379" s="17">
        <f>SUM(O374:O378)</f>
        <v>99.999999999999986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0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0.14377405003872412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0.20438627339047444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0.23441364889980176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0.21837640752240847</v>
      </c>
      <c r="H380" s="1"/>
      <c r="I380" s="14">
        <f>(C374+D375+E376+F377+G378)/H379</f>
        <v>0.92454073190329145</v>
      </c>
      <c r="J380" s="53">
        <f>SQRT(SUM(P374:P378))/100</f>
        <v>2.8346043598956191E-3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76.370607400749762</v>
      </c>
      <c r="E381" s="17">
        <f>E376/E379*100</f>
        <v>97.044372129712855</v>
      </c>
      <c r="F381" s="17">
        <f>F377/F379*100</f>
        <v>87.471622621241892</v>
      </c>
      <c r="G381" s="17">
        <f>G378/G379*100</f>
        <v>86.556835267121613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3.5379105085034226</v>
      </c>
      <c r="E382" s="18">
        <f>SQRT((E385+E386)/(E379*E379))</f>
        <v>0.25947555279784545</v>
      </c>
      <c r="F382" s="18">
        <f>SQRT((F385+F386)/(F379*F379))</f>
        <v>0.97214425460932463</v>
      </c>
      <c r="G382" s="18">
        <f>SQRT((G385+G386)/(G379*G379))</f>
        <v>2.8157715489565711</v>
      </c>
      <c r="H382" s="1"/>
    </row>
    <row r="383" spans="1:40" x14ac:dyDescent="0.3">
      <c r="B383" s="1" t="s">
        <v>37</v>
      </c>
      <c r="C383" s="18">
        <f>100-C381</f>
        <v>0</v>
      </c>
      <c r="D383" s="18">
        <f>100-D381</f>
        <v>23.629392599250238</v>
      </c>
      <c r="E383" s="18">
        <f>100-E381</f>
        <v>2.9556278702871452</v>
      </c>
      <c r="F383" s="18">
        <f>100-F381</f>
        <v>12.528377378758108</v>
      </c>
      <c r="G383" s="18">
        <f>100-G381</f>
        <v>13.443164732878387</v>
      </c>
      <c r="AM383" s="78"/>
      <c r="AN383" s="78"/>
    </row>
    <row r="384" spans="1:40" ht="15.6" x14ac:dyDescent="0.35">
      <c r="B384" s="1" t="s">
        <v>25</v>
      </c>
      <c r="C384" s="1">
        <f>C368</f>
        <v>90</v>
      </c>
      <c r="D384" s="1">
        <f>D368</f>
        <v>335</v>
      </c>
      <c r="E384" s="1">
        <f>E368</f>
        <v>5882</v>
      </c>
      <c r="F384" s="1">
        <f>F368</f>
        <v>2311</v>
      </c>
      <c r="G384" s="1">
        <f>G368</f>
        <v>667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383.1879966460013</v>
      </c>
      <c r="E385" s="18">
        <f>(O376*O376*(100-E381)*(100-E381)*(I376)*(100-I376))/((L376-1)*100)</f>
        <v>16.911587253935664</v>
      </c>
      <c r="F385" s="18">
        <f>(O377*O377*(100-F381)*(100-F381)*(I377)*(100-I377))/((L377-1)*100)</f>
        <v>310.68346356079314</v>
      </c>
      <c r="G385" s="18">
        <f>(O378*O378*(100-G381)*(100-G381)*(I378)*(100-I378))/((L378-1)*100)</f>
        <v>620.4809142573672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80.748491811525781</v>
      </c>
      <c r="E386" s="18">
        <f>E381*E381*(SUM((H374*E374*(1-E363/H363))/(H363-1),(H375*E375*(1-E364/H364))/(H364-1), (H377*E377*(1-E366/H366))/(H366-1),(H378*E378*(1-E367/H367))/(H367-1)))</f>
        <v>211.51649140174504</v>
      </c>
      <c r="F386" s="18">
        <f>F381*F381*(SUM((H374*F374*(1-F363/H363))/(H363-1),(H375*F375*(1-F364/H364))/(H364-1), (H376*F376*(1-F365/H365))/(H365-1),(H378*F378*(1-F367/H367))/(H367-1)))</f>
        <v>269.37640960736474</v>
      </c>
      <c r="G386" s="18">
        <f>G381*G381*(SUM((H374*G374*(1-G363/H363))/(H363-1),(H375*G375*(1-G364/H364))/(H364-1), (H376*G376*(1-G365/H365))/(H365-1),(H377*G377*(1-G366/H366))/(H366-1)))</f>
        <v>100.47386659310943</v>
      </c>
    </row>
    <row r="387" spans="1:40" x14ac:dyDescent="0.3">
      <c r="AM387" s="78"/>
      <c r="AN387" s="78"/>
    </row>
    <row r="389" spans="1:40" x14ac:dyDescent="0.3">
      <c r="A389" s="361" t="s">
        <v>429</v>
      </c>
      <c r="B389" s="361"/>
      <c r="C389" s="361"/>
      <c r="D389" s="361"/>
      <c r="E389" s="361"/>
      <c r="F389" s="361"/>
      <c r="G389" s="361"/>
      <c r="H389" s="361"/>
      <c r="I389" s="361"/>
      <c r="J389" s="361"/>
      <c r="K389" s="361"/>
      <c r="L389" s="361" t="s">
        <v>91</v>
      </c>
      <c r="M389" s="361"/>
      <c r="N389" s="361"/>
      <c r="O389" s="361"/>
      <c r="P389" s="361"/>
      <c r="AM389" s="78"/>
      <c r="AN389" s="78"/>
    </row>
    <row r="390" spans="1:40" x14ac:dyDescent="0.3">
      <c r="A390" t="s">
        <v>15</v>
      </c>
      <c r="B390" t="s">
        <v>21</v>
      </c>
      <c r="I390" s="1" t="s">
        <v>58</v>
      </c>
      <c r="O390" s="143"/>
      <c r="P390" s="143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56</v>
      </c>
      <c r="O391" s="13"/>
      <c r="P391" s="13"/>
      <c r="AM391" s="78"/>
      <c r="AN391" s="78"/>
    </row>
    <row r="392" spans="1:40" x14ac:dyDescent="0.3">
      <c r="A392" t="s">
        <v>3</v>
      </c>
      <c r="B392" s="13">
        <v>0</v>
      </c>
      <c r="C392" s="26">
        <v>90</v>
      </c>
      <c r="D392" s="3">
        <v>0</v>
      </c>
      <c r="E392" s="3">
        <v>0</v>
      </c>
      <c r="F392" s="3">
        <v>0</v>
      </c>
      <c r="G392" s="4">
        <v>0</v>
      </c>
      <c r="H392" s="1">
        <f>SUM(C392:G392)</f>
        <v>90</v>
      </c>
      <c r="I392" s="10">
        <f>C392/H392</f>
        <v>1</v>
      </c>
      <c r="J392" s="11">
        <f>1-I392</f>
        <v>0</v>
      </c>
      <c r="K392">
        <f>H392-C397</f>
        <v>0</v>
      </c>
      <c r="N392" s="10">
        <f>2*(C398*I392)/(C398+I392)</f>
        <v>1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186</v>
      </c>
      <c r="E393" s="1">
        <v>13</v>
      </c>
      <c r="F393" s="1">
        <v>0</v>
      </c>
      <c r="G393" s="6">
        <v>2</v>
      </c>
      <c r="H393" s="1">
        <f>SUM(C393:G393)</f>
        <v>201</v>
      </c>
      <c r="I393" s="10">
        <f>D393/H393</f>
        <v>0.92537313432835822</v>
      </c>
      <c r="J393" s="11">
        <f>1-I393</f>
        <v>7.4626865671641784E-2</v>
      </c>
      <c r="K393">
        <f>H393-D397</f>
        <v>-120</v>
      </c>
      <c r="N393" s="10">
        <f>2*(D398*I393)/(D398+I393)</f>
        <v>0.71264367816091956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134</v>
      </c>
      <c r="E394" s="27">
        <v>5748</v>
      </c>
      <c r="F394" s="1">
        <v>46</v>
      </c>
      <c r="G394" s="6">
        <v>22</v>
      </c>
      <c r="H394" s="1">
        <f>SUM(C394:G394)</f>
        <v>5950</v>
      </c>
      <c r="I394" s="10">
        <f>E394/H394</f>
        <v>0.96605042016806719</v>
      </c>
      <c r="J394" s="11">
        <f>1-I394</f>
        <v>3.3949579831932808E-2</v>
      </c>
      <c r="K394">
        <f>H394-E397</f>
        <v>82</v>
      </c>
      <c r="N394" s="10">
        <f>2*(E398*I394)/(E398+I394)</f>
        <v>0.97275342697579958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1</v>
      </c>
      <c r="E395" s="1">
        <v>87</v>
      </c>
      <c r="F395" s="27">
        <v>2115</v>
      </c>
      <c r="G395" s="6">
        <v>90</v>
      </c>
      <c r="H395" s="1">
        <f>SUM(C395:G395)</f>
        <v>2293</v>
      </c>
      <c r="I395" s="10">
        <f>F395/H395</f>
        <v>0.92237243785433931</v>
      </c>
      <c r="J395" s="11">
        <f>1-I395</f>
        <v>7.7627562145660689E-2</v>
      </c>
      <c r="K395">
        <f>H395-F397</f>
        <v>-42</v>
      </c>
      <c r="N395" s="10">
        <f>2*(F398*I395)/(F398+I395)</f>
        <v>0.91400172860847007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0</v>
      </c>
      <c r="E396" s="8">
        <v>20</v>
      </c>
      <c r="F396" s="8">
        <v>174</v>
      </c>
      <c r="G396" s="28">
        <v>557</v>
      </c>
      <c r="H396" s="1">
        <f>SUM(C396:G396)</f>
        <v>751</v>
      </c>
      <c r="I396" s="10">
        <f>G396/H396</f>
        <v>0.74167776298268973</v>
      </c>
      <c r="J396" s="11">
        <f>1-I396</f>
        <v>0.25832223701731027</v>
      </c>
      <c r="K396">
        <f>H396-G397</f>
        <v>80</v>
      </c>
      <c r="N396" s="10">
        <f>2*(G398*I396)/(G398+I396)</f>
        <v>0.78340365682137836</v>
      </c>
      <c r="O396" s="1"/>
      <c r="P396" s="1"/>
    </row>
    <row r="397" spans="1:40" ht="15.6" x14ac:dyDescent="0.35">
      <c r="B397" s="1" t="s">
        <v>19</v>
      </c>
      <c r="C397" s="1">
        <f>SUM(C392:C396)</f>
        <v>90</v>
      </c>
      <c r="D397" s="1">
        <f>SUM(D392:D396)</f>
        <v>321</v>
      </c>
      <c r="E397" s="1">
        <f>SUM(E392:E396)</f>
        <v>5868</v>
      </c>
      <c r="F397" s="1">
        <f>SUM(F392:F396)</f>
        <v>2335</v>
      </c>
      <c r="G397" s="1">
        <f>SUM(G392:G396)</f>
        <v>671</v>
      </c>
      <c r="H397" s="1">
        <f>SUM(H391:H396)</f>
        <v>9285</v>
      </c>
      <c r="I397" s="13" t="s">
        <v>12</v>
      </c>
      <c r="N397" s="16"/>
      <c r="O397" s="1"/>
      <c r="P397" s="1"/>
      <c r="AM397" s="78"/>
      <c r="AN397" s="78"/>
    </row>
    <row r="398" spans="1:40" x14ac:dyDescent="0.3">
      <c r="A398" s="1" t="s">
        <v>57</v>
      </c>
      <c r="B398" s="1" t="s">
        <v>2</v>
      </c>
      <c r="C398" s="10">
        <f>C392/C397</f>
        <v>1</v>
      </c>
      <c r="D398" s="10">
        <f>D393/D397</f>
        <v>0.57943925233644855</v>
      </c>
      <c r="E398" s="10">
        <f>E394/E397</f>
        <v>0.9795501022494888</v>
      </c>
      <c r="F398" s="10">
        <f>F395/F397</f>
        <v>0.90578158458244107</v>
      </c>
      <c r="G398" s="10">
        <f>G396/G397</f>
        <v>0.83010432190760064</v>
      </c>
      <c r="H398" s="10"/>
      <c r="I398" s="14">
        <f>(C392+D393+E394+F395+G396)/H397</f>
        <v>0.9365643511039311</v>
      </c>
    </row>
    <row r="399" spans="1:40" x14ac:dyDescent="0.3">
      <c r="B399" s="1" t="s">
        <v>14</v>
      </c>
      <c r="C399" s="11">
        <f>1-C398</f>
        <v>0</v>
      </c>
      <c r="D399" s="11">
        <f>1-D398</f>
        <v>0.42056074766355145</v>
      </c>
      <c r="E399" s="11">
        <f>1-E398</f>
        <v>2.0449897750511203E-2</v>
      </c>
      <c r="F399" s="11">
        <f>1-F398</f>
        <v>9.4218415417558932E-2</v>
      </c>
      <c r="G399" s="11">
        <f>1-G398</f>
        <v>0.16989567809239936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1.3412718029237203</v>
      </c>
      <c r="D403" s="31">
        <f>(D392/$L403)*$O403</f>
        <v>0</v>
      </c>
      <c r="E403" s="31">
        <f>(E392/$L403)*$O403</f>
        <v>0</v>
      </c>
      <c r="F403" s="31">
        <f>(F392/$L403)*$O403</f>
        <v>0</v>
      </c>
      <c r="G403" s="32">
        <f>(G392/$L403)*$O403</f>
        <v>0</v>
      </c>
      <c r="H403" s="17">
        <f>SUM(C403:G403)</f>
        <v>1.3412718029237203</v>
      </c>
      <c r="I403" s="17">
        <f>C403/H403*100</f>
        <v>100</v>
      </c>
      <c r="J403" s="17">
        <f>SQRT(I403*(100-I403)/(L403-1))</f>
        <v>0</v>
      </c>
      <c r="K403" s="18">
        <f>100-I403</f>
        <v>0</v>
      </c>
      <c r="L403" s="1">
        <f>H392</f>
        <v>90</v>
      </c>
      <c r="M403">
        <v>0</v>
      </c>
      <c r="N403" s="1">
        <v>2090.85</v>
      </c>
      <c r="O403" s="17">
        <f>N403/N408*100</f>
        <v>1.3412718029237203</v>
      </c>
      <c r="P403" s="52">
        <f>((O403*O403*(I403/100)*(K403/100))/(L403-1))</f>
        <v>0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49">(C393/$L404)*$O404</f>
        <v>0</v>
      </c>
      <c r="D404" s="34">
        <f t="shared" si="49"/>
        <v>4.2166533993017259</v>
      </c>
      <c r="E404" s="19">
        <f t="shared" si="49"/>
        <v>0.29471233435979804</v>
      </c>
      <c r="F404" s="18">
        <f t="shared" si="49"/>
        <v>0</v>
      </c>
      <c r="G404" s="20">
        <f t="shared" si="49"/>
        <v>4.5340359132276617E-2</v>
      </c>
      <c r="H404" s="17">
        <f>SUM(C404:G404)</f>
        <v>4.5567060927938003</v>
      </c>
      <c r="I404" s="17">
        <f>D404/H404*100</f>
        <v>92.537313432835816</v>
      </c>
      <c r="J404" s="17">
        <f>SQRT(I404*(100-I404)/(L404-1))</f>
        <v>1.858193969849065</v>
      </c>
      <c r="K404" s="18">
        <f>100-I404</f>
        <v>7.4626865671641838</v>
      </c>
      <c r="L404" s="1">
        <f>H393</f>
        <v>201</v>
      </c>
      <c r="M404">
        <v>1</v>
      </c>
      <c r="N404" s="1">
        <v>7103.25</v>
      </c>
      <c r="O404" s="17">
        <f>N404/N408*100</f>
        <v>4.5567060927938003</v>
      </c>
      <c r="P404" s="52">
        <f>((O404*O404*(I404/100)*(K404/100))/(L404-1))</f>
        <v>7.1694217297753274E-3</v>
      </c>
    </row>
    <row r="405" spans="1:40" x14ac:dyDescent="0.3">
      <c r="A405" t="s">
        <v>5</v>
      </c>
      <c r="B405" s="13">
        <v>2</v>
      </c>
      <c r="C405" s="33">
        <f t="shared" si="49"/>
        <v>0</v>
      </c>
      <c r="D405" s="19">
        <f t="shared" si="49"/>
        <v>1.3200788468383879</v>
      </c>
      <c r="E405" s="34">
        <f t="shared" si="49"/>
        <v>56.625471728560107</v>
      </c>
      <c r="F405" s="19">
        <f t="shared" si="49"/>
        <v>0.45316139518332726</v>
      </c>
      <c r="G405" s="20">
        <f t="shared" si="49"/>
        <v>0.21672936291376521</v>
      </c>
      <c r="H405" s="17">
        <f>SUM(C405:G405)</f>
        <v>58.615441333495589</v>
      </c>
      <c r="I405" s="17">
        <f>E405/H405*100</f>
        <v>96.605042016806721</v>
      </c>
      <c r="J405" s="17">
        <f>SQRT(I405*(100-I405)/(L405-1))</f>
        <v>0.23479838979002374</v>
      </c>
      <c r="K405" s="18">
        <f>100-I405</f>
        <v>3.3949579831932795</v>
      </c>
      <c r="L405" s="1">
        <f>H394</f>
        <v>5950</v>
      </c>
      <c r="M405">
        <v>2</v>
      </c>
      <c r="N405" s="1">
        <v>91373.05</v>
      </c>
      <c r="O405" s="17">
        <f>N405/N408*100</f>
        <v>58.615441333495589</v>
      </c>
      <c r="P405" s="52">
        <f>((O405*O405*(I405/100)*(K405/100))/(L405-1))</f>
        <v>1.8941497328117E-2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49"/>
        <v>0</v>
      </c>
      <c r="D406" s="19">
        <f t="shared" si="49"/>
        <v>1.0386767794157783E-2</v>
      </c>
      <c r="E406" s="19">
        <f t="shared" si="49"/>
        <v>0.90364879809172716</v>
      </c>
      <c r="F406" s="34">
        <f t="shared" si="49"/>
        <v>21.968013884643714</v>
      </c>
      <c r="G406" s="20">
        <f t="shared" si="49"/>
        <v>0.93480910147420049</v>
      </c>
      <c r="H406" s="17">
        <f>SUM(C406:G406)</f>
        <v>23.816858552003801</v>
      </c>
      <c r="I406" s="17">
        <f>F406/H406*100</f>
        <v>92.237243785433918</v>
      </c>
      <c r="J406" s="17">
        <f>SQRT(I406*(100-I406)/(L406-1))</f>
        <v>0.55892537340948778</v>
      </c>
      <c r="K406" s="18">
        <f>100-I406</f>
        <v>7.7627562145660818</v>
      </c>
      <c r="L406" s="1">
        <f>H395</f>
        <v>2293</v>
      </c>
      <c r="M406">
        <v>3</v>
      </c>
      <c r="N406" s="1">
        <v>37127.06</v>
      </c>
      <c r="O406" s="17">
        <f>N406/N408*100</f>
        <v>23.816858552003797</v>
      </c>
      <c r="P406" s="52">
        <f>((O406*O406*(I406/100)*(K406/100))/(L406-1))</f>
        <v>1.7720525882685814E-2</v>
      </c>
    </row>
    <row r="407" spans="1:40" x14ac:dyDescent="0.3">
      <c r="A407" t="s">
        <v>7</v>
      </c>
      <c r="B407" s="13">
        <v>4</v>
      </c>
      <c r="C407" s="35">
        <f t="shared" si="49"/>
        <v>0</v>
      </c>
      <c r="D407" s="36">
        <f t="shared" si="49"/>
        <v>0</v>
      </c>
      <c r="E407" s="21">
        <f t="shared" si="49"/>
        <v>0.31077822153883061</v>
      </c>
      <c r="F407" s="21">
        <f t="shared" si="49"/>
        <v>2.7037705273878263</v>
      </c>
      <c r="G407" s="37">
        <f t="shared" si="49"/>
        <v>8.6551734698564324</v>
      </c>
      <c r="H407" s="17">
        <f>SUM(C407:G407)</f>
        <v>11.66972221878309</v>
      </c>
      <c r="I407" s="17">
        <f>G407/H407*100</f>
        <v>74.167776298268976</v>
      </c>
      <c r="J407" s="17">
        <f>SQRT(I407*(100-I407)/(L407-1))</f>
        <v>1.5982985072869746</v>
      </c>
      <c r="K407" s="18">
        <f>100-I407</f>
        <v>25.832223701731024</v>
      </c>
      <c r="L407" s="1">
        <f>H396</f>
        <v>751</v>
      </c>
      <c r="M407">
        <v>4</v>
      </c>
      <c r="N407" s="1">
        <v>18191.419999999998</v>
      </c>
      <c r="O407" s="17">
        <f>N407/N408*100</f>
        <v>11.66972221878309</v>
      </c>
      <c r="P407" s="52">
        <f>((O407*O407*(I407/100)*(K407/100))/(L407-1))</f>
        <v>3.4788589807065194E-2</v>
      </c>
      <c r="AM407" s="78"/>
      <c r="AN407" s="78"/>
    </row>
    <row r="408" spans="1:40" x14ac:dyDescent="0.3">
      <c r="B408" t="s">
        <v>28</v>
      </c>
      <c r="C408" s="17">
        <f t="shared" ref="C408:H408" si="50">SUM(C403:C407)</f>
        <v>1.3412718029237203</v>
      </c>
      <c r="D408" s="17">
        <f t="shared" si="50"/>
        <v>5.547119013934271</v>
      </c>
      <c r="E408" s="17">
        <f t="shared" si="50"/>
        <v>58.134611082550471</v>
      </c>
      <c r="F408" s="17">
        <f t="shared" si="50"/>
        <v>25.124945807214864</v>
      </c>
      <c r="G408" s="17">
        <f t="shared" si="50"/>
        <v>9.8520522933766745</v>
      </c>
      <c r="H408" s="18">
        <f t="shared" si="50"/>
        <v>100.00000000000001</v>
      </c>
      <c r="I408" s="13" t="s">
        <v>24</v>
      </c>
      <c r="J408" s="12" t="s">
        <v>29</v>
      </c>
      <c r="N408" s="1">
        <f>SUM(N403:N407)</f>
        <v>155885.63</v>
      </c>
      <c r="O408" s="17">
        <f>SUM(O403:O407)</f>
        <v>100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0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0.14125598769809419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0.19727594751342017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0.23328521347738038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0.21729158962728967</v>
      </c>
      <c r="H409" s="1"/>
      <c r="I409" s="56">
        <f>(C403+D404+E405+F406+G407)/H408</f>
        <v>0.92806584285285698</v>
      </c>
      <c r="J409" s="53">
        <f>SQRT(SUM(P403:P407))/100</f>
        <v>2.8039264389003388E-3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76.015196153346679</v>
      </c>
      <c r="E410" s="17">
        <f>E405/E408*100</f>
        <v>97.40406046262629</v>
      </c>
      <c r="F410" s="17">
        <f>F406/F408*100</f>
        <v>87.435069723952964</v>
      </c>
      <c r="G410" s="17">
        <f>G407/G408*100</f>
        <v>87.851477155425997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3.9763487052447335</v>
      </c>
      <c r="E411" s="18">
        <f>SQRT((E414+E415)/(E408*E408))</f>
        <v>0.24491042497033744</v>
      </c>
      <c r="F411" s="18">
        <f>SQRT((F414+F415)/(F408*F408))</f>
        <v>0.94248732799617896</v>
      </c>
      <c r="G411" s="18">
        <f>SQRT((G414+G415)/(G408*G408))</f>
        <v>2.5064433466490983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23.984803846653321</v>
      </c>
      <c r="E412" s="18">
        <f>100-E410</f>
        <v>2.5959395373737095</v>
      </c>
      <c r="F412" s="18">
        <f>100-F410</f>
        <v>12.564930276047036</v>
      </c>
      <c r="G412" s="18">
        <f>100-G410</f>
        <v>12.148522844574003</v>
      </c>
    </row>
    <row r="413" spans="1:40" ht="15.6" x14ac:dyDescent="0.35">
      <c r="B413" s="1" t="s">
        <v>25</v>
      </c>
      <c r="C413" s="1">
        <f>C397</f>
        <v>90</v>
      </c>
      <c r="D413" s="1">
        <f>D397</f>
        <v>321</v>
      </c>
      <c r="E413" s="1">
        <f>E397</f>
        <v>5868</v>
      </c>
      <c r="F413" s="1">
        <f>F397</f>
        <v>2335</v>
      </c>
      <c r="G413" s="1">
        <f>G397</f>
        <v>671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412.43590855989021</v>
      </c>
      <c r="E414" s="18">
        <f>(O405*O405*(100-E410)*(100-E410)*(I405)*(100-I405))/((L405-1)*100)</f>
        <v>12.76448957749632</v>
      </c>
      <c r="F414" s="18">
        <f>(O406*O406*(100-F410)*(100-F410)*(I406)*(100-I406))/((L406-1)*100)</f>
        <v>279.76718437883312</v>
      </c>
      <c r="G414" s="18">
        <f>(O407*O407*(100-G410)*(100-G410)*(I407)*(100-I407))/((L407-1)*100)</f>
        <v>513.43299425548037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74.087670773672343</v>
      </c>
      <c r="E415" s="18">
        <f>E410*E410*(SUM((H403*E403*(1-E392/H392))/(H392-1),(H404*E404*(1-E393/H393))/(H393-1), (H406*E406*(1-E395/H395))/(H395-1),(H407*E407*(1-E396/H396))/(H396-1)))</f>
        <v>189.94967065182388</v>
      </c>
      <c r="F415" s="18">
        <f>F410*F410*(SUM((H403*F403*(1-F392/H392))/(H392-1),(H404*F404*(1-F393/H393))/(H393-1), (H405*F405*(1-F394/H394))/(H394-1),(H407*F407*(1-F396/H396))/(H396-1)))</f>
        <v>280.97251799363664</v>
      </c>
      <c r="G415" s="18">
        <f>G410*G410*(SUM((H403*G403*(1-G392/H392))/(H392-1),(H404*G404*(1-G393/H393))/(H393-1), (H405*G405*(1-G394/H394))/(H394-1),(H406*G406*(1-G395/H395))/(H395-1)))</f>
        <v>96.341426090546932</v>
      </c>
      <c r="AM415" s="78"/>
      <c r="AN415" s="78"/>
    </row>
    <row r="417" spans="1:40" x14ac:dyDescent="0.3">
      <c r="AM417" s="78"/>
      <c r="AN417" s="78"/>
    </row>
    <row r="418" spans="1:40" x14ac:dyDescent="0.3">
      <c r="A418" s="361" t="s">
        <v>429</v>
      </c>
      <c r="B418" s="361"/>
      <c r="C418" s="361"/>
      <c r="D418" s="361"/>
      <c r="E418" s="361"/>
      <c r="F418" s="361"/>
      <c r="G418" s="361"/>
      <c r="H418" s="361"/>
      <c r="I418" s="361"/>
      <c r="J418" s="361"/>
      <c r="K418" s="361"/>
      <c r="L418" s="361" t="s">
        <v>92</v>
      </c>
      <c r="M418" s="361"/>
      <c r="N418" s="361"/>
      <c r="O418" s="361"/>
      <c r="P418" s="361"/>
    </row>
    <row r="419" spans="1:40" x14ac:dyDescent="0.3">
      <c r="A419" t="s">
        <v>15</v>
      </c>
      <c r="B419" t="s">
        <v>21</v>
      </c>
      <c r="I419" s="1" t="s">
        <v>58</v>
      </c>
      <c r="O419" s="143"/>
      <c r="P419" s="143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56</v>
      </c>
      <c r="O420" s="13"/>
      <c r="P420" s="13"/>
    </row>
    <row r="421" spans="1:40" x14ac:dyDescent="0.3">
      <c r="A421" t="s">
        <v>3</v>
      </c>
      <c r="B421" s="13">
        <v>0</v>
      </c>
      <c r="C421" s="26">
        <v>90</v>
      </c>
      <c r="D421" s="3">
        <v>0</v>
      </c>
      <c r="E421" s="3">
        <v>0</v>
      </c>
      <c r="F421" s="3">
        <v>0</v>
      </c>
      <c r="G421" s="4">
        <v>0</v>
      </c>
      <c r="H421" s="1">
        <f>SUM(C421:G421)</f>
        <v>90</v>
      </c>
      <c r="I421" s="10">
        <f>C421/H421</f>
        <v>1</v>
      </c>
      <c r="J421" s="11">
        <f>1-I421</f>
        <v>0</v>
      </c>
      <c r="K421">
        <f>H421-C426</f>
        <v>0</v>
      </c>
      <c r="N421" s="10">
        <f>2*(C427*I421)/(C427+I421)</f>
        <v>1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185</v>
      </c>
      <c r="E422" s="1">
        <v>13</v>
      </c>
      <c r="F422" s="1">
        <v>0</v>
      </c>
      <c r="G422" s="6">
        <v>3</v>
      </c>
      <c r="H422" s="1">
        <f>SUM(C422:G422)</f>
        <v>201</v>
      </c>
      <c r="I422" s="10">
        <f>D422/H422</f>
        <v>0.92039800995024879</v>
      </c>
      <c r="J422" s="11">
        <f>1-I422</f>
        <v>7.9601990049751215E-2</v>
      </c>
      <c r="K422">
        <f>H422-D426</f>
        <v>-125</v>
      </c>
      <c r="N422" s="10">
        <f>2*(D427*I422)/(D427+I422)</f>
        <v>0.7020872865275144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138</v>
      </c>
      <c r="E423" s="27">
        <v>5749</v>
      </c>
      <c r="F423" s="1">
        <v>40</v>
      </c>
      <c r="G423" s="6">
        <v>23</v>
      </c>
      <c r="H423" s="1">
        <f>SUM(C423:G423)</f>
        <v>5950</v>
      </c>
      <c r="I423" s="10">
        <f>E423/H423</f>
        <v>0.96621848739495797</v>
      </c>
      <c r="J423" s="11">
        <f>1-I423</f>
        <v>3.378151260504203E-2</v>
      </c>
      <c r="K423">
        <f>H423-E426</f>
        <v>97</v>
      </c>
      <c r="N423" s="10">
        <f>2*(E427*I423)/(E427+I423)</f>
        <v>0.9741591120901465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1</v>
      </c>
      <c r="E424" s="1">
        <v>73</v>
      </c>
      <c r="F424" s="27">
        <v>2121</v>
      </c>
      <c r="G424" s="6">
        <v>98</v>
      </c>
      <c r="H424" s="1">
        <f>SUM(C424:G424)</f>
        <v>2293</v>
      </c>
      <c r="I424" s="10">
        <f>F424/H424</f>
        <v>0.92498909725250766</v>
      </c>
      <c r="J424" s="11">
        <f>1-I424</f>
        <v>7.5010902747492336E-2</v>
      </c>
      <c r="K424">
        <f>H424-F426</f>
        <v>-51</v>
      </c>
      <c r="N424" s="10">
        <f>2*(F427*I424)/(F427+I424)</f>
        <v>0.91481561354323915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2</v>
      </c>
      <c r="E425" s="8">
        <v>18</v>
      </c>
      <c r="F425" s="8">
        <v>183</v>
      </c>
      <c r="G425" s="28">
        <v>548</v>
      </c>
      <c r="H425" s="1">
        <f>SUM(C425:G425)</f>
        <v>751</v>
      </c>
      <c r="I425" s="10">
        <f>G425/H425</f>
        <v>0.72969374167776302</v>
      </c>
      <c r="J425" s="11">
        <f>1-I425</f>
        <v>0.27030625832223698</v>
      </c>
      <c r="K425">
        <f>H425-G426</f>
        <v>79</v>
      </c>
      <c r="N425" s="10">
        <f>2*(G427*I425)/(G427+I425)</f>
        <v>0.7702037947997189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90</v>
      </c>
      <c r="D426" s="1">
        <f>SUM(D421:D425)</f>
        <v>326</v>
      </c>
      <c r="E426" s="1">
        <f>SUM(E421:E425)</f>
        <v>5853</v>
      </c>
      <c r="F426" s="1">
        <f>SUM(F421:F425)</f>
        <v>2344</v>
      </c>
      <c r="G426" s="1">
        <f>SUM(G421:G425)</f>
        <v>672</v>
      </c>
      <c r="H426" s="1">
        <f>SUM(H420:H425)</f>
        <v>9285</v>
      </c>
      <c r="I426" s="13" t="s">
        <v>12</v>
      </c>
      <c r="N426" s="16"/>
      <c r="O426" s="1"/>
      <c r="P426" s="1"/>
    </row>
    <row r="427" spans="1:40" x14ac:dyDescent="0.3">
      <c r="A427" s="1" t="s">
        <v>57</v>
      </c>
      <c r="B427" s="1" t="s">
        <v>2</v>
      </c>
      <c r="C427" s="10">
        <f>C421/C426</f>
        <v>1</v>
      </c>
      <c r="D427" s="10">
        <f>D422/D426</f>
        <v>0.56748466257668717</v>
      </c>
      <c r="E427" s="10">
        <f>E423/E426</f>
        <v>0.98223133435844867</v>
      </c>
      <c r="F427" s="10">
        <f>F424/F426</f>
        <v>0.90486348122866889</v>
      </c>
      <c r="G427" s="10">
        <f>G425/G426</f>
        <v>0.81547619047619047</v>
      </c>
      <c r="H427" s="10"/>
      <c r="I427" s="14">
        <f>(C421+D422+E423+F424+G425)/H426</f>
        <v>0.93624124932687125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0.43251533742331283</v>
      </c>
      <c r="E428" s="11">
        <f>1-E427</f>
        <v>1.7768665641551329E-2</v>
      </c>
      <c r="F428" s="11">
        <f>1-F427</f>
        <v>9.5136518771331113E-2</v>
      </c>
      <c r="G428" s="11">
        <f>1-G427</f>
        <v>0.18452380952380953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1.336826064490221</v>
      </c>
      <c r="D432" s="31">
        <f>(D421/$L432)*$O432</f>
        <v>0</v>
      </c>
      <c r="E432" s="31">
        <f>(E421/$L432)*$O432</f>
        <v>0</v>
      </c>
      <c r="F432" s="31">
        <f>(F421/$L432)*$O432</f>
        <v>0</v>
      </c>
      <c r="G432" s="32">
        <f>(G421/$L432)*$O432</f>
        <v>0</v>
      </c>
      <c r="H432" s="17">
        <f>SUM(C432:G432)</f>
        <v>1.336826064490221</v>
      </c>
      <c r="I432" s="17">
        <f>C432/H432*100</f>
        <v>100</v>
      </c>
      <c r="J432" s="17">
        <f>SQRT(I432*(100-I432)/(L432-1))</f>
        <v>0</v>
      </c>
      <c r="K432" s="18">
        <f>100-I432</f>
        <v>0</v>
      </c>
      <c r="L432" s="1">
        <f>H421</f>
        <v>90</v>
      </c>
      <c r="M432">
        <v>0</v>
      </c>
      <c r="N432" s="1">
        <v>2083.92</v>
      </c>
      <c r="O432" s="17">
        <f>N432/N437*100</f>
        <v>1.336826064490221</v>
      </c>
      <c r="P432" s="52">
        <f>((O432*O432*(I432/100)*(K432/100))/(L432-1))</f>
        <v>0</v>
      </c>
    </row>
    <row r="433" spans="1:40" x14ac:dyDescent="0.3">
      <c r="A433" t="s">
        <v>4</v>
      </c>
      <c r="B433" s="13">
        <v>1</v>
      </c>
      <c r="C433" s="33">
        <f t="shared" ref="C433:G436" si="51">(C422/$L433)*$O433</f>
        <v>0</v>
      </c>
      <c r="D433" s="34">
        <f t="shared" si="51"/>
        <v>4.2472041787015167</v>
      </c>
      <c r="E433" s="19">
        <f t="shared" si="51"/>
        <v>0.29845218553037683</v>
      </c>
      <c r="F433" s="18">
        <f t="shared" si="51"/>
        <v>0</v>
      </c>
      <c r="G433" s="20">
        <f t="shared" si="51"/>
        <v>6.8873581276240811E-2</v>
      </c>
      <c r="H433" s="17">
        <f>SUM(C433:G433)</f>
        <v>4.6145299455081341</v>
      </c>
      <c r="I433" s="17">
        <f>D433/H433*100</f>
        <v>92.039800995024876</v>
      </c>
      <c r="J433" s="17">
        <f>SQRT(I433*(100-I433)/(L433-1))</f>
        <v>1.9139685633503825</v>
      </c>
      <c r="K433" s="18">
        <f>100-I433</f>
        <v>7.9601990049751237</v>
      </c>
      <c r="L433" s="1">
        <f>H422</f>
        <v>201</v>
      </c>
      <c r="M433">
        <v>1</v>
      </c>
      <c r="N433" s="1">
        <v>7193.39</v>
      </c>
      <c r="O433" s="17">
        <f>N433/N437*100</f>
        <v>4.6145299455081341</v>
      </c>
      <c r="P433" s="52">
        <f>((O433*O433*(I433/100)*(K433/100))/(L433-1))</f>
        <v>7.8005376586290261E-3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51"/>
        <v>0</v>
      </c>
      <c r="D434" s="19">
        <f t="shared" si="51"/>
        <v>1.3630380125086681</v>
      </c>
      <c r="E434" s="34">
        <f t="shared" si="51"/>
        <v>56.783373434147336</v>
      </c>
      <c r="F434" s="19">
        <f t="shared" si="51"/>
        <v>0.39508348188657044</v>
      </c>
      <c r="G434" s="20">
        <f t="shared" si="51"/>
        <v>0.227173002084778</v>
      </c>
      <c r="H434" s="17">
        <f>SUM(C434:G434)</f>
        <v>58.768667930627352</v>
      </c>
      <c r="I434" s="17">
        <f>E434/H434*100</f>
        <v>96.621848739495803</v>
      </c>
      <c r="J434" s="17">
        <f>SQRT(I434*(100-I434)/(L434-1))</f>
        <v>0.23423685743494932</v>
      </c>
      <c r="K434" s="18">
        <f>100-I434</f>
        <v>3.3781512605041968</v>
      </c>
      <c r="L434" s="1">
        <f>H423</f>
        <v>5950</v>
      </c>
      <c r="M434">
        <v>2</v>
      </c>
      <c r="N434" s="1">
        <v>91611.92</v>
      </c>
      <c r="O434" s="17">
        <f>N434/N437*100</f>
        <v>58.768667930627352</v>
      </c>
      <c r="P434" s="52">
        <f>((O434*O434*(I434/100)*(K434/100))/(L434-1))</f>
        <v>1.8949692178581629E-2</v>
      </c>
    </row>
    <row r="435" spans="1:40" x14ac:dyDescent="0.3">
      <c r="A435" t="s">
        <v>6</v>
      </c>
      <c r="B435" s="13">
        <v>3</v>
      </c>
      <c r="C435" s="33">
        <f t="shared" si="51"/>
        <v>0</v>
      </c>
      <c r="D435" s="19">
        <f t="shared" si="51"/>
        <v>1.0285906413786019E-2</v>
      </c>
      <c r="E435" s="19">
        <f t="shared" si="51"/>
        <v>0.75087116820637934</v>
      </c>
      <c r="F435" s="34">
        <f t="shared" si="51"/>
        <v>21.816407503640143</v>
      </c>
      <c r="G435" s="20">
        <f t="shared" si="51"/>
        <v>1.0080188285510296</v>
      </c>
      <c r="H435" s="17">
        <f>SUM(C435:G435)</f>
        <v>23.585583406811338</v>
      </c>
      <c r="I435" s="17">
        <f>F435/H435*100</f>
        <v>92.498909725250769</v>
      </c>
      <c r="J435" s="17">
        <f>SQRT(I435*(100-I435)/(L435-1))</f>
        <v>0.55020330692849784</v>
      </c>
      <c r="K435" s="18">
        <f>100-I435</f>
        <v>7.501090274749231</v>
      </c>
      <c r="L435" s="1">
        <f>H424</f>
        <v>2293</v>
      </c>
      <c r="M435">
        <v>3</v>
      </c>
      <c r="N435" s="1">
        <v>36766.54</v>
      </c>
      <c r="O435" s="17">
        <f>N435/N437*100</f>
        <v>23.585583406811338</v>
      </c>
      <c r="P435" s="52">
        <f>((O435*O435*(I435/100)*(K435/100))/(L435-1))</f>
        <v>1.6839905082549459E-2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51"/>
        <v>0</v>
      </c>
      <c r="D436" s="36">
        <f t="shared" si="51"/>
        <v>3.1143522376998547E-2</v>
      </c>
      <c r="E436" s="21">
        <f t="shared" si="51"/>
        <v>0.28029170139298687</v>
      </c>
      <c r="F436" s="21">
        <f t="shared" si="51"/>
        <v>2.8496322974953667</v>
      </c>
      <c r="G436" s="37">
        <f t="shared" si="51"/>
        <v>8.5333251312976017</v>
      </c>
      <c r="H436" s="17">
        <f>SUM(C436:G436)</f>
        <v>11.694392652562954</v>
      </c>
      <c r="I436" s="17">
        <f>G436/H436*100</f>
        <v>72.969374167776309</v>
      </c>
      <c r="J436" s="17">
        <f>SQRT(I436*(100-I436)/(L436-1))</f>
        <v>1.6216895923041459</v>
      </c>
      <c r="K436" s="18">
        <f>100-I436</f>
        <v>27.030625832223691</v>
      </c>
      <c r="L436" s="1">
        <f>H425</f>
        <v>751</v>
      </c>
      <c r="M436">
        <v>4</v>
      </c>
      <c r="N436" s="1">
        <v>18229.88</v>
      </c>
      <c r="O436" s="17">
        <f>N436/N437*100</f>
        <v>11.694392652562954</v>
      </c>
      <c r="P436" s="52">
        <f>((O436*O436*(I436/100)*(K436/100))/(L436-1))</f>
        <v>3.5965889227922987E-2</v>
      </c>
    </row>
    <row r="437" spans="1:40" x14ac:dyDescent="0.3">
      <c r="B437" t="s">
        <v>28</v>
      </c>
      <c r="C437" s="17">
        <f t="shared" ref="C437:H437" si="52">SUM(C432:C436)</f>
        <v>1.336826064490221</v>
      </c>
      <c r="D437" s="17">
        <f t="shared" si="52"/>
        <v>5.65167162000097</v>
      </c>
      <c r="E437" s="17">
        <f t="shared" si="52"/>
        <v>58.112988489277086</v>
      </c>
      <c r="F437" s="17">
        <f t="shared" si="52"/>
        <v>25.061123283022077</v>
      </c>
      <c r="G437" s="17">
        <f t="shared" si="52"/>
        <v>9.8373905432096507</v>
      </c>
      <c r="H437" s="18">
        <f t="shared" si="52"/>
        <v>100</v>
      </c>
      <c r="I437" s="13" t="s">
        <v>24</v>
      </c>
      <c r="J437" s="12" t="s">
        <v>29</v>
      </c>
      <c r="N437" s="1">
        <f>SUM(N432:N436)</f>
        <v>155885.65</v>
      </c>
      <c r="O437" s="17">
        <f>SUM(O432:O436)</f>
        <v>100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0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0.14663474462774165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0.19259467905663974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0.23295837873357117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0.22279133278158084</v>
      </c>
      <c r="H438" s="1"/>
      <c r="I438" s="56">
        <f>(C432+D433+E434+F435+G436)/H437</f>
        <v>0.92717136312276804</v>
      </c>
      <c r="J438" s="53">
        <f>SQRT(SUM(P432:P436))/100</f>
        <v>2.8205677468850681E-3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75.149521491497907</v>
      </c>
      <c r="E439" s="17">
        <f>E434/E437*100</f>
        <v>97.712017416940995</v>
      </c>
      <c r="F439" s="17">
        <f>F435/F437*100</f>
        <v>87.052791917032295</v>
      </c>
      <c r="G439" s="17">
        <f>G436/G437*100</f>
        <v>86.743787326689073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4.1846373186216326</v>
      </c>
      <c r="E440" s="18">
        <f>SQRT((E443+E444)/(E437*E437))</f>
        <v>0.23314240194785682</v>
      </c>
      <c r="F440" s="18">
        <f>SQRT((F443+F444)/(F437*F437))</f>
        <v>0.94959149961369893</v>
      </c>
      <c r="G440" s="18">
        <f>SQRT((G443+G444)/(G437*G437))</f>
        <v>2.7565264121075486</v>
      </c>
      <c r="H440" s="1"/>
    </row>
    <row r="441" spans="1:40" x14ac:dyDescent="0.3">
      <c r="B441" s="1" t="s">
        <v>37</v>
      </c>
      <c r="C441" s="18">
        <f>100-C439</f>
        <v>0</v>
      </c>
      <c r="D441" s="18">
        <f>100-D439</f>
        <v>24.850478508502093</v>
      </c>
      <c r="E441" s="18">
        <f>100-E439</f>
        <v>2.287982583059005</v>
      </c>
      <c r="F441" s="18">
        <f>100-F439</f>
        <v>12.947208082967705</v>
      </c>
      <c r="G441" s="18">
        <f>100-G439</f>
        <v>13.256212673310927</v>
      </c>
      <c r="AM441" s="78"/>
      <c r="AN441" s="78"/>
    </row>
    <row r="442" spans="1:40" ht="15.6" x14ac:dyDescent="0.35">
      <c r="B442" s="1" t="s">
        <v>25</v>
      </c>
      <c r="C442" s="1">
        <f>C426</f>
        <v>90</v>
      </c>
      <c r="D442" s="1">
        <f>D426</f>
        <v>326</v>
      </c>
      <c r="E442" s="1">
        <f>E426</f>
        <v>5853</v>
      </c>
      <c r="F442" s="1">
        <f>F426</f>
        <v>2344</v>
      </c>
      <c r="G442" s="1">
        <f>G426</f>
        <v>672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481.71930294792855</v>
      </c>
      <c r="E443" s="18">
        <f>(O434*O434*(100-E439)*(100-E439)*(I434)*(100-I434))/((L434-1)*100)</f>
        <v>9.9199067088872788</v>
      </c>
      <c r="F443" s="18">
        <f>(O435*O435*(100-F439)*(100-F439)*(I435)*(100-I435))/((L435-1)*100)</f>
        <v>282.28766088683602</v>
      </c>
      <c r="G443" s="18">
        <f>(O436*O436*(100-G439)*(100-G439)*(I436)*(100-I436))/((L436-1)*100)</f>
        <v>632.01840902467097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77.612466644161728</v>
      </c>
      <c r="E444" s="18">
        <f>E439*E439*(SUM((H432*E432*(1-E421/H421))/(H421-1),(H433*E433*(1-E422/H422))/(H422-1), (H435*E435*(1-E424/H424))/(H424-1),(H436*E436*(1-E425/H425))/(H425-1)))</f>
        <v>173.64470187884518</v>
      </c>
      <c r="F444" s="18">
        <f>F439*F439*(SUM((H432*F432*(1-F421/H421))/(H421-1),(H433*F433*(1-F422/H422))/(H422-1), (H434*F434*(1-F423/H423))/(H423-1),(H436*F436*(1-F425/H425))/(H425-1)))</f>
        <v>284.04903470327218</v>
      </c>
      <c r="G444" s="18">
        <f>G439*G439*(SUM((H432*G432*(1-G421/H421))/(H421-1),(H433*G433*(1-G422/H422))/(H422-1), (H434*G434*(1-G423/H423))/(H423-1),(H435*G435*(1-G424/H424))/(H424-1)))</f>
        <v>103.31473662397585</v>
      </c>
    </row>
    <row r="445" spans="1:40" x14ac:dyDescent="0.3">
      <c r="AM445" s="78"/>
      <c r="AN445" s="78"/>
    </row>
    <row r="447" spans="1:40" x14ac:dyDescent="0.3">
      <c r="A447" s="361" t="s">
        <v>429</v>
      </c>
      <c r="B447" s="361"/>
      <c r="C447" s="361"/>
      <c r="D447" s="361"/>
      <c r="E447" s="361"/>
      <c r="F447" s="361"/>
      <c r="G447" s="361"/>
      <c r="H447" s="361"/>
      <c r="I447" s="361"/>
      <c r="J447" s="361"/>
      <c r="K447" s="361"/>
      <c r="L447" s="361" t="s">
        <v>93</v>
      </c>
      <c r="M447" s="361"/>
      <c r="N447" s="361"/>
      <c r="O447" s="361"/>
      <c r="P447" s="361"/>
      <c r="AM447" s="78"/>
      <c r="AN447" s="78"/>
    </row>
    <row r="448" spans="1:40" x14ac:dyDescent="0.3">
      <c r="A448" t="s">
        <v>15</v>
      </c>
      <c r="B448" t="s">
        <v>21</v>
      </c>
      <c r="I448" s="1" t="s">
        <v>58</v>
      </c>
      <c r="O448" s="143"/>
      <c r="P448" s="143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56</v>
      </c>
      <c r="O449" s="13"/>
      <c r="P449" s="13"/>
      <c r="AM449" s="78"/>
      <c r="AN449" s="78"/>
    </row>
    <row r="450" spans="1:40" x14ac:dyDescent="0.3">
      <c r="A450" t="s">
        <v>3</v>
      </c>
      <c r="B450" s="13">
        <v>0</v>
      </c>
      <c r="C450" s="26">
        <v>90</v>
      </c>
      <c r="D450" s="3">
        <v>0</v>
      </c>
      <c r="E450" s="3">
        <v>0</v>
      </c>
      <c r="F450" s="3">
        <v>0</v>
      </c>
      <c r="G450" s="4">
        <v>0</v>
      </c>
      <c r="H450" s="1">
        <f>SUM(C450:G450)</f>
        <v>90</v>
      </c>
      <c r="I450" s="10">
        <f>C450/H450</f>
        <v>1</v>
      </c>
      <c r="J450" s="11">
        <f>1-I450</f>
        <v>0</v>
      </c>
      <c r="K450">
        <f>H450-C455</f>
        <v>0</v>
      </c>
      <c r="N450" s="10">
        <f>2*(C456*I450)/(C456+I450)</f>
        <v>1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189</v>
      </c>
      <c r="E451" s="1">
        <v>10</v>
      </c>
      <c r="F451" s="1">
        <v>0</v>
      </c>
      <c r="G451" s="6">
        <v>2</v>
      </c>
      <c r="H451" s="1">
        <f>SUM(C451:G451)</f>
        <v>201</v>
      </c>
      <c r="I451" s="10">
        <f>D451/H451</f>
        <v>0.94029850746268662</v>
      </c>
      <c r="J451" s="11">
        <f>1-I451</f>
        <v>5.9701492537313383E-2</v>
      </c>
      <c r="K451">
        <f>H451-D455</f>
        <v>-117</v>
      </c>
      <c r="N451" s="10">
        <f>2*(D456*I451)/(D456+I451)</f>
        <v>0.72832369942196529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128</v>
      </c>
      <c r="E452" s="27">
        <v>5760</v>
      </c>
      <c r="F452" s="1">
        <v>42</v>
      </c>
      <c r="G452" s="6">
        <v>20</v>
      </c>
      <c r="H452" s="1">
        <f>SUM(C452:G452)</f>
        <v>5950</v>
      </c>
      <c r="I452" s="10">
        <f>E452/H452</f>
        <v>0.9680672268907563</v>
      </c>
      <c r="J452" s="11">
        <f>1-I452</f>
        <v>3.1932773109243695E-2</v>
      </c>
      <c r="K452">
        <f>H452-E455</f>
        <v>78</v>
      </c>
      <c r="N452" s="10">
        <f>2*(E456*I452)/(E456+I452)</f>
        <v>0.97445440703772634</v>
      </c>
      <c r="O452" s="1"/>
      <c r="P452" s="1"/>
    </row>
    <row r="453" spans="1:40" x14ac:dyDescent="0.3">
      <c r="A453" t="s">
        <v>6</v>
      </c>
      <c r="B453" s="13">
        <v>3</v>
      </c>
      <c r="C453" s="5">
        <v>0</v>
      </c>
      <c r="D453" s="1">
        <v>1</v>
      </c>
      <c r="E453" s="1">
        <v>76</v>
      </c>
      <c r="F453" s="27">
        <v>2123</v>
      </c>
      <c r="G453" s="6">
        <v>93</v>
      </c>
      <c r="H453" s="1">
        <f>SUM(C453:G453)</f>
        <v>2293</v>
      </c>
      <c r="I453" s="10">
        <f>F453/H453</f>
        <v>0.92586131705189711</v>
      </c>
      <c r="J453" s="11">
        <f>1-I453</f>
        <v>7.4138682948102885E-2</v>
      </c>
      <c r="K453">
        <f>H453-F455</f>
        <v>-46</v>
      </c>
      <c r="N453" s="10">
        <f>2*(F456*I453)/(F456+I453)</f>
        <v>0.91666666666666674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0</v>
      </c>
      <c r="E454" s="8">
        <v>26</v>
      </c>
      <c r="F454" s="8">
        <v>174</v>
      </c>
      <c r="G454" s="28">
        <v>551</v>
      </c>
      <c r="H454" s="1">
        <f>SUM(C454:G454)</f>
        <v>751</v>
      </c>
      <c r="I454" s="10">
        <f>G454/H454</f>
        <v>0.73368841544607188</v>
      </c>
      <c r="J454" s="11">
        <f>1-I454</f>
        <v>0.26631158455392812</v>
      </c>
      <c r="K454">
        <f>H454-G455</f>
        <v>85</v>
      </c>
      <c r="N454" s="10">
        <f>2*(G456*I454)/(G456+I454)</f>
        <v>0.7776993648553282</v>
      </c>
      <c r="O454" s="1"/>
      <c r="P454" s="1"/>
    </row>
    <row r="455" spans="1:40" ht="15.6" x14ac:dyDescent="0.35">
      <c r="B455" s="1" t="s">
        <v>19</v>
      </c>
      <c r="C455" s="1">
        <f>SUM(C450:C454)</f>
        <v>90</v>
      </c>
      <c r="D455" s="1">
        <f>SUM(D450:D454)</f>
        <v>318</v>
      </c>
      <c r="E455" s="1">
        <f>SUM(E450:E454)</f>
        <v>5872</v>
      </c>
      <c r="F455" s="1">
        <f>SUM(F450:F454)</f>
        <v>2339</v>
      </c>
      <c r="G455" s="1">
        <f>SUM(G450:G454)</f>
        <v>666</v>
      </c>
      <c r="H455" s="1">
        <f>SUM(H449:H454)</f>
        <v>9285</v>
      </c>
      <c r="I455" s="13" t="s">
        <v>12</v>
      </c>
      <c r="N455" s="16"/>
      <c r="O455" s="1"/>
      <c r="P455" s="1"/>
      <c r="AM455" s="78"/>
      <c r="AN455" s="78"/>
    </row>
    <row r="456" spans="1:40" x14ac:dyDescent="0.3">
      <c r="A456" s="1" t="s">
        <v>57</v>
      </c>
      <c r="B456" s="1" t="s">
        <v>2</v>
      </c>
      <c r="C456" s="10">
        <f>C450/C455</f>
        <v>1</v>
      </c>
      <c r="D456" s="10">
        <f>D451/D455</f>
        <v>0.59433962264150941</v>
      </c>
      <c r="E456" s="10">
        <f>E452/E455</f>
        <v>0.98092643051771122</v>
      </c>
      <c r="F456" s="10">
        <f>F453/F455</f>
        <v>0.90765284309533989</v>
      </c>
      <c r="G456" s="10">
        <f>G454/G455</f>
        <v>0.82732732732732728</v>
      </c>
      <c r="H456" s="10"/>
      <c r="I456" s="14">
        <f>(C450+D451+E452+F453+G454)/H455</f>
        <v>0.93839526117393646</v>
      </c>
    </row>
    <row r="457" spans="1:40" x14ac:dyDescent="0.3">
      <c r="B457" s="1" t="s">
        <v>14</v>
      </c>
      <c r="C457" s="11">
        <f>1-C456</f>
        <v>0</v>
      </c>
      <c r="D457" s="11">
        <f>1-D456</f>
        <v>0.40566037735849059</v>
      </c>
      <c r="E457" s="11">
        <f>1-E456</f>
        <v>1.9073569482288777E-2</v>
      </c>
      <c r="F457" s="11">
        <f>1-F456</f>
        <v>9.234715690466011E-2</v>
      </c>
      <c r="G457" s="11">
        <f>1-G456</f>
        <v>0.17267267267267272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1.349938239985528</v>
      </c>
      <c r="D461" s="31">
        <f>(D450/$L461)*$O461</f>
        <v>0</v>
      </c>
      <c r="E461" s="31">
        <f>(E450/$L461)*$O461</f>
        <v>0</v>
      </c>
      <c r="F461" s="31">
        <f>(F450/$L461)*$O461</f>
        <v>0</v>
      </c>
      <c r="G461" s="32">
        <f>(G450/$L461)*$O461</f>
        <v>0</v>
      </c>
      <c r="H461" s="17">
        <f>SUM(C461:G461)</f>
        <v>1.349938239985528</v>
      </c>
      <c r="I461" s="17">
        <f>C461/H461*100</f>
        <v>100</v>
      </c>
      <c r="J461" s="17">
        <f>SQRT(I461*(100-I461)/(L461-1))</f>
        <v>0</v>
      </c>
      <c r="K461" s="18">
        <f>100-I461</f>
        <v>0</v>
      </c>
      <c r="L461" s="1">
        <f>H450</f>
        <v>90</v>
      </c>
      <c r="M461">
        <v>0</v>
      </c>
      <c r="N461" s="1">
        <v>2104.36</v>
      </c>
      <c r="O461" s="17">
        <f>N461/N466*100</f>
        <v>1.349938239985528</v>
      </c>
      <c r="P461" s="52">
        <f>((O461*O461*(I461/100)*(K461/100))/(L461-1))</f>
        <v>0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53">(C451/$L462)*$O462</f>
        <v>0</v>
      </c>
      <c r="D462" s="34">
        <f t="shared" si="53"/>
        <v>4.2445869393998148</v>
      </c>
      <c r="E462" s="19">
        <f t="shared" si="53"/>
        <v>0.22458131954496377</v>
      </c>
      <c r="F462" s="18">
        <f t="shared" si="53"/>
        <v>0</v>
      </c>
      <c r="G462" s="20">
        <f t="shared" si="53"/>
        <v>4.4916263908992747E-2</v>
      </c>
      <c r="H462" s="17">
        <f>SUM(C462:G462)</f>
        <v>4.5140845228537714</v>
      </c>
      <c r="I462" s="17">
        <f>D462/H462*100</f>
        <v>94.02985074626865</v>
      </c>
      <c r="J462" s="17">
        <f>SQRT(I462*(100-I462)/(L462-1))</f>
        <v>1.6753689791525119</v>
      </c>
      <c r="K462" s="18">
        <f>100-I462</f>
        <v>5.9701492537313499</v>
      </c>
      <c r="L462" s="1">
        <f>H451</f>
        <v>201</v>
      </c>
      <c r="M462">
        <v>1</v>
      </c>
      <c r="N462" s="1">
        <v>7036.81</v>
      </c>
      <c r="O462" s="17">
        <f>N462/N466*100</f>
        <v>4.5140845228537714</v>
      </c>
      <c r="P462" s="52">
        <f>((O462*O462*(I462/100)*(K462/100))/(L462-1))</f>
        <v>5.7195296146423831E-3</v>
      </c>
    </row>
    <row r="463" spans="1:40" x14ac:dyDescent="0.3">
      <c r="A463" t="s">
        <v>5</v>
      </c>
      <c r="B463" s="13">
        <v>2</v>
      </c>
      <c r="C463" s="33">
        <f t="shared" si="53"/>
        <v>0</v>
      </c>
      <c r="D463" s="19">
        <f t="shared" si="53"/>
        <v>1.2685568108752159</v>
      </c>
      <c r="E463" s="34">
        <f t="shared" si="53"/>
        <v>57.085056489384705</v>
      </c>
      <c r="F463" s="19">
        <f t="shared" si="53"/>
        <v>0.4162452035684302</v>
      </c>
      <c r="G463" s="20">
        <f t="shared" si="53"/>
        <v>0.19821200169925246</v>
      </c>
      <c r="H463" s="17">
        <f>SUM(C463:G463)</f>
        <v>58.968070505527606</v>
      </c>
      <c r="I463" s="17">
        <f>E463/H463*100</f>
        <v>96.806722689075627</v>
      </c>
      <c r="J463" s="17">
        <f>SQRT(I463*(100-I463)/(L463-1))</f>
        <v>0.22795498397661823</v>
      </c>
      <c r="K463" s="18">
        <f>100-I463</f>
        <v>3.1932773109243726</v>
      </c>
      <c r="L463" s="1">
        <f>H452</f>
        <v>5950</v>
      </c>
      <c r="M463">
        <v>2</v>
      </c>
      <c r="N463" s="1">
        <v>91922.76</v>
      </c>
      <c r="O463" s="17">
        <f>N463/N466*100</f>
        <v>58.968070505527606</v>
      </c>
      <c r="P463" s="52">
        <f>((O463*O463*(I463/100)*(K463/100))/(L463-1))</f>
        <v>1.8068912671343182E-2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53"/>
        <v>0</v>
      </c>
      <c r="D464" s="19">
        <f t="shared" si="53"/>
        <v>1.0367921646230122E-2</v>
      </c>
      <c r="E464" s="19">
        <f t="shared" si="53"/>
        <v>0.78796204511348933</v>
      </c>
      <c r="F464" s="34">
        <f t="shared" si="53"/>
        <v>22.01109765494655</v>
      </c>
      <c r="G464" s="20">
        <f t="shared" si="53"/>
        <v>0.96421671309940138</v>
      </c>
      <c r="H464" s="17">
        <f>SUM(C464:G464)</f>
        <v>23.77364433480567</v>
      </c>
      <c r="I464" s="17">
        <f>F464/H464*100</f>
        <v>92.586131705189715</v>
      </c>
      <c r="J464" s="17">
        <f>SQRT(I464*(100-I464)/(L464-1))</f>
        <v>0.54725293117122298</v>
      </c>
      <c r="K464" s="18">
        <f>100-I464</f>
        <v>7.4138682948102854</v>
      </c>
      <c r="L464" s="1">
        <f>H453</f>
        <v>2293</v>
      </c>
      <c r="M464">
        <v>3</v>
      </c>
      <c r="N464" s="1">
        <v>37059.699999999997</v>
      </c>
      <c r="O464" s="17">
        <f>N464/N466*100</f>
        <v>23.77364433480567</v>
      </c>
      <c r="P464" s="52">
        <f>((O464*O464*(I464/100)*(K464/100))/(L464-1))</f>
        <v>1.6926521418752567E-2</v>
      </c>
    </row>
    <row r="465" spans="1:40" x14ac:dyDescent="0.3">
      <c r="A465" t="s">
        <v>7</v>
      </c>
      <c r="B465" s="13">
        <v>4</v>
      </c>
      <c r="C465" s="35">
        <f t="shared" si="53"/>
        <v>0</v>
      </c>
      <c r="D465" s="36">
        <f t="shared" si="53"/>
        <v>0</v>
      </c>
      <c r="E465" s="21">
        <f t="shared" si="53"/>
        <v>0.39447512958390529</v>
      </c>
      <c r="F465" s="21">
        <f t="shared" si="53"/>
        <v>2.6399489441384434</v>
      </c>
      <c r="G465" s="37">
        <f t="shared" si="53"/>
        <v>8.3598383231050697</v>
      </c>
      <c r="H465" s="17">
        <f>SUM(C465:G465)</f>
        <v>11.394262396827418</v>
      </c>
      <c r="I465" s="17">
        <f>G465/H465*100</f>
        <v>73.368841544607193</v>
      </c>
      <c r="J465" s="17">
        <f>SQRT(I465*(100-I465)/(L465-1))</f>
        <v>1.6140620578168781</v>
      </c>
      <c r="K465" s="18">
        <f>100-I465</f>
        <v>26.631158455392807</v>
      </c>
      <c r="L465" s="1">
        <f>H454</f>
        <v>751</v>
      </c>
      <c r="M465">
        <v>4</v>
      </c>
      <c r="N465" s="1">
        <v>17762.02</v>
      </c>
      <c r="O465" s="17">
        <f>N465/N466*100</f>
        <v>11.394262396827418</v>
      </c>
      <c r="P465" s="52">
        <f>((O465*O465*(I465/100)*(K465/100))/(L465-1))</f>
        <v>3.3823059546742251E-2</v>
      </c>
      <c r="AM465" s="78"/>
      <c r="AN465" s="78"/>
    </row>
    <row r="466" spans="1:40" x14ac:dyDescent="0.3">
      <c r="B466" t="s">
        <v>28</v>
      </c>
      <c r="C466" s="17">
        <f t="shared" ref="C466:H466" si="54">SUM(C461:C465)</f>
        <v>1.349938239985528</v>
      </c>
      <c r="D466" s="17">
        <f t="shared" si="54"/>
        <v>5.5235116719212609</v>
      </c>
      <c r="E466" s="17">
        <f t="shared" si="54"/>
        <v>58.492074983627063</v>
      </c>
      <c r="F466" s="17">
        <f t="shared" si="54"/>
        <v>25.067291802653422</v>
      </c>
      <c r="G466" s="17">
        <f t="shared" si="54"/>
        <v>9.567183301812717</v>
      </c>
      <c r="H466" s="18">
        <f t="shared" si="54"/>
        <v>99.999999999999986</v>
      </c>
      <c r="I466" s="13" t="s">
        <v>24</v>
      </c>
      <c r="J466" s="12" t="s">
        <v>29</v>
      </c>
      <c r="N466" s="1">
        <f>SUM(N461:N465)</f>
        <v>155885.65</v>
      </c>
      <c r="O466" s="17">
        <f>SUM(O461:O465)</f>
        <v>99.999999999999986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0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0.13453705996866719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0.19114182738815269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0.22757156238367118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0.21523471644366157</v>
      </c>
      <c r="H467" s="1"/>
      <c r="I467" s="14">
        <f>(C461+D462+E463+F464+G465)/H466</f>
        <v>0.93050517646821673</v>
      </c>
      <c r="J467" s="53">
        <f>SQRT(SUM(P461:P465))/100</f>
        <v>2.7301652560143752E-3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100</v>
      </c>
      <c r="D468" s="17">
        <f>D462/D466*100</f>
        <v>76.845803747951649</v>
      </c>
      <c r="E468" s="17">
        <f>E463/E466*100</f>
        <v>97.594514308756857</v>
      </c>
      <c r="F468" s="17">
        <f>F464/F466*100</f>
        <v>87.808040167373136</v>
      </c>
      <c r="G468" s="17">
        <f>G465/G466*100</f>
        <v>87.380350719538441</v>
      </c>
      <c r="H468" s="1"/>
    </row>
    <row r="469" spans="1:40" x14ac:dyDescent="0.3">
      <c r="B469" s="16" t="s">
        <v>39</v>
      </c>
      <c r="C469" s="18">
        <f>SQRT((C472+C473)/(C466*C466))</f>
        <v>0</v>
      </c>
      <c r="D469" s="18">
        <f>SQRT((D472+D473)/(D466*D466))</f>
        <v>3.5288562351784454</v>
      </c>
      <c r="E469" s="18">
        <f>SQRT((E472+E473)/(E466*E466))</f>
        <v>0.23360394086844152</v>
      </c>
      <c r="F469" s="18">
        <f>SQRT((F472+F473)/(F466*F466))</f>
        <v>0.91037205720042824</v>
      </c>
      <c r="G469" s="18">
        <f>SQRT((G472+G473)/(G466*G466))</f>
        <v>2.6329489982740597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0</v>
      </c>
      <c r="D470" s="18">
        <f>100-D468</f>
        <v>23.154196252048351</v>
      </c>
      <c r="E470" s="18">
        <f>100-E468</f>
        <v>2.4054856912431433</v>
      </c>
      <c r="F470" s="18">
        <f>100-F468</f>
        <v>12.191959832626864</v>
      </c>
      <c r="G470" s="18">
        <f>100-G468</f>
        <v>12.619649280461559</v>
      </c>
    </row>
    <row r="471" spans="1:40" ht="15.6" x14ac:dyDescent="0.35">
      <c r="B471" s="1" t="s">
        <v>25</v>
      </c>
      <c r="C471" s="1">
        <f>C455</f>
        <v>90</v>
      </c>
      <c r="D471" s="1">
        <f>D455</f>
        <v>318</v>
      </c>
      <c r="E471" s="1">
        <f>E455</f>
        <v>5872</v>
      </c>
      <c r="F471" s="1">
        <f>F455</f>
        <v>2339</v>
      </c>
      <c r="G471" s="1">
        <f>G455</f>
        <v>666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306.63359378336651</v>
      </c>
      <c r="E472" s="18">
        <f>(O463*O463*(100-E468)*(100-E468)*(I463)*(100-I463))/((L463-1)*100)</f>
        <v>10.455325901613271</v>
      </c>
      <c r="F472" s="18">
        <f>(O464*O464*(100-F468)*(100-F468)*(I464)*(100-I464))/((L464-1)*100)</f>
        <v>251.60238957779728</v>
      </c>
      <c r="G472" s="18">
        <f>(O465*O465*(100-G468)*(100-G468)*(I465)*(100-I465))/((L465-1)*100)</f>
        <v>538.6509881862853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73.291941000342661</v>
      </c>
      <c r="E473" s="18">
        <f>E468*E468*(SUM((H461*E461*(1-E450/H450))/(H450-1),(H462*E462*(1-E451/H451))/(H451-1), (H464*E464*(1-E453/H453))/(H453-1),(H465*E465*(1-E454/H454))/(H454-1)))</f>
        <v>176.24900238005048</v>
      </c>
      <c r="F473" s="18">
        <f>F468*F468*(SUM((H461*F461*(1-F450/H450))/(H450-1),(H462*F462*(1-F451/H451))/(H451-1), (H463*F463*(1-F452/H452))/(H452-1),(H465*F465*(1-F454/H454))/(H454-1)))</f>
        <v>269.17566072954867</v>
      </c>
      <c r="G473" s="18">
        <f>G468*G468*(SUM((H461*G461*(1-G450/H450))/(H450-1),(H462*G462*(1-G451/H451))/(H451-1), (H463*G463*(1-G452/H452))/(H452-1),(H464*G464*(1-G453/H453))/(H453-1)))</f>
        <v>95.880360525722736</v>
      </c>
      <c r="AM473" s="78"/>
      <c r="AN473" s="78"/>
    </row>
    <row r="475" spans="1:40" x14ac:dyDescent="0.3">
      <c r="AM475" s="78"/>
      <c r="AN475" s="78"/>
    </row>
    <row r="476" spans="1:40" x14ac:dyDescent="0.3">
      <c r="A476" s="361" t="s">
        <v>429</v>
      </c>
      <c r="B476" s="361"/>
      <c r="C476" s="361"/>
      <c r="D476" s="361"/>
      <c r="E476" s="361"/>
      <c r="F476" s="361"/>
      <c r="G476" s="361"/>
      <c r="H476" s="361"/>
      <c r="I476" s="361"/>
      <c r="J476" s="361"/>
      <c r="K476" s="361"/>
      <c r="L476" s="361" t="s">
        <v>94</v>
      </c>
      <c r="M476" s="361"/>
      <c r="N476" s="361"/>
      <c r="O476" s="361"/>
      <c r="P476" s="361"/>
    </row>
    <row r="477" spans="1:40" x14ac:dyDescent="0.3">
      <c r="A477" t="s">
        <v>15</v>
      </c>
      <c r="B477" t="s">
        <v>21</v>
      </c>
      <c r="I477" s="1" t="s">
        <v>58</v>
      </c>
      <c r="O477" s="143"/>
      <c r="P477" s="143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56</v>
      </c>
      <c r="O478" s="13"/>
      <c r="P478" s="13"/>
    </row>
    <row r="479" spans="1:40" x14ac:dyDescent="0.3">
      <c r="A479" t="s">
        <v>3</v>
      </c>
      <c r="B479" s="13">
        <v>0</v>
      </c>
      <c r="C479" s="26">
        <v>90</v>
      </c>
      <c r="D479" s="3">
        <v>0</v>
      </c>
      <c r="E479" s="3">
        <v>0</v>
      </c>
      <c r="F479" s="3">
        <v>0</v>
      </c>
      <c r="G479" s="4">
        <v>0</v>
      </c>
      <c r="H479" s="1">
        <f>SUM(C479:G479)</f>
        <v>90</v>
      </c>
      <c r="I479" s="10">
        <f>C479/H479</f>
        <v>1</v>
      </c>
      <c r="J479" s="11">
        <f>1-I479</f>
        <v>0</v>
      </c>
      <c r="K479">
        <f>H479-C484</f>
        <v>0</v>
      </c>
      <c r="N479" s="10">
        <f>2*(C485*I479)/(C485+I479)</f>
        <v>1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186</v>
      </c>
      <c r="E480" s="1">
        <v>12</v>
      </c>
      <c r="F480" s="1">
        <v>0</v>
      </c>
      <c r="G480" s="6">
        <v>3</v>
      </c>
      <c r="H480" s="1">
        <f>SUM(C480:G480)</f>
        <v>201</v>
      </c>
      <c r="I480" s="10">
        <f>D480/H480</f>
        <v>0.92537313432835822</v>
      </c>
      <c r="J480" s="11">
        <f>1-I480</f>
        <v>7.4626865671641784E-2</v>
      </c>
      <c r="K480">
        <f>H480-D484</f>
        <v>-127</v>
      </c>
      <c r="N480" s="10">
        <f>2*(D485*I480)/(D485+I480)</f>
        <v>0.7032136105860114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141</v>
      </c>
      <c r="E481" s="27">
        <v>5740</v>
      </c>
      <c r="F481" s="1">
        <v>44</v>
      </c>
      <c r="G481" s="6">
        <v>25</v>
      </c>
      <c r="H481" s="1">
        <f>SUM(C481:G481)</f>
        <v>5950</v>
      </c>
      <c r="I481" s="10">
        <f>E481/H481</f>
        <v>0.96470588235294119</v>
      </c>
      <c r="J481" s="11">
        <f>1-I481</f>
        <v>3.5294117647058809E-2</v>
      </c>
      <c r="K481">
        <f>H481-E484</f>
        <v>76</v>
      </c>
      <c r="N481" s="10">
        <f>2*(E485*I481)/(E485+I481)</f>
        <v>0.97090663058186732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1</v>
      </c>
      <c r="E482" s="1">
        <v>90</v>
      </c>
      <c r="F482" s="27">
        <v>2104</v>
      </c>
      <c r="G482" s="6">
        <v>98</v>
      </c>
      <c r="H482" s="1">
        <f>SUM(C482:G482)</f>
        <v>2293</v>
      </c>
      <c r="I482" s="10">
        <f>F482/H482</f>
        <v>0.91757522895769739</v>
      </c>
      <c r="J482" s="11">
        <f>1-I482</f>
        <v>8.2424771042302614E-2</v>
      </c>
      <c r="K482">
        <f>H482-F484</f>
        <v>-21</v>
      </c>
      <c r="N482" s="10">
        <f>2*(F485*I482)/(F485+I482)</f>
        <v>0.91339266333839808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0</v>
      </c>
      <c r="E483" s="8">
        <v>32</v>
      </c>
      <c r="F483" s="8">
        <v>166</v>
      </c>
      <c r="G483" s="28">
        <v>553</v>
      </c>
      <c r="H483" s="1">
        <f>SUM(C483:G483)</f>
        <v>751</v>
      </c>
      <c r="I483" s="10">
        <f>G483/H483</f>
        <v>0.73635153129161124</v>
      </c>
      <c r="J483" s="11">
        <f>1-I483</f>
        <v>0.26364846870838876</v>
      </c>
      <c r="K483">
        <f>H483-G484</f>
        <v>72</v>
      </c>
      <c r="N483" s="10">
        <f>2*(G485*I483)/(G485+I483)</f>
        <v>0.77342657342657339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90</v>
      </c>
      <c r="D484" s="1">
        <f>SUM(D479:D483)</f>
        <v>328</v>
      </c>
      <c r="E484" s="1">
        <f>SUM(E479:E483)</f>
        <v>5874</v>
      </c>
      <c r="F484" s="1">
        <f>SUM(F479:F483)</f>
        <v>2314</v>
      </c>
      <c r="G484" s="1">
        <f>SUM(G479:G483)</f>
        <v>679</v>
      </c>
      <c r="H484" s="1">
        <f>SUM(H478:H483)</f>
        <v>9285</v>
      </c>
      <c r="I484" s="13" t="s">
        <v>12</v>
      </c>
      <c r="N484" s="16"/>
      <c r="O484" s="1"/>
      <c r="P484" s="1"/>
    </row>
    <row r="485" spans="1:40" x14ac:dyDescent="0.3">
      <c r="A485" s="1" t="s">
        <v>57</v>
      </c>
      <c r="B485" s="1" t="s">
        <v>2</v>
      </c>
      <c r="C485" s="10">
        <f>C479/C484</f>
        <v>1</v>
      </c>
      <c r="D485" s="10">
        <f>D480/D484</f>
        <v>0.56707317073170727</v>
      </c>
      <c r="E485" s="10">
        <f>E481/E484</f>
        <v>0.97718760640108959</v>
      </c>
      <c r="F485" s="10">
        <f>F482/F484</f>
        <v>0.90924805531547104</v>
      </c>
      <c r="G485" s="10">
        <f>G483/G484</f>
        <v>0.81443298969072164</v>
      </c>
      <c r="H485" s="10"/>
      <c r="I485" s="14">
        <f>(C479+D480+E481+F482+G483)/H484</f>
        <v>0.93408723747980615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0.43292682926829273</v>
      </c>
      <c r="E486" s="11">
        <f>1-E485</f>
        <v>2.2812393598910408E-2</v>
      </c>
      <c r="F486" s="11">
        <f>1-F485</f>
        <v>9.0751944684528962E-2</v>
      </c>
      <c r="G486" s="11">
        <f>1-G485</f>
        <v>0.18556701030927836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1.3295452569938615</v>
      </c>
      <c r="D490" s="31">
        <f>(D479/$L490)*$O490</f>
        <v>0</v>
      </c>
      <c r="E490" s="31">
        <f>(E479/$L490)*$O490</f>
        <v>0</v>
      </c>
      <c r="F490" s="31">
        <f>(F479/$L490)*$O490</f>
        <v>0</v>
      </c>
      <c r="G490" s="32">
        <f>(G479/$L490)*$O490</f>
        <v>0</v>
      </c>
      <c r="H490" s="17">
        <f>SUM(C490:G490)</f>
        <v>1.3295452569938615</v>
      </c>
      <c r="I490" s="17">
        <f>C490/H490*100</f>
        <v>100</v>
      </c>
      <c r="J490" s="17">
        <f>SQRT(I490*(100-I490)/(L490-1))</f>
        <v>0</v>
      </c>
      <c r="K490" s="18">
        <f>100-I490</f>
        <v>0</v>
      </c>
      <c r="L490" s="1">
        <f>H479</f>
        <v>90</v>
      </c>
      <c r="M490">
        <v>0</v>
      </c>
      <c r="N490" s="1">
        <v>2072.5700000000002</v>
      </c>
      <c r="O490" s="17">
        <f>N490/N495*100</f>
        <v>1.3295452569938615</v>
      </c>
      <c r="P490" s="52">
        <f>((O490*O490*(I490/100)*(K490/100))/(L490-1))</f>
        <v>0</v>
      </c>
    </row>
    <row r="491" spans="1:40" x14ac:dyDescent="0.3">
      <c r="A491" t="s">
        <v>4</v>
      </c>
      <c r="B491" s="13">
        <v>1</v>
      </c>
      <c r="C491" s="33">
        <f t="shared" ref="C491:G494" si="55">(C480/$L491)*$O491</f>
        <v>0</v>
      </c>
      <c r="D491" s="34">
        <f t="shared" si="55"/>
        <v>4.2388370951496688</v>
      </c>
      <c r="E491" s="19">
        <f t="shared" si="55"/>
        <v>0.27347336097739799</v>
      </c>
      <c r="F491" s="18">
        <f t="shared" si="55"/>
        <v>0</v>
      </c>
      <c r="G491" s="20">
        <f t="shared" si="55"/>
        <v>6.8368340244349499E-2</v>
      </c>
      <c r="H491" s="17">
        <f>SUM(C491:G491)</f>
        <v>4.5806787963714166</v>
      </c>
      <c r="I491" s="17">
        <f>D491/H491*100</f>
        <v>92.537313432835816</v>
      </c>
      <c r="J491" s="17">
        <f>SQRT(I491*(100-I491)/(L491-1))</f>
        <v>1.858193969849065</v>
      </c>
      <c r="K491" s="18">
        <f>100-I491</f>
        <v>7.4626865671641838</v>
      </c>
      <c r="L491" s="1">
        <f>H480</f>
        <v>201</v>
      </c>
      <c r="M491">
        <v>1</v>
      </c>
      <c r="N491" s="1">
        <v>7140.62</v>
      </c>
      <c r="O491" s="17">
        <f>N491/N495*100</f>
        <v>4.5806787963714166</v>
      </c>
      <c r="P491" s="52">
        <f>((O491*O491*(I491/100)*(K491/100))/(L491-1))</f>
        <v>7.2450564190390723E-3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55"/>
        <v>0</v>
      </c>
      <c r="D492" s="19">
        <f t="shared" si="55"/>
        <v>1.3914402318087762</v>
      </c>
      <c r="E492" s="34">
        <f t="shared" si="55"/>
        <v>56.644446316187057</v>
      </c>
      <c r="F492" s="19">
        <f t="shared" si="55"/>
        <v>0.43420829928784505</v>
      </c>
      <c r="G492" s="20">
        <f t="shared" si="55"/>
        <v>0.24670926095900286</v>
      </c>
      <c r="H492" s="17">
        <f>SUM(C492:G492)</f>
        <v>58.716804108242684</v>
      </c>
      <c r="I492" s="17">
        <f>E492/H492*100</f>
        <v>96.470588235294102</v>
      </c>
      <c r="J492" s="17">
        <f>SQRT(I492*(100-I492)/(L492-1))</f>
        <v>0.23923606110750084</v>
      </c>
      <c r="K492" s="18">
        <f>100-I492</f>
        <v>3.5294117647058982</v>
      </c>
      <c r="L492" s="1">
        <f>H481</f>
        <v>5950</v>
      </c>
      <c r="M492">
        <v>2</v>
      </c>
      <c r="N492" s="1">
        <v>91531.06</v>
      </c>
      <c r="O492" s="17">
        <f>N492/N495*100</f>
        <v>58.716804108242684</v>
      </c>
      <c r="P492" s="52">
        <f>((O492*O492*(I492/100)*(K492/100))/(L492-1))</f>
        <v>1.9732317986220754E-2</v>
      </c>
    </row>
    <row r="493" spans="1:40" x14ac:dyDescent="0.3">
      <c r="A493" t="s">
        <v>6</v>
      </c>
      <c r="B493" s="13">
        <v>3</v>
      </c>
      <c r="C493" s="33">
        <f t="shared" si="55"/>
        <v>0</v>
      </c>
      <c r="D493" s="19">
        <f t="shared" si="55"/>
        <v>1.0348608157301995E-2</v>
      </c>
      <c r="E493" s="19">
        <f t="shared" si="55"/>
        <v>0.93137473415717953</v>
      </c>
      <c r="F493" s="34">
        <f t="shared" si="55"/>
        <v>21.773471562963397</v>
      </c>
      <c r="G493" s="20">
        <f t="shared" si="55"/>
        <v>1.0141635994155953</v>
      </c>
      <c r="H493" s="17">
        <f>SUM(C493:G493)</f>
        <v>23.729358504693476</v>
      </c>
      <c r="I493" s="17">
        <f>F493/H493*100</f>
        <v>91.757522895769725</v>
      </c>
      <c r="J493" s="17">
        <f>SQRT(I493*(100-I493)/(L493-1))</f>
        <v>0.574437003993712</v>
      </c>
      <c r="K493" s="18">
        <f>100-I493</f>
        <v>8.2424771042302751</v>
      </c>
      <c r="L493" s="1">
        <f>H482</f>
        <v>2293</v>
      </c>
      <c r="M493">
        <v>3</v>
      </c>
      <c r="N493" s="1">
        <v>36990.660000000003</v>
      </c>
      <c r="O493" s="17">
        <f>N493/N495*100</f>
        <v>23.729358504693472</v>
      </c>
      <c r="P493" s="52">
        <f>((O493*O493*(I493/100)*(K493/100))/(L493-1))</f>
        <v>1.8580475002675092E-2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55"/>
        <v>0</v>
      </c>
      <c r="D494" s="36">
        <f t="shared" si="55"/>
        <v>0</v>
      </c>
      <c r="E494" s="21">
        <f t="shared" si="55"/>
        <v>0.49613265869288137</v>
      </c>
      <c r="F494" s="21">
        <f t="shared" si="55"/>
        <v>2.5736881669693217</v>
      </c>
      <c r="G494" s="37">
        <f t="shared" si="55"/>
        <v>8.5737925080363553</v>
      </c>
      <c r="H494" s="17">
        <f>SUM(C494:G494)</f>
        <v>11.643613333698559</v>
      </c>
      <c r="I494" s="17">
        <f>G494/H494*100</f>
        <v>73.635153129161111</v>
      </c>
      <c r="J494" s="17">
        <f>SQRT(I494*(100-I494)/(L494-1))</f>
        <v>1.608883478921995</v>
      </c>
      <c r="K494" s="18">
        <f>100-I494</f>
        <v>26.364846870838889</v>
      </c>
      <c r="L494" s="1">
        <f>H483</f>
        <v>751</v>
      </c>
      <c r="M494">
        <v>4</v>
      </c>
      <c r="N494" s="1">
        <v>18150.72</v>
      </c>
      <c r="O494" s="17">
        <f>N494/N495*100</f>
        <v>11.643613333698559</v>
      </c>
      <c r="P494" s="52">
        <f>((O494*O494*(I494/100)*(K494/100))/(L494-1))</f>
        <v>3.509334239476878E-2</v>
      </c>
    </row>
    <row r="495" spans="1:40" x14ac:dyDescent="0.3">
      <c r="B495" t="s">
        <v>28</v>
      </c>
      <c r="C495" s="17">
        <f t="shared" ref="C495:H495" si="56">SUM(C490:C494)</f>
        <v>1.3295452569938615</v>
      </c>
      <c r="D495" s="17">
        <f t="shared" si="56"/>
        <v>5.6406259351157466</v>
      </c>
      <c r="E495" s="17">
        <f t="shared" si="56"/>
        <v>58.345427070014516</v>
      </c>
      <c r="F495" s="17">
        <f t="shared" si="56"/>
        <v>24.781368029220566</v>
      </c>
      <c r="G495" s="17">
        <f t="shared" si="56"/>
        <v>9.903033708655304</v>
      </c>
      <c r="H495" s="18">
        <f t="shared" si="56"/>
        <v>100</v>
      </c>
      <c r="I495" s="13" t="s">
        <v>24</v>
      </c>
      <c r="J495" s="12" t="s">
        <v>29</v>
      </c>
      <c r="N495" s="1">
        <f>SUM(N490:N494)</f>
        <v>155885.63</v>
      </c>
      <c r="O495" s="17">
        <f>SUM(O490:O494)</f>
        <v>99.999999999999986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0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0.14395106823503329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0.20545974823184104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0.23218178603117598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0.22147788778696006</v>
      </c>
      <c r="H496" s="1"/>
      <c r="I496" s="14">
        <f>(C490+D491+E492+F493+G494)/H495</f>
        <v>0.92560092739330346</v>
      </c>
      <c r="J496" s="53">
        <f>SQRT(SUM(P490:P494))/100</f>
        <v>2.839915347377518E-3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75.148346015302408</v>
      </c>
      <c r="E497" s="17">
        <f>E492/E495*100</f>
        <v>97.084637409909973</v>
      </c>
      <c r="F497" s="17">
        <f>F493/F495*100</f>
        <v>87.862266269116162</v>
      </c>
      <c r="G497" s="17">
        <f>G494/G495*100</f>
        <v>86.577434352695519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4.0574019739389158</v>
      </c>
      <c r="E498" s="18">
        <f>SQRT((E501+E502)/(E495*E495))</f>
        <v>0.25942471000681394</v>
      </c>
      <c r="F498" s="18">
        <f>SQRT((F501+F502)/(F495*F495))</f>
        <v>0.94364339662701613</v>
      </c>
      <c r="G498" s="18">
        <f>SQRT((G501+G502)/(G495*G495))</f>
        <v>2.7419820473370695</v>
      </c>
      <c r="H498" s="1"/>
    </row>
    <row r="499" spans="1:40" x14ac:dyDescent="0.3">
      <c r="B499" s="1" t="s">
        <v>37</v>
      </c>
      <c r="C499" s="18">
        <f>100-C497</f>
        <v>0</v>
      </c>
      <c r="D499" s="18">
        <f>100-D497</f>
        <v>24.851653984697592</v>
      </c>
      <c r="E499" s="18">
        <f>100-E497</f>
        <v>2.9153625900900266</v>
      </c>
      <c r="F499" s="18">
        <f>100-F497</f>
        <v>12.137733730883838</v>
      </c>
      <c r="G499" s="18">
        <f>100-G497</f>
        <v>13.422565647304481</v>
      </c>
      <c r="AM499" s="78"/>
      <c r="AN499" s="78"/>
    </row>
    <row r="500" spans="1:40" ht="15.6" x14ac:dyDescent="0.35">
      <c r="B500" s="1" t="s">
        <v>25</v>
      </c>
      <c r="C500" s="1">
        <f>C484</f>
        <v>90</v>
      </c>
      <c r="D500" s="1">
        <f>D484</f>
        <v>328</v>
      </c>
      <c r="E500" s="1">
        <f>E484</f>
        <v>5874</v>
      </c>
      <c r="F500" s="1">
        <f>F484</f>
        <v>2314</v>
      </c>
      <c r="G500" s="1">
        <f>G484</f>
        <v>679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447.45809380048831</v>
      </c>
      <c r="E501" s="18">
        <f>(O492*O492*(100-E497)*(100-E497)*(I492)*(100-I492))/((L492-1)*100)</f>
        <v>16.771166044613153</v>
      </c>
      <c r="F501" s="18">
        <f>(O493*O493*(100-F497)*(100-F497)*(I493)*(100-I493))/((L493-1)*100)</f>
        <v>273.73606782333644</v>
      </c>
      <c r="G501" s="18">
        <f>(O494*O494*(100-G497)*(100-G497)*(I494)*(100-I494))/((L494-1)*100)</f>
        <v>632.26014570881375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76.324029846520006</v>
      </c>
      <c r="E502" s="18">
        <f>E497*E497*(SUM((H490*E490*(1-E479/H479))/(H479-1),(H491*E491*(1-E480/H480))/(H480-1), (H493*E493*(1-E482/H482))/(H482-1),(H494*E494*(1-E483/H483))/(H483-1)))</f>
        <v>212.33476172694145</v>
      </c>
      <c r="F502" s="18">
        <f>F497*F497*(SUM((H490*F490*(1-F479/H479))/(H479-1),(H491*F491*(1-F480/H480))/(H480-1), (H492*F492*(1-F481/H481))/(H481-1),(H494*F494*(1-F483/H483))/(H483-1)))</f>
        <v>273.11160124598615</v>
      </c>
      <c r="G502" s="18">
        <f>G497*G497*(SUM((H490*G490*(1-G479/H479))/(H479-1),(H491*G491*(1-G480/H480))/(H480-1), (H492*G492*(1-G481/H481))/(H481-1),(H493*G493*(1-G482/H482))/(H482-1)))</f>
        <v>105.07634675140888</v>
      </c>
    </row>
    <row r="503" spans="1:40" x14ac:dyDescent="0.3">
      <c r="AM503" s="78"/>
      <c r="AN503" s="78"/>
    </row>
    <row r="505" spans="1:40" x14ac:dyDescent="0.3">
      <c r="A505" s="361" t="s">
        <v>429</v>
      </c>
      <c r="B505" s="361"/>
      <c r="C505" s="361"/>
      <c r="D505" s="361"/>
      <c r="E505" s="361"/>
      <c r="F505" s="361"/>
      <c r="G505" s="361"/>
      <c r="H505" s="361"/>
      <c r="I505" s="361"/>
      <c r="J505" s="361"/>
      <c r="K505" s="361"/>
      <c r="L505" s="361" t="s">
        <v>95</v>
      </c>
      <c r="M505" s="361"/>
      <c r="N505" s="361"/>
      <c r="O505" s="361"/>
      <c r="P505" s="361"/>
      <c r="AM505" s="78"/>
      <c r="AN505" s="78"/>
    </row>
    <row r="506" spans="1:40" x14ac:dyDescent="0.3">
      <c r="A506" t="s">
        <v>15</v>
      </c>
      <c r="B506" t="s">
        <v>21</v>
      </c>
      <c r="I506" s="1" t="s">
        <v>58</v>
      </c>
      <c r="O506" s="143"/>
      <c r="P506" s="143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56</v>
      </c>
      <c r="O507" s="13"/>
      <c r="P507" s="13"/>
      <c r="AM507" s="78"/>
      <c r="AN507" s="78"/>
    </row>
    <row r="508" spans="1:40" x14ac:dyDescent="0.3">
      <c r="A508" t="s">
        <v>3</v>
      </c>
      <c r="B508" s="13">
        <v>0</v>
      </c>
      <c r="C508" s="26">
        <v>90</v>
      </c>
      <c r="D508" s="3">
        <v>0</v>
      </c>
      <c r="E508" s="3">
        <v>0</v>
      </c>
      <c r="F508" s="3">
        <v>0</v>
      </c>
      <c r="G508" s="4">
        <v>0</v>
      </c>
      <c r="H508" s="1">
        <f>SUM(C508:G508)</f>
        <v>90</v>
      </c>
      <c r="I508" s="10">
        <f>C508/H508</f>
        <v>1</v>
      </c>
      <c r="J508" s="11">
        <f>1-I508</f>
        <v>0</v>
      </c>
      <c r="K508">
        <f>H508-C513</f>
        <v>0</v>
      </c>
      <c r="N508" s="10">
        <f>2*(C514*I508)/(C514+I508)</f>
        <v>1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191</v>
      </c>
      <c r="E509" s="1">
        <v>8</v>
      </c>
      <c r="F509" s="1">
        <v>0</v>
      </c>
      <c r="G509" s="6">
        <v>2</v>
      </c>
      <c r="H509" s="1">
        <f>SUM(C509:G509)</f>
        <v>201</v>
      </c>
      <c r="I509" s="10">
        <f>D509/H509</f>
        <v>0.95024875621890548</v>
      </c>
      <c r="J509" s="11">
        <f>1-I509</f>
        <v>4.9751243781094523E-2</v>
      </c>
      <c r="K509">
        <f>H509-D513</f>
        <v>-125</v>
      </c>
      <c r="N509" s="10">
        <f>2*(D514*I509)/(D514+I509)</f>
        <v>0.72485768500948755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133</v>
      </c>
      <c r="E510" s="27">
        <v>5750</v>
      </c>
      <c r="F510" s="1">
        <v>43</v>
      </c>
      <c r="G510" s="6">
        <v>24</v>
      </c>
      <c r="H510" s="1">
        <f>SUM(C510:G510)</f>
        <v>5950</v>
      </c>
      <c r="I510" s="10">
        <f>E510/H510</f>
        <v>0.96638655462184875</v>
      </c>
      <c r="J510" s="11">
        <f>1-I510</f>
        <v>3.3613445378151252E-2</v>
      </c>
      <c r="K510">
        <f>H510-E513</f>
        <v>81</v>
      </c>
      <c r="N510" s="10">
        <f>2*(E514*I510)/(E514+I510)</f>
        <v>0.97300956087655477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2</v>
      </c>
      <c r="E511" s="1">
        <v>90</v>
      </c>
      <c r="F511" s="27">
        <v>2104</v>
      </c>
      <c r="G511" s="6">
        <v>97</v>
      </c>
      <c r="H511" s="1">
        <f>SUM(C511:G511)</f>
        <v>2293</v>
      </c>
      <c r="I511" s="10">
        <f>F511/H511</f>
        <v>0.91757522895769739</v>
      </c>
      <c r="J511" s="11">
        <f>1-I511</f>
        <v>8.2424771042302614E-2</v>
      </c>
      <c r="K511">
        <f>H511-F513</f>
        <v>-27</v>
      </c>
      <c r="N511" s="10">
        <f>2*(F514*I511)/(F514+I511)</f>
        <v>0.91220463906351623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0</v>
      </c>
      <c r="E512" s="8">
        <v>21</v>
      </c>
      <c r="F512" s="8">
        <v>173</v>
      </c>
      <c r="G512" s="28">
        <v>557</v>
      </c>
      <c r="H512" s="1">
        <f>SUM(C512:G512)</f>
        <v>751</v>
      </c>
      <c r="I512" s="10">
        <f>G512/H512</f>
        <v>0.74167776298268973</v>
      </c>
      <c r="J512" s="11">
        <f>1-I512</f>
        <v>0.25832223701731027</v>
      </c>
      <c r="K512">
        <f>H512-G513</f>
        <v>71</v>
      </c>
      <c r="N512" s="10">
        <f>2*(G514*I512)/(G514+I512)</f>
        <v>0.77847658979734446</v>
      </c>
      <c r="O512" s="1"/>
      <c r="P512" s="1"/>
    </row>
    <row r="513" spans="1:40" ht="15.6" x14ac:dyDescent="0.35">
      <c r="B513" s="1" t="s">
        <v>19</v>
      </c>
      <c r="C513" s="1">
        <f>SUM(C508:C512)</f>
        <v>90</v>
      </c>
      <c r="D513" s="1">
        <f>SUM(D508:D512)</f>
        <v>326</v>
      </c>
      <c r="E513" s="1">
        <f>SUM(E508:E512)</f>
        <v>5869</v>
      </c>
      <c r="F513" s="1">
        <f>SUM(F508:F512)</f>
        <v>2320</v>
      </c>
      <c r="G513" s="1">
        <f>SUM(G508:G512)</f>
        <v>680</v>
      </c>
      <c r="H513" s="1">
        <f>SUM(H507:H512)</f>
        <v>9285</v>
      </c>
      <c r="I513" s="13" t="s">
        <v>12</v>
      </c>
      <c r="N513" s="16"/>
      <c r="O513" s="1"/>
      <c r="P513" s="1"/>
      <c r="AM513" s="78"/>
      <c r="AN513" s="78"/>
    </row>
    <row r="514" spans="1:40" x14ac:dyDescent="0.3">
      <c r="A514" s="1" t="s">
        <v>57</v>
      </c>
      <c r="B514" s="1" t="s">
        <v>2</v>
      </c>
      <c r="C514" s="10">
        <f>C508/C513</f>
        <v>1</v>
      </c>
      <c r="D514" s="10">
        <f>D509/D513</f>
        <v>0.58588957055214719</v>
      </c>
      <c r="E514" s="10">
        <f>E510/E513</f>
        <v>0.97972397341966266</v>
      </c>
      <c r="F514" s="10">
        <f>F511/F513</f>
        <v>0.90689655172413797</v>
      </c>
      <c r="G514" s="10">
        <f>G512/G513</f>
        <v>0.81911764705882351</v>
      </c>
      <c r="H514" s="10"/>
      <c r="I514" s="14">
        <f>(C508+D509+E510+F511+G512)/H513</f>
        <v>0.93613354873451804</v>
      </c>
    </row>
    <row r="515" spans="1:40" x14ac:dyDescent="0.3">
      <c r="B515" s="1" t="s">
        <v>14</v>
      </c>
      <c r="C515" s="11">
        <f>1-C514</f>
        <v>0</v>
      </c>
      <c r="D515" s="11">
        <f>1-D514</f>
        <v>0.41411042944785281</v>
      </c>
      <c r="E515" s="11">
        <f>1-E514</f>
        <v>2.0276026580337336E-2</v>
      </c>
      <c r="F515" s="11">
        <f>1-F514</f>
        <v>9.3103448275862033E-2</v>
      </c>
      <c r="G515" s="11">
        <f>1-G514</f>
        <v>0.18088235294117649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1.3449668195843325</v>
      </c>
      <c r="D519" s="31">
        <f>(D508/$L519)*$O519</f>
        <v>0</v>
      </c>
      <c r="E519" s="31">
        <f>(E508/$L519)*$O519</f>
        <v>0</v>
      </c>
      <c r="F519" s="31">
        <f>(F508/$L519)*$O519</f>
        <v>0</v>
      </c>
      <c r="G519" s="32">
        <f>(G508/$L519)*$O519</f>
        <v>0</v>
      </c>
      <c r="H519" s="17">
        <f>SUM(C519:G519)</f>
        <v>1.3449668195843325</v>
      </c>
      <c r="I519" s="17">
        <f>C519/H519*100</f>
        <v>100</v>
      </c>
      <c r="J519" s="17">
        <f>SQRT(I519*(100-I519)/(L519-1))</f>
        <v>0</v>
      </c>
      <c r="K519" s="18">
        <f>100-I519</f>
        <v>0</v>
      </c>
      <c r="L519" s="1">
        <f>H508</f>
        <v>90</v>
      </c>
      <c r="M519">
        <v>0</v>
      </c>
      <c r="N519" s="1">
        <v>2096.61</v>
      </c>
      <c r="O519" s="17">
        <f>N519/N524*100</f>
        <v>1.3449668195843325</v>
      </c>
      <c r="P519" s="52">
        <f>((O519*O519*(I519/100)*(K519/100))/(L519-1))</f>
        <v>0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57">(C509/$L520)*$O520</f>
        <v>0</v>
      </c>
      <c r="D520" s="34">
        <f t="shared" si="57"/>
        <v>4.2118919355215523</v>
      </c>
      <c r="E520" s="19">
        <f t="shared" si="57"/>
        <v>0.17641432190666187</v>
      </c>
      <c r="F520" s="18">
        <f t="shared" si="57"/>
        <v>0</v>
      </c>
      <c r="G520" s="20">
        <f t="shared" si="57"/>
        <v>4.4103580476665467E-2</v>
      </c>
      <c r="H520" s="17">
        <f>SUM(C520:G520)</f>
        <v>4.4324098379048795</v>
      </c>
      <c r="I520" s="17">
        <f>D520/H520*100</f>
        <v>95.024875621890544</v>
      </c>
      <c r="J520" s="17">
        <f>SQRT(I520*(100-I520)/(L520-1))</f>
        <v>1.5374663821256167</v>
      </c>
      <c r="K520" s="18">
        <f>100-I520</f>
        <v>4.9751243781094558</v>
      </c>
      <c r="L520" s="1">
        <f>H509</f>
        <v>201</v>
      </c>
      <c r="M520">
        <v>1</v>
      </c>
      <c r="N520" s="1">
        <v>6909.49</v>
      </c>
      <c r="O520" s="17">
        <f>N520/N524*100</f>
        <v>4.4324098379048795</v>
      </c>
      <c r="P520" s="52">
        <f>((O520*O520*(I520/100)*(K520/100))/(L520-1))</f>
        <v>4.6439878734323295E-3</v>
      </c>
    </row>
    <row r="521" spans="1:40" x14ac:dyDescent="0.3">
      <c r="A521" t="s">
        <v>5</v>
      </c>
      <c r="B521" s="13">
        <v>2</v>
      </c>
      <c r="C521" s="33">
        <f t="shared" si="57"/>
        <v>0</v>
      </c>
      <c r="D521" s="19">
        <f t="shared" si="57"/>
        <v>1.319158184791519</v>
      </c>
      <c r="E521" s="34">
        <f t="shared" si="57"/>
        <v>57.031274906400263</v>
      </c>
      <c r="F521" s="19">
        <f t="shared" si="57"/>
        <v>0.42649475147394977</v>
      </c>
      <c r="G521" s="20">
        <f t="shared" si="57"/>
        <v>0.23804358221801847</v>
      </c>
      <c r="H521" s="17">
        <f>SUM(C521:G521)</f>
        <v>59.014971424883754</v>
      </c>
      <c r="I521" s="17">
        <f>E521/H521*100</f>
        <v>96.638655462184857</v>
      </c>
      <c r="J521" s="17">
        <f>SQRT(I521*(100-I521)/(L521-1))</f>
        <v>0.23367377249388455</v>
      </c>
      <c r="K521" s="18">
        <f>100-I521</f>
        <v>3.3613445378151425</v>
      </c>
      <c r="L521" s="1">
        <f>H510</f>
        <v>5950</v>
      </c>
      <c r="M521">
        <v>2</v>
      </c>
      <c r="N521" s="1">
        <v>91995.86</v>
      </c>
      <c r="O521" s="17">
        <f>N521/N524*100</f>
        <v>59.014971424883747</v>
      </c>
      <c r="P521" s="52">
        <f>((O521*O521*(I521/100)*(K521/100))/(L521-1))</f>
        <v>1.9017102282148497E-2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57"/>
        <v>0</v>
      </c>
      <c r="D522" s="19">
        <f t="shared" si="57"/>
        <v>2.0719323165808858E-2</v>
      </c>
      <c r="E522" s="19">
        <f t="shared" si="57"/>
        <v>0.93236954246139858</v>
      </c>
      <c r="F522" s="34">
        <f t="shared" si="57"/>
        <v>21.796727970430918</v>
      </c>
      <c r="G522" s="20">
        <f t="shared" si="57"/>
        <v>1.0048871735417295</v>
      </c>
      <c r="H522" s="17">
        <f>SUM(C522:G522)</f>
        <v>23.754704009599855</v>
      </c>
      <c r="I522" s="17">
        <f>F522/H522*100</f>
        <v>91.757522895769739</v>
      </c>
      <c r="J522" s="17">
        <f>SQRT(I522*(100-I522)/(L522-1))</f>
        <v>0.57443700399371156</v>
      </c>
      <c r="K522" s="18">
        <f>100-I522</f>
        <v>8.2424771042302609</v>
      </c>
      <c r="L522" s="1">
        <f>H511</f>
        <v>2293</v>
      </c>
      <c r="M522">
        <v>3</v>
      </c>
      <c r="N522" s="1">
        <v>37030.17</v>
      </c>
      <c r="O522" s="17">
        <f>N522/N524*100</f>
        <v>23.754704009599855</v>
      </c>
      <c r="P522" s="52">
        <f>((O522*O522*(I522/100)*(K522/100))/(L522-1))</f>
        <v>1.8620188088301522E-2</v>
      </c>
    </row>
    <row r="523" spans="1:40" x14ac:dyDescent="0.3">
      <c r="A523" t="s">
        <v>7</v>
      </c>
      <c r="B523" s="13">
        <v>4</v>
      </c>
      <c r="C523" s="35">
        <f t="shared" si="57"/>
        <v>0</v>
      </c>
      <c r="D523" s="36">
        <f t="shared" si="57"/>
        <v>0</v>
      </c>
      <c r="E523" s="21">
        <f t="shared" si="57"/>
        <v>0.32025553404603319</v>
      </c>
      <c r="F523" s="21">
        <f t="shared" si="57"/>
        <v>2.6382955899982732</v>
      </c>
      <c r="G523" s="37">
        <f t="shared" si="57"/>
        <v>8.4943967839828787</v>
      </c>
      <c r="H523" s="17">
        <f>SUM(C523:G523)</f>
        <v>11.452947908027184</v>
      </c>
      <c r="I523" s="17">
        <f>G523/H523*100</f>
        <v>74.16777629826899</v>
      </c>
      <c r="J523" s="17">
        <f>SQRT(I523*(100-I523)/(L523-1))</f>
        <v>1.5982985072869742</v>
      </c>
      <c r="K523" s="18">
        <f>100-I523</f>
        <v>25.83222370173101</v>
      </c>
      <c r="L523" s="1">
        <f>H512</f>
        <v>751</v>
      </c>
      <c r="M523">
        <v>4</v>
      </c>
      <c r="N523" s="1">
        <v>17853.5</v>
      </c>
      <c r="O523" s="17">
        <f>N523/N524*100</f>
        <v>11.452947908027186</v>
      </c>
      <c r="P523" s="52">
        <f>((O523*O523*(I523/100)*(K523/100))/(L523-1))</f>
        <v>3.3508142871107843E-2</v>
      </c>
      <c r="AM523" s="78"/>
      <c r="AN523" s="78"/>
    </row>
    <row r="524" spans="1:40" x14ac:dyDescent="0.3">
      <c r="B524" t="s">
        <v>28</v>
      </c>
      <c r="C524" s="17">
        <f>SUM(C519:C523)</f>
        <v>1.3449668195843325</v>
      </c>
      <c r="D524" s="17">
        <f>SUM(D519:D523)</f>
        <v>5.5517694434788796</v>
      </c>
      <c r="E524" s="17">
        <f>SUM(E519:E523)</f>
        <v>58.460314304814361</v>
      </c>
      <c r="F524" s="17">
        <f>SUM(F519:F523)</f>
        <v>24.86151831190314</v>
      </c>
      <c r="G524" s="17">
        <f>SUM(G519:G523)</f>
        <v>9.7814311202192918</v>
      </c>
      <c r="H524" s="1">
        <f>SUM(H518:H523)</f>
        <v>100.00000000000001</v>
      </c>
      <c r="I524" s="13" t="s">
        <v>24</v>
      </c>
      <c r="J524" s="12" t="s">
        <v>29</v>
      </c>
      <c r="N524" s="1">
        <f>SUM(N519:N523)</f>
        <v>155885.63</v>
      </c>
      <c r="O524" s="17">
        <f>SUM(O519:O523)</f>
        <v>99.999999999999986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0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0.13276641880819604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0.19177239299165175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0.23190069741835964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0.21621245612029796</v>
      </c>
      <c r="H525" s="1"/>
      <c r="I525" s="14">
        <f>(C519+D520+E521+F522+G523)/H524</f>
        <v>0.92879258415919941</v>
      </c>
      <c r="J525" s="53">
        <f>SQRT(SUM(P519:P523))/100</f>
        <v>2.7529878516802464E-3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100</v>
      </c>
      <c r="D526" s="17">
        <f>D520/D524*100</f>
        <v>75.865757366218617</v>
      </c>
      <c r="E526" s="17">
        <f>E521/E524*100</f>
        <v>97.555539316872242</v>
      </c>
      <c r="F526" s="17">
        <f>F522/F524*100</f>
        <v>87.672553610674413</v>
      </c>
      <c r="G526" s="17">
        <f>G523/G524*100</f>
        <v>86.842065129140749</v>
      </c>
      <c r="H526" s="1"/>
    </row>
    <row r="527" spans="1:40" x14ac:dyDescent="0.3">
      <c r="B527" s="16" t="s">
        <v>39</v>
      </c>
      <c r="C527" s="18">
        <f>SQRT((C530+C531)/(C524*C524))</f>
        <v>0</v>
      </c>
      <c r="D527" s="18">
        <f>SQRT((D530+D531)/(D524*D524))</f>
        <v>3.347401625289125</v>
      </c>
      <c r="E527" s="18">
        <f>SQRT((E530+E531)/(E524*E524))</f>
        <v>0.22993512235209751</v>
      </c>
      <c r="F527" s="18">
        <f>SQRT((F530+F531)/(F524*F524))</f>
        <v>0.94638013689133271</v>
      </c>
      <c r="G527" s="18">
        <f>SQRT((G530+G531)/(G524*G524))</f>
        <v>2.6667086695704461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0</v>
      </c>
      <c r="D528" s="18">
        <f>100-D526</f>
        <v>24.134242633781383</v>
      </c>
      <c r="E528" s="18">
        <f>100-E526</f>
        <v>2.4444606831277582</v>
      </c>
      <c r="F528" s="18">
        <f>100-F526</f>
        <v>12.327446389325587</v>
      </c>
      <c r="G528" s="18">
        <f>100-G526</f>
        <v>13.157934870859251</v>
      </c>
    </row>
    <row r="529" spans="1:40" ht="15.6" x14ac:dyDescent="0.35">
      <c r="B529" s="1" t="s">
        <v>25</v>
      </c>
      <c r="C529" s="1">
        <f>C513</f>
        <v>90</v>
      </c>
      <c r="D529" s="1">
        <f>D513</f>
        <v>326</v>
      </c>
      <c r="E529" s="1">
        <f>E513</f>
        <v>5869</v>
      </c>
      <c r="F529" s="1">
        <f>F513</f>
        <v>2320</v>
      </c>
      <c r="G529" s="1">
        <f>G513</f>
        <v>680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270.49449206381098</v>
      </c>
      <c r="E530" s="18">
        <f>(O521*O521*(100-E526)*(100-E526)*(I521)*(100-I521))/((L521-1)*100)</f>
        <v>11.36345653678501</v>
      </c>
      <c r="F530" s="18">
        <f>(O522*O522*(100-F526)*(100-F526)*(I522)*(100-I522))/((L522-1)*100)</f>
        <v>282.96342830636934</v>
      </c>
      <c r="G530" s="18">
        <f>(O523*O523*(100-G526)*(100-G526)*(I523)*(100-I523))/((L523-1)*100)</f>
        <v>580.13066626574482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74.870640440265916</v>
      </c>
      <c r="E531" s="18">
        <f>E526*E526*(SUM((H519*E519*(1-E508/H508))/(H508-1),(H520*E520*(1-E509/H509))/(H509-1), (H522*E522*(1-E511/H511))/(H511-1),(H523*E523*(1-E512/H512))/(H512-1)))</f>
        <v>169.32604535026641</v>
      </c>
      <c r="F531" s="18">
        <f>F526*F526*(SUM((H519*F519*(1-F508/H508))/(H508-1),(H520*F520*(1-F509/H509))/(H509-1), (H521*F521*(1-F510/H510))/(H510-1),(H523*F523*(1-F512/H512))/(H512-1)))</f>
        <v>270.62439478854708</v>
      </c>
      <c r="G531" s="18">
        <f>G526*G526*(SUM((H519*G519*(1-G508/H508))/(H508-1),(H520*G520*(1-G509/H509))/(H509-1), (H521*G521*(1-G510/H510))/(H510-1),(H522*G522*(1-G511/H511))/(H511-1)))</f>
        <v>100.25624074320602</v>
      </c>
      <c r="AM531" s="78"/>
      <c r="AN531" s="78"/>
    </row>
    <row r="533" spans="1:40" x14ac:dyDescent="0.3">
      <c r="AM533" s="78"/>
      <c r="AN533" s="78"/>
    </row>
    <row r="534" spans="1:40" x14ac:dyDescent="0.3">
      <c r="A534" s="361" t="s">
        <v>429</v>
      </c>
      <c r="B534" s="361"/>
      <c r="C534" s="361"/>
      <c r="D534" s="361"/>
      <c r="E534" s="361"/>
      <c r="F534" s="361"/>
      <c r="G534" s="361"/>
      <c r="H534" s="361"/>
      <c r="I534" s="361"/>
      <c r="J534" s="361"/>
      <c r="K534" s="361"/>
      <c r="L534" s="361" t="s">
        <v>96</v>
      </c>
      <c r="M534" s="361"/>
      <c r="N534" s="361"/>
      <c r="O534" s="361"/>
      <c r="P534" s="361"/>
    </row>
    <row r="535" spans="1:40" x14ac:dyDescent="0.3">
      <c r="A535" t="s">
        <v>15</v>
      </c>
      <c r="B535" t="s">
        <v>21</v>
      </c>
      <c r="I535" s="1" t="s">
        <v>58</v>
      </c>
      <c r="O535" s="143"/>
      <c r="P535" s="143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56</v>
      </c>
      <c r="O536" s="13"/>
      <c r="P536" s="13"/>
    </row>
    <row r="537" spans="1:40" x14ac:dyDescent="0.3">
      <c r="A537" t="s">
        <v>3</v>
      </c>
      <c r="B537" s="13">
        <v>0</v>
      </c>
      <c r="C537" s="26">
        <v>89</v>
      </c>
      <c r="D537" s="3">
        <v>0</v>
      </c>
      <c r="E537" s="3">
        <v>0</v>
      </c>
      <c r="F537" s="3">
        <v>1</v>
      </c>
      <c r="G537" s="4">
        <v>0</v>
      </c>
      <c r="H537" s="1">
        <f>SUM(C537:G537)</f>
        <v>90</v>
      </c>
      <c r="I537" s="10">
        <f>C537/H537</f>
        <v>0.98888888888888893</v>
      </c>
      <c r="J537" s="11">
        <f>1-I537</f>
        <v>1.1111111111111072E-2</v>
      </c>
      <c r="K537">
        <f>H537-C542</f>
        <v>1</v>
      </c>
      <c r="N537" s="10">
        <f>2*(C543*I537)/(C543+I537)</f>
        <v>0.99441340782122911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189</v>
      </c>
      <c r="E538" s="1">
        <v>10</v>
      </c>
      <c r="F538" s="1">
        <v>0</v>
      </c>
      <c r="G538" s="6">
        <v>2</v>
      </c>
      <c r="H538" s="1">
        <f>SUM(C538:G538)</f>
        <v>201</v>
      </c>
      <c r="I538" s="10">
        <f>D538/H538</f>
        <v>0.94029850746268662</v>
      </c>
      <c r="J538" s="11">
        <f>1-I538</f>
        <v>5.9701492537313383E-2</v>
      </c>
      <c r="K538">
        <f>H538-D542</f>
        <v>-131</v>
      </c>
      <c r="N538" s="10">
        <f>2*(D543*I538)/(D543+I538)</f>
        <v>0.70919324577861165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142</v>
      </c>
      <c r="E539" s="27">
        <v>5744</v>
      </c>
      <c r="F539" s="1">
        <v>43</v>
      </c>
      <c r="G539" s="6">
        <v>21</v>
      </c>
      <c r="H539" s="1">
        <f>SUM(C539:G539)</f>
        <v>5950</v>
      </c>
      <c r="I539" s="10">
        <f>E539/H539</f>
        <v>0.96537815126050419</v>
      </c>
      <c r="J539" s="11">
        <f>1-I539</f>
        <v>3.4621848739495809E-2</v>
      </c>
      <c r="K539">
        <f>H539-E542</f>
        <v>100</v>
      </c>
      <c r="N539" s="10">
        <f>2*(E543*I539)/(E543+I539)</f>
        <v>0.97355932203389839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0</v>
      </c>
      <c r="D540" s="1">
        <v>1</v>
      </c>
      <c r="E540" s="1">
        <v>78</v>
      </c>
      <c r="F540" s="27">
        <v>2119</v>
      </c>
      <c r="G540" s="6">
        <v>95</v>
      </c>
      <c r="H540" s="1">
        <f>SUM(C540:G540)</f>
        <v>2293</v>
      </c>
      <c r="I540" s="10">
        <f>F540/H540</f>
        <v>0.92411687745311821</v>
      </c>
      <c r="J540" s="11">
        <f>1-I540</f>
        <v>7.5883122546881787E-2</v>
      </c>
      <c r="K540">
        <f>H540-F542</f>
        <v>-43</v>
      </c>
      <c r="N540" s="10">
        <f>2*(F543*I540)/(F543+I540)</f>
        <v>0.91553251242168932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0</v>
      </c>
      <c r="E541" s="8">
        <v>18</v>
      </c>
      <c r="F541" s="8">
        <v>173</v>
      </c>
      <c r="G541" s="28">
        <v>560</v>
      </c>
      <c r="H541" s="1">
        <f>SUM(C541:G541)</f>
        <v>751</v>
      </c>
      <c r="I541" s="10">
        <f>G541/H541</f>
        <v>0.7456724367509987</v>
      </c>
      <c r="J541" s="11">
        <f>1-I541</f>
        <v>0.2543275632490013</v>
      </c>
      <c r="K541">
        <f>H541-G542</f>
        <v>73</v>
      </c>
      <c r="N541" s="10">
        <f>2*(G543*I541)/(G543+I541)</f>
        <v>0.78376487053883837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89</v>
      </c>
      <c r="D542" s="1">
        <f>SUM(D537:D541)</f>
        <v>332</v>
      </c>
      <c r="E542" s="1">
        <f>SUM(E537:E541)</f>
        <v>5850</v>
      </c>
      <c r="F542" s="1">
        <f>SUM(F537:F541)</f>
        <v>2336</v>
      </c>
      <c r="G542" s="1">
        <f>SUM(G537:G541)</f>
        <v>678</v>
      </c>
      <c r="H542" s="1">
        <f>SUM(H536:H541)</f>
        <v>9285</v>
      </c>
      <c r="I542" s="13" t="s">
        <v>12</v>
      </c>
      <c r="N542" s="16"/>
      <c r="O542" s="1"/>
      <c r="P542" s="1"/>
    </row>
    <row r="543" spans="1:40" x14ac:dyDescent="0.3">
      <c r="A543" s="1" t="s">
        <v>57</v>
      </c>
      <c r="B543" s="1" t="s">
        <v>2</v>
      </c>
      <c r="C543" s="10">
        <f>C537/C542</f>
        <v>1</v>
      </c>
      <c r="D543" s="10">
        <f>D538/D542</f>
        <v>0.56927710843373491</v>
      </c>
      <c r="E543" s="10">
        <f>E539/E542</f>
        <v>0.9818803418803419</v>
      </c>
      <c r="F543" s="10">
        <f>F540/F542</f>
        <v>0.90710616438356162</v>
      </c>
      <c r="G543" s="10">
        <f>G541/G542</f>
        <v>0.82595870206489674</v>
      </c>
      <c r="H543" s="10"/>
      <c r="I543" s="14">
        <f>(C537+D538+E539+F540+G541)/H542</f>
        <v>0.93710285406569738</v>
      </c>
    </row>
    <row r="544" spans="1:40" x14ac:dyDescent="0.3">
      <c r="B544" s="1" t="s">
        <v>14</v>
      </c>
      <c r="C544" s="11">
        <f>1-C543</f>
        <v>0</v>
      </c>
      <c r="D544" s="11">
        <f>1-D543</f>
        <v>0.43072289156626509</v>
      </c>
      <c r="E544" s="11">
        <f>1-E543</f>
        <v>1.81196581196581E-2</v>
      </c>
      <c r="F544" s="11">
        <f>1-F543</f>
        <v>9.289383561643838E-2</v>
      </c>
      <c r="G544" s="11">
        <f>1-G543</f>
        <v>0.17404129793510326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1.340477046007716</v>
      </c>
      <c r="D548" s="31">
        <f>(D537/$L548)*$O548</f>
        <v>0</v>
      </c>
      <c r="E548" s="31">
        <f>(E537/$L548)*$O548</f>
        <v>0</v>
      </c>
      <c r="F548" s="31">
        <f>(F537/$L548)*$O548</f>
        <v>1.5061539842783326E-2</v>
      </c>
      <c r="G548" s="32">
        <f>(G537/$L548)*$O548</f>
        <v>0</v>
      </c>
      <c r="H548" s="17">
        <f>SUM(C548:G548)</f>
        <v>1.3555385858504994</v>
      </c>
      <c r="I548" s="17">
        <f>C548/H548*100</f>
        <v>98.888888888888886</v>
      </c>
      <c r="J548" s="17">
        <f>SQRT(I548*(100-I548)/(L548-1))</f>
        <v>1.1111111111111127</v>
      </c>
      <c r="K548" s="18">
        <f>100-I548</f>
        <v>1.1111111111111143</v>
      </c>
      <c r="L548" s="1">
        <f>H537</f>
        <v>90</v>
      </c>
      <c r="M548">
        <v>0</v>
      </c>
      <c r="N548" s="1">
        <v>2113.09</v>
      </c>
      <c r="O548" s="17">
        <f>N548/N553*100</f>
        <v>1.3555385858504994</v>
      </c>
      <c r="P548" s="52">
        <f>((O548*O548*(I548/100)*(K548/100))/(L548-1))</f>
        <v>2.2684998243575021E-4</v>
      </c>
    </row>
    <row r="549" spans="1:16" x14ac:dyDescent="0.3">
      <c r="A549" t="s">
        <v>4</v>
      </c>
      <c r="B549" s="13">
        <v>1</v>
      </c>
      <c r="C549" s="33">
        <f t="shared" ref="C549:G552" si="58">(C538/$L549)*$O549</f>
        <v>0</v>
      </c>
      <c r="D549" s="34">
        <f t="shared" si="58"/>
        <v>4.4633489011560012</v>
      </c>
      <c r="E549" s="19">
        <f t="shared" si="58"/>
        <v>0.23615602651619055</v>
      </c>
      <c r="F549" s="18">
        <f t="shared" si="58"/>
        <v>0</v>
      </c>
      <c r="G549" s="20">
        <f t="shared" si="58"/>
        <v>4.7231205303238107E-2</v>
      </c>
      <c r="H549" s="17">
        <f>SUM(C549:G549)</f>
        <v>4.7467361329754301</v>
      </c>
      <c r="I549" s="17">
        <f>D549/H549*100</f>
        <v>94.02985074626865</v>
      </c>
      <c r="J549" s="17">
        <f>SQRT(I549*(100-I549)/(L549-1))</f>
        <v>1.6753689791525119</v>
      </c>
      <c r="K549" s="18">
        <f>100-I549</f>
        <v>5.9701492537313499</v>
      </c>
      <c r="L549" s="1">
        <f>H538</f>
        <v>201</v>
      </c>
      <c r="M549">
        <v>1</v>
      </c>
      <c r="N549" s="1">
        <v>7399.48</v>
      </c>
      <c r="O549" s="17">
        <f>N549/N553*100</f>
        <v>4.7467361329754301</v>
      </c>
      <c r="P549" s="52">
        <f>((O549*O549*(I549/100)*(K549/100))/(L549-1))</f>
        <v>6.3242804487144465E-3</v>
      </c>
    </row>
    <row r="550" spans="1:16" x14ac:dyDescent="0.3">
      <c r="A550" t="s">
        <v>5</v>
      </c>
      <c r="B550" s="13">
        <v>2</v>
      </c>
      <c r="C550" s="33">
        <f t="shared" si="58"/>
        <v>0</v>
      </c>
      <c r="D550" s="19">
        <f t="shared" si="58"/>
        <v>1.3945817582425577</v>
      </c>
      <c r="E550" s="34">
        <f t="shared" si="58"/>
        <v>56.411814220741199</v>
      </c>
      <c r="F550" s="19">
        <f t="shared" si="58"/>
        <v>0.4223029267917604</v>
      </c>
      <c r="G550" s="20">
        <f t="shared" si="58"/>
        <v>0.20624096424713881</v>
      </c>
      <c r="H550" s="17">
        <f>SUM(C550:G550)</f>
        <v>58.434939870022653</v>
      </c>
      <c r="I550" s="17">
        <f>E550/H550*100</f>
        <v>96.537815126050432</v>
      </c>
      <c r="J550" s="17">
        <f>SQRT(I550*(100-I550)/(L550-1))</f>
        <v>0.23702921358143256</v>
      </c>
      <c r="K550" s="18">
        <f>100-I550</f>
        <v>3.4621848739495675</v>
      </c>
      <c r="L550" s="1">
        <f>H539</f>
        <v>5950</v>
      </c>
      <c r="M550">
        <v>2</v>
      </c>
      <c r="N550" s="1">
        <v>91091.68</v>
      </c>
      <c r="O550" s="17">
        <f>N550/N553*100</f>
        <v>58.43493987002266</v>
      </c>
      <c r="P550" s="52">
        <f>((O550*O550*(I550/100)*(K550/100))/(L550-1))</f>
        <v>1.9184432387372934E-2</v>
      </c>
    </row>
    <row r="551" spans="1:16" x14ac:dyDescent="0.3">
      <c r="A551" t="s">
        <v>6</v>
      </c>
      <c r="B551" s="13">
        <v>3</v>
      </c>
      <c r="C551" s="33">
        <f t="shared" si="58"/>
        <v>0</v>
      </c>
      <c r="D551" s="19">
        <f t="shared" si="58"/>
        <v>1.040473069181957E-2</v>
      </c>
      <c r="E551" s="19">
        <f t="shared" si="58"/>
        <v>0.81156899396192639</v>
      </c>
      <c r="F551" s="34">
        <f t="shared" si="58"/>
        <v>22.047624335965669</v>
      </c>
      <c r="G551" s="20">
        <f t="shared" si="58"/>
        <v>0.98844941572285905</v>
      </c>
      <c r="H551" s="17">
        <f>SUM(C551:G551)</f>
        <v>23.858047476342271</v>
      </c>
      <c r="I551" s="17">
        <f>F551/H551*100</f>
        <v>92.411687745311838</v>
      </c>
      <c r="J551" s="17">
        <f>SQRT(I551*(100-I551)/(L551-1))</f>
        <v>0.55313194517747211</v>
      </c>
      <c r="K551" s="18">
        <f>100-I551</f>
        <v>7.5883122546881623</v>
      </c>
      <c r="L551" s="1">
        <f>H540</f>
        <v>2293</v>
      </c>
      <c r="M551">
        <v>3</v>
      </c>
      <c r="N551" s="1">
        <v>37191.269999999997</v>
      </c>
      <c r="O551" s="17">
        <f>N551/N553*100</f>
        <v>23.858047476342271</v>
      </c>
      <c r="P551" s="52">
        <f>((O551*O551*(I551/100)*(K551/100))/(L551-1))</f>
        <v>1.7415152394486266E-2</v>
      </c>
    </row>
    <row r="552" spans="1:16" x14ac:dyDescent="0.3">
      <c r="A552" t="s">
        <v>7</v>
      </c>
      <c r="B552" s="13">
        <v>4</v>
      </c>
      <c r="C552" s="35">
        <f t="shared" si="58"/>
        <v>0</v>
      </c>
      <c r="D552" s="36">
        <f t="shared" si="58"/>
        <v>0</v>
      </c>
      <c r="E552" s="21">
        <f t="shared" si="58"/>
        <v>0.27814285329768895</v>
      </c>
      <c r="F552" s="21">
        <f t="shared" si="58"/>
        <v>2.6732618678055662</v>
      </c>
      <c r="G552" s="37">
        <f t="shared" si="58"/>
        <v>8.6533332137058796</v>
      </c>
      <c r="H552" s="17">
        <f>SUM(C552:G552)</f>
        <v>11.604737934809135</v>
      </c>
      <c r="I552" s="17">
        <f>G552/H552*100</f>
        <v>74.567243675099874</v>
      </c>
      <c r="J552" s="17">
        <f>SQRT(I552*(100-I552)/(L552-1))</f>
        <v>1.5901574505724332</v>
      </c>
      <c r="K552" s="18">
        <f>100-I552</f>
        <v>25.432756324900126</v>
      </c>
      <c r="L552" s="1">
        <f>H541</f>
        <v>751</v>
      </c>
      <c r="M552">
        <v>4</v>
      </c>
      <c r="N552" s="1">
        <v>18090.12</v>
      </c>
      <c r="O552" s="17">
        <f>N552/N553*100</f>
        <v>11.604737934809133</v>
      </c>
      <c r="P552" s="52">
        <f>((O552*O552*(I552/100)*(K552/100))/(L552-1))</f>
        <v>3.4052651333614833E-2</v>
      </c>
    </row>
    <row r="553" spans="1:16" x14ac:dyDescent="0.3">
      <c r="B553" t="s">
        <v>28</v>
      </c>
      <c r="C553" s="17">
        <f>SUM(C548:C552)</f>
        <v>1.340477046007716</v>
      </c>
      <c r="D553" s="17">
        <f>SUM(D548:D552)</f>
        <v>5.8683353900903779</v>
      </c>
      <c r="E553" s="17">
        <f>SUM(E548:E552)</f>
        <v>57.737682094517005</v>
      </c>
      <c r="F553" s="17">
        <f>SUM(F548:F552)</f>
        <v>25.158250670405778</v>
      </c>
      <c r="G553" s="17">
        <f>SUM(G548:G552)</f>
        <v>9.8952547989791153</v>
      </c>
      <c r="H553" s="1">
        <f>SUM(H547:H552)</f>
        <v>99.999999999999986</v>
      </c>
      <c r="I553" s="13" t="s">
        <v>24</v>
      </c>
      <c r="J553" s="12" t="s">
        <v>29</v>
      </c>
      <c r="N553" s="1">
        <f>SUM(N548:N552)</f>
        <v>155885.63999999998</v>
      </c>
      <c r="O553" s="17">
        <f>SUM(O548:O552)</f>
        <v>99.999999999999986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1.4977630889942301E-2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0.14060706138240298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0.19191817232437253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0.23139113927636723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0.21676808596311936</v>
      </c>
      <c r="H554" s="1"/>
      <c r="I554" s="56">
        <f>(C548+D549+E550+F551+G552)/H553</f>
        <v>0.92916597717576477</v>
      </c>
      <c r="J554" s="53">
        <f>SQRT(SUM(P548:P552))/100</f>
        <v>2.778549379561649E-3</v>
      </c>
      <c r="M554" s="1"/>
      <c r="N554" s="9"/>
    </row>
    <row r="555" spans="1:16" x14ac:dyDescent="0.3">
      <c r="B555" s="1" t="s">
        <v>30</v>
      </c>
      <c r="C555" s="17">
        <f>C548/C553*100</f>
        <v>100</v>
      </c>
      <c r="D555" s="17">
        <f>D549/D553*100</f>
        <v>76.058176713844261</v>
      </c>
      <c r="E555" s="17">
        <f>E550/E553*100</f>
        <v>97.70363508599921</v>
      </c>
      <c r="F555" s="17">
        <f>F551/F553*100</f>
        <v>87.635760629020169</v>
      </c>
      <c r="G555" s="17">
        <f>G552/G553*100</f>
        <v>87.449321816338028</v>
      </c>
      <c r="H555" s="1"/>
    </row>
    <row r="556" spans="1:16" x14ac:dyDescent="0.3">
      <c r="B556" s="16" t="s">
        <v>39</v>
      </c>
      <c r="C556" s="18">
        <f>SQRT((C559+C560)/(C553*C553))</f>
        <v>0</v>
      </c>
      <c r="D556" s="18">
        <f>SQRT((D559+D560)/(D553*D553))</f>
        <v>3.5764713929415501</v>
      </c>
      <c r="E556" s="18">
        <f>SQRT((E559+E560)/(E553*E553))</f>
        <v>0.23169402998500643</v>
      </c>
      <c r="F556" s="18">
        <f>SQRT((F559+F560)/(F553*F553))</f>
        <v>0.92716542343839004</v>
      </c>
      <c r="G556" s="18">
        <f>SQRT((G559+G560)/(G553*G553))</f>
        <v>2.5480881588202138</v>
      </c>
      <c r="H556" s="1"/>
    </row>
    <row r="557" spans="1:16" x14ac:dyDescent="0.3">
      <c r="B557" s="1" t="s">
        <v>37</v>
      </c>
      <c r="C557" s="18">
        <f>100-C555</f>
        <v>0</v>
      </c>
      <c r="D557" s="18">
        <f>100-D555</f>
        <v>23.941823286155739</v>
      </c>
      <c r="E557" s="18">
        <f>100-E555</f>
        <v>2.2963649140007902</v>
      </c>
      <c r="F557" s="18">
        <f>100-F555</f>
        <v>12.364239370979831</v>
      </c>
      <c r="G557" s="18">
        <f>100-G555</f>
        <v>12.550678183661972</v>
      </c>
    </row>
    <row r="558" spans="1:16" ht="15.6" x14ac:dyDescent="0.35">
      <c r="B558" s="1" t="s">
        <v>25</v>
      </c>
      <c r="C558" s="1">
        <f>C542</f>
        <v>89</v>
      </c>
      <c r="D558" s="1">
        <f>D542</f>
        <v>332</v>
      </c>
      <c r="E558" s="1">
        <f>E542</f>
        <v>5850</v>
      </c>
      <c r="F558" s="1">
        <f>F542</f>
        <v>2336</v>
      </c>
      <c r="G558" s="1">
        <f>G542</f>
        <v>678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362.51465021877272</v>
      </c>
      <c r="E559" s="18">
        <f>(O550*O550*(100-E555)*(100-E555)*(I550)*(100-I550))/((L550-1)*100)</f>
        <v>10.116511034617798</v>
      </c>
      <c r="F559" s="18">
        <f>(O551*O551*(100-F555)*(100-F555)*(I551)*(100-I551))/((L551-1)*100)</f>
        <v>266.2331238324561</v>
      </c>
      <c r="G559" s="18">
        <f>(O552*O552*(100-G555)*(100-G555)*(I552)*(100-I552))/((L552-1)*100)</f>
        <v>536.3957390524323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77.978708545584382</v>
      </c>
      <c r="E560" s="18">
        <f>E555*E555*(SUM((H548*E548*(1-E537/H537))/(H537-1),(H549*E549*(1-E538/H538))/(H538-1), (H551*E551*(1-E540/H540))/(H540-1),(H552*E552*(1-E541/H541))/(H541-1)))</f>
        <v>168.84035969029924</v>
      </c>
      <c r="F560" s="18">
        <f>F555*F555*(SUM((H548*F548*(1-F537/H537))/(H537-1),(H549*F549*(1-F538/H538))/(H538-1), (H550*F550*(1-F539/H539))/(H539-1),(H552*F552*(1-F541/H541))/(H541-1)))</f>
        <v>277.8626272422577</v>
      </c>
      <c r="G560" s="18">
        <f>G555*G555*(SUM((H548*G548*(1-G537/H537))/(H537-1),(H549*G549*(1-G538/H538))/(H538-1), (H550*G550*(1-G539/H539))/(H539-1),(H551*G551*(1-G540/H540))/(H540-1)))</f>
        <v>99.349128154290995</v>
      </c>
    </row>
    <row r="563" spans="1:16" x14ac:dyDescent="0.3">
      <c r="A563" s="361" t="s">
        <v>429</v>
      </c>
      <c r="B563" s="361"/>
      <c r="C563" s="361"/>
      <c r="D563" s="361"/>
      <c r="E563" s="361"/>
      <c r="F563" s="361"/>
      <c r="G563" s="361"/>
      <c r="H563" s="361"/>
      <c r="I563" s="361"/>
      <c r="J563" s="361"/>
      <c r="K563" s="361"/>
      <c r="L563" s="361" t="s">
        <v>97</v>
      </c>
      <c r="M563" s="361"/>
      <c r="N563" s="361"/>
      <c r="O563" s="361"/>
      <c r="P563" s="361"/>
    </row>
    <row r="564" spans="1:16" x14ac:dyDescent="0.3">
      <c r="A564" t="s">
        <v>15</v>
      </c>
      <c r="B564" t="s">
        <v>21</v>
      </c>
      <c r="I564" s="1" t="s">
        <v>58</v>
      </c>
      <c r="O564" s="143"/>
      <c r="P564" s="143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56</v>
      </c>
      <c r="O565" s="13"/>
      <c r="P565" s="13"/>
    </row>
    <row r="566" spans="1:16" x14ac:dyDescent="0.3">
      <c r="A566" t="s">
        <v>3</v>
      </c>
      <c r="B566" s="13">
        <v>0</v>
      </c>
      <c r="C566" s="26">
        <v>89</v>
      </c>
      <c r="D566" s="3">
        <v>0</v>
      </c>
      <c r="E566" s="3">
        <v>0</v>
      </c>
      <c r="F566" s="3">
        <v>1</v>
      </c>
      <c r="G566" s="4">
        <v>0</v>
      </c>
      <c r="H566" s="1">
        <f>SUM(C566:G566)</f>
        <v>90</v>
      </c>
      <c r="I566" s="10">
        <f>C566/H566</f>
        <v>0.98888888888888893</v>
      </c>
      <c r="J566" s="11">
        <f>1-I566</f>
        <v>1.1111111111111072E-2</v>
      </c>
      <c r="K566">
        <f>H566-C571</f>
        <v>1</v>
      </c>
      <c r="N566" s="10">
        <f>2*(C572*I566)/(C572+I566)</f>
        <v>0.99441340782122911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187</v>
      </c>
      <c r="E567" s="1">
        <v>12</v>
      </c>
      <c r="F567" s="1">
        <v>0</v>
      </c>
      <c r="G567" s="6">
        <v>2</v>
      </c>
      <c r="H567" s="1">
        <f>SUM(C567:G567)</f>
        <v>201</v>
      </c>
      <c r="I567" s="10">
        <f>D567/H567</f>
        <v>0.93034825870646765</v>
      </c>
      <c r="J567" s="11">
        <f>1-I567</f>
        <v>6.9651741293532354E-2</v>
      </c>
      <c r="K567">
        <f>H567-D571</f>
        <v>-134</v>
      </c>
      <c r="N567" s="10">
        <f>2*(D572*I567)/(D572+I567)</f>
        <v>0.69776119402985082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144</v>
      </c>
      <c r="E568" s="27">
        <v>5742</v>
      </c>
      <c r="F568" s="1">
        <v>40</v>
      </c>
      <c r="G568" s="6">
        <v>24</v>
      </c>
      <c r="H568" s="1">
        <f>SUM(C568:G568)</f>
        <v>5950</v>
      </c>
      <c r="I568" s="10">
        <f>E568/H568</f>
        <v>0.96504201680672264</v>
      </c>
      <c r="J568" s="11">
        <f>1-I568</f>
        <v>3.4957983193277364E-2</v>
      </c>
      <c r="K568">
        <f>H568-E571</f>
        <v>89</v>
      </c>
      <c r="N568" s="10">
        <f>2*(E572*I568)/(E572+I568)</f>
        <v>0.97231394462788923</v>
      </c>
      <c r="O568" s="1"/>
      <c r="P568" s="1"/>
    </row>
    <row r="569" spans="1:16" x14ac:dyDescent="0.3">
      <c r="A569" t="s">
        <v>6</v>
      </c>
      <c r="B569" s="13">
        <v>3</v>
      </c>
      <c r="C569" s="5">
        <v>0</v>
      </c>
      <c r="D569" s="1">
        <v>2</v>
      </c>
      <c r="E569" s="1">
        <v>89</v>
      </c>
      <c r="F569" s="27">
        <v>2108</v>
      </c>
      <c r="G569" s="6">
        <v>94</v>
      </c>
      <c r="H569" s="1">
        <f>SUM(C569:G569)</f>
        <v>2293</v>
      </c>
      <c r="I569" s="10">
        <f>F569/H569</f>
        <v>0.91931966855647618</v>
      </c>
      <c r="J569" s="11">
        <f>1-I569</f>
        <v>8.0680331443523823E-2</v>
      </c>
      <c r="K569">
        <f>H569-F571</f>
        <v>-27</v>
      </c>
      <c r="N569" s="10">
        <f>2*(F572*I569)/(F572+I569)</f>
        <v>0.91393886841534777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2</v>
      </c>
      <c r="E570" s="8">
        <v>18</v>
      </c>
      <c r="F570" s="8">
        <v>171</v>
      </c>
      <c r="G570" s="28">
        <v>560</v>
      </c>
      <c r="H570" s="1">
        <f>SUM(C570:G570)</f>
        <v>751</v>
      </c>
      <c r="I570" s="10">
        <f>G570/H570</f>
        <v>0.7456724367509987</v>
      </c>
      <c r="J570" s="11">
        <f>1-I570</f>
        <v>0.2543275632490013</v>
      </c>
      <c r="K570">
        <f>H570-G571</f>
        <v>71</v>
      </c>
      <c r="N570" s="10">
        <f>2*(G572*I570)/(G572+I570)</f>
        <v>0.78266946191474496</v>
      </c>
      <c r="O570" s="1"/>
      <c r="P570" s="1"/>
    </row>
    <row r="571" spans="1:16" ht="15.6" x14ac:dyDescent="0.35">
      <c r="B571" s="1" t="s">
        <v>19</v>
      </c>
      <c r="C571" s="1">
        <f>SUM(C566:C570)</f>
        <v>89</v>
      </c>
      <c r="D571" s="1">
        <f>SUM(D566:D570)</f>
        <v>335</v>
      </c>
      <c r="E571" s="1">
        <f>SUM(E566:E570)</f>
        <v>5861</v>
      </c>
      <c r="F571" s="1">
        <f>SUM(F566:F570)</f>
        <v>2320</v>
      </c>
      <c r="G571" s="1">
        <f>SUM(G566:G570)</f>
        <v>680</v>
      </c>
      <c r="H571" s="1">
        <f>SUM(H565:H570)</f>
        <v>9285</v>
      </c>
      <c r="I571" s="13" t="s">
        <v>12</v>
      </c>
      <c r="N571" s="16"/>
      <c r="O571" s="1"/>
      <c r="P571" s="1"/>
    </row>
    <row r="572" spans="1:16" x14ac:dyDescent="0.3">
      <c r="A572" s="1" t="s">
        <v>57</v>
      </c>
      <c r="B572" s="1" t="s">
        <v>2</v>
      </c>
      <c r="C572" s="10">
        <f>C566/C571</f>
        <v>1</v>
      </c>
      <c r="D572" s="10">
        <f>D567/D571</f>
        <v>0.55820895522388059</v>
      </c>
      <c r="E572" s="10">
        <f>E568/E571</f>
        <v>0.97969629756014331</v>
      </c>
      <c r="F572" s="10">
        <f>F569/F571</f>
        <v>0.9086206896551724</v>
      </c>
      <c r="G572" s="10">
        <f>G570/G571</f>
        <v>0.82352941176470584</v>
      </c>
      <c r="H572" s="10"/>
      <c r="I572" s="14">
        <f>(C566+D567+E568+F569+G570)/H571</f>
        <v>0.93548734518039844</v>
      </c>
    </row>
    <row r="573" spans="1:16" x14ac:dyDescent="0.3">
      <c r="B573" s="1" t="s">
        <v>14</v>
      </c>
      <c r="C573" s="11">
        <f>1-C572</f>
        <v>0</v>
      </c>
      <c r="D573" s="11">
        <f>1-D572</f>
        <v>0.44179104477611941</v>
      </c>
      <c r="E573" s="11">
        <f>1-E572</f>
        <v>2.0303702439856686E-2</v>
      </c>
      <c r="F573" s="11">
        <f>1-F572</f>
        <v>9.1379310344827602E-2</v>
      </c>
      <c r="G573" s="11">
        <f>1-G572</f>
        <v>0.17647058823529416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1.3172846300486099</v>
      </c>
      <c r="D577" s="31">
        <f>(D566/$L577)*$O577</f>
        <v>0</v>
      </c>
      <c r="E577" s="31">
        <f>(E566/$L577)*$O577</f>
        <v>0</v>
      </c>
      <c r="F577" s="31">
        <f>(F566/$L577)*$O577</f>
        <v>1.4800950899422582E-2</v>
      </c>
      <c r="G577" s="32">
        <f>(G566/$L577)*$O577</f>
        <v>0</v>
      </c>
      <c r="H577" s="17">
        <f>SUM(C577:G577)</f>
        <v>1.3320855809480325</v>
      </c>
      <c r="I577" s="17">
        <f>C577/H577*100</f>
        <v>98.888888888888886</v>
      </c>
      <c r="J577" s="17">
        <f>SQRT(I577*(100-I577)/(L577-1))</f>
        <v>1.1111111111111127</v>
      </c>
      <c r="K577" s="18">
        <f>100-I577</f>
        <v>1.1111111111111143</v>
      </c>
      <c r="L577" s="1">
        <f>H566</f>
        <v>90</v>
      </c>
      <c r="M577">
        <v>0</v>
      </c>
      <c r="N577" s="1">
        <v>2076.5300000000002</v>
      </c>
      <c r="O577" s="17">
        <f>N577/N582*100</f>
        <v>1.3320855809480323</v>
      </c>
      <c r="P577" s="52">
        <f>((O577*O577*(I577/100)*(K577/100))/(L577-1))</f>
        <v>2.1906814752711872E-4</v>
      </c>
    </row>
    <row r="578" spans="1:16" x14ac:dyDescent="0.3">
      <c r="A578" t="s">
        <v>4</v>
      </c>
      <c r="B578" s="13">
        <v>1</v>
      </c>
      <c r="C578" s="33">
        <f t="shared" ref="C578:G581" si="59">(C567/$L578)*$O578</f>
        <v>0</v>
      </c>
      <c r="D578" s="34">
        <f t="shared" si="59"/>
        <v>4.3358404421592454</v>
      </c>
      <c r="E578" s="19">
        <f t="shared" si="59"/>
        <v>0.278235750298989</v>
      </c>
      <c r="F578" s="18">
        <f t="shared" si="59"/>
        <v>0</v>
      </c>
      <c r="G578" s="20">
        <f t="shared" si="59"/>
        <v>4.6372625049831508E-2</v>
      </c>
      <c r="H578" s="17">
        <f>SUM(C578:G578)</f>
        <v>4.6604488175080654</v>
      </c>
      <c r="I578" s="17">
        <f>D578/H578*100</f>
        <v>93.03482587064677</v>
      </c>
      <c r="J578" s="17">
        <f>SQRT(I578*(100-I578)/(L578-1))</f>
        <v>1.8000052253856256</v>
      </c>
      <c r="K578" s="18">
        <f>100-I578</f>
        <v>6.9651741293532297</v>
      </c>
      <c r="L578" s="1">
        <f>H567</f>
        <v>201</v>
      </c>
      <c r="M578">
        <v>1</v>
      </c>
      <c r="N578" s="1">
        <v>7264.97</v>
      </c>
      <c r="O578" s="17">
        <f>N578/N582*100</f>
        <v>4.6604488175080663</v>
      </c>
      <c r="P578" s="52">
        <f>((O578*O578*(I578/100)*(K578/100))/(L578-1))</f>
        <v>7.0372506085051179E-3</v>
      </c>
    </row>
    <row r="579" spans="1:16" x14ac:dyDescent="0.3">
      <c r="A579" t="s">
        <v>5</v>
      </c>
      <c r="B579" s="13">
        <v>2</v>
      </c>
      <c r="C579" s="33">
        <f t="shared" si="59"/>
        <v>0</v>
      </c>
      <c r="D579" s="19">
        <f t="shared" si="59"/>
        <v>1.4204460673125139</v>
      </c>
      <c r="E579" s="34">
        <f t="shared" si="59"/>
        <v>56.64028693408649</v>
      </c>
      <c r="F579" s="19">
        <f t="shared" si="59"/>
        <v>0.3945683520312539</v>
      </c>
      <c r="G579" s="20">
        <f t="shared" si="59"/>
        <v>0.23674101121875232</v>
      </c>
      <c r="H579" s="17">
        <f>SUM(C579:G579)</f>
        <v>58.692042364649012</v>
      </c>
      <c r="I579" s="17">
        <f>E579/H579*100</f>
        <v>96.504201680672267</v>
      </c>
      <c r="J579" s="17">
        <f>SQRT(I579*(100-I579)/(L579-1))</f>
        <v>0.23813559254679428</v>
      </c>
      <c r="K579" s="18">
        <f>100-I579</f>
        <v>3.4957983193277329</v>
      </c>
      <c r="L579" s="1">
        <f>H568</f>
        <v>5950</v>
      </c>
      <c r="M579">
        <v>2</v>
      </c>
      <c r="N579" s="1">
        <v>91492.46</v>
      </c>
      <c r="O579" s="17">
        <f>N579/N582*100</f>
        <v>58.692042364649012</v>
      </c>
      <c r="P579" s="52">
        <f>((O579*O579*(I579/100)*(K579/100))/(L579-1))</f>
        <v>1.9534714457157737E-2</v>
      </c>
    </row>
    <row r="580" spans="1:16" x14ac:dyDescent="0.3">
      <c r="A580" t="s">
        <v>6</v>
      </c>
      <c r="B580" s="13">
        <v>3</v>
      </c>
      <c r="C580" s="33">
        <f t="shared" si="59"/>
        <v>0</v>
      </c>
      <c r="D580" s="19">
        <f t="shared" si="59"/>
        <v>2.0751658142552205E-2</v>
      </c>
      <c r="E580" s="19">
        <f t="shared" si="59"/>
        <v>0.92344878734357305</v>
      </c>
      <c r="F580" s="34">
        <f t="shared" si="59"/>
        <v>21.872247682250023</v>
      </c>
      <c r="G580" s="20">
        <f t="shared" si="59"/>
        <v>0.97532793269995366</v>
      </c>
      <c r="H580" s="17">
        <f>SUM(C580:G580)</f>
        <v>23.791776060436103</v>
      </c>
      <c r="I580" s="17">
        <f>F580/H580*100</f>
        <v>91.931966855647616</v>
      </c>
      <c r="J580" s="17">
        <f>SQRT(I580*(100-I580)/(L580-1))</f>
        <v>0.56886577532749183</v>
      </c>
      <c r="K580" s="18">
        <f>100-I580</f>
        <v>8.0680331443523841</v>
      </c>
      <c r="L580" s="1">
        <f>H569</f>
        <v>2293</v>
      </c>
      <c r="M580">
        <v>3</v>
      </c>
      <c r="N580" s="1">
        <v>37087.96</v>
      </c>
      <c r="O580" s="17">
        <f>N580/N582*100</f>
        <v>23.791776060436103</v>
      </c>
      <c r="P580" s="52">
        <f>((O580*O580*(I580/100)*(K580/100))/(L580-1))</f>
        <v>1.8317801099822711E-2</v>
      </c>
    </row>
    <row r="581" spans="1:16" x14ac:dyDescent="0.3">
      <c r="A581" t="s">
        <v>7</v>
      </c>
      <c r="B581" s="13">
        <v>4</v>
      </c>
      <c r="C581" s="35">
        <f t="shared" si="59"/>
        <v>0</v>
      </c>
      <c r="D581" s="36">
        <f t="shared" si="59"/>
        <v>3.0688807394031403E-2</v>
      </c>
      <c r="E581" s="21">
        <f t="shared" si="59"/>
        <v>0.27619926654628257</v>
      </c>
      <c r="F581" s="21">
        <f t="shared" si="59"/>
        <v>2.6238930321896849</v>
      </c>
      <c r="G581" s="37">
        <f t="shared" si="59"/>
        <v>8.5928660703287925</v>
      </c>
      <c r="H581" s="17">
        <f>SUM(C581:G581)</f>
        <v>11.523647176458791</v>
      </c>
      <c r="I581" s="17">
        <f>G581/H581*100</f>
        <v>74.567243675099874</v>
      </c>
      <c r="J581" s="17">
        <f>SQRT(I581*(100-I581)/(L581-1))</f>
        <v>1.5901574505724332</v>
      </c>
      <c r="K581" s="18">
        <f>100-I581</f>
        <v>25.432756324900126</v>
      </c>
      <c r="L581" s="1">
        <f>H570</f>
        <v>751</v>
      </c>
      <c r="M581">
        <v>4</v>
      </c>
      <c r="N581" s="1">
        <v>17963.71</v>
      </c>
      <c r="O581" s="17">
        <f>N581/N582*100</f>
        <v>11.523647176458791</v>
      </c>
      <c r="P581" s="52">
        <f>((O581*O581*(I581/100)*(K581/100))/(L581-1))</f>
        <v>3.35784127019002E-2</v>
      </c>
    </row>
    <row r="582" spans="1:16" x14ac:dyDescent="0.3">
      <c r="B582" t="s">
        <v>28</v>
      </c>
      <c r="C582" s="17">
        <f t="shared" ref="C582:H582" si="60">SUM(C577:C581)</f>
        <v>1.3172846300486099</v>
      </c>
      <c r="D582" s="17">
        <f t="shared" si="60"/>
        <v>5.8077269750083431</v>
      </c>
      <c r="E582" s="17">
        <f t="shared" si="60"/>
        <v>58.118170738275339</v>
      </c>
      <c r="F582" s="17">
        <f t="shared" si="60"/>
        <v>24.905510017370386</v>
      </c>
      <c r="G582" s="17">
        <f t="shared" si="60"/>
        <v>9.85130763929733</v>
      </c>
      <c r="H582" s="18">
        <f t="shared" si="60"/>
        <v>100.00000000000001</v>
      </c>
      <c r="I582" s="13" t="s">
        <v>24</v>
      </c>
      <c r="J582" s="12" t="s">
        <v>29</v>
      </c>
      <c r="N582" s="1">
        <f>SUM(N577:N581)</f>
        <v>155885.63</v>
      </c>
      <c r="O582" s="17">
        <f>SUM(O577:O581)</f>
        <v>100.00000000000001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1.4718493706865465E-2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0.14614885407315609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0.19734165031011433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0.23127241565106726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0.21593757409716824</v>
      </c>
      <c r="H583" s="1"/>
      <c r="I583" s="56">
        <f>(C577+D578+E579+F580+G581)/H582</f>
        <v>0.92758525758873145</v>
      </c>
      <c r="J583" s="53">
        <f>SQRT(SUM(P577:P581))/100</f>
        <v>2.8051247212006972E-3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74.656409655913905</v>
      </c>
      <c r="E584" s="17">
        <f>E579/E582*100</f>
        <v>97.457105436363051</v>
      </c>
      <c r="F584" s="17">
        <f>F580/F582*100</f>
        <v>87.820918611966562</v>
      </c>
      <c r="G584" s="17">
        <f>G581/G582*100</f>
        <v>87.225639325803257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3.9716003126219928</v>
      </c>
      <c r="E585" s="18">
        <f>SQRT((E588+E589)/(E582*E582))</f>
        <v>0.24173884063414852</v>
      </c>
      <c r="F585" s="18">
        <f>SQRT((F588+F589)/(F582*F582))</f>
        <v>0.93593697910853624</v>
      </c>
      <c r="G585" s="18">
        <f>SQRT((G588+G589)/(G582*G582))</f>
        <v>2.5833207006513974</v>
      </c>
      <c r="H585" s="1"/>
    </row>
    <row r="586" spans="1:16" x14ac:dyDescent="0.3">
      <c r="B586" s="1" t="s">
        <v>37</v>
      </c>
      <c r="C586" s="18">
        <f>100-C584</f>
        <v>0</v>
      </c>
      <c r="D586" s="18">
        <f>100-D584</f>
        <v>25.343590344086095</v>
      </c>
      <c r="E586" s="18">
        <f>100-E584</f>
        <v>2.5428945636369491</v>
      </c>
      <c r="F586" s="18">
        <f>100-F584</f>
        <v>12.179081388033438</v>
      </c>
      <c r="G586" s="18">
        <f>100-G584</f>
        <v>12.774360674196743</v>
      </c>
    </row>
    <row r="587" spans="1:16" ht="15.6" x14ac:dyDescent="0.35">
      <c r="B587" s="1" t="s">
        <v>25</v>
      </c>
      <c r="C587" s="1">
        <f>C571</f>
        <v>89</v>
      </c>
      <c r="D587" s="1">
        <f>D571</f>
        <v>335</v>
      </c>
      <c r="E587" s="1">
        <f>E571</f>
        <v>5861</v>
      </c>
      <c r="F587" s="1">
        <f>F571</f>
        <v>2320</v>
      </c>
      <c r="G587" s="1">
        <f>G571</f>
        <v>680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452.00089760827871</v>
      </c>
      <c r="E588" s="18">
        <f>(O579*O579*(100-E584)*(100-E584)*(I579)*(100-I579))/((L579-1)*100)</f>
        <v>12.631757339193697</v>
      </c>
      <c r="F588" s="18">
        <f>(O580*O580*(100-F584)*(100-F584)*(I580)*(100-I580))/((L580-1)*100)</f>
        <v>271.70798668053192</v>
      </c>
      <c r="G588" s="18">
        <f>(O581*O581*(100-G584)*(100-G584)*(I581)*(100-I581))/((L581-1)*100)</f>
        <v>547.94694573908691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80.038086868238608</v>
      </c>
      <c r="E589" s="18">
        <f>E584*E584*(SUM((H577*E577*(1-E566/H566))/(H566-1),(H578*E578*(1-E567/H567))/(H567-1), (H580*E580*(1-E569/H569))/(H569-1),(H581*E581*(1-E570/H570))/(H570-1)))</f>
        <v>184.75442291287237</v>
      </c>
      <c r="F589" s="18">
        <f>F584*F584*(SUM((H577*F577*(1-F566/H566))/(H566-1),(H578*F578*(1-F567/H567))/(H567-1), (H579*F579*(1-F568/H568))/(H568-1),(H581*F581*(1-F570/H570))/(H570-1)))</f>
        <v>271.64754496657332</v>
      </c>
      <c r="G589" s="18">
        <f>G584*G584*(SUM((H577*G577*(1-G566/H566))/(H566-1),(H578*G578*(1-G567/H567))/(H567-1), (H579*G579*(1-G568/H568))/(H568-1),(H580*G580*(1-G569/H569))/(H569-1)))</f>
        <v>99.709081006443654</v>
      </c>
    </row>
    <row r="592" spans="1:16" x14ac:dyDescent="0.3">
      <c r="A592" s="361"/>
      <c r="B592" s="361"/>
      <c r="C592" s="361"/>
      <c r="D592" s="361"/>
      <c r="E592" s="361"/>
      <c r="F592" s="361"/>
      <c r="G592" s="361"/>
      <c r="H592" s="361"/>
      <c r="I592" s="361"/>
      <c r="J592" s="361"/>
      <c r="K592" s="361"/>
      <c r="L592" s="361"/>
      <c r="M592" s="361"/>
      <c r="N592" s="361"/>
      <c r="O592" s="361"/>
      <c r="P592" s="361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61"/>
      <c r="B621" s="361"/>
      <c r="C621" s="361"/>
      <c r="D621" s="361"/>
      <c r="E621" s="361"/>
      <c r="F621" s="361"/>
      <c r="G621" s="361"/>
      <c r="H621" s="361"/>
      <c r="I621" s="361"/>
      <c r="J621" s="361"/>
      <c r="K621" s="361"/>
      <c r="L621" s="361"/>
      <c r="M621" s="361"/>
      <c r="N621" s="361"/>
      <c r="O621" s="361"/>
      <c r="P621" s="361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61"/>
      <c r="B650" s="361"/>
      <c r="C650" s="361"/>
      <c r="D650" s="361"/>
      <c r="E650" s="361"/>
      <c r="F650" s="361"/>
      <c r="G650" s="361"/>
      <c r="H650" s="361"/>
      <c r="I650" s="361"/>
      <c r="J650" s="361"/>
      <c r="K650" s="361"/>
      <c r="L650" s="361"/>
      <c r="M650" s="361"/>
      <c r="N650" s="361"/>
      <c r="O650" s="361"/>
      <c r="P650" s="361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61"/>
      <c r="B679" s="361"/>
      <c r="C679" s="361"/>
      <c r="D679" s="361"/>
      <c r="E679" s="361"/>
      <c r="F679" s="361"/>
      <c r="G679" s="361"/>
      <c r="H679" s="361"/>
      <c r="I679" s="361"/>
      <c r="J679" s="361"/>
      <c r="K679" s="361"/>
      <c r="L679" s="361"/>
      <c r="M679" s="361"/>
      <c r="N679" s="361"/>
      <c r="O679" s="361"/>
      <c r="P679" s="361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61"/>
      <c r="B708" s="361"/>
      <c r="C708" s="361"/>
      <c r="D708" s="361"/>
      <c r="E708" s="361"/>
      <c r="F708" s="361"/>
      <c r="G708" s="361"/>
      <c r="H708" s="361"/>
      <c r="I708" s="361"/>
      <c r="J708" s="361"/>
      <c r="K708" s="361"/>
      <c r="L708" s="361"/>
      <c r="M708" s="361"/>
      <c r="N708" s="361"/>
      <c r="O708" s="361"/>
      <c r="P708" s="361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61"/>
      <c r="B737" s="361"/>
      <c r="C737" s="361"/>
      <c r="D737" s="361"/>
      <c r="E737" s="361"/>
      <c r="F737" s="361"/>
      <c r="G737" s="361"/>
      <c r="H737" s="361"/>
      <c r="I737" s="361"/>
      <c r="J737" s="361"/>
      <c r="K737" s="361"/>
      <c r="L737" s="361"/>
      <c r="M737" s="361"/>
      <c r="N737" s="361"/>
      <c r="O737" s="361"/>
      <c r="P737" s="361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61"/>
      <c r="B766" s="361"/>
      <c r="C766" s="361"/>
      <c r="D766" s="361"/>
      <c r="E766" s="361"/>
      <c r="F766" s="361"/>
      <c r="G766" s="361"/>
      <c r="H766" s="361"/>
      <c r="I766" s="361"/>
      <c r="J766" s="361"/>
      <c r="K766" s="361"/>
      <c r="L766" s="361"/>
      <c r="M766" s="361"/>
      <c r="N766" s="361"/>
      <c r="O766" s="361"/>
      <c r="P766" s="361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61"/>
      <c r="B795" s="361"/>
      <c r="C795" s="361"/>
      <c r="D795" s="361"/>
      <c r="E795" s="361"/>
      <c r="F795" s="361"/>
      <c r="G795" s="361"/>
      <c r="H795" s="361"/>
      <c r="I795" s="361"/>
      <c r="J795" s="361"/>
      <c r="K795" s="361"/>
      <c r="L795" s="361"/>
      <c r="M795" s="361"/>
      <c r="N795" s="361"/>
      <c r="O795" s="361"/>
      <c r="P795" s="361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61"/>
      <c r="B824" s="361"/>
      <c r="C824" s="361"/>
      <c r="D824" s="361"/>
      <c r="E824" s="361"/>
      <c r="F824" s="361"/>
      <c r="G824" s="361"/>
      <c r="H824" s="361"/>
      <c r="I824" s="361"/>
      <c r="J824" s="361"/>
      <c r="K824" s="361"/>
      <c r="L824" s="361"/>
      <c r="M824" s="361"/>
      <c r="N824" s="361"/>
      <c r="O824" s="361"/>
      <c r="P824" s="361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61"/>
      <c r="B853" s="361"/>
      <c r="C853" s="361"/>
      <c r="D853" s="361"/>
      <c r="E853" s="361"/>
      <c r="F853" s="361"/>
      <c r="G853" s="361"/>
      <c r="H853" s="361"/>
      <c r="I853" s="361"/>
      <c r="J853" s="361"/>
      <c r="K853" s="361"/>
      <c r="L853" s="361"/>
      <c r="M853" s="361"/>
      <c r="N853" s="361"/>
      <c r="O853" s="361"/>
      <c r="P853" s="361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61"/>
      <c r="B882" s="361"/>
      <c r="C882" s="361"/>
      <c r="D882" s="361"/>
      <c r="E882" s="361"/>
      <c r="F882" s="361"/>
      <c r="G882" s="361"/>
      <c r="H882" s="361"/>
      <c r="I882" s="361"/>
      <c r="J882" s="361"/>
      <c r="K882" s="361"/>
      <c r="L882" s="361"/>
      <c r="M882" s="361"/>
      <c r="N882" s="361"/>
      <c r="O882" s="361"/>
      <c r="P882" s="361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61"/>
      <c r="B911" s="361"/>
      <c r="C911" s="361"/>
      <c r="D911" s="361"/>
      <c r="E911" s="361"/>
      <c r="F911" s="361"/>
      <c r="G911" s="361"/>
      <c r="H911" s="361"/>
      <c r="I911" s="361"/>
      <c r="J911" s="361"/>
      <c r="K911" s="361"/>
      <c r="L911" s="361"/>
      <c r="M911" s="361"/>
      <c r="N911" s="361"/>
      <c r="O911" s="361"/>
      <c r="P911" s="361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61"/>
      <c r="B940" s="361"/>
      <c r="C940" s="361"/>
      <c r="D940" s="361"/>
      <c r="E940" s="361"/>
      <c r="F940" s="361"/>
      <c r="G940" s="361"/>
      <c r="H940" s="361"/>
      <c r="I940" s="361"/>
      <c r="J940" s="361"/>
      <c r="K940" s="361"/>
      <c r="L940" s="361"/>
      <c r="M940" s="361"/>
      <c r="N940" s="361"/>
      <c r="O940" s="361"/>
      <c r="P940" s="361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61"/>
      <c r="B969" s="361"/>
      <c r="C969" s="361"/>
      <c r="D969" s="361"/>
      <c r="E969" s="361"/>
      <c r="F969" s="361"/>
      <c r="G969" s="361"/>
      <c r="H969" s="361"/>
      <c r="I969" s="361"/>
      <c r="J969" s="361"/>
      <c r="K969" s="361"/>
      <c r="L969" s="361"/>
      <c r="M969" s="361"/>
      <c r="N969" s="361"/>
      <c r="O969" s="361"/>
      <c r="P969" s="361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61"/>
      <c r="B998" s="361"/>
      <c r="C998" s="361"/>
      <c r="D998" s="361"/>
      <c r="E998" s="361"/>
      <c r="F998" s="361"/>
      <c r="G998" s="361"/>
      <c r="H998" s="361"/>
      <c r="I998" s="361"/>
      <c r="J998" s="361"/>
      <c r="K998" s="361"/>
      <c r="L998" s="361"/>
      <c r="M998" s="361"/>
      <c r="N998" s="361"/>
      <c r="O998" s="361"/>
      <c r="P998" s="361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61"/>
      <c r="B1027" s="361"/>
      <c r="C1027" s="361"/>
      <c r="D1027" s="361"/>
      <c r="E1027" s="361"/>
      <c r="F1027" s="361"/>
      <c r="G1027" s="361"/>
      <c r="H1027" s="361"/>
      <c r="I1027" s="361"/>
      <c r="J1027" s="361"/>
      <c r="K1027" s="361"/>
      <c r="L1027" s="361"/>
      <c r="M1027" s="361"/>
      <c r="N1027" s="361"/>
      <c r="O1027" s="361"/>
      <c r="P1027" s="361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61"/>
      <c r="B1056" s="361"/>
      <c r="C1056" s="361"/>
      <c r="D1056" s="361"/>
      <c r="E1056" s="361"/>
      <c r="F1056" s="361"/>
      <c r="G1056" s="361"/>
      <c r="H1056" s="361"/>
      <c r="I1056" s="361"/>
      <c r="J1056" s="361"/>
      <c r="K1056" s="361"/>
      <c r="L1056" s="361"/>
      <c r="M1056" s="361"/>
      <c r="N1056" s="361"/>
      <c r="O1056" s="361"/>
      <c r="P1056" s="361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61"/>
      <c r="B1085" s="361"/>
      <c r="C1085" s="361"/>
      <c r="D1085" s="361"/>
      <c r="E1085" s="361"/>
      <c r="F1085" s="361"/>
      <c r="G1085" s="361"/>
      <c r="H1085" s="361"/>
      <c r="I1085" s="361"/>
      <c r="J1085" s="361"/>
      <c r="K1085" s="361"/>
      <c r="L1085" s="361"/>
      <c r="M1085" s="361"/>
      <c r="N1085" s="361"/>
      <c r="O1085" s="361"/>
      <c r="P1085" s="361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61"/>
      <c r="B1114" s="361"/>
      <c r="C1114" s="361"/>
      <c r="D1114" s="361"/>
      <c r="E1114" s="361"/>
      <c r="F1114" s="361"/>
      <c r="G1114" s="361"/>
      <c r="H1114" s="361"/>
      <c r="I1114" s="361"/>
      <c r="J1114" s="361"/>
      <c r="K1114" s="361"/>
      <c r="L1114" s="361"/>
      <c r="M1114" s="361"/>
      <c r="N1114" s="361"/>
      <c r="O1114" s="361"/>
      <c r="P1114" s="361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61"/>
      <c r="B1143" s="361"/>
      <c r="C1143" s="361"/>
      <c r="D1143" s="361"/>
      <c r="E1143" s="361"/>
      <c r="F1143" s="361"/>
      <c r="G1143" s="361"/>
      <c r="H1143" s="361"/>
      <c r="I1143" s="361"/>
      <c r="J1143" s="361"/>
      <c r="K1143" s="361"/>
      <c r="L1143" s="361"/>
      <c r="M1143" s="361"/>
      <c r="N1143" s="361"/>
      <c r="O1143" s="361"/>
      <c r="P1143" s="361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61"/>
      <c r="B1172" s="361"/>
      <c r="C1172" s="361"/>
      <c r="D1172" s="361"/>
      <c r="E1172" s="361"/>
      <c r="F1172" s="361"/>
      <c r="G1172" s="361"/>
      <c r="H1172" s="361"/>
      <c r="I1172" s="361"/>
      <c r="J1172" s="361"/>
      <c r="K1172" s="361"/>
      <c r="L1172" s="361"/>
      <c r="M1172" s="361"/>
      <c r="N1172" s="361"/>
      <c r="O1172" s="361"/>
      <c r="P1172" s="361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61"/>
      <c r="B1201" s="361"/>
      <c r="C1201" s="361"/>
      <c r="D1201" s="361"/>
      <c r="E1201" s="361"/>
      <c r="F1201" s="361"/>
      <c r="G1201" s="361"/>
      <c r="H1201" s="361"/>
      <c r="I1201" s="361"/>
      <c r="J1201" s="361"/>
      <c r="K1201" s="361"/>
      <c r="L1201" s="361"/>
      <c r="M1201" s="361"/>
      <c r="N1201" s="361"/>
      <c r="O1201" s="361"/>
      <c r="P1201" s="361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61"/>
      <c r="B1230" s="361"/>
      <c r="C1230" s="361"/>
      <c r="D1230" s="361"/>
      <c r="E1230" s="361"/>
      <c r="F1230" s="361"/>
      <c r="G1230" s="361"/>
      <c r="H1230" s="361"/>
      <c r="I1230" s="361"/>
      <c r="J1230" s="361"/>
      <c r="K1230" s="361"/>
      <c r="L1230" s="361"/>
      <c r="M1230" s="361"/>
      <c r="N1230" s="361"/>
      <c r="O1230" s="361"/>
      <c r="P1230" s="361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61"/>
      <c r="B1259" s="361"/>
      <c r="C1259" s="361"/>
      <c r="D1259" s="361"/>
      <c r="E1259" s="361"/>
      <c r="F1259" s="361"/>
      <c r="G1259" s="361"/>
      <c r="H1259" s="361"/>
      <c r="I1259" s="361"/>
      <c r="J1259" s="361"/>
      <c r="K1259" s="361"/>
      <c r="L1259" s="361"/>
      <c r="M1259" s="361"/>
      <c r="N1259" s="361"/>
      <c r="O1259" s="361"/>
      <c r="P1259" s="361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61"/>
      <c r="B1288" s="361"/>
      <c r="C1288" s="361"/>
      <c r="D1288" s="361"/>
      <c r="E1288" s="361"/>
      <c r="F1288" s="361"/>
      <c r="G1288" s="361"/>
      <c r="H1288" s="361"/>
      <c r="I1288" s="361"/>
      <c r="J1288" s="361"/>
      <c r="K1288" s="361"/>
      <c r="L1288" s="361"/>
      <c r="M1288" s="361"/>
      <c r="N1288" s="361"/>
      <c r="O1288" s="361"/>
      <c r="P1288" s="361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61"/>
      <c r="B1317" s="361"/>
      <c r="C1317" s="361"/>
      <c r="D1317" s="361"/>
      <c r="E1317" s="361"/>
      <c r="F1317" s="361"/>
      <c r="G1317" s="361"/>
      <c r="H1317" s="361"/>
      <c r="I1317" s="361"/>
      <c r="J1317" s="361"/>
      <c r="K1317" s="361"/>
      <c r="L1317" s="361"/>
      <c r="M1317" s="361"/>
      <c r="N1317" s="361"/>
      <c r="O1317" s="361"/>
      <c r="P1317" s="361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61"/>
      <c r="B1346" s="361"/>
      <c r="C1346" s="361"/>
      <c r="D1346" s="361"/>
      <c r="E1346" s="361"/>
      <c r="F1346" s="361"/>
      <c r="G1346" s="361"/>
      <c r="H1346" s="361"/>
      <c r="I1346" s="361"/>
      <c r="J1346" s="361"/>
      <c r="K1346" s="361"/>
      <c r="L1346" s="361"/>
      <c r="M1346" s="361"/>
      <c r="N1346" s="361"/>
      <c r="O1346" s="361"/>
      <c r="P1346" s="361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61"/>
      <c r="B1375" s="361"/>
      <c r="C1375" s="361"/>
      <c r="D1375" s="361"/>
      <c r="E1375" s="361"/>
      <c r="F1375" s="361"/>
      <c r="G1375" s="361"/>
      <c r="H1375" s="361"/>
      <c r="I1375" s="361"/>
      <c r="J1375" s="361"/>
      <c r="K1375" s="361"/>
      <c r="L1375" s="361"/>
      <c r="M1375" s="361"/>
      <c r="N1375" s="361"/>
      <c r="O1375" s="361"/>
      <c r="P1375" s="361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61"/>
      <c r="B1404" s="361"/>
      <c r="C1404" s="361"/>
      <c r="D1404" s="361"/>
      <c r="E1404" s="361"/>
      <c r="F1404" s="361"/>
      <c r="G1404" s="361"/>
      <c r="H1404" s="361"/>
      <c r="I1404" s="361"/>
      <c r="J1404" s="361"/>
      <c r="K1404" s="361"/>
      <c r="L1404" s="361"/>
      <c r="M1404" s="361"/>
      <c r="N1404" s="361"/>
      <c r="O1404" s="361"/>
      <c r="P1404" s="361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61"/>
      <c r="B1433" s="361"/>
      <c r="C1433" s="361"/>
      <c r="D1433" s="361"/>
      <c r="E1433" s="361"/>
      <c r="F1433" s="361"/>
      <c r="G1433" s="361"/>
      <c r="H1433" s="361"/>
      <c r="I1433" s="361"/>
      <c r="J1433" s="361"/>
      <c r="K1433" s="361"/>
      <c r="L1433" s="361"/>
      <c r="M1433" s="361"/>
      <c r="N1433" s="361"/>
      <c r="O1433" s="361"/>
      <c r="P1433" s="361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mergeCells count="102">
    <mergeCell ref="A12:K12"/>
    <mergeCell ref="L12:P12"/>
    <mergeCell ref="A41:K41"/>
    <mergeCell ref="L41:P41"/>
    <mergeCell ref="A70:K70"/>
    <mergeCell ref="L70:P70"/>
    <mergeCell ref="A157:K157"/>
    <mergeCell ref="L157:P157"/>
    <mergeCell ref="A186:K186"/>
    <mergeCell ref="L186:P186"/>
    <mergeCell ref="A215:K215"/>
    <mergeCell ref="L215:P215"/>
    <mergeCell ref="AJ80:AT80"/>
    <mergeCell ref="AU80:AY80"/>
    <mergeCell ref="A99:K99"/>
    <mergeCell ref="L99:P99"/>
    <mergeCell ref="A128:K128"/>
    <mergeCell ref="L128:P128"/>
    <mergeCell ref="A331:K331"/>
    <mergeCell ref="L331:P331"/>
    <mergeCell ref="A360:K360"/>
    <mergeCell ref="L360:P360"/>
    <mergeCell ref="A389:K389"/>
    <mergeCell ref="L389:P389"/>
    <mergeCell ref="A244:K244"/>
    <mergeCell ref="L244:P244"/>
    <mergeCell ref="A273:K273"/>
    <mergeCell ref="L273:P273"/>
    <mergeCell ref="A302:K302"/>
    <mergeCell ref="L302:P302"/>
    <mergeCell ref="A505:K505"/>
    <mergeCell ref="L505:P505"/>
    <mergeCell ref="A534:K534"/>
    <mergeCell ref="L534:P534"/>
    <mergeCell ref="A563:K563"/>
    <mergeCell ref="L563:P563"/>
    <mergeCell ref="A418:K418"/>
    <mergeCell ref="L418:P418"/>
    <mergeCell ref="A447:K447"/>
    <mergeCell ref="L447:P447"/>
    <mergeCell ref="A476:K476"/>
    <mergeCell ref="L476:P476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B6C64-A610-4C4F-B830-1E3E8582CEE9}">
  <dimension ref="A1:BE1459"/>
  <sheetViews>
    <sheetView topLeftCell="AA88" zoomScale="80" zoomScaleNormal="80" workbookViewId="0">
      <selection activeCell="AL100" sqref="AL100:AP100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</cols>
  <sheetData>
    <row r="1" spans="1:57" x14ac:dyDescent="0.3">
      <c r="A1" s="12"/>
      <c r="B1" s="12" t="s">
        <v>10</v>
      </c>
      <c r="C1" s="12"/>
      <c r="D1" s="12"/>
      <c r="E1" s="12"/>
      <c r="F1" s="12"/>
      <c r="G1" t="s">
        <v>47</v>
      </c>
    </row>
    <row r="2" spans="1:57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G2" t="s">
        <v>46</v>
      </c>
      <c r="AG2" s="51" t="s">
        <v>127</v>
      </c>
      <c r="AH2" s="51" t="s">
        <v>131</v>
      </c>
    </row>
    <row r="3" spans="1:57" x14ac:dyDescent="0.3">
      <c r="A3" s="12" t="s">
        <v>3</v>
      </c>
      <c r="B3" s="103">
        <v>175.36</v>
      </c>
      <c r="C3" s="22">
        <f>B3/$B$8</f>
        <v>5.8291477331276827E-2</v>
      </c>
      <c r="D3" s="85">
        <v>0.02</v>
      </c>
      <c r="E3" s="86">
        <f>D3-C3</f>
        <v>-3.829147733127683E-2</v>
      </c>
      <c r="F3" s="12" t="s">
        <v>49</v>
      </c>
      <c r="G3" t="s">
        <v>50</v>
      </c>
      <c r="AG3" s="51" t="s">
        <v>128</v>
      </c>
      <c r="AH3" s="51" t="s">
        <v>134</v>
      </c>
    </row>
    <row r="4" spans="1:57" x14ac:dyDescent="0.3">
      <c r="A4" s="12" t="s">
        <v>4</v>
      </c>
      <c r="B4" s="103">
        <v>249.32</v>
      </c>
      <c r="C4" s="22">
        <f>B4/$B$8</f>
        <v>8.2876546123596809E-2</v>
      </c>
      <c r="D4" s="85">
        <v>7.0000000000000007E-2</v>
      </c>
      <c r="E4" s="86">
        <f>D4-C4</f>
        <v>-1.2876546123596802E-2</v>
      </c>
      <c r="F4" s="12" t="s">
        <v>49</v>
      </c>
      <c r="G4" t="s">
        <v>55</v>
      </c>
      <c r="AG4" s="51" t="s">
        <v>129</v>
      </c>
      <c r="AH4" s="51" t="s">
        <v>132</v>
      </c>
    </row>
    <row r="5" spans="1:57" x14ac:dyDescent="0.3">
      <c r="A5" s="12" t="s">
        <v>5</v>
      </c>
      <c r="B5" s="103">
        <v>1402.65</v>
      </c>
      <c r="C5" s="22">
        <f>B5/$B$8</f>
        <v>0.46625536427187181</v>
      </c>
      <c r="D5" s="85">
        <v>0.48</v>
      </c>
      <c r="E5" s="86">
        <f>D5-C5</f>
        <v>1.3744635728128174E-2</v>
      </c>
      <c r="F5" s="12"/>
      <c r="AG5" s="51" t="s">
        <v>130</v>
      </c>
      <c r="AH5" s="51" t="s">
        <v>133</v>
      </c>
    </row>
    <row r="6" spans="1:57" x14ac:dyDescent="0.3">
      <c r="A6" s="12" t="s">
        <v>6</v>
      </c>
      <c r="B6" s="103">
        <v>728.96</v>
      </c>
      <c r="C6" s="22">
        <f>B6/$B$8</f>
        <v>0.2423138418989938</v>
      </c>
      <c r="D6" s="85">
        <v>0.28000000000000003</v>
      </c>
      <c r="E6" s="86">
        <f>D6-C6</f>
        <v>3.7686158101006229E-2</v>
      </c>
      <c r="F6" s="12"/>
      <c r="I6" s="12"/>
      <c r="J6" s="12" t="s">
        <v>54</v>
      </c>
      <c r="K6" s="12"/>
      <c r="AG6" s="51" t="s">
        <v>155</v>
      </c>
      <c r="AH6" s="51" t="s">
        <v>157</v>
      </c>
    </row>
    <row r="7" spans="1:57" x14ac:dyDescent="0.3">
      <c r="A7" s="12" t="s">
        <v>7</v>
      </c>
      <c r="B7" s="103">
        <v>452.04</v>
      </c>
      <c r="C7" s="22">
        <f>B7/$B$8</f>
        <v>0.15026277037426081</v>
      </c>
      <c r="D7" s="85">
        <v>0.15</v>
      </c>
      <c r="E7" s="86">
        <f>D7-C7</f>
        <v>-2.6277037426081229E-4</v>
      </c>
      <c r="F7" s="12"/>
      <c r="I7" s="12"/>
      <c r="J7" s="12">
        <v>21150</v>
      </c>
      <c r="K7" s="12"/>
      <c r="AG7" s="51" t="s">
        <v>156</v>
      </c>
      <c r="AH7" s="51" t="s">
        <v>158</v>
      </c>
    </row>
    <row r="8" spans="1:57" x14ac:dyDescent="0.3">
      <c r="A8" s="12"/>
      <c r="B8" s="103">
        <f>SUM(B3:B7)</f>
        <v>3008.33</v>
      </c>
      <c r="C8" s="61">
        <f>SUM(C3:C7)</f>
        <v>1</v>
      </c>
      <c r="D8" s="12"/>
      <c r="E8" s="12" t="s">
        <v>16</v>
      </c>
      <c r="F8" s="12">
        <v>189798.92</v>
      </c>
      <c r="I8" s="12" t="s">
        <v>60</v>
      </c>
      <c r="J8" s="12" t="s">
        <v>54</v>
      </c>
      <c r="K8" s="12" t="s">
        <v>59</v>
      </c>
      <c r="AG8" s="51" t="s">
        <v>210</v>
      </c>
      <c r="AH8" s="51" t="s">
        <v>215</v>
      </c>
    </row>
    <row r="9" spans="1:57" x14ac:dyDescent="0.3">
      <c r="A9" s="12"/>
      <c r="B9" s="87">
        <f>B8/0.09</f>
        <v>33425.888888888891</v>
      </c>
      <c r="C9" s="12" t="s">
        <v>48</v>
      </c>
      <c r="D9" s="12"/>
      <c r="E9" s="12" t="s">
        <v>51</v>
      </c>
      <c r="F9" s="88">
        <f>B8/F8</f>
        <v>1.5850090190186541E-2</v>
      </c>
      <c r="I9" s="12">
        <v>11299</v>
      </c>
      <c r="J9" s="12">
        <v>19419</v>
      </c>
      <c r="K9" s="89">
        <f>(J7-J9)/J7</f>
        <v>8.1843971631205673E-2</v>
      </c>
      <c r="AG9" s="51" t="s">
        <v>211</v>
      </c>
      <c r="AH9" s="51" t="s">
        <v>216</v>
      </c>
    </row>
    <row r="10" spans="1:57" x14ac:dyDescent="0.3">
      <c r="A10" s="130" t="s">
        <v>417</v>
      </c>
      <c r="B10" s="131">
        <v>43418</v>
      </c>
      <c r="F10" s="46"/>
      <c r="I10" s="89">
        <f>I9/(I9+J9)</f>
        <v>0.36782993684484666</v>
      </c>
      <c r="J10" s="89">
        <f>J9/(J9+I9)</f>
        <v>0.63217006315515334</v>
      </c>
      <c r="K10" s="12"/>
      <c r="AG10" s="51" t="s">
        <v>212</v>
      </c>
      <c r="AH10" s="51" t="s">
        <v>217</v>
      </c>
    </row>
    <row r="11" spans="1:57" x14ac:dyDescent="0.3">
      <c r="B11" s="18"/>
      <c r="F11" s="46"/>
      <c r="I11" s="45"/>
      <c r="J11" s="45"/>
      <c r="AG11" s="51" t="s">
        <v>213</v>
      </c>
      <c r="AH11" s="51" t="s">
        <v>218</v>
      </c>
    </row>
    <row r="12" spans="1:57" x14ac:dyDescent="0.3">
      <c r="A12" s="361" t="s">
        <v>437</v>
      </c>
      <c r="B12" s="361"/>
      <c r="C12" s="361"/>
      <c r="D12" s="361"/>
      <c r="E12" s="361"/>
      <c r="F12" s="361"/>
      <c r="G12" s="361"/>
      <c r="H12" s="361"/>
      <c r="I12" s="361"/>
      <c r="J12" s="361"/>
      <c r="K12" s="361"/>
      <c r="L12" s="361" t="s">
        <v>52</v>
      </c>
      <c r="M12" s="361"/>
      <c r="N12" s="361"/>
      <c r="O12" s="361"/>
      <c r="P12" s="361"/>
      <c r="R12" s="47" t="s">
        <v>437</v>
      </c>
      <c r="S12" s="47" t="s">
        <v>41</v>
      </c>
      <c r="T12" s="47"/>
      <c r="U12" s="47"/>
      <c r="V12" s="47"/>
      <c r="W12" s="47"/>
      <c r="X12" s="47"/>
      <c r="Y12" s="47"/>
      <c r="Z12" s="47"/>
      <c r="AA12" s="47"/>
      <c r="AB12" s="47" t="s">
        <v>63</v>
      </c>
      <c r="AC12" s="47"/>
      <c r="AD12" s="47"/>
      <c r="AE12" s="47"/>
      <c r="AF12" s="47"/>
      <c r="AG12" s="51" t="s">
        <v>214</v>
      </c>
      <c r="AH12" s="51" t="s">
        <v>219</v>
      </c>
      <c r="AW12" s="66"/>
      <c r="AX12" s="77" t="s">
        <v>328</v>
      </c>
      <c r="AY12" s="77" t="s">
        <v>331</v>
      </c>
      <c r="AZ12" s="77" t="s">
        <v>329</v>
      </c>
      <c r="BA12" s="77" t="s">
        <v>330</v>
      </c>
      <c r="BB12" s="77" t="s">
        <v>332</v>
      </c>
      <c r="BC12" s="77" t="s">
        <v>333</v>
      </c>
      <c r="BD12" s="77" t="s">
        <v>372</v>
      </c>
      <c r="BE12" s="13"/>
    </row>
    <row r="13" spans="1:57" x14ac:dyDescent="0.3">
      <c r="A13" t="s">
        <v>320</v>
      </c>
      <c r="B13" t="s">
        <v>21</v>
      </c>
      <c r="I13" s="1" t="s">
        <v>58</v>
      </c>
      <c r="AG13" s="51" t="s">
        <v>324</v>
      </c>
      <c r="AH13" s="51" t="s">
        <v>326</v>
      </c>
      <c r="AW13" s="51" t="s">
        <v>131</v>
      </c>
      <c r="AX13" s="80">
        <f>MIN($AE$16:$AE$20)</f>
        <v>0.9327986713078309</v>
      </c>
      <c r="AY13" s="80">
        <f>_xlfn.QUARTILE.EXC($AE$16:$AE$20,1)</f>
        <v>0.93344306942592148</v>
      </c>
      <c r="AZ13" s="80">
        <f>MEDIAN($AE$16:$AE$20)</f>
        <v>0.93438626685497594</v>
      </c>
      <c r="BA13" s="80">
        <f>AVERAGE($AE$16:$AE$20)</f>
        <v>0.93419107996274042</v>
      </c>
      <c r="BB13" s="80">
        <f>_xlfn.QUARTILE.EXC(AE16:AE20,3)</f>
        <v>0.93484149705344144</v>
      </c>
      <c r="BC13" s="80">
        <f>MAX(AE16:AE20)</f>
        <v>0.93510324604987505</v>
      </c>
      <c r="BD13" s="80">
        <f>(BB13-AY13)/AZ13</f>
        <v>1.4966269059442493E-3</v>
      </c>
      <c r="BE13" s="80"/>
    </row>
    <row r="14" spans="1:57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56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325</v>
      </c>
      <c r="AH14" s="51" t="s">
        <v>327</v>
      </c>
      <c r="AW14" s="51" t="s">
        <v>134</v>
      </c>
      <c r="AX14" s="80">
        <f>MIN($AE$16:$AE$25)</f>
        <v>0.93220221346563692</v>
      </c>
      <c r="AY14" s="80">
        <f>_xlfn.QUARTILE.EXC($AE$16:$AE$25,1)</f>
        <v>0.93266225358590904</v>
      </c>
      <c r="AZ14" s="80">
        <f>MEDIAN($AE$16:$AE$25)</f>
        <v>0.93448300745599189</v>
      </c>
      <c r="BA14" s="80">
        <f>AVERAGE($AE$16:$AE$25)</f>
        <v>0.93416762673835385</v>
      </c>
      <c r="BB14" s="80">
        <f>_xlfn.QUARTILE.EXC($AE$16:$AE$25,3)</f>
        <v>0.93511942969747752</v>
      </c>
      <c r="BC14" s="80">
        <f>MAX($AE$16:$AE$25)</f>
        <v>0.93639022957673457</v>
      </c>
      <c r="BD14" s="80">
        <f t="shared" ref="BD14:BD23" si="0">(BB14-AY14)/AZ14</f>
        <v>2.6294497513205976E-3</v>
      </c>
      <c r="BE14" s="80"/>
    </row>
    <row r="15" spans="1:57" x14ac:dyDescent="0.3">
      <c r="A15" t="s">
        <v>3</v>
      </c>
      <c r="B15" s="13">
        <v>0</v>
      </c>
      <c r="C15" s="26">
        <v>259</v>
      </c>
      <c r="D15" s="3">
        <v>0</v>
      </c>
      <c r="E15" s="3">
        <v>0</v>
      </c>
      <c r="F15" s="3">
        <v>0</v>
      </c>
      <c r="G15" s="4">
        <v>0</v>
      </c>
      <c r="H15" s="1">
        <f>SUM(C15:G15)</f>
        <v>259</v>
      </c>
      <c r="I15" s="10">
        <f>C15/H15</f>
        <v>1</v>
      </c>
      <c r="J15" s="11">
        <f>1-I15</f>
        <v>0</v>
      </c>
      <c r="K15">
        <f>H15-C20</f>
        <v>-2</v>
      </c>
      <c r="N15" s="10">
        <f>2*(C21*I15)/(C21+I15)</f>
        <v>0.99615384615384628</v>
      </c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77</v>
      </c>
      <c r="AF15" s="12" t="s">
        <v>29</v>
      </c>
      <c r="AH15" t="s">
        <v>125</v>
      </c>
      <c r="AI15" t="s">
        <v>126</v>
      </c>
      <c r="AW15" s="51" t="s">
        <v>132</v>
      </c>
      <c r="AX15" s="80">
        <f>MIN($AE$16:$AE$35)</f>
        <v>0.93211581194709525</v>
      </c>
      <c r="AY15" s="80">
        <f>_xlfn.QUARTILE.EXC($AE$16:$AE$35,1)</f>
        <v>0.93319925617400989</v>
      </c>
      <c r="AZ15" s="126">
        <f>MEDIAN($AE$16:$AE$35)</f>
        <v>0.93464359576202205</v>
      </c>
      <c r="BA15" s="126">
        <f>AVERAGE($AE$16:$AE$35)</f>
        <v>0.934570304065382</v>
      </c>
      <c r="BB15" s="80">
        <f>_xlfn.QUARTILE.EXC($AE$16:$AE$35,3)</f>
        <v>0.93532538364200302</v>
      </c>
      <c r="BC15" s="80">
        <f>MAX($AE$16:$AE$35)</f>
        <v>0.93844285239998837</v>
      </c>
      <c r="BD15" s="80">
        <f t="shared" si="0"/>
        <v>2.2748002314825406E-3</v>
      </c>
      <c r="BE15" s="80"/>
    </row>
    <row r="16" spans="1:57" x14ac:dyDescent="0.3">
      <c r="A16" t="s">
        <v>4</v>
      </c>
      <c r="B16" s="13">
        <v>1</v>
      </c>
      <c r="C16" s="5">
        <v>0</v>
      </c>
      <c r="D16" s="27">
        <v>299</v>
      </c>
      <c r="E16" s="1">
        <v>28</v>
      </c>
      <c r="F16" s="1">
        <v>0</v>
      </c>
      <c r="G16" s="6">
        <v>12</v>
      </c>
      <c r="H16" s="1">
        <f>SUM(C16:G16)</f>
        <v>339</v>
      </c>
      <c r="I16" s="10">
        <f>D16/H16</f>
        <v>0.88200589970501475</v>
      </c>
      <c r="J16" s="11">
        <f>1-I16</f>
        <v>0.11799410029498525</v>
      </c>
      <c r="K16">
        <f>H16-D20</f>
        <v>-169</v>
      </c>
      <c r="N16" s="10">
        <f>2*(D21*I16)/(D21+I16)</f>
        <v>0.70602125147579697</v>
      </c>
      <c r="R16" t="s">
        <v>70</v>
      </c>
      <c r="S16" t="s">
        <v>28</v>
      </c>
      <c r="T16" s="57">
        <f t="shared" ref="T16:X19" si="1">C31</f>
        <v>1.455218445538951</v>
      </c>
      <c r="U16" s="57">
        <f t="shared" si="1"/>
        <v>5.5388022940129593</v>
      </c>
      <c r="V16" s="57">
        <f t="shared" si="1"/>
        <v>58.426956757349664</v>
      </c>
      <c r="W16" s="57">
        <f t="shared" si="1"/>
        <v>23.931568134069039</v>
      </c>
      <c r="X16" s="57">
        <f t="shared" si="1"/>
        <v>10.647454369029402</v>
      </c>
      <c r="AC16" t="s">
        <v>70</v>
      </c>
      <c r="AD16" s="51">
        <f>I21</f>
        <v>0.93795911142578992</v>
      </c>
      <c r="AE16" s="55">
        <f>I32</f>
        <v>0.93438626685497594</v>
      </c>
      <c r="AF16" s="55">
        <f>J32</f>
        <v>2.3871648671332925E-3</v>
      </c>
      <c r="AH16">
        <v>21</v>
      </c>
      <c r="AI16">
        <v>32</v>
      </c>
      <c r="AW16" s="51" t="s">
        <v>133</v>
      </c>
      <c r="AX16" s="80">
        <f>MIN($AE$16:$AE$45)</f>
        <v>0.93211581194709525</v>
      </c>
      <c r="AY16" s="80">
        <f>_xlfn.QUARTILE.EXC($AE$16:$AE$45,1)</f>
        <v>0.93319925617400989</v>
      </c>
      <c r="AZ16" s="80">
        <f>MEDIAN($AE$16:$AE$45)</f>
        <v>0.93464359576202205</v>
      </c>
      <c r="BA16" s="80">
        <f>AVERAGE($AE$16:$AE$45)</f>
        <v>0.934570304065382</v>
      </c>
      <c r="BB16" s="80">
        <f>_xlfn.QUARTILE.EXC($AE$16:$AE$45,3)</f>
        <v>0.93532538364200302</v>
      </c>
      <c r="BC16" s="80">
        <f>MAX($AE$16:$AE$45)</f>
        <v>0.93844285239998837</v>
      </c>
      <c r="BD16" s="80">
        <f t="shared" si="0"/>
        <v>2.2748002314825406E-3</v>
      </c>
      <c r="BE16" s="80"/>
    </row>
    <row r="17" spans="1:57" x14ac:dyDescent="0.3">
      <c r="A17" t="s">
        <v>5</v>
      </c>
      <c r="B17" s="13">
        <v>2</v>
      </c>
      <c r="C17" s="5">
        <v>0</v>
      </c>
      <c r="D17" s="1">
        <v>181</v>
      </c>
      <c r="E17" s="27">
        <v>6878</v>
      </c>
      <c r="F17" s="1">
        <v>92</v>
      </c>
      <c r="G17" s="6">
        <v>18</v>
      </c>
      <c r="H17" s="1">
        <f>SUM(C17:G17)</f>
        <v>7169</v>
      </c>
      <c r="I17" s="10">
        <f>E17/H17</f>
        <v>0.95940856465336866</v>
      </c>
      <c r="J17" s="11">
        <f>1-I17</f>
        <v>4.0591435346631344E-2</v>
      </c>
      <c r="K17">
        <f>H17-E20</f>
        <v>169</v>
      </c>
      <c r="N17" s="10">
        <f>2*(E21*I17)/(E21+I17)</f>
        <v>0.97085185969369747</v>
      </c>
      <c r="S17" s="66" t="s">
        <v>39</v>
      </c>
      <c r="T17" s="67">
        <f t="shared" si="1"/>
        <v>1.4126307789378028E-2</v>
      </c>
      <c r="U17" s="67">
        <f t="shared" si="1"/>
        <v>0.14266399164617072</v>
      </c>
      <c r="V17" s="67">
        <f t="shared" si="1"/>
        <v>0.17893345247970235</v>
      </c>
      <c r="W17" s="67">
        <f t="shared" si="1"/>
        <v>0.19275187656362125</v>
      </c>
      <c r="X17" s="67">
        <f t="shared" si="1"/>
        <v>0.16308655636384059</v>
      </c>
      <c r="AC17" t="s">
        <v>71</v>
      </c>
      <c r="AD17" s="51">
        <f>I50</f>
        <v>0.93742809098150282</v>
      </c>
      <c r="AE17" s="55">
        <f>I61</f>
        <v>0.93408746754401195</v>
      </c>
      <c r="AF17" s="55">
        <f>J61</f>
        <v>2.3868146895998314E-3</v>
      </c>
      <c r="AH17">
        <v>50</v>
      </c>
      <c r="AI17">
        <v>61</v>
      </c>
      <c r="AW17" s="51" t="s">
        <v>157</v>
      </c>
      <c r="AX17" s="80">
        <f>MIN($AE$16:$AE$55)</f>
        <v>0.93211581194709525</v>
      </c>
      <c r="AY17" s="80">
        <f>_xlfn.QUARTILE.EXC($AE$16:$AE$55,1)</f>
        <v>0.93319925617400989</v>
      </c>
      <c r="AZ17" s="80">
        <f>MEDIAN($AE$16:$AE$55)</f>
        <v>0.93464359576202205</v>
      </c>
      <c r="BA17" s="80">
        <f>AVERAGE($AE$16:$AE$55)</f>
        <v>0.934570304065382</v>
      </c>
      <c r="BB17" s="80">
        <f>_xlfn.QUARTILE.EXC($AE$16:$AE$55,3)</f>
        <v>0.93532538364200302</v>
      </c>
      <c r="BC17" s="80">
        <f>MAX($AE$16:$AE$55)</f>
        <v>0.93844285239998837</v>
      </c>
      <c r="BD17" s="80">
        <f t="shared" si="0"/>
        <v>2.2748002314825406E-3</v>
      </c>
      <c r="BE17" s="80"/>
    </row>
    <row r="18" spans="1:57" x14ac:dyDescent="0.3">
      <c r="A18" t="s">
        <v>6</v>
      </c>
      <c r="B18" s="13">
        <v>3</v>
      </c>
      <c r="C18" s="5">
        <v>1</v>
      </c>
      <c r="D18" s="1">
        <v>28</v>
      </c>
      <c r="E18" s="1">
        <v>81</v>
      </c>
      <c r="F18" s="27">
        <v>2306</v>
      </c>
      <c r="G18" s="6">
        <v>156</v>
      </c>
      <c r="H18" s="1">
        <f>SUM(C18:G18)</f>
        <v>2572</v>
      </c>
      <c r="I18" s="10">
        <f>F18/H18</f>
        <v>0.89657853810264387</v>
      </c>
      <c r="J18" s="11">
        <f>1-I18</f>
        <v>0.10342146189735613</v>
      </c>
      <c r="K18">
        <f>H18-F20</f>
        <v>84</v>
      </c>
      <c r="N18" s="10">
        <f>2*(F21*I18)/(F21+I18)</f>
        <v>0.91146245059288544</v>
      </c>
      <c r="S18" s="70" t="s">
        <v>30</v>
      </c>
      <c r="T18" s="64">
        <f t="shared" si="1"/>
        <v>98.627478431718657</v>
      </c>
      <c r="U18" s="64">
        <f t="shared" si="1"/>
        <v>67.967882292556396</v>
      </c>
      <c r="V18" s="64">
        <f t="shared" si="1"/>
        <v>97.829888225220557</v>
      </c>
      <c r="W18" s="64">
        <f t="shared" si="1"/>
        <v>92.920425605614014</v>
      </c>
      <c r="X18" s="64">
        <f t="shared" si="1"/>
        <v>83.047393710461279</v>
      </c>
      <c r="AC18" t="s">
        <v>72</v>
      </c>
      <c r="AD18" s="51">
        <f>I79</f>
        <v>0.93804761483317112</v>
      </c>
      <c r="AE18" s="55">
        <f>I90</f>
        <v>0.93457974805700783</v>
      </c>
      <c r="AF18" s="55">
        <f>J90</f>
        <v>2.380292082144503E-3</v>
      </c>
      <c r="AH18">
        <v>79</v>
      </c>
      <c r="AI18">
        <v>90</v>
      </c>
      <c r="AW18" s="51" t="s">
        <v>158</v>
      </c>
      <c r="AX18" s="80">
        <f>MIN($AE$16:$AE$65)</f>
        <v>0.93211581194709525</v>
      </c>
      <c r="AY18" s="80">
        <f>_xlfn.QUARTILE.EXC($AE$16:$AE$65,1)</f>
        <v>0.93319925617400989</v>
      </c>
      <c r="AZ18" s="80">
        <f>MEDIAN($AE$16:$AE$65)</f>
        <v>0.93464359576202205</v>
      </c>
      <c r="BA18" s="80">
        <f>AVERAGE($AE$16:$AE$65)</f>
        <v>0.934570304065382</v>
      </c>
      <c r="BB18" s="80">
        <f>_xlfn.QUARTILE.EXC($AE$16:$AE$65,3)</f>
        <v>0.93532538364200302</v>
      </c>
      <c r="BC18" s="80">
        <f>MAX($AE$16:$AE$65)</f>
        <v>0.93844285239998837</v>
      </c>
      <c r="BD18" s="80">
        <f t="shared" si="0"/>
        <v>2.2748002314825406E-3</v>
      </c>
      <c r="BE18" s="80"/>
    </row>
    <row r="19" spans="1:57" x14ac:dyDescent="0.3">
      <c r="A19" t="s">
        <v>7</v>
      </c>
      <c r="B19" s="13">
        <v>4</v>
      </c>
      <c r="C19" s="7">
        <v>1</v>
      </c>
      <c r="D19" s="8">
        <v>0</v>
      </c>
      <c r="E19" s="8">
        <v>13</v>
      </c>
      <c r="F19" s="8">
        <v>90</v>
      </c>
      <c r="G19" s="28">
        <v>856</v>
      </c>
      <c r="H19" s="1">
        <f>SUM(C19:G19)</f>
        <v>960</v>
      </c>
      <c r="I19" s="10">
        <f>G19/H19</f>
        <v>0.89166666666666672</v>
      </c>
      <c r="J19" s="11">
        <f>1-I19</f>
        <v>0.10833333333333328</v>
      </c>
      <c r="K19">
        <f>H19-G20</f>
        <v>-82</v>
      </c>
      <c r="N19" s="10">
        <f>2*(G21*I19)/(G21+I19)</f>
        <v>0.85514485514485516</v>
      </c>
      <c r="S19" s="66" t="s">
        <v>39</v>
      </c>
      <c r="T19" s="67">
        <f t="shared" si="1"/>
        <v>0.95776429383312911</v>
      </c>
      <c r="U19" s="67">
        <f t="shared" si="1"/>
        <v>4.5808104943726979</v>
      </c>
      <c r="V19" s="67">
        <f t="shared" si="1"/>
        <v>0.1959891706864112</v>
      </c>
      <c r="W19" s="67">
        <f t="shared" si="1"/>
        <v>0.64813414414465742</v>
      </c>
      <c r="X19" s="67">
        <f t="shared" si="1"/>
        <v>1.8782566578329256</v>
      </c>
      <c r="AC19" t="s">
        <v>73</v>
      </c>
      <c r="AD19" s="51">
        <f>I108</f>
        <v>0.93601203646340381</v>
      </c>
      <c r="AE19" s="73">
        <f>I119</f>
        <v>0.9327986713078309</v>
      </c>
      <c r="AF19" s="73">
        <f>J119</f>
        <v>2.4118569636142899E-3</v>
      </c>
      <c r="AH19">
        <v>108</v>
      </c>
      <c r="AI19">
        <v>119</v>
      </c>
      <c r="AW19" s="51" t="s">
        <v>215</v>
      </c>
      <c r="AX19" s="80">
        <f>MIN($AE$16:$AE$75)</f>
        <v>0.93211581194709525</v>
      </c>
      <c r="AY19" s="80">
        <f>_xlfn.QUARTILE.EXC($AE$16:$AE$75,1)</f>
        <v>0.93319925617400989</v>
      </c>
      <c r="AZ19" s="80">
        <f>MEDIAN($AE$16:$AE$75)</f>
        <v>0.93464359576202205</v>
      </c>
      <c r="BA19" s="80">
        <f>AVERAGE($AE$16:$AE$75)</f>
        <v>0.934570304065382</v>
      </c>
      <c r="BB19" s="80">
        <f>_xlfn.QUARTILE.EXC($AE$16:$AE$75,3)</f>
        <v>0.93532538364200302</v>
      </c>
      <c r="BC19" s="80">
        <f>MAX($AE$16:$AE$75)</f>
        <v>0.93844285239998837</v>
      </c>
      <c r="BD19" s="80">
        <f t="shared" si="0"/>
        <v>2.2748002314825406E-3</v>
      </c>
      <c r="BE19" s="80"/>
    </row>
    <row r="20" spans="1:57" ht="15.6" x14ac:dyDescent="0.35">
      <c r="B20" s="1" t="s">
        <v>19</v>
      </c>
      <c r="C20" s="1">
        <f>SUM(C15:C19)</f>
        <v>261</v>
      </c>
      <c r="D20" s="1">
        <f>SUM(D15:D19)</f>
        <v>508</v>
      </c>
      <c r="E20" s="1">
        <f>SUM(E15:E19)</f>
        <v>7000</v>
      </c>
      <c r="F20" s="1">
        <f>SUM(F15:F19)</f>
        <v>2488</v>
      </c>
      <c r="G20" s="1">
        <f>SUM(G15:G19)</f>
        <v>1042</v>
      </c>
      <c r="H20" s="1">
        <f>SUM(H14:H19)</f>
        <v>11299</v>
      </c>
      <c r="I20" s="13" t="s">
        <v>12</v>
      </c>
      <c r="N20" s="16"/>
      <c r="S20" s="70" t="s">
        <v>31</v>
      </c>
      <c r="T20" s="64">
        <f>I26</f>
        <v>100</v>
      </c>
      <c r="U20" s="64">
        <f>I27</f>
        <v>88.200589970501468</v>
      </c>
      <c r="V20" s="64">
        <f>I28</f>
        <v>95.940856465336879</v>
      </c>
      <c r="W20" s="64">
        <f>I29</f>
        <v>89.657853810264371</v>
      </c>
      <c r="X20" s="64">
        <f>I30</f>
        <v>89.166666666666671</v>
      </c>
      <c r="AC20" t="s">
        <v>76</v>
      </c>
      <c r="AD20" s="51">
        <f>I137</f>
        <v>0.93840162846269581</v>
      </c>
      <c r="AE20" s="73">
        <f>I148</f>
        <v>0.93510324604987505</v>
      </c>
      <c r="AF20" s="73">
        <f>J148</f>
        <v>2.3769611586929285E-3</v>
      </c>
      <c r="AH20">
        <v>137</v>
      </c>
      <c r="AI20">
        <v>148</v>
      </c>
      <c r="AW20" s="51" t="s">
        <v>216</v>
      </c>
      <c r="AX20" s="80">
        <f>MIN($AE$16:$AE$85)</f>
        <v>0.93211581194709525</v>
      </c>
      <c r="AY20" s="80">
        <f>_xlfn.QUARTILE.EXC($AE$16:$AE$85,1)</f>
        <v>0.93319925617400989</v>
      </c>
      <c r="AZ20" s="80">
        <f>MEDIAN($AE$16:$AE$85)</f>
        <v>0.93464359576202205</v>
      </c>
      <c r="BA20" s="80">
        <f>AVERAGE($AE$16:$AE$85)</f>
        <v>0.934570304065382</v>
      </c>
      <c r="BB20" s="80">
        <f>_xlfn.QUARTILE.EXC($AE$16:$AE$85,3)</f>
        <v>0.93532538364200302</v>
      </c>
      <c r="BC20" s="80">
        <f>MAX($AE$16:$AE$85)</f>
        <v>0.93844285239998837</v>
      </c>
      <c r="BD20" s="80">
        <f t="shared" si="0"/>
        <v>2.2748002314825406E-3</v>
      </c>
      <c r="BE20" s="80"/>
    </row>
    <row r="21" spans="1:57" x14ac:dyDescent="0.3">
      <c r="A21" s="1" t="s">
        <v>321</v>
      </c>
      <c r="B21" s="1" t="s">
        <v>2</v>
      </c>
      <c r="C21" s="10">
        <f>C15/C20</f>
        <v>0.9923371647509579</v>
      </c>
      <c r="D21" s="10">
        <f>D16/D20</f>
        <v>0.58858267716535428</v>
      </c>
      <c r="E21" s="10">
        <f>E17/E20</f>
        <v>0.98257142857142854</v>
      </c>
      <c r="F21" s="10">
        <f>F18/F20</f>
        <v>0.92684887459807075</v>
      </c>
      <c r="G21" s="10">
        <f>G19/G20</f>
        <v>0.82149712092130522</v>
      </c>
      <c r="H21" s="10"/>
      <c r="I21" s="14">
        <f>(C15+D16+E17+F18+G19)/H20</f>
        <v>0.93795911142578992</v>
      </c>
      <c r="S21" s="66" t="s">
        <v>39</v>
      </c>
      <c r="T21" s="67">
        <f>J26</f>
        <v>0</v>
      </c>
      <c r="U21" s="67">
        <f>J27</f>
        <v>1.7547188499370283</v>
      </c>
      <c r="V21" s="67">
        <f>J28</f>
        <v>0.23308804619961615</v>
      </c>
      <c r="W21" s="67">
        <f>J29</f>
        <v>0.60054902637989682</v>
      </c>
      <c r="X21" s="67">
        <f>J30</f>
        <v>1.0036285691009199</v>
      </c>
      <c r="AC21" t="s">
        <v>98</v>
      </c>
      <c r="AD21" s="51">
        <f>I166</f>
        <v>0.93592353305602261</v>
      </c>
      <c r="AE21" s="55">
        <f>I177</f>
        <v>0.93220221346563692</v>
      </c>
      <c r="AF21" s="55">
        <f>J177</f>
        <v>2.4285497646685085E-3</v>
      </c>
      <c r="AH21">
        <v>166</v>
      </c>
      <c r="AI21">
        <v>177</v>
      </c>
      <c r="AW21" s="51" t="s">
        <v>217</v>
      </c>
      <c r="AX21" s="80">
        <f>MIN($AE$16:$AE$95)</f>
        <v>0.93211581194709525</v>
      </c>
      <c r="AY21" s="80">
        <f>_xlfn.QUARTILE.EXC($AE$16:$AE$95,1)</f>
        <v>0.93319925617400989</v>
      </c>
      <c r="AZ21" s="80">
        <f>MEDIAN($AE$16:$AE$95)</f>
        <v>0.93464359576202205</v>
      </c>
      <c r="BA21" s="80">
        <f>AVERAGE($AE$16:$AE$95)</f>
        <v>0.934570304065382</v>
      </c>
      <c r="BB21" s="80">
        <f>_xlfn.QUARTILE.EXC($AE$16:$AE$95,3)</f>
        <v>0.93532538364200302</v>
      </c>
      <c r="BC21" s="80">
        <f>MAX($AE$16:$AE$95)</f>
        <v>0.93844285239998837</v>
      </c>
      <c r="BD21" s="80">
        <f t="shared" si="0"/>
        <v>2.2748002314825406E-3</v>
      </c>
      <c r="BE21" s="80"/>
    </row>
    <row r="22" spans="1:57" x14ac:dyDescent="0.3">
      <c r="B22" s="1" t="s">
        <v>14</v>
      </c>
      <c r="C22" s="11">
        <f>1-C21</f>
        <v>7.6628352490420992E-3</v>
      </c>
      <c r="D22" s="11">
        <f>1-D21</f>
        <v>0.41141732283464572</v>
      </c>
      <c r="E22" s="11">
        <f>1-E21</f>
        <v>1.742857142857146E-2</v>
      </c>
      <c r="F22" s="11">
        <f>1-F21</f>
        <v>7.3151125401929251E-2</v>
      </c>
      <c r="G22" s="11">
        <f>1-G21</f>
        <v>0.17850287907869478</v>
      </c>
      <c r="S22" s="68" t="s">
        <v>56</v>
      </c>
      <c r="T22" s="65">
        <f>N15*100</f>
        <v>99.615384615384627</v>
      </c>
      <c r="U22" s="65">
        <f>N16*100</f>
        <v>70.602125147579699</v>
      </c>
      <c r="V22" s="65">
        <f>N17*100</f>
        <v>97.085185969369746</v>
      </c>
      <c r="W22" s="65">
        <f>N18*100</f>
        <v>91.146245059288546</v>
      </c>
      <c r="X22" s="65">
        <f>N19*100</f>
        <v>85.514485514485514</v>
      </c>
      <c r="Y22" s="46"/>
      <c r="Z22" s="46"/>
      <c r="AA22" s="46"/>
      <c r="AC22" t="s">
        <v>99</v>
      </c>
      <c r="AD22" s="51">
        <f>I195</f>
        <v>0.93804761483317112</v>
      </c>
      <c r="AE22" s="55">
        <f>I206</f>
        <v>0.93470744346703616</v>
      </c>
      <c r="AF22" s="55">
        <f>J206</f>
        <v>2.3848588118557334E-3</v>
      </c>
      <c r="AH22">
        <v>195</v>
      </c>
      <c r="AI22">
        <v>206</v>
      </c>
      <c r="AW22" s="51" t="s">
        <v>218</v>
      </c>
      <c r="AX22" s="80">
        <f>MIN($AE$16:$AE$105)</f>
        <v>0.93211581194709525</v>
      </c>
      <c r="AY22" s="80">
        <f>_xlfn.QUARTILE.EXC($AE$16:$AE$105,1)</f>
        <v>0.93319925617400989</v>
      </c>
      <c r="AZ22" s="80">
        <f>MEDIAN($AE$16:$AE$105)</f>
        <v>0.93464359576202205</v>
      </c>
      <c r="BA22" s="80">
        <f>AVERAGE($AE$16:$AE$105)</f>
        <v>0.934570304065382</v>
      </c>
      <c r="BB22" s="80">
        <f>_xlfn.QUARTILE.EXC($AE$16:$AE$105,3)</f>
        <v>0.93532538364200302</v>
      </c>
      <c r="BC22" s="80">
        <f>MAX($AE$16:$AE$105)</f>
        <v>0.93844285239998837</v>
      </c>
      <c r="BD22" s="80">
        <f t="shared" si="0"/>
        <v>2.2748002314825406E-3</v>
      </c>
      <c r="BE22" s="80"/>
    </row>
    <row r="23" spans="1:57" x14ac:dyDescent="0.3">
      <c r="C23" s="2"/>
      <c r="R23" s="16" t="s">
        <v>66</v>
      </c>
      <c r="S23" t="s">
        <v>9</v>
      </c>
      <c r="T23" s="30">
        <f>N26</f>
        <v>2724.08</v>
      </c>
      <c r="U23" s="30">
        <f>N27</f>
        <v>8101.06</v>
      </c>
      <c r="V23" s="30">
        <f>N28</f>
        <v>113077.18</v>
      </c>
      <c r="W23" s="30">
        <f>N29</f>
        <v>47074.720000000001</v>
      </c>
      <c r="X23" s="30">
        <f>N30</f>
        <v>18821.88</v>
      </c>
      <c r="Z23" t="s">
        <v>36</v>
      </c>
      <c r="AA23" s="1">
        <f>N31</f>
        <v>189798.91999999998</v>
      </c>
      <c r="AC23" t="s">
        <v>100</v>
      </c>
      <c r="AD23" s="51">
        <f>I224</f>
        <v>0.93964067616603242</v>
      </c>
      <c r="AE23" s="55">
        <f>I235</f>
        <v>0.93639022957673457</v>
      </c>
      <c r="AF23" s="55">
        <f>J235</f>
        <v>2.3541423320883699E-3</v>
      </c>
      <c r="AH23">
        <v>224</v>
      </c>
      <c r="AI23">
        <v>235</v>
      </c>
      <c r="AW23" s="51" t="s">
        <v>219</v>
      </c>
      <c r="AX23" s="80">
        <f>MIN($AE$16:$AE$115)</f>
        <v>0.93211581194709525</v>
      </c>
      <c r="AY23" s="80">
        <f>_xlfn.QUARTILE.EXC($AE$16:$AE$115,1)</f>
        <v>0.93319925617400989</v>
      </c>
      <c r="AZ23" s="126">
        <f>MEDIAN($AE$16:$AE$115)</f>
        <v>0.93464359576202205</v>
      </c>
      <c r="BA23" s="126">
        <f>AVERAGE($AE$16:$AE$115)</f>
        <v>0.934570304065382</v>
      </c>
      <c r="BB23" s="80">
        <f>_xlfn.QUARTILE.EXC($AE$16:$AE$115,3)</f>
        <v>0.93532538364200302</v>
      </c>
      <c r="BC23" s="80">
        <f>MAX($AE$16:$AE$115)</f>
        <v>0.93844285239998837</v>
      </c>
      <c r="BD23" s="80">
        <f t="shared" si="0"/>
        <v>2.2748002314825406E-3</v>
      </c>
      <c r="BE23" s="80"/>
    </row>
    <row r="24" spans="1:57" ht="15.6" x14ac:dyDescent="0.35">
      <c r="A24" t="s">
        <v>322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323</v>
      </c>
      <c r="S24" t="s">
        <v>68</v>
      </c>
      <c r="T24" s="57">
        <f>$AA23*T16/100</f>
        <v>2761.9888932737167</v>
      </c>
      <c r="U24" s="57">
        <f>$AA23*U16/100</f>
        <v>10512.586934971821</v>
      </c>
      <c r="V24" s="57">
        <f>$AA23*V16/100</f>
        <v>110893.73291431667</v>
      </c>
      <c r="W24" s="57">
        <f>$AA23*W16/100</f>
        <v>45421.857857527182</v>
      </c>
      <c r="X24" s="57">
        <f>$AA23*X16/100</f>
        <v>20208.75339991062</v>
      </c>
      <c r="Z24" t="s">
        <v>36</v>
      </c>
      <c r="AA24" s="25">
        <f>SUM(T24:X24)</f>
        <v>189798.92</v>
      </c>
      <c r="AC24" t="s">
        <v>101</v>
      </c>
      <c r="AD24" s="51">
        <f>I253</f>
        <v>0.93866713868483942</v>
      </c>
      <c r="AE24" s="55">
        <f>I264</f>
        <v>0.93516798064028495</v>
      </c>
      <c r="AF24" s="55">
        <f>J264</f>
        <v>2.3739736945913507E-3</v>
      </c>
      <c r="AH24">
        <v>253</v>
      </c>
      <c r="AI24">
        <v>264</v>
      </c>
      <c r="BE24" s="80"/>
    </row>
    <row r="25" spans="1:57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67</v>
      </c>
      <c r="T25" s="67">
        <f>$AA23*T17/100</f>
        <v>26.811579620115367</v>
      </c>
      <c r="U25" s="67">
        <f>$AA23*U17/100</f>
        <v>270.77471537332224</v>
      </c>
      <c r="V25" s="67">
        <f>$AA23*V17/100</f>
        <v>339.61376032518825</v>
      </c>
      <c r="W25" s="67">
        <f>$AA23*W17/100</f>
        <v>365.84097999748622</v>
      </c>
      <c r="X25" s="67">
        <f>$AA23*X17/100</f>
        <v>309.53652264376069</v>
      </c>
      <c r="AA25" s="1"/>
      <c r="AC25" t="s">
        <v>102</v>
      </c>
      <c r="AD25" s="51">
        <f>I282</f>
        <v>0.93565802283387911</v>
      </c>
      <c r="AE25" s="55">
        <f>I293</f>
        <v>0.93225300042014336</v>
      </c>
      <c r="AF25" s="55">
        <f>J293</f>
        <v>2.4204833797105969E-3</v>
      </c>
      <c r="AH25">
        <v>282</v>
      </c>
      <c r="AI25">
        <v>293</v>
      </c>
      <c r="BE25" s="80"/>
    </row>
    <row r="26" spans="1:57" x14ac:dyDescent="0.3">
      <c r="A26" t="s">
        <v>3</v>
      </c>
      <c r="B26" s="13">
        <v>0</v>
      </c>
      <c r="C26" s="29">
        <f>(C15/$L26)*$O26</f>
        <v>1.4352452585083204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0</v>
      </c>
      <c r="G26" s="32">
        <f t="shared" si="2"/>
        <v>0</v>
      </c>
      <c r="H26" s="17">
        <f>SUM(C26:G26)</f>
        <v>1.4352452585083204</v>
      </c>
      <c r="I26" s="17">
        <f>C26/H26*100</f>
        <v>100</v>
      </c>
      <c r="J26" s="17">
        <f>SQRT(I26*(100-I26)/(L26-1))</f>
        <v>0</v>
      </c>
      <c r="K26" s="18">
        <f>100-I26</f>
        <v>0</v>
      </c>
      <c r="L26" s="1">
        <f>H15</f>
        <v>259</v>
      </c>
      <c r="M26">
        <v>0</v>
      </c>
      <c r="N26" s="1">
        <v>2724.08</v>
      </c>
      <c r="O26" s="17">
        <f>N26/N31*100</f>
        <v>1.4352452585083204</v>
      </c>
      <c r="P26" s="52">
        <f>((O26*O26*(I26/100)*(K26/100))/(L26-1))</f>
        <v>0</v>
      </c>
      <c r="R26" t="s">
        <v>71</v>
      </c>
      <c r="S26" s="70" t="s">
        <v>28</v>
      </c>
      <c r="T26" s="64">
        <f t="shared" ref="T26:X29" si="3">C60</f>
        <v>1.4639036133515964</v>
      </c>
      <c r="U26" s="64">
        <f t="shared" si="3"/>
        <v>5.3892523435396562</v>
      </c>
      <c r="V26" s="64">
        <f t="shared" si="3"/>
        <v>58.438463640160002</v>
      </c>
      <c r="W26" s="64">
        <f t="shared" si="3"/>
        <v>24.392461575271486</v>
      </c>
      <c r="X26" s="64">
        <f t="shared" si="3"/>
        <v>10.315918827677269</v>
      </c>
      <c r="Y26" s="13"/>
      <c r="Z26" s="74"/>
      <c r="AA26" s="12"/>
      <c r="AC26" t="s">
        <v>103</v>
      </c>
      <c r="AD26" s="51">
        <f>I311</f>
        <v>0.94176475794318082</v>
      </c>
      <c r="AE26" s="55">
        <f>I322</f>
        <v>0.93844285239998837</v>
      </c>
      <c r="AF26" s="55">
        <f>J322</f>
        <v>2.3197860243267783E-3</v>
      </c>
      <c r="AH26">
        <v>311</v>
      </c>
      <c r="AI26">
        <v>322</v>
      </c>
    </row>
    <row r="27" spans="1:57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3.7646066236121412</v>
      </c>
      <c r="E27" s="19">
        <f t="shared" si="2"/>
        <v>0.35253841291351151</v>
      </c>
      <c r="F27" s="18">
        <f t="shared" si="2"/>
        <v>0</v>
      </c>
      <c r="G27" s="20">
        <f t="shared" si="2"/>
        <v>0.1510878912486478</v>
      </c>
      <c r="H27" s="17">
        <f>SUM(C27:G27)</f>
        <v>4.2682329277743003</v>
      </c>
      <c r="I27" s="17">
        <f>D27/H27*100</f>
        <v>88.200589970501468</v>
      </c>
      <c r="J27" s="17">
        <f>SQRT(I27*(100-I27)/(L27-1))</f>
        <v>1.7547188499370283</v>
      </c>
      <c r="K27" s="18">
        <f>100-I27</f>
        <v>11.799410029498532</v>
      </c>
      <c r="L27" s="1">
        <f>H16</f>
        <v>339</v>
      </c>
      <c r="M27">
        <v>1</v>
      </c>
      <c r="N27" s="1">
        <v>8101.06</v>
      </c>
      <c r="O27" s="17">
        <f>N27/N31*100</f>
        <v>4.2682329277743003</v>
      </c>
      <c r="P27" s="52">
        <f>((O27*O27*(I27/100)*(K27/100))/(L27-1))</f>
        <v>5.6093340842431026E-3</v>
      </c>
      <c r="S27" s="66" t="s">
        <v>39</v>
      </c>
      <c r="T27" s="67">
        <f t="shared" si="3"/>
        <v>2.4027125375986946E-2</v>
      </c>
      <c r="U27" s="67">
        <f t="shared" si="3"/>
        <v>0.14103412378748731</v>
      </c>
      <c r="V27" s="67">
        <f t="shared" si="3"/>
        <v>0.1778836621992716</v>
      </c>
      <c r="W27" s="67">
        <f t="shared" si="3"/>
        <v>0.1920092404658218</v>
      </c>
      <c r="X27" s="67">
        <f t="shared" si="3"/>
        <v>0.16469336747118196</v>
      </c>
      <c r="AC27" t="s">
        <v>104</v>
      </c>
      <c r="AD27" s="51">
        <f>I340</f>
        <v>0.93725108416674041</v>
      </c>
      <c r="AE27" s="55">
        <f>I351</f>
        <v>0.93392662119360437</v>
      </c>
      <c r="AF27" s="55">
        <f>J351</f>
        <v>2.3935325982409133E-3</v>
      </c>
      <c r="AH27">
        <v>340</v>
      </c>
      <c r="AI27">
        <v>351</v>
      </c>
    </row>
    <row r="28" spans="1:57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1.5041849076082401</v>
      </c>
      <c r="E28" s="34">
        <f t="shared" si="2"/>
        <v>57.159026489113124</v>
      </c>
      <c r="F28" s="19">
        <f t="shared" si="2"/>
        <v>0.7645580745854037</v>
      </c>
      <c r="G28" s="20">
        <f t="shared" si="2"/>
        <v>0.14958744937540508</v>
      </c>
      <c r="H28" s="17">
        <f>SUM(C28:G28)</f>
        <v>59.57735692068217</v>
      </c>
      <c r="I28" s="17">
        <f>E28/H28*100</f>
        <v>95.940856465336879</v>
      </c>
      <c r="J28" s="17">
        <f>SQRT(I28*(100-I28)/(L28-1))</f>
        <v>0.23308804619961615</v>
      </c>
      <c r="K28" s="18">
        <f>100-I28</f>
        <v>4.0591435346631215</v>
      </c>
      <c r="L28" s="1">
        <f>H17</f>
        <v>7169</v>
      </c>
      <c r="M28">
        <v>2</v>
      </c>
      <c r="N28" s="1">
        <v>113077.18</v>
      </c>
      <c r="O28" s="17">
        <f>N28/N31*100</f>
        <v>59.57735692068217</v>
      </c>
      <c r="P28" s="52">
        <f>((O28*O28*(I28/100)*(K28/100))/(L28-1))</f>
        <v>1.9284237332238174E-2</v>
      </c>
      <c r="S28" t="s">
        <v>30</v>
      </c>
      <c r="T28" s="57">
        <f t="shared" si="3"/>
        <v>96.628162489500525</v>
      </c>
      <c r="U28" s="57">
        <f t="shared" si="3"/>
        <v>67.582968283960497</v>
      </c>
      <c r="V28" s="57">
        <f t="shared" si="3"/>
        <v>97.992306500163522</v>
      </c>
      <c r="W28" s="57">
        <f t="shared" si="3"/>
        <v>92.451205617131123</v>
      </c>
      <c r="X28" s="57">
        <f t="shared" si="3"/>
        <v>82.74264098451502</v>
      </c>
      <c r="AC28" t="s">
        <v>105</v>
      </c>
      <c r="AD28" s="51">
        <f>I369</f>
        <v>0.93769360120364631</v>
      </c>
      <c r="AE28" s="55">
        <f>I380</f>
        <v>0.93440022336068751</v>
      </c>
      <c r="AF28" s="55">
        <f>J380</f>
        <v>2.3862837021338869E-3</v>
      </c>
      <c r="AH28">
        <v>369</v>
      </c>
      <c r="AI28">
        <v>380</v>
      </c>
    </row>
    <row r="29" spans="1:57" x14ac:dyDescent="0.3">
      <c r="A29" t="s">
        <v>6</v>
      </c>
      <c r="B29" s="13">
        <v>3</v>
      </c>
      <c r="C29" s="33">
        <f t="shared" si="2"/>
        <v>9.6432415283063538E-3</v>
      </c>
      <c r="D29" s="19">
        <f t="shared" si="2"/>
        <v>0.27001076279257791</v>
      </c>
      <c r="E29" s="19">
        <f t="shared" si="2"/>
        <v>0.78110256379281462</v>
      </c>
      <c r="F29" s="34">
        <f t="shared" si="2"/>
        <v>22.237314964274454</v>
      </c>
      <c r="G29" s="20">
        <f t="shared" si="2"/>
        <v>1.5043456784157911</v>
      </c>
      <c r="H29" s="17">
        <f>SUM(C29:G29)</f>
        <v>24.802417210803945</v>
      </c>
      <c r="I29" s="17">
        <f>F29/H29*100</f>
        <v>89.657853810264371</v>
      </c>
      <c r="J29" s="17">
        <f>SQRT(I29*(100-I29)/(L29-1))</f>
        <v>0.60054902637989682</v>
      </c>
      <c r="K29" s="18">
        <f>100-I29</f>
        <v>10.342146189735629</v>
      </c>
      <c r="L29" s="1">
        <f>H18</f>
        <v>2572</v>
      </c>
      <c r="M29">
        <v>3</v>
      </c>
      <c r="N29" s="1">
        <v>47074.720000000001</v>
      </c>
      <c r="O29" s="17">
        <f>N29/N31*100</f>
        <v>24.802417210803942</v>
      </c>
      <c r="P29" s="52">
        <f>((O29*O29*(I29/100)*(K29/100))/(L29-1))</f>
        <v>2.2186303606240496E-2</v>
      </c>
      <c r="S29" s="66" t="s">
        <v>39</v>
      </c>
      <c r="T29" s="67">
        <f t="shared" si="3"/>
        <v>2.63513894415332</v>
      </c>
      <c r="U29" s="67">
        <f t="shared" si="3"/>
        <v>4.6711185423827928</v>
      </c>
      <c r="V29" s="67">
        <f t="shared" si="3"/>
        <v>0.18811619451559236</v>
      </c>
      <c r="W29" s="67">
        <f t="shared" si="3"/>
        <v>0.65553662212254316</v>
      </c>
      <c r="X29" s="67">
        <f t="shared" si="3"/>
        <v>2.0102294847713038</v>
      </c>
      <c r="AC29" t="s">
        <v>106</v>
      </c>
      <c r="AD29" s="51">
        <f>I398</f>
        <v>0.93795911142578992</v>
      </c>
      <c r="AE29" s="55">
        <f>I409</f>
        <v>0.93483850654267686</v>
      </c>
      <c r="AF29" s="55">
        <f>J409</f>
        <v>2.3761402538347472E-3</v>
      </c>
      <c r="AH29">
        <v>398</v>
      </c>
      <c r="AI29">
        <v>409</v>
      </c>
    </row>
    <row r="30" spans="1:57" x14ac:dyDescent="0.3">
      <c r="A30" t="s">
        <v>7</v>
      </c>
      <c r="B30" s="13">
        <v>4</v>
      </c>
      <c r="C30" s="35">
        <f t="shared" si="2"/>
        <v>1.032994550232425E-2</v>
      </c>
      <c r="D30" s="36">
        <f t="shared" si="2"/>
        <v>0</v>
      </c>
      <c r="E30" s="21">
        <f t="shared" si="2"/>
        <v>0.13428929153021527</v>
      </c>
      <c r="F30" s="21">
        <f t="shared" si="2"/>
        <v>0.92969509520918248</v>
      </c>
      <c r="G30" s="37">
        <f t="shared" si="2"/>
        <v>8.8424333499895589</v>
      </c>
      <c r="H30" s="17">
        <f>SUM(C30:G30)</f>
        <v>9.9167476822312803</v>
      </c>
      <c r="I30" s="17">
        <f>G30/H30*100</f>
        <v>89.166666666666671</v>
      </c>
      <c r="J30" s="17">
        <f>SQRT(I30*(100-I30)/(L30-1))</f>
        <v>1.0036285691009199</v>
      </c>
      <c r="K30" s="18">
        <f>100-I30</f>
        <v>10.833333333333329</v>
      </c>
      <c r="L30" s="1">
        <f>H19</f>
        <v>960</v>
      </c>
      <c r="M30">
        <v>4</v>
      </c>
      <c r="N30" s="1">
        <v>18821.88</v>
      </c>
      <c r="O30" s="17">
        <f>N30/N31*100</f>
        <v>9.9167476822312803</v>
      </c>
      <c r="P30" s="52">
        <f>((O30*O30*(I30/100)*(K30/100))/(L30-1))</f>
        <v>9.905686006033327E-3</v>
      </c>
      <c r="S30" t="s">
        <v>31</v>
      </c>
      <c r="T30" s="57">
        <f>I55</f>
        <v>98.841698841698829</v>
      </c>
      <c r="U30" s="57">
        <f>I56</f>
        <v>87.905604719764014</v>
      </c>
      <c r="V30" s="57">
        <f>I57</f>
        <v>95.829264890500767</v>
      </c>
      <c r="W30" s="57">
        <f>I58</f>
        <v>90.435458786936223</v>
      </c>
      <c r="X30" s="57">
        <f>I59</f>
        <v>87.708333333333329</v>
      </c>
      <c r="AC30" t="s">
        <v>107</v>
      </c>
      <c r="AD30" s="51">
        <f>I427</f>
        <v>0.9353925126117355</v>
      </c>
      <c r="AE30" s="55">
        <f>I438</f>
        <v>0.93211581194709525</v>
      </c>
      <c r="AF30" s="55">
        <f>J438</f>
        <v>2.4209925849960909E-3</v>
      </c>
      <c r="AH30">
        <v>427</v>
      </c>
      <c r="AI30">
        <v>438</v>
      </c>
    </row>
    <row r="31" spans="1:57" x14ac:dyDescent="0.3">
      <c r="B31" t="s">
        <v>28</v>
      </c>
      <c r="C31" s="17">
        <f>SUM(C26:C30)</f>
        <v>1.455218445538951</v>
      </c>
      <c r="D31" s="17">
        <f>SUM(D26:D30)</f>
        <v>5.5388022940129593</v>
      </c>
      <c r="E31" s="17">
        <f>SUM(E26:E30)</f>
        <v>58.426956757349664</v>
      </c>
      <c r="F31" s="17">
        <f>SUM(F26:F30)</f>
        <v>23.931568134069039</v>
      </c>
      <c r="G31" s="17">
        <f>SUM(G26:G30)</f>
        <v>10.647454369029402</v>
      </c>
      <c r="H31" s="1">
        <f>SUM(H25:H30)</f>
        <v>100.00000000000001</v>
      </c>
      <c r="I31" s="13" t="s">
        <v>24</v>
      </c>
      <c r="J31" s="12" t="s">
        <v>29</v>
      </c>
      <c r="N31" s="1">
        <f>SUM(N26:N30)</f>
        <v>189798.91999999998</v>
      </c>
      <c r="O31" s="17">
        <f>SUM(O26:O30)</f>
        <v>100</v>
      </c>
      <c r="S31" s="66" t="s">
        <v>39</v>
      </c>
      <c r="T31" s="67">
        <f>J55</f>
        <v>0.66614840588997071</v>
      </c>
      <c r="U31" s="67">
        <f>J56</f>
        <v>1.7735441824070006</v>
      </c>
      <c r="V31" s="67">
        <f>J57</f>
        <v>0.23613283647459815</v>
      </c>
      <c r="W31" s="67">
        <f>J58</f>
        <v>0.58002993280034498</v>
      </c>
      <c r="X31" s="67">
        <f>J59</f>
        <v>1.0602700962388472</v>
      </c>
      <c r="AC31" t="s">
        <v>108</v>
      </c>
      <c r="AD31" s="51">
        <f>I456</f>
        <v>0.93831312505531461</v>
      </c>
      <c r="AE31" s="55">
        <f>I467</f>
        <v>0.93515882954280416</v>
      </c>
      <c r="AF31" s="55">
        <f>J467</f>
        <v>2.3746014097129806E-3</v>
      </c>
      <c r="AH31">
        <v>456</v>
      </c>
      <c r="AI31">
        <v>467</v>
      </c>
    </row>
    <row r="32" spans="1:57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1.4126307789378028E-2</v>
      </c>
      <c r="D32" s="18">
        <f>SQRT(SUM((O26*O26*(D26/O26)*(1-D26/O26))/L26,(O27*O27*(D27/O27)*(1-D27/O27))/L27,(O28*O28*(D28/O28)*(1-D28/O28))/L28,(O29*O29*(D29/O29)*(1-D29/O29))/L29,(O30*O30*(D30/O30)*(1-D30/O30))/L30))</f>
        <v>0.14266399164617072</v>
      </c>
      <c r="E32" s="18">
        <f>SQRT(SUM((O26*O26*(E26/O26)*(1-E26/O26))/L26,(O27*O27*(E27/O27)*(1-E27/O27))/L27,(O28*O28*(E28/O28)*(1-E28/O28))/L28,(O29*O29*(E29/O29)*(1-E29/O29))/L29,(O30*O30*(E30/O30)*(1-E30/O30))/L30))</f>
        <v>0.17893345247970235</v>
      </c>
      <c r="F32" s="18">
        <f>SQRT(SUM((O26*O26*(F26/O26)*(1-F26/O26))/L26,(O27*O27*(F27/O27)*(1-F27/O27))/L27,(O28*O28*(F28/O28)*(1-F28/O28))/L28,(O29*O29*(F29/O29)*(1-F29/O29))/L29,(O30*O30*(F30/O30)*(1-F30/O30))/L30))</f>
        <v>0.19275187656362125</v>
      </c>
      <c r="G32" s="18">
        <f>SQRT(SUM((O26*O26*(G26/O26)*(1-G26/O26))/L26,(O27*O27*(G27/O27)*(1-G27/O27))/L27,(O28*O28*(G28/O28)*(1-G28/O28))/L28,(O29*O29*(G29/O29)*(1-G29/O29))/L29,(O30*O30*(G30/O30)*(1-G30/O30))/L30))</f>
        <v>0.16308655636384059</v>
      </c>
      <c r="H32" s="1"/>
      <c r="I32" s="14">
        <f>(C26+D27+E28+F29+G30)/H31</f>
        <v>0.93438626685497594</v>
      </c>
      <c r="J32" s="53">
        <f>SQRT(SUM(P26:P30))/100</f>
        <v>2.3871648671332925E-3</v>
      </c>
      <c r="M32" s="1"/>
      <c r="N32" s="9"/>
      <c r="S32" s="66" t="s">
        <v>56</v>
      </c>
      <c r="T32" s="67">
        <f>N44*100</f>
        <v>98.461538461538453</v>
      </c>
      <c r="U32" s="67">
        <f>N45*100</f>
        <v>70.699881376037965</v>
      </c>
      <c r="V32" s="67">
        <f>N46*100</f>
        <v>97.088750706613908</v>
      </c>
      <c r="W32" s="67">
        <f>N47*100</f>
        <v>91.269374141651952</v>
      </c>
      <c r="X32" s="67">
        <f>N48*100</f>
        <v>84.793554884189319</v>
      </c>
      <c r="AC32" t="s">
        <v>109</v>
      </c>
      <c r="AD32" s="51">
        <f>I485</f>
        <v>0.93636605009292861</v>
      </c>
      <c r="AE32" s="55">
        <f>I496</f>
        <v>0.93295680116747848</v>
      </c>
      <c r="AF32" s="55">
        <f>J496</f>
        <v>2.4151244616769283E-3</v>
      </c>
      <c r="AH32">
        <v>485</v>
      </c>
      <c r="AI32">
        <v>496</v>
      </c>
    </row>
    <row r="33" spans="1:35" x14ac:dyDescent="0.3">
      <c r="B33" s="1" t="s">
        <v>30</v>
      </c>
      <c r="C33" s="17">
        <f>C26/C31*100</f>
        <v>98.627478431718657</v>
      </c>
      <c r="D33" s="17">
        <f>D27/D31*100</f>
        <v>67.967882292556396</v>
      </c>
      <c r="E33" s="17">
        <f>E28/E31*100</f>
        <v>97.829888225220557</v>
      </c>
      <c r="F33" s="17">
        <f>F29/F31*100</f>
        <v>92.920425605614014</v>
      </c>
      <c r="G33" s="17">
        <f>G30/G31*100</f>
        <v>83.047393710461279</v>
      </c>
      <c r="H33" s="1"/>
      <c r="R33" s="16" t="s">
        <v>66</v>
      </c>
      <c r="S33" t="s">
        <v>9</v>
      </c>
      <c r="T33" s="30">
        <f>N55</f>
        <v>2716.25</v>
      </c>
      <c r="U33" s="30">
        <f>N56</f>
        <v>7863.99</v>
      </c>
      <c r="V33" s="30">
        <f>N57</f>
        <v>113419.14</v>
      </c>
      <c r="W33" s="30">
        <f>N58</f>
        <v>47328.55</v>
      </c>
      <c r="X33" s="30">
        <f>N59</f>
        <v>18470.990000000002</v>
      </c>
      <c r="Z33" t="s">
        <v>36</v>
      </c>
      <c r="AA33" s="1">
        <f>N60</f>
        <v>189798.91999999998</v>
      </c>
      <c r="AC33" t="s">
        <v>110</v>
      </c>
      <c r="AD33" s="51">
        <f>I514</f>
        <v>0.93981768298079471</v>
      </c>
      <c r="AE33" s="55">
        <f>I525</f>
        <v>0.93657305858478279</v>
      </c>
      <c r="AF33" s="55">
        <f>J525</f>
        <v>2.3488980242392758E-3</v>
      </c>
      <c r="AH33">
        <v>514</v>
      </c>
      <c r="AI33">
        <v>525</v>
      </c>
    </row>
    <row r="34" spans="1:35" ht="15.6" x14ac:dyDescent="0.35">
      <c r="B34" s="16" t="s">
        <v>39</v>
      </c>
      <c r="C34" s="18">
        <f>SQRT((C37+C38)/(C31*C31))</f>
        <v>0.95776429383312911</v>
      </c>
      <c r="D34" s="18">
        <f>SQRT((D37+D38)/(D31*D31))</f>
        <v>4.5808104943726979</v>
      </c>
      <c r="E34" s="18">
        <f>SQRT((E37+E38)/(E31*E31))</f>
        <v>0.1959891706864112</v>
      </c>
      <c r="F34" s="18">
        <f>SQRT((F37+F38)/(F31*F31))</f>
        <v>0.64813414414465742</v>
      </c>
      <c r="G34" s="18">
        <f>SQRT((G37+G38)/(G31*G31))</f>
        <v>1.8782566578329256</v>
      </c>
      <c r="H34" s="1"/>
      <c r="R34" s="16" t="s">
        <v>323</v>
      </c>
      <c r="S34" t="s">
        <v>68</v>
      </c>
      <c r="T34" s="57">
        <f>$AA33*T26/100</f>
        <v>2778.4732479823056</v>
      </c>
      <c r="U34" s="57">
        <f>$AA33*U26/100</f>
        <v>10228.742744112957</v>
      </c>
      <c r="V34" s="57">
        <f>$AA33*V26/100</f>
        <v>110915.57285361637</v>
      </c>
      <c r="W34" s="57">
        <f>$AA33*W26/100</f>
        <v>46296.628631280262</v>
      </c>
      <c r="X34" s="57">
        <f>$AA33*X26/100</f>
        <v>19579.502523008116</v>
      </c>
      <c r="Z34" t="s">
        <v>36</v>
      </c>
      <c r="AA34" s="25">
        <f>SUM(T34:X34)</f>
        <v>189798.92</v>
      </c>
      <c r="AB34" s="25"/>
      <c r="AC34" t="s">
        <v>111</v>
      </c>
      <c r="AD34" s="51">
        <f>I543</f>
        <v>0.93937516594388881</v>
      </c>
      <c r="AE34" s="55">
        <f>I554</f>
        <v>0.93593925787574195</v>
      </c>
      <c r="AF34" s="55">
        <f>J554</f>
        <v>2.3627191078407382E-3</v>
      </c>
      <c r="AH34">
        <v>543</v>
      </c>
      <c r="AI34">
        <v>554</v>
      </c>
    </row>
    <row r="35" spans="1:35" x14ac:dyDescent="0.3">
      <c r="B35" s="1" t="s">
        <v>37</v>
      </c>
      <c r="C35" s="18">
        <f>100-C33</f>
        <v>1.3725215682813428</v>
      </c>
      <c r="D35" s="18">
        <f>100-D33</f>
        <v>32.032117707443604</v>
      </c>
      <c r="E35" s="18">
        <f>100-E33</f>
        <v>2.1701117747794427</v>
      </c>
      <c r="F35" s="18">
        <f>100-F33</f>
        <v>7.0795743943859861</v>
      </c>
      <c r="G35" s="18">
        <f>100-G33</f>
        <v>16.952606289538721</v>
      </c>
      <c r="R35" s="66"/>
      <c r="S35" s="66" t="s">
        <v>67</v>
      </c>
      <c r="T35" s="67">
        <f>$AA33*T27/100</f>
        <v>45.603224470669154</v>
      </c>
      <c r="U35" s="67">
        <f>$AA33*U27/100</f>
        <v>267.68124378011396</v>
      </c>
      <c r="V35" s="67">
        <f>$AA33*V27/100</f>
        <v>337.62126971066573</v>
      </c>
      <c r="W35" s="67">
        <f>$AA33*W27/100</f>
        <v>364.43146470433271</v>
      </c>
      <c r="X35" s="67">
        <f>$AA33*X27/100</f>
        <v>312.58623277193465</v>
      </c>
      <c r="AA35" s="1"/>
      <c r="AB35" s="25"/>
      <c r="AC35" s="58" t="s">
        <v>112</v>
      </c>
      <c r="AD35" s="120">
        <f>I572</f>
        <v>0.93849013187007702</v>
      </c>
      <c r="AE35" s="121">
        <f>I583</f>
        <v>0.93537785130924245</v>
      </c>
      <c r="AF35" s="121">
        <f>J583</f>
        <v>2.3740141266286293E-3</v>
      </c>
      <c r="AH35">
        <v>572</v>
      </c>
      <c r="AI35">
        <v>583</v>
      </c>
    </row>
    <row r="36" spans="1:35" ht="15.6" x14ac:dyDescent="0.35">
      <c r="B36" s="1" t="s">
        <v>25</v>
      </c>
      <c r="C36" s="1">
        <f>C20</f>
        <v>261</v>
      </c>
      <c r="D36" s="1">
        <f>D20</f>
        <v>508</v>
      </c>
      <c r="E36" s="1">
        <f>E20</f>
        <v>7000</v>
      </c>
      <c r="F36" s="1">
        <f>F20</f>
        <v>2488</v>
      </c>
      <c r="G36" s="1">
        <f>G20</f>
        <v>1042</v>
      </c>
      <c r="R36" t="s">
        <v>72</v>
      </c>
      <c r="S36" t="s">
        <v>28</v>
      </c>
      <c r="T36" s="57">
        <f t="shared" ref="T36:X39" si="4">C89</f>
        <v>1.447868727307694</v>
      </c>
      <c r="U36" s="57">
        <f t="shared" si="4"/>
        <v>5.3725869855135651</v>
      </c>
      <c r="V36" s="57">
        <f t="shared" si="4"/>
        <v>58.432730132404004</v>
      </c>
      <c r="W36" s="57">
        <f t="shared" si="4"/>
        <v>24.332192020199411</v>
      </c>
      <c r="X36" s="57">
        <f t="shared" si="4"/>
        <v>10.414622134575344</v>
      </c>
      <c r="Y36" s="13"/>
      <c r="Z36" s="74"/>
      <c r="AA36" s="12"/>
      <c r="AC36" t="s">
        <v>113</v>
      </c>
      <c r="AD36" s="51"/>
      <c r="AE36" s="51"/>
      <c r="AH36">
        <v>601</v>
      </c>
      <c r="AI36">
        <v>612</v>
      </c>
    </row>
    <row r="37" spans="1:3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575.54940614259738</v>
      </c>
      <c r="E37" s="18">
        <f>(O28*O28*(100-E33)*(100-E33)*(I28)*(100-I28))/((L28-1)*100)</f>
        <v>9.0816900247271413</v>
      </c>
      <c r="F37" s="18">
        <f>(O29*O29*(100-F33)*(100-F33)*(I29)*(100-I29))/((L29-1)*100)</f>
        <v>111.19858256730582</v>
      </c>
      <c r="G37" s="18">
        <f>(O30*O30*(100-G33)*(100-G33)*(I30)*(100-I30))/((L30-1)*100)</f>
        <v>284.68036202441965</v>
      </c>
      <c r="S37" s="66" t="s">
        <v>39</v>
      </c>
      <c r="T37" s="67">
        <f t="shared" si="4"/>
        <v>1.1670925079126039E-2</v>
      </c>
      <c r="U37" s="67">
        <f t="shared" si="4"/>
        <v>0.13950325025257171</v>
      </c>
      <c r="V37" s="67">
        <f t="shared" si="4"/>
        <v>0.17877077438891104</v>
      </c>
      <c r="W37" s="67">
        <f t="shared" si="4"/>
        <v>0.19145931437014591</v>
      </c>
      <c r="X37" s="67">
        <f t="shared" si="4"/>
        <v>0.16530217792927529</v>
      </c>
      <c r="AC37" t="s">
        <v>114</v>
      </c>
      <c r="AD37" s="51"/>
      <c r="AE37" s="51"/>
      <c r="AH37">
        <v>630</v>
      </c>
      <c r="AI37">
        <v>641</v>
      </c>
    </row>
    <row r="38" spans="1:35" x14ac:dyDescent="0.3">
      <c r="B38" s="1" t="s">
        <v>35</v>
      </c>
      <c r="C38" s="18">
        <f>C33*C33*(SUM((H27*C27*(1-C16/H16))/(H16-1),(H28*C28*(1-C17/H17))/(H17-1), (H29*C29*(1-C18/H18))/(H18-1),(H30*C30*(1-C19/H19))/(H19-1)))</f>
        <v>1.9425565314242268</v>
      </c>
      <c r="D38" s="18">
        <f>D33*D33*(SUM((H26*D26*(1-D15/H15))/(H15-1),(H28*D28*(1-D17/H17))/(H17-1), (H29*D29*(1-D18/H18))/(H18-1),(H30*D30*(1-D19/H19))/(H19-1)))</f>
        <v>68.199313166347594</v>
      </c>
      <c r="E38" s="18">
        <f>E33*E33*(SUM((H26*E26*(1-E15/H15))/(H15-1),(H27*E27*(1-E16/H16))/(H16-1), (H29*E29*(1-E18/H18))/(H18-1),(H30*E30*(1-E19/H19))/(H19-1)))</f>
        <v>122.04487441328111</v>
      </c>
      <c r="F38" s="18">
        <f>F33*F33*(SUM((H26*F26*(1-F15/H15))/(H15-1),(H27*F27*(1-F16/H16))/(H16-1), (H28*F28*(1-F17/H17))/(H17-1),(H30*F30*(1-F19/H19))/(H19-1)))</f>
        <v>129.38839486105468</v>
      </c>
      <c r="G38" s="18">
        <f>G33*G33*(SUM((H26*G26*(1-G15/H15))/(H15-1),(H27*G27*(1-G16/H16))/(H16-1), (H28*G28*(1-G17/H17))/(H17-1),(H29*G29*(1-G18/H18))/(H18-1)))</f>
        <v>115.26572209659888</v>
      </c>
      <c r="S38" t="s">
        <v>30</v>
      </c>
      <c r="T38" s="57">
        <f t="shared" si="4"/>
        <v>99.290954250562962</v>
      </c>
      <c r="U38" s="57">
        <f t="shared" si="4"/>
        <v>67.590457465013344</v>
      </c>
      <c r="V38" s="57">
        <f t="shared" si="4"/>
        <v>97.86176509131964</v>
      </c>
      <c r="W38" s="57">
        <f t="shared" si="4"/>
        <v>92.72366166888618</v>
      </c>
      <c r="X38" s="57">
        <f t="shared" si="4"/>
        <v>82.998839449955824</v>
      </c>
      <c r="Z38" s="50"/>
      <c r="AA38" s="54"/>
      <c r="AC38" t="s">
        <v>115</v>
      </c>
      <c r="AD38" s="51"/>
      <c r="AE38" s="51"/>
      <c r="AH38">
        <v>659</v>
      </c>
      <c r="AI38">
        <v>670</v>
      </c>
    </row>
    <row r="39" spans="1:35" x14ac:dyDescent="0.3">
      <c r="S39" s="66" t="s">
        <v>39</v>
      </c>
      <c r="T39" s="67">
        <f t="shared" si="4"/>
        <v>0.75505144626386744</v>
      </c>
      <c r="U39" s="67">
        <f t="shared" si="4"/>
        <v>4.5537266779706744</v>
      </c>
      <c r="V39" s="67">
        <f t="shared" si="4"/>
        <v>0.19387189522004253</v>
      </c>
      <c r="W39" s="67">
        <f t="shared" si="4"/>
        <v>0.64398592836960866</v>
      </c>
      <c r="X39" s="67">
        <f t="shared" si="4"/>
        <v>1.9882361950512699</v>
      </c>
      <c r="AC39" t="s">
        <v>116</v>
      </c>
      <c r="AD39" s="51"/>
      <c r="AE39" s="51"/>
      <c r="AH39">
        <v>688</v>
      </c>
      <c r="AI39">
        <v>699</v>
      </c>
    </row>
    <row r="40" spans="1:35" x14ac:dyDescent="0.3">
      <c r="S40" t="s">
        <v>31</v>
      </c>
      <c r="T40" s="57">
        <f>I84</f>
        <v>99.613899613899619</v>
      </c>
      <c r="U40" s="57">
        <f>I85</f>
        <v>88.495575221238937</v>
      </c>
      <c r="V40" s="57">
        <f>I86</f>
        <v>95.899009624773328</v>
      </c>
      <c r="W40" s="57">
        <f>I87</f>
        <v>90.357698289269052</v>
      </c>
      <c r="X40" s="57">
        <f>I88</f>
        <v>87.708333333333343</v>
      </c>
      <c r="AC40" t="s">
        <v>117</v>
      </c>
      <c r="AD40" s="51"/>
      <c r="AE40" s="51"/>
      <c r="AH40">
        <v>717</v>
      </c>
      <c r="AI40">
        <v>728</v>
      </c>
    </row>
    <row r="41" spans="1:35" x14ac:dyDescent="0.3">
      <c r="A41" s="361" t="s">
        <v>437</v>
      </c>
      <c r="B41" s="361"/>
      <c r="C41" s="361"/>
      <c r="D41" s="361"/>
      <c r="E41" s="361"/>
      <c r="F41" s="361"/>
      <c r="G41" s="361"/>
      <c r="H41" s="361"/>
      <c r="I41" s="361"/>
      <c r="J41" s="361"/>
      <c r="K41" s="361"/>
      <c r="L41" s="361" t="s">
        <v>53</v>
      </c>
      <c r="M41" s="361"/>
      <c r="N41" s="361"/>
      <c r="O41" s="361"/>
      <c r="P41" s="361"/>
      <c r="S41" s="66" t="s">
        <v>39</v>
      </c>
      <c r="T41" s="67">
        <f>J84</f>
        <v>0.3861003861003835</v>
      </c>
      <c r="U41" s="67">
        <f>J85</f>
        <v>1.7355410189219826</v>
      </c>
      <c r="V41" s="67">
        <f>J86</f>
        <v>0.23423534990284428</v>
      </c>
      <c r="W41" s="67">
        <f>J87</f>
        <v>0.58213257160103737</v>
      </c>
      <c r="X41" s="67">
        <f>J88</f>
        <v>1.0602700962388467</v>
      </c>
      <c r="AC41" t="s">
        <v>118</v>
      </c>
      <c r="AD41" s="51"/>
      <c r="AE41" s="51"/>
      <c r="AH41">
        <v>746</v>
      </c>
      <c r="AI41">
        <v>757</v>
      </c>
    </row>
    <row r="42" spans="1:35" x14ac:dyDescent="0.3">
      <c r="A42" t="s">
        <v>320</v>
      </c>
      <c r="B42" t="s">
        <v>21</v>
      </c>
      <c r="I42" s="1" t="s">
        <v>58</v>
      </c>
      <c r="S42" s="66" t="s">
        <v>56</v>
      </c>
      <c r="T42" s="67">
        <f>N73*100</f>
        <v>99.613899613899619</v>
      </c>
      <c r="U42" s="67">
        <f>N74*100</f>
        <v>71.005917159763328</v>
      </c>
      <c r="V42" s="67">
        <f>N75*100</f>
        <v>97.070243558065656</v>
      </c>
      <c r="W42" s="67">
        <f>N76*100</f>
        <v>91.388124262681885</v>
      </c>
      <c r="X42" s="67">
        <f>N77*100</f>
        <v>84.879032258064512</v>
      </c>
      <c r="AC42" t="s">
        <v>119</v>
      </c>
      <c r="AD42" s="51"/>
      <c r="AE42" s="51"/>
      <c r="AH42">
        <v>775</v>
      </c>
      <c r="AI42">
        <v>786</v>
      </c>
    </row>
    <row r="43" spans="1:3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56</v>
      </c>
      <c r="R43" s="16" t="s">
        <v>66</v>
      </c>
      <c r="S43" t="s">
        <v>9</v>
      </c>
      <c r="T43" s="30">
        <f>N84</f>
        <v>2739.13</v>
      </c>
      <c r="U43" s="30">
        <f>N85</f>
        <v>7788.27</v>
      </c>
      <c r="V43" s="30">
        <f>N86</f>
        <v>113174.56</v>
      </c>
      <c r="W43" s="30">
        <f>N87</f>
        <v>47391.49</v>
      </c>
      <c r="X43" s="30">
        <f>N88</f>
        <v>18705.46</v>
      </c>
      <c r="Z43" t="s">
        <v>36</v>
      </c>
      <c r="AA43" s="1">
        <f>N89</f>
        <v>189798.90999999997</v>
      </c>
      <c r="AC43" t="s">
        <v>120</v>
      </c>
      <c r="AD43" s="51"/>
      <c r="AE43" s="51"/>
      <c r="AH43">
        <v>804</v>
      </c>
      <c r="AI43">
        <v>815</v>
      </c>
    </row>
    <row r="44" spans="1:35" ht="15.6" x14ac:dyDescent="0.35">
      <c r="A44" t="s">
        <v>3</v>
      </c>
      <c r="B44" s="13">
        <v>0</v>
      </c>
      <c r="C44" s="26">
        <v>256</v>
      </c>
      <c r="D44" s="3">
        <v>0</v>
      </c>
      <c r="E44" s="3">
        <v>0</v>
      </c>
      <c r="F44" s="3">
        <v>3</v>
      </c>
      <c r="G44" s="4">
        <v>0</v>
      </c>
      <c r="H44" s="1">
        <f>SUM(C44:G44)</f>
        <v>259</v>
      </c>
      <c r="I44" s="10">
        <f>C44/H44</f>
        <v>0.98841698841698844</v>
      </c>
      <c r="J44" s="11">
        <f>1-I44</f>
        <v>1.158301158301156E-2</v>
      </c>
      <c r="K44">
        <f>H44-C49</f>
        <v>-2</v>
      </c>
      <c r="N44" s="10">
        <f>2*(C50*I44)/(C50+I44)</f>
        <v>0.98461538461538456</v>
      </c>
      <c r="R44" s="16" t="s">
        <v>323</v>
      </c>
      <c r="S44" t="s">
        <v>68</v>
      </c>
      <c r="T44" s="57">
        <f>$AA43*T36/100</f>
        <v>2748.0390626608751</v>
      </c>
      <c r="U44" s="57">
        <f>$AA43*U36/100</f>
        <v>10197.111537306604</v>
      </c>
      <c r="V44" s="57">
        <f>$AA43*V36/100</f>
        <v>110904.68487454434</v>
      </c>
      <c r="W44" s="57">
        <f>$AA43*W36/100</f>
        <v>46182.235233445455</v>
      </c>
      <c r="X44" s="57">
        <f>$AA43*X36/100</f>
        <v>19766.839292042732</v>
      </c>
      <c r="Z44" t="s">
        <v>36</v>
      </c>
      <c r="AA44" s="25">
        <f>SUM(T44:X44)</f>
        <v>189798.91000000003</v>
      </c>
      <c r="AC44" t="s">
        <v>121</v>
      </c>
      <c r="AD44" s="51"/>
      <c r="AE44" s="51"/>
      <c r="AH44">
        <v>833</v>
      </c>
      <c r="AI44">
        <v>844</v>
      </c>
    </row>
    <row r="45" spans="1:35" x14ac:dyDescent="0.3">
      <c r="A45" t="s">
        <v>4</v>
      </c>
      <c r="B45" s="13">
        <v>1</v>
      </c>
      <c r="C45" s="5">
        <v>0</v>
      </c>
      <c r="D45" s="27">
        <v>298</v>
      </c>
      <c r="E45" s="1">
        <v>29</v>
      </c>
      <c r="F45" s="1">
        <v>0</v>
      </c>
      <c r="G45" s="6">
        <v>12</v>
      </c>
      <c r="H45" s="1">
        <f>SUM(C45:G45)</f>
        <v>339</v>
      </c>
      <c r="I45" s="10">
        <f>D45/H45</f>
        <v>0.87905604719764008</v>
      </c>
      <c r="J45" s="11">
        <f>1-I45</f>
        <v>0.12094395280235992</v>
      </c>
      <c r="K45">
        <f>H45-D49</f>
        <v>-165</v>
      </c>
      <c r="N45" s="10">
        <f>2*(D50*I45)/(D50+I45)</f>
        <v>0.70699881376037965</v>
      </c>
      <c r="R45" s="66"/>
      <c r="S45" s="66" t="s">
        <v>67</v>
      </c>
      <c r="T45" s="67">
        <f>$AA43*T37/100</f>
        <v>22.151288587097856</v>
      </c>
      <c r="U45" s="67">
        <f>$AA43*U37/100</f>
        <v>264.7756483939533</v>
      </c>
      <c r="V45" s="67">
        <f>$AA43*V37/100</f>
        <v>339.30498118871225</v>
      </c>
      <c r="W45" s="67">
        <f>$AA43*W37/100</f>
        <v>363.38769176801026</v>
      </c>
      <c r="X45" s="67">
        <f>$AA43*X37/100</f>
        <v>313.741731916025</v>
      </c>
      <c r="AA45" s="1"/>
      <c r="AC45" t="s">
        <v>122</v>
      </c>
      <c r="AD45" s="51"/>
      <c r="AE45" s="51"/>
      <c r="AH45">
        <v>862</v>
      </c>
      <c r="AI45">
        <v>873</v>
      </c>
    </row>
    <row r="46" spans="1:35" x14ac:dyDescent="0.3">
      <c r="A46" t="s">
        <v>5</v>
      </c>
      <c r="B46" s="13">
        <v>2</v>
      </c>
      <c r="C46" s="5">
        <v>0</v>
      </c>
      <c r="D46" s="1">
        <v>184</v>
      </c>
      <c r="E46" s="27">
        <v>6870</v>
      </c>
      <c r="F46" s="1">
        <v>90</v>
      </c>
      <c r="G46" s="6">
        <v>25</v>
      </c>
      <c r="H46" s="1">
        <f>SUM(C46:G46)</f>
        <v>7169</v>
      </c>
      <c r="I46" s="10">
        <f>E46/H46</f>
        <v>0.95829264890500765</v>
      </c>
      <c r="J46" s="11">
        <f>1-I46</f>
        <v>4.1707351094992351E-2</v>
      </c>
      <c r="K46">
        <f>H46-E49</f>
        <v>186</v>
      </c>
      <c r="N46" s="10">
        <f>2*(E50*I46)/(E50+I46)</f>
        <v>0.97088750706613913</v>
      </c>
      <c r="R46" t="s">
        <v>73</v>
      </c>
      <c r="S46" t="s">
        <v>28</v>
      </c>
      <c r="T46" s="57">
        <f t="shared" ref="T46:X49" si="5">C118</f>
        <v>1.3971934471053187</v>
      </c>
      <c r="U46" s="57">
        <f t="shared" si="5"/>
        <v>6.0674284850816402</v>
      </c>
      <c r="V46" s="57">
        <f t="shared" si="5"/>
        <v>57.940494006789713</v>
      </c>
      <c r="W46" s="57">
        <f t="shared" si="5"/>
        <v>24.202359715768292</v>
      </c>
      <c r="X46" s="57">
        <f t="shared" si="5"/>
        <v>10.392524345255024</v>
      </c>
      <c r="Y46" s="60"/>
      <c r="Z46" s="74"/>
      <c r="AA46" s="12"/>
      <c r="AC46" t="s">
        <v>135</v>
      </c>
      <c r="AD46" s="51"/>
      <c r="AE46" s="51"/>
      <c r="AH46">
        <v>891</v>
      </c>
      <c r="AI46">
        <v>902</v>
      </c>
    </row>
    <row r="47" spans="1:35" x14ac:dyDescent="0.3">
      <c r="A47" t="s">
        <v>6</v>
      </c>
      <c r="B47" s="13">
        <v>3</v>
      </c>
      <c r="C47" s="5">
        <v>3</v>
      </c>
      <c r="D47" s="1">
        <v>22</v>
      </c>
      <c r="E47" s="1">
        <v>74</v>
      </c>
      <c r="F47" s="27">
        <v>2326</v>
      </c>
      <c r="G47" s="6">
        <v>147</v>
      </c>
      <c r="H47" s="1">
        <f>SUM(C47:G47)</f>
        <v>2572</v>
      </c>
      <c r="I47" s="10">
        <f>F47/H47</f>
        <v>0.9043545878693624</v>
      </c>
      <c r="J47" s="11">
        <f>1-I47</f>
        <v>9.5645412130637597E-2</v>
      </c>
      <c r="K47">
        <f>H47-F49</f>
        <v>47</v>
      </c>
      <c r="N47" s="10">
        <f>2*(F50*I47)/(F50+I47)</f>
        <v>0.91269374141651949</v>
      </c>
      <c r="S47" s="66" t="s">
        <v>39</v>
      </c>
      <c r="T47" s="67">
        <f t="shared" si="5"/>
        <v>1.0141280075224489E-2</v>
      </c>
      <c r="U47" s="67">
        <f t="shared" si="5"/>
        <v>0.14743798481738268</v>
      </c>
      <c r="V47" s="67">
        <f t="shared" si="5"/>
        <v>0.17961096887154038</v>
      </c>
      <c r="W47" s="67">
        <f t="shared" si="5"/>
        <v>0.19212241698255261</v>
      </c>
      <c r="X47" s="67">
        <f t="shared" si="5"/>
        <v>0.16595397173906182</v>
      </c>
      <c r="AC47" t="s">
        <v>136</v>
      </c>
      <c r="AD47" s="51"/>
      <c r="AE47" s="51"/>
      <c r="AH47">
        <v>920</v>
      </c>
      <c r="AI47">
        <v>931</v>
      </c>
    </row>
    <row r="48" spans="1:35" x14ac:dyDescent="0.3">
      <c r="A48" t="s">
        <v>7</v>
      </c>
      <c r="B48" s="13">
        <v>4</v>
      </c>
      <c r="C48" s="7">
        <v>2</v>
      </c>
      <c r="D48" s="8">
        <v>0</v>
      </c>
      <c r="E48" s="8">
        <v>10</v>
      </c>
      <c r="F48" s="8">
        <v>106</v>
      </c>
      <c r="G48" s="28">
        <v>842</v>
      </c>
      <c r="H48" s="1">
        <f>SUM(C48:G48)</f>
        <v>960</v>
      </c>
      <c r="I48" s="10">
        <f>G48/H48</f>
        <v>0.87708333333333333</v>
      </c>
      <c r="J48" s="11">
        <f>1-I48</f>
        <v>0.12291666666666667</v>
      </c>
      <c r="K48">
        <f>H48-G49</f>
        <v>-66</v>
      </c>
      <c r="N48" s="10">
        <f>2*(G50*I48)/(G50+I48)</f>
        <v>0.84793554884189326</v>
      </c>
      <c r="S48" t="s">
        <v>30</v>
      </c>
      <c r="T48" s="57">
        <f t="shared" si="5"/>
        <v>99.273789456783206</v>
      </c>
      <c r="U48" s="57">
        <f t="shared" si="5"/>
        <v>67.208237504983543</v>
      </c>
      <c r="V48" s="57">
        <f t="shared" si="5"/>
        <v>98.157790499173515</v>
      </c>
      <c r="W48" s="57">
        <f t="shared" si="5"/>
        <v>92.46287650278741</v>
      </c>
      <c r="X48" s="57">
        <f t="shared" si="5"/>
        <v>82.402518603567188</v>
      </c>
      <c r="AC48" t="s">
        <v>137</v>
      </c>
      <c r="AD48" s="51"/>
      <c r="AE48" s="51"/>
      <c r="AH48">
        <v>949</v>
      </c>
      <c r="AI48">
        <v>960</v>
      </c>
    </row>
    <row r="49" spans="1:35" ht="15.6" x14ac:dyDescent="0.35">
      <c r="B49" s="1" t="s">
        <v>19</v>
      </c>
      <c r="C49" s="1">
        <f>SUM(C44:C48)</f>
        <v>261</v>
      </c>
      <c r="D49" s="1">
        <f>SUM(D44:D48)</f>
        <v>504</v>
      </c>
      <c r="E49" s="1">
        <f>SUM(E44:E48)</f>
        <v>6983</v>
      </c>
      <c r="F49" s="1">
        <f>SUM(F44:F48)</f>
        <v>2525</v>
      </c>
      <c r="G49" s="1">
        <f>SUM(G44:G48)</f>
        <v>1026</v>
      </c>
      <c r="H49" s="1">
        <f>SUM(H43:H48)</f>
        <v>11299</v>
      </c>
      <c r="I49" s="13" t="s">
        <v>12</v>
      </c>
      <c r="S49" s="66" t="s">
        <v>39</v>
      </c>
      <c r="T49" s="67">
        <f t="shared" si="5"/>
        <v>0.72093672568600686</v>
      </c>
      <c r="U49" s="67">
        <f t="shared" si="5"/>
        <v>4.185163461514521</v>
      </c>
      <c r="V49" s="67">
        <f t="shared" si="5"/>
        <v>0.18353447868827388</v>
      </c>
      <c r="W49" s="67">
        <f t="shared" si="5"/>
        <v>0.66019291805171587</v>
      </c>
      <c r="X49" s="67">
        <f t="shared" si="5"/>
        <v>2.0212995708026487</v>
      </c>
      <c r="AC49" t="s">
        <v>138</v>
      </c>
      <c r="AD49" s="51"/>
      <c r="AE49" s="51"/>
      <c r="AH49">
        <v>978</v>
      </c>
      <c r="AI49">
        <v>989</v>
      </c>
    </row>
    <row r="50" spans="1:35" x14ac:dyDescent="0.3">
      <c r="A50" s="1" t="s">
        <v>321</v>
      </c>
      <c r="B50" s="1" t="s">
        <v>2</v>
      </c>
      <c r="C50" s="10">
        <f>C44/C49</f>
        <v>0.98084291187739459</v>
      </c>
      <c r="D50" s="10">
        <f>D45/D49</f>
        <v>0.59126984126984128</v>
      </c>
      <c r="E50" s="10">
        <f>E46/E49</f>
        <v>0.98381784333381073</v>
      </c>
      <c r="F50" s="10">
        <f>F47/F49</f>
        <v>0.92118811881188123</v>
      </c>
      <c r="G50" s="10">
        <f>G48/G49</f>
        <v>0.82066276803118909</v>
      </c>
      <c r="H50" s="10"/>
      <c r="I50" s="14">
        <f>(C44+D45+E46+F47+G48)/H49</f>
        <v>0.93742809098150282</v>
      </c>
      <c r="S50" s="15" t="s">
        <v>31</v>
      </c>
      <c r="T50" s="71">
        <f>I113</f>
        <v>100</v>
      </c>
      <c r="U50" s="71">
        <f>I114</f>
        <v>90.26548672566372</v>
      </c>
      <c r="V50" s="71">
        <f>I115</f>
        <v>95.494490165992488</v>
      </c>
      <c r="W50" s="71">
        <f>I116</f>
        <v>90.241057542768274</v>
      </c>
      <c r="X50" s="71">
        <f>I117</f>
        <v>87.916666666666671</v>
      </c>
      <c r="AC50" t="s">
        <v>139</v>
      </c>
      <c r="AD50" s="51"/>
      <c r="AE50" s="51"/>
      <c r="AH50">
        <v>1007</v>
      </c>
      <c r="AI50">
        <v>1018</v>
      </c>
    </row>
    <row r="51" spans="1:35" x14ac:dyDescent="0.3">
      <c r="B51" s="1" t="s">
        <v>14</v>
      </c>
      <c r="C51" s="11">
        <f>1-C50</f>
        <v>1.9157088122605415E-2</v>
      </c>
      <c r="D51" s="11">
        <f>1-D50</f>
        <v>0.40873015873015872</v>
      </c>
      <c r="E51" s="11">
        <f>1-E50</f>
        <v>1.6182156666189274E-2</v>
      </c>
      <c r="F51" s="11">
        <f>1-F50</f>
        <v>7.8811881188118771E-2</v>
      </c>
      <c r="G51" s="11">
        <f>1-G50</f>
        <v>0.17933723196881091</v>
      </c>
      <c r="S51" s="75" t="s">
        <v>39</v>
      </c>
      <c r="T51" s="76">
        <f>J113</f>
        <v>0</v>
      </c>
      <c r="U51" s="76">
        <f>J114</f>
        <v>1.6123511616510564</v>
      </c>
      <c r="V51" s="76">
        <f>J115</f>
        <v>0.24499776913855784</v>
      </c>
      <c r="W51" s="76">
        <f>J116</f>
        <v>0.58526483177595334</v>
      </c>
      <c r="X51" s="76">
        <f>J117</f>
        <v>1.0524941274466006</v>
      </c>
      <c r="AC51" t="s">
        <v>140</v>
      </c>
      <c r="AD51" s="51"/>
      <c r="AE51" s="51"/>
      <c r="AH51">
        <v>1036</v>
      </c>
      <c r="AI51">
        <v>1047</v>
      </c>
    </row>
    <row r="52" spans="1:35" x14ac:dyDescent="0.3">
      <c r="C52" s="2"/>
      <c r="S52" s="66" t="s">
        <v>56</v>
      </c>
      <c r="T52" s="67">
        <f>N102*100</f>
        <v>99.807321772639696</v>
      </c>
      <c r="U52" s="67">
        <f>N103*100</f>
        <v>69.545454545454547</v>
      </c>
      <c r="V52" s="67">
        <f>N104*100</f>
        <v>96.989445349578517</v>
      </c>
      <c r="W52" s="67">
        <f>N105*100</f>
        <v>91.198428290766202</v>
      </c>
      <c r="X52" s="67">
        <f>N106*100</f>
        <v>84.738955823293182</v>
      </c>
      <c r="AC52" t="s">
        <v>141</v>
      </c>
      <c r="AD52" s="51"/>
      <c r="AE52" s="51"/>
      <c r="AH52">
        <v>1065</v>
      </c>
      <c r="AI52">
        <v>1076</v>
      </c>
    </row>
    <row r="53" spans="1:35" ht="15.6" x14ac:dyDescent="0.35">
      <c r="A53" t="s">
        <v>322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66</v>
      </c>
      <c r="S53" t="s">
        <v>9</v>
      </c>
      <c r="T53" s="30">
        <f>N113</f>
        <v>2632.6</v>
      </c>
      <c r="U53" s="30">
        <f>N114</f>
        <v>8574.31</v>
      </c>
      <c r="V53" s="30">
        <f>N115</f>
        <v>113037.46</v>
      </c>
      <c r="W53" s="30">
        <f>N116</f>
        <v>47066.8</v>
      </c>
      <c r="X53" s="30">
        <f>N117</f>
        <v>18487.75</v>
      </c>
      <c r="Z53" t="s">
        <v>36</v>
      </c>
      <c r="AA53" s="1">
        <f>N118</f>
        <v>189798.92</v>
      </c>
      <c r="AC53" t="s">
        <v>142</v>
      </c>
      <c r="AD53" s="51"/>
      <c r="AE53" s="51"/>
      <c r="AH53">
        <v>1094</v>
      </c>
      <c r="AI53">
        <v>1105</v>
      </c>
    </row>
    <row r="54" spans="1:35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323</v>
      </c>
      <c r="S54" t="s">
        <v>68</v>
      </c>
      <c r="T54" s="57">
        <f>$AA53*T46/100</f>
        <v>2651.8580729166661</v>
      </c>
      <c r="U54" s="57">
        <f>$AA53*U46/100</f>
        <v>11515.913736457314</v>
      </c>
      <c r="V54" s="57">
        <f>$AA53*V46/100</f>
        <v>109970.43186755161</v>
      </c>
      <c r="W54" s="57">
        <f>$AA53*W46/100</f>
        <v>45935.817355043291</v>
      </c>
      <c r="X54" s="57">
        <f>$AA53*X46/100</f>
        <v>19724.89896803111</v>
      </c>
      <c r="Z54" t="s">
        <v>36</v>
      </c>
      <c r="AA54" s="25">
        <f>SUM(T54:X54)</f>
        <v>189798.91999999998</v>
      </c>
      <c r="AC54" t="s">
        <v>143</v>
      </c>
      <c r="AD54" s="51"/>
      <c r="AE54" s="51"/>
      <c r="AH54">
        <v>1123</v>
      </c>
      <c r="AI54">
        <v>1134</v>
      </c>
    </row>
    <row r="55" spans="1:35" x14ac:dyDescent="0.3">
      <c r="A55" t="s">
        <v>3</v>
      </c>
      <c r="B55" s="13">
        <v>0</v>
      </c>
      <c r="C55" s="29">
        <f>(C44/$L55)*$O55</f>
        <v>1.4145431621990501</v>
      </c>
      <c r="D55" s="31">
        <f>(D44/$L55)*$O55</f>
        <v>0</v>
      </c>
      <c r="E55" s="31">
        <f>(E44/$L55)*$O55</f>
        <v>0</v>
      </c>
      <c r="F55" s="31">
        <f>(F44/$L55)*$O55</f>
        <v>1.6576677682020115E-2</v>
      </c>
      <c r="G55" s="32">
        <f>(G44/$L55)*$O55</f>
        <v>0</v>
      </c>
      <c r="H55" s="17">
        <f>SUM(C55:G55)</f>
        <v>1.4311198398810703</v>
      </c>
      <c r="I55" s="17">
        <f>C55/H55*100</f>
        <v>98.841698841698829</v>
      </c>
      <c r="J55" s="17">
        <f>SQRT(I55*(100-I55)/(L55-1))</f>
        <v>0.66614840588997071</v>
      </c>
      <c r="K55" s="18">
        <f>100-I55</f>
        <v>1.1583011583011711</v>
      </c>
      <c r="L55" s="1">
        <f>H44</f>
        <v>259</v>
      </c>
      <c r="M55">
        <v>0</v>
      </c>
      <c r="N55" s="1">
        <v>2716.25</v>
      </c>
      <c r="O55" s="17">
        <f>N55/N60*100</f>
        <v>1.4311198398810701</v>
      </c>
      <c r="P55" s="52">
        <f>((O55*O55*(I55/100)*(K55/100))/(L55-1))</f>
        <v>9.0885372353020956E-5</v>
      </c>
      <c r="R55" s="66"/>
      <c r="S55" s="66" t="s">
        <v>67</v>
      </c>
      <c r="T55" s="67">
        <f>$AA53*T47/100</f>
        <v>19.248040056951268</v>
      </c>
      <c r="U55" s="67">
        <f>$AA53*U47/100</f>
        <v>279.83570285315631</v>
      </c>
      <c r="V55" s="67">
        <f>$AA53*V47/100</f>
        <v>340.89967911971985</v>
      </c>
      <c r="W55" s="67">
        <f>$AA53*W47/100</f>
        <v>364.6462725107815</v>
      </c>
      <c r="X55" s="67">
        <f>$AA53*X47/100</f>
        <v>314.97884605784458</v>
      </c>
      <c r="AA55" s="1"/>
      <c r="AC55" t="s">
        <v>144</v>
      </c>
      <c r="AD55" s="51"/>
      <c r="AE55" s="51"/>
      <c r="AH55">
        <v>1152</v>
      </c>
      <c r="AI55">
        <v>1163</v>
      </c>
    </row>
    <row r="56" spans="1:35" x14ac:dyDescent="0.3">
      <c r="A56" t="s">
        <v>4</v>
      </c>
      <c r="B56" s="13">
        <v>1</v>
      </c>
      <c r="C56" s="33">
        <f t="shared" ref="C56:G59" si="6">(C45/$L56)*$O56</f>
        <v>0</v>
      </c>
      <c r="D56" s="34">
        <f t="shared" si="6"/>
        <v>3.6422167020770035</v>
      </c>
      <c r="E56" s="19">
        <f t="shared" si="6"/>
        <v>0.35444390724910435</v>
      </c>
      <c r="F56" s="18">
        <f t="shared" si="6"/>
        <v>0</v>
      </c>
      <c r="G56" s="20">
        <f t="shared" si="6"/>
        <v>0.14666644437893975</v>
      </c>
      <c r="H56" s="17">
        <f>SUM(C56:G56)</f>
        <v>4.1433270537050477</v>
      </c>
      <c r="I56" s="17">
        <f>D56/H56*100</f>
        <v>87.905604719764014</v>
      </c>
      <c r="J56" s="17">
        <f>SQRT(I56*(100-I56)/(L56-1))</f>
        <v>1.7735441824070006</v>
      </c>
      <c r="K56" s="18">
        <f>100-I56</f>
        <v>12.094395280235986</v>
      </c>
      <c r="L56" s="1">
        <f>H45</f>
        <v>339</v>
      </c>
      <c r="M56">
        <v>1</v>
      </c>
      <c r="N56" s="1">
        <v>7863.99</v>
      </c>
      <c r="O56" s="17">
        <f>N56/N60*100</f>
        <v>4.1433270537050477</v>
      </c>
      <c r="P56" s="52">
        <f>((O56*O56*(I56/100)*(K56/100))/(L56-1))</f>
        <v>5.3998594446252731E-3</v>
      </c>
      <c r="R56" t="s">
        <v>76</v>
      </c>
      <c r="S56" t="s">
        <v>28</v>
      </c>
      <c r="T56" s="57">
        <f t="shared" ref="T56:X59" si="7">C147</f>
        <v>1.3905208721947815</v>
      </c>
      <c r="U56" s="57">
        <f t="shared" si="7"/>
        <v>5.7350843723320972</v>
      </c>
      <c r="V56" s="57">
        <f t="shared" si="7"/>
        <v>58.061319923970991</v>
      </c>
      <c r="W56" s="57">
        <f t="shared" si="7"/>
        <v>24.422171920701004</v>
      </c>
      <c r="X56" s="57">
        <f t="shared" si="7"/>
        <v>10.390902910801124</v>
      </c>
      <c r="Y56" s="13"/>
      <c r="Z56" s="74"/>
      <c r="AA56" s="12"/>
      <c r="AC56" t="s">
        <v>145</v>
      </c>
      <c r="AD56" s="51"/>
      <c r="AE56" s="51"/>
      <c r="AH56">
        <v>1181</v>
      </c>
      <c r="AI56">
        <v>1192</v>
      </c>
    </row>
    <row r="57" spans="1:35" x14ac:dyDescent="0.3">
      <c r="A57" t="s">
        <v>5</v>
      </c>
      <c r="B57" s="13">
        <v>2</v>
      </c>
      <c r="C57" s="33">
        <f t="shared" si="6"/>
        <v>0</v>
      </c>
      <c r="D57" s="19">
        <f t="shared" si="6"/>
        <v>1.5337403939421259</v>
      </c>
      <c r="E57" s="34">
        <f t="shared" si="6"/>
        <v>57.265198404252203</v>
      </c>
      <c r="F57" s="19">
        <f t="shared" si="6"/>
        <v>0.75019910573256154</v>
      </c>
      <c r="G57" s="20">
        <f t="shared" si="6"/>
        <v>0.2083886404812671</v>
      </c>
      <c r="H57" s="17">
        <f>SUM(C57:G57)</f>
        <v>59.757526544408158</v>
      </c>
      <c r="I57" s="17">
        <f>E57/H57*100</f>
        <v>95.829264890500767</v>
      </c>
      <c r="J57" s="17">
        <f>SQRT(I57*(100-I57)/(L57-1))</f>
        <v>0.23613283647459815</v>
      </c>
      <c r="K57" s="18">
        <f>100-I57</f>
        <v>4.1707351094992333</v>
      </c>
      <c r="L57" s="1">
        <f>H46</f>
        <v>7169</v>
      </c>
      <c r="M57">
        <v>2</v>
      </c>
      <c r="N57" s="1">
        <v>113419.14</v>
      </c>
      <c r="O57" s="17">
        <f>N57/N60*100</f>
        <v>59.757526544408158</v>
      </c>
      <c r="P57" s="52">
        <f>((O57*O57*(I57/100)*(K57/100))/(L57-1))</f>
        <v>1.9911225646558544E-2</v>
      </c>
      <c r="S57" s="66" t="s">
        <v>39</v>
      </c>
      <c r="T57" s="67">
        <f t="shared" si="7"/>
        <v>1.9256314911610728E-2</v>
      </c>
      <c r="U57" s="67">
        <f t="shared" si="7"/>
        <v>0.14348576774278785</v>
      </c>
      <c r="V57" s="67">
        <f t="shared" si="7"/>
        <v>0.1759082816525451</v>
      </c>
      <c r="W57" s="67">
        <f t="shared" si="7"/>
        <v>0.1909871222981846</v>
      </c>
      <c r="X57" s="67">
        <f t="shared" si="7"/>
        <v>0.16374647576650023</v>
      </c>
      <c r="AC57" t="s">
        <v>146</v>
      </c>
      <c r="AD57" s="51"/>
      <c r="AE57" s="51"/>
      <c r="AH57">
        <v>1210</v>
      </c>
      <c r="AI57">
        <v>1221</v>
      </c>
    </row>
    <row r="58" spans="1:35" x14ac:dyDescent="0.3">
      <c r="A58" t="s">
        <v>6</v>
      </c>
      <c r="B58" s="13">
        <v>3</v>
      </c>
      <c r="C58" s="33">
        <f t="shared" si="6"/>
        <v>2.9085715570981011E-2</v>
      </c>
      <c r="D58" s="19">
        <f t="shared" si="6"/>
        <v>0.21329524752052736</v>
      </c>
      <c r="E58" s="19">
        <f t="shared" si="6"/>
        <v>0.71744765075086481</v>
      </c>
      <c r="F58" s="34">
        <f t="shared" si="6"/>
        <v>22.551124806033943</v>
      </c>
      <c r="G58" s="20">
        <f t="shared" si="6"/>
        <v>1.4252000629780692</v>
      </c>
      <c r="H58" s="17">
        <f>SUM(C58:G58)</f>
        <v>24.936153482854387</v>
      </c>
      <c r="I58" s="17">
        <f>F58/H58*100</f>
        <v>90.435458786936223</v>
      </c>
      <c r="J58" s="17">
        <f>SQRT(I58*(100-I58)/(L58-1))</f>
        <v>0.58002993280034498</v>
      </c>
      <c r="K58" s="18">
        <f>100-I58</f>
        <v>9.5645412130637766</v>
      </c>
      <c r="L58" s="1">
        <f>H47</f>
        <v>2572</v>
      </c>
      <c r="M58">
        <v>3</v>
      </c>
      <c r="N58" s="1">
        <v>47328.55</v>
      </c>
      <c r="O58" s="17">
        <f>N58/N60*100</f>
        <v>24.936153482854383</v>
      </c>
      <c r="P58" s="52">
        <f>((O58*O58*(I58/100)*(K58/100))/(L58-1))</f>
        <v>2.0919906400990996E-2</v>
      </c>
      <c r="S58" t="s">
        <v>30</v>
      </c>
      <c r="T58" s="57">
        <f t="shared" si="7"/>
        <v>98.566014855300281</v>
      </c>
      <c r="U58" s="57">
        <f t="shared" si="7"/>
        <v>68.508064779798843</v>
      </c>
      <c r="V58" s="57">
        <f t="shared" si="7"/>
        <v>98.085152436975662</v>
      </c>
      <c r="W58" s="57">
        <f t="shared" si="7"/>
        <v>92.525535972488271</v>
      </c>
      <c r="X58" s="57">
        <f t="shared" si="7"/>
        <v>83.385137295968789</v>
      </c>
      <c r="AC58" t="s">
        <v>147</v>
      </c>
      <c r="AD58" s="51"/>
      <c r="AE58" s="51"/>
      <c r="AH58">
        <v>1239</v>
      </c>
      <c r="AI58">
        <v>1250</v>
      </c>
    </row>
    <row r="59" spans="1:35" x14ac:dyDescent="0.3">
      <c r="A59" t="s">
        <v>7</v>
      </c>
      <c r="B59" s="13">
        <v>4</v>
      </c>
      <c r="C59" s="35">
        <f t="shared" si="6"/>
        <v>2.0274735581565305E-2</v>
      </c>
      <c r="D59" s="36">
        <f t="shared" si="6"/>
        <v>0</v>
      </c>
      <c r="E59" s="21">
        <f t="shared" si="6"/>
        <v>0.10137367790782653</v>
      </c>
      <c r="F59" s="21">
        <f t="shared" si="6"/>
        <v>1.0745609858229612</v>
      </c>
      <c r="G59" s="37">
        <f t="shared" si="6"/>
        <v>8.5356636798389935</v>
      </c>
      <c r="H59" s="17">
        <f>SUM(C59:G59)</f>
        <v>9.731873079151347</v>
      </c>
      <c r="I59" s="17">
        <f>G59/H59*100</f>
        <v>87.708333333333329</v>
      </c>
      <c r="J59" s="17">
        <f>SQRT(I59*(100-I59)/(L59-1))</f>
        <v>1.0602700962388472</v>
      </c>
      <c r="K59" s="18">
        <f>100-I59</f>
        <v>12.291666666666671</v>
      </c>
      <c r="L59" s="1">
        <f>H48</f>
        <v>960</v>
      </c>
      <c r="M59">
        <v>4</v>
      </c>
      <c r="N59" s="1">
        <v>18470.990000000002</v>
      </c>
      <c r="O59" s="17">
        <f>N59/N60*100</f>
        <v>9.731873079151347</v>
      </c>
      <c r="P59" s="52">
        <f>((O59*O59*(I59/100)*(K59/100))/(L59-1))</f>
        <v>1.0646966760367546E-2</v>
      </c>
      <c r="S59" s="66" t="s">
        <v>39</v>
      </c>
      <c r="T59" s="67">
        <f t="shared" si="7"/>
        <v>1.6840338267486183</v>
      </c>
      <c r="U59" s="67">
        <f t="shared" si="7"/>
        <v>4.3604875588329364</v>
      </c>
      <c r="V59" s="67">
        <f t="shared" si="7"/>
        <v>0.18622234697429282</v>
      </c>
      <c r="W59" s="67">
        <f t="shared" si="7"/>
        <v>0.64882276343132306</v>
      </c>
      <c r="X59" s="67">
        <f t="shared" si="7"/>
        <v>1.9354284265777071</v>
      </c>
      <c r="AC59" t="s">
        <v>148</v>
      </c>
      <c r="AD59" s="51"/>
      <c r="AE59" s="51"/>
      <c r="AH59">
        <v>1268</v>
      </c>
      <c r="AI59">
        <v>1279</v>
      </c>
    </row>
    <row r="60" spans="1:35" x14ac:dyDescent="0.3">
      <c r="B60" t="s">
        <v>28</v>
      </c>
      <c r="C60" s="17">
        <f>SUM(C55:C59)</f>
        <v>1.4639036133515964</v>
      </c>
      <c r="D60" s="17">
        <f>SUM(D55:D59)</f>
        <v>5.3892523435396562</v>
      </c>
      <c r="E60" s="17">
        <f>SUM(E55:E59)</f>
        <v>58.438463640160002</v>
      </c>
      <c r="F60" s="17">
        <f>SUM(F55:F59)</f>
        <v>24.392461575271486</v>
      </c>
      <c r="G60" s="17">
        <f>SUM(G55:G59)</f>
        <v>10.315918827677269</v>
      </c>
      <c r="H60" s="1">
        <f>SUM(H54:H59)</f>
        <v>100</v>
      </c>
      <c r="I60" s="13" t="s">
        <v>24</v>
      </c>
      <c r="J60" s="12" t="s">
        <v>29</v>
      </c>
      <c r="N60" s="1">
        <f>SUM(N55:N59)</f>
        <v>189798.91999999998</v>
      </c>
      <c r="O60" s="17">
        <f>SUM(O55:O59)</f>
        <v>100</v>
      </c>
      <c r="S60" s="15" t="s">
        <v>31</v>
      </c>
      <c r="T60" s="71">
        <f>I142</f>
        <v>97.683397683397686</v>
      </c>
      <c r="U60" s="71">
        <f>I143</f>
        <v>89.08554572271386</v>
      </c>
      <c r="V60" s="71">
        <f>I144</f>
        <v>95.857162784209777</v>
      </c>
      <c r="W60" s="71">
        <f>I145</f>
        <v>90.590979782270622</v>
      </c>
      <c r="X60" s="71">
        <f>I146</f>
        <v>88.125000000000014</v>
      </c>
      <c r="AC60" t="s">
        <v>149</v>
      </c>
      <c r="AD60" s="51"/>
      <c r="AE60" s="51"/>
      <c r="AH60">
        <v>1297</v>
      </c>
      <c r="AI60">
        <v>1308</v>
      </c>
    </row>
    <row r="61" spans="1:35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2.4027125375986946E-2</v>
      </c>
      <c r="D61" s="18">
        <f>SQRT(SUM((O55*O55*(D55/O55)*(1-D55/O55))/L55,(O56*O56*(D56/O56)*(1-D56/O56))/L56,(O57*O57*(D57/O57)*(1-D57/O57))/L57,(O58*O58*(D58/O58)*(1-D58/O58))/L58,(O59*O59*(D59/O59)*(1-D59/O59))/L59))</f>
        <v>0.14103412378748731</v>
      </c>
      <c r="E61" s="18">
        <f>SQRT(SUM((O55*O55*(E55/O55)*(1-E55/O55))/L55,(O56*O56*(E56/O56)*(1-E56/O56))/L56,(O57*O57*(E57/O57)*(1-E57/O57))/L57,(O58*O58*(E58/O58)*(1-E58/O58))/L58,(O59*O59*(E59/O59)*(1-E59/O59))/L59))</f>
        <v>0.1778836621992716</v>
      </c>
      <c r="F61" s="18">
        <f>SQRT(SUM((O55*O55*(F55/O55)*(1-F55/O55))/L55,(O56*O56*(F56/O56)*(1-F56/O56))/L56,(O57*O57*(F57/O57)*(1-F57/O57))/L57,(O58*O58*(F58/O58)*(1-F58/O58))/L58,(O59*O59*(F59/O59)*(1-F59/O59))/L59))</f>
        <v>0.1920092404658218</v>
      </c>
      <c r="G61" s="18">
        <f>SQRT(SUM((O55*O55*(G55/O55)*(1-G55/O55))/L55,(O56*O56*(G56/O56)*(1-G56/O56))/L56,(O57*O57*(G57/O57)*(1-G57/O57))/L57,(O58*O58*(G58/O58)*(1-G58/O58))/L58,(O59*O59*(G59/O59)*(1-G59/O59))/L59))</f>
        <v>0.16469336747118196</v>
      </c>
      <c r="H61" s="1"/>
      <c r="I61" s="14">
        <f>(C55+D56+E57+F58+G59)/H60</f>
        <v>0.93408746754401195</v>
      </c>
      <c r="J61" s="53">
        <f>SQRT(SUM(P55:P59))/100</f>
        <v>2.3868146895998314E-3</v>
      </c>
      <c r="M61" s="1"/>
      <c r="N61" s="9"/>
      <c r="S61" s="75" t="s">
        <v>39</v>
      </c>
      <c r="T61" s="76">
        <f>J142</f>
        <v>0.93653986569014525</v>
      </c>
      <c r="U61" s="76">
        <f>J143</f>
        <v>1.6960798131040489</v>
      </c>
      <c r="V61" s="76">
        <f>J144</f>
        <v>0.23537602342356484</v>
      </c>
      <c r="W61" s="76">
        <f>J145</f>
        <v>0.57578936746744791</v>
      </c>
      <c r="X61" s="76">
        <f>J146</f>
        <v>1.0446169551078768</v>
      </c>
      <c r="AC61" t="s">
        <v>150</v>
      </c>
      <c r="AD61" s="51"/>
      <c r="AE61" s="51"/>
      <c r="AH61">
        <v>1326</v>
      </c>
      <c r="AI61">
        <v>1337</v>
      </c>
    </row>
    <row r="62" spans="1:35" x14ac:dyDescent="0.3">
      <c r="B62" s="1" t="s">
        <v>30</v>
      </c>
      <c r="C62" s="17">
        <f>C55/C60*100</f>
        <v>96.628162489500525</v>
      </c>
      <c r="D62" s="17">
        <f>D56/D60*100</f>
        <v>67.582968283960497</v>
      </c>
      <c r="E62" s="17">
        <f>E57/E60*100</f>
        <v>97.992306500163522</v>
      </c>
      <c r="F62" s="17">
        <f>F58/F60*100</f>
        <v>92.451205617131123</v>
      </c>
      <c r="G62" s="17">
        <f>G59/G60*100</f>
        <v>82.74264098451502</v>
      </c>
      <c r="H62" s="1"/>
      <c r="S62" s="66" t="s">
        <v>56</v>
      </c>
      <c r="T62" s="67">
        <f>N131*100</f>
        <v>98.443579766536971</v>
      </c>
      <c r="U62" s="67">
        <f>N132*100</f>
        <v>70.725995316159256</v>
      </c>
      <c r="V62" s="67">
        <f>N133*100</f>
        <v>97.151339506609176</v>
      </c>
      <c r="W62" s="67">
        <f>N134*100</f>
        <v>91.354636345814541</v>
      </c>
      <c r="X62" s="67">
        <f>N135*100</f>
        <v>85.368314833501501</v>
      </c>
      <c r="AC62" t="s">
        <v>151</v>
      </c>
      <c r="AD62" s="51"/>
      <c r="AE62" s="51"/>
      <c r="AH62">
        <v>1355</v>
      </c>
      <c r="AI62">
        <v>1366</v>
      </c>
    </row>
    <row r="63" spans="1:35" x14ac:dyDescent="0.3">
      <c r="B63" s="16" t="s">
        <v>39</v>
      </c>
      <c r="C63" s="18">
        <f>SQRT((C66+C67)/(C60*C60))</f>
        <v>2.63513894415332</v>
      </c>
      <c r="D63" s="18">
        <f>SQRT((D66+D67)/(D60*D60))</f>
        <v>4.6711185423827928</v>
      </c>
      <c r="E63" s="18">
        <f>SQRT((E66+E67)/(E60*E60))</f>
        <v>0.18811619451559236</v>
      </c>
      <c r="F63" s="18">
        <f>SQRT((F66+F67)/(F60*F60))</f>
        <v>0.65553662212254316</v>
      </c>
      <c r="G63" s="18">
        <f>SQRT((G66+G67)/(G60*G60))</f>
        <v>2.0102294847713038</v>
      </c>
      <c r="H63" s="1"/>
      <c r="R63" s="16" t="s">
        <v>66</v>
      </c>
      <c r="S63" t="s">
        <v>9</v>
      </c>
      <c r="T63" s="30">
        <f>N142</f>
        <v>2663.04</v>
      </c>
      <c r="U63" s="30">
        <f>N143</f>
        <v>8370.82</v>
      </c>
      <c r="V63" s="30">
        <f>N144</f>
        <v>112761.11</v>
      </c>
      <c r="W63" s="30">
        <f>N145</f>
        <v>47342.879999999997</v>
      </c>
      <c r="X63" s="30">
        <f>N146</f>
        <v>18661.07</v>
      </c>
      <c r="Z63" t="s">
        <v>36</v>
      </c>
      <c r="AA63" s="1">
        <f>N147</f>
        <v>189798.92</v>
      </c>
      <c r="AC63" t="s">
        <v>152</v>
      </c>
      <c r="AD63" s="51"/>
      <c r="AE63" s="51"/>
      <c r="AH63">
        <v>1384</v>
      </c>
      <c r="AI63">
        <v>1395</v>
      </c>
    </row>
    <row r="64" spans="1:35" ht="15.6" x14ac:dyDescent="0.35">
      <c r="B64" s="1" t="s">
        <v>37</v>
      </c>
      <c r="C64" s="18">
        <f>100-C62</f>
        <v>3.3718375104994749</v>
      </c>
      <c r="D64" s="18">
        <f>100-D62</f>
        <v>32.417031716039503</v>
      </c>
      <c r="E64" s="18">
        <f>100-E62</f>
        <v>2.0076934998364777</v>
      </c>
      <c r="F64" s="18">
        <f>100-F62</f>
        <v>7.5487943828688771</v>
      </c>
      <c r="G64" s="18">
        <f>100-G62</f>
        <v>17.25735901548498</v>
      </c>
      <c r="R64" s="16" t="s">
        <v>323</v>
      </c>
      <c r="S64" t="s">
        <v>68</v>
      </c>
      <c r="T64" s="57">
        <f>$AA63*T56/100</f>
        <v>2639.1935978002757</v>
      </c>
      <c r="U64" s="57">
        <f>$AA63*U56/100</f>
        <v>10885.128199775099</v>
      </c>
      <c r="V64" s="57">
        <f>$AA63*V56/100</f>
        <v>110199.75815344177</v>
      </c>
      <c r="W64" s="57">
        <f>$AA63*W56/100</f>
        <v>46353.01854603376</v>
      </c>
      <c r="X64" s="57">
        <f>$AA63*X56/100</f>
        <v>19721.821502949097</v>
      </c>
      <c r="Z64" t="s">
        <v>36</v>
      </c>
      <c r="AA64" s="25">
        <f>SUM(T64:X64)</f>
        <v>189798.91999999998</v>
      </c>
      <c r="AC64" t="s">
        <v>153</v>
      </c>
      <c r="AD64" s="51"/>
      <c r="AE64" s="51"/>
      <c r="AH64">
        <v>1413</v>
      </c>
      <c r="AI64">
        <v>1424</v>
      </c>
    </row>
    <row r="65" spans="1:51" ht="15.6" x14ac:dyDescent="0.35">
      <c r="B65" s="1" t="s">
        <v>25</v>
      </c>
      <c r="C65" s="1">
        <f>C49</f>
        <v>261</v>
      </c>
      <c r="D65" s="1">
        <f>D49</f>
        <v>504</v>
      </c>
      <c r="E65" s="1">
        <f>E49</f>
        <v>6983</v>
      </c>
      <c r="F65" s="1">
        <f>F49</f>
        <v>2525</v>
      </c>
      <c r="G65" s="1">
        <f>G49</f>
        <v>1026</v>
      </c>
      <c r="R65" s="66"/>
      <c r="S65" s="66" t="s">
        <v>67</v>
      </c>
      <c r="T65" s="67">
        <f>$AA63*T57/100</f>
        <v>36.54827773403612</v>
      </c>
      <c r="U65" s="67">
        <f>$AA63*U57/100</f>
        <v>272.33443752951973</v>
      </c>
      <c r="V65" s="67">
        <f>$AA63*V57/100</f>
        <v>333.87201876708883</v>
      </c>
      <c r="W65" s="67">
        <f>$AA63*W57/100</f>
        <v>362.49149546103354</v>
      </c>
      <c r="X65" s="67">
        <f>$AA63*X57/100</f>
        <v>310.7890425428792</v>
      </c>
      <c r="AA65" s="1"/>
      <c r="AC65" t="s">
        <v>154</v>
      </c>
      <c r="AD65" s="51"/>
      <c r="AE65" s="51"/>
      <c r="AH65">
        <v>1442</v>
      </c>
      <c r="AI65">
        <v>1453</v>
      </c>
    </row>
    <row r="66" spans="1:51" x14ac:dyDescent="0.3">
      <c r="B66" s="1" t="s">
        <v>34</v>
      </c>
      <c r="C66" s="18">
        <f>(O55*O55*(100-C62)*(100-C62)*(I55)*(100-I55))/(L55-1)</f>
        <v>10.333019911923548</v>
      </c>
      <c r="D66" s="18">
        <f>(O56*O56*(100-D62)*(100-D62)*(I56)*(100-I56))/((L56-1)*100)</f>
        <v>567.45175999294224</v>
      </c>
      <c r="E66" s="18">
        <f>(O57*O57*(100-E62)*(100-E62)*(I57)*(100-I57))/((L57-1)*100)</f>
        <v>8.025882917550371</v>
      </c>
      <c r="F66" s="18">
        <f>(O58*O58*(100-F62)*(100-F62)*(I58)*(100-I58))/((L58-1)*100)</f>
        <v>119.21061519270067</v>
      </c>
      <c r="G66" s="18">
        <f>(O59*O59*(100-G62)*(100-G62)*(I59)*(100-I59))/((L59-1)*100)</f>
        <v>317.0841739386899</v>
      </c>
      <c r="R66" t="s">
        <v>98</v>
      </c>
      <c r="S66" t="s">
        <v>28</v>
      </c>
      <c r="T66" s="57">
        <f>C176</f>
        <v>1.3446870958055503</v>
      </c>
      <c r="U66" s="57">
        <f t="shared" ref="U66:X69" si="8">D176</f>
        <v>5.7694754991771946</v>
      </c>
      <c r="V66" s="57">
        <f t="shared" si="8"/>
        <v>57.973368083399365</v>
      </c>
      <c r="W66" s="57">
        <f t="shared" si="8"/>
        <v>24.292988081721717</v>
      </c>
      <c r="X66" s="57">
        <f t="shared" si="8"/>
        <v>10.619481239896162</v>
      </c>
      <c r="Y66" s="13"/>
      <c r="Z66" s="74"/>
      <c r="AA66" s="12"/>
      <c r="AC66" t="s">
        <v>163</v>
      </c>
      <c r="AD66" s="51"/>
      <c r="AE66" s="51"/>
      <c r="AH66" s="78"/>
    </row>
    <row r="67" spans="1:51" x14ac:dyDescent="0.3">
      <c r="B67" s="1" t="s">
        <v>35</v>
      </c>
      <c r="C67" s="18">
        <f>C62*C62*(SUM((H56*C56*(1-C45/H45))/(H45-1),(H57*C57*(1-C46/H46))/(H46-1), (H58*C58*(1-C47/H47))/(H47-1),(H59*C59*(1-C48/H48))/(H48-1)))</f>
        <v>4.547976237030773</v>
      </c>
      <c r="D67" s="18">
        <f>D62*D62*(SUM((H55*D55*(1-D44/H44))/(H44-1),(H57*D57*(1-D46/H46))/(H46-1), (H58*D58*(1-D47/H47))/(H47-1),(H59*D59*(1-D48/H48))/(H48-1)))</f>
        <v>66.270286728091321</v>
      </c>
      <c r="E67" s="18">
        <f>E62*E62*(SUM((H55*E55*(1-E44/H44))/(H44-1),(H56*E56*(1-E45/H45))/(H45-1), (H58*E58*(1-E47/H47))/(H47-1),(H59*E59*(1-E48/H48))/(H48-1)))</f>
        <v>112.8250336851017</v>
      </c>
      <c r="F67" s="18">
        <f>F62*F62*(SUM((H55*F55*(1-F44/H44))/(H44-1),(H56*F56*(1-F45/H45))/(H45-1), (H57*F57*(1-F46/H46))/(H46-1),(H59*F59*(1-F48/H48))/(H48-1)))</f>
        <v>136.47434151487323</v>
      </c>
      <c r="G67" s="18">
        <f>G62*G62*(SUM((H55*G55*(1-G44/H44))/(H44-1),(H56*G56*(1-G45/H45))/(H45-1), (H57*G57*(1-G46/H46))/(H46-1),(H58*G58*(1-G47/H47))/(H47-1)))</f>
        <v>112.95409960603401</v>
      </c>
      <c r="S67" s="66" t="s">
        <v>39</v>
      </c>
      <c r="T67" s="67">
        <f>C177</f>
        <v>1.2211305914955808E-2</v>
      </c>
      <c r="U67" s="67">
        <f t="shared" si="8"/>
        <v>0.14288228814568363</v>
      </c>
      <c r="V67" s="67">
        <f t="shared" si="8"/>
        <v>0.18222117353005551</v>
      </c>
      <c r="W67" s="67">
        <f t="shared" si="8"/>
        <v>0.19634344709443635</v>
      </c>
      <c r="X67" s="67">
        <f t="shared" si="8"/>
        <v>0.16753779515479472</v>
      </c>
      <c r="AC67" t="s">
        <v>164</v>
      </c>
      <c r="AD67" s="51"/>
      <c r="AE67" s="51"/>
      <c r="AI67" s="78"/>
    </row>
    <row r="68" spans="1:51" x14ac:dyDescent="0.3">
      <c r="S68" t="s">
        <v>30</v>
      </c>
      <c r="T68" s="57">
        <f>C178</f>
        <v>99.272837578236278</v>
      </c>
      <c r="U68" s="57">
        <f t="shared" si="8"/>
        <v>68.620667868202219</v>
      </c>
      <c r="V68" s="57">
        <f t="shared" si="8"/>
        <v>97.759286079621859</v>
      </c>
      <c r="W68" s="57">
        <f t="shared" si="8"/>
        <v>92.696997089482693</v>
      </c>
      <c r="X68" s="57">
        <f t="shared" si="8"/>
        <v>82.236017777101026</v>
      </c>
      <c r="AC68" t="s">
        <v>165</v>
      </c>
      <c r="AD68" s="51"/>
      <c r="AE68" s="51"/>
      <c r="AH68" s="2"/>
      <c r="AI68" s="2"/>
    </row>
    <row r="69" spans="1:51" x14ac:dyDescent="0.3">
      <c r="S69" s="66" t="s">
        <v>39</v>
      </c>
      <c r="T69" s="67">
        <f>C179</f>
        <v>0.8235802870910337</v>
      </c>
      <c r="U69" s="67">
        <f t="shared" si="8"/>
        <v>4.2906264022027338</v>
      </c>
      <c r="V69" s="67">
        <f t="shared" si="8"/>
        <v>0.20160401430241445</v>
      </c>
      <c r="W69" s="67">
        <f t="shared" si="8"/>
        <v>0.65905690293680663</v>
      </c>
      <c r="X69" s="67">
        <f t="shared" si="8"/>
        <v>1.9925986879600479</v>
      </c>
      <c r="AC69" t="s">
        <v>166</v>
      </c>
      <c r="AD69" s="51"/>
      <c r="AE69" s="51"/>
    </row>
    <row r="70" spans="1:51" x14ac:dyDescent="0.3">
      <c r="A70" s="361" t="s">
        <v>437</v>
      </c>
      <c r="B70" s="361"/>
      <c r="C70" s="361"/>
      <c r="D70" s="361"/>
      <c r="E70" s="361"/>
      <c r="F70" s="361"/>
      <c r="G70" s="361"/>
      <c r="H70" s="361"/>
      <c r="I70" s="361"/>
      <c r="J70" s="361"/>
      <c r="K70" s="361"/>
      <c r="L70" s="361" t="s">
        <v>61</v>
      </c>
      <c r="M70" s="361"/>
      <c r="N70" s="361"/>
      <c r="O70" s="361"/>
      <c r="P70" s="361"/>
      <c r="S70" s="15" t="s">
        <v>31</v>
      </c>
      <c r="T70" s="71">
        <f>I171</f>
        <v>99.227799227799224</v>
      </c>
      <c r="U70" s="71">
        <f>I172</f>
        <v>89.380530973451329</v>
      </c>
      <c r="V70" s="71">
        <f>I173</f>
        <v>95.731622262519181</v>
      </c>
      <c r="W70" s="71">
        <f>I174</f>
        <v>89.541213063763607</v>
      </c>
      <c r="X70" s="71">
        <f>I175</f>
        <v>88.4375</v>
      </c>
      <c r="AC70" t="s">
        <v>167</v>
      </c>
      <c r="AD70" s="51"/>
      <c r="AE70" s="51"/>
      <c r="AH70" s="2"/>
      <c r="AI70" s="2"/>
    </row>
    <row r="71" spans="1:51" x14ac:dyDescent="0.3">
      <c r="A71" t="s">
        <v>320</v>
      </c>
      <c r="B71" t="s">
        <v>21</v>
      </c>
      <c r="I71" s="1" t="s">
        <v>58</v>
      </c>
      <c r="O71" s="143"/>
      <c r="P71" s="143"/>
      <c r="S71" s="75" t="s">
        <v>39</v>
      </c>
      <c r="T71" s="76">
        <f>J171</f>
        <v>0.54496918050789811</v>
      </c>
      <c r="U71" s="76">
        <f>J172</f>
        <v>1.675770405049853</v>
      </c>
      <c r="V71" s="76">
        <f>J173</f>
        <v>0.23875921040289236</v>
      </c>
      <c r="W71" s="76">
        <f>J174</f>
        <v>0.60353311806377796</v>
      </c>
      <c r="X71" s="76">
        <f>J175</f>
        <v>1.0326063654130522</v>
      </c>
      <c r="AC71" t="s">
        <v>168</v>
      </c>
      <c r="AD71" s="51"/>
      <c r="AE71" s="51"/>
    </row>
    <row r="72" spans="1:51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56</v>
      </c>
      <c r="O72" s="13"/>
      <c r="P72" s="13"/>
      <c r="S72" s="66" t="s">
        <v>56</v>
      </c>
      <c r="T72" s="67">
        <f>N160*100</f>
        <v>99.419729206963254</v>
      </c>
      <c r="U72" s="67">
        <f>N161*100</f>
        <v>70.711785297549596</v>
      </c>
      <c r="V72" s="67">
        <f>N162*100</f>
        <v>96.962418762362248</v>
      </c>
      <c r="W72" s="67">
        <f>N163*100</f>
        <v>90.901914347740274</v>
      </c>
      <c r="X72" s="67">
        <f>N164*100</f>
        <v>84.857571214392806</v>
      </c>
      <c r="AC72" t="s">
        <v>159</v>
      </c>
      <c r="AD72" s="51"/>
      <c r="AE72" s="51"/>
      <c r="AH72" s="2"/>
      <c r="AI72" s="2"/>
    </row>
    <row r="73" spans="1:51" x14ac:dyDescent="0.3">
      <c r="A73" t="s">
        <v>3</v>
      </c>
      <c r="B73" s="13">
        <v>0</v>
      </c>
      <c r="C73" s="26">
        <v>258</v>
      </c>
      <c r="D73" s="3">
        <v>0</v>
      </c>
      <c r="E73" s="3">
        <v>0</v>
      </c>
      <c r="F73" s="3">
        <v>1</v>
      </c>
      <c r="G73" s="4">
        <v>0</v>
      </c>
      <c r="H73" s="1">
        <f>SUM(C73:G73)</f>
        <v>259</v>
      </c>
      <c r="I73" s="10">
        <f>C73/H73</f>
        <v>0.99613899613899615</v>
      </c>
      <c r="J73" s="11">
        <f>1-I73</f>
        <v>3.8610038610038533E-3</v>
      </c>
      <c r="K73">
        <f>H73-C78</f>
        <v>0</v>
      </c>
      <c r="N73" s="10">
        <f>2*(C79*I73)/(C79+I73)</f>
        <v>0.99613899613899615</v>
      </c>
      <c r="O73" s="1"/>
      <c r="P73" s="1"/>
      <c r="R73" s="16" t="s">
        <v>66</v>
      </c>
      <c r="S73" t="s">
        <v>9</v>
      </c>
      <c r="T73" s="1">
        <f>N171</f>
        <v>2553.36</v>
      </c>
      <c r="U73" s="1">
        <f>N172</f>
        <v>8407.02</v>
      </c>
      <c r="V73" s="1">
        <f>N173</f>
        <v>112363.4</v>
      </c>
      <c r="W73" s="1">
        <f>N174</f>
        <v>47732.85</v>
      </c>
      <c r="X73" s="1">
        <f>N175</f>
        <v>18742.29</v>
      </c>
      <c r="Z73" t="s">
        <v>36</v>
      </c>
      <c r="AA73" s="1">
        <f>N176</f>
        <v>189798.92</v>
      </c>
      <c r="AC73" t="s">
        <v>169</v>
      </c>
      <c r="AD73" s="51"/>
      <c r="AE73" s="51"/>
    </row>
    <row r="74" spans="1:51" ht="15.6" x14ac:dyDescent="0.35">
      <c r="A74" t="s">
        <v>4</v>
      </c>
      <c r="B74" s="13">
        <v>1</v>
      </c>
      <c r="C74" s="5">
        <v>0</v>
      </c>
      <c r="D74" s="27">
        <v>300</v>
      </c>
      <c r="E74" s="1">
        <v>27</v>
      </c>
      <c r="F74" s="1">
        <v>0</v>
      </c>
      <c r="G74" s="6">
        <v>12</v>
      </c>
      <c r="H74" s="1">
        <f>SUM(C74:G74)</f>
        <v>339</v>
      </c>
      <c r="I74" s="10">
        <f>D74/H74</f>
        <v>0.88495575221238942</v>
      </c>
      <c r="J74" s="11">
        <f>1-I74</f>
        <v>0.11504424778761058</v>
      </c>
      <c r="K74">
        <f>H74-D78</f>
        <v>-167</v>
      </c>
      <c r="N74" s="10">
        <f>2*(D79*I74)/(D79+I74)</f>
        <v>0.71005917159763321</v>
      </c>
      <c r="O74" s="1"/>
      <c r="P74" s="1"/>
      <c r="R74" s="16" t="s">
        <v>323</v>
      </c>
      <c r="S74" t="s">
        <v>68</v>
      </c>
      <c r="T74" s="57">
        <f>$AA73*T66/100</f>
        <v>2552.2015852183004</v>
      </c>
      <c r="U74" s="57">
        <f>$AA73*U66/100</f>
        <v>10950.402187102925</v>
      </c>
      <c r="V74" s="57">
        <f>$AA73*V66/100</f>
        <v>110032.8265099167</v>
      </c>
      <c r="W74" s="57">
        <f>$AA73*W66/100</f>
        <v>46107.829014836541</v>
      </c>
      <c r="X74" s="57">
        <f>$AA73*X66/100</f>
        <v>20155.660702925528</v>
      </c>
      <c r="Z74" t="s">
        <v>36</v>
      </c>
      <c r="AA74" s="25">
        <f>SUM(T74:X74)</f>
        <v>189798.91999999998</v>
      </c>
      <c r="AC74" t="s">
        <v>170</v>
      </c>
      <c r="AD74" s="51"/>
      <c r="AE74" s="51"/>
      <c r="AH74" s="2"/>
      <c r="AI74" s="2"/>
    </row>
    <row r="75" spans="1:51" x14ac:dyDescent="0.3">
      <c r="A75" t="s">
        <v>5</v>
      </c>
      <c r="B75" s="13">
        <v>2</v>
      </c>
      <c r="C75" s="5">
        <v>0</v>
      </c>
      <c r="D75" s="1">
        <v>186</v>
      </c>
      <c r="E75" s="27">
        <v>6875</v>
      </c>
      <c r="F75" s="1">
        <v>90</v>
      </c>
      <c r="G75" s="6">
        <v>18</v>
      </c>
      <c r="H75" s="1">
        <f>SUM(C75:G75)</f>
        <v>7169</v>
      </c>
      <c r="I75" s="10">
        <f>E75/H75</f>
        <v>0.95899009624773335</v>
      </c>
      <c r="J75" s="11">
        <f>1-I75</f>
        <v>4.1009903752266652E-2</v>
      </c>
      <c r="K75">
        <f>H75-E78</f>
        <v>173</v>
      </c>
      <c r="N75" s="10">
        <f>2*(E79*I75)/(E79+I75)</f>
        <v>0.97070243558065661</v>
      </c>
      <c r="O75" s="1"/>
      <c r="P75" s="1"/>
      <c r="R75" s="66"/>
      <c r="S75" s="66" t="s">
        <v>67</v>
      </c>
      <c r="T75" s="67">
        <f>$AA73*T67/100</f>
        <v>23.176926744482245</v>
      </c>
      <c r="U75" s="67">
        <f>$AA73*U67/100</f>
        <v>271.18903977179559</v>
      </c>
      <c r="V75" s="67">
        <f>$AA73*V67/100</f>
        <v>345.85381937137129</v>
      </c>
      <c r="W75" s="67">
        <f>$AA73*W67/100</f>
        <v>372.65774207601163</v>
      </c>
      <c r="X75" s="67">
        <f>$AA73*X67/100</f>
        <v>317.98492579561275</v>
      </c>
      <c r="AA75" s="1"/>
      <c r="AC75" t="s">
        <v>171</v>
      </c>
      <c r="AD75" s="51"/>
      <c r="AE75" s="51"/>
    </row>
    <row r="76" spans="1:51" x14ac:dyDescent="0.3">
      <c r="A76" t="s">
        <v>6</v>
      </c>
      <c r="B76" s="13">
        <v>3</v>
      </c>
      <c r="C76" s="5">
        <v>0</v>
      </c>
      <c r="D76" s="1">
        <v>20</v>
      </c>
      <c r="E76" s="1">
        <v>76</v>
      </c>
      <c r="F76" s="27">
        <v>2324</v>
      </c>
      <c r="G76" s="6">
        <v>152</v>
      </c>
      <c r="H76" s="1">
        <f>SUM(C76:G76)</f>
        <v>2572</v>
      </c>
      <c r="I76" s="10">
        <f>F76/H76</f>
        <v>0.90357698289269051</v>
      </c>
      <c r="J76" s="11">
        <f>1-I76</f>
        <v>9.6423017107309494E-2</v>
      </c>
      <c r="K76">
        <f>H76-F78</f>
        <v>58</v>
      </c>
      <c r="N76" s="10">
        <f>2*(F79*I76)/(F79+I76)</f>
        <v>0.9138812426268188</v>
      </c>
      <c r="O76" s="1"/>
      <c r="P76" s="1"/>
      <c r="R76" t="s">
        <v>99</v>
      </c>
      <c r="S76" t="s">
        <v>28</v>
      </c>
      <c r="T76" s="57">
        <f>C205</f>
        <v>1.4006937619219937</v>
      </c>
      <c r="U76" s="57">
        <f t="shared" ref="U76:X79" si="9">D205</f>
        <v>5.7561938570789897</v>
      </c>
      <c r="V76" s="57">
        <f t="shared" si="9"/>
        <v>57.865859943924939</v>
      </c>
      <c r="W76" s="57">
        <f t="shared" si="9"/>
        <v>24.540560294158503</v>
      </c>
      <c r="X76" s="57">
        <f t="shared" si="9"/>
        <v>10.43669214291557</v>
      </c>
      <c r="AC76" t="s">
        <v>172</v>
      </c>
      <c r="AD76" s="51"/>
      <c r="AE76" s="51"/>
      <c r="AH76" s="78"/>
      <c r="AI76" s="78"/>
    </row>
    <row r="77" spans="1:51" x14ac:dyDescent="0.3">
      <c r="A77" t="s">
        <v>7</v>
      </c>
      <c r="B77" s="13">
        <v>4</v>
      </c>
      <c r="C77" s="7">
        <v>1</v>
      </c>
      <c r="D77" s="8">
        <v>0</v>
      </c>
      <c r="E77" s="8">
        <v>18</v>
      </c>
      <c r="F77" s="8">
        <v>99</v>
      </c>
      <c r="G77" s="28">
        <v>842</v>
      </c>
      <c r="H77" s="1">
        <f>SUM(C77:G77)</f>
        <v>960</v>
      </c>
      <c r="I77" s="10">
        <f>G77/H77</f>
        <v>0.87708333333333333</v>
      </c>
      <c r="J77" s="11">
        <f>1-I77</f>
        <v>0.12291666666666667</v>
      </c>
      <c r="K77">
        <f>H77-G78</f>
        <v>-64</v>
      </c>
      <c r="N77" s="10">
        <f>2*(G79*I77)/(G79+I77)</f>
        <v>0.84879032258064513</v>
      </c>
      <c r="O77" s="1"/>
      <c r="P77" s="1"/>
      <c r="S77" s="66" t="s">
        <v>39</v>
      </c>
      <c r="T77" s="67">
        <f>C206</f>
        <v>2.0414474378334942E-2</v>
      </c>
      <c r="U77" s="67">
        <f t="shared" si="9"/>
        <v>0.14108683639949127</v>
      </c>
      <c r="V77" s="67">
        <f t="shared" si="9"/>
        <v>0.17785308512883224</v>
      </c>
      <c r="W77" s="67">
        <f t="shared" si="9"/>
        <v>0.19238749682857836</v>
      </c>
      <c r="X77" s="67">
        <f t="shared" si="9"/>
        <v>0.16379231244398107</v>
      </c>
      <c r="AC77" t="s">
        <v>173</v>
      </c>
      <c r="AD77" s="51"/>
      <c r="AE77" s="51"/>
    </row>
    <row r="78" spans="1:51" ht="15.6" x14ac:dyDescent="0.35">
      <c r="B78" s="1" t="s">
        <v>19</v>
      </c>
      <c r="C78" s="1">
        <f>SUM(C73:C77)</f>
        <v>259</v>
      </c>
      <c r="D78" s="1">
        <f>SUM(D73:D77)</f>
        <v>506</v>
      </c>
      <c r="E78" s="1">
        <f>SUM(E73:E77)</f>
        <v>6996</v>
      </c>
      <c r="F78" s="1">
        <f>SUM(F73:F77)</f>
        <v>2514</v>
      </c>
      <c r="G78" s="1">
        <f>SUM(G73:G77)</f>
        <v>1024</v>
      </c>
      <c r="H78" s="1">
        <f>SUM(H72:H77)</f>
        <v>11299</v>
      </c>
      <c r="I78" s="13" t="s">
        <v>12</v>
      </c>
      <c r="N78" s="16"/>
      <c r="O78" s="1"/>
      <c r="P78" s="1"/>
      <c r="S78" s="70" t="s">
        <v>30</v>
      </c>
      <c r="T78" s="64">
        <f>C207</f>
        <v>97.182413960566166</v>
      </c>
      <c r="U78" s="64">
        <f t="shared" si="9"/>
        <v>69.250596781358624</v>
      </c>
      <c r="V78" s="64">
        <f t="shared" si="9"/>
        <v>98.087015062082699</v>
      </c>
      <c r="W78" s="64">
        <f t="shared" si="9"/>
        <v>92.679957552534816</v>
      </c>
      <c r="X78" s="64">
        <f t="shared" si="9"/>
        <v>82.595538873142104</v>
      </c>
      <c r="AC78" t="s">
        <v>174</v>
      </c>
      <c r="AD78" s="51"/>
      <c r="AE78" s="51"/>
      <c r="AH78" s="78"/>
      <c r="AI78" s="78"/>
    </row>
    <row r="79" spans="1:51" x14ac:dyDescent="0.3">
      <c r="A79" s="1" t="s">
        <v>321</v>
      </c>
      <c r="B79" s="1" t="s">
        <v>2</v>
      </c>
      <c r="C79" s="10">
        <f>C73/C78</f>
        <v>0.99613899613899615</v>
      </c>
      <c r="D79" s="10">
        <f>D74/D78</f>
        <v>0.59288537549407117</v>
      </c>
      <c r="E79" s="10">
        <f>E75/E78</f>
        <v>0.98270440251572322</v>
      </c>
      <c r="F79" s="10">
        <f>F76/F78</f>
        <v>0.92442322991249004</v>
      </c>
      <c r="G79" s="10">
        <f>G77/G78</f>
        <v>0.822265625</v>
      </c>
      <c r="H79" s="10"/>
      <c r="I79" s="14">
        <f>(C73+D74+E75+F76+G77)/H78</f>
        <v>0.93804761483317112</v>
      </c>
      <c r="S79" s="66" t="s">
        <v>39</v>
      </c>
      <c r="T79" s="67">
        <f>C208</f>
        <v>1.732084864034622</v>
      </c>
      <c r="U79" s="67">
        <f t="shared" si="9"/>
        <v>4.1887569412932883</v>
      </c>
      <c r="V79" s="67">
        <f t="shared" si="9"/>
        <v>0.18703298130735596</v>
      </c>
      <c r="W79" s="67">
        <f t="shared" si="9"/>
        <v>0.64262765999358218</v>
      </c>
      <c r="X79" s="67">
        <f t="shared" si="9"/>
        <v>1.9431621653277835</v>
      </c>
      <c r="AC79" t="s">
        <v>175</v>
      </c>
      <c r="AD79" s="51"/>
      <c r="AE79" s="51"/>
    </row>
    <row r="80" spans="1:51" x14ac:dyDescent="0.3">
      <c r="B80" s="1" t="s">
        <v>14</v>
      </c>
      <c r="C80" s="11">
        <f>1-C79</f>
        <v>3.8610038610038533E-3</v>
      </c>
      <c r="D80" s="11">
        <f>1-D79</f>
        <v>0.40711462450592883</v>
      </c>
      <c r="E80" s="11">
        <f>1-E79</f>
        <v>1.7295597484276781E-2</v>
      </c>
      <c r="F80" s="11">
        <f>1-F79</f>
        <v>7.5576770087509959E-2</v>
      </c>
      <c r="G80" s="11">
        <f>1-G79</f>
        <v>0.177734375</v>
      </c>
      <c r="S80" s="70" t="s">
        <v>31</v>
      </c>
      <c r="T80" s="64">
        <f>I200</f>
        <v>99.613899613899619</v>
      </c>
      <c r="U80" s="64">
        <f>I201</f>
        <v>89.675516224188797</v>
      </c>
      <c r="V80" s="64">
        <f>I202</f>
        <v>95.689775421955645</v>
      </c>
      <c r="W80" s="64">
        <f>I203</f>
        <v>90.357698289269052</v>
      </c>
      <c r="X80" s="64">
        <f>I204</f>
        <v>88.854166666666671</v>
      </c>
      <c r="AC80" t="s">
        <v>176</v>
      </c>
      <c r="AD80" s="51"/>
      <c r="AE80" s="51"/>
      <c r="AH80" s="78"/>
      <c r="AI80" s="78"/>
      <c r="AJ80" s="361" t="s">
        <v>438</v>
      </c>
      <c r="AK80" s="361"/>
      <c r="AL80" s="361"/>
      <c r="AM80" s="361"/>
      <c r="AN80" s="361"/>
      <c r="AO80" s="361"/>
      <c r="AP80" s="361"/>
      <c r="AQ80" s="361"/>
      <c r="AR80" s="361"/>
      <c r="AS80" s="361"/>
      <c r="AT80" s="361"/>
      <c r="AU80" s="361" t="s">
        <v>374</v>
      </c>
      <c r="AV80" s="361"/>
      <c r="AW80" s="361"/>
      <c r="AX80" s="361"/>
      <c r="AY80" s="361"/>
    </row>
    <row r="81" spans="1:51" x14ac:dyDescent="0.3">
      <c r="C81" s="2"/>
      <c r="S81" s="66" t="s">
        <v>39</v>
      </c>
      <c r="T81" s="67">
        <f>J200</f>
        <v>0.3861003861003835</v>
      </c>
      <c r="U81" s="67">
        <f>J201</f>
        <v>1.6550562767243442</v>
      </c>
      <c r="V81" s="67">
        <f>J202</f>
        <v>0.23987429915126723</v>
      </c>
      <c r="W81" s="67">
        <f>J203</f>
        <v>0.58213257160103737</v>
      </c>
      <c r="X81" s="67">
        <f>J204</f>
        <v>1.0162156240770146</v>
      </c>
      <c r="AC81" t="s">
        <v>177</v>
      </c>
      <c r="AD81" s="51"/>
      <c r="AE81" s="51"/>
      <c r="AJ81" t="s">
        <v>320</v>
      </c>
      <c r="AK81" t="s">
        <v>21</v>
      </c>
      <c r="AR81" s="1" t="s">
        <v>58</v>
      </c>
    </row>
    <row r="82" spans="1:51" ht="15.6" x14ac:dyDescent="0.35">
      <c r="A82" t="s">
        <v>322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56</v>
      </c>
      <c r="T82" s="65">
        <f>N189*100</f>
        <v>99.04030710172745</v>
      </c>
      <c r="U82" s="65">
        <f>N190*100</f>
        <v>71.194379391100711</v>
      </c>
      <c r="V82" s="65">
        <f>N191*100</f>
        <v>97.070892882411215</v>
      </c>
      <c r="W82" s="65">
        <f>N192*100</f>
        <v>91.280439905734482</v>
      </c>
      <c r="X82" s="65">
        <f>N193*100</f>
        <v>85.428142213319987</v>
      </c>
      <c r="Z82" s="46"/>
      <c r="AA82" s="46"/>
      <c r="AC82" t="s">
        <v>178</v>
      </c>
      <c r="AD82" s="51"/>
      <c r="AE82" s="51"/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56</v>
      </c>
    </row>
    <row r="83" spans="1:51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66</v>
      </c>
      <c r="S83" t="s">
        <v>9</v>
      </c>
      <c r="T83" s="30">
        <f>N200</f>
        <v>2593.61</v>
      </c>
      <c r="U83" s="30">
        <f>N201</f>
        <v>8436.82</v>
      </c>
      <c r="V83" s="30">
        <f>N202</f>
        <v>112580.23</v>
      </c>
      <c r="W83" s="30">
        <f>N203</f>
        <v>47774.8</v>
      </c>
      <c r="X83" s="30">
        <f>N204</f>
        <v>18413.46</v>
      </c>
      <c r="Z83" t="s">
        <v>36</v>
      </c>
      <c r="AA83" s="1">
        <f>N205</f>
        <v>189798.92</v>
      </c>
      <c r="AC83" t="s">
        <v>179</v>
      </c>
      <c r="AD83" s="51"/>
      <c r="AE83" s="51"/>
      <c r="AJ83" t="s">
        <v>3</v>
      </c>
      <c r="AK83" s="13">
        <v>0</v>
      </c>
      <c r="AL83" s="26">
        <v>258</v>
      </c>
      <c r="AM83" s="3">
        <v>0</v>
      </c>
      <c r="AN83" s="3">
        <v>0</v>
      </c>
      <c r="AO83" s="3">
        <v>1</v>
      </c>
      <c r="AP83" s="4">
        <v>0</v>
      </c>
      <c r="AQ83" s="1">
        <f>SUM(AL83:AP83)</f>
        <v>259</v>
      </c>
      <c r="AR83" s="10">
        <f>AL83/AQ83</f>
        <v>0.99613899613899615</v>
      </c>
      <c r="AS83" s="11">
        <f>1-AR83</f>
        <v>3.8610038610038533E-3</v>
      </c>
      <c r="AT83">
        <f>AQ83-AL88</f>
        <v>1</v>
      </c>
      <c r="AW83" s="10">
        <f>2*(AL89*AR83)/(AL89+AR83)</f>
        <v>0.99806576402321079</v>
      </c>
    </row>
    <row r="84" spans="1:51" ht="15.6" x14ac:dyDescent="0.35">
      <c r="A84" t="s">
        <v>3</v>
      </c>
      <c r="B84" s="13">
        <v>0</v>
      </c>
      <c r="C84" s="29">
        <f>(C73/$L84)*$O84</f>
        <v>1.4376026756392906</v>
      </c>
      <c r="D84" s="31">
        <f>(D73/$L84)*$O84</f>
        <v>0</v>
      </c>
      <c r="E84" s="31">
        <f>(E73/$L84)*$O84</f>
        <v>0</v>
      </c>
      <c r="F84" s="31">
        <f>(F73/$L84)*$O84</f>
        <v>5.5721033939507385E-3</v>
      </c>
      <c r="G84" s="32">
        <f>(G73/$L84)*$O84</f>
        <v>0</v>
      </c>
      <c r="H84" s="17">
        <f>SUM(C84:G84)</f>
        <v>1.4431747790332412</v>
      </c>
      <c r="I84" s="17">
        <f>C84/H84*100</f>
        <v>99.613899613899619</v>
      </c>
      <c r="J84" s="17">
        <f>SQRT(I84*(100-I84)/(L84-1))</f>
        <v>0.3861003861003835</v>
      </c>
      <c r="K84" s="18">
        <f>100-I84</f>
        <v>0.38610038610038089</v>
      </c>
      <c r="L84" s="1">
        <f>H73</f>
        <v>259</v>
      </c>
      <c r="M84">
        <v>0</v>
      </c>
      <c r="N84" s="1">
        <v>2739.13</v>
      </c>
      <c r="O84" s="17">
        <f>N84/N89*100</f>
        <v>1.4431747790332412</v>
      </c>
      <c r="P84" s="52">
        <f>((O84*O84*(I84/100)*(K84/100))/(L84-1))</f>
        <v>3.104833623287692E-5</v>
      </c>
      <c r="R84" s="16" t="s">
        <v>323</v>
      </c>
      <c r="S84" t="s">
        <v>68</v>
      </c>
      <c r="T84" s="57">
        <f>$AA83*T76/100</f>
        <v>2658.5016326353152</v>
      </c>
      <c r="U84" s="57">
        <f>$AA83*U76/100</f>
        <v>10925.193773842268</v>
      </c>
      <c r="V84" s="57">
        <f>$AA83*V76/100</f>
        <v>109828.77722228214</v>
      </c>
      <c r="W84" s="57">
        <f>$AA83*W76/100</f>
        <v>46577.718400261663</v>
      </c>
      <c r="X84" s="57">
        <f>$AA83*X76/100</f>
        <v>19808.728970978609</v>
      </c>
      <c r="Z84" t="s">
        <v>36</v>
      </c>
      <c r="AA84" s="25">
        <f>SUM(T84:X84)</f>
        <v>189798.91999999998</v>
      </c>
      <c r="AC84" t="s">
        <v>180</v>
      </c>
      <c r="AD84" s="51"/>
      <c r="AE84" s="51"/>
      <c r="AH84" s="78"/>
      <c r="AI84" s="78"/>
      <c r="AJ84" t="s">
        <v>4</v>
      </c>
      <c r="AK84" s="13">
        <v>1</v>
      </c>
      <c r="AL84" s="5">
        <v>0</v>
      </c>
      <c r="AM84" s="27">
        <v>305</v>
      </c>
      <c r="AN84" s="1">
        <v>22</v>
      </c>
      <c r="AO84" s="1">
        <v>0</v>
      </c>
      <c r="AP84" s="6">
        <v>12</v>
      </c>
      <c r="AQ84" s="1">
        <f>SUM(AL84:AP84)</f>
        <v>339</v>
      </c>
      <c r="AR84" s="10">
        <f>AM84/AQ84</f>
        <v>0.89970501474926257</v>
      </c>
      <c r="AS84" s="11">
        <f>1-AR84</f>
        <v>0.10029498525073743</v>
      </c>
      <c r="AT84">
        <f>AQ84-AM88</f>
        <v>-185</v>
      </c>
      <c r="AW84" s="10">
        <f>2*(AM89*AR84)/(AM89+AR84)</f>
        <v>0.70683661645422946</v>
      </c>
    </row>
    <row r="85" spans="1:51" x14ac:dyDescent="0.3">
      <c r="A85" t="s">
        <v>4</v>
      </c>
      <c r="B85" s="13">
        <v>1</v>
      </c>
      <c r="C85" s="33">
        <f t="shared" ref="C85:G88" si="10">(C74/$L85)*$O85</f>
        <v>0</v>
      </c>
      <c r="D85" s="34">
        <f t="shared" si="10"/>
        <v>3.631356121214389</v>
      </c>
      <c r="E85" s="19">
        <f t="shared" si="10"/>
        <v>0.32682205090929495</v>
      </c>
      <c r="F85" s="18">
        <f t="shared" si="10"/>
        <v>0</v>
      </c>
      <c r="G85" s="20">
        <f t="shared" si="10"/>
        <v>0.14525424484857555</v>
      </c>
      <c r="H85" s="17">
        <f>SUM(C85:G85)</f>
        <v>4.1034324169722591</v>
      </c>
      <c r="I85" s="17">
        <f>D85/H85*100</f>
        <v>88.495575221238937</v>
      </c>
      <c r="J85" s="17">
        <f>SQRT(I85*(100-I85)/(L85-1))</f>
        <v>1.7355410189219826</v>
      </c>
      <c r="K85" s="18">
        <f>100-I85</f>
        <v>11.504424778761063</v>
      </c>
      <c r="L85" s="1">
        <f>H74</f>
        <v>339</v>
      </c>
      <c r="M85">
        <v>1</v>
      </c>
      <c r="N85" s="1">
        <v>7788.27</v>
      </c>
      <c r="O85" s="17">
        <f>N85/N89*100</f>
        <v>4.1034324169722591</v>
      </c>
      <c r="P85" s="52">
        <f>((O85*O85*(I85/100)*(K85/100))/(L85-1))</f>
        <v>5.0718258765696965E-3</v>
      </c>
      <c r="R85" s="66"/>
      <c r="S85" s="66" t="s">
        <v>67</v>
      </c>
      <c r="T85" s="67">
        <f>$AA83*T77/100</f>
        <v>38.746451893756436</v>
      </c>
      <c r="U85" s="67">
        <f>$AA83*U77/100</f>
        <v>267.78129174840137</v>
      </c>
      <c r="V85" s="67">
        <f>$AA83*V77/100</f>
        <v>337.56323476120423</v>
      </c>
      <c r="W85" s="67">
        <f>$AA83*W77/100</f>
        <v>365.149391195676</v>
      </c>
      <c r="X85" s="67">
        <f>$AA83*X77/100</f>
        <v>310.8760400617017</v>
      </c>
      <c r="AA85" s="1"/>
      <c r="AC85" t="s">
        <v>181</v>
      </c>
      <c r="AD85" s="51"/>
      <c r="AE85" s="51"/>
      <c r="AJ85" t="s">
        <v>5</v>
      </c>
      <c r="AK85" s="13">
        <v>2</v>
      </c>
      <c r="AL85" s="5">
        <v>0</v>
      </c>
      <c r="AM85" s="1">
        <v>193</v>
      </c>
      <c r="AN85" s="27">
        <v>6864</v>
      </c>
      <c r="AO85" s="1">
        <v>94</v>
      </c>
      <c r="AP85" s="6">
        <v>18</v>
      </c>
      <c r="AQ85" s="1">
        <f>SUM(AL85:AP85)</f>
        <v>7169</v>
      </c>
      <c r="AR85" s="10">
        <f>AN85/AQ85</f>
        <v>0.95745571209373692</v>
      </c>
      <c r="AS85" s="11">
        <f>1-AR85</f>
        <v>4.2544287906263079E-2</v>
      </c>
      <c r="AT85">
        <f>AQ85-AN88</f>
        <v>209</v>
      </c>
      <c r="AW85" s="10">
        <f>2*(AN89*AR85)/(AN89+AR85)</f>
        <v>0.9716186566635997</v>
      </c>
    </row>
    <row r="86" spans="1:51" x14ac:dyDescent="0.3">
      <c r="A86" t="s">
        <v>5</v>
      </c>
      <c r="B86" s="13">
        <v>2</v>
      </c>
      <c r="C86" s="33">
        <f t="shared" si="10"/>
        <v>0</v>
      </c>
      <c r="D86" s="19">
        <f t="shared" si="10"/>
        <v>1.5470682188135183</v>
      </c>
      <c r="E86" s="34">
        <f t="shared" si="10"/>
        <v>57.183301098617953</v>
      </c>
      <c r="F86" s="19">
        <f t="shared" si="10"/>
        <v>0.74858139620008946</v>
      </c>
      <c r="G86" s="20">
        <f t="shared" si="10"/>
        <v>0.14971627924001787</v>
      </c>
      <c r="H86" s="17">
        <f>SUM(C86:G86)</f>
        <v>59.62866699287158</v>
      </c>
      <c r="I86" s="17">
        <f>E86/H86*100</f>
        <v>95.899009624773328</v>
      </c>
      <c r="J86" s="17">
        <f>SQRT(I86*(100-I86)/(L86-1))</f>
        <v>0.23423534990284428</v>
      </c>
      <c r="K86" s="18">
        <f>100-I86</f>
        <v>4.1009903752266723</v>
      </c>
      <c r="L86" s="1">
        <f>H75</f>
        <v>7169</v>
      </c>
      <c r="M86">
        <v>2</v>
      </c>
      <c r="N86" s="1">
        <v>113174.56</v>
      </c>
      <c r="O86" s="17">
        <f>N86/N89*100</f>
        <v>59.628666992871572</v>
      </c>
      <c r="P86" s="52">
        <f>((O86*O86*(I86/100)*(K86/100))/(L86-1))</f>
        <v>1.9508104663420237E-2</v>
      </c>
      <c r="R86" t="s">
        <v>100</v>
      </c>
      <c r="S86" s="70" t="s">
        <v>28</v>
      </c>
      <c r="T86" s="64">
        <f>C234</f>
        <v>1.3513878459790691</v>
      </c>
      <c r="U86" s="64">
        <f t="shared" ref="U86:X89" si="11">D234</f>
        <v>5.4819733562356294</v>
      </c>
      <c r="V86" s="64">
        <f t="shared" si="11"/>
        <v>57.971326972770122</v>
      </c>
      <c r="W86" s="64">
        <f t="shared" si="11"/>
        <v>24.636395371541358</v>
      </c>
      <c r="X86" s="64">
        <f t="shared" si="11"/>
        <v>10.558916453473818</v>
      </c>
      <c r="AA86" s="12"/>
      <c r="AC86" t="s">
        <v>182</v>
      </c>
      <c r="AD86" s="51"/>
      <c r="AE86" s="51"/>
      <c r="AH86" s="78"/>
      <c r="AI86" s="78"/>
      <c r="AJ86" t="s">
        <v>6</v>
      </c>
      <c r="AK86" s="13">
        <v>3</v>
      </c>
      <c r="AL86" s="5">
        <v>0</v>
      </c>
      <c r="AM86" s="1">
        <v>26</v>
      </c>
      <c r="AN86" s="1">
        <v>64</v>
      </c>
      <c r="AO86" s="27">
        <v>2335</v>
      </c>
      <c r="AP86" s="6">
        <v>147</v>
      </c>
      <c r="AQ86" s="1">
        <f>SUM(AL86:AP86)</f>
        <v>2572</v>
      </c>
      <c r="AR86" s="10">
        <f>AO86/AQ86</f>
        <v>0.90785381026438572</v>
      </c>
      <c r="AS86" s="11">
        <f>1-AR86</f>
        <v>9.2146189735614281E-2</v>
      </c>
      <c r="AT86">
        <f>AQ86-AO88</f>
        <v>45</v>
      </c>
      <c r="AW86" s="10">
        <f>2*(AO89*AR86)/(AO89+AR86)</f>
        <v>0.9158658560502061</v>
      </c>
    </row>
    <row r="87" spans="1:51" x14ac:dyDescent="0.3">
      <c r="A87" t="s">
        <v>6</v>
      </c>
      <c r="B87" s="13">
        <v>3</v>
      </c>
      <c r="C87" s="33">
        <f t="shared" si="10"/>
        <v>0</v>
      </c>
      <c r="D87" s="19">
        <f t="shared" si="10"/>
        <v>0.19416264548565768</v>
      </c>
      <c r="E87" s="19">
        <f t="shared" si="10"/>
        <v>0.73781805284549917</v>
      </c>
      <c r="F87" s="34">
        <f t="shared" si="10"/>
        <v>22.561699405433423</v>
      </c>
      <c r="G87" s="20">
        <f t="shared" si="10"/>
        <v>1.4756361056909983</v>
      </c>
      <c r="H87" s="17">
        <f>SUM(C87:G87)</f>
        <v>24.969316209455577</v>
      </c>
      <c r="I87" s="17">
        <f>F87/H87*100</f>
        <v>90.357698289269052</v>
      </c>
      <c r="J87" s="17">
        <f>SQRT(I87*(100-I87)/(L87-1))</f>
        <v>0.58213257160103737</v>
      </c>
      <c r="K87" s="18">
        <f>100-I87</f>
        <v>9.6423017107309477</v>
      </c>
      <c r="L87" s="1">
        <f>H76</f>
        <v>2572</v>
      </c>
      <c r="M87">
        <v>3</v>
      </c>
      <c r="N87" s="1">
        <v>47391.49</v>
      </c>
      <c r="O87" s="17">
        <f>N87/N89*100</f>
        <v>24.969316209455577</v>
      </c>
      <c r="P87" s="52">
        <f>((O87*O87*(I87/100)*(K87/100))/(L87-1))</f>
        <v>2.1127937229023015E-2</v>
      </c>
      <c r="S87" s="66" t="s">
        <v>39</v>
      </c>
      <c r="T87" s="67">
        <f>C235</f>
        <v>7.4076177353178943E-3</v>
      </c>
      <c r="U87" s="67">
        <f t="shared" si="11"/>
        <v>0.13763580049312241</v>
      </c>
      <c r="V87" s="67">
        <f t="shared" si="11"/>
        <v>0.17408487040872669</v>
      </c>
      <c r="W87" s="67">
        <f t="shared" si="11"/>
        <v>0.18969086276068794</v>
      </c>
      <c r="X87" s="67">
        <f t="shared" si="11"/>
        <v>0.16601086812208146</v>
      </c>
      <c r="AC87" t="s">
        <v>183</v>
      </c>
      <c r="AD87" s="51"/>
      <c r="AE87" s="51"/>
      <c r="AJ87" t="s">
        <v>7</v>
      </c>
      <c r="AK87" s="13">
        <v>4</v>
      </c>
      <c r="AL87" s="7">
        <v>0</v>
      </c>
      <c r="AM87" s="8">
        <v>0</v>
      </c>
      <c r="AN87" s="8">
        <v>10</v>
      </c>
      <c r="AO87" s="8">
        <v>97</v>
      </c>
      <c r="AP87" s="28">
        <v>853</v>
      </c>
      <c r="AQ87" s="1">
        <f>SUM(AL87:AP87)</f>
        <v>960</v>
      </c>
      <c r="AR87" s="10">
        <f>AP87/AQ87</f>
        <v>0.88854166666666667</v>
      </c>
      <c r="AS87" s="11">
        <f>1-AR87</f>
        <v>0.11145833333333333</v>
      </c>
      <c r="AT87">
        <f>AQ87-AP88</f>
        <v>-70</v>
      </c>
      <c r="AW87" s="10">
        <f>2*(AP89*AR87)/(AP89+AR87)</f>
        <v>0.85728643216080402</v>
      </c>
    </row>
    <row r="88" spans="1:51" ht="15.6" x14ac:dyDescent="0.35">
      <c r="A88" t="s">
        <v>7</v>
      </c>
      <c r="B88" s="13">
        <v>4</v>
      </c>
      <c r="C88" s="35">
        <f t="shared" si="10"/>
        <v>1.0266051668403506E-2</v>
      </c>
      <c r="D88" s="36">
        <f t="shared" si="10"/>
        <v>0</v>
      </c>
      <c r="E88" s="21">
        <f t="shared" si="10"/>
        <v>0.18478893003126312</v>
      </c>
      <c r="F88" s="21">
        <f t="shared" si="10"/>
        <v>1.0163391151719472</v>
      </c>
      <c r="G88" s="37">
        <f t="shared" si="10"/>
        <v>8.6440155047957532</v>
      </c>
      <c r="H88" s="17">
        <f>SUM(C88:G88)</f>
        <v>9.8554096016673665</v>
      </c>
      <c r="I88" s="17">
        <f>G88/H88*100</f>
        <v>87.708333333333343</v>
      </c>
      <c r="J88" s="17">
        <f>SQRT(I88*(100-I88)/(L88-1))</f>
        <v>1.0602700962388467</v>
      </c>
      <c r="K88" s="18">
        <f>100-I88</f>
        <v>12.291666666666657</v>
      </c>
      <c r="L88" s="1">
        <f>H77</f>
        <v>960</v>
      </c>
      <c r="M88">
        <v>4</v>
      </c>
      <c r="N88" s="1">
        <v>18705.46</v>
      </c>
      <c r="O88" s="17">
        <f>N88/N89*100</f>
        <v>9.8554096016673665</v>
      </c>
      <c r="P88" s="52">
        <f>((O88*O88*(I88/100)*(K88/100))/(L88-1))</f>
        <v>1.0918987857952315E-2</v>
      </c>
      <c r="S88" t="s">
        <v>30</v>
      </c>
      <c r="T88" s="57">
        <f>C236</f>
        <v>100</v>
      </c>
      <c r="U88" s="57">
        <f t="shared" si="11"/>
        <v>69.48679428696461</v>
      </c>
      <c r="V88" s="57">
        <f t="shared" si="11"/>
        <v>98.207336937997653</v>
      </c>
      <c r="W88" s="57">
        <f t="shared" si="11"/>
        <v>92.895610873344935</v>
      </c>
      <c r="X88" s="57">
        <f t="shared" si="11"/>
        <v>82.017517761390209</v>
      </c>
      <c r="AC88" t="s">
        <v>184</v>
      </c>
      <c r="AD88" s="51"/>
      <c r="AE88" s="51"/>
      <c r="AH88" s="78"/>
      <c r="AI88" s="78"/>
      <c r="AK88" s="1" t="s">
        <v>19</v>
      </c>
      <c r="AL88" s="1">
        <f>SUM(AL83:AL87)</f>
        <v>258</v>
      </c>
      <c r="AM88" s="1">
        <f>SUM(AM83:AM87)</f>
        <v>524</v>
      </c>
      <c r="AN88" s="1">
        <f>SUM(AN83:AN87)</f>
        <v>6960</v>
      </c>
      <c r="AO88" s="1">
        <f>SUM(AO83:AO87)</f>
        <v>2527</v>
      </c>
      <c r="AP88" s="1">
        <f>SUM(AP83:AP87)</f>
        <v>1030</v>
      </c>
      <c r="AQ88" s="1">
        <f>SUM(AQ82:AQ87)</f>
        <v>11299</v>
      </c>
      <c r="AR88" s="13" t="s">
        <v>12</v>
      </c>
    </row>
    <row r="89" spans="1:51" x14ac:dyDescent="0.3">
      <c r="B89" t="s">
        <v>28</v>
      </c>
      <c r="C89" s="17">
        <f>SUM(C84:C88)</f>
        <v>1.447868727307694</v>
      </c>
      <c r="D89" s="17">
        <f>SUM(D84:D88)</f>
        <v>5.3725869855135651</v>
      </c>
      <c r="E89" s="17">
        <f>SUM(E84:E88)</f>
        <v>58.432730132404004</v>
      </c>
      <c r="F89" s="17">
        <f>SUM(F84:F88)</f>
        <v>24.332192020199411</v>
      </c>
      <c r="G89" s="17">
        <f>SUM(G84:G88)</f>
        <v>10.414622134575344</v>
      </c>
      <c r="H89" s="1">
        <f>SUM(H83:H88)</f>
        <v>100.00000000000003</v>
      </c>
      <c r="I89" s="13" t="s">
        <v>24</v>
      </c>
      <c r="J89" s="12" t="s">
        <v>29</v>
      </c>
      <c r="N89" s="1">
        <f>SUM(N84:N88)</f>
        <v>189798.90999999997</v>
      </c>
      <c r="O89" s="17">
        <f>SUM(O84:O88)</f>
        <v>100</v>
      </c>
      <c r="S89" s="66" t="s">
        <v>39</v>
      </c>
      <c r="T89" s="67">
        <f>C237</f>
        <v>0</v>
      </c>
      <c r="U89" s="67">
        <f t="shared" si="11"/>
        <v>4.2460989729693717</v>
      </c>
      <c r="V89" s="67">
        <f t="shared" si="11"/>
        <v>0.18006233174987812</v>
      </c>
      <c r="W89" s="67">
        <f t="shared" si="11"/>
        <v>0.62389500600637149</v>
      </c>
      <c r="X89" s="67">
        <f t="shared" si="11"/>
        <v>1.9792810708132516</v>
      </c>
      <c r="AC89" t="s">
        <v>185</v>
      </c>
      <c r="AD89" s="51"/>
      <c r="AE89" s="51"/>
      <c r="AJ89" s="1" t="s">
        <v>321</v>
      </c>
      <c r="AK89" s="1" t="s">
        <v>2</v>
      </c>
      <c r="AL89" s="10">
        <f>AL83/AL88</f>
        <v>1</v>
      </c>
      <c r="AM89" s="10">
        <f>AM84/AM88</f>
        <v>0.58206106870229013</v>
      </c>
      <c r="AN89" s="10">
        <f>AN85/AN88</f>
        <v>0.98620689655172411</v>
      </c>
      <c r="AO89" s="10">
        <f>AO86/AO88</f>
        <v>0.92402057776018998</v>
      </c>
      <c r="AP89" s="10">
        <f>AP87/AP88</f>
        <v>0.82815533980582523</v>
      </c>
      <c r="AQ89" s="10"/>
      <c r="AR89" s="14">
        <f>(AL83+AM84+AN85+AO86+AP87)/AQ88</f>
        <v>0.93946366935127001</v>
      </c>
    </row>
    <row r="90" spans="1:51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1.1670925079126039E-2</v>
      </c>
      <c r="D90" s="18">
        <f>SQRT(SUM((O84*O84*(D84/O84)*(1-D84/O84))/L84,(O85*O85*(D85/O85)*(1-D85/O85))/L85,(O86*O86*(D86/O86)*(1-D86/O86))/L86,(O87*O87*(D87/O87)*(1-D87/O87))/L87,(O88*O88*(D88/O88)*(1-D88/O88))/L88))</f>
        <v>0.13950325025257171</v>
      </c>
      <c r="E90" s="18">
        <f>SQRT(SUM((O84*O84*(E84/O84)*(1-E84/O84))/L84,(O85*O85*(E85/O85)*(1-E85/O85))/L85,(O86*O86*(E86/O86)*(1-E86/O86))/L86,(O87*O87*(E87/O87)*(1-E87/O87))/L87,(O88*O88*(E88/O88)*(1-E88/O88))/L88))</f>
        <v>0.17877077438891104</v>
      </c>
      <c r="F90" s="18">
        <f>SQRT(SUM((O84*O84*(F84/O84)*(1-F84/O84))/L84,(O85*O85*(F85/O85)*(1-F85/O85))/L85,(O86*O86*(F86/O86)*(1-F86/O86))/L86,(O87*O87*(F87/O87)*(1-F87/O87))/L87,(O88*O88*(F88/O88)*(1-F88/O88))/L88))</f>
        <v>0.19145931437014591</v>
      </c>
      <c r="G90" s="18">
        <f>SQRT(SUM((O84*O84*(G84/O84)*(1-G84/O84))/L84,(O85*O85*(G85/O85)*(1-G85/O85))/L85,(O86*O86*(G86/O86)*(1-G86/O86))/L86,(O87*O87*(G87/O87)*(1-G87/O87))/L87,(O88*O88*(G88/O88)*(1-G88/O88))/L88))</f>
        <v>0.16530217792927529</v>
      </c>
      <c r="H90" s="1"/>
      <c r="I90" s="14">
        <f>(C84+D85+E86+F87+G88)/H89</f>
        <v>0.93457974805700783</v>
      </c>
      <c r="J90" s="53">
        <f>SQRT(SUM(P84:P88))/100</f>
        <v>2.380292082144503E-3</v>
      </c>
      <c r="M90" s="1"/>
      <c r="N90" s="9"/>
      <c r="S90" t="s">
        <v>31</v>
      </c>
      <c r="T90" s="57">
        <f>I229</f>
        <v>99.227799227799224</v>
      </c>
      <c r="U90" s="57">
        <f>I230</f>
        <v>89.380530973451329</v>
      </c>
      <c r="V90" s="57">
        <f>I231</f>
        <v>95.829264890500767</v>
      </c>
      <c r="W90" s="57">
        <f>I232</f>
        <v>90.746500777604979</v>
      </c>
      <c r="X90" s="57">
        <f>I233</f>
        <v>88.854166666666671</v>
      </c>
      <c r="AC90" t="s">
        <v>186</v>
      </c>
      <c r="AD90" s="51"/>
      <c r="AE90" s="51"/>
      <c r="AH90" s="78"/>
      <c r="AI90" s="78"/>
      <c r="AK90" s="1" t="s">
        <v>14</v>
      </c>
      <c r="AL90" s="11">
        <f>1-AL89</f>
        <v>0</v>
      </c>
      <c r="AM90" s="11">
        <f>1-AM89</f>
        <v>0.41793893129770987</v>
      </c>
      <c r="AN90" s="11">
        <f>1-AN89</f>
        <v>1.379310344827589E-2</v>
      </c>
      <c r="AO90" s="11">
        <f>1-AO89</f>
        <v>7.5979422239810024E-2</v>
      </c>
      <c r="AP90" s="11">
        <f>1-AP89</f>
        <v>0.17184466019417477</v>
      </c>
    </row>
    <row r="91" spans="1:51" x14ac:dyDescent="0.3">
      <c r="B91" s="1" t="s">
        <v>30</v>
      </c>
      <c r="C91" s="17">
        <f>C84/C89*100</f>
        <v>99.290954250562962</v>
      </c>
      <c r="D91" s="17">
        <f>D85/D89*100</f>
        <v>67.590457465013344</v>
      </c>
      <c r="E91" s="17">
        <f>E86/E89*100</f>
        <v>97.86176509131964</v>
      </c>
      <c r="F91" s="17">
        <f>F87/F89*100</f>
        <v>92.72366166888618</v>
      </c>
      <c r="G91" s="17">
        <f>G88/G89*100</f>
        <v>82.998839449955824</v>
      </c>
      <c r="H91" s="1"/>
      <c r="S91" s="66" t="s">
        <v>39</v>
      </c>
      <c r="T91" s="67">
        <f>J229</f>
        <v>0.54496918050789811</v>
      </c>
      <c r="U91" s="67">
        <f>J230</f>
        <v>1.675770405049853</v>
      </c>
      <c r="V91" s="67">
        <f>J231</f>
        <v>0.23613283647459815</v>
      </c>
      <c r="W91" s="67">
        <f>J232</f>
        <v>0.57150087782690084</v>
      </c>
      <c r="X91" s="67">
        <f>J233</f>
        <v>1.0162156240770146</v>
      </c>
      <c r="AC91" t="s">
        <v>187</v>
      </c>
      <c r="AD91" s="51"/>
      <c r="AE91" s="51"/>
      <c r="AL91" s="2"/>
    </row>
    <row r="92" spans="1:51" ht="15.6" x14ac:dyDescent="0.35">
      <c r="B92" s="16" t="s">
        <v>39</v>
      </c>
      <c r="C92" s="18">
        <f>SQRT((C95+C96)/(C89*C89))</f>
        <v>0.75505144626386744</v>
      </c>
      <c r="D92" s="18">
        <f>SQRT((D95+D96)/(D89*D89))</f>
        <v>4.5537266779706744</v>
      </c>
      <c r="E92" s="18">
        <f>SQRT((E95+E96)/(E89*E89))</f>
        <v>0.19387189522004253</v>
      </c>
      <c r="F92" s="18">
        <f>SQRT((F95+F96)/(F89*F89))</f>
        <v>0.64398592836960866</v>
      </c>
      <c r="G92" s="18">
        <f>SQRT((G95+G96)/(G89*G89))</f>
        <v>1.9882361950512699</v>
      </c>
      <c r="H92" s="1"/>
      <c r="S92" s="66" t="s">
        <v>56</v>
      </c>
      <c r="T92" s="67">
        <f>N218*100</f>
        <v>99.612403100775197</v>
      </c>
      <c r="U92" s="67">
        <f>N219*100</f>
        <v>72.142857142857139</v>
      </c>
      <c r="V92" s="67">
        <f>N220*100</f>
        <v>97.184891781015693</v>
      </c>
      <c r="W92" s="67">
        <f>N221*100</f>
        <v>91.583284284873457</v>
      </c>
      <c r="X92" s="67">
        <f>N222*100</f>
        <v>85.002491280518186</v>
      </c>
      <c r="AC92" t="s">
        <v>188</v>
      </c>
      <c r="AD92" s="51"/>
      <c r="AE92" s="51"/>
      <c r="AH92" s="78"/>
      <c r="AI92" s="78"/>
      <c r="AJ92" t="s">
        <v>322</v>
      </c>
      <c r="AK92" s="15" t="s">
        <v>23</v>
      </c>
      <c r="AW92" s="12" t="s">
        <v>17</v>
      </c>
      <c r="AX92" s="1" t="s">
        <v>27</v>
      </c>
      <c r="AY92" s="1" t="s">
        <v>33</v>
      </c>
    </row>
    <row r="93" spans="1:51" ht="15.6" x14ac:dyDescent="0.35">
      <c r="B93" s="1" t="s">
        <v>37</v>
      </c>
      <c r="C93" s="18">
        <f>100-C91</f>
        <v>0.70904574943703835</v>
      </c>
      <c r="D93" s="18">
        <f>100-D91</f>
        <v>32.409542534986656</v>
      </c>
      <c r="E93" s="18">
        <f>100-E91</f>
        <v>2.13823490868036</v>
      </c>
      <c r="F93" s="18">
        <f>100-F91</f>
        <v>7.2763383311138199</v>
      </c>
      <c r="G93" s="18">
        <f>100-G91</f>
        <v>17.001160550044176</v>
      </c>
      <c r="R93" s="16" t="s">
        <v>66</v>
      </c>
      <c r="S93" t="s">
        <v>9</v>
      </c>
      <c r="T93" s="30">
        <f>N229</f>
        <v>2584.88</v>
      </c>
      <c r="U93" s="30">
        <f>N230</f>
        <v>8088.91</v>
      </c>
      <c r="V93" s="30">
        <f>N231</f>
        <v>112759.4</v>
      </c>
      <c r="W93" s="30">
        <f>N232</f>
        <v>47867</v>
      </c>
      <c r="X93" s="30">
        <f>N233</f>
        <v>18498.73</v>
      </c>
      <c r="Z93" t="s">
        <v>36</v>
      </c>
      <c r="AA93" s="1">
        <f>N234</f>
        <v>189798.92</v>
      </c>
      <c r="AC93" t="s">
        <v>189</v>
      </c>
      <c r="AD93" s="51"/>
      <c r="AE93" s="51"/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</row>
    <row r="94" spans="1:51" ht="15.6" x14ac:dyDescent="0.35">
      <c r="B94" s="1" t="s">
        <v>25</v>
      </c>
      <c r="C94" s="1">
        <f>C78</f>
        <v>259</v>
      </c>
      <c r="D94" s="1">
        <f>D78</f>
        <v>506</v>
      </c>
      <c r="E94" s="1">
        <f>E78</f>
        <v>6996</v>
      </c>
      <c r="F94" s="1">
        <f>F78</f>
        <v>2514</v>
      </c>
      <c r="G94" s="1">
        <f>G78</f>
        <v>1024</v>
      </c>
      <c r="R94" s="16" t="s">
        <v>323</v>
      </c>
      <c r="S94" t="s">
        <v>68</v>
      </c>
      <c r="T94" s="57">
        <f>$AA93*T86/100</f>
        <v>2564.9195366795366</v>
      </c>
      <c r="U94" s="57">
        <f>$AA93*U86/100</f>
        <v>10404.726224822978</v>
      </c>
      <c r="V94" s="57">
        <f>$AA93*V86/100</f>
        <v>110028.95250398639</v>
      </c>
      <c r="W94" s="57">
        <f>$AA93*W86/100</f>
        <v>46759.612342115492</v>
      </c>
      <c r="X94" s="57">
        <f>$AA93*X86/100</f>
        <v>20040.709392395613</v>
      </c>
      <c r="Z94" t="s">
        <v>36</v>
      </c>
      <c r="AA94" s="25">
        <f>SUM(T94:X94)</f>
        <v>189798.92000000004</v>
      </c>
      <c r="AC94" t="s">
        <v>190</v>
      </c>
      <c r="AD94" s="51"/>
      <c r="AE94" s="51"/>
      <c r="AH94" s="78"/>
      <c r="AI94" s="78"/>
      <c r="AJ94" t="s">
        <v>3</v>
      </c>
      <c r="AK94" s="13">
        <v>0</v>
      </c>
      <c r="AL94" s="29">
        <f>(AL83/$AU94)*$AX94</f>
        <v>1.3467214565408381</v>
      </c>
      <c r="AM94" s="31">
        <f t="shared" ref="AM94:AO95" si="12">(AM83/$AU94)*$AX94</f>
        <v>0</v>
      </c>
      <c r="AN94" s="31">
        <f t="shared" si="12"/>
        <v>0</v>
      </c>
      <c r="AO94" s="31">
        <f t="shared" si="12"/>
        <v>5.2198506067474343E-3</v>
      </c>
      <c r="AP94" s="32">
        <f>(AP83/$AU94)*$AX94</f>
        <v>0</v>
      </c>
      <c r="AQ94" s="17">
        <f>SUM(AL94:AP94)</f>
        <v>1.3519413071475854</v>
      </c>
      <c r="AR94" s="17">
        <f>AL94/AQ94*100</f>
        <v>99.613899613899619</v>
      </c>
      <c r="AS94" s="17">
        <f>SQRT(AR94*(100-AR94)/(AU94-1))</f>
        <v>0.3861003861003835</v>
      </c>
      <c r="AT94" s="18">
        <f>100-AR94</f>
        <v>0.38610038610038089</v>
      </c>
      <c r="AU94" s="1">
        <f>AQ83</f>
        <v>259</v>
      </c>
      <c r="AV94">
        <v>0</v>
      </c>
      <c r="AW94" s="1">
        <v>2565.9699999999998</v>
      </c>
      <c r="AX94" s="17">
        <f>AW94/AW99*100</f>
        <v>1.3519413071475854</v>
      </c>
      <c r="AY94" s="52">
        <f>((AX94*AX94*(AR94/100)*(AT94/100))/(AU94-1))</f>
        <v>2.7246840356761191E-5</v>
      </c>
    </row>
    <row r="95" spans="1:51" x14ac:dyDescent="0.3">
      <c r="B95" s="1" t="s">
        <v>34</v>
      </c>
      <c r="C95" s="18">
        <f>(O84*O84*(100-C91)*(100-C91)*(I84)*(100-I84))/(L84-1)</f>
        <v>0.15609422960318659</v>
      </c>
      <c r="D95" s="18">
        <f>(O85*O85*(100-D91)*(100-D91)*(I85)*(100-I85))/((L85-1)*100)</f>
        <v>532.73365893447328</v>
      </c>
      <c r="E95" s="18">
        <f>(O86*O86*(100-E91)*(100-E91)*(I86)*(100-I86))/((L86-1)*100)</f>
        <v>8.919200114607019</v>
      </c>
      <c r="F95" s="18">
        <f>(O87*O87*(100-F91)*(100-F91)*(I87)*(100-I87))/((L87-1)*100)</f>
        <v>111.86207390070695</v>
      </c>
      <c r="G95" s="18">
        <f>(O88*O88*(100-G91)*(100-G91)*(I88)*(100-I88))/((L88-1)*100)</f>
        <v>315.60183547373367</v>
      </c>
      <c r="R95" s="66"/>
      <c r="S95" s="66" t="s">
        <v>67</v>
      </c>
      <c r="T95" s="67">
        <f>$AA93*T87/100</f>
        <v>14.059578459361823</v>
      </c>
      <c r="U95" s="67">
        <f>$AA93*U87/100</f>
        <v>261.23126286930102</v>
      </c>
      <c r="V95" s="67">
        <f>$AA93*V87/100</f>
        <v>330.41120391916286</v>
      </c>
      <c r="W95" s="67">
        <f>$AA93*W87/100</f>
        <v>360.03120885846795</v>
      </c>
      <c r="X95" s="67">
        <f>$AA93*X87/100</f>
        <v>315.08683477833495</v>
      </c>
      <c r="AA95" s="1"/>
      <c r="AC95" t="s">
        <v>191</v>
      </c>
      <c r="AD95" s="51"/>
      <c r="AE95" s="51"/>
      <c r="AJ95" t="s">
        <v>4</v>
      </c>
      <c r="AK95" s="13">
        <v>1</v>
      </c>
      <c r="AL95" s="33">
        <f t="shared" ref="AL95:AO98" si="13">(AL84/$AU95)*$AX95</f>
        <v>0</v>
      </c>
      <c r="AM95" s="34">
        <f>(AM84/$AU95)*$AX95</f>
        <v>3.9668731773487336</v>
      </c>
      <c r="AN95" s="19">
        <f t="shared" si="12"/>
        <v>0.28613511443171191</v>
      </c>
      <c r="AO95" s="18">
        <f t="shared" si="12"/>
        <v>0</v>
      </c>
      <c r="AP95" s="20">
        <f>(AP84/$AU95)*$AX95</f>
        <v>0.15607369878093377</v>
      </c>
      <c r="AQ95" s="17">
        <f>SUM(AL95:AP95)</f>
        <v>4.4090819905613792</v>
      </c>
      <c r="AR95" s="17">
        <f>AM95/AQ95*100</f>
        <v>89.970501474926252</v>
      </c>
      <c r="AS95" s="17">
        <f>SQRT(AR95*(100-AR95)/(AU95-1))</f>
        <v>1.6339220356155837</v>
      </c>
      <c r="AT95" s="18">
        <f>100-AR95</f>
        <v>10.029498525073748</v>
      </c>
      <c r="AU95" s="1">
        <f>AQ84</f>
        <v>339</v>
      </c>
      <c r="AV95">
        <v>1</v>
      </c>
      <c r="AW95" s="1">
        <v>8368.39</v>
      </c>
      <c r="AX95" s="17">
        <f>AW95/AW99*100</f>
        <v>4.4090819905613792</v>
      </c>
      <c r="AY95" s="52">
        <f>((AX95*AX95*(AR95/100)*(AT95/100))/(AU95-1))</f>
        <v>5.1899002364510678E-3</v>
      </c>
    </row>
    <row r="96" spans="1:51" x14ac:dyDescent="0.3">
      <c r="B96" s="1" t="s">
        <v>35</v>
      </c>
      <c r="C96" s="18">
        <f>C91*C91*(SUM((H85*C85*(1-C74/H74))/(H74-1),(H86*C86*(1-C75/H75))/(H75-1), (H87*C87*(1-C76/H76))/(H76-1),(H88*C88*(1-C77/H77))/(H77-1)))</f>
        <v>1.0390256299306975</v>
      </c>
      <c r="D96" s="18">
        <f>D91*D91*(SUM((H84*D84*(1-D73/H73))/(H73-1),(H86*D86*(1-D75/H75))/(H75-1), (H87*D87*(1-D76/H76))/(H76-1),(H88*D88*(1-D77/H77))/(H77-1)))</f>
        <v>65.816887260103002</v>
      </c>
      <c r="E96" s="18">
        <f>E91*E91*(SUM((H84*E84*(1-E73/H73))/(H73-1),(H85*E85*(1-E74/H74))/(H74-1), (H87*E87*(1-E76/H76))/(H76-1),(H88*E88*(1-E77/H77))/(H77-1)))</f>
        <v>119.41489951279766</v>
      </c>
      <c r="F96" s="18">
        <f>F91*F91*(SUM((H84*F84*(1-F73/H73))/(H73-1),(H85*F85*(1-F74/H74))/(H74-1), (H86*F86*(1-F75/H75))/(H75-1),(H88*F88*(1-F77/H77))/(H77-1)))</f>
        <v>133.67395390817566</v>
      </c>
      <c r="G96" s="18">
        <f>G91*G91*(SUM((H84*G84*(1-G73/H73))/(H73-1),(H85*G85*(1-G74/H74))/(H74-1), (H86*G86*(1-G75/H75))/(H75-1),(H87*G87*(1-G76/H76))/(H76-1)))</f>
        <v>113.16677739131366</v>
      </c>
      <c r="R96" t="s">
        <v>101</v>
      </c>
      <c r="S96" t="s">
        <v>28</v>
      </c>
      <c r="T96" s="57">
        <f>C263</f>
        <v>1.4180633919236709</v>
      </c>
      <c r="U96" s="57">
        <f t="shared" ref="U96:X99" si="14">D263</f>
        <v>5.3556822368156753</v>
      </c>
      <c r="V96" s="57">
        <f t="shared" si="14"/>
        <v>58.277565034718776</v>
      </c>
      <c r="W96" s="57">
        <f t="shared" si="14"/>
        <v>24.478921302497195</v>
      </c>
      <c r="X96" s="57">
        <f t="shared" si="14"/>
        <v>10.469768034044689</v>
      </c>
      <c r="Y96" s="13"/>
      <c r="Z96" s="74"/>
      <c r="AA96" s="12"/>
      <c r="AC96" t="s">
        <v>192</v>
      </c>
      <c r="AD96" s="51"/>
      <c r="AE96" s="51"/>
      <c r="AH96" s="78"/>
      <c r="AI96" s="78"/>
      <c r="AJ96" t="s">
        <v>5</v>
      </c>
      <c r="AK96" s="13">
        <v>2</v>
      </c>
      <c r="AL96" s="33">
        <f t="shared" si="13"/>
        <v>0</v>
      </c>
      <c r="AM96" s="19">
        <f t="shared" si="13"/>
        <v>1.6010143103005094</v>
      </c>
      <c r="AN96" s="34">
        <f t="shared" si="13"/>
        <v>56.939700652345579</v>
      </c>
      <c r="AO96" s="19">
        <f t="shared" si="13"/>
        <v>0.77976862781475587</v>
      </c>
      <c r="AP96" s="20">
        <f>(AP85/$AU96)*$AX96</f>
        <v>0.14931739681559156</v>
      </c>
      <c r="AQ96" s="17">
        <f>SUM(AL96:AP96)</f>
        <v>59.469800987276429</v>
      </c>
      <c r="AR96" s="17">
        <f>AN96/AQ96*100</f>
        <v>95.745571209373708</v>
      </c>
      <c r="AS96" s="17">
        <f>SQRT(AR96*(100-AR96)/(AU96-1))</f>
        <v>0.23838612730840067</v>
      </c>
      <c r="AT96" s="18">
        <f>100-AR96</f>
        <v>4.2544287906262923</v>
      </c>
      <c r="AU96" s="1">
        <f>AQ85</f>
        <v>7169</v>
      </c>
      <c r="AV96">
        <v>2</v>
      </c>
      <c r="AW96" s="1">
        <v>112873.04</v>
      </c>
      <c r="AX96" s="17">
        <f>AW96/AW99*100</f>
        <v>59.469800987276436</v>
      </c>
      <c r="AY96" s="52">
        <f>((AX96*AX96*(AR96/100)*(AT96/100))/(AU96-1))</f>
        <v>2.0098096497120788E-2</v>
      </c>
    </row>
    <row r="97" spans="1:51" x14ac:dyDescent="0.3">
      <c r="S97" s="66" t="s">
        <v>39</v>
      </c>
      <c r="T97" s="67">
        <f>C264</f>
        <v>1.5157329879101723E-2</v>
      </c>
      <c r="U97" s="67">
        <f t="shared" si="14"/>
        <v>0.14081510378878112</v>
      </c>
      <c r="V97" s="67">
        <f t="shared" si="14"/>
        <v>0.17728814115340094</v>
      </c>
      <c r="W97" s="67">
        <f t="shared" si="14"/>
        <v>0.19131119005727412</v>
      </c>
      <c r="X97" s="67">
        <f t="shared" si="14"/>
        <v>0.1637998657488817</v>
      </c>
      <c r="AC97" t="s">
        <v>193</v>
      </c>
      <c r="AD97" s="51"/>
      <c r="AE97" s="51"/>
      <c r="AJ97" t="s">
        <v>6</v>
      </c>
      <c r="AK97" s="13">
        <v>3</v>
      </c>
      <c r="AL97" s="33">
        <f t="shared" si="13"/>
        <v>0</v>
      </c>
      <c r="AM97" s="19">
        <f t="shared" si="13"/>
        <v>0.25331254730251662</v>
      </c>
      <c r="AN97" s="19">
        <f t="shared" si="13"/>
        <v>0.62353857797542556</v>
      </c>
      <c r="AO97" s="34">
        <f t="shared" si="13"/>
        <v>22.749415305822165</v>
      </c>
      <c r="AP97" s="20">
        <f>(AP86/$AU97)*$AX97</f>
        <v>1.4321901712873055</v>
      </c>
      <c r="AQ97" s="17">
        <f>SUM(AL97:AP97)</f>
        <v>25.058456602387412</v>
      </c>
      <c r="AR97" s="17">
        <f>AO97/AQ97*100</f>
        <v>90.785381026438571</v>
      </c>
      <c r="AS97" s="17">
        <f>SQRT(AR97*(100-AR97)/(AU97-1))</f>
        <v>0.57042114084105178</v>
      </c>
      <c r="AT97" s="18">
        <f>100-AR97</f>
        <v>9.2146189735614286</v>
      </c>
      <c r="AU97" s="1">
        <f>AQ86</f>
        <v>2572</v>
      </c>
      <c r="AV97">
        <v>3</v>
      </c>
      <c r="AW97" s="1">
        <v>47560.68</v>
      </c>
      <c r="AX97" s="17">
        <f>AW97/AW99*100</f>
        <v>25.058456602387412</v>
      </c>
      <c r="AY97" s="52">
        <f>((AX97*AX97*(AR97/100)*(AT97/100))/(AU97-1))</f>
        <v>2.0431481685669734E-2</v>
      </c>
    </row>
    <row r="98" spans="1:51" x14ac:dyDescent="0.3">
      <c r="S98" t="s">
        <v>30</v>
      </c>
      <c r="T98" s="57">
        <f>C265</f>
        <v>98.587997410415355</v>
      </c>
      <c r="U98" s="57">
        <f t="shared" si="14"/>
        <v>67.848968794352572</v>
      </c>
      <c r="V98" s="57">
        <f t="shared" si="14"/>
        <v>97.986674346735484</v>
      </c>
      <c r="W98" s="57">
        <f t="shared" si="14"/>
        <v>92.514646177602572</v>
      </c>
      <c r="X98" s="57">
        <f t="shared" si="14"/>
        <v>83.422548303478123</v>
      </c>
      <c r="AA98" s="54"/>
      <c r="AC98" t="s">
        <v>194</v>
      </c>
      <c r="AD98" s="51"/>
      <c r="AE98" s="51"/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13"/>
        <v>0</v>
      </c>
      <c r="AN98" s="21">
        <f t="shared" si="13"/>
        <v>0.10115332408986662</v>
      </c>
      <c r="AO98" s="21">
        <f t="shared" si="13"/>
        <v>0.98118724367170629</v>
      </c>
      <c r="AP98" s="37">
        <f>(AP87/$AU98)*$AX98</f>
        <v>8.6283785448656225</v>
      </c>
      <c r="AQ98" s="17">
        <f>SUM(AL98:AP98)</f>
        <v>9.7107191126271957</v>
      </c>
      <c r="AR98" s="17">
        <f>AP98/AQ98*100</f>
        <v>88.854166666666671</v>
      </c>
      <c r="AS98" s="17">
        <f>SQRT(AR98*(100-AR98)/(AU98-1))</f>
        <v>1.0162156240770146</v>
      </c>
      <c r="AT98" s="18">
        <f>100-AR98</f>
        <v>11.145833333333329</v>
      </c>
      <c r="AU98" s="1">
        <f>AQ87</f>
        <v>960</v>
      </c>
      <c r="AV98">
        <v>4</v>
      </c>
      <c r="AW98" s="1">
        <v>18430.84</v>
      </c>
      <c r="AX98" s="17">
        <f>AW98/AW99*100</f>
        <v>9.7107191126271957</v>
      </c>
      <c r="AY98" s="52">
        <f>((AX98*AX98*(AR98/100)*(AT98/100))/(AU98-1))</f>
        <v>9.7381064995950249E-3</v>
      </c>
    </row>
    <row r="99" spans="1:51" x14ac:dyDescent="0.3">
      <c r="A99" s="361" t="s">
        <v>437</v>
      </c>
      <c r="B99" s="361"/>
      <c r="C99" s="361"/>
      <c r="D99" s="361"/>
      <c r="E99" s="361"/>
      <c r="F99" s="361"/>
      <c r="G99" s="361"/>
      <c r="H99" s="361"/>
      <c r="I99" s="361"/>
      <c r="J99" s="361"/>
      <c r="K99" s="361"/>
      <c r="L99" s="361" t="s">
        <v>62</v>
      </c>
      <c r="M99" s="361"/>
      <c r="N99" s="361"/>
      <c r="O99" s="361"/>
      <c r="P99" s="361"/>
      <c r="S99" s="66" t="s">
        <v>39</v>
      </c>
      <c r="T99" s="67">
        <f>C266</f>
        <v>1.1229067430088955</v>
      </c>
      <c r="U99" s="67">
        <f t="shared" si="14"/>
        <v>4.7125288726592682</v>
      </c>
      <c r="V99" s="67">
        <f t="shared" si="14"/>
        <v>0.18886620295511336</v>
      </c>
      <c r="W99" s="67">
        <f t="shared" si="14"/>
        <v>0.64944172732298344</v>
      </c>
      <c r="X99" s="67">
        <f t="shared" si="14"/>
        <v>1.9213717033836868</v>
      </c>
      <c r="AC99" t="s">
        <v>195</v>
      </c>
      <c r="AD99" s="51"/>
      <c r="AE99" s="51"/>
      <c r="AK99" t="s">
        <v>28</v>
      </c>
      <c r="AL99" s="17">
        <f t="shared" ref="AL99:AQ99" si="15">SUM(AL94:AL98)</f>
        <v>1.3467214565408381</v>
      </c>
      <c r="AM99" s="17">
        <f t="shared" si="15"/>
        <v>5.821200034951759</v>
      </c>
      <c r="AN99" s="17">
        <f t="shared" si="15"/>
        <v>57.950527668842582</v>
      </c>
      <c r="AO99" s="17">
        <f t="shared" si="15"/>
        <v>24.515591027915374</v>
      </c>
      <c r="AP99" s="17">
        <f t="shared" si="15"/>
        <v>10.365959811749454</v>
      </c>
      <c r="AQ99" s="18">
        <f t="shared" si="15"/>
        <v>100</v>
      </c>
      <c r="AR99" s="13" t="s">
        <v>24</v>
      </c>
      <c r="AS99" s="12" t="s">
        <v>29</v>
      </c>
      <c r="AW99" s="1">
        <f>SUM(AW94:AW98)</f>
        <v>189798.91999999998</v>
      </c>
      <c r="AX99" s="17">
        <f>SUM(AX94:AX98)</f>
        <v>100</v>
      </c>
    </row>
    <row r="100" spans="1:51" x14ac:dyDescent="0.3">
      <c r="A100" t="s">
        <v>320</v>
      </c>
      <c r="B100" t="s">
        <v>21</v>
      </c>
      <c r="I100" s="1" t="s">
        <v>58</v>
      </c>
      <c r="O100" s="143"/>
      <c r="P100" s="143"/>
      <c r="S100" t="s">
        <v>31</v>
      </c>
      <c r="T100" s="57">
        <f>I258</f>
        <v>99.613899613899619</v>
      </c>
      <c r="U100" s="57">
        <f>I259</f>
        <v>87.610619469026545</v>
      </c>
      <c r="V100" s="57">
        <f>I260</f>
        <v>95.857162784209791</v>
      </c>
      <c r="W100" s="57">
        <f>I261</f>
        <v>90.668740279937794</v>
      </c>
      <c r="X100" s="57">
        <f>I262</f>
        <v>88.229166666666671</v>
      </c>
      <c r="AC100" t="s">
        <v>196</v>
      </c>
      <c r="AD100" s="51"/>
      <c r="AE100" s="51"/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5.209763929483126E-3</v>
      </c>
      <c r="AM100" s="18">
        <f>SQRT(SUM((AX94*AM94-AM94*AM94)/AU94,(AX95*AM95-AM95*AM95)/AU95,(AX96*AM96-AM96*AM96)/AU96,(AX97*AM97-AM97*AM97)/AU97,(AX98*AM98-AM98*AM98)/AU98))</f>
        <v>0.14332180264532599</v>
      </c>
      <c r="AN100" s="18">
        <f>SQRT(SUM((AX94*AN94-AN94*AN94)/AU94,(AX95*AN95-AN95*AN95)/AU95,(AX96*AN96-AN96*AN96)/AU96,(AX97*AN97-AN97*AN97)/AU97,(AX98*AN98-AN98*AN98)/AU98))</f>
        <v>0.17467590812406616</v>
      </c>
      <c r="AO100" s="18">
        <f>SQRT(SUM((AX94*AO94-AO94*AO94)/AU94,(AX95*AO95-AO95*AO95)/AU95,(AX96*AO96-AO96*AO96)/AU96,(AX97*AO97-AO97*AO97)/AU97,(AX98*AO98-AO98*AO98)/AU98))</f>
        <v>0.18909404723040968</v>
      </c>
      <c r="AP100" s="18">
        <f>SQRT(SUM((AX94*AP94-AP94*AP94)/AU94,(AX95*AP95-AP95*AP95)/AU95,(AX96*AP96-AP96*AP96)/AU96,(AX97*AP97-AP97*AP97)/AU97,(AX98*AP98-AP98*AP98)/AU98))</f>
        <v>0.16148557814464901</v>
      </c>
      <c r="AQ100" s="1"/>
      <c r="AR100" s="56">
        <f>(AL94+AM95+AN96+AO97+AP98)/AQ99</f>
        <v>0.9363108913692294</v>
      </c>
      <c r="AS100" s="53">
        <f>SQRT(SUM(AY94:AY98))/100</f>
        <v>2.3555218478968389E-3</v>
      </c>
      <c r="AV100" s="1"/>
      <c r="AW100" s="9"/>
    </row>
    <row r="101" spans="1:51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56</v>
      </c>
      <c r="O101" s="13"/>
      <c r="P101" s="13"/>
      <c r="S101" s="66" t="s">
        <v>39</v>
      </c>
      <c r="T101" s="67">
        <f>J258</f>
        <v>0.3861003861003835</v>
      </c>
      <c r="U101" s="67">
        <f>J259</f>
        <v>1.7920281254034289</v>
      </c>
      <c r="V101" s="67">
        <f>J260</f>
        <v>0.23537602342356445</v>
      </c>
      <c r="W101" s="67">
        <f>J261</f>
        <v>0.57365118008003868</v>
      </c>
      <c r="X101" s="67">
        <f>J262</f>
        <v>1.0406397005761634</v>
      </c>
      <c r="AC101" t="s">
        <v>197</v>
      </c>
      <c r="AD101" s="51"/>
      <c r="AE101" s="51"/>
      <c r="AK101" s="1" t="s">
        <v>30</v>
      </c>
      <c r="AL101" s="17">
        <f>AL94/AL99*100</f>
        <v>100</v>
      </c>
      <c r="AM101" s="17">
        <f>AM95/AM99*100</f>
        <v>68.145281961292497</v>
      </c>
      <c r="AN101" s="17">
        <f>AN96/AN99*100</f>
        <v>98.255706967375062</v>
      </c>
      <c r="AO101" s="17">
        <f>AO97/AO99*100</f>
        <v>92.79570408854471</v>
      </c>
      <c r="AP101" s="17">
        <f>AP98/AP99*100</f>
        <v>83.237622965561343</v>
      </c>
      <c r="AQ101" s="1"/>
    </row>
    <row r="102" spans="1:51" x14ac:dyDescent="0.3">
      <c r="A102" t="s">
        <v>3</v>
      </c>
      <c r="B102" s="13">
        <v>0</v>
      </c>
      <c r="C102" s="26">
        <v>259</v>
      </c>
      <c r="D102" s="3">
        <v>0</v>
      </c>
      <c r="E102" s="3">
        <v>0</v>
      </c>
      <c r="F102" s="3">
        <v>0</v>
      </c>
      <c r="G102" s="4">
        <v>0</v>
      </c>
      <c r="H102" s="1">
        <f>SUM(C102:G102)</f>
        <v>259</v>
      </c>
      <c r="I102" s="10">
        <f>C102/H102</f>
        <v>1</v>
      </c>
      <c r="J102" s="11">
        <f>1-I102</f>
        <v>0</v>
      </c>
      <c r="K102">
        <f>H102-C107</f>
        <v>-1</v>
      </c>
      <c r="N102" s="10">
        <f>2*(C108*I102)/(C108+I102)</f>
        <v>0.9980732177263969</v>
      </c>
      <c r="O102" s="1"/>
      <c r="P102" s="1"/>
      <c r="S102" s="66" t="s">
        <v>56</v>
      </c>
      <c r="T102" s="67">
        <f>N247*100</f>
        <v>99.421965317919074</v>
      </c>
      <c r="U102" s="67">
        <f>N248*100</f>
        <v>70.798569725864127</v>
      </c>
      <c r="V102" s="67">
        <f>N249*100</f>
        <v>97.10329235551788</v>
      </c>
      <c r="W102" s="67">
        <f>N250*100</f>
        <v>91.433052342677897</v>
      </c>
      <c r="X102" s="67">
        <f>N251*100</f>
        <v>85.340050377833748</v>
      </c>
      <c r="AC102" t="s">
        <v>198</v>
      </c>
      <c r="AD102" s="51"/>
      <c r="AE102" s="51"/>
      <c r="AH102" s="78"/>
      <c r="AI102" s="78"/>
      <c r="AK102" s="16" t="s">
        <v>39</v>
      </c>
      <c r="AL102" s="18">
        <f>SQRT((AL105+AL106)/(AL99*AL99))</f>
        <v>0</v>
      </c>
      <c r="AM102" s="18">
        <f>SQRT((AM105+AM106)/(AM99*AM99))</f>
        <v>4.2008684570446011</v>
      </c>
      <c r="AN102" s="18">
        <f>SQRT((AN105+AN106)/(AN99*AN99))</f>
        <v>0.17833862027593847</v>
      </c>
      <c r="AO102" s="18">
        <f>SQRT((AO105+AO106)/(AO99*AO99))</f>
        <v>0.62950154269041958</v>
      </c>
      <c r="AP102" s="18">
        <f>SQRT((AP105+AP106)/(AP99*AP99))</f>
        <v>1.8977164103569939</v>
      </c>
      <c r="AQ102" s="1"/>
    </row>
    <row r="103" spans="1:51" x14ac:dyDescent="0.3">
      <c r="A103" t="s">
        <v>4</v>
      </c>
      <c r="B103" s="13">
        <v>1</v>
      </c>
      <c r="C103" s="5">
        <v>0</v>
      </c>
      <c r="D103" s="27">
        <v>306</v>
      </c>
      <c r="E103" s="1">
        <v>21</v>
      </c>
      <c r="F103" s="1">
        <v>0</v>
      </c>
      <c r="G103" s="6">
        <v>12</v>
      </c>
      <c r="H103" s="1">
        <f>SUM(C103:G103)</f>
        <v>339</v>
      </c>
      <c r="I103" s="10">
        <f>D103/H103</f>
        <v>0.90265486725663713</v>
      </c>
      <c r="J103" s="11">
        <f>1-I103</f>
        <v>9.7345132743362872E-2</v>
      </c>
      <c r="K103">
        <f>H103-D107</f>
        <v>-202</v>
      </c>
      <c r="N103" s="10">
        <f>2*(D108*I103)/(D108+I103)</f>
        <v>0.69545454545454544</v>
      </c>
      <c r="O103" s="1"/>
      <c r="P103" s="1"/>
      <c r="R103" s="16" t="s">
        <v>66</v>
      </c>
      <c r="S103" t="s">
        <v>9</v>
      </c>
      <c r="T103" s="30">
        <f>N258</f>
        <v>2663.75</v>
      </c>
      <c r="U103" s="30">
        <f>N259</f>
        <v>7872.18</v>
      </c>
      <c r="V103" s="30">
        <f>N260</f>
        <v>113067.44</v>
      </c>
      <c r="W103" s="30">
        <f>N261</f>
        <v>47406.61</v>
      </c>
      <c r="X103" s="30">
        <f>N262</f>
        <v>18788.93</v>
      </c>
      <c r="Z103" t="s">
        <v>36</v>
      </c>
      <c r="AA103" s="1">
        <f>N263</f>
        <v>189798.90999999997</v>
      </c>
      <c r="AC103" t="s">
        <v>199</v>
      </c>
      <c r="AD103" s="51"/>
      <c r="AE103" s="51"/>
      <c r="AK103" s="1" t="s">
        <v>37</v>
      </c>
      <c r="AL103" s="18">
        <f>100-AL101</f>
        <v>0</v>
      </c>
      <c r="AM103" s="18">
        <f>100-AM101</f>
        <v>31.854718038707503</v>
      </c>
      <c r="AN103" s="18">
        <f>100-AN101</f>
        <v>1.7442930326249382</v>
      </c>
      <c r="AO103" s="18">
        <f>100-AO101</f>
        <v>7.20429591145529</v>
      </c>
      <c r="AP103" s="18">
        <f>100-AP101</f>
        <v>16.762377034438657</v>
      </c>
    </row>
    <row r="104" spans="1:51" ht="15.6" x14ac:dyDescent="0.35">
      <c r="A104" t="s">
        <v>5</v>
      </c>
      <c r="B104" s="13">
        <v>2</v>
      </c>
      <c r="C104" s="5">
        <v>0</v>
      </c>
      <c r="D104" s="1">
        <v>207</v>
      </c>
      <c r="E104" s="27">
        <v>6846</v>
      </c>
      <c r="F104" s="1">
        <v>95</v>
      </c>
      <c r="G104" s="6">
        <v>21</v>
      </c>
      <c r="H104" s="1">
        <f>SUM(C104:G104)</f>
        <v>7169</v>
      </c>
      <c r="I104" s="10">
        <f>E104/H104</f>
        <v>0.95494490165992463</v>
      </c>
      <c r="J104" s="11">
        <f>1-I104</f>
        <v>4.5055098340075372E-2</v>
      </c>
      <c r="K104">
        <f>H104-E107</f>
        <v>221</v>
      </c>
      <c r="N104" s="10">
        <f>2*(E108*I104)/(E108+I104)</f>
        <v>0.96989445349578518</v>
      </c>
      <c r="O104" s="1"/>
      <c r="P104" s="1"/>
      <c r="R104" s="16" t="s">
        <v>323</v>
      </c>
      <c r="S104" t="s">
        <v>68</v>
      </c>
      <c r="T104" s="57">
        <f>$AA103*T96/100</f>
        <v>2691.4688609801551</v>
      </c>
      <c r="U104" s="57">
        <f>$AA103*U96/100</f>
        <v>10165.02650853977</v>
      </c>
      <c r="V104" s="57">
        <f>$AA103*V96/100</f>
        <v>110610.18321043733</v>
      </c>
      <c r="W104" s="57">
        <f>$AA103*W96/100</f>
        <v>46460.725811897471</v>
      </c>
      <c r="X104" s="57">
        <f>$AA103*X96/100</f>
        <v>19871.505608145246</v>
      </c>
      <c r="Z104" t="s">
        <v>36</v>
      </c>
      <c r="AA104" s="25">
        <f>SUM(T104:X104)</f>
        <v>189798.90999999995</v>
      </c>
      <c r="AC104" t="s">
        <v>200</v>
      </c>
      <c r="AD104" s="51"/>
      <c r="AE104" s="51"/>
      <c r="AH104" s="78"/>
      <c r="AI104" s="78"/>
      <c r="AK104" s="1" t="s">
        <v>25</v>
      </c>
      <c r="AL104" s="1">
        <f>AL88</f>
        <v>258</v>
      </c>
      <c r="AM104" s="1">
        <f>AM88</f>
        <v>524</v>
      </c>
      <c r="AN104" s="1">
        <f>AN88</f>
        <v>6960</v>
      </c>
      <c r="AO104" s="1">
        <f>AO88</f>
        <v>2527</v>
      </c>
      <c r="AP104" s="1">
        <f>AP88</f>
        <v>1030</v>
      </c>
    </row>
    <row r="105" spans="1:51" x14ac:dyDescent="0.3">
      <c r="A105" t="s">
        <v>6</v>
      </c>
      <c r="B105" s="13">
        <v>3</v>
      </c>
      <c r="C105" s="5">
        <v>0</v>
      </c>
      <c r="D105" s="1">
        <v>28</v>
      </c>
      <c r="E105" s="1">
        <v>68</v>
      </c>
      <c r="F105" s="27">
        <v>2321</v>
      </c>
      <c r="G105" s="6">
        <v>155</v>
      </c>
      <c r="H105" s="1">
        <f>SUM(C105:G105)</f>
        <v>2572</v>
      </c>
      <c r="I105" s="10">
        <f>F105/H105</f>
        <v>0.90241057542768277</v>
      </c>
      <c r="J105" s="11">
        <f>1-I105</f>
        <v>9.7589424572317229E-2</v>
      </c>
      <c r="K105">
        <f>H105-F107</f>
        <v>54</v>
      </c>
      <c r="N105" s="10">
        <f>2*(F108*I105)/(F108+I105)</f>
        <v>0.91198428290766209</v>
      </c>
      <c r="O105" s="1"/>
      <c r="P105" s="1"/>
      <c r="R105" s="66"/>
      <c r="S105" s="66" t="s">
        <v>67</v>
      </c>
      <c r="T105" s="67">
        <f>$AA103*T97/100</f>
        <v>28.768446895639382</v>
      </c>
      <c r="U105" s="67">
        <f>$AA103*U97/100</f>
        <v>267.26553210647523</v>
      </c>
      <c r="V105" s="67">
        <f>$AA103*V97/100</f>
        <v>336.49095946841641</v>
      </c>
      <c r="W105" s="67">
        <f>$AA103*W97/100</f>
        <v>363.1065534367346</v>
      </c>
      <c r="X105" s="67">
        <f>$AA103*X97/100</f>
        <v>310.89035977284072</v>
      </c>
      <c r="AA105" s="1"/>
      <c r="AC105" t="s">
        <v>201</v>
      </c>
      <c r="AD105" s="51"/>
      <c r="AE105" s="51"/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526.63114559058602</v>
      </c>
      <c r="AN105" s="18">
        <f>(AX96*AX96*(100-AN101)*(100-AN101)*(AR96)*(100-AR96))/((AU96-1)*100)</f>
        <v>6.1149627973381691</v>
      </c>
      <c r="AO105" s="18">
        <f>(AX97*AX97*(100-AO101)*(100-AO101)*(AR97)*(100-AR97))/((AU97-1)*100)</f>
        <v>106.0432302086753</v>
      </c>
      <c r="AP105" s="18">
        <f>(AX98*AX98*(100-AP101)*(100-AP101)*(AR98)*(100-AR98))/((AU98-1)*100)</f>
        <v>273.61867140464005</v>
      </c>
    </row>
    <row r="106" spans="1:51" x14ac:dyDescent="0.3">
      <c r="A106" t="s">
        <v>7</v>
      </c>
      <c r="B106" s="13">
        <v>4</v>
      </c>
      <c r="C106" s="7">
        <v>1</v>
      </c>
      <c r="D106" s="8">
        <v>0</v>
      </c>
      <c r="E106" s="8">
        <v>13</v>
      </c>
      <c r="F106" s="8">
        <v>102</v>
      </c>
      <c r="G106" s="28">
        <v>844</v>
      </c>
      <c r="H106" s="1">
        <f>SUM(C106:G106)</f>
        <v>960</v>
      </c>
      <c r="I106" s="10">
        <f>G106/H106</f>
        <v>0.87916666666666665</v>
      </c>
      <c r="J106" s="11">
        <f>1-I106</f>
        <v>0.12083333333333335</v>
      </c>
      <c r="K106">
        <f>H106-G107</f>
        <v>-72</v>
      </c>
      <c r="N106" s="10">
        <f>2*(G108*I106)/(G108+I106)</f>
        <v>0.84738955823293183</v>
      </c>
      <c r="O106" s="1"/>
      <c r="P106" s="1"/>
      <c r="R106" t="s">
        <v>102</v>
      </c>
      <c r="S106" t="s">
        <v>28</v>
      </c>
      <c r="T106" s="57">
        <f>C292</f>
        <v>1.4400334609441092</v>
      </c>
      <c r="U106" s="57">
        <f t="shared" ref="U106:X109" si="16">D292</f>
        <v>5.9089923390628591</v>
      </c>
      <c r="V106" s="57">
        <f t="shared" si="16"/>
        <v>58.10261241573324</v>
      </c>
      <c r="W106" s="57">
        <f t="shared" si="16"/>
        <v>24.31431861901531</v>
      </c>
      <c r="X106" s="57">
        <f t="shared" si="16"/>
        <v>10.234043165244488</v>
      </c>
      <c r="Y106" s="60"/>
      <c r="Z106" s="74"/>
      <c r="AA106" s="12"/>
      <c r="AC106" t="s">
        <v>202</v>
      </c>
      <c r="AD106" s="51"/>
      <c r="AE106" s="51"/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71.371646462342014</v>
      </c>
      <c r="AN106" s="18">
        <f>AN101*AN101*(SUM((AQ94*AN94*(1-AN83/AQ83))/(AQ83-1),(AQ95*AN95*(1-AN84/AQ84))/(AQ84-1), (AQ97*AN97*(1-AN86/AQ86))/(AQ86-1),(AQ98*AN98*(1-AN87/AQ87))/(AQ87-1)))</f>
        <v>100.69348270022115</v>
      </c>
      <c r="AO106" s="18">
        <f>AO101*AO101*(SUM((AQ94*AO94*(1-AO83/AQ83))/(AQ83-1),(AQ95*AO95*(1-AO84/AQ84))/(AQ84-1), (AQ96*AO96*(1-AO85/AQ85))/(AQ85-1),(AQ98*AO98*(1-AO87/AQ87))/(AQ87-1)))</f>
        <v>132.12198576482356</v>
      </c>
      <c r="AP106" s="18">
        <f>AP101*AP101*(SUM((AQ94*AP94*(1-AP83/AQ83))/(AQ83-1),(AQ95*AP95*(1-AP84/AQ84))/(AQ84-1), (AQ96*AP96*(1-AP85/AQ85))/(AQ85-1),(AQ97*AP97*(1-AP86/AQ86))/(AQ86-1)))</f>
        <v>113.35522272998391</v>
      </c>
    </row>
    <row r="107" spans="1:51" ht="15.6" x14ac:dyDescent="0.35">
      <c r="B107" s="1" t="s">
        <v>19</v>
      </c>
      <c r="C107" s="1">
        <f>SUM(C102:C106)</f>
        <v>260</v>
      </c>
      <c r="D107" s="1">
        <f>SUM(D102:D106)</f>
        <v>541</v>
      </c>
      <c r="E107" s="1">
        <f>SUM(E102:E106)</f>
        <v>6948</v>
      </c>
      <c r="F107" s="1">
        <f>SUM(F102:F106)</f>
        <v>2518</v>
      </c>
      <c r="G107" s="1">
        <f>SUM(G102:G106)</f>
        <v>1032</v>
      </c>
      <c r="H107" s="1">
        <f>SUM(H101:H106)</f>
        <v>11299</v>
      </c>
      <c r="I107" s="13" t="s">
        <v>12</v>
      </c>
      <c r="N107" s="16"/>
      <c r="O107" s="1"/>
      <c r="P107" s="1"/>
      <c r="S107" s="66" t="s">
        <v>39</v>
      </c>
      <c r="T107" s="67">
        <f>C293</f>
        <v>1.7885035752764209E-2</v>
      </c>
      <c r="U107" s="67">
        <f t="shared" si="16"/>
        <v>0.14412748236404113</v>
      </c>
      <c r="V107" s="67">
        <f t="shared" si="16"/>
        <v>0.18202102226205669</v>
      </c>
      <c r="W107" s="67">
        <f t="shared" si="16"/>
        <v>0.19522617041938733</v>
      </c>
      <c r="X107" s="67">
        <f t="shared" si="16"/>
        <v>0.16540054829695788</v>
      </c>
      <c r="AC107" t="s">
        <v>203</v>
      </c>
      <c r="AD107" s="51"/>
      <c r="AE107" s="51"/>
    </row>
    <row r="108" spans="1:51" x14ac:dyDescent="0.3">
      <c r="A108" s="1" t="s">
        <v>321</v>
      </c>
      <c r="B108" s="1" t="s">
        <v>2</v>
      </c>
      <c r="C108" s="10">
        <f>C102/C107</f>
        <v>0.99615384615384617</v>
      </c>
      <c r="D108" s="10">
        <f>D103/D107</f>
        <v>0.56561922365988915</v>
      </c>
      <c r="E108" s="10">
        <f>E104/E107</f>
        <v>0.98531951640759929</v>
      </c>
      <c r="F108" s="10">
        <f>F105/F107</f>
        <v>0.92176330420969022</v>
      </c>
      <c r="G108" s="10">
        <f>G106/G107</f>
        <v>0.81782945736434109</v>
      </c>
      <c r="H108" s="10"/>
      <c r="I108" s="14">
        <f>(C102+D103+E104+F105+G106)/H107</f>
        <v>0.93601203646340381</v>
      </c>
      <c r="S108" t="s">
        <v>30</v>
      </c>
      <c r="T108" s="57">
        <f>C294</f>
        <v>97.950559125510097</v>
      </c>
      <c r="U108" s="57">
        <f t="shared" si="16"/>
        <v>68.156646286779051</v>
      </c>
      <c r="V108" s="57">
        <f t="shared" si="16"/>
        <v>97.835495176468385</v>
      </c>
      <c r="W108" s="57">
        <f t="shared" si="16"/>
        <v>92.706917983199872</v>
      </c>
      <c r="X108" s="57">
        <f t="shared" si="16"/>
        <v>82.092425099471868</v>
      </c>
      <c r="AC108" t="s">
        <v>204</v>
      </c>
      <c r="AD108" s="51"/>
      <c r="AE108" s="51"/>
      <c r="AH108" s="78"/>
      <c r="AI108" s="78"/>
      <c r="AJ108" s="118" t="s">
        <v>375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</row>
    <row r="109" spans="1:51" x14ac:dyDescent="0.3">
      <c r="B109" s="1" t="s">
        <v>14</v>
      </c>
      <c r="C109" s="11">
        <f>1-C108</f>
        <v>3.8461538461538325E-3</v>
      </c>
      <c r="D109" s="11">
        <f>1-D108</f>
        <v>0.43438077634011085</v>
      </c>
      <c r="E109" s="11">
        <f>1-E108</f>
        <v>1.4680483592400706E-2</v>
      </c>
      <c r="F109" s="11">
        <f>1-F108</f>
        <v>7.8236695790309785E-2</v>
      </c>
      <c r="G109" s="11">
        <f>1-G108</f>
        <v>0.18217054263565891</v>
      </c>
      <c r="S109" s="66" t="s">
        <v>39</v>
      </c>
      <c r="T109" s="67">
        <f>C295</f>
        <v>1.3958597269815451</v>
      </c>
      <c r="U109" s="67">
        <f t="shared" si="16"/>
        <v>4.1360057499650527</v>
      </c>
      <c r="V109" s="67">
        <f t="shared" si="16"/>
        <v>0.19760700029675993</v>
      </c>
      <c r="W109" s="67">
        <f t="shared" si="16"/>
        <v>0.65384799229002655</v>
      </c>
      <c r="X109" s="67">
        <f t="shared" si="16"/>
        <v>2.0513598661913521</v>
      </c>
      <c r="AC109" t="s">
        <v>205</v>
      </c>
      <c r="AD109" s="51"/>
      <c r="AE109" s="51"/>
      <c r="AJ109" s="106" t="s">
        <v>439</v>
      </c>
      <c r="AK109" s="107" t="s">
        <v>28</v>
      </c>
      <c r="AL109" s="108">
        <f t="shared" ref="AL109:AP112" si="17">AL99</f>
        <v>1.3467214565408381</v>
      </c>
      <c r="AM109" s="108">
        <f t="shared" si="17"/>
        <v>5.821200034951759</v>
      </c>
      <c r="AN109" s="108">
        <f t="shared" si="17"/>
        <v>57.950527668842582</v>
      </c>
      <c r="AO109" s="108">
        <f t="shared" si="17"/>
        <v>24.515591027915374</v>
      </c>
      <c r="AP109" s="108">
        <f t="shared" si="17"/>
        <v>10.365959811749454</v>
      </c>
      <c r="AQ109" s="107"/>
      <c r="AR109" s="232" t="s">
        <v>77</v>
      </c>
      <c r="AS109" s="233">
        <f>AR100</f>
        <v>0.9363108913692294</v>
      </c>
    </row>
    <row r="110" spans="1:51" x14ac:dyDescent="0.3">
      <c r="C110" s="2"/>
      <c r="S110" s="15" t="s">
        <v>31</v>
      </c>
      <c r="T110" s="71">
        <f>I287</f>
        <v>99.613899613899619</v>
      </c>
      <c r="U110" s="71">
        <f>I288</f>
        <v>90.26548672566372</v>
      </c>
      <c r="V110" s="71">
        <f>I289</f>
        <v>95.675826475101132</v>
      </c>
      <c r="W110" s="71">
        <f>I290</f>
        <v>89.618973561430806</v>
      </c>
      <c r="X110" s="71">
        <f>I291</f>
        <v>87.916666666666671</v>
      </c>
      <c r="AC110" t="s">
        <v>206</v>
      </c>
      <c r="AD110" s="51"/>
      <c r="AE110" s="51"/>
      <c r="AH110" s="78"/>
      <c r="AI110" s="78"/>
      <c r="AJ110" s="107"/>
      <c r="AK110" s="109" t="s">
        <v>39</v>
      </c>
      <c r="AL110" s="110">
        <f t="shared" si="17"/>
        <v>5.209763929483126E-3</v>
      </c>
      <c r="AM110" s="110">
        <f t="shared" si="17"/>
        <v>0.14332180264532599</v>
      </c>
      <c r="AN110" s="110">
        <f t="shared" si="17"/>
        <v>0.17467590812406616</v>
      </c>
      <c r="AO110" s="110">
        <f t="shared" si="17"/>
        <v>0.18909404723040968</v>
      </c>
      <c r="AP110" s="110">
        <f t="shared" si="17"/>
        <v>0.16148557814464901</v>
      </c>
      <c r="AQ110" s="107"/>
      <c r="AR110" s="232" t="s">
        <v>29</v>
      </c>
      <c r="AS110" s="234">
        <f>AS100</f>
        <v>2.3555218478968389E-3</v>
      </c>
      <c r="AX110" s="103" t="s">
        <v>386</v>
      </c>
    </row>
    <row r="111" spans="1:51" ht="15.6" x14ac:dyDescent="0.35">
      <c r="A111" t="s">
        <v>322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0.3861003861003835</v>
      </c>
      <c r="U111" s="76">
        <f>J288</f>
        <v>1.6123511616510564</v>
      </c>
      <c r="V111" s="76">
        <f>J289</f>
        <v>0.24024461928403082</v>
      </c>
      <c r="W111" s="76">
        <f>J290</f>
        <v>0.60154634584493638</v>
      </c>
      <c r="X111" s="76">
        <f>J291</f>
        <v>1.0524941274466006</v>
      </c>
      <c r="AC111" t="s">
        <v>160</v>
      </c>
      <c r="AD111" s="51"/>
      <c r="AE111" s="51"/>
      <c r="AJ111" s="107"/>
      <c r="AK111" s="107" t="s">
        <v>30</v>
      </c>
      <c r="AL111" s="108">
        <f t="shared" si="17"/>
        <v>100</v>
      </c>
      <c r="AM111" s="108">
        <f t="shared" si="17"/>
        <v>68.145281961292497</v>
      </c>
      <c r="AN111" s="108">
        <f t="shared" si="17"/>
        <v>98.255706967375062</v>
      </c>
      <c r="AO111" s="108">
        <f t="shared" si="17"/>
        <v>92.79570408854471</v>
      </c>
      <c r="AP111" s="108">
        <f t="shared" si="17"/>
        <v>83.237622965561343</v>
      </c>
      <c r="AQ111" s="107"/>
      <c r="AR111" s="107"/>
      <c r="AS111" s="107"/>
      <c r="AU111" s="103" t="s">
        <v>386</v>
      </c>
      <c r="AW111" s="101"/>
      <c r="AX111" s="1" t="s">
        <v>380</v>
      </c>
      <c r="AY111" s="96"/>
    </row>
    <row r="112" spans="1:51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56</v>
      </c>
      <c r="T112" s="67">
        <f>N276*100</f>
        <v>99.230769230769226</v>
      </c>
      <c r="U112" s="67">
        <f>N277*100</f>
        <v>70.588235294117638</v>
      </c>
      <c r="V112" s="67">
        <f>N278*100</f>
        <v>96.953848328503796</v>
      </c>
      <c r="W112" s="67">
        <f>N279*100</f>
        <v>90.891167192429023</v>
      </c>
      <c r="X112" s="67">
        <f>N280*100</f>
        <v>84.824120603015089</v>
      </c>
      <c r="AC112" t="s">
        <v>207</v>
      </c>
      <c r="AD112" s="51"/>
      <c r="AE112" s="51"/>
      <c r="AH112" s="78"/>
      <c r="AI112" s="78"/>
      <c r="AJ112" s="107"/>
      <c r="AK112" s="109" t="s">
        <v>39</v>
      </c>
      <c r="AL112" s="110">
        <f t="shared" si="17"/>
        <v>0</v>
      </c>
      <c r="AM112" s="110">
        <f t="shared" si="17"/>
        <v>4.2008684570446011</v>
      </c>
      <c r="AN112" s="110">
        <f t="shared" si="17"/>
        <v>0.17833862027593847</v>
      </c>
      <c r="AO112" s="110">
        <f t="shared" si="17"/>
        <v>0.62950154269041958</v>
      </c>
      <c r="AP112" s="110">
        <f t="shared" si="17"/>
        <v>1.8977164103569939</v>
      </c>
      <c r="AQ112" s="107"/>
      <c r="AR112" s="107"/>
      <c r="AS112" s="107"/>
      <c r="AU112" s="93"/>
      <c r="AV112" s="1" t="s">
        <v>380</v>
      </c>
      <c r="AW112" s="97"/>
      <c r="AX112" s="71" t="s">
        <v>381</v>
      </c>
      <c r="AY112" s="95"/>
    </row>
    <row r="113" spans="1:51" x14ac:dyDescent="0.3">
      <c r="A113" t="s">
        <v>3</v>
      </c>
      <c r="B113" s="13">
        <v>0</v>
      </c>
      <c r="C113" s="29">
        <f>(C102/$L113)*$O113</f>
        <v>1.3870468809833056</v>
      </c>
      <c r="D113" s="31">
        <f>(D102/$L113)*$O113</f>
        <v>0</v>
      </c>
      <c r="E113" s="31">
        <f>(E102/$L113)*$O113</f>
        <v>0</v>
      </c>
      <c r="F113" s="31">
        <f>(F102/$L113)*$O113</f>
        <v>0</v>
      </c>
      <c r="G113" s="32">
        <f>(G102/$L113)*$O113</f>
        <v>0</v>
      </c>
      <c r="H113" s="17">
        <f>SUM(C113:G113)</f>
        <v>1.3870468809833056</v>
      </c>
      <c r="I113" s="17">
        <f>C113/H113*100</f>
        <v>100</v>
      </c>
      <c r="J113" s="17">
        <f>SQRT(I113*(100-I113)/(L113-1))</f>
        <v>0</v>
      </c>
      <c r="K113" s="18">
        <f>100-I113</f>
        <v>0</v>
      </c>
      <c r="L113" s="1">
        <f>H102</f>
        <v>259</v>
      </c>
      <c r="M113">
        <v>0</v>
      </c>
      <c r="N113" s="1">
        <v>2632.6</v>
      </c>
      <c r="O113" s="17">
        <f>N113/N118*100</f>
        <v>1.3870468809833056</v>
      </c>
      <c r="P113" s="52">
        <f>((O113*O113*(I113/100)*(K113/100))/(L113-1))</f>
        <v>0</v>
      </c>
      <c r="R113" s="16" t="s">
        <v>66</v>
      </c>
      <c r="S113" t="s">
        <v>9</v>
      </c>
      <c r="T113" s="30">
        <f>N287</f>
        <v>2687.53</v>
      </c>
      <c r="U113" s="30">
        <f>N288</f>
        <v>8468.25</v>
      </c>
      <c r="V113" s="30">
        <f>N289</f>
        <v>112767.42</v>
      </c>
      <c r="W113" s="30">
        <f>N290</f>
        <v>47738.42</v>
      </c>
      <c r="X113" s="30">
        <f>N291</f>
        <v>18137.310000000001</v>
      </c>
      <c r="Z113" t="s">
        <v>36</v>
      </c>
      <c r="AA113" s="1">
        <f>N292</f>
        <v>189798.93</v>
      </c>
      <c r="AC113" t="s">
        <v>161</v>
      </c>
      <c r="AD113" s="51"/>
      <c r="AE113" s="51"/>
      <c r="AJ113" s="107"/>
      <c r="AK113" s="111" t="s">
        <v>31</v>
      </c>
      <c r="AL113" s="112">
        <f>AR94</f>
        <v>99.613899613899619</v>
      </c>
      <c r="AM113" s="112">
        <f>AR95</f>
        <v>89.970501474926252</v>
      </c>
      <c r="AN113" s="112">
        <f>AR96</f>
        <v>95.745571209373708</v>
      </c>
      <c r="AO113" s="112">
        <f>AR97</f>
        <v>90.785381026438571</v>
      </c>
      <c r="AP113" s="112">
        <f>AR98</f>
        <v>88.854166666666671</v>
      </c>
      <c r="AQ113" s="107"/>
      <c r="AR113" s="107"/>
      <c r="AS113" s="107"/>
      <c r="AU113" s="94"/>
      <c r="AV113" s="71" t="s">
        <v>383</v>
      </c>
      <c r="AW113" s="98"/>
      <c r="AX113" s="71" t="s">
        <v>382</v>
      </c>
      <c r="AY113" s="93"/>
    </row>
    <row r="114" spans="1:51" ht="15.6" x14ac:dyDescent="0.35">
      <c r="A114" t="s">
        <v>4</v>
      </c>
      <c r="B114" s="13">
        <v>1</v>
      </c>
      <c r="C114" s="33">
        <f t="shared" ref="C114:G117" si="18">(C103/$L114)*$O114</f>
        <v>0</v>
      </c>
      <c r="D114" s="34">
        <f t="shared" si="18"/>
        <v>4.0778117466986936</v>
      </c>
      <c r="E114" s="19">
        <f t="shared" si="18"/>
        <v>0.27984982575383188</v>
      </c>
      <c r="F114" s="18">
        <f t="shared" si="18"/>
        <v>0</v>
      </c>
      <c r="G114" s="20">
        <f t="shared" si="18"/>
        <v>0.15991418614504679</v>
      </c>
      <c r="H114" s="17">
        <f>SUM(C114:G114)</f>
        <v>4.5175757585975722</v>
      </c>
      <c r="I114" s="17">
        <f>D114/H114*100</f>
        <v>90.26548672566372</v>
      </c>
      <c r="J114" s="17">
        <f>SQRT(I114*(100-I114)/(L114-1))</f>
        <v>1.6123511616510564</v>
      </c>
      <c r="K114" s="18">
        <f>100-I114</f>
        <v>9.7345132743362797</v>
      </c>
      <c r="L114" s="1">
        <f>H103</f>
        <v>339</v>
      </c>
      <c r="M114">
        <v>1</v>
      </c>
      <c r="N114" s="1">
        <v>8574.31</v>
      </c>
      <c r="O114" s="17">
        <f>N114/N118*100</f>
        <v>4.5175757585975722</v>
      </c>
      <c r="P114" s="52">
        <f>((O114*O114*(I114/100)*(K114/100))/(L114-1))</f>
        <v>5.3055469038360689E-3</v>
      </c>
      <c r="R114" s="16" t="s">
        <v>323</v>
      </c>
      <c r="S114" t="s">
        <v>68</v>
      </c>
      <c r="T114" s="57">
        <f>$AA113*T106/100</f>
        <v>2733.1681005138871</v>
      </c>
      <c r="U114" s="57">
        <f>$AA113*U106/100</f>
        <v>11215.204233323277</v>
      </c>
      <c r="V114" s="57">
        <f>$AA113*V106/100</f>
        <v>110278.13666710883</v>
      </c>
      <c r="W114" s="57">
        <f>$AA113*W106/100</f>
        <v>46148.316575681834</v>
      </c>
      <c r="X114" s="57">
        <f>$AA113*X106/100</f>
        <v>19424.10442337217</v>
      </c>
      <c r="Z114" t="s">
        <v>36</v>
      </c>
      <c r="AA114" s="25">
        <f>SUM(T114:X114)</f>
        <v>189798.93</v>
      </c>
      <c r="AC114" t="s">
        <v>208</v>
      </c>
      <c r="AD114" s="51"/>
      <c r="AE114" s="51"/>
      <c r="AH114" s="78"/>
      <c r="AI114" s="78"/>
      <c r="AJ114" s="107"/>
      <c r="AK114" s="113" t="s">
        <v>39</v>
      </c>
      <c r="AL114" s="114">
        <f>AS94</f>
        <v>0.3861003861003835</v>
      </c>
      <c r="AM114" s="114">
        <f>AS95</f>
        <v>1.6339220356155837</v>
      </c>
      <c r="AN114" s="114">
        <f>AS96</f>
        <v>0.23838612730840067</v>
      </c>
      <c r="AO114" s="114">
        <f>AS97</f>
        <v>0.57042114084105178</v>
      </c>
      <c r="AP114" s="114">
        <f>AS98</f>
        <v>1.0162156240770146</v>
      </c>
      <c r="AQ114" s="107"/>
      <c r="AR114" s="107"/>
      <c r="AS114" s="107"/>
      <c r="AU114" s="95"/>
      <c r="AV114" s="1" t="s">
        <v>384</v>
      </c>
      <c r="AW114" s="99"/>
      <c r="AX114" s="1" t="s">
        <v>387</v>
      </c>
      <c r="AY114" s="99"/>
    </row>
    <row r="115" spans="1:51" x14ac:dyDescent="0.3">
      <c r="A115" t="s">
        <v>5</v>
      </c>
      <c r="B115" s="13">
        <v>2</v>
      </c>
      <c r="C115" s="33">
        <f t="shared" si="18"/>
        <v>0</v>
      </c>
      <c r="D115" s="19">
        <f t="shared" si="18"/>
        <v>1.7196514030563488</v>
      </c>
      <c r="E115" s="34">
        <f t="shared" si="18"/>
        <v>56.873108721370834</v>
      </c>
      <c r="F115" s="19">
        <f t="shared" si="18"/>
        <v>0.78921199657175423</v>
      </c>
      <c r="G115" s="20">
        <f t="shared" si="18"/>
        <v>0.17445738871586147</v>
      </c>
      <c r="H115" s="17">
        <f>SUM(C115:G115)</f>
        <v>59.556429509714789</v>
      </c>
      <c r="I115" s="17">
        <f>E115/H115*100</f>
        <v>95.494490165992488</v>
      </c>
      <c r="J115" s="17">
        <f>SQRT(I115*(100-I115)/(L115-1))</f>
        <v>0.24499776913855784</v>
      </c>
      <c r="K115" s="18">
        <f>100-I115</f>
        <v>4.5055098340075119</v>
      </c>
      <c r="L115" s="1">
        <f>H104</f>
        <v>7169</v>
      </c>
      <c r="M115">
        <v>2</v>
      </c>
      <c r="N115" s="1">
        <v>113037.46</v>
      </c>
      <c r="O115" s="17">
        <f>N115/N118*100</f>
        <v>59.556429509714803</v>
      </c>
      <c r="P115" s="52">
        <f>((O115*O115*(I115/100)*(K115/100))/(L115-1))</f>
        <v>2.1290289471233275E-2</v>
      </c>
      <c r="R115" s="66"/>
      <c r="S115" s="66" t="s">
        <v>67</v>
      </c>
      <c r="T115" s="67">
        <f>$AA113*T107/100</f>
        <v>33.945606488863916</v>
      </c>
      <c r="U115" s="67">
        <f>$AA113*U107/100</f>
        <v>273.55241936288877</v>
      </c>
      <c r="V115" s="67">
        <f>$AA113*V107/100</f>
        <v>345.47395262844543</v>
      </c>
      <c r="W115" s="67">
        <f>$AA113*W107/100</f>
        <v>370.53718253597361</v>
      </c>
      <c r="X115" s="67">
        <f>$AA113*X107/100</f>
        <v>313.92847088175927</v>
      </c>
      <c r="AA115" s="1"/>
      <c r="AC115" t="s">
        <v>209</v>
      </c>
      <c r="AD115" s="51"/>
      <c r="AE115" s="51"/>
      <c r="AJ115" s="107"/>
      <c r="AK115" s="109" t="s">
        <v>56</v>
      </c>
      <c r="AL115" s="110">
        <f>AW83*100</f>
        <v>99.806576402321085</v>
      </c>
      <c r="AM115" s="110">
        <f>AW84*100</f>
        <v>70.683661645422944</v>
      </c>
      <c r="AN115" s="110">
        <f>AW85*100</f>
        <v>97.161865666359972</v>
      </c>
      <c r="AO115" s="110">
        <f>AW86*100</f>
        <v>91.586585605020616</v>
      </c>
      <c r="AP115" s="110">
        <f>AW87*100</f>
        <v>85.7286432160804</v>
      </c>
      <c r="AQ115" s="107"/>
      <c r="AR115" s="107"/>
      <c r="AS115" s="107"/>
      <c r="AU115" s="96"/>
      <c r="AV115" s="1" t="s">
        <v>385</v>
      </c>
      <c r="AW115" s="100"/>
      <c r="AX115" s="71" t="s">
        <v>388</v>
      </c>
      <c r="AY115" s="102"/>
    </row>
    <row r="116" spans="1:51" x14ac:dyDescent="0.3">
      <c r="A116" t="s">
        <v>6</v>
      </c>
      <c r="B116" s="13">
        <v>3</v>
      </c>
      <c r="C116" s="33">
        <f t="shared" si="18"/>
        <v>0</v>
      </c>
      <c r="D116" s="19">
        <f t="shared" si="18"/>
        <v>0.26996533532659794</v>
      </c>
      <c r="E116" s="19">
        <f t="shared" si="18"/>
        <v>0.65563010007888067</v>
      </c>
      <c r="F116" s="34">
        <f t="shared" si="18"/>
        <v>22.378197974751206</v>
      </c>
      <c r="G116" s="20">
        <f t="shared" si="18"/>
        <v>1.4944509634150955</v>
      </c>
      <c r="H116" s="17">
        <f>SUM(C116:G116)</f>
        <v>24.79824437357178</v>
      </c>
      <c r="I116" s="17">
        <f>F116/H116*100</f>
        <v>90.241057542768274</v>
      </c>
      <c r="J116" s="17">
        <f>SQRT(I116*(100-I116)/(L116-1))</f>
        <v>0.58526483177595334</v>
      </c>
      <c r="K116" s="18">
        <f>100-I116</f>
        <v>9.7589424572317256</v>
      </c>
      <c r="L116" s="1">
        <f>H105</f>
        <v>2572</v>
      </c>
      <c r="M116">
        <v>3</v>
      </c>
      <c r="N116" s="1">
        <v>47066.8</v>
      </c>
      <c r="O116" s="17">
        <f>N116/N118*100</f>
        <v>24.79824437357178</v>
      </c>
      <c r="P116" s="52">
        <f>((O116*O116*(I116/100)*(K116/100))/(L116-1))</f>
        <v>2.1064285266779666E-2</v>
      </c>
      <c r="R116" t="s">
        <v>103</v>
      </c>
      <c r="S116" t="s">
        <v>28</v>
      </c>
      <c r="T116" s="57">
        <f>C321</f>
        <v>1.3447848710127088</v>
      </c>
      <c r="U116" s="57">
        <f t="shared" ref="U116:X119" si="19">D321</f>
        <v>5.178553660270012</v>
      </c>
      <c r="V116" s="57">
        <f t="shared" si="19"/>
        <v>58.123234037215205</v>
      </c>
      <c r="W116" s="57">
        <f t="shared" si="19"/>
        <v>24.728808232565616</v>
      </c>
      <c r="X116" s="57">
        <f t="shared" si="19"/>
        <v>10.624619198936472</v>
      </c>
      <c r="Z116" s="74"/>
      <c r="AA116" s="12"/>
      <c r="AD116" s="51"/>
      <c r="AE116" s="51"/>
      <c r="AH116" s="78"/>
      <c r="AI116" s="78"/>
      <c r="AJ116" s="115" t="s">
        <v>379</v>
      </c>
      <c r="AK116" s="107" t="s">
        <v>9</v>
      </c>
      <c r="AL116" s="116">
        <f>AW94</f>
        <v>2565.9699999999998</v>
      </c>
      <c r="AM116" s="116">
        <f>AW95</f>
        <v>8368.39</v>
      </c>
      <c r="AN116" s="116">
        <f>AW96</f>
        <v>112873.04</v>
      </c>
      <c r="AO116" s="116">
        <f>AW97</f>
        <v>47560.68</v>
      </c>
      <c r="AP116" s="116">
        <f>AW98</f>
        <v>18430.84</v>
      </c>
      <c r="AQ116" s="107"/>
      <c r="AR116" s="115" t="s">
        <v>36</v>
      </c>
      <c r="AS116" s="137">
        <f>AW99</f>
        <v>189798.91999999998</v>
      </c>
      <c r="AW116" s="102"/>
      <c r="AX116" s="1" t="s">
        <v>385</v>
      </c>
      <c r="AY116" s="104"/>
    </row>
    <row r="117" spans="1:51" ht="15.6" x14ac:dyDescent="0.35">
      <c r="A117" t="s">
        <v>7</v>
      </c>
      <c r="B117" s="13">
        <v>4</v>
      </c>
      <c r="C117" s="35">
        <f t="shared" si="18"/>
        <v>1.0146566122013059E-2</v>
      </c>
      <c r="D117" s="36">
        <f t="shared" si="18"/>
        <v>0</v>
      </c>
      <c r="E117" s="21">
        <f t="shared" si="18"/>
        <v>0.13190535958616975</v>
      </c>
      <c r="F117" s="21">
        <f t="shared" si="18"/>
        <v>1.0349497444453319</v>
      </c>
      <c r="G117" s="37">
        <f t="shared" si="18"/>
        <v>8.5637018069790205</v>
      </c>
      <c r="H117" s="17">
        <f>SUM(C117:G117)</f>
        <v>9.7407034771325343</v>
      </c>
      <c r="I117" s="17">
        <f>G117/H117*100</f>
        <v>87.916666666666671</v>
      </c>
      <c r="J117" s="17">
        <f>SQRT(I117*(100-I117)/(L117-1))</f>
        <v>1.0524941274466006</v>
      </c>
      <c r="K117" s="18">
        <f>100-I117</f>
        <v>12.083333333333329</v>
      </c>
      <c r="L117" s="1">
        <f>H106</f>
        <v>960</v>
      </c>
      <c r="M117">
        <v>4</v>
      </c>
      <c r="N117" s="1">
        <v>18487.75</v>
      </c>
      <c r="O117" s="17">
        <f>N117/N118*100</f>
        <v>9.740703477132536</v>
      </c>
      <c r="P117" s="52">
        <f>((O117*O117*(I117/100)*(K117/100))/(L117-1))</f>
        <v>1.0510418487498412E-2</v>
      </c>
      <c r="S117" s="66" t="s">
        <v>39</v>
      </c>
      <c r="T117" s="67">
        <f>C322</f>
        <v>5.2022722886677598E-3</v>
      </c>
      <c r="U117" s="67">
        <f t="shared" si="19"/>
        <v>0.13574307304383593</v>
      </c>
      <c r="V117" s="67">
        <f t="shared" si="19"/>
        <v>0.17167846325957845</v>
      </c>
      <c r="W117" s="67">
        <f t="shared" si="19"/>
        <v>0.1885488107180979</v>
      </c>
      <c r="X117" s="67">
        <f t="shared" si="19"/>
        <v>0.16100287434173619</v>
      </c>
      <c r="AD117" s="51"/>
      <c r="AE117" s="51"/>
      <c r="AJ117" s="115" t="s">
        <v>378</v>
      </c>
      <c r="AK117" s="107" t="s">
        <v>68</v>
      </c>
      <c r="AL117" s="108">
        <f>$AS116*AL109/100</f>
        <v>2556.06277992278</v>
      </c>
      <c r="AM117" s="108">
        <f>$AS116*AM109/100</f>
        <v>11048.57479737806</v>
      </c>
      <c r="AN117" s="108">
        <f>$AS116*AN109/100</f>
        <v>109989.47564976438</v>
      </c>
      <c r="AO117" s="108">
        <f>$AS116*AO109/100</f>
        <v>46530.327002600272</v>
      </c>
      <c r="AP117" s="108">
        <f>$AS116*AP109/100</f>
        <v>19674.479770334492</v>
      </c>
      <c r="AQ117" s="107"/>
      <c r="AR117" s="115" t="s">
        <v>36</v>
      </c>
      <c r="AS117" s="137">
        <f>SUM(AL117:AP117)</f>
        <v>189798.91999999998</v>
      </c>
    </row>
    <row r="118" spans="1:51" x14ac:dyDescent="0.3">
      <c r="B118" t="s">
        <v>28</v>
      </c>
      <c r="C118" s="17">
        <f t="shared" ref="C118:H118" si="20">SUM(C113:C117)</f>
        <v>1.3971934471053187</v>
      </c>
      <c r="D118" s="17">
        <f t="shared" si="20"/>
        <v>6.0674284850816402</v>
      </c>
      <c r="E118" s="17">
        <f t="shared" si="20"/>
        <v>57.940494006789713</v>
      </c>
      <c r="F118" s="17">
        <f t="shared" si="20"/>
        <v>24.202359715768292</v>
      </c>
      <c r="G118" s="17">
        <f t="shared" si="20"/>
        <v>10.392524345255024</v>
      </c>
      <c r="H118" s="18">
        <f t="shared" si="20"/>
        <v>99.999999999999972</v>
      </c>
      <c r="I118" s="13" t="s">
        <v>24</v>
      </c>
      <c r="J118" s="12" t="s">
        <v>29</v>
      </c>
      <c r="N118" s="1">
        <f>SUM(N113:N117)</f>
        <v>189798.92</v>
      </c>
      <c r="O118" s="17">
        <f>SUM(O113:O117)</f>
        <v>100</v>
      </c>
      <c r="S118" t="s">
        <v>30</v>
      </c>
      <c r="T118" s="57">
        <f>C323</f>
        <v>100</v>
      </c>
      <c r="U118" s="57">
        <f t="shared" si="19"/>
        <v>69.078002046294003</v>
      </c>
      <c r="V118" s="57">
        <f t="shared" si="19"/>
        <v>98.201928366190188</v>
      </c>
      <c r="W118" s="57">
        <f t="shared" si="19"/>
        <v>92.825391516211511</v>
      </c>
      <c r="X118" s="57">
        <f t="shared" si="19"/>
        <v>83.668968144805845</v>
      </c>
      <c r="AD118" s="51"/>
      <c r="AE118" s="51"/>
      <c r="AH118" s="78"/>
      <c r="AI118" s="78"/>
      <c r="AJ118" s="109"/>
      <c r="AK118" s="109" t="s">
        <v>377</v>
      </c>
      <c r="AL118" s="110">
        <f>$AS116*AL110/100</f>
        <v>9.888075672708533</v>
      </c>
      <c r="AM118" s="110">
        <f>$AS116*AM110/100</f>
        <v>272.02323354536014</v>
      </c>
      <c r="AN118" s="110">
        <f>$AS116*AN110/100</f>
        <v>331.53298711966977</v>
      </c>
      <c r="AO118" s="110">
        <f>$AS116*AO110/100</f>
        <v>358.89845942760746</v>
      </c>
      <c r="AP118" s="110">
        <f>$AS116*AP110/100</f>
        <v>306.4978832742998</v>
      </c>
      <c r="AQ118" s="107"/>
      <c r="AR118" s="107"/>
      <c r="AS118" s="107"/>
    </row>
    <row r="119" spans="1:51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1.0141280075224489E-2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0.14743798481738268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0.17961096887154038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0.19212241698255261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0.16595397173906182</v>
      </c>
      <c r="H119" s="1"/>
      <c r="I119" s="56">
        <f>(C113+D114+E115+F116+G117)/H118</f>
        <v>0.9327986713078309</v>
      </c>
      <c r="J119" s="53">
        <f>SQRT(SUM(P113:P117))/100</f>
        <v>2.4118569636142899E-3</v>
      </c>
      <c r="M119" s="1"/>
      <c r="N119" s="9"/>
      <c r="S119" s="66" t="s">
        <v>39</v>
      </c>
      <c r="T119" s="67">
        <f>C324</f>
        <v>0</v>
      </c>
      <c r="U119" s="67">
        <f t="shared" si="19"/>
        <v>4.5746308966656448</v>
      </c>
      <c r="V119" s="67">
        <f t="shared" si="19"/>
        <v>0.1785758753189905</v>
      </c>
      <c r="W119" s="67">
        <f t="shared" si="19"/>
        <v>0.62297314024858819</v>
      </c>
      <c r="X119" s="67">
        <f t="shared" si="19"/>
        <v>1.8157937089873224</v>
      </c>
      <c r="AD119" s="51"/>
      <c r="AE119" s="51"/>
      <c r="AJ119" s="115" t="s">
        <v>410</v>
      </c>
      <c r="AK119" s="122" t="s">
        <v>9</v>
      </c>
      <c r="AL119" s="136">
        <f>AVERAGE(AR195:AR214)</f>
        <v>2633.2094999999999</v>
      </c>
      <c r="AM119" s="136">
        <f>AVERAGE(AS195:AS214)</f>
        <v>8210.7135000000017</v>
      </c>
      <c r="AN119" s="136">
        <f>AVERAGE(AT195:AT214)</f>
        <v>112868.90750000002</v>
      </c>
      <c r="AO119" s="136">
        <f>AVERAGE(AU195:AU214)</f>
        <v>47508.481500000009</v>
      </c>
      <c r="AP119" s="136">
        <f>AVERAGE(AV195:AV214)</f>
        <v>18577.606999999996</v>
      </c>
      <c r="AQ119" s="107"/>
      <c r="AR119" s="115" t="s">
        <v>36</v>
      </c>
      <c r="AS119" s="137">
        <f>SUM(AL119:AP119)</f>
        <v>189798.91900000002</v>
      </c>
    </row>
    <row r="120" spans="1:51" x14ac:dyDescent="0.3">
      <c r="B120" s="1" t="s">
        <v>30</v>
      </c>
      <c r="C120" s="17">
        <f>C113/C118*100</f>
        <v>99.273789456783206</v>
      </c>
      <c r="D120" s="17">
        <f>D114/D118*100</f>
        <v>67.208237504983543</v>
      </c>
      <c r="E120" s="17">
        <f>E115/E118*100</f>
        <v>98.157790499173515</v>
      </c>
      <c r="F120" s="17">
        <f>F116/F118*100</f>
        <v>92.46287650278741</v>
      </c>
      <c r="G120" s="17">
        <f>G117/G118*100</f>
        <v>82.402518603567188</v>
      </c>
      <c r="H120" s="1"/>
      <c r="S120" s="15" t="s">
        <v>31</v>
      </c>
      <c r="T120" s="71">
        <f>I316</f>
        <v>99.613899613899619</v>
      </c>
      <c r="U120" s="71">
        <f>I317</f>
        <v>87.905604719764014</v>
      </c>
      <c r="V120" s="71">
        <f>I318</f>
        <v>95.996652252754927</v>
      </c>
      <c r="W120" s="71">
        <f>I319</f>
        <v>91.135303265940905</v>
      </c>
      <c r="X120" s="71">
        <f>I320</f>
        <v>89.479166666666671</v>
      </c>
      <c r="AD120" s="51"/>
      <c r="AE120" s="51"/>
      <c r="AH120" s="78"/>
      <c r="AI120" s="78"/>
      <c r="AJ120" s="141"/>
      <c r="AK120" s="129" t="s">
        <v>394</v>
      </c>
      <c r="AL120" s="125">
        <f>_xlfn.STDEV.S(AR195:AR214)/SQRT($AK$108)</f>
        <v>13.160993433048164</v>
      </c>
      <c r="AM120" s="125">
        <f>_xlfn.STDEV.S(AS195:AS214)/SQRT($AK$108)</f>
        <v>58.67099218377804</v>
      </c>
      <c r="AN120" s="125">
        <f>_xlfn.STDEV.S(AT195:AT214)/SQRT($AK$108)</f>
        <v>76.796987402792823</v>
      </c>
      <c r="AO120" s="125">
        <f>_xlfn.STDEV.S(AU195:AU214)/SQRT($AK$108)</f>
        <v>60.024184048357206</v>
      </c>
      <c r="AP120" s="125">
        <f>_xlfn.STDEV.S(AV195:AV214)/SQRT($AK$108)</f>
        <v>48.486653704097314</v>
      </c>
      <c r="AQ120" s="107"/>
      <c r="AR120" s="107"/>
      <c r="AS120" s="107"/>
    </row>
    <row r="121" spans="1:51" x14ac:dyDescent="0.3">
      <c r="B121" s="16" t="s">
        <v>39</v>
      </c>
      <c r="C121" s="18">
        <f>SQRT((C124+C125)/(C118*C118))</f>
        <v>0.72093672568600686</v>
      </c>
      <c r="D121" s="18">
        <f>SQRT((D124+D125)/(D118*D118))</f>
        <v>4.185163461514521</v>
      </c>
      <c r="E121" s="18">
        <f>SQRT((E124+E125)/(E118*E118))</f>
        <v>0.18353447868827388</v>
      </c>
      <c r="F121" s="18">
        <f>SQRT((F124+F125)/(F118*F118))</f>
        <v>0.66019291805171587</v>
      </c>
      <c r="G121" s="18">
        <f>SQRT((G124+G125)/(G118*G118))</f>
        <v>2.0212995708026487</v>
      </c>
      <c r="H121" s="1"/>
      <c r="S121" s="75" t="s">
        <v>39</v>
      </c>
      <c r="T121" s="76">
        <f>J316</f>
        <v>0.3861003861003835</v>
      </c>
      <c r="U121" s="76">
        <f>J317</f>
        <v>1.7735441824070006</v>
      </c>
      <c r="V121" s="76">
        <f>J318</f>
        <v>0.2315478238852032</v>
      </c>
      <c r="W121" s="76">
        <f>J319</f>
        <v>0.56056273651662925</v>
      </c>
      <c r="X121" s="76">
        <f>J320</f>
        <v>0.99077886137292825</v>
      </c>
      <c r="AD121" s="51"/>
      <c r="AE121" s="51"/>
      <c r="AJ121" s="119" t="s">
        <v>440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</row>
    <row r="122" spans="1:51" x14ac:dyDescent="0.3">
      <c r="B122" s="1" t="s">
        <v>37</v>
      </c>
      <c r="C122" s="18">
        <f>100-C120</f>
        <v>0.72621054321679424</v>
      </c>
      <c r="D122" s="18">
        <f>100-D120</f>
        <v>32.791762495016457</v>
      </c>
      <c r="E122" s="18">
        <f>100-E120</f>
        <v>1.8422095008264847</v>
      </c>
      <c r="F122" s="18">
        <f>100-F120</f>
        <v>7.5371234972125905</v>
      </c>
      <c r="G122" s="18">
        <f>100-G120</f>
        <v>17.597481396432812</v>
      </c>
      <c r="S122" s="66" t="s">
        <v>56</v>
      </c>
      <c r="T122" s="67">
        <f>N305*100</f>
        <v>99.806576402321085</v>
      </c>
      <c r="U122" s="67">
        <f>N306*100</f>
        <v>72.067714631197092</v>
      </c>
      <c r="V122" s="67">
        <f>N307*100</f>
        <v>97.265210939156248</v>
      </c>
      <c r="W122" s="67">
        <f>N308*100</f>
        <v>91.795574701390265</v>
      </c>
      <c r="X122" s="67">
        <f>N309*100</f>
        <v>86.072144288577149</v>
      </c>
      <c r="AD122" s="51"/>
      <c r="AE122" s="51"/>
      <c r="AH122" s="78"/>
      <c r="AI122" s="78"/>
      <c r="AJ122" s="115" t="s">
        <v>409</v>
      </c>
      <c r="AK122" s="122" t="s">
        <v>9</v>
      </c>
      <c r="AL122" s="136">
        <v>118.75</v>
      </c>
      <c r="AM122" s="136">
        <v>985.36</v>
      </c>
      <c r="AN122" s="136">
        <v>16560.939999999999</v>
      </c>
      <c r="AO122" s="136">
        <v>2941.95</v>
      </c>
      <c r="AP122" s="136">
        <v>1335.39</v>
      </c>
      <c r="AQ122" s="107"/>
      <c r="AR122" s="115" t="s">
        <v>36</v>
      </c>
      <c r="AS122" s="137">
        <f>SUM(AL122:AP122)</f>
        <v>21942.39</v>
      </c>
      <c r="AU122">
        <v>1</v>
      </c>
      <c r="AV122">
        <v>68</v>
      </c>
    </row>
    <row r="123" spans="1:51" ht="15.6" x14ac:dyDescent="0.35">
      <c r="B123" s="1" t="s">
        <v>25</v>
      </c>
      <c r="C123" s="1">
        <f>C107</f>
        <v>260</v>
      </c>
      <c r="D123" s="1">
        <f>D107</f>
        <v>541</v>
      </c>
      <c r="E123" s="1">
        <f>E107</f>
        <v>6948</v>
      </c>
      <c r="F123" s="1">
        <f>F107</f>
        <v>2518</v>
      </c>
      <c r="G123" s="1">
        <f>G107</f>
        <v>1032</v>
      </c>
      <c r="R123" s="16" t="s">
        <v>66</v>
      </c>
      <c r="S123" t="s">
        <v>9</v>
      </c>
      <c r="T123" s="30">
        <f>N316</f>
        <v>2562.2800000000002</v>
      </c>
      <c r="U123" s="30">
        <f>N317</f>
        <v>7723.7</v>
      </c>
      <c r="V123" s="30">
        <f>N318</f>
        <v>112851.52</v>
      </c>
      <c r="W123" s="30">
        <f>N319</f>
        <v>47805.41</v>
      </c>
      <c r="X123" s="30">
        <f>N320</f>
        <v>18856</v>
      </c>
      <c r="Z123" t="s">
        <v>36</v>
      </c>
      <c r="AA123" s="1">
        <f>N321</f>
        <v>189798.91</v>
      </c>
      <c r="AD123" s="51"/>
      <c r="AE123" s="51"/>
      <c r="AJ123" s="107"/>
      <c r="AK123" s="107" t="s">
        <v>391</v>
      </c>
      <c r="AL123" s="108">
        <f>(AL122/$AS122)*100</f>
        <v>0.54118990684241786</v>
      </c>
      <c r="AM123" s="108">
        <f>(AM122/$AS122)*100</f>
        <v>4.4906685187894295</v>
      </c>
      <c r="AN123" s="108">
        <f>(AN122/$AS122)*100</f>
        <v>75.47464063850839</v>
      </c>
      <c r="AO123" s="108">
        <f>(AO122/$AS122)*100</f>
        <v>13.407609654189903</v>
      </c>
      <c r="AP123" s="108">
        <f>(AP122/$AS122)*100</f>
        <v>6.0858912816698645</v>
      </c>
      <c r="AQ123" s="107"/>
      <c r="AR123" s="107"/>
      <c r="AS123" s="107"/>
      <c r="AU123">
        <v>2</v>
      </c>
      <c r="AV123">
        <v>97</v>
      </c>
    </row>
    <row r="124" spans="1:51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570.50529278683916</v>
      </c>
      <c r="E124" s="18">
        <f>(O115*O115*(100-E120)*(100-E120)*(I115)*(100-I115))/((L115-1)*100)</f>
        <v>7.2253618527574401</v>
      </c>
      <c r="F124" s="18">
        <f>(O116*O116*(100-F120)*(100-F120)*(I116)*(100-I116))/((L116-1)*100)</f>
        <v>119.66247751171052</v>
      </c>
      <c r="G124" s="18">
        <f>(O117*O117*(100-G120)*(100-G120)*(I117)*(100-I117))/((L117-1)*100)</f>
        <v>325.47754978310843</v>
      </c>
      <c r="R124" s="16" t="s">
        <v>323</v>
      </c>
      <c r="S124" t="s">
        <v>68</v>
      </c>
      <c r="T124" s="57">
        <f>$AA123*T116/100</f>
        <v>2552.3870270270277</v>
      </c>
      <c r="U124" s="57">
        <f>$AA123*U116/100</f>
        <v>9828.8384009575857</v>
      </c>
      <c r="V124" s="57">
        <f>$AA123*V116/100</f>
        <v>110317.26465938347</v>
      </c>
      <c r="W124" s="57">
        <f>$AA123*W116/100</f>
        <v>46935.008481399811</v>
      </c>
      <c r="X124" s="57">
        <f>$AA123*X116/100</f>
        <v>20165.411431232154</v>
      </c>
      <c r="Z124" t="s">
        <v>36</v>
      </c>
      <c r="AA124" s="25">
        <f>SUM(T124:X124)</f>
        <v>189798.91000000003</v>
      </c>
      <c r="AD124" s="51"/>
      <c r="AE124" s="51"/>
      <c r="AH124" s="78"/>
      <c r="AI124" s="78"/>
      <c r="AJ124" s="115" t="s">
        <v>410</v>
      </c>
      <c r="AK124" s="122" t="s">
        <v>9</v>
      </c>
      <c r="AL124" s="136">
        <f>AVERAGE(AR216:AR235)</f>
        <v>108.393</v>
      </c>
      <c r="AM124" s="136">
        <f>AVERAGE(AS216:AS235)</f>
        <v>987.57899999999995</v>
      </c>
      <c r="AN124" s="136">
        <f>AVERAGE(AT216:AT235)</f>
        <v>16533.715499999998</v>
      </c>
      <c r="AO124" s="136">
        <f>AVERAGE(AU216:AU235)</f>
        <v>2950.4764999999998</v>
      </c>
      <c r="AP124" s="136">
        <f>AVERAGE(AV216:AV235)</f>
        <v>1362.2154999999998</v>
      </c>
      <c r="AQ124" s="107"/>
      <c r="AR124" s="115" t="s">
        <v>36</v>
      </c>
      <c r="AS124" s="137">
        <f>SUM(AL124:AP124)</f>
        <v>21942.379499999999</v>
      </c>
      <c r="AU124">
        <v>3</v>
      </c>
      <c r="AV124">
        <v>126</v>
      </c>
    </row>
    <row r="125" spans="1:51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1.0146292537604864</v>
      </c>
      <c r="D125" s="18">
        <f>D120*D120*(SUM((H113*D113*(1-D102/H102))/(H102-1),(H115*D115*(1-D104/H104))/(H104-1), (H116*D116*(1-D105/H105))/(H105-1),(H117*D117*(1-D106/H106))/(H106-1)))</f>
        <v>74.308297782242661</v>
      </c>
      <c r="E125" s="18">
        <f>E120*E120*(SUM((H113*E113*(1-E102/H102))/(H102-1),(H114*E114*(1-E103/H103))/(H103-1), (H116*E116*(1-E105/H105))/(H105-1),(H117*E117*(1-E106/H106))/(H106-1)))</f>
        <v>105.8582607665485</v>
      </c>
      <c r="F125" s="18">
        <f>F120*F120*(SUM((H113*F113*(1-F102/H102))/(H102-1),(H114*F114*(1-F103/H103))/(H103-1), (H115*F115*(1-F104/H104))/(H104-1),(H117*F117*(1-F106/H106))/(H106-1)))</f>
        <v>135.64124407795879</v>
      </c>
      <c r="G125" s="18">
        <f>G120*G120*(SUM((H113*G113*(1-G102/H102))/(H102-1),(H114*G114*(1-G103/H103))/(H103-1), (H115*G115*(1-G104/H104))/(H104-1),(H116*G116*(1-G105/H105))/(H105-1)))</f>
        <v>115.79150118294142</v>
      </c>
      <c r="R125" s="66"/>
      <c r="S125" s="66" t="s">
        <v>67</v>
      </c>
      <c r="T125" s="67">
        <f>$AA123*T117/100</f>
        <v>9.8738560991234614</v>
      </c>
      <c r="U125" s="67">
        <f>$AA123*U117/100</f>
        <v>257.63887303770446</v>
      </c>
      <c r="V125" s="67">
        <f>$AA123*V117/100</f>
        <v>325.84385197143035</v>
      </c>
      <c r="W125" s="67">
        <f>$AA123*W117/100</f>
        <v>357.863587560913</v>
      </c>
      <c r="X125" s="67">
        <f>$AA123*X117/100</f>
        <v>305.58170056928498</v>
      </c>
      <c r="AA125" s="1"/>
      <c r="AD125" s="51"/>
      <c r="AE125" s="51"/>
      <c r="AJ125" s="107"/>
      <c r="AK125" s="129" t="s">
        <v>394</v>
      </c>
      <c r="AL125" s="125">
        <f>_xlfn.STDEV.S(AR216:AR235)/SQRT($AK$108)</f>
        <v>4.5406738486704796</v>
      </c>
      <c r="AM125" s="125">
        <f>_xlfn.STDEV.S(AS216:AS235)/SQRT($AK$108)</f>
        <v>9.2637972463268312</v>
      </c>
      <c r="AN125" s="125">
        <f>_xlfn.STDEV.S(AT216:AT235)/SQRT($AK$108)</f>
        <v>10.055267524379598</v>
      </c>
      <c r="AO125" s="125">
        <f>_xlfn.STDEV.S(AU216:AU235)/SQRT($AK$108)</f>
        <v>7.1598592413023834</v>
      </c>
      <c r="AP125" s="125">
        <f>_xlfn.STDEV.S(AV216:AV235)/SQRT($AK$108)</f>
        <v>5.665555413614527</v>
      </c>
      <c r="AQ125" s="107"/>
      <c r="AR125" s="107"/>
      <c r="AS125" s="142"/>
      <c r="AU125">
        <v>4</v>
      </c>
      <c r="AV125">
        <v>155</v>
      </c>
    </row>
    <row r="126" spans="1:51" x14ac:dyDescent="0.3">
      <c r="R126" t="s">
        <v>104</v>
      </c>
      <c r="S126" t="s">
        <v>28</v>
      </c>
      <c r="T126" s="57">
        <f>C350</f>
        <v>1.3940547518086637</v>
      </c>
      <c r="U126" s="57">
        <f t="shared" ref="U126:X129" si="21">D350</f>
        <v>5.7785903194828343</v>
      </c>
      <c r="V126" s="57">
        <f t="shared" si="21"/>
        <v>58.029880693876173</v>
      </c>
      <c r="W126" s="57">
        <f t="shared" si="21"/>
        <v>24.201703761425993</v>
      </c>
      <c r="X126" s="57">
        <f t="shared" si="21"/>
        <v>10.595770473406358</v>
      </c>
      <c r="Y126" s="13"/>
      <c r="Z126" s="74"/>
      <c r="AA126" s="12"/>
      <c r="AD126" s="51"/>
      <c r="AE126" s="51"/>
      <c r="AH126" s="78"/>
      <c r="AI126" s="78"/>
      <c r="AJ126" s="119" t="s">
        <v>447</v>
      </c>
      <c r="AK126" s="107"/>
      <c r="AL126" s="116"/>
      <c r="AM126" s="116"/>
      <c r="AN126" s="116"/>
      <c r="AO126" s="116"/>
      <c r="AP126" s="116"/>
      <c r="AQ126" s="107"/>
      <c r="AR126" s="107"/>
      <c r="AS126" s="142"/>
      <c r="AU126">
        <v>5</v>
      </c>
      <c r="AV126">
        <v>184</v>
      </c>
    </row>
    <row r="127" spans="1:51" x14ac:dyDescent="0.3">
      <c r="S127" s="66" t="s">
        <v>39</v>
      </c>
      <c r="T127" s="67">
        <f>C351</f>
        <v>9.7088433435039753E-3</v>
      </c>
      <c r="U127" s="67">
        <f t="shared" si="21"/>
        <v>0.1435565147517949</v>
      </c>
      <c r="V127" s="67">
        <f t="shared" si="21"/>
        <v>0.17759355645563238</v>
      </c>
      <c r="W127" s="67">
        <f t="shared" si="21"/>
        <v>0.19286181321452919</v>
      </c>
      <c r="X127" s="67">
        <f t="shared" si="21"/>
        <v>0.16562039188904118</v>
      </c>
      <c r="AD127" s="51"/>
      <c r="AE127" s="51"/>
      <c r="AJ127" s="115" t="s">
        <v>409</v>
      </c>
      <c r="AK127" s="122" t="s">
        <v>9</v>
      </c>
      <c r="AL127" s="136">
        <v>32.36</v>
      </c>
      <c r="AM127" s="136">
        <v>572.15</v>
      </c>
      <c r="AN127" s="136">
        <v>16007.08</v>
      </c>
      <c r="AO127" s="136">
        <v>14757.46</v>
      </c>
      <c r="AP127" s="136">
        <v>10221.14</v>
      </c>
      <c r="AQ127" s="107"/>
      <c r="AR127" s="115" t="s">
        <v>36</v>
      </c>
      <c r="AS127" s="137">
        <f>SUM(AL127:AP127)</f>
        <v>41590.19</v>
      </c>
      <c r="AU127">
        <v>6</v>
      </c>
      <c r="AV127">
        <v>213</v>
      </c>
    </row>
    <row r="128" spans="1:51" x14ac:dyDescent="0.3">
      <c r="A128" s="361" t="s">
        <v>437</v>
      </c>
      <c r="B128" s="361"/>
      <c r="C128" s="361"/>
      <c r="D128" s="361"/>
      <c r="E128" s="361"/>
      <c r="F128" s="361"/>
      <c r="G128" s="361"/>
      <c r="H128" s="361"/>
      <c r="I128" s="361"/>
      <c r="J128" s="361"/>
      <c r="K128" s="361"/>
      <c r="L128" s="361" t="s">
        <v>64</v>
      </c>
      <c r="M128" s="361"/>
      <c r="N128" s="361"/>
      <c r="O128" s="361"/>
      <c r="P128" s="361"/>
      <c r="S128" t="s">
        <v>30</v>
      </c>
      <c r="T128" s="57">
        <f>C352</f>
        <v>99.303418227104672</v>
      </c>
      <c r="U128" s="57">
        <f t="shared" si="21"/>
        <v>67.526549819414996</v>
      </c>
      <c r="V128" s="57">
        <f t="shared" si="21"/>
        <v>98.111342692686151</v>
      </c>
      <c r="W128" s="57">
        <f t="shared" si="21"/>
        <v>92.80719130573371</v>
      </c>
      <c r="X128" s="57">
        <f t="shared" si="21"/>
        <v>82.216001459605721</v>
      </c>
      <c r="AD128" s="51"/>
      <c r="AE128" s="51"/>
      <c r="AH128" s="78"/>
      <c r="AI128" s="78"/>
      <c r="AJ128" s="107"/>
      <c r="AK128" s="107" t="s">
        <v>391</v>
      </c>
      <c r="AL128" s="108">
        <f>(AL127/$AS127)*100</f>
        <v>7.7806809730852383E-2</v>
      </c>
      <c r="AM128" s="108">
        <f>(AM127/$AS127)*100</f>
        <v>1.3756849872530035</v>
      </c>
      <c r="AN128" s="108">
        <f>(AN127/$AS127)*100</f>
        <v>38.487633742476291</v>
      </c>
      <c r="AO128" s="108">
        <f>(AO127/$AS127)*100</f>
        <v>35.483030974371601</v>
      </c>
      <c r="AP128" s="108">
        <f>(AP127/$AS127)*100</f>
        <v>24.57584348616825</v>
      </c>
      <c r="AQ128" s="107"/>
      <c r="AR128" s="107"/>
      <c r="AS128" s="142"/>
      <c r="AU128">
        <v>7</v>
      </c>
      <c r="AV128">
        <v>242</v>
      </c>
    </row>
    <row r="129" spans="1:48" x14ac:dyDescent="0.3">
      <c r="A129" t="s">
        <v>320</v>
      </c>
      <c r="B129" t="s">
        <v>21</v>
      </c>
      <c r="I129" s="1" t="s">
        <v>58</v>
      </c>
      <c r="O129" s="143"/>
      <c r="P129" s="143"/>
      <c r="S129" s="66" t="s">
        <v>39</v>
      </c>
      <c r="T129" s="67">
        <f>C353</f>
        <v>0.69172951123203141</v>
      </c>
      <c r="U129" s="67">
        <f t="shared" si="21"/>
        <v>4.2414121668063327</v>
      </c>
      <c r="V129" s="67">
        <f t="shared" si="21"/>
        <v>0.18475825551975661</v>
      </c>
      <c r="W129" s="67">
        <f t="shared" si="21"/>
        <v>0.64669341446241457</v>
      </c>
      <c r="X129" s="67">
        <f t="shared" si="21"/>
        <v>1.9625177814159949</v>
      </c>
      <c r="AD129" s="51"/>
      <c r="AE129" s="51"/>
      <c r="AJ129" s="115" t="s">
        <v>410</v>
      </c>
      <c r="AK129" s="122" t="s">
        <v>9</v>
      </c>
      <c r="AL129" s="136">
        <f>AVERAGE(AL195:AL214)</f>
        <v>61.6845</v>
      </c>
      <c r="AM129" s="136">
        <f>AVERAGE(AM195:AM214)</f>
        <v>584.69949999999994</v>
      </c>
      <c r="AN129" s="136">
        <f>AVERAGE(AN195:AN214)</f>
        <v>15989.060999999998</v>
      </c>
      <c r="AO129" s="136">
        <f>AVERAGE(AO195:AO214)</f>
        <v>14725.397500000001</v>
      </c>
      <c r="AP129" s="136">
        <f>AVERAGE(AP195:AP214)</f>
        <v>10229.355499999998</v>
      </c>
      <c r="AQ129" s="107"/>
      <c r="AR129" s="115" t="s">
        <v>36</v>
      </c>
      <c r="AS129" s="137">
        <f>SUM(AL129:AP129)</f>
        <v>41590.197999999997</v>
      </c>
      <c r="AU129">
        <v>8</v>
      </c>
      <c r="AV129">
        <v>271</v>
      </c>
    </row>
    <row r="130" spans="1:48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56</v>
      </c>
      <c r="O130" s="13"/>
      <c r="P130" s="13"/>
      <c r="S130" s="15" t="s">
        <v>31</v>
      </c>
      <c r="T130" s="71">
        <f>I345</f>
        <v>100</v>
      </c>
      <c r="U130" s="71">
        <f>I346</f>
        <v>89.970501474926252</v>
      </c>
      <c r="V130" s="71">
        <f>I347</f>
        <v>95.68977542195563</v>
      </c>
      <c r="W130" s="71">
        <f>I348</f>
        <v>89.930015552099533</v>
      </c>
      <c r="X130" s="71">
        <f>I349</f>
        <v>88.854166666666657</v>
      </c>
      <c r="AD130" s="51"/>
      <c r="AE130" s="51"/>
      <c r="AH130" s="78"/>
      <c r="AI130" s="78"/>
      <c r="AJ130" s="107"/>
      <c r="AK130" s="129" t="s">
        <v>394</v>
      </c>
      <c r="AL130" s="125">
        <f>_xlfn.STDEV.S(AL195:AL214)/SQRT($AK$108)</f>
        <v>6.0835819380828946</v>
      </c>
      <c r="AM130" s="125">
        <f>_xlfn.STDEV.S(AM195:AM214)/SQRT($AK$108)</f>
        <v>4.4136754867832755</v>
      </c>
      <c r="AN130" s="125">
        <f>_xlfn.STDEV.S(AN195:AN214)/SQRT($AK$108)</f>
        <v>19.375320546075017</v>
      </c>
      <c r="AO130" s="125">
        <f>_xlfn.STDEV.S(AO195:AO214)/SQRT($AK$108)</f>
        <v>16.727202818903592</v>
      </c>
      <c r="AP130" s="125">
        <f>_xlfn.STDEV.S(AP195:AP214)/SQRT($AK$108)</f>
        <v>18.206611284380358</v>
      </c>
      <c r="AQ130" s="107"/>
      <c r="AR130" s="107"/>
      <c r="AS130" s="142"/>
      <c r="AU130">
        <v>9</v>
      </c>
      <c r="AV130">
        <v>300</v>
      </c>
    </row>
    <row r="131" spans="1:48" x14ac:dyDescent="0.3">
      <c r="A131" t="s">
        <v>3</v>
      </c>
      <c r="B131" s="13">
        <v>0</v>
      </c>
      <c r="C131" s="26">
        <v>253</v>
      </c>
      <c r="D131" s="3">
        <v>0</v>
      </c>
      <c r="E131" s="3">
        <v>0</v>
      </c>
      <c r="F131" s="3">
        <v>6</v>
      </c>
      <c r="G131" s="4">
        <v>0</v>
      </c>
      <c r="H131" s="1">
        <f>SUM(C131:G131)</f>
        <v>259</v>
      </c>
      <c r="I131" s="10">
        <f>C131/H131</f>
        <v>0.97683397683397688</v>
      </c>
      <c r="J131" s="11">
        <f>1-I131</f>
        <v>2.316602316602312E-2</v>
      </c>
      <c r="K131">
        <f>H131-C136</f>
        <v>4</v>
      </c>
      <c r="N131" s="10">
        <f>2*(C137*I131)/(C137+I131)</f>
        <v>0.98443579766536971</v>
      </c>
      <c r="O131" s="1"/>
      <c r="P131" s="1"/>
      <c r="S131" s="75" t="s">
        <v>39</v>
      </c>
      <c r="T131" s="76">
        <f>J345</f>
        <v>0</v>
      </c>
      <c r="U131" s="76">
        <f>J346</f>
        <v>1.6339220356155837</v>
      </c>
      <c r="V131" s="76">
        <f>J347</f>
        <v>0.23987429915126762</v>
      </c>
      <c r="W131" s="76">
        <f>J348</f>
        <v>0.59349312962176881</v>
      </c>
      <c r="X131" s="76">
        <f>J349</f>
        <v>1.016215624077015</v>
      </c>
      <c r="AD131" s="51"/>
      <c r="AE131" s="51"/>
      <c r="AJ131" s="119" t="s">
        <v>448</v>
      </c>
      <c r="AK131" s="107"/>
      <c r="AL131" s="116"/>
      <c r="AM131" s="116"/>
      <c r="AN131" s="116"/>
      <c r="AO131" s="116"/>
      <c r="AP131" s="116"/>
      <c r="AQ131" s="107"/>
      <c r="AR131" s="107"/>
      <c r="AS131" s="142"/>
      <c r="AU131">
        <v>10</v>
      </c>
      <c r="AV131">
        <v>329</v>
      </c>
    </row>
    <row r="132" spans="1:48" x14ac:dyDescent="0.3">
      <c r="A132" t="s">
        <v>4</v>
      </c>
      <c r="B132" s="13">
        <v>1</v>
      </c>
      <c r="C132" s="5">
        <v>0</v>
      </c>
      <c r="D132" s="27">
        <v>302</v>
      </c>
      <c r="E132" s="1">
        <v>23</v>
      </c>
      <c r="F132" s="1">
        <v>0</v>
      </c>
      <c r="G132" s="6">
        <v>14</v>
      </c>
      <c r="H132" s="1">
        <f>SUM(C132:G132)</f>
        <v>339</v>
      </c>
      <c r="I132" s="10">
        <f>D132/H132</f>
        <v>0.89085545722713866</v>
      </c>
      <c r="J132" s="11">
        <f>1-I132</f>
        <v>0.10914454277286134</v>
      </c>
      <c r="K132">
        <f>H132-D136</f>
        <v>-176</v>
      </c>
      <c r="N132" s="10">
        <f>2*(D137*I132)/(D137+I132)</f>
        <v>0.70725995316159251</v>
      </c>
      <c r="O132" s="1"/>
      <c r="P132" s="1"/>
      <c r="S132" s="66" t="s">
        <v>56</v>
      </c>
      <c r="T132" s="67">
        <f>N334*100</f>
        <v>99.807321772639696</v>
      </c>
      <c r="U132" s="67">
        <f>N335*100</f>
        <v>70.520231213872833</v>
      </c>
      <c r="V132" s="67">
        <f>N336*100</f>
        <v>97.070892882411215</v>
      </c>
      <c r="W132" s="67">
        <f>N337*100</f>
        <v>91.170674024438313</v>
      </c>
      <c r="X132" s="67">
        <f>N338*100</f>
        <v>85.044865403788634</v>
      </c>
      <c r="AD132" s="51"/>
      <c r="AE132" s="51"/>
      <c r="AH132" s="78"/>
      <c r="AI132" s="78"/>
      <c r="AJ132" s="115" t="s">
        <v>409</v>
      </c>
      <c r="AK132" s="122" t="s">
        <v>9</v>
      </c>
      <c r="AL132" s="136">
        <v>0.27</v>
      </c>
      <c r="AM132" s="136">
        <v>40.4</v>
      </c>
      <c r="AN132" s="136">
        <v>1289.2</v>
      </c>
      <c r="AO132" s="136">
        <v>391.02</v>
      </c>
      <c r="AP132" s="136">
        <v>100.1</v>
      </c>
      <c r="AQ132" s="107"/>
      <c r="AR132" s="115" t="s">
        <v>36</v>
      </c>
      <c r="AS132" s="137">
        <f>SUM(AL132:AP132)</f>
        <v>1820.99</v>
      </c>
      <c r="AU132">
        <v>11</v>
      </c>
      <c r="AV132">
        <v>358</v>
      </c>
    </row>
    <row r="133" spans="1:48" x14ac:dyDescent="0.3">
      <c r="A133" t="s">
        <v>5</v>
      </c>
      <c r="B133" s="13">
        <v>2</v>
      </c>
      <c r="C133" s="5">
        <v>0</v>
      </c>
      <c r="D133" s="1">
        <v>184</v>
      </c>
      <c r="E133" s="27">
        <v>6872</v>
      </c>
      <c r="F133" s="1">
        <v>94</v>
      </c>
      <c r="G133" s="6">
        <v>19</v>
      </c>
      <c r="H133" s="1">
        <f>SUM(C133:G133)</f>
        <v>7169</v>
      </c>
      <c r="I133" s="10">
        <f>E133/H133</f>
        <v>0.95857162784209793</v>
      </c>
      <c r="J133" s="11">
        <f>1-I133</f>
        <v>4.1428372157902071E-2</v>
      </c>
      <c r="K133">
        <f>H133-E136</f>
        <v>191</v>
      </c>
      <c r="N133" s="10">
        <f>2*(E137*I133)/(E137+I133)</f>
        <v>0.9715133950660918</v>
      </c>
      <c r="O133" s="1"/>
      <c r="P133" s="1"/>
      <c r="R133" s="16" t="s">
        <v>66</v>
      </c>
      <c r="S133" t="s">
        <v>9</v>
      </c>
      <c r="T133" s="30">
        <f>N345</f>
        <v>2627.47</v>
      </c>
      <c r="U133" s="30">
        <f>N346</f>
        <v>8231.7099999999991</v>
      </c>
      <c r="V133" s="30">
        <f>N347</f>
        <v>112927.34</v>
      </c>
      <c r="W133" s="30">
        <f>N348</f>
        <v>47404.18</v>
      </c>
      <c r="X133" s="30">
        <f>N349</f>
        <v>18608.22</v>
      </c>
      <c r="Z133" t="s">
        <v>36</v>
      </c>
      <c r="AA133" s="1">
        <f>N350</f>
        <v>189798.91999999998</v>
      </c>
      <c r="AD133" s="51"/>
      <c r="AE133" s="51"/>
      <c r="AJ133" s="107"/>
      <c r="AK133" s="107" t="s">
        <v>391</v>
      </c>
      <c r="AL133" s="108">
        <f>(AL132/$AS132)*100</f>
        <v>1.4827099544753131E-2</v>
      </c>
      <c r="AM133" s="108">
        <f>(AM132/$AS132)*100</f>
        <v>2.2185734133630604</v>
      </c>
      <c r="AN133" s="108">
        <f>(AN132/$AS132)*100</f>
        <v>70.796654567021235</v>
      </c>
      <c r="AO133" s="108">
        <f>(AO132/$AS132)*100</f>
        <v>21.472935051812474</v>
      </c>
      <c r="AP133" s="108">
        <f>(AP132/$AS132)*100</f>
        <v>5.4970098682584752</v>
      </c>
      <c r="AQ133" s="107"/>
      <c r="AR133" s="107"/>
      <c r="AS133" s="142"/>
      <c r="AU133">
        <v>12</v>
      </c>
      <c r="AV133">
        <v>387</v>
      </c>
    </row>
    <row r="134" spans="1:48" ht="15.6" x14ac:dyDescent="0.35">
      <c r="A134" t="s">
        <v>6</v>
      </c>
      <c r="B134" s="13">
        <v>3</v>
      </c>
      <c r="C134" s="5">
        <v>1</v>
      </c>
      <c r="D134" s="1">
        <v>29</v>
      </c>
      <c r="E134" s="1">
        <v>69</v>
      </c>
      <c r="F134" s="27">
        <v>2330</v>
      </c>
      <c r="G134" s="6">
        <v>143</v>
      </c>
      <c r="H134" s="1">
        <f>SUM(C134:G134)</f>
        <v>2572</v>
      </c>
      <c r="I134" s="10">
        <f>F134/H134</f>
        <v>0.90590979782270609</v>
      </c>
      <c r="J134" s="11">
        <f>1-I134</f>
        <v>9.4090202177293913E-2</v>
      </c>
      <c r="K134">
        <f>H134-F136</f>
        <v>43</v>
      </c>
      <c r="N134" s="10">
        <f>2*(F137*I134)/(F137+I134)</f>
        <v>0.91354636345814544</v>
      </c>
      <c r="O134" s="1"/>
      <c r="P134" s="1"/>
      <c r="R134" s="16" t="s">
        <v>323</v>
      </c>
      <c r="S134" t="s">
        <v>68</v>
      </c>
      <c r="T134" s="57">
        <f>$AA133*T126/100</f>
        <v>2645.900863141524</v>
      </c>
      <c r="U134" s="57">
        <f>$AA133*U126/100</f>
        <v>10967.702017602967</v>
      </c>
      <c r="V134" s="57">
        <f>$AA133*V126/100</f>
        <v>110140.08683426547</v>
      </c>
      <c r="W134" s="57">
        <f>$AA133*W126/100</f>
        <v>45934.572360785911</v>
      </c>
      <c r="X134" s="57">
        <f>$AA133*X126/100</f>
        <v>20110.657924204152</v>
      </c>
      <c r="Z134" t="s">
        <v>36</v>
      </c>
      <c r="AA134" s="25">
        <f>SUM(T134:X134)</f>
        <v>189798.92000000004</v>
      </c>
      <c r="AD134" s="51"/>
      <c r="AE134" s="51"/>
      <c r="AH134" s="78"/>
      <c r="AI134" s="78"/>
      <c r="AJ134" s="115" t="s">
        <v>410</v>
      </c>
      <c r="AK134" s="122" t="s">
        <v>9</v>
      </c>
      <c r="AL134" s="136">
        <f>AVERAGE(AL216:AL235)</f>
        <v>0.48649999999999982</v>
      </c>
      <c r="AM134" s="136">
        <f>AVERAGE(AM216:AM235)</f>
        <v>41.011499999999998</v>
      </c>
      <c r="AN134" s="136">
        <f>AVERAGE(AN216:AN235)</f>
        <v>1286.5965000000001</v>
      </c>
      <c r="AO134" s="136">
        <f>AVERAGE(AO216:AO235)</f>
        <v>389.73149999999998</v>
      </c>
      <c r="AP134" s="136">
        <f>AVERAGE(AP216:AP235)</f>
        <v>103.1665</v>
      </c>
      <c r="AQ134" s="107"/>
      <c r="AR134" s="115" t="s">
        <v>36</v>
      </c>
      <c r="AS134" s="137">
        <f>SUM(AL134:AP134)</f>
        <v>1820.9925000000001</v>
      </c>
      <c r="AU134">
        <v>13</v>
      </c>
      <c r="AV134">
        <v>416</v>
      </c>
    </row>
    <row r="135" spans="1:48" x14ac:dyDescent="0.3">
      <c r="A135" t="s">
        <v>7</v>
      </c>
      <c r="B135" s="13">
        <v>4</v>
      </c>
      <c r="C135" s="7">
        <v>1</v>
      </c>
      <c r="D135" s="8">
        <v>0</v>
      </c>
      <c r="E135" s="8">
        <v>14</v>
      </c>
      <c r="F135" s="8">
        <v>99</v>
      </c>
      <c r="G135" s="28">
        <v>846</v>
      </c>
      <c r="H135" s="1">
        <f>SUM(C135:G135)</f>
        <v>960</v>
      </c>
      <c r="I135" s="10">
        <f>G135/H135</f>
        <v>0.88124999999999998</v>
      </c>
      <c r="J135" s="11">
        <f>1-I135</f>
        <v>0.11875000000000002</v>
      </c>
      <c r="K135">
        <f>H135-G136</f>
        <v>-62</v>
      </c>
      <c r="N135" s="10">
        <f>2*(G137*I135)/(G137+I135)</f>
        <v>0.85368314833501502</v>
      </c>
      <c r="O135" s="1"/>
      <c r="P135" s="1"/>
      <c r="R135" s="66"/>
      <c r="S135" s="66" t="s">
        <v>67</v>
      </c>
      <c r="T135" s="67">
        <f>$AA133*T127/100</f>
        <v>18.427279810462434</v>
      </c>
      <c r="U135" s="67">
        <f>$AA133*U127/100</f>
        <v>272.46871458854736</v>
      </c>
      <c r="V135" s="67">
        <f>$AA133*V127/100</f>
        <v>337.07065214238048</v>
      </c>
      <c r="W135" s="67">
        <f>$AA133*W127/100</f>
        <v>366.04963857359371</v>
      </c>
      <c r="X135" s="67">
        <f>$AA133*X127/100</f>
        <v>314.34571510516776</v>
      </c>
      <c r="AA135" s="1"/>
      <c r="AD135" s="51"/>
      <c r="AE135" s="51"/>
      <c r="AJ135" s="107"/>
      <c r="AK135" s="129" t="s">
        <v>394</v>
      </c>
      <c r="AL135" s="125">
        <f>_xlfn.STDEV.S(AL216:AL235)/SQRT($AK$108)</f>
        <v>5.4465223090663956E-2</v>
      </c>
      <c r="AM135" s="125">
        <f>_xlfn.STDEV.S(AM216:AM235)/SQRT($AK$108)</f>
        <v>0.45602878198640051</v>
      </c>
      <c r="AN135" s="125">
        <f>_xlfn.STDEV.S(AN216:AN235)/SQRT($AK$108)</f>
        <v>0.80371383850878264</v>
      </c>
      <c r="AO135" s="125">
        <f>_xlfn.STDEV.S(AO216:AO235)/SQRT($AK$108)</f>
        <v>0.50926276693812356</v>
      </c>
      <c r="AP135" s="125">
        <f>_xlfn.STDEV.S(AP216:AP235)/SQRT($AK$108)</f>
        <v>0.65728239344808415</v>
      </c>
      <c r="AQ135" s="107"/>
      <c r="AR135" s="107"/>
      <c r="AS135" s="107"/>
      <c r="AU135">
        <v>14</v>
      </c>
      <c r="AV135">
        <v>445</v>
      </c>
    </row>
    <row r="136" spans="1:48" ht="15.6" x14ac:dyDescent="0.35">
      <c r="B136" s="1" t="s">
        <v>19</v>
      </c>
      <c r="C136" s="1">
        <f>SUM(C131:C135)</f>
        <v>255</v>
      </c>
      <c r="D136" s="1">
        <f>SUM(D131:D135)</f>
        <v>515</v>
      </c>
      <c r="E136" s="1">
        <f>SUM(E131:E135)</f>
        <v>6978</v>
      </c>
      <c r="F136" s="1">
        <f>SUM(F131:F135)</f>
        <v>2529</v>
      </c>
      <c r="G136" s="1">
        <f>SUM(G131:G135)</f>
        <v>1022</v>
      </c>
      <c r="H136" s="1">
        <f>SUM(H130:H135)</f>
        <v>11299</v>
      </c>
      <c r="I136" s="13" t="s">
        <v>12</v>
      </c>
      <c r="N136" s="16"/>
      <c r="O136" s="1"/>
      <c r="P136" s="1"/>
      <c r="R136" t="s">
        <v>105</v>
      </c>
      <c r="S136" t="s">
        <v>28</v>
      </c>
      <c r="T136" s="57">
        <f>C379</f>
        <v>1.3167726410723273</v>
      </c>
      <c r="U136" s="57">
        <f t="shared" ref="U136:X139" si="22">D379</f>
        <v>5.6196982908127531</v>
      </c>
      <c r="V136" s="57">
        <f t="shared" si="22"/>
        <v>58.196436262409044</v>
      </c>
      <c r="W136" s="57">
        <f t="shared" si="22"/>
        <v>24.211529302224942</v>
      </c>
      <c r="X136" s="57">
        <f t="shared" si="22"/>
        <v>10.65556350348094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</row>
    <row r="137" spans="1:48" x14ac:dyDescent="0.3">
      <c r="A137" s="1" t="s">
        <v>321</v>
      </c>
      <c r="B137" s="1" t="s">
        <v>2</v>
      </c>
      <c r="C137" s="10">
        <f>C131/C136</f>
        <v>0.99215686274509807</v>
      </c>
      <c r="D137" s="10">
        <f>D132/D136</f>
        <v>0.58640776699029129</v>
      </c>
      <c r="E137" s="10">
        <f>E133/E136</f>
        <v>0.98480940097449121</v>
      </c>
      <c r="F137" s="10">
        <f>F134/F136</f>
        <v>0.92131277184657967</v>
      </c>
      <c r="G137" s="10">
        <f>G135/G136</f>
        <v>0.82778864970645794</v>
      </c>
      <c r="H137" s="10"/>
      <c r="I137" s="14">
        <f>(C131+D132+E133+F134+G135)/H136</f>
        <v>0.93840162846269581</v>
      </c>
      <c r="S137" s="66" t="s">
        <v>39</v>
      </c>
      <c r="T137" s="67">
        <f>C380</f>
        <v>1.5815329608474531E-2</v>
      </c>
      <c r="U137" s="67">
        <f t="shared" si="22"/>
        <v>0.14387188142411392</v>
      </c>
      <c r="V137" s="67">
        <f t="shared" si="22"/>
        <v>0.17604395834485795</v>
      </c>
      <c r="W137" s="67">
        <f t="shared" si="22"/>
        <v>0.19359003329215987</v>
      </c>
      <c r="X137" s="67">
        <f t="shared" si="22"/>
        <v>0.16317175791049471</v>
      </c>
      <c r="AD137" s="51"/>
      <c r="AE137" s="51"/>
      <c r="AU137">
        <v>16</v>
      </c>
      <c r="AV137">
        <v>503</v>
      </c>
    </row>
    <row r="138" spans="1:48" x14ac:dyDescent="0.3">
      <c r="B138" s="1" t="s">
        <v>14</v>
      </c>
      <c r="C138" s="11">
        <f>1-C137</f>
        <v>7.8431372549019329E-3</v>
      </c>
      <c r="D138" s="11">
        <f>1-D137</f>
        <v>0.41359223300970871</v>
      </c>
      <c r="E138" s="11">
        <f>1-E137</f>
        <v>1.5190599025508789E-2</v>
      </c>
      <c r="F138" s="11">
        <f>1-F137</f>
        <v>7.868722815342033E-2</v>
      </c>
      <c r="G138" s="11">
        <f>1-G137</f>
        <v>0.17221135029354206</v>
      </c>
      <c r="S138" t="s">
        <v>30</v>
      </c>
      <c r="T138" s="57">
        <f>C381</f>
        <v>99.264789195222122</v>
      </c>
      <c r="U138" s="57">
        <f t="shared" si="22"/>
        <v>67.040322588429234</v>
      </c>
      <c r="V138" s="57">
        <f t="shared" si="22"/>
        <v>98.082584634457078</v>
      </c>
      <c r="W138" s="57">
        <f t="shared" si="22"/>
        <v>92.565989631292652</v>
      </c>
      <c r="X138" s="57">
        <f t="shared" si="22"/>
        <v>83.273459253298071</v>
      </c>
      <c r="AA138" s="54"/>
      <c r="AD138" s="51"/>
      <c r="AE138" s="51"/>
      <c r="AH138" s="78"/>
      <c r="AI138" s="78"/>
      <c r="AU138">
        <v>17</v>
      </c>
      <c r="AV138">
        <v>532</v>
      </c>
    </row>
    <row r="139" spans="1:48" x14ac:dyDescent="0.3">
      <c r="C139" s="2"/>
      <c r="S139" s="66" t="s">
        <v>39</v>
      </c>
      <c r="T139" s="67">
        <f>C382</f>
        <v>1.0110379659347248</v>
      </c>
      <c r="U139" s="67">
        <f t="shared" si="22"/>
        <v>4.5199882986433391</v>
      </c>
      <c r="V139" s="67">
        <f t="shared" si="22"/>
        <v>0.18499427394508319</v>
      </c>
      <c r="W139" s="67">
        <f t="shared" si="22"/>
        <v>0.65995481953158286</v>
      </c>
      <c r="X139" s="67">
        <f t="shared" si="22"/>
        <v>1.8697791795670582</v>
      </c>
      <c r="AD139" s="51"/>
      <c r="AE139" s="51"/>
      <c r="AU139">
        <v>18</v>
      </c>
      <c r="AV139">
        <v>561</v>
      </c>
    </row>
    <row r="140" spans="1:48" ht="15.6" x14ac:dyDescent="0.35">
      <c r="A140" t="s">
        <v>322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97.683397683397672</v>
      </c>
      <c r="U140" s="57">
        <f>I375</f>
        <v>88.790560471976391</v>
      </c>
      <c r="V140" s="57">
        <f>I376</f>
        <v>95.843213837355279</v>
      </c>
      <c r="W140" s="57">
        <f>I377</f>
        <v>90.007776049766719</v>
      </c>
      <c r="X140" s="57">
        <f>I378</f>
        <v>89.0625</v>
      </c>
      <c r="AD140" s="51"/>
      <c r="AE140" s="51"/>
      <c r="AH140" s="78"/>
      <c r="AI140" s="78"/>
      <c r="AU140">
        <v>19</v>
      </c>
      <c r="AV140">
        <v>590</v>
      </c>
    </row>
    <row r="141" spans="1:48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0.93653986569014813</v>
      </c>
      <c r="U141" s="67">
        <f>J375</f>
        <v>1.7159988709375662</v>
      </c>
      <c r="V141" s="67">
        <f>J376</f>
        <v>0.23575479120646117</v>
      </c>
      <c r="W141" s="67">
        <f>J377</f>
        <v>0.59145275184333557</v>
      </c>
      <c r="X141" s="67">
        <f>J378</f>
        <v>1.0078529475417597</v>
      </c>
      <c r="AD141" s="51"/>
      <c r="AE141" s="51"/>
    </row>
    <row r="142" spans="1:48" x14ac:dyDescent="0.3">
      <c r="A142" t="s">
        <v>3</v>
      </c>
      <c r="B142" s="13">
        <v>0</v>
      </c>
      <c r="C142" s="29">
        <f>(C131/$L142)*$O142</f>
        <v>1.3705810094535593</v>
      </c>
      <c r="D142" s="31">
        <f>(D131/$L142)*$O142</f>
        <v>0</v>
      </c>
      <c r="E142" s="31">
        <f>(E131/$L142)*$O142</f>
        <v>0</v>
      </c>
      <c r="F142" s="31">
        <f>(F131/$L142)*$O142</f>
        <v>3.2503897457396659E-2</v>
      </c>
      <c r="G142" s="32">
        <f>(G131/$L142)*$O142</f>
        <v>0</v>
      </c>
      <c r="H142" s="17">
        <f>SUM(C142:G142)</f>
        <v>1.4030849069109559</v>
      </c>
      <c r="I142" s="17">
        <f>C142/H142*100</f>
        <v>97.683397683397686</v>
      </c>
      <c r="J142" s="17">
        <f>SQRT(I142*(100-I142)/(L142-1))</f>
        <v>0.93653986569014525</v>
      </c>
      <c r="K142" s="18">
        <f>100-I142</f>
        <v>2.3166023166023137</v>
      </c>
      <c r="L142" s="1">
        <f>H131</f>
        <v>259</v>
      </c>
      <c r="M142">
        <v>0</v>
      </c>
      <c r="N142" s="1">
        <v>2663.04</v>
      </c>
      <c r="O142" s="17">
        <f>N142/N147*100</f>
        <v>1.4030849069109559</v>
      </c>
      <c r="P142" s="52">
        <f>((O142*O142*(I142/100)*(K142/100))/(L142-1))</f>
        <v>1.7267141313307614E-4</v>
      </c>
      <c r="S142" s="66" t="s">
        <v>56</v>
      </c>
      <c r="T142" s="67">
        <f>N363*100</f>
        <v>98.635477582846008</v>
      </c>
      <c r="U142" s="67">
        <f>N364*100</f>
        <v>70.163170163170165</v>
      </c>
      <c r="V142" s="67">
        <f>N365*100</f>
        <v>97.137202233689123</v>
      </c>
      <c r="W142" s="67">
        <f>N366*100</f>
        <v>91.105863833136553</v>
      </c>
      <c r="X142" s="67">
        <f>N367*100</f>
        <v>85.585585585585591</v>
      </c>
      <c r="AD142" s="51"/>
      <c r="AE142" s="51"/>
      <c r="AH142" s="78"/>
      <c r="AI142" s="78"/>
    </row>
    <row r="143" spans="1:48" x14ac:dyDescent="0.3">
      <c r="A143" t="s">
        <v>4</v>
      </c>
      <c r="B143" s="13">
        <v>1</v>
      </c>
      <c r="C143" s="33">
        <f t="shared" ref="C143:G146" si="23">(C132/$L143)*$O143</f>
        <v>0</v>
      </c>
      <c r="D143" s="34">
        <f t="shared" si="23"/>
        <v>3.9289953169733929</v>
      </c>
      <c r="E143" s="19">
        <f t="shared" si="23"/>
        <v>0.2992281201668478</v>
      </c>
      <c r="F143" s="18">
        <f t="shared" si="23"/>
        <v>0</v>
      </c>
      <c r="G143" s="20">
        <f t="shared" si="23"/>
        <v>0.18213885575373345</v>
      </c>
      <c r="H143" s="17">
        <f>SUM(C143:G143)</f>
        <v>4.4103622928939741</v>
      </c>
      <c r="I143" s="17">
        <f>D143/H143*100</f>
        <v>89.08554572271386</v>
      </c>
      <c r="J143" s="17">
        <f>SQRT(I143*(100-I143)/(L143-1))</f>
        <v>1.6960798131040489</v>
      </c>
      <c r="K143" s="18">
        <f>100-I143</f>
        <v>10.91445427728614</v>
      </c>
      <c r="L143" s="1">
        <f>H132</f>
        <v>339</v>
      </c>
      <c r="M143">
        <v>1</v>
      </c>
      <c r="N143" s="1">
        <v>8370.82</v>
      </c>
      <c r="O143" s="17">
        <f>N143/N147*100</f>
        <v>4.4103622928939741</v>
      </c>
      <c r="P143" s="52">
        <f>((O143*O143*(I143/100)*(K143/100))/(L143-1))</f>
        <v>5.5955283850225085E-3</v>
      </c>
      <c r="R143" s="16" t="s">
        <v>66</v>
      </c>
      <c r="S143" t="s">
        <v>9</v>
      </c>
      <c r="T143" s="30">
        <f>N374</f>
        <v>2539.6799999999998</v>
      </c>
      <c r="U143" s="30">
        <f>N375</f>
        <v>8053.34</v>
      </c>
      <c r="V143" s="30">
        <f>N376</f>
        <v>113037.01</v>
      </c>
      <c r="W143" s="30">
        <f>N377</f>
        <v>47259.31</v>
      </c>
      <c r="X143" s="30">
        <f>N378</f>
        <v>18909.580000000002</v>
      </c>
      <c r="Z143" t="s">
        <v>36</v>
      </c>
      <c r="AA143" s="1">
        <f>N379</f>
        <v>189798.91999999998</v>
      </c>
      <c r="AD143" s="51"/>
      <c r="AE143" s="51"/>
    </row>
    <row r="144" spans="1:48" ht="15.6" x14ac:dyDescent="0.35">
      <c r="A144" t="s">
        <v>5</v>
      </c>
      <c r="B144" s="13">
        <v>2</v>
      </c>
      <c r="C144" s="33">
        <f t="shared" si="23"/>
        <v>0</v>
      </c>
      <c r="D144" s="19">
        <f t="shared" si="23"/>
        <v>1.5248420087892696</v>
      </c>
      <c r="E144" s="34">
        <f t="shared" si="23"/>
        <v>56.94953415434707</v>
      </c>
      <c r="F144" s="19">
        <f t="shared" si="23"/>
        <v>0.77899537405538777</v>
      </c>
      <c r="G144" s="20">
        <f t="shared" si="23"/>
        <v>0.15745651177715284</v>
      </c>
      <c r="H144" s="17">
        <f>SUM(C144:G144)</f>
        <v>59.410828048968888</v>
      </c>
      <c r="I144" s="17">
        <f>E144/H144*100</f>
        <v>95.857162784209777</v>
      </c>
      <c r="J144" s="17">
        <f>SQRT(I144*(100-I144)/(L144-1))</f>
        <v>0.23537602342356484</v>
      </c>
      <c r="K144" s="18">
        <f>100-I144</f>
        <v>4.1428372157902231</v>
      </c>
      <c r="L144" s="1">
        <f>H133</f>
        <v>7169</v>
      </c>
      <c r="M144">
        <v>2</v>
      </c>
      <c r="N144" s="1">
        <v>112761.11</v>
      </c>
      <c r="O144" s="17">
        <f>N144/N147*100</f>
        <v>59.410828048968881</v>
      </c>
      <c r="P144" s="52">
        <f>((O144*O144*(I144/100)*(K144/100))/(L144-1))</f>
        <v>1.9554902443589733E-2</v>
      </c>
      <c r="R144" s="16" t="s">
        <v>323</v>
      </c>
      <c r="S144" t="s">
        <v>68</v>
      </c>
      <c r="T144" s="57">
        <f>$AA143*T136/100</f>
        <v>2499.2202516107536</v>
      </c>
      <c r="U144" s="57">
        <f>$AA143*U136/100</f>
        <v>10666.126663221063</v>
      </c>
      <c r="V144" s="57">
        <f>$AA143*V136/100</f>
        <v>110456.20750454073</v>
      </c>
      <c r="W144" s="57">
        <f>$AA143*W136/100</f>
        <v>45953.221131106475</v>
      </c>
      <c r="X144" s="57">
        <f>$AA143*X136/100</f>
        <v>20224.144449520983</v>
      </c>
      <c r="Z144" t="s">
        <v>36</v>
      </c>
      <c r="AA144" s="25">
        <f>SUM(T144:X144)</f>
        <v>189798.91999999998</v>
      </c>
      <c r="AD144" s="51"/>
      <c r="AE144" s="51"/>
      <c r="AH144" s="78"/>
      <c r="AI144" s="78"/>
    </row>
    <row r="145" spans="1:35" x14ac:dyDescent="0.3">
      <c r="A145" t="s">
        <v>6</v>
      </c>
      <c r="B145" s="13">
        <v>3</v>
      </c>
      <c r="C145" s="33">
        <f t="shared" si="23"/>
        <v>9.6981740196356806E-3</v>
      </c>
      <c r="D145" s="19">
        <f t="shared" si="23"/>
        <v>0.28124704656943472</v>
      </c>
      <c r="E145" s="19">
        <f t="shared" si="23"/>
        <v>0.66917400735486199</v>
      </c>
      <c r="F145" s="34">
        <f t="shared" si="23"/>
        <v>22.596745465751138</v>
      </c>
      <c r="G145" s="20">
        <f t="shared" si="23"/>
        <v>1.3868388848079025</v>
      </c>
      <c r="H145" s="17">
        <f>SUM(C145:G145)</f>
        <v>24.943703578502969</v>
      </c>
      <c r="I145" s="17">
        <f>F145/H145*100</f>
        <v>90.590979782270622</v>
      </c>
      <c r="J145" s="17">
        <f>SQRT(I145*(100-I145)/(L145-1))</f>
        <v>0.57578936746744791</v>
      </c>
      <c r="K145" s="18">
        <f>100-I145</f>
        <v>9.4090202177293776</v>
      </c>
      <c r="L145" s="1">
        <f>H134</f>
        <v>2572</v>
      </c>
      <c r="M145">
        <v>3</v>
      </c>
      <c r="N145" s="1">
        <v>47342.879999999997</v>
      </c>
      <c r="O145" s="17">
        <f>N145/N147*100</f>
        <v>24.943703578502973</v>
      </c>
      <c r="P145" s="52">
        <f>((O145*O145*(I145/100)*(K145/100))/(L145-1))</f>
        <v>2.0627621584065649E-2</v>
      </c>
      <c r="R145" s="66"/>
      <c r="S145" s="66" t="s">
        <v>67</v>
      </c>
      <c r="T145" s="67">
        <f>$AA143*T137/100</f>
        <v>30.017324791324885</v>
      </c>
      <c r="U145" s="67">
        <f>$AA143*U137/100</f>
        <v>273.06727712664883</v>
      </c>
      <c r="V145" s="67">
        <f>$AA143*V137/100</f>
        <v>334.12953166379026</v>
      </c>
      <c r="W145" s="67">
        <f>$AA143*W137/100</f>
        <v>367.43179241615985</v>
      </c>
      <c r="X145" s="67">
        <f>$AA143*X137/100</f>
        <v>309.69823425913347</v>
      </c>
      <c r="AA145" s="1"/>
      <c r="AD145" s="51"/>
      <c r="AE145" s="51"/>
    </row>
    <row r="146" spans="1:35" x14ac:dyDescent="0.3">
      <c r="A146" t="s">
        <v>7</v>
      </c>
      <c r="B146" s="13">
        <v>4</v>
      </c>
      <c r="C146" s="35">
        <f t="shared" si="23"/>
        <v>1.0241688721586683E-2</v>
      </c>
      <c r="D146" s="36">
        <f t="shared" si="23"/>
        <v>0</v>
      </c>
      <c r="E146" s="21">
        <f t="shared" si="23"/>
        <v>0.14338364210221358</v>
      </c>
      <c r="F146" s="21">
        <f t="shared" si="23"/>
        <v>1.0139271834370815</v>
      </c>
      <c r="G146" s="37">
        <f t="shared" si="23"/>
        <v>8.6644686584623347</v>
      </c>
      <c r="H146" s="17">
        <f>SUM(C146:G146)</f>
        <v>9.8320211727232163</v>
      </c>
      <c r="I146" s="17">
        <f>G146/H146*100</f>
        <v>88.125000000000014</v>
      </c>
      <c r="J146" s="17">
        <f>SQRT(I146*(100-I146)/(L146-1))</f>
        <v>1.0446169551078768</v>
      </c>
      <c r="K146" s="18">
        <f>100-I146</f>
        <v>11.874999999999986</v>
      </c>
      <c r="L146" s="1">
        <f>H135</f>
        <v>960</v>
      </c>
      <c r="M146">
        <v>4</v>
      </c>
      <c r="N146" s="1">
        <v>18661.07</v>
      </c>
      <c r="O146" s="17">
        <f>N146/N147*100</f>
        <v>9.8320211727232163</v>
      </c>
      <c r="P146" s="52">
        <f>((O146*O146*(I146/100)*(K146/100))/(L146-1))</f>
        <v>1.054871967353733E-2</v>
      </c>
      <c r="R146" t="s">
        <v>106</v>
      </c>
      <c r="S146" t="s">
        <v>28</v>
      </c>
      <c r="T146" s="57">
        <f>C408</f>
        <v>1.4491542921063256</v>
      </c>
      <c r="U146" s="57">
        <f t="shared" ref="U146:X149" si="24">D408</f>
        <v>5.6765842028856826</v>
      </c>
      <c r="V146" s="57">
        <f t="shared" si="24"/>
        <v>57.836263611037303</v>
      </c>
      <c r="W146" s="57">
        <f t="shared" si="24"/>
        <v>24.591886426129776</v>
      </c>
      <c r="X146" s="57">
        <f t="shared" si="24"/>
        <v>10.446111467840895</v>
      </c>
      <c r="Y146" s="60"/>
      <c r="Z146" s="74"/>
      <c r="AA146" s="12"/>
      <c r="AD146" s="51"/>
      <c r="AE146" s="51"/>
      <c r="AH146" s="78"/>
      <c r="AI146" s="78"/>
    </row>
    <row r="147" spans="1:35" x14ac:dyDescent="0.3">
      <c r="B147" t="s">
        <v>28</v>
      </c>
      <c r="C147" s="17">
        <f t="shared" ref="C147:H147" si="25">SUM(C142:C146)</f>
        <v>1.3905208721947815</v>
      </c>
      <c r="D147" s="17">
        <f t="shared" si="25"/>
        <v>5.7350843723320972</v>
      </c>
      <c r="E147" s="17">
        <f t="shared" si="25"/>
        <v>58.061319923970991</v>
      </c>
      <c r="F147" s="17">
        <f t="shared" si="25"/>
        <v>24.422171920701004</v>
      </c>
      <c r="G147" s="17">
        <f t="shared" si="25"/>
        <v>10.390902910801124</v>
      </c>
      <c r="H147" s="18">
        <f t="shared" si="25"/>
        <v>100</v>
      </c>
      <c r="I147" s="13" t="s">
        <v>24</v>
      </c>
      <c r="J147" s="12" t="s">
        <v>29</v>
      </c>
      <c r="N147" s="1">
        <f>SUM(N142:N146)</f>
        <v>189798.92</v>
      </c>
      <c r="O147" s="17">
        <f>SUM(O142:O146)</f>
        <v>100</v>
      </c>
      <c r="S147" s="66" t="s">
        <v>39</v>
      </c>
      <c r="T147" s="67">
        <f>C409</f>
        <v>1.71172033067271E-2</v>
      </c>
      <c r="U147" s="67">
        <f t="shared" si="24"/>
        <v>0.14163309305512869</v>
      </c>
      <c r="V147" s="67">
        <f t="shared" si="24"/>
        <v>0.17533376100230449</v>
      </c>
      <c r="W147" s="67">
        <f t="shared" si="24"/>
        <v>0.19057598847933427</v>
      </c>
      <c r="X147" s="67">
        <f t="shared" si="24"/>
        <v>0.16573955200983514</v>
      </c>
      <c r="AD147" s="51"/>
      <c r="AE147" s="51"/>
    </row>
    <row r="148" spans="1:35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1.9256314911610728E-2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0.14348576774278785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0.1759082816525451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0.1909871222981846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0.16374647576650023</v>
      </c>
      <c r="H148" s="1"/>
      <c r="I148" s="56">
        <f>(C142+D143+E144+F145+G146)/H147</f>
        <v>0.93510324604987505</v>
      </c>
      <c r="J148" s="53">
        <f>SQRT(SUM(P142:P146))/100</f>
        <v>2.3769611586929285E-3</v>
      </c>
      <c r="M148" s="1"/>
      <c r="N148" s="9"/>
      <c r="S148" t="s">
        <v>30</v>
      </c>
      <c r="T148" s="57">
        <f>C410</f>
        <v>97.953476774429276</v>
      </c>
      <c r="U148" s="57">
        <f t="shared" si="24"/>
        <v>67.346757559258748</v>
      </c>
      <c r="V148" s="57">
        <f t="shared" si="24"/>
        <v>98.316671502317519</v>
      </c>
      <c r="W148" s="57">
        <f t="shared" si="24"/>
        <v>92.728629339994782</v>
      </c>
      <c r="X148" s="57">
        <f t="shared" si="24"/>
        <v>82.087480604446284</v>
      </c>
      <c r="AD148" s="51"/>
      <c r="AE148" s="51"/>
      <c r="AH148" s="78"/>
      <c r="AI148" s="78"/>
    </row>
    <row r="149" spans="1:35" x14ac:dyDescent="0.3">
      <c r="B149" s="1" t="s">
        <v>30</v>
      </c>
      <c r="C149" s="17">
        <f>C142/C147*100</f>
        <v>98.566014855300281</v>
      </c>
      <c r="D149" s="17">
        <f>D143/D147*100</f>
        <v>68.508064779798843</v>
      </c>
      <c r="E149" s="17">
        <f>E144/E147*100</f>
        <v>98.085152436975662</v>
      </c>
      <c r="F149" s="17">
        <f>F145/F147*100</f>
        <v>92.525535972488271</v>
      </c>
      <c r="G149" s="17">
        <f>G146/G147*100</f>
        <v>83.385137295968789</v>
      </c>
      <c r="H149" s="1"/>
      <c r="S149" s="66" t="s">
        <v>39</v>
      </c>
      <c r="T149" s="67">
        <f>C411</f>
        <v>1.1573689673651497</v>
      </c>
      <c r="U149" s="67">
        <f t="shared" si="24"/>
        <v>4.2540510866983849</v>
      </c>
      <c r="V149" s="67">
        <f t="shared" si="24"/>
        <v>0.17474817408320792</v>
      </c>
      <c r="W149" s="67">
        <f t="shared" si="24"/>
        <v>0.63457100608751482</v>
      </c>
      <c r="X149" s="67">
        <f t="shared" si="24"/>
        <v>2.0065287403486667</v>
      </c>
      <c r="AD149" s="51"/>
      <c r="AE149" s="51"/>
    </row>
    <row r="150" spans="1:35" x14ac:dyDescent="0.3">
      <c r="B150" s="16" t="s">
        <v>39</v>
      </c>
      <c r="C150" s="18">
        <f>SQRT((C153+C154)/(C147*C147))</f>
        <v>1.6840338267486183</v>
      </c>
      <c r="D150" s="18">
        <f>SQRT((D153+D154)/(D147*D147))</f>
        <v>4.3604875588329364</v>
      </c>
      <c r="E150" s="18">
        <f>SQRT((E153+E154)/(E147*E147))</f>
        <v>0.18622234697429282</v>
      </c>
      <c r="F150" s="18">
        <f>SQRT((F153+F154)/(F147*F147))</f>
        <v>0.64882276343132306</v>
      </c>
      <c r="G150" s="18">
        <f>SQRT((G153+G154)/(G147*G147))</f>
        <v>1.9354284265777071</v>
      </c>
      <c r="H150" s="1"/>
      <c r="S150" s="15" t="s">
        <v>31</v>
      </c>
      <c r="T150" s="71">
        <f>I403</f>
        <v>100</v>
      </c>
      <c r="U150" s="71">
        <f>I404</f>
        <v>89.970501474926238</v>
      </c>
      <c r="V150" s="71">
        <f>I405</f>
        <v>95.592132793974059</v>
      </c>
      <c r="W150" s="71">
        <f>I406</f>
        <v>90.668740279937794</v>
      </c>
      <c r="X150" s="71">
        <f>I407</f>
        <v>88.437499999999986</v>
      </c>
      <c r="AD150" s="51"/>
      <c r="AE150" s="51"/>
      <c r="AH150" s="78"/>
      <c r="AI150" s="78"/>
    </row>
    <row r="151" spans="1:35" x14ac:dyDescent="0.3">
      <c r="B151" s="1" t="s">
        <v>37</v>
      </c>
      <c r="C151" s="18">
        <f>100-C149</f>
        <v>1.4339851446997187</v>
      </c>
      <c r="D151" s="18">
        <f>100-D149</f>
        <v>31.491935220201157</v>
      </c>
      <c r="E151" s="18">
        <f>100-E149</f>
        <v>1.9148475630243382</v>
      </c>
      <c r="F151" s="18">
        <f>100-F149</f>
        <v>7.4744640275117291</v>
      </c>
      <c r="G151" s="18">
        <f>100-G149</f>
        <v>16.614862704031211</v>
      </c>
      <c r="S151" s="75" t="s">
        <v>39</v>
      </c>
      <c r="T151" s="76">
        <f>J403</f>
        <v>0</v>
      </c>
      <c r="U151" s="76">
        <f>J404</f>
        <v>1.6339220356155848</v>
      </c>
      <c r="V151" s="76">
        <f>J405</f>
        <v>0.24245231124443253</v>
      </c>
      <c r="W151" s="76">
        <f>J406</f>
        <v>0.57365118008003868</v>
      </c>
      <c r="X151" s="76">
        <f>J407</f>
        <v>1.0326063654130526</v>
      </c>
      <c r="AD151" s="51"/>
      <c r="AE151" s="51"/>
    </row>
    <row r="152" spans="1:35" ht="15.6" x14ac:dyDescent="0.35">
      <c r="B152" s="1" t="s">
        <v>25</v>
      </c>
      <c r="C152" s="1">
        <f>C136</f>
        <v>255</v>
      </c>
      <c r="D152" s="1">
        <f>D136</f>
        <v>515</v>
      </c>
      <c r="E152" s="1">
        <f>E136</f>
        <v>6978</v>
      </c>
      <c r="F152" s="1">
        <f>F136</f>
        <v>2529</v>
      </c>
      <c r="G152" s="1">
        <f>G136</f>
        <v>1022</v>
      </c>
      <c r="S152" s="66" t="s">
        <v>56</v>
      </c>
      <c r="T152" s="67">
        <f>N392*100</f>
        <v>99.424184261036473</v>
      </c>
      <c r="U152" s="67">
        <f>N393*100</f>
        <v>70.601851851851862</v>
      </c>
      <c r="V152" s="67">
        <f>N394*100</f>
        <v>97.10237336167198</v>
      </c>
      <c r="W152" s="67">
        <f>N395*100</f>
        <v>91.486857591212242</v>
      </c>
      <c r="X152" s="67">
        <f>N396*100</f>
        <v>84.9</v>
      </c>
      <c r="AD152" s="51"/>
      <c r="AE152" s="51"/>
      <c r="AH152" s="78"/>
      <c r="AI152" s="78"/>
    </row>
    <row r="153" spans="1:35" x14ac:dyDescent="0.3">
      <c r="B153" s="1" t="s">
        <v>34</v>
      </c>
      <c r="C153" s="18">
        <f>(O142*O142*(100-C149)*(100-C149)*(I142)*(100-I142))/(L142-1)</f>
        <v>3.5506653979702012</v>
      </c>
      <c r="D153" s="18">
        <f>(O143*O143*(100-D149)*(100-D149)*(I143)*(100-I143))/((L143-1)*100)</f>
        <v>554.93204216056643</v>
      </c>
      <c r="E153" s="18">
        <f>(O144*O144*(100-E149)*(100-E149)*(I144)*(100-I144))/((L144-1)*100)</f>
        <v>7.1700810758671745</v>
      </c>
      <c r="F153" s="18">
        <f>(O145*O145*(100-F149)*(100-F149)*(I145)*(100-I145))/((L145-1)*100)</f>
        <v>115.24159694256535</v>
      </c>
      <c r="G153" s="18">
        <f>(O146*O146*(100-G149)*(100-G149)*(I146)*(100-I146))/((L146-1)*100)</f>
        <v>291.20127023992285</v>
      </c>
      <c r="R153" s="16" t="s">
        <v>66</v>
      </c>
      <c r="S153" t="s">
        <v>9</v>
      </c>
      <c r="T153" s="30">
        <f>N403</f>
        <v>2694.19</v>
      </c>
      <c r="U153" s="30">
        <f>N404</f>
        <v>8064.87</v>
      </c>
      <c r="V153" s="30">
        <f>N405</f>
        <v>112901.31</v>
      </c>
      <c r="W153" s="30">
        <f>N406</f>
        <v>47735.54</v>
      </c>
      <c r="X153" s="30">
        <f>N407</f>
        <v>18403.009999999998</v>
      </c>
      <c r="Z153" t="s">
        <v>36</v>
      </c>
      <c r="AA153" s="1">
        <f>N408</f>
        <v>189798.92</v>
      </c>
      <c r="AD153" s="51"/>
      <c r="AE153" s="51"/>
    </row>
    <row r="154" spans="1:35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1.9328194270065535</v>
      </c>
      <c r="D154" s="18">
        <f>D149*D149*(SUM((H142*D142*(1-D131/H131))/(H131-1),(H144*D144*(1-D133/H133))/(H133-1), (H145*D145*(1-D134/H134))/(H134-1),(H146*D146*(1-D135/H135))/(H135-1)))</f>
        <v>70.456220840539913</v>
      </c>
      <c r="E154" s="18">
        <f>E149*E149*(SUM((H142*E142*(1-E131/H131))/(H131-1),(H143*E143*(1-E132/H132))/(H132-1), (H145*E145*(1-E134/H134))/(H134-1),(H146*E146*(1-E135/H135))/(H135-1)))</f>
        <v>109.73608030668704</v>
      </c>
      <c r="F154" s="18">
        <f>F149*F149*(SUM((H142*F142*(1-F131/H131))/(H131-1),(H143*F143*(1-F132/H132))/(H132-1), (H144*F144*(1-F133/H133))/(H133-1),(H146*F146*(1-F135/H135))/(H135-1)))</f>
        <v>135.84337794802403</v>
      </c>
      <c r="G154" s="18">
        <f>G149*G149*(SUM((H142*G142*(1-G131/H131))/(H131-1),(H143*G143*(1-G132/H132))/(H132-1), (H144*G144*(1-G133/H133))/(H133-1),(H145*G145*(1-G134/H134))/(H134-1)))</f>
        <v>113.24497208730338</v>
      </c>
      <c r="R154" s="16" t="s">
        <v>323</v>
      </c>
      <c r="S154" t="s">
        <v>68</v>
      </c>
      <c r="T154" s="57">
        <f>$AA153*T146/100</f>
        <v>2750.4791955514515</v>
      </c>
      <c r="U154" s="57">
        <f>$AA153*U146/100</f>
        <v>10774.095509967634</v>
      </c>
      <c r="V154" s="57">
        <f>$AA153*V146/100</f>
        <v>109772.6037021018</v>
      </c>
      <c r="W154" s="57">
        <f>$AA153*W146/100</f>
        <v>46675.134844420914</v>
      </c>
      <c r="X154" s="57">
        <f>$AA153*X146/100</f>
        <v>19826.606747958165</v>
      </c>
      <c r="Z154" t="s">
        <v>36</v>
      </c>
      <c r="AA154" s="25">
        <f>SUM(T154:X154)</f>
        <v>189798.91999999998</v>
      </c>
      <c r="AD154" s="51"/>
      <c r="AE154" s="51"/>
      <c r="AH154" s="78"/>
      <c r="AI154" s="78"/>
    </row>
    <row r="155" spans="1:35" x14ac:dyDescent="0.3">
      <c r="R155" s="66"/>
      <c r="S155" s="66" t="s">
        <v>67</v>
      </c>
      <c r="T155" s="67">
        <f>$AA153*T147/100</f>
        <v>32.488267010372326</v>
      </c>
      <c r="U155" s="67">
        <f>$AA153*U147/100</f>
        <v>268.81808098122929</v>
      </c>
      <c r="V155" s="67">
        <f>$AA153*V147/100</f>
        <v>332.78158477775514</v>
      </c>
      <c r="W155" s="67">
        <f>$AA153*W147/100</f>
        <v>361.71116791310089</v>
      </c>
      <c r="X155" s="67">
        <f>$AA153*X147/100</f>
        <v>314.5718797275054</v>
      </c>
      <c r="AA155" s="1"/>
      <c r="AD155" s="51"/>
      <c r="AE155" s="51"/>
    </row>
    <row r="156" spans="1:35" x14ac:dyDescent="0.3">
      <c r="R156" t="s">
        <v>107</v>
      </c>
      <c r="S156" t="s">
        <v>28</v>
      </c>
      <c r="T156" s="57">
        <f>C437</f>
        <v>1.3561285703518515</v>
      </c>
      <c r="U156" s="57">
        <f t="shared" ref="U156:X159" si="26">D437</f>
        <v>6.0272703441291027</v>
      </c>
      <c r="V156" s="57">
        <f t="shared" si="26"/>
        <v>58.206227205234022</v>
      </c>
      <c r="W156" s="57">
        <f t="shared" si="26"/>
        <v>24.059017696483476</v>
      </c>
      <c r="X156" s="57">
        <f t="shared" si="26"/>
        <v>10.351356183801542</v>
      </c>
      <c r="Z156" s="74"/>
      <c r="AA156" s="12"/>
      <c r="AD156" s="51"/>
      <c r="AE156" s="51"/>
      <c r="AH156" s="78"/>
      <c r="AI156" s="78"/>
    </row>
    <row r="157" spans="1:35" x14ac:dyDescent="0.3">
      <c r="A157" s="361" t="s">
        <v>437</v>
      </c>
      <c r="B157" s="361"/>
      <c r="C157" s="361"/>
      <c r="D157" s="361"/>
      <c r="E157" s="361"/>
      <c r="F157" s="361"/>
      <c r="G157" s="361"/>
      <c r="H157" s="361"/>
      <c r="I157" s="361"/>
      <c r="J157" s="361"/>
      <c r="K157" s="361"/>
      <c r="L157" s="361" t="s">
        <v>83</v>
      </c>
      <c r="M157" s="361"/>
      <c r="N157" s="361"/>
      <c r="O157" s="361"/>
      <c r="P157" s="361"/>
      <c r="S157" s="66" t="s">
        <v>39</v>
      </c>
      <c r="T157" s="67">
        <f>C438</f>
        <v>1.2176268842870212E-2</v>
      </c>
      <c r="U157" s="67">
        <f t="shared" si="26"/>
        <v>0.14617544230124921</v>
      </c>
      <c r="V157" s="67">
        <f t="shared" si="26"/>
        <v>0.18377692198252785</v>
      </c>
      <c r="W157" s="67">
        <f t="shared" si="26"/>
        <v>0.19338688200522153</v>
      </c>
      <c r="X157" s="67">
        <f t="shared" si="26"/>
        <v>0.1645645345948179</v>
      </c>
      <c r="AD157" s="51"/>
      <c r="AE157" s="51"/>
    </row>
    <row r="158" spans="1:35" x14ac:dyDescent="0.3">
      <c r="A158" t="s">
        <v>320</v>
      </c>
      <c r="B158" t="s">
        <v>21</v>
      </c>
      <c r="I158" s="1" t="s">
        <v>58</v>
      </c>
      <c r="O158" s="143"/>
      <c r="P158" s="143"/>
      <c r="S158" t="s">
        <v>30</v>
      </c>
      <c r="T158" s="57">
        <f>C439</f>
        <v>99.285732364104646</v>
      </c>
      <c r="U158" s="57">
        <f t="shared" si="26"/>
        <v>66.914772620669879</v>
      </c>
      <c r="V158" s="57">
        <f t="shared" si="26"/>
        <v>97.77357705659972</v>
      </c>
      <c r="W158" s="57">
        <f t="shared" si="26"/>
        <v>92.841735305732414</v>
      </c>
      <c r="X158" s="57">
        <f t="shared" si="26"/>
        <v>82.934880012016492</v>
      </c>
      <c r="AD158" s="51"/>
      <c r="AE158" s="51"/>
      <c r="AH158" s="78"/>
      <c r="AI158" s="78"/>
    </row>
    <row r="159" spans="1:35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56</v>
      </c>
      <c r="O159" s="13"/>
      <c r="P159" s="13"/>
      <c r="S159" s="66" t="s">
        <v>39</v>
      </c>
      <c r="T159" s="67">
        <f>C440</f>
        <v>0.8090808010629218</v>
      </c>
      <c r="U159" s="67">
        <f t="shared" si="26"/>
        <v>4.0784574337383486</v>
      </c>
      <c r="V159" s="67">
        <f t="shared" si="26"/>
        <v>0.19947793154226412</v>
      </c>
      <c r="W159" s="67">
        <f t="shared" si="26"/>
        <v>0.64962287582916134</v>
      </c>
      <c r="X159" s="67">
        <f t="shared" si="26"/>
        <v>1.9830595033530924</v>
      </c>
      <c r="AD159" s="51"/>
      <c r="AE159" s="51"/>
    </row>
    <row r="160" spans="1:35" x14ac:dyDescent="0.3">
      <c r="A160" t="s">
        <v>3</v>
      </c>
      <c r="B160" s="13">
        <v>0</v>
      </c>
      <c r="C160" s="26">
        <v>257</v>
      </c>
      <c r="D160" s="3">
        <v>0</v>
      </c>
      <c r="E160" s="3">
        <v>0</v>
      </c>
      <c r="F160" s="3">
        <v>2</v>
      </c>
      <c r="G160" s="4">
        <v>0</v>
      </c>
      <c r="H160" s="1">
        <f>SUM(C160:G160)</f>
        <v>259</v>
      </c>
      <c r="I160" s="10">
        <f>C160/H160</f>
        <v>0.99227799227799229</v>
      </c>
      <c r="J160" s="11">
        <f>1-I160</f>
        <v>7.7220077220077066E-3</v>
      </c>
      <c r="K160">
        <f>H160-C165</f>
        <v>1</v>
      </c>
      <c r="N160" s="10">
        <f>2*(C166*I160)/(C166+I160)</f>
        <v>0.99419729206963248</v>
      </c>
      <c r="O160" s="1"/>
      <c r="P160" s="1"/>
      <c r="S160" s="15" t="s">
        <v>31</v>
      </c>
      <c r="T160" s="71">
        <f>I432</f>
        <v>99.227799227799238</v>
      </c>
      <c r="U160" s="71">
        <f>I433</f>
        <v>90.855457227138643</v>
      </c>
      <c r="V160" s="71">
        <f>I434</f>
        <v>95.606081740828557</v>
      </c>
      <c r="W160" s="71">
        <f>I435</f>
        <v>89.657853810264385</v>
      </c>
      <c r="X160" s="71">
        <f>I436</f>
        <v>87.916666666666671</v>
      </c>
      <c r="AD160" s="51"/>
      <c r="AE160" s="51"/>
      <c r="AH160" s="78"/>
      <c r="AI160" s="78"/>
    </row>
    <row r="161" spans="1:35" x14ac:dyDescent="0.3">
      <c r="A161" t="s">
        <v>4</v>
      </c>
      <c r="B161" s="13">
        <v>1</v>
      </c>
      <c r="C161" s="5">
        <v>0</v>
      </c>
      <c r="D161" s="27">
        <v>303</v>
      </c>
      <c r="E161" s="1">
        <v>24</v>
      </c>
      <c r="F161" s="1">
        <v>0</v>
      </c>
      <c r="G161" s="6">
        <v>12</v>
      </c>
      <c r="H161" s="1">
        <f>SUM(C161:G161)</f>
        <v>339</v>
      </c>
      <c r="I161" s="10">
        <f>D161/H161</f>
        <v>0.89380530973451322</v>
      </c>
      <c r="J161" s="11">
        <f>1-I161</f>
        <v>0.10619469026548678</v>
      </c>
      <c r="K161">
        <f>H161-D165</f>
        <v>-179</v>
      </c>
      <c r="N161" s="10">
        <f>2*(D166*I161)/(D166+I161)</f>
        <v>0.70711785297549601</v>
      </c>
      <c r="O161" s="1"/>
      <c r="P161" s="1"/>
      <c r="S161" s="75" t="s">
        <v>39</v>
      </c>
      <c r="T161" s="76">
        <f>J432</f>
        <v>0.54496918050789322</v>
      </c>
      <c r="U161" s="76">
        <f>J433</f>
        <v>1.5678270633196913</v>
      </c>
      <c r="V161" s="76">
        <f>J434</f>
        <v>0.24208604103169049</v>
      </c>
      <c r="W161" s="76">
        <f>J435</f>
        <v>0.60054902637989638</v>
      </c>
      <c r="X161" s="76">
        <f>J436</f>
        <v>1.0524941274466006</v>
      </c>
      <c r="AD161" s="51"/>
      <c r="AE161" s="51"/>
    </row>
    <row r="162" spans="1:35" x14ac:dyDescent="0.3">
      <c r="A162" t="s">
        <v>5</v>
      </c>
      <c r="B162" s="13">
        <v>2</v>
      </c>
      <c r="C162" s="5">
        <v>0</v>
      </c>
      <c r="D162" s="1">
        <v>192</v>
      </c>
      <c r="E162" s="27">
        <v>6863</v>
      </c>
      <c r="F162" s="1">
        <v>94</v>
      </c>
      <c r="G162" s="6">
        <v>20</v>
      </c>
      <c r="H162" s="1">
        <f>SUM(C162:G162)</f>
        <v>7169</v>
      </c>
      <c r="I162" s="10">
        <f>E162/H162</f>
        <v>0.95731622262519178</v>
      </c>
      <c r="J162" s="11">
        <f>1-I162</f>
        <v>4.2683777374808218E-2</v>
      </c>
      <c r="K162">
        <f>H162-E165</f>
        <v>182</v>
      </c>
      <c r="N162" s="10">
        <f>2*(E166*I162)/(E166+I162)</f>
        <v>0.96962418762362246</v>
      </c>
      <c r="O162" s="1"/>
      <c r="P162" s="1"/>
      <c r="S162" s="66" t="s">
        <v>56</v>
      </c>
      <c r="T162" s="67">
        <f>N421*100</f>
        <v>99.419729206963254</v>
      </c>
      <c r="U162" s="67">
        <f>N422*100</f>
        <v>69.841269841269835</v>
      </c>
      <c r="V162" s="67">
        <f>N423*100</f>
        <v>96.883171955615239</v>
      </c>
      <c r="W162" s="67">
        <f>N424*100</f>
        <v>91.056268509378086</v>
      </c>
      <c r="X162" s="67">
        <f>N425*100</f>
        <v>85.037783375314859</v>
      </c>
      <c r="AD162" s="51"/>
      <c r="AE162" s="51"/>
      <c r="AH162" s="78"/>
      <c r="AI162" s="78"/>
    </row>
    <row r="163" spans="1:35" x14ac:dyDescent="0.3">
      <c r="A163" t="s">
        <v>6</v>
      </c>
      <c r="B163" s="13">
        <v>3</v>
      </c>
      <c r="C163" s="5">
        <v>1</v>
      </c>
      <c r="D163" s="1">
        <v>23</v>
      </c>
      <c r="E163" s="1">
        <v>85</v>
      </c>
      <c r="F163" s="27">
        <v>2303</v>
      </c>
      <c r="G163" s="6">
        <v>160</v>
      </c>
      <c r="H163" s="1">
        <f>SUM(C163:G163)</f>
        <v>2572</v>
      </c>
      <c r="I163" s="10">
        <f>F163/H163</f>
        <v>0.89541213063763603</v>
      </c>
      <c r="J163" s="11">
        <f>1-I163</f>
        <v>0.10458786936236397</v>
      </c>
      <c r="K163">
        <f>H163-F165</f>
        <v>77</v>
      </c>
      <c r="N163" s="10">
        <f>2*(F166*I163)/(F166+I163)</f>
        <v>0.90901914347740276</v>
      </c>
      <c r="O163" s="1"/>
      <c r="P163" s="1"/>
      <c r="R163" s="16" t="s">
        <v>66</v>
      </c>
      <c r="S163" t="s">
        <v>9</v>
      </c>
      <c r="T163" s="30">
        <f>N432</f>
        <v>2575.42</v>
      </c>
      <c r="U163" s="30">
        <f>N433</f>
        <v>8425.2999999999993</v>
      </c>
      <c r="V163" s="30">
        <f>N434</f>
        <v>112979.37</v>
      </c>
      <c r="W163" s="30">
        <f>N435</f>
        <v>47285.34</v>
      </c>
      <c r="X163" s="30">
        <f>N436</f>
        <v>18533.48</v>
      </c>
      <c r="Z163" t="s">
        <v>36</v>
      </c>
      <c r="AA163" s="1">
        <f>N437</f>
        <v>189798.91</v>
      </c>
      <c r="AD163" s="51"/>
      <c r="AE163" s="51"/>
    </row>
    <row r="164" spans="1:35" ht="15.6" x14ac:dyDescent="0.35">
      <c r="A164" t="s">
        <v>7</v>
      </c>
      <c r="B164" s="13">
        <v>4</v>
      </c>
      <c r="C164" s="7">
        <v>0</v>
      </c>
      <c r="D164" s="8">
        <v>0</v>
      </c>
      <c r="E164" s="8">
        <v>15</v>
      </c>
      <c r="F164" s="8">
        <v>96</v>
      </c>
      <c r="G164" s="28">
        <v>849</v>
      </c>
      <c r="H164" s="1">
        <f>SUM(C164:G164)</f>
        <v>960</v>
      </c>
      <c r="I164" s="10">
        <f>G164/H164</f>
        <v>0.88437500000000002</v>
      </c>
      <c r="J164" s="11">
        <f>1-I164</f>
        <v>0.11562499999999998</v>
      </c>
      <c r="K164">
        <f>H164-G165</f>
        <v>-81</v>
      </c>
      <c r="N164" s="10">
        <f>2*(G166*I164)/(G166+I164)</f>
        <v>0.84857571214392813</v>
      </c>
      <c r="O164" s="1"/>
      <c r="P164" s="1"/>
      <c r="R164" s="16" t="s">
        <v>323</v>
      </c>
      <c r="S164" t="s">
        <v>68</v>
      </c>
      <c r="T164" s="57">
        <f>$AA163*T156/100</f>
        <v>2573.9172447263973</v>
      </c>
      <c r="U164" s="57">
        <f>$AA163*U156/100</f>
        <v>11439.693415910286</v>
      </c>
      <c r="V164" s="57">
        <f>$AA163*V156/100</f>
        <v>110474.78478765763</v>
      </c>
      <c r="W164" s="57">
        <f>$AA163*W156/100</f>
        <v>45663.753344632751</v>
      </c>
      <c r="X164" s="57">
        <f>$AA163*X156/100</f>
        <v>19646.761207072923</v>
      </c>
      <c r="Z164" t="s">
        <v>36</v>
      </c>
      <c r="AA164" s="25">
        <f>SUM(T164:X164)</f>
        <v>189798.90999999997</v>
      </c>
      <c r="AD164" s="51"/>
      <c r="AE164" s="51"/>
      <c r="AH164" s="78"/>
      <c r="AI164" s="78"/>
    </row>
    <row r="165" spans="1:35" ht="15.6" x14ac:dyDescent="0.35">
      <c r="B165" s="1" t="s">
        <v>19</v>
      </c>
      <c r="C165" s="1">
        <f>SUM(C160:C164)</f>
        <v>258</v>
      </c>
      <c r="D165" s="1">
        <f>SUM(D160:D164)</f>
        <v>518</v>
      </c>
      <c r="E165" s="1">
        <f>SUM(E160:E164)</f>
        <v>6987</v>
      </c>
      <c r="F165" s="1">
        <f>SUM(F160:F164)</f>
        <v>2495</v>
      </c>
      <c r="G165" s="1">
        <f>SUM(G160:G164)</f>
        <v>1041</v>
      </c>
      <c r="H165" s="1">
        <f>SUM(H159:H164)</f>
        <v>11299</v>
      </c>
      <c r="I165" s="13" t="s">
        <v>12</v>
      </c>
      <c r="N165" s="16"/>
      <c r="O165" s="1"/>
      <c r="P165" s="1"/>
      <c r="R165" s="66"/>
      <c r="S165" s="66" t="s">
        <v>67</v>
      </c>
      <c r="T165" s="67">
        <f>$AA163*T157/100</f>
        <v>23.110425542437273</v>
      </c>
      <c r="U165" s="67">
        <f>$AA163*U157/100</f>
        <v>277.43939617544993</v>
      </c>
      <c r="V165" s="67">
        <f>$AA163*V157/100</f>
        <v>348.8065947543883</v>
      </c>
      <c r="W165" s="67">
        <f>$AA163*W157/100</f>
        <v>367.04619412889662</v>
      </c>
      <c r="X165" s="67">
        <f>$AA163*X157/100</f>
        <v>312.34169290753727</v>
      </c>
      <c r="AA165" s="1"/>
      <c r="AD165" s="51"/>
      <c r="AE165" s="51"/>
    </row>
    <row r="166" spans="1:35" x14ac:dyDescent="0.3">
      <c r="A166" s="1" t="s">
        <v>321</v>
      </c>
      <c r="B166" s="1" t="s">
        <v>2</v>
      </c>
      <c r="C166" s="10">
        <f>C160/C165</f>
        <v>0.99612403100775193</v>
      </c>
      <c r="D166" s="10">
        <f>D161/D165</f>
        <v>0.58494208494208499</v>
      </c>
      <c r="E166" s="10">
        <f>E162/E165</f>
        <v>0.98225275511664523</v>
      </c>
      <c r="F166" s="10">
        <f>F163/F165</f>
        <v>0.92304609218436873</v>
      </c>
      <c r="G166" s="10">
        <f>G164/G165</f>
        <v>0.81556195965417866</v>
      </c>
      <c r="H166" s="10"/>
      <c r="I166" s="14">
        <f>(C160+D161+E162+F163+G164)/H165</f>
        <v>0.93592353305602261</v>
      </c>
      <c r="R166" t="s">
        <v>108</v>
      </c>
      <c r="S166" t="s">
        <v>28</v>
      </c>
      <c r="T166" s="57">
        <f>C466</f>
        <v>1.4046028008142348</v>
      </c>
      <c r="U166" s="57">
        <f t="shared" ref="U166:X169" si="27">D466</f>
        <v>5.9345680685519344</v>
      </c>
      <c r="V166" s="57">
        <f t="shared" si="27"/>
        <v>58.012152395101531</v>
      </c>
      <c r="W166" s="57">
        <f t="shared" si="27"/>
        <v>24.42061287652345</v>
      </c>
      <c r="X166" s="57">
        <f t="shared" si="27"/>
        <v>10.228063859008856</v>
      </c>
      <c r="Z166" s="74"/>
      <c r="AA166" s="12"/>
      <c r="AD166" s="51"/>
      <c r="AE166" s="51"/>
      <c r="AH166" s="78"/>
      <c r="AI166" s="78"/>
    </row>
    <row r="167" spans="1:35" x14ac:dyDescent="0.3">
      <c r="B167" s="1" t="s">
        <v>14</v>
      </c>
      <c r="C167" s="11">
        <f>1-C166</f>
        <v>3.8759689922480689E-3</v>
      </c>
      <c r="D167" s="11">
        <f>1-D166</f>
        <v>0.41505791505791501</v>
      </c>
      <c r="E167" s="11">
        <f>1-E166</f>
        <v>1.7747244883354774E-2</v>
      </c>
      <c r="F167" s="11">
        <f>1-F166</f>
        <v>7.6953907815631273E-2</v>
      </c>
      <c r="G167" s="11">
        <f>1-G166</f>
        <v>0.18443804034582134</v>
      </c>
      <c r="S167" s="66" t="s">
        <v>39</v>
      </c>
      <c r="T167" s="67">
        <f>C467</f>
        <v>1.7639565329895371E-2</v>
      </c>
      <c r="U167" s="67">
        <f t="shared" si="27"/>
        <v>0.14789791033138286</v>
      </c>
      <c r="V167" s="67">
        <f t="shared" si="27"/>
        <v>0.17677977116763818</v>
      </c>
      <c r="W167" s="67">
        <f t="shared" si="27"/>
        <v>0.1869129071329344</v>
      </c>
      <c r="X167" s="67">
        <f t="shared" si="27"/>
        <v>0.16286944483799062</v>
      </c>
      <c r="AD167" s="51"/>
      <c r="AE167" s="51"/>
    </row>
    <row r="168" spans="1:35" x14ac:dyDescent="0.3">
      <c r="C168" s="2"/>
      <c r="S168" t="s">
        <v>30</v>
      </c>
      <c r="T168" s="57">
        <f>C468</f>
        <v>97.924931198821369</v>
      </c>
      <c r="U168" s="57">
        <f t="shared" si="27"/>
        <v>67.259913236206174</v>
      </c>
      <c r="V168" s="57">
        <f t="shared" si="27"/>
        <v>98.246923542656091</v>
      </c>
      <c r="W168" s="57">
        <f t="shared" si="27"/>
        <v>92.975158938231914</v>
      </c>
      <c r="X168" s="57">
        <f t="shared" si="27"/>
        <v>82.601973998927519</v>
      </c>
      <c r="AD168" s="51"/>
      <c r="AE168" s="51"/>
      <c r="AH168" s="78"/>
      <c r="AI168" s="78"/>
    </row>
    <row r="169" spans="1:35" ht="15.6" x14ac:dyDescent="0.35">
      <c r="A169" t="s">
        <v>322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1.4126565708255494</v>
      </c>
      <c r="U169" s="67">
        <f t="shared" si="27"/>
        <v>4.4325668711054735</v>
      </c>
      <c r="V169" s="67">
        <f t="shared" si="27"/>
        <v>0.1795322840736156</v>
      </c>
      <c r="W169" s="67">
        <f t="shared" si="27"/>
        <v>0.6174497903091396</v>
      </c>
      <c r="X169" s="67">
        <f t="shared" si="27"/>
        <v>1.9780098914055924</v>
      </c>
      <c r="AD169" s="51"/>
      <c r="AE169" s="51"/>
    </row>
    <row r="170" spans="1:35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99.613899613899605</v>
      </c>
      <c r="U170" s="71">
        <f>I462</f>
        <v>89.08554572271386</v>
      </c>
      <c r="V170" s="71">
        <f>I463</f>
        <v>95.633979634537596</v>
      </c>
      <c r="W170" s="71">
        <f>I464</f>
        <v>90.863141524105757</v>
      </c>
      <c r="X170" s="71">
        <f>I465</f>
        <v>88.437500000000014</v>
      </c>
      <c r="AD170" s="51"/>
      <c r="AE170" s="51"/>
      <c r="AH170" s="78"/>
      <c r="AI170" s="78"/>
    </row>
    <row r="171" spans="1:35" x14ac:dyDescent="0.3">
      <c r="A171" t="s">
        <v>3</v>
      </c>
      <c r="B171" s="13">
        <v>0</v>
      </c>
      <c r="C171" s="29">
        <f>(C160/$L171)*$O171</f>
        <v>1.3349090365545464</v>
      </c>
      <c r="D171" s="31">
        <f>(D160/$L171)*$O171</f>
        <v>0</v>
      </c>
      <c r="E171" s="31">
        <f>(E160/$L171)*$O171</f>
        <v>0</v>
      </c>
      <c r="F171" s="31">
        <f>(F160/$L171)*$O171</f>
        <v>1.0388397171630712E-2</v>
      </c>
      <c r="G171" s="32">
        <f>(G160/$L171)*$O171</f>
        <v>0</v>
      </c>
      <c r="H171" s="17">
        <f>SUM(C171:G171)</f>
        <v>1.3452974337261772</v>
      </c>
      <c r="I171" s="17">
        <f>C171/H171*100</f>
        <v>99.227799227799224</v>
      </c>
      <c r="J171" s="17">
        <f>SQRT(I171*(100-I171)/(L171-1))</f>
        <v>0.54496918050789811</v>
      </c>
      <c r="K171" s="18">
        <f>100-I171</f>
        <v>0.77220077220077599</v>
      </c>
      <c r="L171" s="1">
        <f>H160</f>
        <v>259</v>
      </c>
      <c r="M171">
        <v>0</v>
      </c>
      <c r="N171" s="1">
        <v>2553.36</v>
      </c>
      <c r="O171" s="17">
        <f>N171/N176*100</f>
        <v>1.3452974337261772</v>
      </c>
      <c r="P171" s="52">
        <f>((O171*O171*(I171/100)*(K171/100))/(L171-1))</f>
        <v>5.3750252944680601E-5</v>
      </c>
      <c r="S171" s="75" t="s">
        <v>39</v>
      </c>
      <c r="T171" s="76">
        <f>J461</f>
        <v>0.3861003861003906</v>
      </c>
      <c r="U171" s="76">
        <f>J462</f>
        <v>1.6960798131040489</v>
      </c>
      <c r="V171" s="76">
        <f>J463</f>
        <v>0.24135149567287431</v>
      </c>
      <c r="W171" s="76">
        <f>J464</f>
        <v>0.56825240801484078</v>
      </c>
      <c r="X171" s="76">
        <f>J465</f>
        <v>1.0326063654130515</v>
      </c>
      <c r="AD171" s="51"/>
      <c r="AE171" s="51"/>
    </row>
    <row r="172" spans="1:35" x14ac:dyDescent="0.3">
      <c r="A172" t="s">
        <v>4</v>
      </c>
      <c r="B172" s="13">
        <v>1</v>
      </c>
      <c r="C172" s="33">
        <f t="shared" ref="C172:G175" si="28">(C161/$L172)*$O172</f>
        <v>0</v>
      </c>
      <c r="D172" s="34">
        <f t="shared" si="28"/>
        <v>3.9590526200276841</v>
      </c>
      <c r="E172" s="19">
        <f t="shared" si="28"/>
        <v>0.3135883263388265</v>
      </c>
      <c r="F172" s="18">
        <f t="shared" si="28"/>
        <v>0</v>
      </c>
      <c r="G172" s="20">
        <f t="shared" si="28"/>
        <v>0.15679416316941325</v>
      </c>
      <c r="H172" s="17">
        <f>SUM(C172:G172)</f>
        <v>4.4294351095359241</v>
      </c>
      <c r="I172" s="17">
        <f>D172/H172*100</f>
        <v>89.380530973451329</v>
      </c>
      <c r="J172" s="17">
        <f>SQRT(I172*(100-I172)/(L172-1))</f>
        <v>1.675770405049853</v>
      </c>
      <c r="K172" s="18">
        <f>100-I172</f>
        <v>10.619469026548671</v>
      </c>
      <c r="L172" s="1">
        <f>H161</f>
        <v>339</v>
      </c>
      <c r="M172">
        <v>1</v>
      </c>
      <c r="N172" s="1">
        <v>8407.02</v>
      </c>
      <c r="O172" s="17">
        <f>N172/N176*100</f>
        <v>4.4294351095359241</v>
      </c>
      <c r="P172" s="52">
        <f>((O172*O172*(I172/100)*(K172/100))/(L172-1))</f>
        <v>5.5096716790021929E-3</v>
      </c>
      <c r="S172" s="66" t="s">
        <v>56</v>
      </c>
      <c r="T172" s="67">
        <f>N450*100</f>
        <v>99.230769230769226</v>
      </c>
      <c r="U172" s="67">
        <f>N451*100</f>
        <v>69.425287356321846</v>
      </c>
      <c r="V172" s="67">
        <f>N452*100</f>
        <v>97.10360456058352</v>
      </c>
      <c r="W172" s="67">
        <f>N453*100</f>
        <v>91.701000588581508</v>
      </c>
      <c r="X172" s="67">
        <f>N454*100</f>
        <v>85.326633165829151</v>
      </c>
      <c r="AD172" s="51"/>
      <c r="AE172" s="51"/>
      <c r="AH172" s="78"/>
      <c r="AI172" s="78"/>
    </row>
    <row r="173" spans="1:35" x14ac:dyDescent="0.3">
      <c r="A173" t="s">
        <v>5</v>
      </c>
      <c r="B173" s="13">
        <v>2</v>
      </c>
      <c r="C173" s="33">
        <f t="shared" si="28"/>
        <v>0</v>
      </c>
      <c r="D173" s="19">
        <f t="shared" si="28"/>
        <v>1.5855275163764206</v>
      </c>
      <c r="E173" s="34">
        <f t="shared" si="28"/>
        <v>56.674350754642575</v>
      </c>
      <c r="F173" s="19">
        <f t="shared" si="28"/>
        <v>0.77624784655928925</v>
      </c>
      <c r="G173" s="20">
        <f t="shared" si="28"/>
        <v>0.16515911628921048</v>
      </c>
      <c r="H173" s="17">
        <f>SUM(C173:G173)</f>
        <v>59.201285233867495</v>
      </c>
      <c r="I173" s="17">
        <f>E173/H173*100</f>
        <v>95.731622262519181</v>
      </c>
      <c r="J173" s="17">
        <f>SQRT(I173*(100-I173)/(L173-1))</f>
        <v>0.23875921040289236</v>
      </c>
      <c r="K173" s="18">
        <f>100-I173</f>
        <v>4.2683777374808187</v>
      </c>
      <c r="L173" s="1">
        <f>H162</f>
        <v>7169</v>
      </c>
      <c r="M173">
        <v>2</v>
      </c>
      <c r="N173" s="1">
        <v>112363.4</v>
      </c>
      <c r="O173" s="17">
        <f>N173/N176*100</f>
        <v>59.201285233867495</v>
      </c>
      <c r="P173" s="52">
        <f>((O173*O173*(I173/100)*(K173/100))/(L173-1))</f>
        <v>1.997940443772226E-2</v>
      </c>
      <c r="R173" s="16" t="s">
        <v>66</v>
      </c>
      <c r="S173" t="s">
        <v>9</v>
      </c>
      <c r="T173" s="1">
        <f>N461</f>
        <v>2620.7199999999998</v>
      </c>
      <c r="U173" s="1">
        <f>N462</f>
        <v>8504.17</v>
      </c>
      <c r="V173" s="1">
        <f>N463</f>
        <v>113114.81</v>
      </c>
      <c r="W173" s="1">
        <f>N464</f>
        <v>47427.42</v>
      </c>
      <c r="X173" s="1">
        <f>N465</f>
        <v>18131.810000000001</v>
      </c>
      <c r="Z173" t="s">
        <v>36</v>
      </c>
      <c r="AA173" s="1">
        <f>N466</f>
        <v>189798.93</v>
      </c>
      <c r="AD173" s="51"/>
      <c r="AE173" s="51"/>
    </row>
    <row r="174" spans="1:35" ht="15.6" x14ac:dyDescent="0.35">
      <c r="A174" t="s">
        <v>6</v>
      </c>
      <c r="B174" s="13">
        <v>3</v>
      </c>
      <c r="C174" s="33">
        <f t="shared" si="28"/>
        <v>9.77805925100389E-3</v>
      </c>
      <c r="D174" s="19">
        <f t="shared" si="28"/>
        <v>0.22489536277308947</v>
      </c>
      <c r="E174" s="19">
        <f t="shared" si="28"/>
        <v>0.83113503633533059</v>
      </c>
      <c r="F174" s="34">
        <f t="shared" si="28"/>
        <v>22.518870455061958</v>
      </c>
      <c r="G174" s="20">
        <f t="shared" si="28"/>
        <v>1.5644894801606226</v>
      </c>
      <c r="H174" s="17">
        <f>SUM(C174:G174)</f>
        <v>25.149168393582006</v>
      </c>
      <c r="I174" s="17">
        <f>F174/H174*100</f>
        <v>89.541213063763607</v>
      </c>
      <c r="J174" s="17">
        <f>SQRT(I174*(100-I174)/(L174-1))</f>
        <v>0.60353311806377796</v>
      </c>
      <c r="K174" s="18">
        <f>100-I174</f>
        <v>10.458786936236393</v>
      </c>
      <c r="L174" s="1">
        <f>H163</f>
        <v>2572</v>
      </c>
      <c r="M174">
        <v>3</v>
      </c>
      <c r="N174" s="1">
        <v>47732.85</v>
      </c>
      <c r="O174" s="17">
        <f>N174/N176*100</f>
        <v>25.149168393582006</v>
      </c>
      <c r="P174" s="52">
        <f>((O174*O174*(I174/100)*(K174/100))/(L174-1))</f>
        <v>2.3038249138759025E-2</v>
      </c>
      <c r="R174" s="16" t="s">
        <v>323</v>
      </c>
      <c r="S174" t="s">
        <v>68</v>
      </c>
      <c r="T174" s="57">
        <f>$AA173*T166/100</f>
        <v>2665.9210866954486</v>
      </c>
      <c r="U174" s="57">
        <f>$AA173*U166/100</f>
        <v>11263.746694233238</v>
      </c>
      <c r="V174" s="57">
        <f>$AA173*V166/100</f>
        <v>110106.44451587208</v>
      </c>
      <c r="W174" s="57">
        <f>$AA173*W166/100</f>
        <v>46350.061939083731</v>
      </c>
      <c r="X174" s="57">
        <f>$AA173*X166/100</f>
        <v>19412.755764115514</v>
      </c>
      <c r="Z174" t="s">
        <v>36</v>
      </c>
      <c r="AA174" s="25">
        <f>SUM(T174:X174)</f>
        <v>189798.93000000002</v>
      </c>
      <c r="AD174" s="51"/>
      <c r="AE174" s="51"/>
      <c r="AH174" s="78"/>
      <c r="AI174" s="78"/>
    </row>
    <row r="175" spans="1:35" x14ac:dyDescent="0.3">
      <c r="A175" t="s">
        <v>7</v>
      </c>
      <c r="B175" s="13">
        <v>4</v>
      </c>
      <c r="C175" s="35">
        <f t="shared" si="28"/>
        <v>0</v>
      </c>
      <c r="D175" s="36">
        <f t="shared" si="28"/>
        <v>0</v>
      </c>
      <c r="E175" s="21">
        <f t="shared" si="28"/>
        <v>0.15429396608263102</v>
      </c>
      <c r="F175" s="21">
        <f t="shared" si="28"/>
        <v>0.98748138292883858</v>
      </c>
      <c r="G175" s="37">
        <f t="shared" si="28"/>
        <v>8.7330384802769156</v>
      </c>
      <c r="H175" s="17">
        <f>SUM(C175:G175)</f>
        <v>9.8748138292883851</v>
      </c>
      <c r="I175" s="17">
        <f>G175/H175*100</f>
        <v>88.4375</v>
      </c>
      <c r="J175" s="17">
        <f>SQRT(I175*(100-I175)/(L175-1))</f>
        <v>1.0326063654130522</v>
      </c>
      <c r="K175" s="18">
        <f>100-I175</f>
        <v>11.5625</v>
      </c>
      <c r="L175" s="1">
        <f>H164</f>
        <v>960</v>
      </c>
      <c r="M175">
        <v>4</v>
      </c>
      <c r="N175" s="1">
        <v>18742.29</v>
      </c>
      <c r="O175" s="17">
        <f>N175/N176*100</f>
        <v>9.8748138292883851</v>
      </c>
      <c r="P175" s="52">
        <f>((O175*O175*(I175/100)*(K175/100))/(L175-1))</f>
        <v>1.0397464086286516E-2</v>
      </c>
      <c r="R175" s="66"/>
      <c r="S175" s="66" t="s">
        <v>67</v>
      </c>
      <c r="T175" s="67">
        <f>$AA173*T167/100</f>
        <v>33.479706252792383</v>
      </c>
      <c r="U175" s="67">
        <f>$AA173*U167/100</f>
        <v>280.7086513013241</v>
      </c>
      <c r="V175" s="67">
        <f>$AA173*V167/100</f>
        <v>335.52611413262571</v>
      </c>
      <c r="W175" s="67">
        <f>$AA173*W167/100</f>
        <v>354.75869777020313</v>
      </c>
      <c r="X175" s="67">
        <f>$AA173*X167/100</f>
        <v>309.12446359944641</v>
      </c>
      <c r="AA175" s="1"/>
      <c r="AD175" s="51"/>
      <c r="AE175" s="51"/>
    </row>
    <row r="176" spans="1:35" x14ac:dyDescent="0.3">
      <c r="B176" t="s">
        <v>28</v>
      </c>
      <c r="C176" s="17">
        <f t="shared" ref="C176:H176" si="29">SUM(C171:C175)</f>
        <v>1.3446870958055503</v>
      </c>
      <c r="D176" s="17">
        <f t="shared" si="29"/>
        <v>5.7694754991771946</v>
      </c>
      <c r="E176" s="17">
        <f t="shared" si="29"/>
        <v>57.973368083399365</v>
      </c>
      <c r="F176" s="17">
        <f t="shared" si="29"/>
        <v>24.292988081721717</v>
      </c>
      <c r="G176" s="17">
        <f t="shared" si="29"/>
        <v>10.619481239896162</v>
      </c>
      <c r="H176" s="18">
        <f t="shared" si="29"/>
        <v>99.999999999999986</v>
      </c>
      <c r="I176" s="13" t="s">
        <v>24</v>
      </c>
      <c r="J176" s="12" t="s">
        <v>29</v>
      </c>
      <c r="N176" s="1">
        <f>SUM(N171:N175)</f>
        <v>189798.92</v>
      </c>
      <c r="O176" s="17">
        <f>SUM(O171:O175)</f>
        <v>99.999999999999986</v>
      </c>
      <c r="R176" t="s">
        <v>109</v>
      </c>
      <c r="S176" t="s">
        <v>28</v>
      </c>
      <c r="T176" s="57">
        <f>C495</f>
        <v>1.3823998577020356</v>
      </c>
      <c r="U176" s="57">
        <f t="shared" ref="U176:X179" si="30">D495</f>
        <v>6.054525741097212</v>
      </c>
      <c r="V176" s="57">
        <f t="shared" si="30"/>
        <v>57.4226996640556</v>
      </c>
      <c r="W176" s="57">
        <f t="shared" si="30"/>
        <v>24.536335456968274</v>
      </c>
      <c r="X176" s="57">
        <f t="shared" si="30"/>
        <v>10.604039280176881</v>
      </c>
      <c r="AD176" s="51"/>
      <c r="AE176" s="51"/>
      <c r="AH176" s="78"/>
      <c r="AI176" s="78"/>
    </row>
    <row r="177" spans="1:41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1.2211305914955808E-2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0.14288228814568363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0.18222117353005551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0.19634344709443635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0.16753779515479472</v>
      </c>
      <c r="H177" s="1"/>
      <c r="I177" s="14">
        <f>(C171+D172+E173+F174+G175)/H176</f>
        <v>0.93220221346563692</v>
      </c>
      <c r="J177" s="53">
        <f>SQRT(SUM(P171:P175))/100</f>
        <v>2.4285497646685085E-3</v>
      </c>
      <c r="M177" s="1"/>
      <c r="N177" s="9"/>
      <c r="S177" s="66" t="s">
        <v>39</v>
      </c>
      <c r="T177" s="67">
        <f>C496</f>
        <v>0</v>
      </c>
      <c r="U177" s="67">
        <f t="shared" si="30"/>
        <v>0.1473704773032464</v>
      </c>
      <c r="V177" s="67">
        <f t="shared" si="30"/>
        <v>0.17808044513737448</v>
      </c>
      <c r="W177" s="67">
        <f t="shared" si="30"/>
        <v>0.19128481877266537</v>
      </c>
      <c r="X177" s="67">
        <f t="shared" si="30"/>
        <v>0.16981050473896081</v>
      </c>
      <c r="AD177" s="51"/>
      <c r="AE177" s="51"/>
    </row>
    <row r="178" spans="1:41" x14ac:dyDescent="0.3">
      <c r="B178" s="1" t="s">
        <v>30</v>
      </c>
      <c r="C178" s="17">
        <f>C171/C176*100</f>
        <v>99.272837578236278</v>
      </c>
      <c r="D178" s="17">
        <f>D172/D176*100</f>
        <v>68.620667868202219</v>
      </c>
      <c r="E178" s="17">
        <f>E173/E176*100</f>
        <v>97.759286079621859</v>
      </c>
      <c r="F178" s="17">
        <f>F174/F176*100</f>
        <v>92.696997089482693</v>
      </c>
      <c r="G178" s="17">
        <f>G175/G176*100</f>
        <v>82.236017777101026</v>
      </c>
      <c r="H178" s="1"/>
      <c r="S178" s="70" t="s">
        <v>30</v>
      </c>
      <c r="T178" s="64">
        <f>C497</f>
        <v>100</v>
      </c>
      <c r="U178" s="64">
        <f t="shared" si="30"/>
        <v>66.885425415974524</v>
      </c>
      <c r="V178" s="64">
        <f t="shared" si="30"/>
        <v>98.230232207257544</v>
      </c>
      <c r="W178" s="64">
        <f t="shared" si="30"/>
        <v>92.816958434219316</v>
      </c>
      <c r="X178" s="64">
        <f t="shared" si="30"/>
        <v>81.88722456331439</v>
      </c>
      <c r="AD178" s="51"/>
      <c r="AE178" s="51"/>
      <c r="AH178" s="78"/>
      <c r="AI178" s="78"/>
    </row>
    <row r="179" spans="1:41" x14ac:dyDescent="0.3">
      <c r="B179" s="16" t="s">
        <v>39</v>
      </c>
      <c r="C179" s="18">
        <f>SQRT((C182+C183)/(C176*C176))</f>
        <v>0.8235802870910337</v>
      </c>
      <c r="D179" s="18">
        <f>SQRT((D182+D183)/(D176*D176))</f>
        <v>4.2906264022027338</v>
      </c>
      <c r="E179" s="18">
        <f>SQRT((E182+E183)/(E176*E176))</f>
        <v>0.20160401430241445</v>
      </c>
      <c r="F179" s="18">
        <f>SQRT((F182+F183)/(F176*F176))</f>
        <v>0.65905690293680663</v>
      </c>
      <c r="G179" s="18">
        <f>SQRT((G182+G183)/(G176*G176))</f>
        <v>1.9925986879600479</v>
      </c>
      <c r="H179" s="1"/>
      <c r="S179" s="66" t="s">
        <v>39</v>
      </c>
      <c r="T179" s="67">
        <f>C498</f>
        <v>0</v>
      </c>
      <c r="U179" s="67">
        <f t="shared" si="30"/>
        <v>4.2031445388374387</v>
      </c>
      <c r="V179" s="67">
        <f t="shared" si="30"/>
        <v>0.18159951130106353</v>
      </c>
      <c r="W179" s="67">
        <f t="shared" si="30"/>
        <v>0.6344388855605495</v>
      </c>
      <c r="X179" s="67">
        <f t="shared" si="30"/>
        <v>2.0565444847055834</v>
      </c>
      <c r="AD179" s="51"/>
      <c r="AE179" s="51"/>
    </row>
    <row r="180" spans="1:41" x14ac:dyDescent="0.3">
      <c r="B180" s="1" t="s">
        <v>37</v>
      </c>
      <c r="C180" s="18">
        <f>100-C178</f>
        <v>0.72716242176372248</v>
      </c>
      <c r="D180" s="18">
        <f>100-D178</f>
        <v>31.379332131797781</v>
      </c>
      <c r="E180" s="18">
        <f>100-E178</f>
        <v>2.2407139203781412</v>
      </c>
      <c r="F180" s="18">
        <f>100-F178</f>
        <v>7.3030029105173071</v>
      </c>
      <c r="G180" s="18">
        <f>100-G178</f>
        <v>17.763982222898974</v>
      </c>
      <c r="S180" s="70" t="s">
        <v>31</v>
      </c>
      <c r="T180" s="64">
        <f>I490</f>
        <v>100</v>
      </c>
      <c r="U180" s="64">
        <f>I491</f>
        <v>90.265486725663706</v>
      </c>
      <c r="V180" s="64">
        <f>I492</f>
        <v>95.452643325428937</v>
      </c>
      <c r="W180" s="64">
        <f>I493</f>
        <v>90.513219284603423</v>
      </c>
      <c r="X180" s="64">
        <f>I494</f>
        <v>87.916666666666671</v>
      </c>
      <c r="AD180" s="51"/>
      <c r="AE180" s="51"/>
      <c r="AH180" s="78"/>
      <c r="AI180" s="78"/>
    </row>
    <row r="181" spans="1:41" ht="15.6" x14ac:dyDescent="0.35">
      <c r="B181" s="1" t="s">
        <v>25</v>
      </c>
      <c r="C181" s="1">
        <f>C165</f>
        <v>258</v>
      </c>
      <c r="D181" s="1">
        <f>D165</f>
        <v>518</v>
      </c>
      <c r="E181" s="1">
        <f>E165</f>
        <v>6987</v>
      </c>
      <c r="F181" s="1">
        <f>F165</f>
        <v>2495</v>
      </c>
      <c r="G181" s="1">
        <f>G165</f>
        <v>1041</v>
      </c>
      <c r="S181" s="66" t="s">
        <v>39</v>
      </c>
      <c r="T181" s="67">
        <f>J490</f>
        <v>0</v>
      </c>
      <c r="U181" s="67">
        <f>J491</f>
        <v>1.6123511616510575</v>
      </c>
      <c r="V181" s="67">
        <f>J492</f>
        <v>0.24607896489921233</v>
      </c>
      <c r="W181" s="67">
        <f>J493</f>
        <v>0.57791557445785113</v>
      </c>
      <c r="X181" s="67">
        <f>J494</f>
        <v>1.0524941274466006</v>
      </c>
      <c r="AD181" s="51"/>
      <c r="AE181" s="51"/>
      <c r="AN181" s="2"/>
      <c r="AO181" s="2"/>
    </row>
    <row r="182" spans="1:41" x14ac:dyDescent="0.3">
      <c r="B182" s="1" t="s">
        <v>34</v>
      </c>
      <c r="C182" s="18">
        <f>(O171*O171*(100-C178)*(100-C178)*(I171)*(100-I171))/(L171-1)</f>
        <v>0.28421262583200396</v>
      </c>
      <c r="D182" s="18">
        <f>(O172*O172*(100-D178)*(100-D178)*(I172)*(100-I172))/((L172-1)*100)</f>
        <v>542.51670071880062</v>
      </c>
      <c r="E182" s="18">
        <f>(O173*O173*(100-E178)*(100-E178)*(I173)*(100-I173))/((L173-1)*100)</f>
        <v>10.031257128365517</v>
      </c>
      <c r="F182" s="18">
        <f>(O174*O174*(100-F178)*(100-F178)*(I174)*(100-I174))/((L174-1)*100)</f>
        <v>122.87185586405565</v>
      </c>
      <c r="G182" s="18">
        <f>(O175*O175*(100-G178)*(100-G178)*(I175)*(100-I175))/((L175-1)*100)</f>
        <v>328.1014039362031</v>
      </c>
      <c r="S182" s="68" t="s">
        <v>56</v>
      </c>
      <c r="T182" s="65">
        <f>N479*100</f>
        <v>100</v>
      </c>
      <c r="U182" s="65">
        <f>N480*100</f>
        <v>69.30917327293318</v>
      </c>
      <c r="V182" s="65">
        <f>N481*100</f>
        <v>97.00878933938192</v>
      </c>
      <c r="W182" s="65">
        <f>N482*100</f>
        <v>91.491452151699733</v>
      </c>
      <c r="X182" s="65">
        <f>N483*100</f>
        <v>84.4</v>
      </c>
      <c r="AD182" s="51"/>
      <c r="AE182" s="51"/>
      <c r="AH182" s="78"/>
      <c r="AI182" s="78"/>
    </row>
    <row r="183" spans="1:41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0.94225011842083495</v>
      </c>
      <c r="D183" s="18">
        <f>D178*D178*(SUM((H171*D171*(1-D160/H160))/(H160-1),(H173*D173*(1-D162/H162))/(H162-1), (H174*D174*(1-D163/H163))/(H163-1),(H175*D175*(1-D164/H164))/(H164-1)))</f>
        <v>70.27668426295422</v>
      </c>
      <c r="E183" s="18">
        <f>E178*E178*(SUM((H171*E171*(1-E160/H160))/(H160-1),(H172*E172*(1-E161/H161))/(H161-1), (H174*E174*(1-E163/H163))/(H163-1),(H175*E175*(1-E164/H164))/(H164-1)))</f>
        <v>126.57022629616323</v>
      </c>
      <c r="F183" s="18">
        <f>F178*F178*(SUM((H171*F171*(1-F160/H160))/(H160-1),(H172*F172*(1-F161/H161))/(H161-1), (H173*F173*(1-F162/H162))/(H162-1),(H175*F175*(1-F164/H164))/(H164-1)))</f>
        <v>133.46302120172882</v>
      </c>
      <c r="G183" s="18">
        <f>G178*G178*(SUM((H171*G171*(1-G160/H160))/(H160-1),(H172*G172*(1-G161/H161))/(H161-1), (H173*G173*(1-G162/H162))/(H162-1),(H174*G174*(1-G163/H163))/(H163-1)))</f>
        <v>119.6596169881167</v>
      </c>
      <c r="R183" s="16" t="s">
        <v>66</v>
      </c>
      <c r="S183" t="s">
        <v>9</v>
      </c>
      <c r="T183" s="1">
        <f>N490</f>
        <v>2623.78</v>
      </c>
      <c r="U183" s="1">
        <f>N491</f>
        <v>8514.98</v>
      </c>
      <c r="V183" s="1">
        <f>N492</f>
        <v>112159.11</v>
      </c>
      <c r="W183" s="1">
        <f>N493</f>
        <v>47754.99</v>
      </c>
      <c r="X183" s="1">
        <f>N494</f>
        <v>18746.060000000001</v>
      </c>
      <c r="Z183" t="s">
        <v>36</v>
      </c>
      <c r="AA183" s="1">
        <f>N495</f>
        <v>189798.91999999998</v>
      </c>
      <c r="AD183" s="51"/>
      <c r="AE183" s="51"/>
      <c r="AN183" s="78"/>
      <c r="AO183" s="78"/>
    </row>
    <row r="184" spans="1:41" ht="15.6" x14ac:dyDescent="0.35">
      <c r="R184" s="16" t="s">
        <v>323</v>
      </c>
      <c r="S184" t="s">
        <v>68</v>
      </c>
      <c r="T184" s="57">
        <f>$AA183*T176/100</f>
        <v>2623.78</v>
      </c>
      <c r="U184" s="57">
        <f>$AA183*U176/100</f>
        <v>11491.424467724504</v>
      </c>
      <c r="V184" s="57">
        <f>$AA183*V176/100</f>
        <v>108987.66379722115</v>
      </c>
      <c r="W184" s="57">
        <f>$AA183*W176/100</f>
        <v>46569.699704902843</v>
      </c>
      <c r="X184" s="57">
        <f>$AA183*X176/100</f>
        <v>20126.352030151495</v>
      </c>
      <c r="Z184" t="s">
        <v>36</v>
      </c>
      <c r="AA184" s="25">
        <f>SUM(T184:X184)</f>
        <v>189798.91999999998</v>
      </c>
      <c r="AD184" s="51"/>
      <c r="AE184" s="51"/>
      <c r="AH184" s="78"/>
      <c r="AI184" s="78"/>
    </row>
    <row r="185" spans="1:41" x14ac:dyDescent="0.3">
      <c r="R185" s="66"/>
      <c r="S185" s="66" t="s">
        <v>67</v>
      </c>
      <c r="T185" s="67">
        <f>$AA183*T177/100</f>
        <v>0</v>
      </c>
      <c r="U185" s="67">
        <f>$AA183*U177/100</f>
        <v>279.70757432040676</v>
      </c>
      <c r="V185" s="67">
        <f>$AA183*V177/100</f>
        <v>337.99476160192927</v>
      </c>
      <c r="W185" s="67">
        <f>$AA183*W177/100</f>
        <v>363.05652015447612</v>
      </c>
      <c r="X185" s="67">
        <f>$AA183*X177/100</f>
        <v>322.29850404109641</v>
      </c>
      <c r="AA185" s="1"/>
      <c r="AD185" s="51"/>
      <c r="AE185" s="51"/>
      <c r="AN185" s="78"/>
      <c r="AO185" s="78"/>
    </row>
    <row r="186" spans="1:41" x14ac:dyDescent="0.3">
      <c r="A186" s="361" t="s">
        <v>437</v>
      </c>
      <c r="B186" s="361"/>
      <c r="C186" s="361"/>
      <c r="D186" s="361"/>
      <c r="E186" s="361"/>
      <c r="F186" s="361"/>
      <c r="G186" s="361"/>
      <c r="H186" s="361"/>
      <c r="I186" s="361"/>
      <c r="J186" s="361"/>
      <c r="K186" s="361"/>
      <c r="L186" s="361" t="s">
        <v>84</v>
      </c>
      <c r="M186" s="361"/>
      <c r="N186" s="361"/>
      <c r="O186" s="361"/>
      <c r="P186" s="361"/>
      <c r="R186" t="s">
        <v>110</v>
      </c>
      <c r="S186" s="70" t="s">
        <v>28</v>
      </c>
      <c r="T186" s="64">
        <f>C524</f>
        <v>1.4064485115422865</v>
      </c>
      <c r="U186" s="64">
        <f t="shared" ref="U186:X189" si="31">D524</f>
        <v>5.5123878982865326</v>
      </c>
      <c r="V186" s="64">
        <f t="shared" si="31"/>
        <v>58.391354223408015</v>
      </c>
      <c r="W186" s="64">
        <f t="shared" si="31"/>
        <v>24.297664191178669</v>
      </c>
      <c r="X186" s="64">
        <f t="shared" si="31"/>
        <v>10.392145175584503</v>
      </c>
      <c r="AA186" s="12"/>
      <c r="AD186" s="51"/>
      <c r="AE186" s="51"/>
    </row>
    <row r="187" spans="1:41" x14ac:dyDescent="0.3">
      <c r="A187" t="s">
        <v>320</v>
      </c>
      <c r="B187" t="s">
        <v>21</v>
      </c>
      <c r="I187" s="1" t="s">
        <v>58</v>
      </c>
      <c r="O187" s="143"/>
      <c r="P187" s="143"/>
      <c r="S187" s="66" t="s">
        <v>39</v>
      </c>
      <c r="T187" s="67">
        <f>C525</f>
        <v>1.1082932772233874E-2</v>
      </c>
      <c r="U187" s="67">
        <f t="shared" si="31"/>
        <v>0.14056361826338692</v>
      </c>
      <c r="V187" s="67">
        <f t="shared" si="31"/>
        <v>0.17552413789105933</v>
      </c>
      <c r="W187" s="67">
        <f t="shared" si="31"/>
        <v>0.18859055300907068</v>
      </c>
      <c r="X187" s="67">
        <f t="shared" si="31"/>
        <v>0.16153698206320438</v>
      </c>
      <c r="AD187" s="51"/>
      <c r="AE187" s="51"/>
      <c r="AN187" s="78"/>
      <c r="AO187" s="78"/>
    </row>
    <row r="188" spans="1:41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56</v>
      </c>
      <c r="O188" s="13"/>
      <c r="P188" s="13"/>
      <c r="S188" t="s">
        <v>30</v>
      </c>
      <c r="T188" s="57">
        <f>C526</f>
        <v>99.311855663169084</v>
      </c>
      <c r="U188" s="57">
        <f t="shared" si="31"/>
        <v>68.93551007119143</v>
      </c>
      <c r="V188" s="57">
        <f t="shared" si="31"/>
        <v>98.096324286012205</v>
      </c>
      <c r="W188" s="57">
        <f t="shared" si="31"/>
        <v>92.849832773144655</v>
      </c>
      <c r="X188" s="57">
        <f t="shared" si="31"/>
        <v>82.951403382115188</v>
      </c>
      <c r="AD188" s="51"/>
      <c r="AE188" s="51"/>
    </row>
    <row r="189" spans="1:41" x14ac:dyDescent="0.3">
      <c r="A189" t="s">
        <v>3</v>
      </c>
      <c r="B189" s="13">
        <v>0</v>
      </c>
      <c r="C189" s="26">
        <v>258</v>
      </c>
      <c r="D189" s="3">
        <v>0</v>
      </c>
      <c r="E189" s="3">
        <v>0</v>
      </c>
      <c r="F189" s="3">
        <v>1</v>
      </c>
      <c r="G189" s="4">
        <v>0</v>
      </c>
      <c r="H189" s="1">
        <f>SUM(C189:G189)</f>
        <v>259</v>
      </c>
      <c r="I189" s="10">
        <f>C189/H189</f>
        <v>0.99613899613899615</v>
      </c>
      <c r="J189" s="11">
        <f>1-I189</f>
        <v>3.8610038610038533E-3</v>
      </c>
      <c r="K189">
        <f>H189-C194</f>
        <v>-3</v>
      </c>
      <c r="N189" s="10">
        <f>2*(C195*I189)/(C195+I189)</f>
        <v>0.99040307101727443</v>
      </c>
      <c r="O189" s="1"/>
      <c r="P189" s="1"/>
      <c r="S189" s="66" t="s">
        <v>39</v>
      </c>
      <c r="T189" s="67">
        <f>C527</f>
        <v>0.73294812524494635</v>
      </c>
      <c r="U189" s="67">
        <f t="shared" si="31"/>
        <v>4.4566821352658739</v>
      </c>
      <c r="V189" s="67">
        <f t="shared" si="31"/>
        <v>0.18446803942521481</v>
      </c>
      <c r="W189" s="67">
        <f t="shared" si="31"/>
        <v>0.63086452718009511</v>
      </c>
      <c r="X189" s="67">
        <f t="shared" si="31"/>
        <v>1.9077818986463166</v>
      </c>
      <c r="AD189" s="51"/>
      <c r="AE189" s="51"/>
      <c r="AN189" s="78"/>
      <c r="AO189" s="78"/>
    </row>
    <row r="190" spans="1:41" x14ac:dyDescent="0.3">
      <c r="A190" t="s">
        <v>4</v>
      </c>
      <c r="B190" s="13">
        <v>1</v>
      </c>
      <c r="C190" s="5">
        <v>0</v>
      </c>
      <c r="D190" s="27">
        <v>304</v>
      </c>
      <c r="E190" s="1">
        <v>23</v>
      </c>
      <c r="F190" s="1">
        <v>0</v>
      </c>
      <c r="G190" s="6">
        <v>12</v>
      </c>
      <c r="H190" s="1">
        <f>SUM(C190:G190)</f>
        <v>339</v>
      </c>
      <c r="I190" s="10">
        <f>D190/H190</f>
        <v>0.89675516224188789</v>
      </c>
      <c r="J190" s="11">
        <f>1-I190</f>
        <v>0.10324483775811211</v>
      </c>
      <c r="K190">
        <f>H190-D194</f>
        <v>-176</v>
      </c>
      <c r="N190" s="10">
        <f>2*(D195*I190)/(D195+I190)</f>
        <v>0.71194379391100704</v>
      </c>
      <c r="O190" s="1"/>
      <c r="P190" s="1"/>
      <c r="S190" t="s">
        <v>31</v>
      </c>
      <c r="T190" s="57">
        <f>I519</f>
        <v>99.613899613899619</v>
      </c>
      <c r="U190" s="57">
        <f>I520</f>
        <v>88.495575221238937</v>
      </c>
      <c r="V190" s="57">
        <f>I521</f>
        <v>95.912958571627854</v>
      </c>
      <c r="W190" s="57">
        <f>I522</f>
        <v>90.629860031104201</v>
      </c>
      <c r="X190" s="57">
        <f>I523</f>
        <v>88.958333333333329</v>
      </c>
      <c r="AD190" s="51"/>
      <c r="AE190" s="51"/>
    </row>
    <row r="191" spans="1:41" x14ac:dyDescent="0.3">
      <c r="A191" t="s">
        <v>5</v>
      </c>
      <c r="B191" s="13">
        <v>2</v>
      </c>
      <c r="C191" s="5">
        <v>0</v>
      </c>
      <c r="D191" s="1">
        <v>195</v>
      </c>
      <c r="E191" s="27">
        <v>6860</v>
      </c>
      <c r="F191" s="1">
        <v>98</v>
      </c>
      <c r="G191" s="6">
        <v>16</v>
      </c>
      <c r="H191" s="1">
        <f>SUM(C191:G191)</f>
        <v>7169</v>
      </c>
      <c r="I191" s="10">
        <f>E191/H191</f>
        <v>0.95689775421955647</v>
      </c>
      <c r="J191" s="11">
        <f>1-I191</f>
        <v>4.3102245780443527E-2</v>
      </c>
      <c r="K191">
        <f>H191-E194</f>
        <v>204</v>
      </c>
      <c r="N191" s="10">
        <f>2*(E195*I191)/(E195+I191)</f>
        <v>0.97070892882411208</v>
      </c>
      <c r="O191" s="1"/>
      <c r="P191" s="1"/>
      <c r="S191" s="66" t="s">
        <v>39</v>
      </c>
      <c r="T191" s="67">
        <f>J519</f>
        <v>0.3861003861003835</v>
      </c>
      <c r="U191" s="67">
        <f>J520</f>
        <v>1.7355410189219826</v>
      </c>
      <c r="V191" s="67">
        <f>J521</f>
        <v>0.23385365682943215</v>
      </c>
      <c r="W191" s="67">
        <f>J522</f>
        <v>0.57472177966300575</v>
      </c>
      <c r="X191" s="67">
        <f>J523</f>
        <v>1.0120485135783621</v>
      </c>
      <c r="AD191" s="51"/>
      <c r="AE191" s="51"/>
      <c r="AN191" s="78"/>
      <c r="AO191" s="78"/>
    </row>
    <row r="192" spans="1:41" x14ac:dyDescent="0.3">
      <c r="A192" t="s">
        <v>6</v>
      </c>
      <c r="B192" s="13">
        <v>3</v>
      </c>
      <c r="C192" s="5">
        <v>3</v>
      </c>
      <c r="D192" s="1">
        <v>16</v>
      </c>
      <c r="E192" s="1">
        <v>73</v>
      </c>
      <c r="F192" s="27">
        <v>2324</v>
      </c>
      <c r="G192" s="6">
        <v>156</v>
      </c>
      <c r="H192" s="1">
        <f>SUM(C192:G192)</f>
        <v>2572</v>
      </c>
      <c r="I192" s="10">
        <f>F192/H192</f>
        <v>0.90357698289269051</v>
      </c>
      <c r="J192" s="11">
        <f>1-I192</f>
        <v>9.6423017107309494E-2</v>
      </c>
      <c r="K192">
        <f>H192-F194</f>
        <v>52</v>
      </c>
      <c r="N192" s="10">
        <f>2*(F195*I192)/(F195+I192)</f>
        <v>0.9128043990573449</v>
      </c>
      <c r="O192" s="1"/>
      <c r="P192" s="1"/>
      <c r="S192" s="66" t="s">
        <v>56</v>
      </c>
      <c r="T192" s="67">
        <f>N508*100</f>
        <v>99.613899613899619</v>
      </c>
      <c r="U192" s="67">
        <f>N509*100</f>
        <v>71.343638525564813</v>
      </c>
      <c r="V192" s="67">
        <f>N510*100</f>
        <v>97.180411278354896</v>
      </c>
      <c r="W192" s="67">
        <f>N511*100</f>
        <v>91.55538098978792</v>
      </c>
      <c r="X192" s="67">
        <f>N512*100</f>
        <v>85.571142284569149</v>
      </c>
      <c r="AD192" s="51"/>
      <c r="AE192" s="51"/>
    </row>
    <row r="193" spans="1:48" x14ac:dyDescent="0.3">
      <c r="A193" t="s">
        <v>7</v>
      </c>
      <c r="B193" s="13">
        <v>4</v>
      </c>
      <c r="C193" s="7">
        <v>1</v>
      </c>
      <c r="D193" s="8">
        <v>0</v>
      </c>
      <c r="E193" s="8">
        <v>9</v>
      </c>
      <c r="F193" s="8">
        <v>97</v>
      </c>
      <c r="G193" s="28">
        <v>853</v>
      </c>
      <c r="H193" s="1">
        <f>SUM(C193:G193)</f>
        <v>960</v>
      </c>
      <c r="I193" s="10">
        <f>G193/H193</f>
        <v>0.88854166666666667</v>
      </c>
      <c r="J193" s="11">
        <f>1-I193</f>
        <v>0.11145833333333333</v>
      </c>
      <c r="K193">
        <f>H193-G194</f>
        <v>-77</v>
      </c>
      <c r="N193" s="10">
        <f>2*(G195*I193)/(G195+I193)</f>
        <v>0.85428142213319991</v>
      </c>
      <c r="O193" s="1"/>
      <c r="P193" s="1"/>
      <c r="R193" s="16" t="s">
        <v>66</v>
      </c>
      <c r="S193" t="s">
        <v>9</v>
      </c>
      <c r="T193" s="1">
        <f>N519</f>
        <v>2661.33</v>
      </c>
      <c r="U193" s="1">
        <f>N520</f>
        <v>8149.95</v>
      </c>
      <c r="V193" s="1">
        <f>N521</f>
        <v>113349.01</v>
      </c>
      <c r="W193" s="1">
        <f>N522</f>
        <v>47246.33</v>
      </c>
      <c r="X193" s="1">
        <f>N523</f>
        <v>18392.3</v>
      </c>
      <c r="Z193" t="s">
        <v>36</v>
      </c>
      <c r="AA193" s="1">
        <f>N524</f>
        <v>189798.91999999998</v>
      </c>
      <c r="AD193" s="51"/>
      <c r="AE193" s="51"/>
      <c r="AL193" s="132">
        <v>0</v>
      </c>
      <c r="AM193" s="133">
        <v>1</v>
      </c>
      <c r="AN193" s="133">
        <v>2</v>
      </c>
      <c r="AO193" s="133">
        <v>3</v>
      </c>
      <c r="AP193" s="134">
        <v>4</v>
      </c>
    </row>
    <row r="194" spans="1:48" ht="15.6" x14ac:dyDescent="0.35">
      <c r="B194" s="1" t="s">
        <v>19</v>
      </c>
      <c r="C194" s="1">
        <f>SUM(C189:C193)</f>
        <v>262</v>
      </c>
      <c r="D194" s="1">
        <f>SUM(D189:D193)</f>
        <v>515</v>
      </c>
      <c r="E194" s="1">
        <f>SUM(E189:E193)</f>
        <v>6965</v>
      </c>
      <c r="F194" s="1">
        <f>SUM(F189:F193)</f>
        <v>2520</v>
      </c>
      <c r="G194" s="1">
        <f>SUM(G189:G193)</f>
        <v>1037</v>
      </c>
      <c r="H194" s="1">
        <f>SUM(H188:H193)</f>
        <v>11299</v>
      </c>
      <c r="I194" s="13" t="s">
        <v>12</v>
      </c>
      <c r="N194" s="16"/>
      <c r="O194" s="1"/>
      <c r="P194" s="1"/>
      <c r="R194" s="16" t="s">
        <v>323</v>
      </c>
      <c r="S194" t="s">
        <v>68</v>
      </c>
      <c r="T194" s="57">
        <f>$AA193*T186/100</f>
        <v>2669.4240852633347</v>
      </c>
      <c r="U194" s="57">
        <f>$AA193*U186/100</f>
        <v>10462.452697158536</v>
      </c>
      <c r="V194" s="57">
        <f>$AA193*V186/100</f>
        <v>110826.15968940279</v>
      </c>
      <c r="W194" s="57">
        <f>$AA193*W186/100</f>
        <v>46116.70422008384</v>
      </c>
      <c r="X194" s="57">
        <f>$AA193*X186/100</f>
        <v>19724.179308091487</v>
      </c>
      <c r="Z194" t="s">
        <v>36</v>
      </c>
      <c r="AA194" s="25">
        <f>SUM(T194:X194)</f>
        <v>189798.91999999998</v>
      </c>
      <c r="AD194" s="51"/>
      <c r="AE194" s="51"/>
      <c r="AJ194" t="s">
        <v>2</v>
      </c>
      <c r="AQ194" t="s">
        <v>41</v>
      </c>
    </row>
    <row r="195" spans="1:48" x14ac:dyDescent="0.3">
      <c r="A195" s="1" t="s">
        <v>321</v>
      </c>
      <c r="B195" s="1" t="s">
        <v>2</v>
      </c>
      <c r="C195" s="10">
        <f>C189/C194</f>
        <v>0.98473282442748089</v>
      </c>
      <c r="D195" s="10">
        <f>D190/D194</f>
        <v>0.59029126213592231</v>
      </c>
      <c r="E195" s="10">
        <f>E191/E194</f>
        <v>0.98492462311557794</v>
      </c>
      <c r="F195" s="10">
        <f>F192/F194</f>
        <v>0.92222222222222228</v>
      </c>
      <c r="G195" s="10">
        <f>G193/G194</f>
        <v>0.82256509161041469</v>
      </c>
      <c r="H195" s="10"/>
      <c r="I195" s="14">
        <f>(C189+D190+E191+F192+G193)/H194</f>
        <v>0.93804761483317112</v>
      </c>
      <c r="R195" s="66"/>
      <c r="S195" s="66" t="s">
        <v>67</v>
      </c>
      <c r="T195" s="67">
        <f>$AA193*T187/100</f>
        <v>21.03528670602595</v>
      </c>
      <c r="U195" s="67">
        <f>$AA193*U187/100</f>
        <v>266.78822937683111</v>
      </c>
      <c r="V195" s="67">
        <f>$AA193*V187/100</f>
        <v>333.14291805654136</v>
      </c>
      <c r="W195" s="67">
        <f>$AA193*W187/100</f>
        <v>357.94283283324359</v>
      </c>
      <c r="X195" s="67">
        <f>$AA193*X187/100</f>
        <v>306.59544735655561</v>
      </c>
      <c r="AA195" s="1"/>
      <c r="AD195" s="51"/>
      <c r="AE195" s="51"/>
      <c r="AJ195" t="s">
        <v>415</v>
      </c>
      <c r="AK195">
        <v>0</v>
      </c>
      <c r="AL195" s="1">
        <v>89.11</v>
      </c>
      <c r="AM195" s="1">
        <v>581.79999999999995</v>
      </c>
      <c r="AN195">
        <v>15987.53</v>
      </c>
      <c r="AO195">
        <v>14631.59</v>
      </c>
      <c r="AP195">
        <v>10300.17</v>
      </c>
      <c r="AR195" s="1">
        <v>2724.08</v>
      </c>
      <c r="AS195" s="1">
        <v>8101.06</v>
      </c>
      <c r="AT195" s="1">
        <v>113077.18</v>
      </c>
      <c r="AU195" s="1">
        <v>47074.720000000001</v>
      </c>
      <c r="AV195" s="1">
        <v>18821.88</v>
      </c>
    </row>
    <row r="196" spans="1:48" x14ac:dyDescent="0.3">
      <c r="B196" s="1" t="s">
        <v>14</v>
      </c>
      <c r="C196" s="11">
        <f>1-C195</f>
        <v>1.5267175572519109E-2</v>
      </c>
      <c r="D196" s="11">
        <f>1-D195</f>
        <v>0.40970873786407769</v>
      </c>
      <c r="E196" s="11">
        <f>1-E195</f>
        <v>1.5075376884422065E-2</v>
      </c>
      <c r="F196" s="11">
        <f>1-F195</f>
        <v>7.7777777777777724E-2</v>
      </c>
      <c r="G196" s="11">
        <f>1-G195</f>
        <v>0.17743490838958531</v>
      </c>
      <c r="R196" t="s">
        <v>111</v>
      </c>
      <c r="S196" t="s">
        <v>28</v>
      </c>
      <c r="T196" s="57">
        <f>C553</f>
        <v>1.3623570232312932</v>
      </c>
      <c r="U196" s="57">
        <f t="shared" ref="U196:X199" si="32">D553</f>
        <v>5.5258936458281269</v>
      </c>
      <c r="V196" s="57">
        <f t="shared" si="32"/>
        <v>58.167447781992998</v>
      </c>
      <c r="W196" s="57">
        <f t="shared" si="32"/>
        <v>24.587903746242009</v>
      </c>
      <c r="X196" s="57">
        <f t="shared" si="32"/>
        <v>10.356397802705574</v>
      </c>
      <c r="Y196" s="13"/>
      <c r="Z196" s="74"/>
      <c r="AA196" s="12"/>
      <c r="AD196" s="51"/>
      <c r="AE196" s="51"/>
      <c r="AJ196" t="s">
        <v>415</v>
      </c>
      <c r="AK196">
        <v>1</v>
      </c>
      <c r="AL196" s="1">
        <v>101.97</v>
      </c>
      <c r="AM196" s="1">
        <v>569.98</v>
      </c>
      <c r="AN196">
        <v>16029.81</v>
      </c>
      <c r="AO196">
        <v>14736.32</v>
      </c>
      <c r="AP196">
        <v>10152.120000000001</v>
      </c>
      <c r="AR196" s="1">
        <v>2716.25</v>
      </c>
      <c r="AS196" s="1">
        <v>7863.99</v>
      </c>
      <c r="AT196" s="1">
        <v>113419.14</v>
      </c>
      <c r="AU196" s="1">
        <v>47328.55</v>
      </c>
      <c r="AV196" s="1">
        <v>18470.990000000002</v>
      </c>
    </row>
    <row r="197" spans="1:48" x14ac:dyDescent="0.3">
      <c r="C197" s="2"/>
      <c r="S197" s="66" t="s">
        <v>39</v>
      </c>
      <c r="T197" s="67">
        <f>C554</f>
        <v>1.2244025208429007E-2</v>
      </c>
      <c r="U197" s="67">
        <f t="shared" si="32"/>
        <v>0.13985050323560877</v>
      </c>
      <c r="V197" s="67">
        <f t="shared" si="32"/>
        <v>0.17523665218681278</v>
      </c>
      <c r="W197" s="67">
        <f t="shared" si="32"/>
        <v>0.19026676605057699</v>
      </c>
      <c r="X197" s="67">
        <f t="shared" si="32"/>
        <v>0.16453947009250164</v>
      </c>
      <c r="AD197" s="51"/>
      <c r="AE197" s="51"/>
      <c r="AJ197" t="s">
        <v>415</v>
      </c>
      <c r="AK197">
        <v>2</v>
      </c>
      <c r="AL197" s="1">
        <v>124.7</v>
      </c>
      <c r="AM197" s="1">
        <v>555.02</v>
      </c>
      <c r="AN197">
        <v>15968.75</v>
      </c>
      <c r="AO197">
        <v>14646.29</v>
      </c>
      <c r="AP197">
        <v>10295.44</v>
      </c>
      <c r="AR197" s="1">
        <v>2739.13</v>
      </c>
      <c r="AS197" s="1">
        <v>7788.27</v>
      </c>
      <c r="AT197" s="1">
        <v>113174.56</v>
      </c>
      <c r="AU197" s="1">
        <v>47391.49</v>
      </c>
      <c r="AV197" s="1">
        <v>18705.46</v>
      </c>
    </row>
    <row r="198" spans="1:48" ht="15.6" x14ac:dyDescent="0.35">
      <c r="A198" t="s">
        <v>322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99.284635840971404</v>
      </c>
      <c r="U198" s="57">
        <f t="shared" si="32"/>
        <v>69.117480285867998</v>
      </c>
      <c r="V198" s="57">
        <f t="shared" si="32"/>
        <v>98.086790505178854</v>
      </c>
      <c r="W198" s="57">
        <f t="shared" si="32"/>
        <v>92.591143259180228</v>
      </c>
      <c r="X198" s="57">
        <f t="shared" si="32"/>
        <v>83.051582804589984</v>
      </c>
      <c r="AD198" s="51"/>
      <c r="AE198" s="51"/>
      <c r="AJ198" t="s">
        <v>415</v>
      </c>
      <c r="AK198">
        <v>3</v>
      </c>
      <c r="AL198" s="1">
        <v>65.62</v>
      </c>
      <c r="AM198" s="1">
        <v>631.29999999999995</v>
      </c>
      <c r="AN198">
        <v>16042.73</v>
      </c>
      <c r="AO198">
        <v>14606.74</v>
      </c>
      <c r="AP198">
        <v>10243.81</v>
      </c>
      <c r="AR198" s="1">
        <v>2632.6</v>
      </c>
      <c r="AS198" s="1">
        <v>8574.31</v>
      </c>
      <c r="AT198" s="1">
        <v>113037.46</v>
      </c>
      <c r="AU198" s="1">
        <v>47066.8</v>
      </c>
      <c r="AV198" s="1">
        <v>18487.75</v>
      </c>
    </row>
    <row r="199" spans="1:48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0.81031392934085678</v>
      </c>
      <c r="U199" s="67">
        <f t="shared" si="32"/>
        <v>4.3849805889409783</v>
      </c>
      <c r="V199" s="67">
        <f t="shared" si="32"/>
        <v>0.18556969926985875</v>
      </c>
      <c r="W199" s="67">
        <f t="shared" si="32"/>
        <v>0.64010420190942718</v>
      </c>
      <c r="X199" s="67">
        <f t="shared" si="32"/>
        <v>1.9748984835494441</v>
      </c>
      <c r="AD199" s="51"/>
      <c r="AE199" s="51"/>
      <c r="AJ199" t="s">
        <v>415</v>
      </c>
      <c r="AK199">
        <v>4</v>
      </c>
      <c r="AL199" s="1">
        <v>72.97</v>
      </c>
      <c r="AM199" s="1">
        <v>596.28</v>
      </c>
      <c r="AN199">
        <v>15956.3</v>
      </c>
      <c r="AO199">
        <v>14705.5</v>
      </c>
      <c r="AP199">
        <v>10259.15</v>
      </c>
      <c r="AR199" s="1">
        <v>2663.04</v>
      </c>
      <c r="AS199" s="1">
        <v>8370.82</v>
      </c>
      <c r="AT199" s="1">
        <v>112761.11</v>
      </c>
      <c r="AU199" s="1">
        <v>47342.879999999997</v>
      </c>
      <c r="AV199" s="1">
        <v>18661.07</v>
      </c>
    </row>
    <row r="200" spans="1:48" x14ac:dyDescent="0.3">
      <c r="A200" t="s">
        <v>3</v>
      </c>
      <c r="B200" s="13">
        <v>0</v>
      </c>
      <c r="C200" s="29">
        <f>(C189/$L200)*$O200</f>
        <v>1.3612280100308589</v>
      </c>
      <c r="D200" s="31">
        <f>(D189/$L200)*$O200</f>
        <v>0</v>
      </c>
      <c r="E200" s="31">
        <f>(E189/$L200)*$O200</f>
        <v>0</v>
      </c>
      <c r="F200" s="31">
        <f>(F189/$L200)*$O200</f>
        <v>5.2760775582591435E-3</v>
      </c>
      <c r="G200" s="32">
        <f>(G189/$L200)*$O200</f>
        <v>0</v>
      </c>
      <c r="H200" s="17">
        <f>SUM(C200:G200)</f>
        <v>1.3665040875891181</v>
      </c>
      <c r="I200" s="17">
        <f>C200/H200*100</f>
        <v>99.613899613899619</v>
      </c>
      <c r="J200" s="17">
        <f>SQRT(I200*(100-I200)/(L200-1))</f>
        <v>0.3861003861003835</v>
      </c>
      <c r="K200" s="18">
        <f>100-I200</f>
        <v>0.38610038610038089</v>
      </c>
      <c r="L200" s="1">
        <f>H189</f>
        <v>259</v>
      </c>
      <c r="M200">
        <v>0</v>
      </c>
      <c r="N200" s="1">
        <v>2593.61</v>
      </c>
      <c r="O200" s="17">
        <f>N200/N205*100</f>
        <v>1.3665040875891181</v>
      </c>
      <c r="P200" s="52">
        <f>((O200*O200*(I200/100)*(K200/100))/(L200-1))</f>
        <v>2.7836994400765387E-5</v>
      </c>
      <c r="S200" t="s">
        <v>31</v>
      </c>
      <c r="T200" s="57">
        <f>I548</f>
        <v>99.227799227799224</v>
      </c>
      <c r="U200" s="57">
        <f>I549</f>
        <v>88.790560471976391</v>
      </c>
      <c r="V200" s="57">
        <f>I550</f>
        <v>95.91295857162784</v>
      </c>
      <c r="W200" s="57">
        <f>I551</f>
        <v>90.824261275272164</v>
      </c>
      <c r="X200" s="57">
        <f>I552</f>
        <v>87.916666666666671</v>
      </c>
      <c r="AD200" s="51"/>
      <c r="AE200" s="51"/>
      <c r="AJ200" t="s">
        <v>415</v>
      </c>
      <c r="AK200">
        <v>5</v>
      </c>
      <c r="AL200" s="1">
        <v>29.89</v>
      </c>
      <c r="AM200" s="1">
        <v>586.70000000000005</v>
      </c>
      <c r="AN200">
        <v>15827.18</v>
      </c>
      <c r="AO200">
        <v>14836.66</v>
      </c>
      <c r="AP200">
        <v>10309.77</v>
      </c>
      <c r="AR200" s="1">
        <v>2553.36</v>
      </c>
      <c r="AS200" s="1">
        <v>8407.02</v>
      </c>
      <c r="AT200" s="1">
        <v>112363.4</v>
      </c>
      <c r="AU200" s="1">
        <v>47732.85</v>
      </c>
      <c r="AV200" s="1">
        <v>18742.29</v>
      </c>
    </row>
    <row r="201" spans="1:48" x14ac:dyDescent="0.3">
      <c r="A201" t="s">
        <v>4</v>
      </c>
      <c r="B201" s="13">
        <v>1</v>
      </c>
      <c r="C201" s="33">
        <f t="shared" ref="C201:G204" si="33">(C190/$L201)*$O201</f>
        <v>0</v>
      </c>
      <c r="D201" s="34">
        <f t="shared" si="33"/>
        <v>3.9861985979191052</v>
      </c>
      <c r="E201" s="19">
        <f t="shared" si="33"/>
        <v>0.30158739392151124</v>
      </c>
      <c r="F201" s="18">
        <f t="shared" si="33"/>
        <v>0</v>
      </c>
      <c r="G201" s="20">
        <f t="shared" si="33"/>
        <v>0.15734994465470153</v>
      </c>
      <c r="H201" s="17">
        <f>SUM(C201:G201)</f>
        <v>4.4451359364953174</v>
      </c>
      <c r="I201" s="17">
        <f>D201/H201*100</f>
        <v>89.675516224188797</v>
      </c>
      <c r="J201" s="17">
        <f>SQRT(I201*(100-I201)/(L201-1))</f>
        <v>1.6550562767243442</v>
      </c>
      <c r="K201" s="18">
        <f>100-I201</f>
        <v>10.324483775811203</v>
      </c>
      <c r="L201" s="1">
        <f>H190</f>
        <v>339</v>
      </c>
      <c r="M201">
        <v>1</v>
      </c>
      <c r="N201" s="1">
        <v>8436.82</v>
      </c>
      <c r="O201" s="17">
        <f>N201/N205*100</f>
        <v>4.4451359364953182</v>
      </c>
      <c r="P201" s="52">
        <f>((O201*O201*(I201/100)*(K201/100))/(L201-1))</f>
        <v>5.4124715253409004E-3</v>
      </c>
      <c r="S201" s="66" t="s">
        <v>39</v>
      </c>
      <c r="T201" s="67">
        <f>J548</f>
        <v>0.54496918050789811</v>
      </c>
      <c r="U201" s="67">
        <f>J549</f>
        <v>1.7159988709375662</v>
      </c>
      <c r="V201" s="67">
        <f>J550</f>
        <v>0.23385365682943254</v>
      </c>
      <c r="W201" s="67">
        <f>J551</f>
        <v>0.56933832344016333</v>
      </c>
      <c r="X201" s="67">
        <f>J552</f>
        <v>1.0524941274466006</v>
      </c>
      <c r="AD201" s="51"/>
      <c r="AE201" s="51"/>
      <c r="AJ201" t="s">
        <v>415</v>
      </c>
      <c r="AK201">
        <v>6</v>
      </c>
      <c r="AL201" s="1">
        <v>39.47</v>
      </c>
      <c r="AM201" s="1">
        <v>579.96</v>
      </c>
      <c r="AN201">
        <v>16024.67</v>
      </c>
      <c r="AO201">
        <v>14752.77</v>
      </c>
      <c r="AP201">
        <v>10193.33</v>
      </c>
      <c r="AR201" s="1">
        <v>2593.61</v>
      </c>
      <c r="AS201" s="1">
        <v>8436.82</v>
      </c>
      <c r="AT201" s="1">
        <v>112580.23</v>
      </c>
      <c r="AU201" s="1">
        <v>47774.8</v>
      </c>
      <c r="AV201" s="1">
        <v>18413.46</v>
      </c>
    </row>
    <row r="202" spans="1:48" x14ac:dyDescent="0.3">
      <c r="A202" t="s">
        <v>5</v>
      </c>
      <c r="B202" s="13">
        <v>2</v>
      </c>
      <c r="C202" s="33">
        <f t="shared" si="33"/>
        <v>0</v>
      </c>
      <c r="D202" s="19">
        <f t="shared" si="33"/>
        <v>1.613408816035752</v>
      </c>
      <c r="E202" s="34">
        <f t="shared" si="33"/>
        <v>56.758894759001329</v>
      </c>
      <c r="F202" s="19">
        <f t="shared" si="33"/>
        <v>0.81084135370001897</v>
      </c>
      <c r="G202" s="20">
        <f t="shared" si="33"/>
        <v>0.13238226182857452</v>
      </c>
      <c r="H202" s="17">
        <f>SUM(C202:G202)</f>
        <v>59.315527190565675</v>
      </c>
      <c r="I202" s="17">
        <f>E202/H202*100</f>
        <v>95.689775421955645</v>
      </c>
      <c r="J202" s="17">
        <f>SQRT(I202*(100-I202)/(L202-1))</f>
        <v>0.23987429915126723</v>
      </c>
      <c r="K202" s="18">
        <f>100-I202</f>
        <v>4.3102245780443553</v>
      </c>
      <c r="L202" s="1">
        <f>H191</f>
        <v>7169</v>
      </c>
      <c r="M202">
        <v>2</v>
      </c>
      <c r="N202" s="1">
        <v>112580.23</v>
      </c>
      <c r="O202" s="17">
        <f>N202/N205*100</f>
        <v>59.315527190565675</v>
      </c>
      <c r="P202" s="52">
        <f>((O202*O202*(I202/100)*(K202/100))/(L202-1))</f>
        <v>2.0244368180888709E-2</v>
      </c>
      <c r="S202" s="66" t="s">
        <v>56</v>
      </c>
      <c r="T202" s="67">
        <f>N537*100</f>
        <v>99.419729206963254</v>
      </c>
      <c r="U202" s="67">
        <f>N538*100</f>
        <v>71.496437054631826</v>
      </c>
      <c r="V202" s="67">
        <f>N539*100</f>
        <v>97.180411278354896</v>
      </c>
      <c r="W202" s="67">
        <f>N540*100</f>
        <v>91.518119490695398</v>
      </c>
      <c r="X202" s="67">
        <f>N541*100</f>
        <v>85.12355017650026</v>
      </c>
      <c r="AD202" s="51"/>
      <c r="AE202" s="51"/>
      <c r="AJ202" t="s">
        <v>415</v>
      </c>
      <c r="AK202">
        <v>7</v>
      </c>
      <c r="AL202" s="1">
        <v>45.36</v>
      </c>
      <c r="AM202" s="1">
        <v>565.42999999999995</v>
      </c>
      <c r="AN202">
        <v>15954.14</v>
      </c>
      <c r="AO202">
        <v>14820.93</v>
      </c>
      <c r="AP202">
        <v>10204.34</v>
      </c>
      <c r="AR202" s="1">
        <v>2584.88</v>
      </c>
      <c r="AS202" s="1">
        <v>8088.91</v>
      </c>
      <c r="AT202" s="1">
        <v>112759.4</v>
      </c>
      <c r="AU202" s="1">
        <v>47867</v>
      </c>
      <c r="AV202" s="1">
        <v>18498.73</v>
      </c>
    </row>
    <row r="203" spans="1:48" x14ac:dyDescent="0.3">
      <c r="A203" t="s">
        <v>6</v>
      </c>
      <c r="B203" s="13">
        <v>3</v>
      </c>
      <c r="C203" s="33">
        <f t="shared" si="33"/>
        <v>2.9359958085774938E-2</v>
      </c>
      <c r="D203" s="19">
        <f t="shared" si="33"/>
        <v>0.15658644312413297</v>
      </c>
      <c r="E203" s="19">
        <f t="shared" si="33"/>
        <v>0.71442564675385678</v>
      </c>
      <c r="F203" s="34">
        <f t="shared" si="33"/>
        <v>22.744180863780315</v>
      </c>
      <c r="G203" s="20">
        <f t="shared" si="33"/>
        <v>1.5267178204602967</v>
      </c>
      <c r="H203" s="17">
        <f>SUM(C203:G203)</f>
        <v>25.171270732204377</v>
      </c>
      <c r="I203" s="17">
        <f>F203/H203*100</f>
        <v>90.357698289269052</v>
      </c>
      <c r="J203" s="17">
        <f>SQRT(I203*(100-I203)/(L203-1))</f>
        <v>0.58213257160103737</v>
      </c>
      <c r="K203" s="18">
        <f>100-I203</f>
        <v>9.6423017107309477</v>
      </c>
      <c r="L203" s="1">
        <f>H192</f>
        <v>2572</v>
      </c>
      <c r="M203">
        <v>3</v>
      </c>
      <c r="N203" s="1">
        <v>47774.8</v>
      </c>
      <c r="O203" s="17">
        <f>N203/N205*100</f>
        <v>25.171270732204377</v>
      </c>
      <c r="P203" s="52">
        <f>((O203*O203*(I203/100)*(K203/100))/(L203-1))</f>
        <v>2.1471089436050417E-2</v>
      </c>
      <c r="R203" s="16" t="s">
        <v>66</v>
      </c>
      <c r="S203" t="s">
        <v>9</v>
      </c>
      <c r="T203" s="1">
        <f>N548</f>
        <v>2587.2199999999998</v>
      </c>
      <c r="U203" s="1">
        <f>N549</f>
        <v>8164.27</v>
      </c>
      <c r="V203" s="1">
        <f>N550</f>
        <v>112903.39</v>
      </c>
      <c r="W203" s="1">
        <f>N551</f>
        <v>47575.44</v>
      </c>
      <c r="X203" s="1">
        <f>N552</f>
        <v>18568.599999999999</v>
      </c>
      <c r="Z203" t="s">
        <v>36</v>
      </c>
      <c r="AA203" s="1">
        <f>N553</f>
        <v>189798.92</v>
      </c>
      <c r="AD203" s="51"/>
      <c r="AE203" s="51"/>
      <c r="AJ203" t="s">
        <v>415</v>
      </c>
      <c r="AK203">
        <v>8</v>
      </c>
      <c r="AL203" s="1">
        <v>59.48</v>
      </c>
      <c r="AM203" s="1">
        <v>572.11</v>
      </c>
      <c r="AN203">
        <v>15975.94</v>
      </c>
      <c r="AO203">
        <v>14683.23</v>
      </c>
      <c r="AP203">
        <v>10299.44</v>
      </c>
      <c r="AR203" s="1">
        <v>2663.75</v>
      </c>
      <c r="AS203" s="1">
        <v>7872.18</v>
      </c>
      <c r="AT203" s="1">
        <v>113067.44</v>
      </c>
      <c r="AU203" s="1">
        <v>47406.61</v>
      </c>
      <c r="AV203" s="1">
        <v>18788.93</v>
      </c>
    </row>
    <row r="204" spans="1:48" ht="15.6" x14ac:dyDescent="0.35">
      <c r="A204" t="s">
        <v>7</v>
      </c>
      <c r="B204" s="13">
        <v>4</v>
      </c>
      <c r="C204" s="35">
        <f t="shared" si="33"/>
        <v>1.0105793805359902E-2</v>
      </c>
      <c r="D204" s="36">
        <f t="shared" si="33"/>
        <v>0</v>
      </c>
      <c r="E204" s="21">
        <f t="shared" si="33"/>
        <v>9.0952144248239122E-2</v>
      </c>
      <c r="F204" s="21">
        <f t="shared" si="33"/>
        <v>0.98026199911991063</v>
      </c>
      <c r="G204" s="37">
        <f t="shared" si="33"/>
        <v>8.6202421159719975</v>
      </c>
      <c r="H204" s="17">
        <f>SUM(C204:G204)</f>
        <v>9.7015620531455067</v>
      </c>
      <c r="I204" s="17">
        <f>G204/H204*100</f>
        <v>88.854166666666671</v>
      </c>
      <c r="J204" s="17">
        <f>SQRT(I204*(100-I204)/(L204-1))</f>
        <v>1.0162156240770146</v>
      </c>
      <c r="K204" s="18">
        <f>100-I204</f>
        <v>11.145833333333329</v>
      </c>
      <c r="L204" s="1">
        <f>H193</f>
        <v>960</v>
      </c>
      <c r="M204">
        <v>4</v>
      </c>
      <c r="N204" s="1">
        <v>18413.46</v>
      </c>
      <c r="O204" s="17">
        <f>N204/N205*100</f>
        <v>9.7015620531455067</v>
      </c>
      <c r="P204" s="52">
        <f>((O204*O204*(I204/100)*(K204/100))/(L204-1))</f>
        <v>9.7197493881786001E-3</v>
      </c>
      <c r="R204" s="16" t="s">
        <v>323</v>
      </c>
      <c r="S204" t="s">
        <v>68</v>
      </c>
      <c r="T204" s="57">
        <f>$AA203*T196/100</f>
        <v>2585.7389166371436</v>
      </c>
      <c r="U204" s="57">
        <f>$AA203*U196/100</f>
        <v>10488.086460130411</v>
      </c>
      <c r="V204" s="57">
        <f>$AA203*V196/100</f>
        <v>110401.18768178667</v>
      </c>
      <c r="W204" s="57">
        <f>$AA203*W196/100</f>
        <v>46667.575761006876</v>
      </c>
      <c r="X204" s="57">
        <f>$AA203*X196/100</f>
        <v>19656.331180438912</v>
      </c>
      <c r="Z204" t="s">
        <v>36</v>
      </c>
      <c r="AA204" s="25">
        <f>SUM(T204:X204)</f>
        <v>189798.92</v>
      </c>
      <c r="AD204" s="51"/>
      <c r="AE204" s="51"/>
      <c r="AJ204" t="s">
        <v>415</v>
      </c>
      <c r="AK204">
        <v>9</v>
      </c>
      <c r="AL204" s="1">
        <v>101.46</v>
      </c>
      <c r="AM204" s="1">
        <v>596.98</v>
      </c>
      <c r="AN204">
        <v>16037.08</v>
      </c>
      <c r="AO204">
        <v>14767.36</v>
      </c>
      <c r="AP204">
        <v>10087.31</v>
      </c>
      <c r="AR204" s="1">
        <v>2687.53</v>
      </c>
      <c r="AS204" s="1">
        <v>8468.25</v>
      </c>
      <c r="AT204" s="1">
        <v>112767.42</v>
      </c>
      <c r="AU204" s="1">
        <v>47738.42</v>
      </c>
      <c r="AV204" s="1">
        <v>18137.310000000001</v>
      </c>
    </row>
    <row r="205" spans="1:48" x14ac:dyDescent="0.3">
      <c r="B205" t="s">
        <v>28</v>
      </c>
      <c r="C205" s="17">
        <f t="shared" ref="C205:H205" si="34">SUM(C200:C204)</f>
        <v>1.4006937619219937</v>
      </c>
      <c r="D205" s="17">
        <f t="shared" si="34"/>
        <v>5.7561938570789897</v>
      </c>
      <c r="E205" s="17">
        <f t="shared" si="34"/>
        <v>57.865859943924939</v>
      </c>
      <c r="F205" s="17">
        <f t="shared" si="34"/>
        <v>24.540560294158503</v>
      </c>
      <c r="G205" s="17">
        <f t="shared" si="34"/>
        <v>10.43669214291557</v>
      </c>
      <c r="H205" s="18">
        <f t="shared" si="34"/>
        <v>100</v>
      </c>
      <c r="I205" s="13" t="s">
        <v>24</v>
      </c>
      <c r="J205" s="12" t="s">
        <v>29</v>
      </c>
      <c r="N205" s="1">
        <f>SUM(N200:N204)</f>
        <v>189798.92</v>
      </c>
      <c r="O205" s="17">
        <f>SUM(O200:O204)</f>
        <v>100</v>
      </c>
      <c r="R205" s="66"/>
      <c r="S205" s="66" t="s">
        <v>67</v>
      </c>
      <c r="T205" s="67">
        <f>$AA203*T197/100</f>
        <v>23.239027610126005</v>
      </c>
      <c r="U205" s="67">
        <f>$AA203*U197/100</f>
        <v>265.4347447557505</v>
      </c>
      <c r="V205" s="67">
        <f>$AA203*V197/100</f>
        <v>332.59727329472707</v>
      </c>
      <c r="W205" s="67">
        <f>$AA203*W197/100</f>
        <v>361.12426708292179</v>
      </c>
      <c r="X205" s="67">
        <f>$AA203*X197/100</f>
        <v>312.29413720929114</v>
      </c>
      <c r="AA205" s="1"/>
      <c r="AD205" s="51"/>
      <c r="AE205" s="51"/>
      <c r="AJ205" t="s">
        <v>415</v>
      </c>
      <c r="AK205">
        <v>10</v>
      </c>
      <c r="AL205" s="1">
        <v>29.84</v>
      </c>
      <c r="AM205" s="1">
        <v>559.66</v>
      </c>
      <c r="AN205">
        <v>15857.62</v>
      </c>
      <c r="AO205">
        <v>14825.82</v>
      </c>
      <c r="AP205">
        <v>10317.25</v>
      </c>
      <c r="AR205" s="1">
        <v>2562.2800000000002</v>
      </c>
      <c r="AS205" s="1">
        <v>7723.7</v>
      </c>
      <c r="AT205" s="1">
        <v>112851.52</v>
      </c>
      <c r="AU205" s="1">
        <v>47805.41</v>
      </c>
      <c r="AV205" s="1">
        <v>18856</v>
      </c>
    </row>
    <row r="206" spans="1:48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2.0414474378334942E-2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0.14108683639949127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0.17785308512883224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0.19238749682857836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0.16379231244398107</v>
      </c>
      <c r="H206" s="1"/>
      <c r="I206" s="14">
        <f>(C200+D201+E202+F203+G204)/H205</f>
        <v>0.93470744346703616</v>
      </c>
      <c r="J206" s="53">
        <f>SQRT(SUM(P200:P204))/100</f>
        <v>2.3848588118557334E-3</v>
      </c>
      <c r="M206" s="1"/>
      <c r="N206" s="9"/>
      <c r="R206" t="s">
        <v>112</v>
      </c>
      <c r="S206" t="s">
        <v>28</v>
      </c>
      <c r="T206" s="57">
        <f>C582</f>
        <v>1.3919335597628282</v>
      </c>
      <c r="U206" s="57">
        <f t="shared" ref="U206:X209" si="35">D582</f>
        <v>5.9877435165498092</v>
      </c>
      <c r="V206" s="57">
        <f t="shared" si="35"/>
        <v>57.405461126334465</v>
      </c>
      <c r="W206" s="57">
        <f t="shared" si="35"/>
        <v>24.72521514294985</v>
      </c>
      <c r="X206" s="57">
        <f>G582</f>
        <v>10.489646654403048</v>
      </c>
      <c r="Y206" s="60"/>
      <c r="Z206" s="74"/>
      <c r="AA206" s="12"/>
      <c r="AD206" s="51"/>
      <c r="AE206" s="51"/>
      <c r="AJ206" t="s">
        <v>415</v>
      </c>
      <c r="AK206">
        <v>11</v>
      </c>
      <c r="AL206" s="1">
        <v>56.63</v>
      </c>
      <c r="AM206" s="1">
        <v>588.42999999999995</v>
      </c>
      <c r="AN206">
        <v>16048.49</v>
      </c>
      <c r="AO206">
        <v>14639.96</v>
      </c>
      <c r="AP206">
        <v>10256.69</v>
      </c>
      <c r="AR206" s="1">
        <v>2627.47</v>
      </c>
      <c r="AS206" s="1">
        <v>8231.7099999999991</v>
      </c>
      <c r="AT206" s="1">
        <v>112927.34</v>
      </c>
      <c r="AU206" s="1">
        <v>47404.18</v>
      </c>
      <c r="AV206" s="1">
        <v>18608.22</v>
      </c>
    </row>
    <row r="207" spans="1:48" x14ac:dyDescent="0.3">
      <c r="B207" s="1" t="s">
        <v>30</v>
      </c>
      <c r="C207" s="17">
        <f>C200/C205*100</f>
        <v>97.182413960566166</v>
      </c>
      <c r="D207" s="17">
        <f>D201/D205*100</f>
        <v>69.250596781358624</v>
      </c>
      <c r="E207" s="17">
        <f>E202/E205*100</f>
        <v>98.087015062082699</v>
      </c>
      <c r="F207" s="17">
        <f>F203/F205*100</f>
        <v>92.679957552534816</v>
      </c>
      <c r="G207" s="17">
        <f>G204/G205*100</f>
        <v>82.595538873142104</v>
      </c>
      <c r="H207" s="1"/>
      <c r="S207" s="66" t="s">
        <v>39</v>
      </c>
      <c r="T207" s="67">
        <f>C583</f>
        <v>1.5151147365702819E-2</v>
      </c>
      <c r="U207" s="67">
        <f t="shared" si="35"/>
        <v>0.14679705334806853</v>
      </c>
      <c r="V207" s="67">
        <f t="shared" si="35"/>
        <v>0.1769472124004573</v>
      </c>
      <c r="W207" s="67">
        <f t="shared" si="35"/>
        <v>0.18856278772542776</v>
      </c>
      <c r="X207" s="67">
        <f t="shared" si="35"/>
        <v>0.1618247773320648</v>
      </c>
      <c r="AD207" s="51"/>
      <c r="AE207" s="51"/>
      <c r="AJ207" t="s">
        <v>415</v>
      </c>
      <c r="AK207">
        <v>12</v>
      </c>
      <c r="AL207" s="1">
        <v>32.25</v>
      </c>
      <c r="AM207" s="1">
        <v>578.54999999999995</v>
      </c>
      <c r="AN207">
        <v>15982.79</v>
      </c>
      <c r="AO207">
        <v>14652.04</v>
      </c>
      <c r="AP207">
        <v>10344.58</v>
      </c>
      <c r="AR207" s="1">
        <v>2539.6799999999998</v>
      </c>
      <c r="AS207" s="1">
        <v>8053.34</v>
      </c>
      <c r="AT207" s="1">
        <v>113037.01</v>
      </c>
      <c r="AU207" s="1">
        <v>47259.31</v>
      </c>
      <c r="AV207" s="1">
        <v>18909.580000000002</v>
      </c>
    </row>
    <row r="208" spans="1:48" x14ac:dyDescent="0.3">
      <c r="B208" s="16" t="s">
        <v>39</v>
      </c>
      <c r="C208" s="18">
        <f>SQRT((C211+C212)/(C205*C205))</f>
        <v>1.732084864034622</v>
      </c>
      <c r="D208" s="18">
        <f>SQRT((D211+D212)/(D205*D205))</f>
        <v>4.1887569412932883</v>
      </c>
      <c r="E208" s="18">
        <f>SQRT((E211+E212)/(E205*E205))</f>
        <v>0.18703298130735596</v>
      </c>
      <c r="F208" s="18">
        <f>SQRT((F211+F212)/(F205*F205))</f>
        <v>0.64262765999358218</v>
      </c>
      <c r="G208" s="18">
        <f>SQRT((G211+G212)/(G205*G205))</f>
        <v>1.9431621653277835</v>
      </c>
      <c r="H208" s="1"/>
      <c r="S208" t="s">
        <v>30</v>
      </c>
      <c r="T208" s="57">
        <f>C584</f>
        <v>98.557954949523634</v>
      </c>
      <c r="U208" s="57">
        <f t="shared" si="35"/>
        <v>66.800370577697493</v>
      </c>
      <c r="V208" s="57">
        <f t="shared" si="35"/>
        <v>98.278659902423016</v>
      </c>
      <c r="W208" s="57">
        <f t="shared" si="35"/>
        <v>92.963769897133631</v>
      </c>
      <c r="X208" s="57">
        <f t="shared" si="35"/>
        <v>83.542175373077356</v>
      </c>
      <c r="AD208" s="51"/>
      <c r="AE208" s="51"/>
      <c r="AJ208" t="s">
        <v>415</v>
      </c>
      <c r="AK208">
        <v>13</v>
      </c>
      <c r="AL208" s="1">
        <v>85.47</v>
      </c>
      <c r="AM208" s="1">
        <v>576.67999999999995</v>
      </c>
      <c r="AN208">
        <v>16018.92</v>
      </c>
      <c r="AO208">
        <v>14743.96</v>
      </c>
      <c r="AP208">
        <v>10165.18</v>
      </c>
      <c r="AR208" s="1">
        <v>2694.19</v>
      </c>
      <c r="AS208" s="1">
        <v>8064.87</v>
      </c>
      <c r="AT208" s="1">
        <v>112901.31</v>
      </c>
      <c r="AU208" s="1">
        <v>47735.54</v>
      </c>
      <c r="AV208" s="1">
        <v>18403.009999999998</v>
      </c>
    </row>
    <row r="209" spans="1:48" x14ac:dyDescent="0.3">
      <c r="B209" s="1" t="s">
        <v>37</v>
      </c>
      <c r="C209" s="18">
        <f>100-C207</f>
        <v>2.8175860394338343</v>
      </c>
      <c r="D209" s="18">
        <f>100-D207</f>
        <v>30.749403218641376</v>
      </c>
      <c r="E209" s="18">
        <f>100-E207</f>
        <v>1.912984937917301</v>
      </c>
      <c r="F209" s="18">
        <f>100-F207</f>
        <v>7.320042447465184</v>
      </c>
      <c r="G209" s="18">
        <f>100-G207</f>
        <v>17.404461126857896</v>
      </c>
      <c r="S209" s="66" t="s">
        <v>39</v>
      </c>
      <c r="T209" s="67">
        <f>C585</f>
        <v>1.146251381496235</v>
      </c>
      <c r="U209" s="67">
        <f t="shared" si="35"/>
        <v>4.2120986764486448</v>
      </c>
      <c r="V209" s="67">
        <f t="shared" si="35"/>
        <v>0.17917591558562249</v>
      </c>
      <c r="W209" s="67">
        <f t="shared" si="35"/>
        <v>0.61633535918826843</v>
      </c>
      <c r="X209" s="67">
        <f t="shared" si="35"/>
        <v>1.8599544565426518</v>
      </c>
      <c r="AD209" s="51"/>
      <c r="AE209" s="51"/>
      <c r="AJ209" t="s">
        <v>415</v>
      </c>
      <c r="AK209">
        <v>14</v>
      </c>
      <c r="AL209" s="1">
        <v>48.56</v>
      </c>
      <c r="AM209" s="1">
        <v>624.86</v>
      </c>
      <c r="AN209">
        <v>15981.76</v>
      </c>
      <c r="AO209">
        <v>14759.9</v>
      </c>
      <c r="AP209">
        <v>10175.11</v>
      </c>
      <c r="AR209" s="1">
        <v>2575.42</v>
      </c>
      <c r="AS209" s="1">
        <v>8425.2999999999993</v>
      </c>
      <c r="AT209" s="1">
        <v>112979.37</v>
      </c>
      <c r="AU209" s="1">
        <v>47285.34</v>
      </c>
      <c r="AV209" s="1">
        <v>18533.48</v>
      </c>
    </row>
    <row r="210" spans="1:48" ht="15.6" x14ac:dyDescent="0.35">
      <c r="B210" s="1" t="s">
        <v>25</v>
      </c>
      <c r="C210" s="1">
        <f>C194</f>
        <v>262</v>
      </c>
      <c r="D210" s="1">
        <f>D194</f>
        <v>515</v>
      </c>
      <c r="E210" s="1">
        <f>E194</f>
        <v>6965</v>
      </c>
      <c r="F210" s="1">
        <f>F194</f>
        <v>2520</v>
      </c>
      <c r="G210" s="1">
        <f>G194</f>
        <v>1037</v>
      </c>
      <c r="S210" s="15" t="s">
        <v>31</v>
      </c>
      <c r="T210" s="71">
        <f>I577</f>
        <v>99.613899613899619</v>
      </c>
      <c r="U210" s="71">
        <f>I578</f>
        <v>90.265486725663706</v>
      </c>
      <c r="V210" s="71">
        <f>I579</f>
        <v>95.480541219137947</v>
      </c>
      <c r="W210" s="71">
        <f>I580</f>
        <v>90.979782270606549</v>
      </c>
      <c r="X210" s="71">
        <f>I581</f>
        <v>89.0625</v>
      </c>
      <c r="AD210" s="51"/>
      <c r="AE210" s="51"/>
      <c r="AJ210" t="s">
        <v>415</v>
      </c>
      <c r="AK210">
        <v>15</v>
      </c>
      <c r="AL210" s="1">
        <v>61.45</v>
      </c>
      <c r="AM210" s="1">
        <v>599.35</v>
      </c>
      <c r="AN210">
        <v>16200.16</v>
      </c>
      <c r="AO210">
        <v>14706.63</v>
      </c>
      <c r="AP210">
        <v>10022.61</v>
      </c>
      <c r="AR210" s="1">
        <v>2620.7199999999998</v>
      </c>
      <c r="AS210" s="1">
        <v>8504.17</v>
      </c>
      <c r="AT210" s="1">
        <v>113114.81</v>
      </c>
      <c r="AU210" s="1">
        <v>47427.42</v>
      </c>
      <c r="AV210" s="1">
        <v>18131.810000000001</v>
      </c>
    </row>
    <row r="211" spans="1:48" x14ac:dyDescent="0.3">
      <c r="B211" s="1" t="s">
        <v>34</v>
      </c>
      <c r="C211" s="18">
        <f>(O200*O200*(100-C207)*(100-C207)*(I200)*(100-I200))/(L200-1)</f>
        <v>2.2099208311038767</v>
      </c>
      <c r="D211" s="18">
        <f>(O201*O201*(100-D207)*(100-D207)*(I201)*(100-I201))/((L201-1)*100)</f>
        <v>511.76314597880059</v>
      </c>
      <c r="E211" s="18">
        <f>(O202*O202*(100-E207)*(100-E207)*(I202)*(100-I202))/((L202-1)*100)</f>
        <v>7.4084495591057076</v>
      </c>
      <c r="F211" s="18">
        <f>(O203*O203*(100-F207)*(100-F207)*(I203)*(100-I203))/((L203-1)*100)</f>
        <v>115.04858454351378</v>
      </c>
      <c r="G211" s="18">
        <f>(O204*O204*(100-G207)*(100-G207)*(I204)*(100-I204))/((L204-1)*100)</f>
        <v>294.42604822236882</v>
      </c>
      <c r="S211" s="75" t="s">
        <v>39</v>
      </c>
      <c r="T211" s="76">
        <f>J577</f>
        <v>0.3861003861003835</v>
      </c>
      <c r="U211" s="76">
        <f>J578</f>
        <v>1.6123511616510575</v>
      </c>
      <c r="V211" s="76">
        <f>J579</f>
        <v>0.24535880773521085</v>
      </c>
      <c r="W211" s="76">
        <f>J580</f>
        <v>0.56497589470016552</v>
      </c>
      <c r="X211" s="76">
        <f>J581</f>
        <v>1.0078529475417597</v>
      </c>
      <c r="AD211" s="51"/>
      <c r="AE211" s="51"/>
      <c r="AJ211" t="s">
        <v>415</v>
      </c>
      <c r="AK211">
        <v>16</v>
      </c>
      <c r="AL211" s="1">
        <v>35.31</v>
      </c>
      <c r="AM211" s="1">
        <v>605.58000000000004</v>
      </c>
      <c r="AN211">
        <v>15913.84</v>
      </c>
      <c r="AO211">
        <v>14787.94</v>
      </c>
      <c r="AP211">
        <v>10247.52</v>
      </c>
      <c r="AR211" s="1">
        <v>2623.78</v>
      </c>
      <c r="AS211" s="1">
        <v>8514.98</v>
      </c>
      <c r="AT211" s="1">
        <v>112159.11</v>
      </c>
      <c r="AU211" s="1">
        <v>47754.99</v>
      </c>
      <c r="AV211" s="1">
        <v>18746.060000000001</v>
      </c>
    </row>
    <row r="212" spans="1:48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3.6761396755741647</v>
      </c>
      <c r="D212" s="18">
        <f>D207*D207*(SUM((H200*D200*(1-D189/H189))/(H189-1),(H202*D202*(1-D191/H191))/(H191-1), (H203*D203*(1-D192/H192))/(H192-1),(H204*D204*(1-D193/H193))/(H193-1)))</f>
        <v>69.591495802612229</v>
      </c>
      <c r="E212" s="18">
        <f>E207*E207*(SUM((H200*E200*(1-E189/H189))/(H189-1),(H201*E201*(1-E190/H190))/(H190-1), (H203*E203*(1-E192/H192))/(H192-1),(H204*E204*(1-E193/H193))/(H193-1)))</f>
        <v>109.72507629610649</v>
      </c>
      <c r="F212" s="18">
        <f>F207*F207*(SUM((H200*F200*(1-F189/H189))/(H189-1),(H201*F201*(1-F190/H190))/(H190-1), (H202*F202*(1-F191/H191))/(H191-1),(H204*F204*(1-F193/H193))/(H193-1)))</f>
        <v>133.65828272420583</v>
      </c>
      <c r="G212" s="18">
        <f>G207*G207*(SUM((H200*G200*(1-G189/H189))/(H189-1),(H201*G201*(1-G190/H190))/(H190-1), (H202*G202*(1-G191/H191))/(H191-1),(H203*G203*(1-G192/H192))/(H192-1)))</f>
        <v>116.8598677133008</v>
      </c>
      <c r="S212" s="66" t="s">
        <v>56</v>
      </c>
      <c r="T212" s="67">
        <f>N566*100</f>
        <v>99.421965317919074</v>
      </c>
      <c r="U212" s="67">
        <f>N567*100</f>
        <v>69.545454545454547</v>
      </c>
      <c r="V212" s="67">
        <f>N568*100</f>
        <v>97.044020698943783</v>
      </c>
      <c r="W212" s="67">
        <f>N569*100</f>
        <v>91.728733829870649</v>
      </c>
      <c r="X212" s="67">
        <f>N570*100</f>
        <v>85.929648241206039</v>
      </c>
      <c r="AD212" s="51"/>
      <c r="AE212" s="51"/>
      <c r="AJ212" t="s">
        <v>415</v>
      </c>
      <c r="AK212">
        <v>17</v>
      </c>
      <c r="AL212" s="1">
        <v>70.069999999999993</v>
      </c>
      <c r="AM212" s="1">
        <v>575.64</v>
      </c>
      <c r="AN212">
        <v>16090.72</v>
      </c>
      <c r="AO212">
        <v>14667.02</v>
      </c>
      <c r="AP212">
        <v>10186.74</v>
      </c>
      <c r="AR212" s="1">
        <v>2661.33</v>
      </c>
      <c r="AS212" s="1">
        <v>8149.95</v>
      </c>
      <c r="AT212" s="1">
        <v>113349.01</v>
      </c>
      <c r="AU212" s="1">
        <v>47246.33</v>
      </c>
      <c r="AV212" s="1">
        <v>18392.3</v>
      </c>
    </row>
    <row r="213" spans="1:48" x14ac:dyDescent="0.3">
      <c r="R213" s="16" t="s">
        <v>66</v>
      </c>
      <c r="S213" t="s">
        <v>9</v>
      </c>
      <c r="T213" s="1">
        <f>N577</f>
        <v>2613.87</v>
      </c>
      <c r="U213" s="1">
        <f>N578</f>
        <v>8410.35</v>
      </c>
      <c r="V213" s="1">
        <f>N579</f>
        <v>112147.94</v>
      </c>
      <c r="W213" s="1">
        <f>N580</f>
        <v>47951.55</v>
      </c>
      <c r="X213" s="1">
        <f>N581</f>
        <v>18675.21</v>
      </c>
      <c r="Z213" t="s">
        <v>36</v>
      </c>
      <c r="AA213" s="1">
        <f>N582</f>
        <v>189798.92</v>
      </c>
      <c r="AD213" s="51"/>
      <c r="AE213" s="51"/>
      <c r="AJ213" t="s">
        <v>415</v>
      </c>
      <c r="AK213">
        <v>18</v>
      </c>
      <c r="AL213" s="1">
        <v>37.840000000000003</v>
      </c>
      <c r="AM213" s="1">
        <v>574.19000000000005</v>
      </c>
      <c r="AN213">
        <v>16037.73</v>
      </c>
      <c r="AO213">
        <v>14681.57</v>
      </c>
      <c r="AP213">
        <v>10258.870000000001</v>
      </c>
      <c r="AR213" s="1">
        <v>2587.2199999999998</v>
      </c>
      <c r="AS213" s="1">
        <v>8164.27</v>
      </c>
      <c r="AT213" s="1">
        <v>112903.39</v>
      </c>
      <c r="AU213" s="1">
        <v>47575.44</v>
      </c>
      <c r="AV213" s="1">
        <v>18568.599999999999</v>
      </c>
    </row>
    <row r="214" spans="1:48" ht="15.6" x14ac:dyDescent="0.35">
      <c r="R214" s="16" t="s">
        <v>323</v>
      </c>
      <c r="S214" t="s">
        <v>68</v>
      </c>
      <c r="T214" s="57">
        <f>$AA213*T206/100</f>
        <v>2641.8748635474026</v>
      </c>
      <c r="U214" s="57">
        <f>$AA213*U206/100</f>
        <v>11364.672526781558</v>
      </c>
      <c r="V214" s="57">
        <f>$AA213*V206/100</f>
        <v>108954.94523880265</v>
      </c>
      <c r="W214" s="57">
        <f>$AA213*W206/100</f>
        <v>46928.191308995272</v>
      </c>
      <c r="X214" s="57">
        <f>$AA213*X206/100</f>
        <v>19909.236061873118</v>
      </c>
      <c r="Z214" t="s">
        <v>36</v>
      </c>
      <c r="AA214" s="25">
        <f>SUM(T214:X214)</f>
        <v>189798.92</v>
      </c>
      <c r="AD214" s="51"/>
      <c r="AE214" s="51"/>
      <c r="AJ214" t="s">
        <v>415</v>
      </c>
      <c r="AK214">
        <v>19</v>
      </c>
      <c r="AL214" s="1">
        <v>46.24</v>
      </c>
      <c r="AM214" s="1">
        <v>575.49</v>
      </c>
      <c r="AN214">
        <v>15845.06</v>
      </c>
      <c r="AO214">
        <v>14855.72</v>
      </c>
      <c r="AP214">
        <v>10267.68</v>
      </c>
      <c r="AR214" s="1">
        <v>2613.87</v>
      </c>
      <c r="AS214" s="1">
        <v>8410.35</v>
      </c>
      <c r="AT214" s="1">
        <v>112147.94</v>
      </c>
      <c r="AU214" s="1">
        <v>47951.55</v>
      </c>
      <c r="AV214" s="1">
        <v>18675.21</v>
      </c>
    </row>
    <row r="215" spans="1:48" x14ac:dyDescent="0.3">
      <c r="A215" s="361" t="s">
        <v>437</v>
      </c>
      <c r="B215" s="361"/>
      <c r="C215" s="361"/>
      <c r="D215" s="361"/>
      <c r="E215" s="361"/>
      <c r="F215" s="361"/>
      <c r="G215" s="361"/>
      <c r="H215" s="361"/>
      <c r="I215" s="361"/>
      <c r="J215" s="361"/>
      <c r="K215" s="361"/>
      <c r="L215" s="361" t="s">
        <v>85</v>
      </c>
      <c r="M215" s="361"/>
      <c r="N215" s="361"/>
      <c r="O215" s="361"/>
      <c r="P215" s="361"/>
      <c r="R215" s="66"/>
      <c r="S215" s="66" t="s">
        <v>67</v>
      </c>
      <c r="T215" s="67">
        <f>$AA213*T207/100</f>
        <v>28.756714067712402</v>
      </c>
      <c r="U215" s="67">
        <f>$AA213*U207/100</f>
        <v>278.61922184645789</v>
      </c>
      <c r="V215" s="67">
        <f>$AA213*V207/100</f>
        <v>335.84389810617404</v>
      </c>
      <c r="W215" s="67">
        <f>$AA213*W207/100</f>
        <v>357.89013462475452</v>
      </c>
      <c r="X215" s="67">
        <f>$AA213*X207/100</f>
        <v>307.14167966866381</v>
      </c>
      <c r="AA215" s="1"/>
      <c r="AD215" s="51"/>
      <c r="AE215" s="51"/>
      <c r="AQ215" t="s">
        <v>412</v>
      </c>
    </row>
    <row r="216" spans="1:48" x14ac:dyDescent="0.3">
      <c r="A216" t="s">
        <v>320</v>
      </c>
      <c r="B216" t="s">
        <v>21</v>
      </c>
      <c r="I216" s="1" t="s">
        <v>58</v>
      </c>
      <c r="O216" s="143"/>
      <c r="P216" s="143"/>
      <c r="AJ216" t="s">
        <v>416</v>
      </c>
      <c r="AK216">
        <v>0</v>
      </c>
      <c r="AL216" s="1">
        <v>0.09</v>
      </c>
      <c r="AM216" s="1">
        <v>41.99</v>
      </c>
      <c r="AN216" s="1">
        <v>1284.8900000000001</v>
      </c>
      <c r="AO216" s="1">
        <v>389.12</v>
      </c>
      <c r="AP216" s="1">
        <v>104.9</v>
      </c>
      <c r="AR216" s="1">
        <v>115.6</v>
      </c>
      <c r="AS216" s="1">
        <v>1002.91</v>
      </c>
      <c r="AT216">
        <v>16513.580000000002</v>
      </c>
      <c r="AU216">
        <v>2925.66</v>
      </c>
      <c r="AV216">
        <v>1384.63</v>
      </c>
    </row>
    <row r="217" spans="1:48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56</v>
      </c>
      <c r="O217" s="13"/>
      <c r="P217" s="13"/>
      <c r="AJ217" t="s">
        <v>416</v>
      </c>
      <c r="AK217">
        <v>1</v>
      </c>
      <c r="AL217" s="1">
        <v>0.35</v>
      </c>
      <c r="AM217" s="1">
        <v>36.770000000000003</v>
      </c>
      <c r="AN217" s="1">
        <v>1290.32</v>
      </c>
      <c r="AO217" s="1">
        <v>390.12</v>
      </c>
      <c r="AP217" s="1">
        <v>103.42</v>
      </c>
      <c r="AR217" s="1">
        <v>134.24</v>
      </c>
      <c r="AS217" s="1">
        <v>930.44</v>
      </c>
      <c r="AT217">
        <v>16607.3</v>
      </c>
      <c r="AU217">
        <v>2922.86</v>
      </c>
      <c r="AV217">
        <v>1347.54</v>
      </c>
    </row>
    <row r="218" spans="1:48" x14ac:dyDescent="0.3">
      <c r="A218" t="s">
        <v>3</v>
      </c>
      <c r="B218" s="13">
        <v>0</v>
      </c>
      <c r="C218" s="26">
        <v>257</v>
      </c>
      <c r="D218" s="3">
        <v>0</v>
      </c>
      <c r="E218" s="3">
        <v>0</v>
      </c>
      <c r="F218" s="3">
        <v>2</v>
      </c>
      <c r="G218" s="4">
        <v>0</v>
      </c>
      <c r="H218" s="1">
        <f>SUM(C218:G218)</f>
        <v>259</v>
      </c>
      <c r="I218" s="10">
        <f>C218/H218</f>
        <v>0.99227799227799229</v>
      </c>
      <c r="J218" s="11">
        <f>1-I218</f>
        <v>7.7220077220077066E-3</v>
      </c>
      <c r="K218">
        <f>H218-C223</f>
        <v>2</v>
      </c>
      <c r="N218" s="10">
        <f>2*(C224*I218)/(C224+I218)</f>
        <v>0.99612403100775193</v>
      </c>
      <c r="O218" s="1"/>
      <c r="P218" s="1"/>
      <c r="R218" s="66"/>
      <c r="S218" s="66"/>
      <c r="T218" s="66"/>
      <c r="U218" s="66"/>
      <c r="V218" s="66"/>
      <c r="W218" s="66"/>
      <c r="X218" s="66"/>
      <c r="AJ218" t="s">
        <v>416</v>
      </c>
      <c r="AK218">
        <v>2</v>
      </c>
      <c r="AL218" s="1">
        <v>0.88</v>
      </c>
      <c r="AM218" s="1">
        <v>37.94</v>
      </c>
      <c r="AN218" s="1">
        <v>1286.71</v>
      </c>
      <c r="AO218" s="1">
        <v>389.44</v>
      </c>
      <c r="AP218" s="1">
        <v>106.02</v>
      </c>
      <c r="AR218" s="1">
        <v>112.45</v>
      </c>
      <c r="AS218" s="1">
        <v>912.52</v>
      </c>
      <c r="AT218">
        <v>16596.32</v>
      </c>
      <c r="AU218">
        <v>2937.54</v>
      </c>
      <c r="AV218">
        <v>1383.55</v>
      </c>
    </row>
    <row r="219" spans="1:48" x14ac:dyDescent="0.3">
      <c r="A219" t="s">
        <v>4</v>
      </c>
      <c r="B219" s="13">
        <v>1</v>
      </c>
      <c r="C219" s="5">
        <v>0</v>
      </c>
      <c r="D219" s="27">
        <v>303</v>
      </c>
      <c r="E219" s="1">
        <v>23</v>
      </c>
      <c r="F219" s="1">
        <v>0</v>
      </c>
      <c r="G219" s="6">
        <v>13</v>
      </c>
      <c r="H219" s="1">
        <f>SUM(C219:G219)</f>
        <v>339</v>
      </c>
      <c r="I219" s="10">
        <f>D219/H219</f>
        <v>0.89380530973451322</v>
      </c>
      <c r="J219" s="11">
        <f>1-I219</f>
        <v>0.10619469026548678</v>
      </c>
      <c r="K219">
        <f>H219-D223</f>
        <v>-162</v>
      </c>
      <c r="N219" s="10">
        <f>2*(D224*I219)/(D224+I219)</f>
        <v>0.72142857142857142</v>
      </c>
      <c r="O219" s="1"/>
      <c r="P219" s="1"/>
      <c r="R219" t="s">
        <v>371</v>
      </c>
      <c r="S219" t="s">
        <v>28</v>
      </c>
      <c r="T219" s="57">
        <f>AVERAGE(T16,T26,T36,T46,T56,T66,T76,T86,T96,T106,T116,T126,T136,T146,T156,T166,T176,T186,T196,T206)</f>
        <v>1.3959103770738648</v>
      </c>
      <c r="U219" s="57">
        <f>AVERAGE(U16,U26,U36,U46,U56,U66,U76,U86,U96,U106,U116,U126,U136,U146,U156,U166,U176,U186,U196,U206)</f>
        <v>5.6835643728372132</v>
      </c>
      <c r="V219" s="57">
        <f>AVERAGE(V16,V26,V36,V46,V56,V66,V76,V86,V96,V106,V116,V126,V136,V146,V156,V166,V176,V186,V196,V206)</f>
        <v>58.064092695594255</v>
      </c>
      <c r="W219" s="57">
        <f>AVERAGE(W16,W26,W36,W46,W56,W66,W76,W86,W96,W106,W116,W126,W136,W146,W156,W166,W176,W186,W196,W206)</f>
        <v>24.395230693381773</v>
      </c>
      <c r="X219" s="57">
        <f>AVERAGE(X16,X26,X36,X46,X56,X66,X76,X86,X96,X106,X116,X126,X136,X146,X156,X166,X176,X186,X196,X206)</f>
        <v>10.461201861112901</v>
      </c>
      <c r="AJ219" t="s">
        <v>416</v>
      </c>
      <c r="AK219">
        <v>3</v>
      </c>
      <c r="AL219" s="1">
        <v>0.3</v>
      </c>
      <c r="AM219" s="1">
        <v>45.95</v>
      </c>
      <c r="AN219" s="1">
        <v>1285.44</v>
      </c>
      <c r="AO219" s="1">
        <v>388.04</v>
      </c>
      <c r="AP219" s="1">
        <v>101.26</v>
      </c>
      <c r="AR219" s="1">
        <v>91.74</v>
      </c>
      <c r="AS219" s="1">
        <v>1080.52</v>
      </c>
      <c r="AT219">
        <v>16481.53</v>
      </c>
      <c r="AU219">
        <v>2940.69</v>
      </c>
      <c r="AV219">
        <v>1347.9</v>
      </c>
    </row>
    <row r="220" spans="1:48" x14ac:dyDescent="0.3">
      <c r="A220" t="s">
        <v>5</v>
      </c>
      <c r="B220" s="13">
        <v>2</v>
      </c>
      <c r="C220" s="5">
        <v>0</v>
      </c>
      <c r="D220" s="1">
        <v>177</v>
      </c>
      <c r="E220" s="27">
        <v>6870</v>
      </c>
      <c r="F220" s="1">
        <v>96</v>
      </c>
      <c r="G220" s="6">
        <v>26</v>
      </c>
      <c r="H220" s="1">
        <f>SUM(C220:G220)</f>
        <v>7169</v>
      </c>
      <c r="I220" s="10">
        <f>E220/H220</f>
        <v>0.95829264890500765</v>
      </c>
      <c r="J220" s="11">
        <f>1-I220</f>
        <v>4.1707351094992351E-2</v>
      </c>
      <c r="K220">
        <f>H220-E223</f>
        <v>200</v>
      </c>
      <c r="N220" s="10">
        <f>2*(E224*I220)/(E224+I220)</f>
        <v>0.97184891781015692</v>
      </c>
      <c r="O220" s="1"/>
      <c r="P220" s="1"/>
      <c r="S220" s="66" t="s">
        <v>39</v>
      </c>
      <c r="T220" s="67">
        <f t="shared" ref="T220:X228" si="36">AVERAGE(T17,T27,T37,T47,T57,T67,T77,T87,T97,T107,T117,T127,T137,T147,T157,T167,T177,T187,T197,T207)</f>
        <v>1.342176524791527E-2</v>
      </c>
      <c r="U220" s="67">
        <f t="shared" si="36"/>
        <v>0.14270660982476677</v>
      </c>
      <c r="V220" s="67">
        <f t="shared" si="36"/>
        <v>0.1775785155951643</v>
      </c>
      <c r="W220" s="67">
        <f t="shared" si="36"/>
        <v>0.19144352491203542</v>
      </c>
      <c r="X220" s="67">
        <f t="shared" si="36"/>
        <v>0.16450021144236018</v>
      </c>
      <c r="AC220" t="s">
        <v>123</v>
      </c>
      <c r="AD220" t="s">
        <v>162</v>
      </c>
      <c r="AE220" t="s">
        <v>124</v>
      </c>
      <c r="AJ220" t="s">
        <v>416</v>
      </c>
      <c r="AK220">
        <v>4</v>
      </c>
      <c r="AL220" s="1">
        <v>0.62</v>
      </c>
      <c r="AM220" s="1">
        <v>39.5</v>
      </c>
      <c r="AN220" s="1">
        <v>1295.8900000000001</v>
      </c>
      <c r="AO220" s="1">
        <v>384.69</v>
      </c>
      <c r="AP220" s="1">
        <v>100.3</v>
      </c>
      <c r="AR220" s="1">
        <v>106.78</v>
      </c>
      <c r="AS220" s="1">
        <v>961.14</v>
      </c>
      <c r="AT220">
        <v>16580.830000000002</v>
      </c>
      <c r="AU220">
        <v>2924.22</v>
      </c>
      <c r="AV220">
        <v>1369.42</v>
      </c>
    </row>
    <row r="221" spans="1:48" x14ac:dyDescent="0.3">
      <c r="A221" t="s">
        <v>6</v>
      </c>
      <c r="B221" s="13">
        <v>3</v>
      </c>
      <c r="C221" s="5">
        <v>0</v>
      </c>
      <c r="D221" s="1">
        <v>21</v>
      </c>
      <c r="E221" s="1">
        <v>62</v>
      </c>
      <c r="F221" s="27">
        <v>2334</v>
      </c>
      <c r="G221" s="6">
        <v>155</v>
      </c>
      <c r="H221" s="1">
        <f>SUM(C221:G221)</f>
        <v>2572</v>
      </c>
      <c r="I221" s="10">
        <f>F221/H221</f>
        <v>0.90746500777604977</v>
      </c>
      <c r="J221" s="11">
        <f>1-I221</f>
        <v>9.253499222395023E-2</v>
      </c>
      <c r="K221">
        <f>H221-F223</f>
        <v>47</v>
      </c>
      <c r="N221" s="10">
        <f>2*(F224*I221)/(F224+I221)</f>
        <v>0.91583284284873456</v>
      </c>
      <c r="O221" s="1"/>
      <c r="P221" s="1"/>
      <c r="S221" t="s">
        <v>30</v>
      </c>
      <c r="T221" s="57">
        <f t="shared" si="36"/>
        <v>98.813350088596991</v>
      </c>
      <c r="U221" s="57">
        <f t="shared" si="36"/>
        <v>67.956319428248719</v>
      </c>
      <c r="V221" s="57">
        <f t="shared" si="36"/>
        <v>98.061387252576893</v>
      </c>
      <c r="W221" s="57">
        <f t="shared" si="36"/>
        <v>92.727181772197341</v>
      </c>
      <c r="X221" s="57">
        <f t="shared" si="36"/>
        <v>82.757786372762411</v>
      </c>
      <c r="AB221">
        <v>0</v>
      </c>
      <c r="AC221">
        <v>31</v>
      </c>
      <c r="AD221">
        <v>26</v>
      </c>
      <c r="AE221">
        <v>15</v>
      </c>
      <c r="AJ221" t="s">
        <v>416</v>
      </c>
      <c r="AK221">
        <v>5</v>
      </c>
      <c r="AL221" s="1">
        <v>0.36</v>
      </c>
      <c r="AM221" s="1">
        <v>42.28</v>
      </c>
      <c r="AN221" s="1">
        <v>1284.03</v>
      </c>
      <c r="AO221" s="1">
        <v>388.04</v>
      </c>
      <c r="AP221" s="1">
        <v>106.29</v>
      </c>
      <c r="AR221" s="1">
        <v>118.84</v>
      </c>
      <c r="AS221" s="1">
        <v>1035.8599999999999</v>
      </c>
      <c r="AT221">
        <v>16458.93</v>
      </c>
      <c r="AU221">
        <v>2940.69</v>
      </c>
      <c r="AV221">
        <v>1388.05</v>
      </c>
    </row>
    <row r="222" spans="1:48" x14ac:dyDescent="0.3">
      <c r="A222" t="s">
        <v>7</v>
      </c>
      <c r="B222" s="13">
        <v>4</v>
      </c>
      <c r="C222" s="7">
        <v>0</v>
      </c>
      <c r="D222" s="8">
        <v>0</v>
      </c>
      <c r="E222" s="8">
        <v>14</v>
      </c>
      <c r="F222" s="8">
        <v>93</v>
      </c>
      <c r="G222" s="28">
        <v>853</v>
      </c>
      <c r="H222" s="1">
        <f>SUM(C222:G222)</f>
        <v>960</v>
      </c>
      <c r="I222" s="10">
        <f>G222/H222</f>
        <v>0.88854166666666667</v>
      </c>
      <c r="J222" s="11">
        <f>1-I222</f>
        <v>0.11145833333333333</v>
      </c>
      <c r="K222">
        <f>H222-G223</f>
        <v>-87</v>
      </c>
      <c r="N222" s="10">
        <f>2*(G224*I222)/(G224+I222)</f>
        <v>0.85002491280518189</v>
      </c>
      <c r="O222" s="1"/>
      <c r="P222" s="1"/>
      <c r="S222" s="66" t="s">
        <v>39</v>
      </c>
      <c r="T222" s="67">
        <f t="shared" si="36"/>
        <v>0.97993720551517272</v>
      </c>
      <c r="U222" s="67">
        <f t="shared" si="36"/>
        <v>4.3641668183656908</v>
      </c>
      <c r="V222" s="67">
        <f t="shared" si="36"/>
        <v>0.18679032883804061</v>
      </c>
      <c r="W222" s="67">
        <f t="shared" si="36"/>
        <v>0.64192748424881807</v>
      </c>
      <c r="X222" s="67">
        <f t="shared" si="36"/>
        <v>1.956804597861685</v>
      </c>
      <c r="AB222">
        <v>1</v>
      </c>
      <c r="AC222">
        <v>60</v>
      </c>
      <c r="AD222">
        <v>55</v>
      </c>
      <c r="AE222">
        <v>44</v>
      </c>
      <c r="AJ222" t="s">
        <v>416</v>
      </c>
      <c r="AK222">
        <v>6</v>
      </c>
      <c r="AL222" s="1">
        <v>0.45</v>
      </c>
      <c r="AM222" s="1">
        <v>39.97</v>
      </c>
      <c r="AN222" s="1">
        <v>1288.82</v>
      </c>
      <c r="AO222" s="1">
        <v>391.91</v>
      </c>
      <c r="AP222" s="1">
        <v>99.84</v>
      </c>
      <c r="AR222" s="1">
        <v>129.01</v>
      </c>
      <c r="AS222" s="1">
        <v>1000.03</v>
      </c>
      <c r="AT222">
        <v>16538.25</v>
      </c>
      <c r="AU222">
        <v>2932.14</v>
      </c>
      <c r="AV222">
        <v>1342.95</v>
      </c>
    </row>
    <row r="223" spans="1:48" ht="15.6" x14ac:dyDescent="0.35">
      <c r="B223" s="1" t="s">
        <v>19</v>
      </c>
      <c r="C223" s="1">
        <f>SUM(C218:C222)</f>
        <v>257</v>
      </c>
      <c r="D223" s="1">
        <f>SUM(D218:D222)</f>
        <v>501</v>
      </c>
      <c r="E223" s="1">
        <f>SUM(E218:E222)</f>
        <v>6969</v>
      </c>
      <c r="F223" s="1">
        <f>SUM(F218:F222)</f>
        <v>2525</v>
      </c>
      <c r="G223" s="1">
        <f>SUM(G218:G222)</f>
        <v>1047</v>
      </c>
      <c r="H223" s="1">
        <f>SUM(H217:H222)</f>
        <v>11299</v>
      </c>
      <c r="I223" s="13" t="s">
        <v>12</v>
      </c>
      <c r="N223" s="16"/>
      <c r="O223" s="1"/>
      <c r="P223" s="1"/>
      <c r="S223" s="15" t="s">
        <v>31</v>
      </c>
      <c r="T223" s="71">
        <f t="shared" si="36"/>
        <v>99.401544401544413</v>
      </c>
      <c r="U223" s="71">
        <f t="shared" si="36"/>
        <v>89.233038348082601</v>
      </c>
      <c r="V223" s="71">
        <f t="shared" si="36"/>
        <v>95.74626865671641</v>
      </c>
      <c r="W223" s="71">
        <f t="shared" si="36"/>
        <v>90.37130637636082</v>
      </c>
      <c r="X223" s="71">
        <f t="shared" si="36"/>
        <v>88.447916666666657</v>
      </c>
      <c r="AB223">
        <v>2</v>
      </c>
      <c r="AC223">
        <v>89</v>
      </c>
      <c r="AD223">
        <v>84</v>
      </c>
      <c r="AE223">
        <v>73</v>
      </c>
      <c r="AJ223" t="s">
        <v>416</v>
      </c>
      <c r="AK223">
        <v>7</v>
      </c>
      <c r="AL223" s="1">
        <v>0.54</v>
      </c>
      <c r="AM223" s="1">
        <v>40.81</v>
      </c>
      <c r="AN223" s="1">
        <v>1285.52</v>
      </c>
      <c r="AO223" s="1">
        <v>393.35</v>
      </c>
      <c r="AP223" s="1">
        <v>100.78</v>
      </c>
      <c r="AR223" s="1">
        <v>54.83</v>
      </c>
      <c r="AS223" s="1">
        <v>954.03</v>
      </c>
      <c r="AT223">
        <v>16582.72</v>
      </c>
      <c r="AU223">
        <v>3027.48</v>
      </c>
      <c r="AV223">
        <v>1323.32</v>
      </c>
    </row>
    <row r="224" spans="1:48" x14ac:dyDescent="0.3">
      <c r="A224" s="1" t="s">
        <v>321</v>
      </c>
      <c r="B224" s="1" t="s">
        <v>2</v>
      </c>
      <c r="C224" s="10">
        <f>C218/C223</f>
        <v>1</v>
      </c>
      <c r="D224" s="10">
        <f>D219/D223</f>
        <v>0.60479041916167664</v>
      </c>
      <c r="E224" s="10">
        <f>E220/E223</f>
        <v>0.9857942315970728</v>
      </c>
      <c r="F224" s="10">
        <f>F221/F223</f>
        <v>0.9243564356435644</v>
      </c>
      <c r="G224" s="10">
        <f>G222/G223</f>
        <v>0.81470869149952241</v>
      </c>
      <c r="H224" s="10"/>
      <c r="I224" s="14">
        <f>(C218+D219+E220+F221+G222)/H223</f>
        <v>0.93964067616603242</v>
      </c>
      <c r="S224" s="75" t="s">
        <v>39</v>
      </c>
      <c r="T224" s="76">
        <f t="shared" si="36"/>
        <v>0.39039539740524631</v>
      </c>
      <c r="U224" s="76">
        <f t="shared" si="36"/>
        <v>1.6840373807030393</v>
      </c>
      <c r="V224" s="76">
        <f t="shared" si="36"/>
        <v>0.2383214431180376</v>
      </c>
      <c r="W224" s="76">
        <f t="shared" si="36"/>
        <v>0.58155213140795348</v>
      </c>
      <c r="X224" s="76">
        <f t="shared" si="36"/>
        <v>1.0318447646500333</v>
      </c>
      <c r="AB224">
        <v>3</v>
      </c>
      <c r="AC224">
        <v>118</v>
      </c>
      <c r="AD224">
        <v>113</v>
      </c>
      <c r="AE224">
        <v>102</v>
      </c>
      <c r="AJ224" t="s">
        <v>416</v>
      </c>
      <c r="AK224">
        <v>8</v>
      </c>
      <c r="AL224" s="1">
        <v>0.36</v>
      </c>
      <c r="AM224" s="1">
        <v>40.950000000000003</v>
      </c>
      <c r="AN224" s="1">
        <v>1283.57</v>
      </c>
      <c r="AO224" s="1">
        <v>388.16</v>
      </c>
      <c r="AP224" s="1">
        <v>107.95</v>
      </c>
      <c r="AR224" s="1">
        <v>131.63</v>
      </c>
      <c r="AS224" s="1">
        <v>931.43</v>
      </c>
      <c r="AT224">
        <v>16571.47</v>
      </c>
      <c r="AU224">
        <v>2922.68</v>
      </c>
      <c r="AV224">
        <v>1385.17</v>
      </c>
    </row>
    <row r="225" spans="1:48" x14ac:dyDescent="0.3">
      <c r="B225" s="1" t="s">
        <v>14</v>
      </c>
      <c r="C225" s="11">
        <f>1-C224</f>
        <v>0</v>
      </c>
      <c r="D225" s="11">
        <f>1-D224</f>
        <v>0.39520958083832336</v>
      </c>
      <c r="E225" s="11">
        <f>1-E224</f>
        <v>1.4205768402927199E-2</v>
      </c>
      <c r="F225" s="11">
        <f>1-F224</f>
        <v>7.56435643564356E-2</v>
      </c>
      <c r="G225" s="11">
        <f>1-G224</f>
        <v>0.18529130850047759</v>
      </c>
      <c r="S225" s="66" t="s">
        <v>56</v>
      </c>
      <c r="T225" s="67">
        <f t="shared" si="36"/>
        <v>99.372327539175558</v>
      </c>
      <c r="U225" s="67">
        <f t="shared" si="36"/>
        <v>70.616471442637589</v>
      </c>
      <c r="V225" s="67">
        <f t="shared" si="36"/>
        <v>97.081819886410557</v>
      </c>
      <c r="W225" s="67">
        <f t="shared" si="36"/>
        <v>91.352829594192443</v>
      </c>
      <c r="X225" s="67">
        <f t="shared" si="36"/>
        <v>85.186903576199242</v>
      </c>
      <c r="AB225">
        <v>4</v>
      </c>
      <c r="AC225">
        <v>147</v>
      </c>
      <c r="AD225">
        <v>142</v>
      </c>
      <c r="AE225">
        <v>131</v>
      </c>
      <c r="AJ225" t="s">
        <v>416</v>
      </c>
      <c r="AK225">
        <v>9</v>
      </c>
      <c r="AL225" s="1">
        <v>1.17</v>
      </c>
      <c r="AM225" s="1">
        <v>41.25</v>
      </c>
      <c r="AN225" s="1">
        <v>1284.5</v>
      </c>
      <c r="AO225" s="1">
        <v>389.65</v>
      </c>
      <c r="AP225" s="1">
        <v>104.43</v>
      </c>
      <c r="AR225" s="1">
        <v>77.97</v>
      </c>
      <c r="AS225" s="1">
        <v>1014.88</v>
      </c>
      <c r="AT225">
        <v>16519.52</v>
      </c>
      <c r="AU225">
        <v>2992.91</v>
      </c>
      <c r="AV225">
        <v>1337.1</v>
      </c>
    </row>
    <row r="226" spans="1:48" x14ac:dyDescent="0.3">
      <c r="C226" s="2"/>
      <c r="R226" s="16" t="s">
        <v>66</v>
      </c>
      <c r="S226" t="s">
        <v>9</v>
      </c>
      <c r="T226" s="1">
        <f t="shared" si="36"/>
        <v>2633.2094999999999</v>
      </c>
      <c r="U226" s="1">
        <f t="shared" si="36"/>
        <v>8210.7135000000017</v>
      </c>
      <c r="V226" s="1">
        <f t="shared" si="36"/>
        <v>112868.90750000002</v>
      </c>
      <c r="W226" s="1">
        <f t="shared" si="36"/>
        <v>47508.481500000009</v>
      </c>
      <c r="X226" s="1">
        <f t="shared" si="36"/>
        <v>18577.606999999996</v>
      </c>
      <c r="AB226">
        <v>5</v>
      </c>
      <c r="AC226">
        <v>176</v>
      </c>
      <c r="AD226">
        <v>171</v>
      </c>
      <c r="AE226">
        <v>160</v>
      </c>
      <c r="AJ226" t="s">
        <v>416</v>
      </c>
      <c r="AK226">
        <v>10</v>
      </c>
      <c r="AL226" s="1">
        <v>0.16</v>
      </c>
      <c r="AM226" s="1">
        <v>42.76</v>
      </c>
      <c r="AN226" s="1">
        <v>1282.18</v>
      </c>
      <c r="AO226" s="1">
        <v>391.09</v>
      </c>
      <c r="AP226" s="1">
        <v>104.8</v>
      </c>
      <c r="AR226" s="1">
        <v>116.23</v>
      </c>
      <c r="AS226" s="1">
        <v>971.04</v>
      </c>
      <c r="AT226">
        <v>16510.61</v>
      </c>
      <c r="AU226">
        <v>2953.83</v>
      </c>
      <c r="AV226">
        <v>1390.67</v>
      </c>
    </row>
    <row r="227" spans="1:48" ht="15.6" x14ac:dyDescent="0.35">
      <c r="A227" t="s">
        <v>322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323</v>
      </c>
      <c r="S227" t="s">
        <v>68</v>
      </c>
      <c r="T227" s="57">
        <f>AVERAGE(T24,T34,T44,T54,T64,T74,T84,T94,T104,T114,T124,T134,T144,T154,T164,T174,T184,T194,T204,T214)</f>
        <v>2649.4228062430757</v>
      </c>
      <c r="U227" s="57">
        <f t="shared" si="36"/>
        <v>10787.343746697141</v>
      </c>
      <c r="V227" s="57">
        <f t="shared" si="36"/>
        <v>110205.02025941182</v>
      </c>
      <c r="W227" s="57">
        <f t="shared" si="36"/>
        <v>46301.884143227078</v>
      </c>
      <c r="X227" s="57">
        <f t="shared" si="36"/>
        <v>19855.248044420889</v>
      </c>
      <c r="AB227">
        <v>6</v>
      </c>
      <c r="AC227">
        <v>205</v>
      </c>
      <c r="AD227">
        <v>200</v>
      </c>
      <c r="AE227">
        <v>189</v>
      </c>
      <c r="AJ227" t="s">
        <v>416</v>
      </c>
      <c r="AK227">
        <v>11</v>
      </c>
      <c r="AL227" s="1">
        <v>0.54</v>
      </c>
      <c r="AM227" s="1">
        <v>42.76</v>
      </c>
      <c r="AN227" s="1">
        <v>1284.97</v>
      </c>
      <c r="AO227" s="1">
        <v>392.24</v>
      </c>
      <c r="AP227" s="1">
        <v>100.48</v>
      </c>
      <c r="AR227" s="1">
        <v>84</v>
      </c>
      <c r="AS227" s="1">
        <v>999.94</v>
      </c>
      <c r="AT227">
        <v>16520.150000000001</v>
      </c>
      <c r="AU227">
        <v>2969.95</v>
      </c>
      <c r="AV227">
        <v>1368.34</v>
      </c>
    </row>
    <row r="228" spans="1:48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67</v>
      </c>
      <c r="T228" s="67">
        <f>AVERAGE(T25,T35,T45,T55,T65,T75,T85,T95,T105,T115,T125,T135,T145,T155,T165,T175,T185,T195,T205,T215)</f>
        <v>25.474365442067537</v>
      </c>
      <c r="U228" s="67">
        <f t="shared" si="36"/>
        <v>270.85560286496383</v>
      </c>
      <c r="V228" s="67">
        <f t="shared" si="36"/>
        <v>337.04210298808573</v>
      </c>
      <c r="W228" s="67">
        <f t="shared" si="36"/>
        <v>363.35774078013856</v>
      </c>
      <c r="X228" s="67">
        <f t="shared" si="36"/>
        <v>312.21962308331882</v>
      </c>
      <c r="AB228">
        <v>7</v>
      </c>
      <c r="AC228">
        <v>234</v>
      </c>
      <c r="AD228">
        <v>229</v>
      </c>
      <c r="AE228">
        <v>218</v>
      </c>
      <c r="AJ228" t="s">
        <v>416</v>
      </c>
      <c r="AK228">
        <v>12</v>
      </c>
      <c r="AL228" s="1">
        <v>0.72</v>
      </c>
      <c r="AM228" s="1">
        <v>39.07</v>
      </c>
      <c r="AN228" s="1">
        <v>1286.51</v>
      </c>
      <c r="AO228" s="1">
        <v>386.99</v>
      </c>
      <c r="AP228" s="1">
        <v>107.7</v>
      </c>
      <c r="AR228" s="1">
        <v>119.74</v>
      </c>
      <c r="AS228" s="1">
        <v>978.78</v>
      </c>
      <c r="AT228">
        <v>16529.25</v>
      </c>
      <c r="AU228">
        <v>2908.91</v>
      </c>
      <c r="AV228">
        <v>1405.7</v>
      </c>
    </row>
    <row r="229" spans="1:48" x14ac:dyDescent="0.3">
      <c r="A229" t="s">
        <v>3</v>
      </c>
      <c r="B229" s="13">
        <v>0</v>
      </c>
      <c r="C229" s="29">
        <f>(C218/$L229)*$O229</f>
        <v>1.3513878459790691</v>
      </c>
      <c r="D229" s="31">
        <f>(D218/$L229)*$O229</f>
        <v>0</v>
      </c>
      <c r="E229" s="31">
        <f>(E218/$L229)*$O229</f>
        <v>0</v>
      </c>
      <c r="F229" s="31">
        <f>(F218/$L229)*$O229</f>
        <v>1.0516636933689255E-2</v>
      </c>
      <c r="G229" s="32">
        <f>(G218/$L229)*$O229</f>
        <v>0</v>
      </c>
      <c r="H229" s="17">
        <f>SUM(C229:G229)</f>
        <v>1.3619044829127585</v>
      </c>
      <c r="I229" s="17">
        <f>C229/H229*100</f>
        <v>99.227799227799224</v>
      </c>
      <c r="J229" s="17">
        <f>SQRT(I229*(100-I229)/(L229-1))</f>
        <v>0.54496918050789811</v>
      </c>
      <c r="K229" s="18">
        <f>100-I229</f>
        <v>0.77220077220077599</v>
      </c>
      <c r="L229" s="1">
        <f>H218</f>
        <v>259</v>
      </c>
      <c r="M229">
        <v>0</v>
      </c>
      <c r="N229" s="1">
        <v>2584.88</v>
      </c>
      <c r="O229" s="17">
        <f>N229/N234*100</f>
        <v>1.3619044829127585</v>
      </c>
      <c r="P229" s="52">
        <f>((O229*O229*(I229/100)*(K229/100))/(L229-1))</f>
        <v>5.5085485785900444E-5</v>
      </c>
      <c r="AB229">
        <v>8</v>
      </c>
      <c r="AC229">
        <v>263</v>
      </c>
      <c r="AD229">
        <v>258</v>
      </c>
      <c r="AE229">
        <v>247</v>
      </c>
      <c r="AJ229" t="s">
        <v>416</v>
      </c>
      <c r="AK229">
        <v>13</v>
      </c>
      <c r="AL229" s="1">
        <v>0.54</v>
      </c>
      <c r="AM229" s="1">
        <v>39.409999999999997</v>
      </c>
      <c r="AN229" s="1">
        <v>1290.3</v>
      </c>
      <c r="AO229" s="1">
        <v>388.43</v>
      </c>
      <c r="AP229" s="1">
        <v>102.31</v>
      </c>
      <c r="AR229" s="1">
        <v>116.59</v>
      </c>
      <c r="AS229" s="1">
        <v>950.51</v>
      </c>
      <c r="AT229">
        <v>16566.25</v>
      </c>
      <c r="AU229">
        <v>2960.95</v>
      </c>
      <c r="AV229">
        <v>1348.08</v>
      </c>
    </row>
    <row r="230" spans="1:48" x14ac:dyDescent="0.3">
      <c r="A230" t="s">
        <v>4</v>
      </c>
      <c r="B230" s="13">
        <v>1</v>
      </c>
      <c r="C230" s="33">
        <f t="shared" ref="C230:G233" si="37">(C219/$L230)*$O230</f>
        <v>0</v>
      </c>
      <c r="D230" s="34">
        <f t="shared" si="37"/>
        <v>3.8092475489136617</v>
      </c>
      <c r="E230" s="19">
        <f t="shared" si="37"/>
        <v>0.28915080404295124</v>
      </c>
      <c r="F230" s="18">
        <f t="shared" si="37"/>
        <v>0</v>
      </c>
      <c r="G230" s="20">
        <f t="shared" si="37"/>
        <v>0.16343306315471157</v>
      </c>
      <c r="H230" s="17">
        <f>SUM(C230:G230)</f>
        <v>4.261831416111324</v>
      </c>
      <c r="I230" s="17">
        <f>D230/H230*100</f>
        <v>89.380530973451329</v>
      </c>
      <c r="J230" s="17">
        <f>SQRT(I230*(100-I230)/(L230-1))</f>
        <v>1.675770405049853</v>
      </c>
      <c r="K230" s="18">
        <f>100-I230</f>
        <v>10.619469026548671</v>
      </c>
      <c r="L230" s="1">
        <f>H219</f>
        <v>339</v>
      </c>
      <c r="M230">
        <v>1</v>
      </c>
      <c r="N230" s="1">
        <v>8088.91</v>
      </c>
      <c r="O230" s="17">
        <f>N230/N234*100</f>
        <v>4.2618314161113249</v>
      </c>
      <c r="P230" s="52">
        <f>((O230*O230*(I230/100)*(K230/100))/(L230-1))</f>
        <v>5.1006035112442696E-3</v>
      </c>
      <c r="S230" t="s">
        <v>69</v>
      </c>
      <c r="T230" s="1" t="s">
        <v>418</v>
      </c>
      <c r="U230" s="1" t="s">
        <v>419</v>
      </c>
      <c r="V230" s="1" t="s">
        <v>420</v>
      </c>
      <c r="W230" s="1" t="s">
        <v>421</v>
      </c>
      <c r="X230" s="1" t="s">
        <v>422</v>
      </c>
      <c r="AB230">
        <v>9</v>
      </c>
      <c r="AC230">
        <v>292</v>
      </c>
      <c r="AD230">
        <v>287</v>
      </c>
      <c r="AE230">
        <v>276</v>
      </c>
      <c r="AJ230" t="s">
        <v>416</v>
      </c>
      <c r="AK230">
        <v>14</v>
      </c>
      <c r="AL230" s="1">
        <v>0.26</v>
      </c>
      <c r="AM230" s="1">
        <v>43.01</v>
      </c>
      <c r="AN230" s="1">
        <v>1287.1300000000001</v>
      </c>
      <c r="AO230" s="1">
        <v>388.93</v>
      </c>
      <c r="AP230" s="1">
        <v>101.66</v>
      </c>
      <c r="AR230" s="1">
        <v>122.35</v>
      </c>
      <c r="AS230" s="1">
        <v>1024.7</v>
      </c>
      <c r="AT230">
        <v>16518.259999999998</v>
      </c>
      <c r="AU230">
        <v>2913.86</v>
      </c>
      <c r="AV230">
        <v>1363.21</v>
      </c>
    </row>
    <row r="231" spans="1:48" x14ac:dyDescent="0.3">
      <c r="A231" t="s">
        <v>5</v>
      </c>
      <c r="B231" s="13">
        <v>2</v>
      </c>
      <c r="C231" s="33">
        <f t="shared" si="37"/>
        <v>0</v>
      </c>
      <c r="D231" s="19">
        <f t="shared" si="37"/>
        <v>1.4668094707628923</v>
      </c>
      <c r="E231" s="34">
        <f t="shared" si="37"/>
        <v>56.932096407576665</v>
      </c>
      <c r="F231" s="19">
        <f t="shared" si="37"/>
        <v>0.79555767905783992</v>
      </c>
      <c r="G231" s="20">
        <f t="shared" si="37"/>
        <v>0.21546353807816498</v>
      </c>
      <c r="H231" s="17">
        <f>SUM(C231:G231)</f>
        <v>59.409927095475567</v>
      </c>
      <c r="I231" s="17">
        <f>E231/H231*100</f>
        <v>95.829264890500767</v>
      </c>
      <c r="J231" s="17">
        <f>SQRT(I231*(100-I231)/(L231-1))</f>
        <v>0.23613283647459815</v>
      </c>
      <c r="K231" s="18">
        <f>100-I231</f>
        <v>4.1707351094992333</v>
      </c>
      <c r="L231" s="1">
        <f>H220</f>
        <v>7169</v>
      </c>
      <c r="M231">
        <v>2</v>
      </c>
      <c r="N231" s="1">
        <v>112759.4</v>
      </c>
      <c r="O231" s="17">
        <f>N231/N234*100</f>
        <v>59.409927095475567</v>
      </c>
      <c r="P231" s="52">
        <f>((O231*O231*(I231/100)*(K231/100))/(L231-1))</f>
        <v>1.9680258873481033E-2</v>
      </c>
      <c r="T231" s="57">
        <f>T24</f>
        <v>2761.9888932737167</v>
      </c>
      <c r="U231" s="57">
        <f>U24</f>
        <v>10512.586934971821</v>
      </c>
      <c r="V231" s="57">
        <f>V24</f>
        <v>110893.73291431667</v>
      </c>
      <c r="W231" s="57">
        <f>W24</f>
        <v>45421.857857527182</v>
      </c>
      <c r="X231" s="57">
        <f>X24</f>
        <v>20208.75339991062</v>
      </c>
      <c r="AB231">
        <v>10</v>
      </c>
      <c r="AC231">
        <v>321</v>
      </c>
      <c r="AD231">
        <v>316</v>
      </c>
      <c r="AE231">
        <v>305</v>
      </c>
      <c r="AJ231" t="s">
        <v>416</v>
      </c>
      <c r="AK231">
        <v>15</v>
      </c>
      <c r="AL231" s="1">
        <v>0.52</v>
      </c>
      <c r="AM231" s="1">
        <v>41.86</v>
      </c>
      <c r="AN231" s="1">
        <v>1291.6199999999999</v>
      </c>
      <c r="AO231" s="1">
        <v>390.48</v>
      </c>
      <c r="AP231" s="1">
        <v>96.51</v>
      </c>
      <c r="AR231" s="1">
        <v>114.34</v>
      </c>
      <c r="AS231" s="1">
        <v>1027.04</v>
      </c>
      <c r="AT231">
        <v>16541.310000000001</v>
      </c>
      <c r="AU231">
        <v>2951.76</v>
      </c>
      <c r="AV231">
        <v>1307.93</v>
      </c>
    </row>
    <row r="232" spans="1:48" x14ac:dyDescent="0.3">
      <c r="A232" t="s">
        <v>6</v>
      </c>
      <c r="B232" s="13">
        <v>3</v>
      </c>
      <c r="C232" s="33">
        <f t="shared" si="37"/>
        <v>0</v>
      </c>
      <c r="D232" s="19">
        <f t="shared" si="37"/>
        <v>0.20591633655907551</v>
      </c>
      <c r="E232" s="19">
        <f t="shared" si="37"/>
        <v>0.60794346984108005</v>
      </c>
      <c r="F232" s="34">
        <f t="shared" si="37"/>
        <v>22.886129977565822</v>
      </c>
      <c r="G232" s="20">
        <f t="shared" si="37"/>
        <v>1.5198586746027001</v>
      </c>
      <c r="H232" s="17">
        <f>SUM(C232:G232)</f>
        <v>25.219848458568677</v>
      </c>
      <c r="I232" s="17">
        <f>F232/H232*100</f>
        <v>90.746500777604979</v>
      </c>
      <c r="J232" s="17">
        <f>SQRT(I232*(100-I232)/(L232-1))</f>
        <v>0.57150087782690084</v>
      </c>
      <c r="K232" s="18">
        <f>100-I232</f>
        <v>9.2534992223950212</v>
      </c>
      <c r="L232" s="1">
        <f>H221</f>
        <v>2572</v>
      </c>
      <c r="M232">
        <v>3</v>
      </c>
      <c r="N232" s="1">
        <v>47867</v>
      </c>
      <c r="O232" s="17">
        <f>N232/N234*100</f>
        <v>25.219848458568677</v>
      </c>
      <c r="P232" s="52">
        <f>((O232*O232*(I232/100)*(K232/100))/(L232-1))</f>
        <v>2.0773934067397439E-2</v>
      </c>
      <c r="T232" s="57">
        <f>T34</f>
        <v>2778.4732479823056</v>
      </c>
      <c r="U232" s="57">
        <f>U34</f>
        <v>10228.742744112957</v>
      </c>
      <c r="V232" s="57">
        <f>V34</f>
        <v>110915.57285361637</v>
      </c>
      <c r="W232" s="57">
        <f>W34</f>
        <v>46296.628631280262</v>
      </c>
      <c r="X232" s="57">
        <f>X34</f>
        <v>19579.502523008116</v>
      </c>
      <c r="AB232">
        <v>11</v>
      </c>
      <c r="AC232">
        <v>350</v>
      </c>
      <c r="AD232">
        <v>345</v>
      </c>
      <c r="AE232">
        <v>334</v>
      </c>
      <c r="AJ232" t="s">
        <v>416</v>
      </c>
      <c r="AK232">
        <v>16</v>
      </c>
      <c r="AL232" s="1">
        <v>0.52</v>
      </c>
      <c r="AM232" s="1">
        <v>42.17</v>
      </c>
      <c r="AN232" s="1">
        <v>1282.42</v>
      </c>
      <c r="AO232" s="1">
        <v>392.54</v>
      </c>
      <c r="AP232" s="1">
        <v>103.34</v>
      </c>
      <c r="AR232" s="1">
        <v>104.8</v>
      </c>
      <c r="AS232" s="1">
        <v>1022</v>
      </c>
      <c r="AT232">
        <v>16448.310000000001</v>
      </c>
      <c r="AU232">
        <v>2975.62</v>
      </c>
      <c r="AV232">
        <v>1391.66</v>
      </c>
    </row>
    <row r="233" spans="1:48" x14ac:dyDescent="0.3">
      <c r="A233" t="s">
        <v>7</v>
      </c>
      <c r="B233" s="13">
        <v>4</v>
      </c>
      <c r="C233" s="35">
        <f t="shared" si="37"/>
        <v>0</v>
      </c>
      <c r="D233" s="36">
        <f t="shared" si="37"/>
        <v>0</v>
      </c>
      <c r="E233" s="21">
        <f t="shared" si="37"/>
        <v>0.14213629130942015</v>
      </c>
      <c r="F233" s="21">
        <f t="shared" si="37"/>
        <v>0.94419107798400526</v>
      </c>
      <c r="G233" s="37">
        <f t="shared" si="37"/>
        <v>8.6601611776382423</v>
      </c>
      <c r="H233" s="17">
        <f>SUM(C233:G233)</f>
        <v>9.7464885469316673</v>
      </c>
      <c r="I233" s="17">
        <f>G233/H233*100</f>
        <v>88.854166666666671</v>
      </c>
      <c r="J233" s="17">
        <f>SQRT(I233*(100-I233)/(L233-1))</f>
        <v>1.0162156240770146</v>
      </c>
      <c r="K233" s="18">
        <f>100-I233</f>
        <v>11.145833333333329</v>
      </c>
      <c r="L233" s="1">
        <f>H222</f>
        <v>960</v>
      </c>
      <c r="M233">
        <v>4</v>
      </c>
      <c r="N233" s="1">
        <v>18498.73</v>
      </c>
      <c r="O233" s="17">
        <f>N233/N234*100</f>
        <v>9.7464885469316673</v>
      </c>
      <c r="P233" s="52">
        <f>((O233*O233*(I233/100)*(K233/100))/(L233-1))</f>
        <v>9.8099792593960376E-3</v>
      </c>
      <c r="T233" s="57">
        <f>T44</f>
        <v>2748.0390626608751</v>
      </c>
      <c r="U233" s="57">
        <f>U44</f>
        <v>10197.111537306604</v>
      </c>
      <c r="V233" s="57">
        <f>V44</f>
        <v>110904.68487454434</v>
      </c>
      <c r="W233" s="57">
        <f>W44</f>
        <v>46182.235233445455</v>
      </c>
      <c r="X233" s="57">
        <f>X44</f>
        <v>19766.839292042732</v>
      </c>
      <c r="AB233">
        <v>12</v>
      </c>
      <c r="AC233">
        <v>379</v>
      </c>
      <c r="AD233">
        <v>374</v>
      </c>
      <c r="AE233">
        <v>363</v>
      </c>
      <c r="AJ233" t="s">
        <v>416</v>
      </c>
      <c r="AK233">
        <v>17</v>
      </c>
      <c r="AL233" s="1">
        <v>0.45</v>
      </c>
      <c r="AM233" s="1">
        <v>41.26</v>
      </c>
      <c r="AN233" s="1">
        <v>1287.77</v>
      </c>
      <c r="AO233" s="1">
        <v>387.93</v>
      </c>
      <c r="AP233" s="1">
        <v>103.58</v>
      </c>
      <c r="AR233" s="1">
        <v>93.99</v>
      </c>
      <c r="AS233" s="1">
        <v>973.02</v>
      </c>
      <c r="AT233">
        <v>16562.560000000001</v>
      </c>
      <c r="AU233">
        <v>2959.78</v>
      </c>
      <c r="AV233">
        <v>1353.03</v>
      </c>
    </row>
    <row r="234" spans="1:48" x14ac:dyDescent="0.3">
      <c r="B234" t="s">
        <v>28</v>
      </c>
      <c r="C234" s="17">
        <f>SUM(C229:C233)</f>
        <v>1.3513878459790691</v>
      </c>
      <c r="D234" s="17">
        <f>SUM(D229:D233)</f>
        <v>5.4819733562356294</v>
      </c>
      <c r="E234" s="17">
        <f>SUM(E229:E233)</f>
        <v>57.971326972770122</v>
      </c>
      <c r="F234" s="17">
        <f>SUM(F229:F233)</f>
        <v>24.636395371541358</v>
      </c>
      <c r="G234" s="17">
        <f>SUM(G229:G233)</f>
        <v>10.558916453473818</v>
      </c>
      <c r="H234" s="1">
        <f>SUM(H228:H233)</f>
        <v>100</v>
      </c>
      <c r="I234" s="13" t="s">
        <v>24</v>
      </c>
      <c r="J234" s="12" t="s">
        <v>29</v>
      </c>
      <c r="N234" s="1">
        <f>SUM(N229:N233)</f>
        <v>189798.92</v>
      </c>
      <c r="O234" s="17">
        <f>SUM(O229:O233)</f>
        <v>100</v>
      </c>
      <c r="T234" s="57">
        <f>T54</f>
        <v>2651.8580729166661</v>
      </c>
      <c r="U234" s="57">
        <f>U54</f>
        <v>11515.913736457314</v>
      </c>
      <c r="V234" s="57">
        <f>V54</f>
        <v>109970.43186755161</v>
      </c>
      <c r="W234" s="57">
        <f>W54</f>
        <v>45935.817355043291</v>
      </c>
      <c r="X234" s="57">
        <f>X54</f>
        <v>19724.89896803111</v>
      </c>
      <c r="AB234">
        <v>13</v>
      </c>
      <c r="AC234">
        <v>408</v>
      </c>
      <c r="AD234">
        <v>403</v>
      </c>
      <c r="AE234">
        <v>392</v>
      </c>
      <c r="AJ234" t="s">
        <v>416</v>
      </c>
      <c r="AK234">
        <v>18</v>
      </c>
      <c r="AL234" s="1">
        <v>0.36</v>
      </c>
      <c r="AM234" s="1">
        <v>41.12</v>
      </c>
      <c r="AN234" s="1">
        <v>1288.3499999999999</v>
      </c>
      <c r="AO234" s="1">
        <v>389.65</v>
      </c>
      <c r="AP234" s="1">
        <v>101.52</v>
      </c>
      <c r="AR234" s="1">
        <v>129.1</v>
      </c>
      <c r="AS234" s="1">
        <v>976.17</v>
      </c>
      <c r="AT234">
        <v>16552.740000000002</v>
      </c>
      <c r="AU234">
        <v>2936.46</v>
      </c>
      <c r="AV234">
        <v>1347.9</v>
      </c>
    </row>
    <row r="235" spans="1:48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7.4076177353178943E-3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0.13763580049312241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0.17408487040872669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0.18969086276068794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0.16601086812208146</v>
      </c>
      <c r="H235" s="1"/>
      <c r="I235" s="14">
        <f>(C229+D230+E231+F232+G233)/H234</f>
        <v>0.93639022957673457</v>
      </c>
      <c r="J235" s="53">
        <f>SQRT(SUM(P229:P233))/100</f>
        <v>2.3541423320883699E-3</v>
      </c>
      <c r="M235" s="1"/>
      <c r="N235" s="9"/>
      <c r="T235" s="57">
        <f>T64</f>
        <v>2639.1935978002757</v>
      </c>
      <c r="U235" s="57">
        <f>U64</f>
        <v>10885.128199775099</v>
      </c>
      <c r="V235" s="57">
        <f>V64</f>
        <v>110199.75815344177</v>
      </c>
      <c r="W235" s="57">
        <f>W64</f>
        <v>46353.01854603376</v>
      </c>
      <c r="X235" s="57">
        <f>X64</f>
        <v>19721.821502949097</v>
      </c>
      <c r="AB235">
        <v>14</v>
      </c>
      <c r="AC235">
        <v>437</v>
      </c>
      <c r="AD235">
        <v>432</v>
      </c>
      <c r="AE235">
        <v>421</v>
      </c>
      <c r="AJ235" t="s">
        <v>416</v>
      </c>
      <c r="AK235">
        <v>19</v>
      </c>
      <c r="AL235" s="1">
        <v>0.54</v>
      </c>
      <c r="AM235" s="1">
        <v>39.4</v>
      </c>
      <c r="AN235" s="1">
        <v>1280.99</v>
      </c>
      <c r="AO235" s="1">
        <v>393.83</v>
      </c>
      <c r="AP235" s="1">
        <v>106.24</v>
      </c>
      <c r="AR235" s="1">
        <v>93.63</v>
      </c>
      <c r="AS235" s="1">
        <v>1004.62</v>
      </c>
      <c r="AT235">
        <v>16474.419999999998</v>
      </c>
      <c r="AU235">
        <v>3011.54</v>
      </c>
      <c r="AV235">
        <v>1358.16</v>
      </c>
    </row>
    <row r="236" spans="1:48" x14ac:dyDescent="0.3">
      <c r="B236" s="1" t="s">
        <v>30</v>
      </c>
      <c r="C236" s="17">
        <f>C229/C234*100</f>
        <v>100</v>
      </c>
      <c r="D236" s="17">
        <f>D230/D234*100</f>
        <v>69.48679428696461</v>
      </c>
      <c r="E236" s="17">
        <f>E231/E234*100</f>
        <v>98.207336937997653</v>
      </c>
      <c r="F236" s="17">
        <f>F232/F234*100</f>
        <v>92.895610873344935</v>
      </c>
      <c r="G236" s="17">
        <f>G233/G234*100</f>
        <v>82.017517761390209</v>
      </c>
      <c r="H236" s="1"/>
      <c r="T236" s="57">
        <f>T74</f>
        <v>2552.2015852183004</v>
      </c>
      <c r="U236" s="57">
        <f>U74</f>
        <v>10950.402187102925</v>
      </c>
      <c r="V236" s="57">
        <f>V74</f>
        <v>110032.8265099167</v>
      </c>
      <c r="W236" s="57">
        <f>W74</f>
        <v>46107.829014836541</v>
      </c>
      <c r="X236" s="57">
        <f>X74</f>
        <v>20155.660702925528</v>
      </c>
      <c r="AB236">
        <v>15</v>
      </c>
      <c r="AC236">
        <v>466</v>
      </c>
      <c r="AD236">
        <v>461</v>
      </c>
      <c r="AE236">
        <v>450</v>
      </c>
    </row>
    <row r="237" spans="1:48" x14ac:dyDescent="0.3">
      <c r="B237" s="16" t="s">
        <v>39</v>
      </c>
      <c r="C237" s="18">
        <f>SQRT((C240+C241)/(C234*C234))</f>
        <v>0</v>
      </c>
      <c r="D237" s="18">
        <f>SQRT((D240+D241)/(D234*D234))</f>
        <v>4.2460989729693717</v>
      </c>
      <c r="E237" s="18">
        <f>SQRT((E240+E241)/(E234*E234))</f>
        <v>0.18006233174987812</v>
      </c>
      <c r="F237" s="18">
        <f>SQRT((F240+F241)/(F234*F234))</f>
        <v>0.62389500600637149</v>
      </c>
      <c r="G237" s="18">
        <f>SQRT((G240+G241)/(G234*G234))</f>
        <v>1.9792810708132516</v>
      </c>
      <c r="H237" s="1"/>
      <c r="T237" s="57">
        <f>T84</f>
        <v>2658.5016326353152</v>
      </c>
      <c r="U237" s="57">
        <f>U84</f>
        <v>10925.193773842268</v>
      </c>
      <c r="V237" s="57">
        <f>V84</f>
        <v>109828.77722228214</v>
      </c>
      <c r="W237" s="57">
        <f>W84</f>
        <v>46577.718400261663</v>
      </c>
      <c r="X237" s="57">
        <f>X84</f>
        <v>19808.728970978609</v>
      </c>
      <c r="AB237">
        <v>16</v>
      </c>
      <c r="AC237">
        <v>495</v>
      </c>
      <c r="AD237">
        <v>490</v>
      </c>
      <c r="AE237">
        <v>479</v>
      </c>
      <c r="AN237" s="78"/>
      <c r="AO237" s="78"/>
    </row>
    <row r="238" spans="1:48" x14ac:dyDescent="0.3">
      <c r="B238" s="1" t="s">
        <v>37</v>
      </c>
      <c r="C238" s="18">
        <f>100-C236</f>
        <v>0</v>
      </c>
      <c r="D238" s="18">
        <f>100-D236</f>
        <v>30.51320571303539</v>
      </c>
      <c r="E238" s="18">
        <f>100-E236</f>
        <v>1.7926630620023474</v>
      </c>
      <c r="F238" s="18">
        <f>100-F236</f>
        <v>7.1043891266550645</v>
      </c>
      <c r="G238" s="18">
        <f>100-G236</f>
        <v>17.982482238609791</v>
      </c>
      <c r="T238" s="57">
        <f>T94</f>
        <v>2564.9195366795366</v>
      </c>
      <c r="U238" s="57">
        <f>U94</f>
        <v>10404.726224822978</v>
      </c>
      <c r="V238" s="57">
        <f>V94</f>
        <v>110028.95250398639</v>
      </c>
      <c r="W238" s="57">
        <f>W94</f>
        <v>46759.612342115492</v>
      </c>
      <c r="X238" s="57">
        <f>X94</f>
        <v>20040.709392395613</v>
      </c>
      <c r="AB238">
        <v>17</v>
      </c>
      <c r="AC238">
        <v>524</v>
      </c>
      <c r="AD238">
        <v>519</v>
      </c>
      <c r="AE238">
        <v>508</v>
      </c>
    </row>
    <row r="239" spans="1:48" ht="15.6" x14ac:dyDescent="0.35">
      <c r="B239" s="1" t="s">
        <v>25</v>
      </c>
      <c r="C239" s="1">
        <f>C223</f>
        <v>257</v>
      </c>
      <c r="D239" s="1">
        <f>D223</f>
        <v>501</v>
      </c>
      <c r="E239" s="1">
        <f>E223</f>
        <v>6969</v>
      </c>
      <c r="F239" s="1">
        <f>F223</f>
        <v>2525</v>
      </c>
      <c r="G239" s="1">
        <f>G223</f>
        <v>1047</v>
      </c>
      <c r="T239" s="57">
        <f>T104</f>
        <v>2691.4688609801551</v>
      </c>
      <c r="U239" s="57">
        <f>U104</f>
        <v>10165.02650853977</v>
      </c>
      <c r="V239" s="57">
        <f>V104</f>
        <v>110610.18321043733</v>
      </c>
      <c r="W239" s="57">
        <f>W104</f>
        <v>46460.725811897471</v>
      </c>
      <c r="X239" s="57">
        <f>X104</f>
        <v>19871.505608145246</v>
      </c>
      <c r="AB239">
        <v>18</v>
      </c>
      <c r="AC239">
        <v>553</v>
      </c>
      <c r="AD239">
        <v>548</v>
      </c>
      <c r="AE239">
        <v>537</v>
      </c>
      <c r="AN239" s="78"/>
      <c r="AO239" s="78"/>
    </row>
    <row r="240" spans="1:48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474.89460893164829</v>
      </c>
      <c r="E240" s="18">
        <f>(O231*O231*(100-E236)*(100-E236)*(I231)*(100-I231))/((L231-1)*100)</f>
        <v>6.3245283930509624</v>
      </c>
      <c r="F240" s="18">
        <f>(O232*O232*(100-F236)*(100-F236)*(I232)*(100-I232))/((L232-1)*100)</f>
        <v>104.85091644095516</v>
      </c>
      <c r="G240" s="18">
        <f>(O233*O233*(100-G236)*(100-G236)*(I233)*(100-I233))/((L233-1)*100)</f>
        <v>317.22497309191954</v>
      </c>
      <c r="T240" s="57">
        <f>T114</f>
        <v>2733.1681005138871</v>
      </c>
      <c r="U240" s="57">
        <f>U114</f>
        <v>11215.204233323277</v>
      </c>
      <c r="V240" s="57">
        <f>V114</f>
        <v>110278.13666710883</v>
      </c>
      <c r="W240" s="57">
        <f>W114</f>
        <v>46148.316575681834</v>
      </c>
      <c r="X240" s="57">
        <f>X114</f>
        <v>19424.10442337217</v>
      </c>
      <c r="AB240">
        <v>19</v>
      </c>
      <c r="AC240">
        <v>582</v>
      </c>
      <c r="AD240">
        <v>577</v>
      </c>
      <c r="AE240">
        <v>566</v>
      </c>
    </row>
    <row r="241" spans="1:41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66.924187001719574</v>
      </c>
      <c r="E241" s="18">
        <f>E236*E236*(SUM((H229*E229*(1-E218/H218))/(H218-1),(H230*E230*(1-E219/H219))/(H219-1), (H232*E232*(1-E221/H221))/(H221-1),(H233*E233*(1-E222/H222))/(H222-1)))</f>
        <v>102.63675822155659</v>
      </c>
      <c r="F241" s="18">
        <f>F236*F236*(SUM((H229*F229*(1-F218/H218))/(H218-1),(H230*F230*(1-F219/H219))/(H219-1), (H231*F231*(1-F220/H220))/(H220-1),(H233*F233*(1-F222/H222))/(H222-1)))</f>
        <v>131.4020927710994</v>
      </c>
      <c r="G241" s="18">
        <f>G236*G236*(SUM((H229*G229*(1-G218/H218))/(H218-1),(H230*G230*(1-G219/H219))/(H219-1), (H231*G231*(1-G220/H220))/(H220-1),(H232*G232*(1-G221/H221))/(H221-1)))</f>
        <v>119.54588060793851</v>
      </c>
      <c r="T241" s="57">
        <f>T124</f>
        <v>2552.3870270270277</v>
      </c>
      <c r="U241" s="57">
        <f>U124</f>
        <v>9828.8384009575857</v>
      </c>
      <c r="V241" s="57">
        <f>V124</f>
        <v>110317.26465938347</v>
      </c>
      <c r="W241" s="57">
        <f>W124</f>
        <v>46935.008481399811</v>
      </c>
      <c r="X241" s="57">
        <f>X124</f>
        <v>20165.411431232154</v>
      </c>
      <c r="AB241">
        <v>20</v>
      </c>
      <c r="AC241">
        <v>611</v>
      </c>
      <c r="AD241">
        <v>606</v>
      </c>
      <c r="AE241">
        <v>595</v>
      </c>
      <c r="AN241" s="78"/>
      <c r="AO241" s="78"/>
    </row>
    <row r="242" spans="1:41" x14ac:dyDescent="0.3">
      <c r="T242" s="57">
        <f>T134</f>
        <v>2645.900863141524</v>
      </c>
      <c r="U242" s="57">
        <f>U134</f>
        <v>10967.702017602967</v>
      </c>
      <c r="V242" s="57">
        <f>V134</f>
        <v>110140.08683426547</v>
      </c>
      <c r="W242" s="57">
        <f>W134</f>
        <v>45934.572360785911</v>
      </c>
      <c r="X242" s="57">
        <f>X134</f>
        <v>20110.657924204152</v>
      </c>
      <c r="AB242">
        <v>21</v>
      </c>
      <c r="AC242">
        <v>640</v>
      </c>
      <c r="AD242">
        <v>635</v>
      </c>
      <c r="AE242">
        <v>624</v>
      </c>
    </row>
    <row r="243" spans="1:41" x14ac:dyDescent="0.3">
      <c r="T243" s="57">
        <f>T144</f>
        <v>2499.2202516107536</v>
      </c>
      <c r="U243" s="57">
        <f>U144</f>
        <v>10666.126663221063</v>
      </c>
      <c r="V243" s="57">
        <f>V144</f>
        <v>110456.20750454073</v>
      </c>
      <c r="W243" s="57">
        <f>W144</f>
        <v>45953.221131106475</v>
      </c>
      <c r="X243" s="57">
        <f>X144</f>
        <v>20224.144449520983</v>
      </c>
      <c r="AB243">
        <v>22</v>
      </c>
      <c r="AC243">
        <v>669</v>
      </c>
      <c r="AD243">
        <v>664</v>
      </c>
      <c r="AE243">
        <v>653</v>
      </c>
      <c r="AN243" s="78"/>
      <c r="AO243" s="78"/>
    </row>
    <row r="244" spans="1:41" x14ac:dyDescent="0.3">
      <c r="A244" s="361" t="s">
        <v>437</v>
      </c>
      <c r="B244" s="361"/>
      <c r="C244" s="361"/>
      <c r="D244" s="361"/>
      <c r="E244" s="361"/>
      <c r="F244" s="361"/>
      <c r="G244" s="361"/>
      <c r="H244" s="361"/>
      <c r="I244" s="361"/>
      <c r="J244" s="361"/>
      <c r="K244" s="361"/>
      <c r="L244" s="361" t="s">
        <v>86</v>
      </c>
      <c r="M244" s="361"/>
      <c r="N244" s="361"/>
      <c r="O244" s="361"/>
      <c r="P244" s="361"/>
      <c r="T244" s="57">
        <f>T154</f>
        <v>2750.4791955514515</v>
      </c>
      <c r="U244" s="57">
        <f>U154</f>
        <v>10774.095509967634</v>
      </c>
      <c r="V244" s="57">
        <f>V154</f>
        <v>109772.6037021018</v>
      </c>
      <c r="W244" s="57">
        <f>W154</f>
        <v>46675.134844420914</v>
      </c>
      <c r="X244" s="57">
        <f>X154</f>
        <v>19826.606747958165</v>
      </c>
      <c r="AB244">
        <v>23</v>
      </c>
      <c r="AC244">
        <v>698</v>
      </c>
      <c r="AD244">
        <v>693</v>
      </c>
      <c r="AE244">
        <v>682</v>
      </c>
    </row>
    <row r="245" spans="1:41" x14ac:dyDescent="0.3">
      <c r="A245" t="s">
        <v>320</v>
      </c>
      <c r="B245" t="s">
        <v>21</v>
      </c>
      <c r="I245" s="1" t="s">
        <v>58</v>
      </c>
      <c r="O245" s="143"/>
      <c r="P245" s="143"/>
      <c r="T245" s="57">
        <f>T164</f>
        <v>2573.9172447263973</v>
      </c>
      <c r="U245" s="57">
        <f>U164</f>
        <v>11439.693415910286</v>
      </c>
      <c r="V245" s="57">
        <f>V164</f>
        <v>110474.78478765763</v>
      </c>
      <c r="W245" s="57">
        <f>W164</f>
        <v>45663.753344632751</v>
      </c>
      <c r="X245" s="57">
        <f>X164</f>
        <v>19646.761207072923</v>
      </c>
      <c r="AB245">
        <v>24</v>
      </c>
      <c r="AC245">
        <v>727</v>
      </c>
      <c r="AD245">
        <v>722</v>
      </c>
      <c r="AE245">
        <v>711</v>
      </c>
      <c r="AN245" s="78"/>
      <c r="AO245" s="78"/>
    </row>
    <row r="246" spans="1:41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56</v>
      </c>
      <c r="O246" s="13"/>
      <c r="P246" s="13"/>
      <c r="T246" s="57">
        <f>T174</f>
        <v>2665.9210866954486</v>
      </c>
      <c r="U246" s="57">
        <f>U174</f>
        <v>11263.746694233238</v>
      </c>
      <c r="V246" s="57">
        <f>V174</f>
        <v>110106.44451587208</v>
      </c>
      <c r="W246" s="57">
        <f>W174</f>
        <v>46350.061939083731</v>
      </c>
      <c r="X246" s="57">
        <f>X174</f>
        <v>19412.755764115514</v>
      </c>
      <c r="AB246">
        <v>25</v>
      </c>
      <c r="AC246">
        <v>756</v>
      </c>
      <c r="AD246">
        <v>751</v>
      </c>
      <c r="AE246">
        <v>740</v>
      </c>
    </row>
    <row r="247" spans="1:41" x14ac:dyDescent="0.3">
      <c r="A247" t="s">
        <v>3</v>
      </c>
      <c r="B247" s="13">
        <v>0</v>
      </c>
      <c r="C247" s="26">
        <v>258</v>
      </c>
      <c r="D247" s="3">
        <v>0</v>
      </c>
      <c r="E247" s="3">
        <v>0</v>
      </c>
      <c r="F247" s="3">
        <v>1</v>
      </c>
      <c r="G247" s="4">
        <v>0</v>
      </c>
      <c r="H247" s="1">
        <f>SUM(C247:G247)</f>
        <v>259</v>
      </c>
      <c r="I247" s="10">
        <f>C247/H247</f>
        <v>0.99613899613899615</v>
      </c>
      <c r="J247" s="11">
        <f>1-I247</f>
        <v>3.8610038610038533E-3</v>
      </c>
      <c r="K247">
        <f>H247-C252</f>
        <v>-1</v>
      </c>
      <c r="N247" s="10">
        <f>2*(C253*I247)/(C253+I247)</f>
        <v>0.99421965317919081</v>
      </c>
      <c r="O247" s="1"/>
      <c r="P247" s="1"/>
      <c r="T247" s="57">
        <f>T184</f>
        <v>2623.78</v>
      </c>
      <c r="U247" s="57">
        <f>U184</f>
        <v>11491.424467724504</v>
      </c>
      <c r="V247" s="57">
        <f>V184</f>
        <v>108987.66379722115</v>
      </c>
      <c r="W247" s="57">
        <f>W184</f>
        <v>46569.699704902843</v>
      </c>
      <c r="X247" s="57">
        <f>X184</f>
        <v>20126.352030151495</v>
      </c>
      <c r="AB247">
        <v>26</v>
      </c>
      <c r="AC247">
        <v>785</v>
      </c>
      <c r="AD247">
        <v>780</v>
      </c>
      <c r="AE247">
        <v>769</v>
      </c>
      <c r="AN247" s="78"/>
      <c r="AO247" s="78"/>
    </row>
    <row r="248" spans="1:41" x14ac:dyDescent="0.3">
      <c r="A248" t="s">
        <v>4</v>
      </c>
      <c r="B248" s="13">
        <v>1</v>
      </c>
      <c r="C248" s="5">
        <v>0</v>
      </c>
      <c r="D248" s="27">
        <v>297</v>
      </c>
      <c r="E248" s="1">
        <v>27</v>
      </c>
      <c r="F248" s="1">
        <v>0</v>
      </c>
      <c r="G248" s="6">
        <v>15</v>
      </c>
      <c r="H248" s="1">
        <f>SUM(C248:G248)</f>
        <v>339</v>
      </c>
      <c r="I248" s="10">
        <f>D248/H248</f>
        <v>0.87610619469026552</v>
      </c>
      <c r="J248" s="11">
        <f>1-I248</f>
        <v>0.12389380530973448</v>
      </c>
      <c r="K248">
        <f>H248-D252</f>
        <v>-161</v>
      </c>
      <c r="N248" s="10">
        <f>2*(D253*I248)/(D253+I248)</f>
        <v>0.70798569725864124</v>
      </c>
      <c r="O248" s="1"/>
      <c r="P248" s="1"/>
      <c r="T248" s="57">
        <f>T194</f>
        <v>2669.4240852633347</v>
      </c>
      <c r="U248" s="57">
        <f>U194</f>
        <v>10462.452697158536</v>
      </c>
      <c r="V248" s="57">
        <f>V194</f>
        <v>110826.15968940279</v>
      </c>
      <c r="W248" s="57">
        <f>W194</f>
        <v>46116.70422008384</v>
      </c>
      <c r="X248" s="57">
        <f>X194</f>
        <v>19724.179308091487</v>
      </c>
      <c r="AB248">
        <v>27</v>
      </c>
      <c r="AC248">
        <v>814</v>
      </c>
      <c r="AD248">
        <v>809</v>
      </c>
      <c r="AE248">
        <v>798</v>
      </c>
    </row>
    <row r="249" spans="1:41" x14ac:dyDescent="0.3">
      <c r="A249" t="s">
        <v>5</v>
      </c>
      <c r="B249" s="13">
        <v>2</v>
      </c>
      <c r="C249" s="5">
        <v>0</v>
      </c>
      <c r="D249" s="1">
        <v>178</v>
      </c>
      <c r="E249" s="27">
        <v>6872</v>
      </c>
      <c r="F249" s="1">
        <v>97</v>
      </c>
      <c r="G249" s="6">
        <v>22</v>
      </c>
      <c r="H249" s="1">
        <f>SUM(C249:G249)</f>
        <v>7169</v>
      </c>
      <c r="I249" s="10">
        <f>E249/H249</f>
        <v>0.95857162784209793</v>
      </c>
      <c r="J249" s="11">
        <f>1-I249</f>
        <v>4.1428372157902071E-2</v>
      </c>
      <c r="K249">
        <f>H249-E252</f>
        <v>184</v>
      </c>
      <c r="N249" s="10">
        <f>2*(E253*I249)/(E253+I249)</f>
        <v>0.97103292355517878</v>
      </c>
      <c r="O249" s="1"/>
      <c r="P249" s="1"/>
      <c r="T249" s="57">
        <f>T204</f>
        <v>2585.7389166371436</v>
      </c>
      <c r="U249" s="57">
        <f>U204</f>
        <v>10488.086460130411</v>
      </c>
      <c r="V249" s="57">
        <f>V204</f>
        <v>110401.18768178667</v>
      </c>
      <c r="W249" s="57">
        <f>W204</f>
        <v>46667.575761006876</v>
      </c>
      <c r="X249" s="57">
        <f>X204</f>
        <v>19656.331180438912</v>
      </c>
      <c r="AB249">
        <v>28</v>
      </c>
      <c r="AC249">
        <v>843</v>
      </c>
      <c r="AD249">
        <v>838</v>
      </c>
      <c r="AE249">
        <v>827</v>
      </c>
      <c r="AN249" s="78"/>
      <c r="AO249" s="78"/>
    </row>
    <row r="250" spans="1:41" x14ac:dyDescent="0.3">
      <c r="A250" t="s">
        <v>6</v>
      </c>
      <c r="B250" s="13">
        <v>3</v>
      </c>
      <c r="C250" s="5">
        <v>1</v>
      </c>
      <c r="D250" s="1">
        <v>25</v>
      </c>
      <c r="E250" s="1">
        <v>73</v>
      </c>
      <c r="F250" s="27">
        <v>2332</v>
      </c>
      <c r="G250" s="6">
        <v>141</v>
      </c>
      <c r="H250" s="1">
        <f>SUM(C250:G250)</f>
        <v>2572</v>
      </c>
      <c r="I250" s="10">
        <f>F250/H250</f>
        <v>0.90668740279937787</v>
      </c>
      <c r="J250" s="11">
        <f>1-I250</f>
        <v>9.3312597200622127E-2</v>
      </c>
      <c r="K250">
        <f>H250-F252</f>
        <v>43</v>
      </c>
      <c r="N250" s="10">
        <f>2*(F253*I250)/(F253+I250)</f>
        <v>0.91433052342677901</v>
      </c>
      <c r="O250" s="1"/>
      <c r="P250" s="1"/>
      <c r="T250" s="57">
        <f>T214</f>
        <v>2641.8748635474026</v>
      </c>
      <c r="U250" s="57">
        <f>U214</f>
        <v>11364.672526781558</v>
      </c>
      <c r="V250" s="57">
        <f>V214</f>
        <v>108954.94523880265</v>
      </c>
      <c r="W250" s="57">
        <f>W214</f>
        <v>46928.191308995272</v>
      </c>
      <c r="X250" s="57">
        <f>X214</f>
        <v>19909.236061873118</v>
      </c>
      <c r="AB250">
        <v>29</v>
      </c>
      <c r="AC250">
        <v>872</v>
      </c>
      <c r="AD250">
        <v>867</v>
      </c>
      <c r="AE250">
        <v>856</v>
      </c>
    </row>
    <row r="251" spans="1:41" x14ac:dyDescent="0.3">
      <c r="A251" t="s">
        <v>7</v>
      </c>
      <c r="B251" s="13">
        <v>4</v>
      </c>
      <c r="C251" s="7">
        <v>1</v>
      </c>
      <c r="D251" s="8">
        <v>0</v>
      </c>
      <c r="E251" s="8">
        <v>13</v>
      </c>
      <c r="F251" s="8">
        <v>99</v>
      </c>
      <c r="G251" s="28">
        <v>847</v>
      </c>
      <c r="H251" s="1">
        <f>SUM(C251:G251)</f>
        <v>960</v>
      </c>
      <c r="I251" s="10">
        <f>G251/H251</f>
        <v>0.8822916666666667</v>
      </c>
      <c r="J251" s="11">
        <f>1-I251</f>
        <v>0.1177083333333333</v>
      </c>
      <c r="K251">
        <f>H251-G252</f>
        <v>-65</v>
      </c>
      <c r="N251" s="10">
        <f>2*(G253*I251)/(G253+I251)</f>
        <v>0.85340050377833754</v>
      </c>
      <c r="O251" s="1"/>
      <c r="P251" s="1"/>
      <c r="AN251" s="78"/>
      <c r="AO251" s="78"/>
    </row>
    <row r="252" spans="1:41" ht="15.6" x14ac:dyDescent="0.35">
      <c r="B252" s="1" t="s">
        <v>19</v>
      </c>
      <c r="C252" s="1">
        <f>SUM(C247:C251)</f>
        <v>260</v>
      </c>
      <c r="D252" s="1">
        <f>SUM(D247:D251)</f>
        <v>500</v>
      </c>
      <c r="E252" s="1">
        <f>SUM(E247:E251)</f>
        <v>6985</v>
      </c>
      <c r="F252" s="1">
        <f>SUM(F247:F251)</f>
        <v>2529</v>
      </c>
      <c r="G252" s="1">
        <f>SUM(G247:G251)</f>
        <v>1025</v>
      </c>
      <c r="H252" s="1">
        <f>SUM(H246:H251)</f>
        <v>11299</v>
      </c>
      <c r="I252" s="13" t="s">
        <v>12</v>
      </c>
      <c r="N252" s="16"/>
      <c r="O252" s="1"/>
      <c r="P252" s="1"/>
    </row>
    <row r="253" spans="1:41" x14ac:dyDescent="0.3">
      <c r="A253" s="1" t="s">
        <v>321</v>
      </c>
      <c r="B253" s="1" t="s">
        <v>2</v>
      </c>
      <c r="C253" s="10">
        <f>C247/C252</f>
        <v>0.99230769230769234</v>
      </c>
      <c r="D253" s="10">
        <f>D248/D252</f>
        <v>0.59399999999999997</v>
      </c>
      <c r="E253" s="10">
        <f>E249/E252</f>
        <v>0.98382247673586254</v>
      </c>
      <c r="F253" s="10">
        <f>F250/F252</f>
        <v>0.92210359826018184</v>
      </c>
      <c r="G253" s="10">
        <f>G251/G252</f>
        <v>0.8263414634146341</v>
      </c>
      <c r="H253" s="10"/>
      <c r="I253" s="14">
        <f>(C247+D248+E249+F250+G251)/H252</f>
        <v>0.93866713868483942</v>
      </c>
      <c r="AN253" s="78"/>
      <c r="AO253" s="78"/>
    </row>
    <row r="254" spans="1:41" x14ac:dyDescent="0.3">
      <c r="B254" s="1" t="s">
        <v>14</v>
      </c>
      <c r="C254" s="11">
        <f>1-C253</f>
        <v>7.692307692307665E-3</v>
      </c>
      <c r="D254" s="11">
        <f>1-D253</f>
        <v>0.40600000000000003</v>
      </c>
      <c r="E254" s="11">
        <f>1-E253</f>
        <v>1.6177523264137461E-2</v>
      </c>
      <c r="F254" s="11">
        <f>1-F253</f>
        <v>7.7896401739818155E-2</v>
      </c>
      <c r="G254" s="11">
        <f>1-G253</f>
        <v>0.1736585365853659</v>
      </c>
    </row>
    <row r="255" spans="1:41" x14ac:dyDescent="0.3">
      <c r="C255" s="2"/>
      <c r="AN255" s="78"/>
      <c r="AO255" s="78"/>
    </row>
    <row r="256" spans="1:41" ht="15.6" x14ac:dyDescent="0.35">
      <c r="A256" t="s">
        <v>322</v>
      </c>
      <c r="B256" s="15" t="s">
        <v>23</v>
      </c>
      <c r="N256" s="12" t="s">
        <v>17</v>
      </c>
      <c r="O256" s="1" t="s">
        <v>27</v>
      </c>
      <c r="P256" s="1" t="s">
        <v>33</v>
      </c>
    </row>
    <row r="257" spans="1:41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N257" s="78"/>
      <c r="AO257" s="78"/>
    </row>
    <row r="258" spans="1:41" x14ac:dyDescent="0.3">
      <c r="A258" t="s">
        <v>3</v>
      </c>
      <c r="B258" s="13">
        <v>0</v>
      </c>
      <c r="C258" s="29">
        <f>(C247/$L258)*$O258</f>
        <v>1.3980403001077568</v>
      </c>
      <c r="D258" s="31">
        <f>(D247/$L258)*$O258</f>
        <v>0</v>
      </c>
      <c r="E258" s="31">
        <f>(E247/$L258)*$O258</f>
        <v>0</v>
      </c>
      <c r="F258" s="31">
        <f>(F247/$L258)*$O258</f>
        <v>5.4187608531308402E-3</v>
      </c>
      <c r="G258" s="32">
        <f>(G247/$L258)*$O258</f>
        <v>0</v>
      </c>
      <c r="H258" s="17">
        <f>SUM(C258:G258)</f>
        <v>1.4034590609608877</v>
      </c>
      <c r="I258" s="17">
        <f>C258/H258*100</f>
        <v>99.613899613899619</v>
      </c>
      <c r="J258" s="17">
        <f>SQRT(I258*(100-I258)/(L258-1))</f>
        <v>0.3861003861003835</v>
      </c>
      <c r="K258" s="18">
        <f>100-I258</f>
        <v>0.38610038610038089</v>
      </c>
      <c r="L258" s="1">
        <f>H247</f>
        <v>259</v>
      </c>
      <c r="M258">
        <v>0</v>
      </c>
      <c r="N258" s="1">
        <v>2663.75</v>
      </c>
      <c r="O258" s="17">
        <f>N258/N263*100</f>
        <v>1.4034590609608877</v>
      </c>
      <c r="P258" s="52">
        <f>((O258*O258*(I258/100)*(K258/100))/(L258-1))</f>
        <v>2.9362969183422876E-5</v>
      </c>
    </row>
    <row r="259" spans="1:41" x14ac:dyDescent="0.3">
      <c r="A259" t="s">
        <v>4</v>
      </c>
      <c r="B259" s="13">
        <v>1</v>
      </c>
      <c r="C259" s="33">
        <f t="shared" ref="C259:G262" si="38">(C248/$L259)*$O259</f>
        <v>0</v>
      </c>
      <c r="D259" s="34">
        <f t="shared" si="38"/>
        <v>3.6337751695817513</v>
      </c>
      <c r="E259" s="19">
        <f t="shared" si="38"/>
        <v>0.33034319723470462</v>
      </c>
      <c r="F259" s="18">
        <f t="shared" si="38"/>
        <v>0</v>
      </c>
      <c r="G259" s="20">
        <f t="shared" si="38"/>
        <v>0.1835239984637248</v>
      </c>
      <c r="H259" s="17">
        <f>SUM(C259:G259)</f>
        <v>4.1476423652801806</v>
      </c>
      <c r="I259" s="17">
        <f>D259/H259*100</f>
        <v>87.610619469026545</v>
      </c>
      <c r="J259" s="17">
        <f>SQRT(I259*(100-I259)/(L259-1))</f>
        <v>1.7920281254034289</v>
      </c>
      <c r="K259" s="18">
        <f>100-I259</f>
        <v>12.389380530973455</v>
      </c>
      <c r="L259" s="1">
        <f>H248</f>
        <v>339</v>
      </c>
      <c r="M259">
        <v>1</v>
      </c>
      <c r="N259" s="1">
        <v>7872.18</v>
      </c>
      <c r="O259" s="17">
        <f>N259/N263*100</f>
        <v>4.1476423652801806</v>
      </c>
      <c r="P259" s="52">
        <f>((O259*O259*(I259/100)*(K259/100))/(L259-1))</f>
        <v>5.5244906987915966E-3</v>
      </c>
      <c r="AN259" s="78"/>
      <c r="AO259" s="78"/>
    </row>
    <row r="260" spans="1:41" x14ac:dyDescent="0.3">
      <c r="A260" t="s">
        <v>5</v>
      </c>
      <c r="B260" s="13">
        <v>2</v>
      </c>
      <c r="C260" s="33">
        <f t="shared" si="38"/>
        <v>0</v>
      </c>
      <c r="D260" s="19">
        <f t="shared" si="38"/>
        <v>1.4791263271921251</v>
      </c>
      <c r="E260" s="34">
        <f t="shared" si="38"/>
        <v>57.10424786777687</v>
      </c>
      <c r="F260" s="19">
        <f t="shared" si="38"/>
        <v>0.80604075133503439</v>
      </c>
      <c r="G260" s="20">
        <f t="shared" si="38"/>
        <v>0.18281336628217276</v>
      </c>
      <c r="H260" s="17">
        <f>SUM(C260:G260)</f>
        <v>59.572228312586205</v>
      </c>
      <c r="I260" s="17">
        <f>E260/H260*100</f>
        <v>95.857162784209791</v>
      </c>
      <c r="J260" s="17">
        <f>SQRT(I260*(100-I260)/(L260-1))</f>
        <v>0.23537602342356445</v>
      </c>
      <c r="K260" s="18">
        <f>100-I260</f>
        <v>4.1428372157902089</v>
      </c>
      <c r="L260" s="1">
        <f>H249</f>
        <v>7169</v>
      </c>
      <c r="M260">
        <v>2</v>
      </c>
      <c r="N260" s="1">
        <v>113067.44</v>
      </c>
      <c r="O260" s="17">
        <f>N260/N263*100</f>
        <v>59.572228312586205</v>
      </c>
      <c r="P260" s="52">
        <f>((O260*O260*(I260/100)*(K260/100))/(L260-1))</f>
        <v>1.9661295626844079E-2</v>
      </c>
    </row>
    <row r="261" spans="1:41" x14ac:dyDescent="0.3">
      <c r="A261" t="s">
        <v>6</v>
      </c>
      <c r="B261" s="13">
        <v>3</v>
      </c>
      <c r="C261" s="33">
        <f t="shared" si="38"/>
        <v>9.7112296016719831E-3</v>
      </c>
      <c r="D261" s="19">
        <f t="shared" si="38"/>
        <v>0.24278074004179956</v>
      </c>
      <c r="E261" s="19">
        <f t="shared" si="38"/>
        <v>0.70891976092205478</v>
      </c>
      <c r="F261" s="34">
        <f t="shared" si="38"/>
        <v>22.646587431099064</v>
      </c>
      <c r="G261" s="20">
        <f t="shared" si="38"/>
        <v>1.3692833738357495</v>
      </c>
      <c r="H261" s="17">
        <f>SUM(C261:G261)</f>
        <v>24.97728253550034</v>
      </c>
      <c r="I261" s="17">
        <f>F261/H261*100</f>
        <v>90.668740279937794</v>
      </c>
      <c r="J261" s="17">
        <f>SQRT(I261*(100-I261)/(L261-1))</f>
        <v>0.57365118008003868</v>
      </c>
      <c r="K261" s="18">
        <f>100-I261</f>
        <v>9.3312597200622065</v>
      </c>
      <c r="L261" s="1">
        <f>H250</f>
        <v>2572</v>
      </c>
      <c r="M261">
        <v>3</v>
      </c>
      <c r="N261" s="1">
        <v>47406.61</v>
      </c>
      <c r="O261" s="17">
        <f>N261/N263*100</f>
        <v>24.97728253550034</v>
      </c>
      <c r="P261" s="52">
        <f>((O261*O261*(I261/100)*(K261/100))/(L261-1))</f>
        <v>2.0529867933511491E-2</v>
      </c>
      <c r="AN261" s="78"/>
      <c r="AO261" s="78"/>
    </row>
    <row r="262" spans="1:41" x14ac:dyDescent="0.3">
      <c r="A262" t="s">
        <v>7</v>
      </c>
      <c r="B262" s="13">
        <v>4</v>
      </c>
      <c r="C262" s="35">
        <f t="shared" si="38"/>
        <v>1.031186221424208E-2</v>
      </c>
      <c r="D262" s="36">
        <f t="shared" si="38"/>
        <v>0</v>
      </c>
      <c r="E262" s="21">
        <f t="shared" si="38"/>
        <v>0.13405420878514707</v>
      </c>
      <c r="F262" s="21">
        <f t="shared" si="38"/>
        <v>1.0208743592099661</v>
      </c>
      <c r="G262" s="37">
        <f t="shared" si="38"/>
        <v>8.7341472954630426</v>
      </c>
      <c r="H262" s="17">
        <f>SUM(C262:G262)</f>
        <v>9.8993877256723977</v>
      </c>
      <c r="I262" s="17">
        <f>G262/H262*100</f>
        <v>88.229166666666671</v>
      </c>
      <c r="J262" s="17">
        <f>SQRT(I262*(100-I262)/(L262-1))</f>
        <v>1.0406397005761634</v>
      </c>
      <c r="K262" s="18">
        <f>100-I262</f>
        <v>11.770833333333329</v>
      </c>
      <c r="L262" s="1">
        <f>H251</f>
        <v>960</v>
      </c>
      <c r="M262">
        <v>4</v>
      </c>
      <c r="N262" s="1">
        <v>18788.93</v>
      </c>
      <c r="O262" s="17">
        <f>N262/N263*100</f>
        <v>9.8993877256723977</v>
      </c>
      <c r="P262" s="52">
        <f>((O262*O262*(I262/100)*(K262/100))/(L262-1))</f>
        <v>1.0612493797786473E-2</v>
      </c>
    </row>
    <row r="263" spans="1:41" x14ac:dyDescent="0.3">
      <c r="B263" t="s">
        <v>28</v>
      </c>
      <c r="C263" s="17">
        <f>SUM(C258:C262)</f>
        <v>1.4180633919236709</v>
      </c>
      <c r="D263" s="17">
        <f>SUM(D258:D262)</f>
        <v>5.3556822368156753</v>
      </c>
      <c r="E263" s="17">
        <f>SUM(E258:E262)</f>
        <v>58.277565034718776</v>
      </c>
      <c r="F263" s="17">
        <f>SUM(F258:F262)</f>
        <v>24.478921302497195</v>
      </c>
      <c r="G263" s="17">
        <f>SUM(G258:G262)</f>
        <v>10.469768034044689</v>
      </c>
      <c r="H263" s="1">
        <f>SUM(H257:H262)</f>
        <v>100</v>
      </c>
      <c r="I263" s="13" t="s">
        <v>24</v>
      </c>
      <c r="J263" s="12" t="s">
        <v>29</v>
      </c>
      <c r="N263" s="1">
        <f>SUM(N258:N262)</f>
        <v>189798.90999999997</v>
      </c>
      <c r="O263" s="17">
        <f>SUM(O258:O262)</f>
        <v>100</v>
      </c>
      <c r="AM263" s="78"/>
      <c r="AN263" s="78"/>
      <c r="AO263" s="78"/>
    </row>
    <row r="264" spans="1:41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1.5157329879101723E-2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0.14081510378878112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0.17728814115340094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0.19131119005727412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0.1637998657488817</v>
      </c>
      <c r="H264" s="1"/>
      <c r="I264" s="56">
        <f>(C258+D259+E260+F261+G262)/H263</f>
        <v>0.93516798064028495</v>
      </c>
      <c r="J264" s="53">
        <f>SQRT(SUM(P258:P262))/100</f>
        <v>2.3739736945913507E-3</v>
      </c>
      <c r="M264" s="1"/>
      <c r="N264" s="9"/>
    </row>
    <row r="265" spans="1:41" x14ac:dyDescent="0.3">
      <c r="B265" s="1" t="s">
        <v>30</v>
      </c>
      <c r="C265" s="17">
        <f>C258/C263*100</f>
        <v>98.587997410415355</v>
      </c>
      <c r="D265" s="17">
        <f>D259/D263*100</f>
        <v>67.848968794352572</v>
      </c>
      <c r="E265" s="17">
        <f>E260/E263*100</f>
        <v>97.986674346735484</v>
      </c>
      <c r="F265" s="17">
        <f>F261/F263*100</f>
        <v>92.514646177602572</v>
      </c>
      <c r="G265" s="17">
        <f>G262/G263*100</f>
        <v>83.422548303478123</v>
      </c>
      <c r="H265" s="1"/>
      <c r="AM265" s="78"/>
      <c r="AN265" s="78"/>
      <c r="AO265" s="78"/>
    </row>
    <row r="266" spans="1:41" x14ac:dyDescent="0.3">
      <c r="B266" s="16" t="s">
        <v>39</v>
      </c>
      <c r="C266" s="18">
        <f>SQRT((C269+C270)/(C263*C263))</f>
        <v>1.1229067430088955</v>
      </c>
      <c r="D266" s="18">
        <f>SQRT((D269+D270)/(D263*D263))</f>
        <v>4.7125288726592682</v>
      </c>
      <c r="E266" s="18">
        <f>SQRT((E269+E270)/(E263*E263))</f>
        <v>0.18886620295511336</v>
      </c>
      <c r="F266" s="18">
        <f>SQRT((F269+F270)/(F263*F263))</f>
        <v>0.64944172732298344</v>
      </c>
      <c r="G266" s="18">
        <f>SQRT((G269+G270)/(G263*G263))</f>
        <v>1.9213717033836868</v>
      </c>
      <c r="H266" s="1"/>
    </row>
    <row r="267" spans="1:41" x14ac:dyDescent="0.3">
      <c r="B267" s="1" t="s">
        <v>37</v>
      </c>
      <c r="C267" s="18">
        <f>100-C265</f>
        <v>1.4120025895846453</v>
      </c>
      <c r="D267" s="18">
        <f>100-D265</f>
        <v>32.151031205647428</v>
      </c>
      <c r="E267" s="18">
        <f>100-E265</f>
        <v>2.0133256532645163</v>
      </c>
      <c r="F267" s="18">
        <f>100-F265</f>
        <v>7.4853538223974283</v>
      </c>
      <c r="G267" s="18">
        <f>100-G265</f>
        <v>16.577451696521877</v>
      </c>
      <c r="AM267" s="78"/>
      <c r="AN267" s="78"/>
      <c r="AO267" s="78"/>
    </row>
    <row r="268" spans="1:41" ht="15.6" x14ac:dyDescent="0.35">
      <c r="B268" s="1" t="s">
        <v>25</v>
      </c>
      <c r="C268" s="1">
        <f>C252</f>
        <v>260</v>
      </c>
      <c r="D268" s="1">
        <f>D252</f>
        <v>500</v>
      </c>
      <c r="E268" s="1">
        <f>E252</f>
        <v>6985</v>
      </c>
      <c r="F268" s="1">
        <f>F252</f>
        <v>2529</v>
      </c>
      <c r="G268" s="1">
        <f>G252</f>
        <v>1025</v>
      </c>
    </row>
    <row r="269" spans="1:41" x14ac:dyDescent="0.3">
      <c r="B269" s="1" t="s">
        <v>34</v>
      </c>
      <c r="C269" s="18">
        <f>(O258*O258*(100-C265)*(100-C265)*(I258)*(100-I258))/(L258-1)</f>
        <v>0.58542458362844219</v>
      </c>
      <c r="D269" s="18">
        <f>(O259*O259*(100-D265)*(100-D265)*(I259)*(100-I259))/((L259-1)*100)</f>
        <v>571.06042029566777</v>
      </c>
      <c r="E269" s="18">
        <f>(O260*O260*(100-E265)*(100-E265)*(I260)*(100-I260))/((L260-1)*100)</f>
        <v>7.9696672256329251</v>
      </c>
      <c r="F269" s="18">
        <f>(O261*O261*(100-F265)*(100-F265)*(I261)*(100-I261))/((L261-1)*100)</f>
        <v>115.02992137539606</v>
      </c>
      <c r="G269" s="18">
        <f>(O262*O262*(100-G265)*(100-G265)*(I262)*(100-I262))/((L262-1)*100)</f>
        <v>291.64396347227387</v>
      </c>
      <c r="AM269" s="78"/>
      <c r="AN269" s="78"/>
      <c r="AO269" s="78"/>
    </row>
    <row r="270" spans="1:41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1.9501633172012107</v>
      </c>
      <c r="D270" s="18">
        <f>D265*D265*(SUM((H258*D258*(1-D247/H247))/(H247-1),(H260*D260*(1-D249/H249))/(H249-1), (H261*D261*(1-D250/H250))/(H250-1),(H262*D262*(1-D251/H251))/(H251-1)))</f>
        <v>65.936967259694185</v>
      </c>
      <c r="E270" s="18">
        <f>E265*E265*(SUM((H258*E258*(1-E247/H247))/(H247-1),(H259*E259*(1-E248/H248))/(H248-1), (H261*E261*(1-E250/H250))/(H250-1),(H262*E262*(1-E251/H251))/(H251-1)))</f>
        <v>113.17695052497596</v>
      </c>
      <c r="F270" s="18">
        <f>F265*F265*(SUM((H258*F258*(1-F247/H247))/(H247-1),(H259*F259*(1-F248/H248))/(H248-1), (H260*F260*(1-F249/H249))/(H249-1),(H262*F262*(1-F251/H251))/(H251-1)))</f>
        <v>137.70481151917636</v>
      </c>
      <c r="G270" s="18">
        <f>G265*G265*(SUM((H258*G258*(1-G247/H247))/(H247-1),(H259*G259*(1-G248/H248))/(H248-1), (H260*G260*(1-G249/H249))/(H249-1),(H261*G261*(1-G250/H250))/(H250-1)))</f>
        <v>113.02220761344137</v>
      </c>
    </row>
    <row r="271" spans="1:41" x14ac:dyDescent="0.3">
      <c r="AM271" s="78"/>
      <c r="AN271" s="78"/>
      <c r="AO271" s="78"/>
    </row>
    <row r="272" spans="1:41" x14ac:dyDescent="0.3">
      <c r="T272" s="2"/>
    </row>
    <row r="273" spans="1:41" x14ac:dyDescent="0.3">
      <c r="A273" s="361" t="s">
        <v>437</v>
      </c>
      <c r="B273" s="361"/>
      <c r="C273" s="361"/>
      <c r="D273" s="361"/>
      <c r="E273" s="361"/>
      <c r="F273" s="361"/>
      <c r="G273" s="361"/>
      <c r="H273" s="361"/>
      <c r="I273" s="361"/>
      <c r="J273" s="361"/>
      <c r="K273" s="361"/>
      <c r="L273" s="361" t="s">
        <v>87</v>
      </c>
      <c r="M273" s="361"/>
      <c r="N273" s="361"/>
      <c r="O273" s="361"/>
      <c r="P273" s="361"/>
      <c r="AM273" s="78"/>
      <c r="AN273" s="78"/>
      <c r="AO273" s="78"/>
    </row>
    <row r="274" spans="1:41" ht="15" thickBot="1" x14ac:dyDescent="0.35">
      <c r="A274" t="s">
        <v>320</v>
      </c>
      <c r="B274" t="s">
        <v>21</v>
      </c>
      <c r="I274" s="1" t="s">
        <v>58</v>
      </c>
      <c r="O274" s="143"/>
      <c r="P274" s="143"/>
      <c r="R274" s="59" t="s">
        <v>78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77</v>
      </c>
      <c r="AA274" s="12" t="s">
        <v>29</v>
      </c>
    </row>
    <row r="275" spans="1:41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56</v>
      </c>
      <c r="O275" s="13"/>
      <c r="P275" s="13"/>
      <c r="S275" t="s">
        <v>28</v>
      </c>
      <c r="T275" s="57">
        <f t="shared" ref="T275:X276" si="39">AVERAGE(T16,T26,T36,T46,T56)</f>
        <v>1.4309410210996683</v>
      </c>
      <c r="U275" s="57">
        <f t="shared" si="39"/>
        <v>5.6206308960959834</v>
      </c>
      <c r="V275" s="57">
        <f t="shared" si="39"/>
        <v>58.259992892134882</v>
      </c>
      <c r="W275" s="57">
        <f t="shared" si="39"/>
        <v>24.256150673201848</v>
      </c>
      <c r="X275" s="57">
        <f t="shared" si="39"/>
        <v>10.432284517467632</v>
      </c>
      <c r="Z275" s="14">
        <f>AVERAGE(AE16,AE17,AE18,AE19,AE20)</f>
        <v>0.93419107996274042</v>
      </c>
      <c r="AA275" s="72">
        <f>AVERAGE(AF16,AF17,AF18,AF19,AF20)</f>
        <v>2.3886179522369694E-3</v>
      </c>
      <c r="AM275" s="78"/>
      <c r="AN275" s="78"/>
      <c r="AO275" s="78"/>
    </row>
    <row r="276" spans="1:41" x14ac:dyDescent="0.3">
      <c r="A276" t="s">
        <v>3</v>
      </c>
      <c r="B276" s="13">
        <v>0</v>
      </c>
      <c r="C276" s="26">
        <v>258</v>
      </c>
      <c r="D276" s="3">
        <v>0</v>
      </c>
      <c r="E276" s="3">
        <v>0</v>
      </c>
      <c r="F276" s="3">
        <v>1</v>
      </c>
      <c r="G276" s="4">
        <v>0</v>
      </c>
      <c r="H276" s="1">
        <f>SUM(C276:G276)</f>
        <v>259</v>
      </c>
      <c r="I276" s="10">
        <f>C276/H276</f>
        <v>0.99613899613899615</v>
      </c>
      <c r="J276" s="11">
        <f>1-I276</f>
        <v>3.8610038610038533E-3</v>
      </c>
      <c r="K276">
        <f>H276-C281</f>
        <v>-2</v>
      </c>
      <c r="N276" s="10">
        <f>2*(C282*I276)/(C282+I276)</f>
        <v>0.99230769230769234</v>
      </c>
      <c r="O276" s="1"/>
      <c r="P276" s="1"/>
      <c r="S276" t="s">
        <v>39</v>
      </c>
      <c r="T276" s="57">
        <f t="shared" si="39"/>
        <v>1.5844390646265243E-2</v>
      </c>
      <c r="U276" s="57">
        <f t="shared" si="39"/>
        <v>0.14282502364928007</v>
      </c>
      <c r="V276" s="57">
        <f t="shared" si="39"/>
        <v>0.17822142791839407</v>
      </c>
      <c r="W276" s="57">
        <f t="shared" si="39"/>
        <v>0.19186599413606523</v>
      </c>
      <c r="X276" s="57">
        <f t="shared" si="39"/>
        <v>0.16455650985397197</v>
      </c>
    </row>
    <row r="277" spans="1:41" x14ac:dyDescent="0.3">
      <c r="A277" t="s">
        <v>4</v>
      </c>
      <c r="B277" s="13">
        <v>1</v>
      </c>
      <c r="C277" s="5">
        <v>0</v>
      </c>
      <c r="D277" s="27">
        <v>306</v>
      </c>
      <c r="E277" s="1">
        <v>21</v>
      </c>
      <c r="F277" s="1">
        <v>0</v>
      </c>
      <c r="G277" s="6">
        <v>12</v>
      </c>
      <c r="H277" s="1">
        <f>SUM(C277:G277)</f>
        <v>339</v>
      </c>
      <c r="I277" s="10">
        <f>D277/H277</f>
        <v>0.90265486725663713</v>
      </c>
      <c r="J277" s="11">
        <f>1-I277</f>
        <v>9.7345132743362872E-2</v>
      </c>
      <c r="K277">
        <f>H277-D281</f>
        <v>-189</v>
      </c>
      <c r="N277" s="10">
        <f>2*(D282*I277)/(D282+I277)</f>
        <v>0.70588235294117641</v>
      </c>
      <c r="O277" s="1"/>
      <c r="P277" s="1"/>
      <c r="S277" s="66" t="s">
        <v>65</v>
      </c>
      <c r="T277" s="67">
        <f>1.96*T276</f>
        <v>3.1055005666679875E-2</v>
      </c>
      <c r="U277" s="67">
        <f>1.96*U276</f>
        <v>0.27993704635258893</v>
      </c>
      <c r="V277" s="67">
        <f>1.96*V276</f>
        <v>0.34931399872005237</v>
      </c>
      <c r="W277" s="67">
        <f>1.96*W276</f>
        <v>0.37605734850668782</v>
      </c>
      <c r="X277" s="67">
        <f>1.96*X276</f>
        <v>0.32253075931378505</v>
      </c>
      <c r="AM277" s="78"/>
      <c r="AN277" s="78"/>
      <c r="AO277" s="78"/>
    </row>
    <row r="278" spans="1:41" x14ac:dyDescent="0.3">
      <c r="A278" t="s">
        <v>5</v>
      </c>
      <c r="B278" s="13">
        <v>2</v>
      </c>
      <c r="C278" s="5">
        <v>0</v>
      </c>
      <c r="D278" s="1">
        <v>194</v>
      </c>
      <c r="E278" s="27">
        <v>6859</v>
      </c>
      <c r="F278" s="1">
        <v>98</v>
      </c>
      <c r="G278" s="6">
        <v>18</v>
      </c>
      <c r="H278" s="1">
        <f>SUM(C278:G278)</f>
        <v>7169</v>
      </c>
      <c r="I278" s="10">
        <f>E278/H278</f>
        <v>0.95675826475101133</v>
      </c>
      <c r="J278" s="11">
        <f>1-I278</f>
        <v>4.3241735248988666E-2</v>
      </c>
      <c r="K278">
        <f>H278-E281</f>
        <v>189</v>
      </c>
      <c r="N278" s="10">
        <f>2*(E282*I278)/(E282+I278)</f>
        <v>0.96953848328503789</v>
      </c>
      <c r="O278" s="1"/>
      <c r="P278" s="1"/>
      <c r="S278" t="s">
        <v>30</v>
      </c>
      <c r="T278" s="57">
        <f t="shared" ref="T278:X279" si="40">AVERAGE(T18,T28,T38,T48,T58)</f>
        <v>98.477279896773126</v>
      </c>
      <c r="U278" s="57">
        <f t="shared" si="40"/>
        <v>67.771522065262531</v>
      </c>
      <c r="V278" s="57">
        <f t="shared" si="40"/>
        <v>97.985380550570568</v>
      </c>
      <c r="W278" s="57">
        <f t="shared" si="40"/>
        <v>92.616741073381405</v>
      </c>
      <c r="X278" s="57">
        <f t="shared" si="40"/>
        <v>82.915306008893623</v>
      </c>
    </row>
    <row r="279" spans="1:41" x14ac:dyDescent="0.3">
      <c r="A279" t="s">
        <v>6</v>
      </c>
      <c r="B279" s="13">
        <v>3</v>
      </c>
      <c r="C279" s="5">
        <v>2</v>
      </c>
      <c r="D279" s="1">
        <v>28</v>
      </c>
      <c r="E279" s="1">
        <v>81</v>
      </c>
      <c r="F279" s="27">
        <v>2305</v>
      </c>
      <c r="G279" s="6">
        <v>156</v>
      </c>
      <c r="H279" s="1">
        <f>SUM(C279:G279)</f>
        <v>2572</v>
      </c>
      <c r="I279" s="10">
        <f>F279/H279</f>
        <v>0.89618973561430793</v>
      </c>
      <c r="J279" s="11">
        <f>1-I279</f>
        <v>0.10381026438569207</v>
      </c>
      <c r="K279">
        <f>H279-F281</f>
        <v>72</v>
      </c>
      <c r="N279" s="10">
        <f>2*(F282*I279)/(F282+I279)</f>
        <v>0.90891167192429023</v>
      </c>
      <c r="O279" s="1"/>
      <c r="P279" s="1"/>
      <c r="S279" t="s">
        <v>39</v>
      </c>
      <c r="T279" s="57">
        <f t="shared" si="40"/>
        <v>1.3505850473369885</v>
      </c>
      <c r="U279" s="57">
        <f t="shared" si="40"/>
        <v>4.4702613470147252</v>
      </c>
      <c r="V279" s="57">
        <f t="shared" si="40"/>
        <v>0.18954681721692257</v>
      </c>
      <c r="W279" s="57">
        <f t="shared" si="40"/>
        <v>0.65133447522396959</v>
      </c>
      <c r="X279" s="57">
        <f t="shared" si="40"/>
        <v>1.9666900670071708</v>
      </c>
      <c r="AM279" s="78"/>
      <c r="AN279" s="78"/>
      <c r="AO279" s="78"/>
    </row>
    <row r="280" spans="1:41" x14ac:dyDescent="0.3">
      <c r="A280" t="s">
        <v>7</v>
      </c>
      <c r="B280" s="13">
        <v>4</v>
      </c>
      <c r="C280" s="7">
        <v>1</v>
      </c>
      <c r="D280" s="8">
        <v>0</v>
      </c>
      <c r="E280" s="8">
        <v>19</v>
      </c>
      <c r="F280" s="8">
        <v>96</v>
      </c>
      <c r="G280" s="28">
        <v>844</v>
      </c>
      <c r="H280" s="1">
        <f>SUM(C280:G280)</f>
        <v>960</v>
      </c>
      <c r="I280" s="10">
        <f>G280/H280</f>
        <v>0.87916666666666665</v>
      </c>
      <c r="J280" s="11">
        <f>1-I280</f>
        <v>0.12083333333333335</v>
      </c>
      <c r="K280">
        <f>H280-G281</f>
        <v>-70</v>
      </c>
      <c r="N280" s="10">
        <f>2*(G282*I280)/(G282+I280)</f>
        <v>0.84824120603015085</v>
      </c>
      <c r="O280" s="1"/>
      <c r="P280" s="1"/>
      <c r="S280" s="66" t="s">
        <v>65</v>
      </c>
      <c r="T280" s="67">
        <f>1.96*T279</f>
        <v>2.6471466927804972</v>
      </c>
      <c r="U280" s="67">
        <f>1.96*U279</f>
        <v>8.7617122401488619</v>
      </c>
      <c r="V280" s="67">
        <f>1.96*V279</f>
        <v>0.37151176174516826</v>
      </c>
      <c r="W280" s="67">
        <f>1.96*W279</f>
        <v>1.2766155714389804</v>
      </c>
      <c r="X280" s="67">
        <f>1.96*X279</f>
        <v>3.8547125313340547</v>
      </c>
    </row>
    <row r="281" spans="1:41" ht="15.6" x14ac:dyDescent="0.35">
      <c r="B281" s="1" t="s">
        <v>19</v>
      </c>
      <c r="C281" s="1">
        <f>SUM(C276:C280)</f>
        <v>261</v>
      </c>
      <c r="D281" s="1">
        <f>SUM(D276:D280)</f>
        <v>528</v>
      </c>
      <c r="E281" s="1">
        <f>SUM(E276:E280)</f>
        <v>6980</v>
      </c>
      <c r="F281" s="1">
        <f>SUM(F276:F280)</f>
        <v>2500</v>
      </c>
      <c r="G281" s="1">
        <f>SUM(G276:G280)</f>
        <v>1030</v>
      </c>
      <c r="H281" s="1">
        <f>SUM(H275:H280)</f>
        <v>11299</v>
      </c>
      <c r="I281" s="13" t="s">
        <v>12</v>
      </c>
      <c r="N281" s="16"/>
      <c r="O281" s="1"/>
      <c r="P281" s="1"/>
      <c r="S281" t="s">
        <v>31</v>
      </c>
      <c r="T281" s="57">
        <f t="shared" ref="T281:X282" si="41">AVERAGE(T20,T30,T40,T50,T60)</f>
        <v>99.227799227799224</v>
      </c>
      <c r="U281" s="57">
        <f t="shared" si="41"/>
        <v>88.790560471976406</v>
      </c>
      <c r="V281" s="57">
        <f t="shared" si="41"/>
        <v>95.80415678616265</v>
      </c>
      <c r="W281" s="57">
        <f t="shared" si="41"/>
        <v>90.256609642301697</v>
      </c>
      <c r="X281" s="57">
        <f t="shared" si="41"/>
        <v>88.125000000000014</v>
      </c>
      <c r="AM281" s="78"/>
      <c r="AN281" s="78"/>
      <c r="AO281" s="78"/>
    </row>
    <row r="282" spans="1:41" x14ac:dyDescent="0.3">
      <c r="A282" s="1" t="s">
        <v>321</v>
      </c>
      <c r="B282" s="1" t="s">
        <v>2</v>
      </c>
      <c r="C282" s="10">
        <f>C276/C281</f>
        <v>0.9885057471264368</v>
      </c>
      <c r="D282" s="10">
        <f>D277/D281</f>
        <v>0.57954545454545459</v>
      </c>
      <c r="E282" s="10">
        <f>E278/E281</f>
        <v>0.98266475644699136</v>
      </c>
      <c r="F282" s="10">
        <f>F279/F281</f>
        <v>0.92200000000000004</v>
      </c>
      <c r="G282" s="10">
        <f>G280/G281</f>
        <v>0.81941747572815538</v>
      </c>
      <c r="H282" s="10"/>
      <c r="I282" s="14">
        <f>(C276+D277+E278+F279+G280)/H281</f>
        <v>0.93565802283387911</v>
      </c>
      <c r="S282" t="s">
        <v>39</v>
      </c>
      <c r="T282" s="57">
        <f t="shared" si="41"/>
        <v>0.39775773153609989</v>
      </c>
      <c r="U282" s="57">
        <f t="shared" si="41"/>
        <v>1.7144470052042233</v>
      </c>
      <c r="V282" s="57">
        <f t="shared" si="41"/>
        <v>0.23676600502783626</v>
      </c>
      <c r="W282" s="57">
        <f t="shared" si="41"/>
        <v>0.58475314600493611</v>
      </c>
      <c r="X282" s="57">
        <f t="shared" si="41"/>
        <v>1.0442559688266182</v>
      </c>
    </row>
    <row r="283" spans="1:41" x14ac:dyDescent="0.3">
      <c r="B283" s="1" t="s">
        <v>14</v>
      </c>
      <c r="C283" s="11">
        <f>1-C282</f>
        <v>1.1494252873563204E-2</v>
      </c>
      <c r="D283" s="11">
        <f>1-D282</f>
        <v>0.42045454545454541</v>
      </c>
      <c r="E283" s="11">
        <f>1-E282</f>
        <v>1.7335243553008639E-2</v>
      </c>
      <c r="F283" s="11">
        <f>1-F282</f>
        <v>7.7999999999999958E-2</v>
      </c>
      <c r="G283" s="11">
        <f>1-G282</f>
        <v>0.18058252427184462</v>
      </c>
      <c r="S283" s="66" t="s">
        <v>65</v>
      </c>
      <c r="T283" s="67">
        <f>1.96*T282</f>
        <v>0.77960515381075579</v>
      </c>
      <c r="U283" s="67">
        <f>1.96*U282</f>
        <v>3.3603161302002778</v>
      </c>
      <c r="V283" s="67">
        <f>1.96*V282</f>
        <v>0.46406136985455909</v>
      </c>
      <c r="W283" s="67">
        <f>1.96*W282</f>
        <v>1.1461161661696748</v>
      </c>
      <c r="X283" s="67">
        <f>1.96*X282</f>
        <v>2.0467416989001714</v>
      </c>
      <c r="AM283" s="78"/>
      <c r="AN283" s="78"/>
      <c r="AO283" s="78"/>
    </row>
    <row r="284" spans="1:41" x14ac:dyDescent="0.3">
      <c r="C284" s="2"/>
      <c r="S284" t="s">
        <v>56</v>
      </c>
      <c r="T284" s="57">
        <f>AVERAGE(T22,T32,T42,T52,T62)</f>
        <v>99.188344845999865</v>
      </c>
      <c r="U284" s="57">
        <f>AVERAGE(U22,U32,U42,U52,U62)</f>
        <v>70.51587470899895</v>
      </c>
      <c r="V284" s="57">
        <f>AVERAGE(V22,V32,V42,V52,V62)</f>
        <v>97.076993018047403</v>
      </c>
      <c r="W284" s="57">
        <f>AVERAGE(W22,W32,W42,W52,W62)</f>
        <v>91.271361620040608</v>
      </c>
      <c r="X284" s="57">
        <f>AVERAGE(X22,X32,X42,X52,X62)</f>
        <v>85.0588686627068</v>
      </c>
    </row>
    <row r="285" spans="1:41" ht="15.6" x14ac:dyDescent="0.35">
      <c r="A285" t="s">
        <v>322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0.67629779034685189</v>
      </c>
      <c r="U285" s="57">
        <f>_xlfn.STDEV.S(U22,U32,U42,U52,U62)</f>
        <v>0.56287324474261036</v>
      </c>
      <c r="V285" s="57">
        <f>_xlfn.STDEV.S(V22,V32,V42,V52,V62)</f>
        <v>5.7971798138504851E-2</v>
      </c>
      <c r="W285" s="57">
        <f>_xlfn.STDEV.S(W22,W32,W42,W52,W62)</f>
        <v>0.10191365099082271</v>
      </c>
      <c r="X285" s="57">
        <f>_xlfn.STDEV.S(X22,X32,X42,X52,X62)</f>
        <v>0.35651802428903245</v>
      </c>
      <c r="AM285" s="78"/>
      <c r="AN285" s="78"/>
      <c r="AO285" s="78"/>
    </row>
    <row r="286" spans="1:41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65</v>
      </c>
      <c r="T286" s="67">
        <f>1.96*T285</f>
        <v>1.3255436690798297</v>
      </c>
      <c r="U286" s="67">
        <f>1.96*U285</f>
        <v>1.1032315596955162</v>
      </c>
      <c r="V286" s="67">
        <f>1.96*V285</f>
        <v>0.1136247243514695</v>
      </c>
      <c r="W286" s="67">
        <f>1.96*W285</f>
        <v>0.1997507559420125</v>
      </c>
      <c r="X286" s="67">
        <f>1.96*X285</f>
        <v>0.69877532760650363</v>
      </c>
    </row>
    <row r="287" spans="1:41" x14ac:dyDescent="0.3">
      <c r="A287" t="s">
        <v>3</v>
      </c>
      <c r="B287" s="13">
        <v>0</v>
      </c>
      <c r="C287" s="29">
        <f>(C276/$L287)*$O287</f>
        <v>1.4105208265891891</v>
      </c>
      <c r="D287" s="31">
        <f>(D276/$L287)*$O287</f>
        <v>0</v>
      </c>
      <c r="E287" s="31">
        <f>(E276/$L287)*$O287</f>
        <v>0</v>
      </c>
      <c r="F287" s="31">
        <f>(F276/$L287)*$O287</f>
        <v>5.4671349867798031E-3</v>
      </c>
      <c r="G287" s="32">
        <f>(G276/$L287)*$O287</f>
        <v>0</v>
      </c>
      <c r="H287" s="17">
        <f>SUM(C287:G287)</f>
        <v>1.415987961575969</v>
      </c>
      <c r="I287" s="17">
        <f>C287/H287*100</f>
        <v>99.613899613899619</v>
      </c>
      <c r="J287" s="17">
        <f>SQRT(I287*(100-I287)/(L287-1))</f>
        <v>0.3861003861003835</v>
      </c>
      <c r="K287" s="18">
        <f>100-I287</f>
        <v>0.38610038610038089</v>
      </c>
      <c r="L287" s="1">
        <f>H276</f>
        <v>259</v>
      </c>
      <c r="M287">
        <v>0</v>
      </c>
      <c r="N287" s="1">
        <v>2687.53</v>
      </c>
      <c r="O287" s="17">
        <f>N287/N292*100</f>
        <v>1.415987961575969</v>
      </c>
      <c r="P287" s="52">
        <f>((O287*O287*(I287/100)*(K287/100))/(L287-1))</f>
        <v>2.9889564963671401E-5</v>
      </c>
      <c r="R287" s="16" t="s">
        <v>75</v>
      </c>
      <c r="S287" t="s">
        <v>9</v>
      </c>
      <c r="T287" s="57">
        <f>AVERAGE(T23,T33,T43,T53,T63)</f>
        <v>2695.0199999999995</v>
      </c>
      <c r="U287" s="57">
        <f>AVERAGE(U23,U33,U43,U53,U63)</f>
        <v>8139.69</v>
      </c>
      <c r="V287" s="57">
        <f>AVERAGE(V23,V33,V43,V53,V63)</f>
        <v>113093.89000000001</v>
      </c>
      <c r="W287" s="57">
        <f>AVERAGE(W23,W33,W43,W53,W63)</f>
        <v>47240.887999999999</v>
      </c>
      <c r="X287" s="57">
        <f>AVERAGE(X23,X33,X43,X53,X63)</f>
        <v>18629.43</v>
      </c>
      <c r="Z287" t="s">
        <v>36</v>
      </c>
      <c r="AA287" s="57">
        <f>AVERAGE(AA23,AA33,AA43,AA53,AA63)</f>
        <v>189798.91800000001</v>
      </c>
      <c r="AM287" s="78"/>
      <c r="AN287" s="78"/>
      <c r="AO287" s="78"/>
    </row>
    <row r="288" spans="1:41" x14ac:dyDescent="0.3">
      <c r="A288" t="s">
        <v>4</v>
      </c>
      <c r="B288" s="13">
        <v>1</v>
      </c>
      <c r="C288" s="33">
        <f t="shared" ref="C288:G291" si="42">(C277/$L288)*$O288</f>
        <v>0</v>
      </c>
      <c r="D288" s="34">
        <f t="shared" si="42"/>
        <v>4.027371007647945</v>
      </c>
      <c r="E288" s="19">
        <f t="shared" si="42"/>
        <v>0.2763882064072119</v>
      </c>
      <c r="F288" s="18">
        <f t="shared" si="42"/>
        <v>0</v>
      </c>
      <c r="G288" s="20">
        <f t="shared" si="42"/>
        <v>0.15793611794697823</v>
      </c>
      <c r="H288" s="17">
        <f>SUM(C288:G288)</f>
        <v>4.4616953320021349</v>
      </c>
      <c r="I288" s="17">
        <f>D288/H288*100</f>
        <v>90.26548672566372</v>
      </c>
      <c r="J288" s="17">
        <f>SQRT(I288*(100-I288)/(L288-1))</f>
        <v>1.6123511616510564</v>
      </c>
      <c r="K288" s="18">
        <f>100-I288</f>
        <v>9.7345132743362797</v>
      </c>
      <c r="L288" s="1">
        <f>H277</f>
        <v>339</v>
      </c>
      <c r="M288">
        <v>1</v>
      </c>
      <c r="N288" s="1">
        <v>8468.25</v>
      </c>
      <c r="O288" s="17">
        <f>N288/N292*100</f>
        <v>4.4616953320021349</v>
      </c>
      <c r="P288" s="52">
        <f>((O288*O288*(I288/100)*(K288/100))/(L288-1))</f>
        <v>5.1751041178116778E-3</v>
      </c>
      <c r="S288" t="s">
        <v>29</v>
      </c>
      <c r="T288" s="57">
        <f>_xlfn.STDEV.S(T23,T33,T43,T53,T63)</f>
        <v>45.165986649247515</v>
      </c>
      <c r="U288" s="57">
        <f>_xlfn.STDEV.S(U23,U33,U43,U53,U63)</f>
        <v>332.90929868359007</v>
      </c>
      <c r="V288" s="57">
        <f>_xlfn.STDEV.S(V23,V33,V43,V53,V63)</f>
        <v>237.96076819509469</v>
      </c>
      <c r="W288" s="57">
        <f>_xlfn.STDEV.S(W23,W33,W43,W53,W63)</f>
        <v>157.07195220662246</v>
      </c>
      <c r="X288" s="57">
        <f>_xlfn.STDEV.S(X23,X33,X43,X53,X63)</f>
        <v>149.16024017813839</v>
      </c>
      <c r="Z288" t="s">
        <v>29</v>
      </c>
      <c r="AA288" s="57">
        <f>_xlfn.STDEV.S(AA23,AA33,AA43,AA53,AA63)</f>
        <v>4.4721359656723957E-3</v>
      </c>
    </row>
    <row r="289" spans="1:41" x14ac:dyDescent="0.3">
      <c r="A289" t="s">
        <v>5</v>
      </c>
      <c r="B289" s="13">
        <v>2</v>
      </c>
      <c r="C289" s="33">
        <f t="shared" si="42"/>
        <v>0</v>
      </c>
      <c r="D289" s="19">
        <f t="shared" si="42"/>
        <v>1.6078037384567694</v>
      </c>
      <c r="E289" s="34">
        <f t="shared" si="42"/>
        <v>56.844978567396815</v>
      </c>
      <c r="F289" s="19">
        <f t="shared" si="42"/>
        <v>0.81218951736475986</v>
      </c>
      <c r="G289" s="20">
        <f t="shared" si="42"/>
        <v>0.14917766645475181</v>
      </c>
      <c r="H289" s="17">
        <f>SUM(C289:G289)</f>
        <v>59.414149489673093</v>
      </c>
      <c r="I289" s="17">
        <f>E289/H289*100</f>
        <v>95.675826475101132</v>
      </c>
      <c r="J289" s="17">
        <f>SQRT(I289*(100-I289)/(L289-1))</f>
        <v>0.24024461928403082</v>
      </c>
      <c r="K289" s="18">
        <f>100-I289</f>
        <v>4.3241735248988675</v>
      </c>
      <c r="L289" s="1">
        <f>H278</f>
        <v>7169</v>
      </c>
      <c r="M289">
        <v>2</v>
      </c>
      <c r="N289" s="1">
        <v>112767.42</v>
      </c>
      <c r="O289" s="17">
        <f>N289/N292*100</f>
        <v>59.414149489673093</v>
      </c>
      <c r="P289" s="52">
        <f>((O289*O289*(I289/100)*(K289/100))/(L289-1))</f>
        <v>2.0374506977228545E-2</v>
      </c>
      <c r="S289" t="s">
        <v>65</v>
      </c>
      <c r="T289" s="57">
        <f>1.96*T288</f>
        <v>88.525333832525121</v>
      </c>
      <c r="U289" s="57">
        <f>1.96*U288</f>
        <v>652.50222541983646</v>
      </c>
      <c r="V289" s="57">
        <f>1.96*V288</f>
        <v>466.4031056623856</v>
      </c>
      <c r="W289" s="57">
        <f>1.96*W288</f>
        <v>307.86102632498</v>
      </c>
      <c r="X289" s="57">
        <f>1.96*X288</f>
        <v>292.35407074915128</v>
      </c>
      <c r="AM289" s="78"/>
      <c r="AN289" s="78"/>
      <c r="AO289" s="78"/>
    </row>
    <row r="290" spans="1:41" x14ac:dyDescent="0.3">
      <c r="A290" t="s">
        <v>6</v>
      </c>
      <c r="B290" s="13">
        <v>3</v>
      </c>
      <c r="C290" s="33">
        <f t="shared" si="42"/>
        <v>1.9558399497010343E-2</v>
      </c>
      <c r="D290" s="19">
        <f t="shared" si="42"/>
        <v>0.27381759295814478</v>
      </c>
      <c r="E290" s="19">
        <f t="shared" si="42"/>
        <v>0.79211517962891886</v>
      </c>
      <c r="F290" s="34">
        <f t="shared" si="42"/>
        <v>22.541055420304421</v>
      </c>
      <c r="G290" s="20">
        <f t="shared" si="42"/>
        <v>1.5255551607668068</v>
      </c>
      <c r="H290" s="17">
        <f>SUM(C290:G290)</f>
        <v>25.1521017531553</v>
      </c>
      <c r="I290" s="17">
        <f>F290/H290*100</f>
        <v>89.618973561430806</v>
      </c>
      <c r="J290" s="17">
        <f>SQRT(I290*(100-I290)/(L290-1))</f>
        <v>0.60154634584493638</v>
      </c>
      <c r="K290" s="18">
        <f>100-I290</f>
        <v>10.381026438569194</v>
      </c>
      <c r="L290" s="1">
        <f>H279</f>
        <v>2572</v>
      </c>
      <c r="M290">
        <v>3</v>
      </c>
      <c r="N290" s="1">
        <v>47738.42</v>
      </c>
      <c r="O290" s="17">
        <f>N290/N292*100</f>
        <v>25.1521017531553</v>
      </c>
      <c r="P290" s="52">
        <f>((O290*O290*(I290/100)*(K290/100))/(L290-1))</f>
        <v>2.2892158729589364E-2</v>
      </c>
      <c r="R290" s="16" t="s">
        <v>74</v>
      </c>
      <c r="S290" t="s">
        <v>9</v>
      </c>
      <c r="T290" s="57">
        <f>AVERAGE(T24,T34,T44,T54,T64)</f>
        <v>2715.9105749267678</v>
      </c>
      <c r="U290" s="57">
        <f>AVERAGE(U24,U34,U44,U54,U64)</f>
        <v>10667.896630524758</v>
      </c>
      <c r="V290" s="57">
        <f>AVERAGE(V24,V34,V44,V54,V64)</f>
        <v>110576.83613269412</v>
      </c>
      <c r="W290" s="57">
        <f>AVERAGE(W24,W34,W44,W54,W64)</f>
        <v>46037.911524665993</v>
      </c>
      <c r="X290" s="57">
        <f>AVERAGE(X24,X34,X44,X54,X64)</f>
        <v>19800.363137188331</v>
      </c>
      <c r="Z290" t="s">
        <v>36</v>
      </c>
      <c r="AA290" s="24">
        <f>SUM(T290:X290)</f>
        <v>189798.91799999998</v>
      </c>
    </row>
    <row r="291" spans="1:41" x14ac:dyDescent="0.3">
      <c r="A291" t="s">
        <v>7</v>
      </c>
      <c r="B291" s="13">
        <v>4</v>
      </c>
      <c r="C291" s="35">
        <f t="shared" si="42"/>
        <v>9.9542348579098952E-3</v>
      </c>
      <c r="D291" s="36">
        <f t="shared" si="42"/>
        <v>0</v>
      </c>
      <c r="E291" s="21">
        <f t="shared" si="42"/>
        <v>0.18913046230028802</v>
      </c>
      <c r="F291" s="21">
        <f t="shared" si="42"/>
        <v>0.95560654635935005</v>
      </c>
      <c r="G291" s="37">
        <f t="shared" si="42"/>
        <v>8.4013742200759509</v>
      </c>
      <c r="H291" s="17">
        <f>SUM(C291:G291)</f>
        <v>9.5560654635934981</v>
      </c>
      <c r="I291" s="17">
        <f>G291/H291*100</f>
        <v>87.916666666666671</v>
      </c>
      <c r="J291" s="17">
        <f>SQRT(I291*(100-I291)/(L291-1))</f>
        <v>1.0524941274466006</v>
      </c>
      <c r="K291" s="18">
        <f>100-I291</f>
        <v>12.083333333333329</v>
      </c>
      <c r="L291" s="1">
        <f>H280</f>
        <v>960</v>
      </c>
      <c r="M291">
        <v>4</v>
      </c>
      <c r="N291" s="1">
        <v>18137.310000000001</v>
      </c>
      <c r="O291" s="17">
        <f>N291/N292*100</f>
        <v>9.5560654635934998</v>
      </c>
      <c r="P291" s="52">
        <f>((O291*O291*(I291/100)*(K291/100))/(L291-1))</f>
        <v>1.0115738524959089E-2</v>
      </c>
      <c r="S291" t="s">
        <v>29</v>
      </c>
      <c r="T291" s="57">
        <f>_xlfn.STDEV.S(T24,T34,T44,T54,T64)</f>
        <v>65.302673756130304</v>
      </c>
      <c r="U291" s="57">
        <f>_xlfn.STDEV.S(U24,U34,U44,U54,U64)</f>
        <v>548.84843265535426</v>
      </c>
      <c r="V291" s="57">
        <f>_xlfn.STDEV.S(V24,V34,V44,V54,V64)</f>
        <v>456.22496343819302</v>
      </c>
      <c r="W291" s="57">
        <f>_xlfn.STDEV.S(W24,W34,W44,W54,W64)</f>
        <v>379.80312312832228</v>
      </c>
      <c r="X291" s="57">
        <f>_xlfn.STDEV.S(X24,X34,X44,X54,X64)</f>
        <v>239.03425220632482</v>
      </c>
      <c r="AM291" s="78"/>
      <c r="AN291" s="78"/>
      <c r="AO291" s="78"/>
    </row>
    <row r="292" spans="1:41" x14ac:dyDescent="0.3">
      <c r="B292" t="s">
        <v>28</v>
      </c>
      <c r="C292" s="17">
        <f>SUM(C287:C291)</f>
        <v>1.4400334609441092</v>
      </c>
      <c r="D292" s="17">
        <f>SUM(D287:D291)</f>
        <v>5.9089923390628591</v>
      </c>
      <c r="E292" s="17">
        <f>SUM(E287:E291)</f>
        <v>58.10261241573324</v>
      </c>
      <c r="F292" s="17">
        <f>SUM(F287:F291)</f>
        <v>24.31431861901531</v>
      </c>
      <c r="G292" s="17">
        <f>SUM(G287:G291)</f>
        <v>10.234043165244488</v>
      </c>
      <c r="H292" s="1">
        <f>SUM(H286:H291)</f>
        <v>99.999999999999986</v>
      </c>
      <c r="I292" s="13" t="s">
        <v>24</v>
      </c>
      <c r="J292" s="12" t="s">
        <v>29</v>
      </c>
      <c r="N292" s="1">
        <f>SUM(N287:N291)</f>
        <v>189798.93</v>
      </c>
      <c r="O292" s="17">
        <f>SUM(O287:O291)</f>
        <v>99.999999999999986</v>
      </c>
      <c r="S292" s="66" t="s">
        <v>65</v>
      </c>
      <c r="T292" s="67">
        <f>1.96*T291</f>
        <v>127.99324056201539</v>
      </c>
      <c r="U292" s="67">
        <f>1.96*U291</f>
        <v>1075.7429280044944</v>
      </c>
      <c r="V292" s="67">
        <f>1.96*V291</f>
        <v>894.20092833885826</v>
      </c>
      <c r="W292" s="67">
        <f>1.96*W291</f>
        <v>744.41412133151164</v>
      </c>
      <c r="X292" s="67">
        <f>1.96*X291</f>
        <v>468.50713432439665</v>
      </c>
    </row>
    <row r="293" spans="1:41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1.7885035752764209E-2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0.14412748236404113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0.18202102226205669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0.19522617041938733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0.16540054829695788</v>
      </c>
      <c r="H293" s="1"/>
      <c r="I293" s="56">
        <f>(C287+D288+E289+F290+G291)/H292</f>
        <v>0.93225300042014336</v>
      </c>
      <c r="J293" s="53">
        <f>SQRT(SUM(P287:P291))/100</f>
        <v>2.4204833797105969E-3</v>
      </c>
      <c r="M293" s="1"/>
      <c r="N293" s="9"/>
      <c r="AM293" s="78"/>
      <c r="AN293" s="78"/>
      <c r="AO293" s="78"/>
    </row>
    <row r="294" spans="1:41" x14ac:dyDescent="0.3">
      <c r="B294" s="1" t="s">
        <v>30</v>
      </c>
      <c r="C294" s="17">
        <f>C287/C292*100</f>
        <v>97.950559125510097</v>
      </c>
      <c r="D294" s="17">
        <f>D288/D292*100</f>
        <v>68.156646286779051</v>
      </c>
      <c r="E294" s="17">
        <f>E289/E292*100</f>
        <v>97.835495176468385</v>
      </c>
      <c r="F294" s="17">
        <f>F290/F292*100</f>
        <v>92.706917983199872</v>
      </c>
      <c r="G294" s="17">
        <f>G291/G292*100</f>
        <v>82.092425099471868</v>
      </c>
      <c r="H294" s="1"/>
    </row>
    <row r="295" spans="1:41" x14ac:dyDescent="0.3">
      <c r="B295" s="16" t="s">
        <v>39</v>
      </c>
      <c r="C295" s="18">
        <f>SQRT((C298+C299)/(C292*C292))</f>
        <v>1.3958597269815451</v>
      </c>
      <c r="D295" s="18">
        <f>SQRT((D298+D299)/(D292*D292))</f>
        <v>4.1360057499650527</v>
      </c>
      <c r="E295" s="18">
        <f>SQRT((E298+E299)/(E292*E292))</f>
        <v>0.19760700029675993</v>
      </c>
      <c r="F295" s="18">
        <f>SQRT((F298+F299)/(F292*F292))</f>
        <v>0.65384799229002655</v>
      </c>
      <c r="G295" s="18">
        <f>SQRT((G298+G299)/(G292*G292))</f>
        <v>2.0513598661913521</v>
      </c>
      <c r="H295" s="1"/>
      <c r="AM295" s="78"/>
      <c r="AN295" s="78"/>
      <c r="AO295" s="78"/>
    </row>
    <row r="296" spans="1:41" x14ac:dyDescent="0.3">
      <c r="B296" s="1" t="s">
        <v>37</v>
      </c>
      <c r="C296" s="18">
        <f>100-C294</f>
        <v>2.0494408744899033</v>
      </c>
      <c r="D296" s="18">
        <f>100-D294</f>
        <v>31.843353713220949</v>
      </c>
      <c r="E296" s="18">
        <f>100-E294</f>
        <v>2.1645048235316153</v>
      </c>
      <c r="F296" s="18">
        <f>100-F294</f>
        <v>7.2930820168001276</v>
      </c>
      <c r="G296" s="18">
        <f>100-G294</f>
        <v>17.907574900528132</v>
      </c>
    </row>
    <row r="297" spans="1:41" ht="15.6" x14ac:dyDescent="0.35">
      <c r="B297" s="1" t="s">
        <v>25</v>
      </c>
      <c r="C297" s="1">
        <f>C281</f>
        <v>261</v>
      </c>
      <c r="D297" s="1">
        <f>D281</f>
        <v>528</v>
      </c>
      <c r="E297" s="1">
        <f>E281</f>
        <v>6980</v>
      </c>
      <c r="F297" s="1">
        <f>F281</f>
        <v>2500</v>
      </c>
      <c r="G297" s="1">
        <f>G281</f>
        <v>1030</v>
      </c>
      <c r="AM297" s="78"/>
      <c r="AN297" s="78"/>
      <c r="AO297" s="78"/>
    </row>
    <row r="298" spans="1:41" x14ac:dyDescent="0.3">
      <c r="B298" s="1" t="s">
        <v>34</v>
      </c>
      <c r="C298" s="18">
        <f>(O287*O287*(100-C294)*(100-C294)*(I287)*(100-I287))/(L287-1)</f>
        <v>1.2554238682909156</v>
      </c>
      <c r="D298" s="18">
        <f>(O288*O288*(100-D294)*(100-D294)*(I288)*(100-I288))/((L288-1)*100)</f>
        <v>524.75513096501572</v>
      </c>
      <c r="E298" s="18">
        <f>(O289*O289*(100-E294)*(100-E294)*(I289)*(100-I289))/((L289-1)*100)</f>
        <v>9.5456218194308224</v>
      </c>
      <c r="F298" s="18">
        <f>(O290*O290*(100-F294)*(100-F294)*(I290)*(100-I290))/((L290-1)*100)</f>
        <v>121.76120677693008</v>
      </c>
      <c r="G298" s="18">
        <f>(O291*O291*(100-G294)*(100-G294)*(I291)*(100-I291))/((L291-1)*100)</f>
        <v>324.39275617431031</v>
      </c>
    </row>
    <row r="299" spans="1:41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2.7850166877091751</v>
      </c>
      <c r="D299" s="18">
        <f>D294*D294*(SUM((H287*D287*(1-D276/H276))/(H276-1),(H289*D289*(1-D278/H278))/(H278-1), (H290*D290*(1-D279/H279))/(H279-1),(H291*D291*(1-D280/H280))/(H280-1)))</f>
        <v>72.540202272047253</v>
      </c>
      <c r="E299" s="18">
        <f>E294*E294*(SUM((H287*E287*(1-E276/H276))/(H276-1),(H288*E288*(1-E277/H277))/(H277-1), (H290*E290*(1-E279/H279))/(H279-1),(H291*E291*(1-E280/H280))/(H280-1)))</f>
        <v>122.27882888595292</v>
      </c>
      <c r="F299" s="18">
        <f>F294*F294*(SUM((H287*F287*(1-F276/H276))/(H276-1),(H288*F288*(1-F277/H277))/(H277-1), (H289*F289*(1-F278/H278))/(H278-1),(H291*F291*(1-F280/H280))/(H280-1)))</f>
        <v>130.98101329832608</v>
      </c>
      <c r="G299" s="18">
        <f>G294*G294*(SUM((H287*G287*(1-G276/H276))/(H276-1),(H288*G288*(1-G277/H277))/(H277-1), (H289*G289*(1-G278/H278))/(H278-1),(H290*G290*(1-G279/H279))/(H279-1)))</f>
        <v>116.3429110056547</v>
      </c>
      <c r="AM299" s="78"/>
      <c r="AN299" s="78"/>
      <c r="AO299" s="78"/>
    </row>
    <row r="301" spans="1:41" x14ac:dyDescent="0.3">
      <c r="AM301" s="78"/>
      <c r="AN301" s="78"/>
      <c r="AO301" s="78"/>
    </row>
    <row r="302" spans="1:41" x14ac:dyDescent="0.3">
      <c r="A302" s="361" t="s">
        <v>437</v>
      </c>
      <c r="B302" s="361"/>
      <c r="C302" s="361"/>
      <c r="D302" s="361"/>
      <c r="E302" s="361"/>
      <c r="F302" s="361"/>
      <c r="G302" s="361"/>
      <c r="H302" s="361"/>
      <c r="I302" s="361"/>
      <c r="J302" s="361"/>
      <c r="K302" s="361"/>
      <c r="L302" s="361" t="s">
        <v>88</v>
      </c>
      <c r="M302" s="361"/>
      <c r="N302" s="361"/>
      <c r="O302" s="361"/>
      <c r="P302" s="361"/>
    </row>
    <row r="303" spans="1:41" x14ac:dyDescent="0.3">
      <c r="A303" t="s">
        <v>320</v>
      </c>
      <c r="B303" t="s">
        <v>21</v>
      </c>
      <c r="I303" s="1" t="s">
        <v>58</v>
      </c>
      <c r="O303" s="143"/>
      <c r="P303" s="143"/>
      <c r="AM303" s="78"/>
      <c r="AN303" s="78"/>
      <c r="AO303" s="78"/>
    </row>
    <row r="304" spans="1:41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56</v>
      </c>
      <c r="O304" s="13"/>
      <c r="P304" s="13"/>
    </row>
    <row r="305" spans="1:41" x14ac:dyDescent="0.3">
      <c r="A305" t="s">
        <v>3</v>
      </c>
      <c r="B305" s="13">
        <v>0</v>
      </c>
      <c r="C305" s="26">
        <v>258</v>
      </c>
      <c r="D305" s="3">
        <v>0</v>
      </c>
      <c r="E305" s="3">
        <v>0</v>
      </c>
      <c r="F305" s="3">
        <v>1</v>
      </c>
      <c r="G305" s="4">
        <v>0</v>
      </c>
      <c r="H305" s="1">
        <f>SUM(C305:G305)</f>
        <v>259</v>
      </c>
      <c r="I305" s="10">
        <f>C305/H305</f>
        <v>0.99613899613899615</v>
      </c>
      <c r="J305" s="11">
        <f>1-I305</f>
        <v>3.8610038610038533E-3</v>
      </c>
      <c r="K305">
        <f>H305-C310</f>
        <v>1</v>
      </c>
      <c r="N305" s="10">
        <f>2*(C311*I305)/(C311+I305)</f>
        <v>0.99806576402321079</v>
      </c>
      <c r="O305" s="1"/>
      <c r="P305" s="1"/>
      <c r="AM305" s="78"/>
      <c r="AN305" s="78"/>
      <c r="AO305" s="78"/>
    </row>
    <row r="306" spans="1:41" x14ac:dyDescent="0.3">
      <c r="A306" t="s">
        <v>4</v>
      </c>
      <c r="B306" s="13">
        <v>1</v>
      </c>
      <c r="C306" s="5">
        <v>0</v>
      </c>
      <c r="D306" s="27">
        <v>298</v>
      </c>
      <c r="E306" s="1">
        <v>28</v>
      </c>
      <c r="F306" s="1">
        <v>0</v>
      </c>
      <c r="G306" s="6">
        <v>13</v>
      </c>
      <c r="H306" s="1">
        <f>SUM(C306:G306)</f>
        <v>339</v>
      </c>
      <c r="I306" s="10">
        <f>D306/H306</f>
        <v>0.87905604719764008</v>
      </c>
      <c r="J306" s="11">
        <f>1-I306</f>
        <v>0.12094395280235992</v>
      </c>
      <c r="K306">
        <f>H306-D310</f>
        <v>-149</v>
      </c>
      <c r="N306" s="10">
        <f>2*(D311*I306)/(D311+I306)</f>
        <v>0.72067714631197088</v>
      </c>
      <c r="O306" s="1"/>
      <c r="P306" s="1"/>
    </row>
    <row r="307" spans="1:41" x14ac:dyDescent="0.3">
      <c r="A307" t="s">
        <v>5</v>
      </c>
      <c r="B307" s="13">
        <v>2</v>
      </c>
      <c r="C307" s="5">
        <v>0</v>
      </c>
      <c r="D307" s="1">
        <v>173</v>
      </c>
      <c r="E307" s="27">
        <v>6882</v>
      </c>
      <c r="F307" s="1">
        <v>96</v>
      </c>
      <c r="G307" s="6">
        <v>18</v>
      </c>
      <c r="H307" s="1">
        <f>SUM(C307:G307)</f>
        <v>7169</v>
      </c>
      <c r="I307" s="10">
        <f>E307/H307</f>
        <v>0.95996652252754922</v>
      </c>
      <c r="J307" s="11">
        <f>1-I307</f>
        <v>4.0033477472450785E-2</v>
      </c>
      <c r="K307">
        <f>H307-E310</f>
        <v>187</v>
      </c>
      <c r="N307" s="10">
        <f>2*(E311*I307)/(E311+I307)</f>
        <v>0.97265210939156255</v>
      </c>
      <c r="O307" s="1"/>
      <c r="P307" s="1"/>
      <c r="AM307" s="78"/>
      <c r="AN307" s="78"/>
      <c r="AO307" s="78"/>
    </row>
    <row r="308" spans="1:41" x14ac:dyDescent="0.3">
      <c r="A308" t="s">
        <v>6</v>
      </c>
      <c r="B308" s="13">
        <v>3</v>
      </c>
      <c r="C308" s="5">
        <v>0</v>
      </c>
      <c r="D308" s="1">
        <v>17</v>
      </c>
      <c r="E308" s="1">
        <v>65</v>
      </c>
      <c r="F308" s="27">
        <v>2344</v>
      </c>
      <c r="G308" s="6">
        <v>146</v>
      </c>
      <c r="H308" s="1">
        <f>SUM(C308:G308)</f>
        <v>2572</v>
      </c>
      <c r="I308" s="10">
        <f>F308/H308</f>
        <v>0.91135303265940903</v>
      </c>
      <c r="J308" s="11">
        <f>1-I308</f>
        <v>8.8646967340590965E-2</v>
      </c>
      <c r="K308">
        <f>H308-F310</f>
        <v>37</v>
      </c>
      <c r="N308" s="10">
        <f>2*(F311*I308)/(F311+I308)</f>
        <v>0.91795574701390259</v>
      </c>
      <c r="O308" s="1"/>
      <c r="P308" s="1"/>
    </row>
    <row r="309" spans="1:41" x14ac:dyDescent="0.3">
      <c r="A309" t="s">
        <v>7</v>
      </c>
      <c r="B309" s="13">
        <v>4</v>
      </c>
      <c r="C309" s="7">
        <v>0</v>
      </c>
      <c r="D309" s="8">
        <v>0</v>
      </c>
      <c r="E309" s="8">
        <v>7</v>
      </c>
      <c r="F309" s="8">
        <v>94</v>
      </c>
      <c r="G309" s="28">
        <v>859</v>
      </c>
      <c r="H309" s="1">
        <f>SUM(C309:G309)</f>
        <v>960</v>
      </c>
      <c r="I309" s="10">
        <f>G309/H309</f>
        <v>0.89479166666666665</v>
      </c>
      <c r="J309" s="11">
        <f>1-I309</f>
        <v>0.10520833333333335</v>
      </c>
      <c r="K309">
        <f>H309-G310</f>
        <v>-76</v>
      </c>
      <c r="N309" s="10">
        <f>2*(G311*I309)/(G311+I309)</f>
        <v>0.86072144288577146</v>
      </c>
      <c r="O309" s="1"/>
      <c r="P309" s="1"/>
      <c r="AM309" s="78"/>
      <c r="AN309" s="78"/>
      <c r="AO309" s="78"/>
    </row>
    <row r="310" spans="1:41" ht="15.6" x14ac:dyDescent="0.35">
      <c r="B310" s="1" t="s">
        <v>19</v>
      </c>
      <c r="C310" s="1">
        <f>SUM(C305:C309)</f>
        <v>258</v>
      </c>
      <c r="D310" s="1">
        <f>SUM(D305:D309)</f>
        <v>488</v>
      </c>
      <c r="E310" s="1">
        <f>SUM(E305:E309)</f>
        <v>6982</v>
      </c>
      <c r="F310" s="1">
        <f>SUM(F305:F309)</f>
        <v>2535</v>
      </c>
      <c r="G310" s="1">
        <f>SUM(G305:G309)</f>
        <v>1036</v>
      </c>
      <c r="H310" s="1">
        <f>SUM(H304:H309)</f>
        <v>11299</v>
      </c>
      <c r="I310" s="13" t="s">
        <v>12</v>
      </c>
      <c r="N310" s="16" t="s">
        <v>36</v>
      </c>
      <c r="O310" s="1"/>
      <c r="P310" s="1"/>
    </row>
    <row r="311" spans="1:41" x14ac:dyDescent="0.3">
      <c r="A311" s="1" t="s">
        <v>321</v>
      </c>
      <c r="B311" s="1" t="s">
        <v>2</v>
      </c>
      <c r="C311" s="10">
        <f>C305/C310</f>
        <v>1</v>
      </c>
      <c r="D311" s="10">
        <f>D306/D310</f>
        <v>0.61065573770491799</v>
      </c>
      <c r="E311" s="10">
        <f>E307/E310</f>
        <v>0.98567745631624182</v>
      </c>
      <c r="F311" s="10">
        <f>F308/F310</f>
        <v>0.92465483234714008</v>
      </c>
      <c r="G311" s="10">
        <f>G309/G310</f>
        <v>0.8291505791505791</v>
      </c>
      <c r="H311" s="10"/>
      <c r="I311" s="14">
        <f>(C305+D306+E307+F308+G309)/H310</f>
        <v>0.94176475794318082</v>
      </c>
      <c r="AM311" s="78"/>
      <c r="AN311" s="78"/>
      <c r="AO311" s="78"/>
    </row>
    <row r="312" spans="1:41" x14ac:dyDescent="0.3">
      <c r="B312" s="1" t="s">
        <v>14</v>
      </c>
      <c r="C312" s="11">
        <f>1-C311</f>
        <v>0</v>
      </c>
      <c r="D312" s="11">
        <f>1-D311</f>
        <v>0.38934426229508201</v>
      </c>
      <c r="E312" s="11">
        <f>1-E311</f>
        <v>1.4322543683758182E-2</v>
      </c>
      <c r="F312" s="11">
        <f>1-F311</f>
        <v>7.5345167652859923E-2</v>
      </c>
      <c r="G312" s="11">
        <f>1-G311</f>
        <v>0.1708494208494209</v>
      </c>
      <c r="Q312" s="25"/>
    </row>
    <row r="313" spans="1:41" x14ac:dyDescent="0.3">
      <c r="C313" s="2"/>
      <c r="Q313" s="25"/>
      <c r="AM313" s="78"/>
      <c r="AN313" s="78"/>
      <c r="AO313" s="78"/>
    </row>
    <row r="314" spans="1:41" ht="15.6" x14ac:dyDescent="0.35">
      <c r="A314" t="s">
        <v>322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1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  <c r="AO315" s="78"/>
    </row>
    <row r="316" spans="1:41" x14ac:dyDescent="0.3">
      <c r="A316" t="s">
        <v>3</v>
      </c>
      <c r="B316" s="13">
        <v>0</v>
      </c>
      <c r="C316" s="29">
        <f>(C305/$L316)*$O316</f>
        <v>1.3447848710127088</v>
      </c>
      <c r="D316" s="31">
        <f>(D305/$L316)*$O316</f>
        <v>0</v>
      </c>
      <c r="E316" s="31">
        <f>(E305/$L316)*$O316</f>
        <v>0</v>
      </c>
      <c r="F316" s="31">
        <f>(F305/$L316)*$O316</f>
        <v>5.2123444612895689E-3</v>
      </c>
      <c r="G316" s="32">
        <f>(G305/$L316)*$O316</f>
        <v>0</v>
      </c>
      <c r="H316" s="17">
        <f>SUM(C316:G316)</f>
        <v>1.3499972154739983</v>
      </c>
      <c r="I316" s="17">
        <f>C316/H316*100</f>
        <v>99.613899613899619</v>
      </c>
      <c r="J316" s="17">
        <f>SQRT(I316*(100-I316)/(L316-1))</f>
        <v>0.3861003861003835</v>
      </c>
      <c r="K316" s="18">
        <f>100-I316</f>
        <v>0.38610038610038089</v>
      </c>
      <c r="L316" s="1">
        <f>H305</f>
        <v>259</v>
      </c>
      <c r="M316">
        <v>0</v>
      </c>
      <c r="N316" s="1">
        <v>2562.2800000000002</v>
      </c>
      <c r="O316" s="17">
        <f>N316/N321*100</f>
        <v>1.3499972154739983</v>
      </c>
      <c r="P316" s="52">
        <f>((O316*O316*(I316/100)*(K316/100))/(L316-1))</f>
        <v>2.7168534783135681E-5</v>
      </c>
    </row>
    <row r="317" spans="1:41" x14ac:dyDescent="0.3">
      <c r="A317" t="s">
        <v>4</v>
      </c>
      <c r="B317" s="13">
        <v>1</v>
      </c>
      <c r="C317" s="33">
        <f t="shared" ref="C317:G320" si="43">(C306/$L317)*$O317</f>
        <v>0</v>
      </c>
      <c r="D317" s="34">
        <f t="shared" si="43"/>
        <v>3.5772414034097522</v>
      </c>
      <c r="E317" s="19">
        <f t="shared" si="43"/>
        <v>0.33611664193111768</v>
      </c>
      <c r="F317" s="18">
        <f t="shared" si="43"/>
        <v>0</v>
      </c>
      <c r="G317" s="20">
        <f t="shared" si="43"/>
        <v>0.15605415518230464</v>
      </c>
      <c r="H317" s="17">
        <f>SUM(C317:G317)</f>
        <v>4.0694122005231748</v>
      </c>
      <c r="I317" s="17">
        <f>D317/H317*100</f>
        <v>87.905604719764014</v>
      </c>
      <c r="J317" s="17">
        <f>SQRT(I317*(100-I317)/(L317-1))</f>
        <v>1.7735441824070006</v>
      </c>
      <c r="K317" s="18">
        <f>100-I317</f>
        <v>12.094395280235986</v>
      </c>
      <c r="L317" s="1">
        <f>H306</f>
        <v>339</v>
      </c>
      <c r="M317">
        <v>1</v>
      </c>
      <c r="N317" s="1">
        <v>7723.7</v>
      </c>
      <c r="O317" s="17">
        <f>N317/N321*100</f>
        <v>4.0694122005231748</v>
      </c>
      <c r="P317" s="52">
        <f>((O317*O317*(I317/100)*(K317/100))/(L317-1))</f>
        <v>5.2089164289447192E-3</v>
      </c>
      <c r="AM317" s="78"/>
      <c r="AN317" s="78"/>
      <c r="AO317" s="78"/>
    </row>
    <row r="318" spans="1:41" x14ac:dyDescent="0.3">
      <c r="A318" t="s">
        <v>5</v>
      </c>
      <c r="B318" s="13">
        <v>2</v>
      </c>
      <c r="C318" s="33">
        <f t="shared" si="43"/>
        <v>0</v>
      </c>
      <c r="D318" s="19">
        <f t="shared" si="43"/>
        <v>1.4348325546393015</v>
      </c>
      <c r="E318" s="34">
        <f t="shared" si="43"/>
        <v>57.078136653339143</v>
      </c>
      <c r="F318" s="19">
        <f t="shared" si="43"/>
        <v>0.79620766037787827</v>
      </c>
      <c r="G318" s="20">
        <f t="shared" si="43"/>
        <v>0.14928893632085216</v>
      </c>
      <c r="H318" s="17">
        <f>SUM(C318:G318)</f>
        <v>59.458465804677175</v>
      </c>
      <c r="I318" s="17">
        <f>E318/H318*100</f>
        <v>95.996652252754927</v>
      </c>
      <c r="J318" s="17">
        <f>SQRT(I318*(100-I318)/(L318-1))</f>
        <v>0.2315478238852032</v>
      </c>
      <c r="K318" s="18">
        <f>100-I318</f>
        <v>4.0033477472450727</v>
      </c>
      <c r="L318" s="1">
        <f>H307</f>
        <v>7169</v>
      </c>
      <c r="M318">
        <v>2</v>
      </c>
      <c r="N318" s="1">
        <v>112851.52</v>
      </c>
      <c r="O318" s="17">
        <f>N318/N321*100</f>
        <v>59.458465804677175</v>
      </c>
      <c r="P318" s="52">
        <f>((O318*O318*(I318/100)*(K318/100))/(L318-1))</f>
        <v>1.8954346063057848E-2</v>
      </c>
    </row>
    <row r="319" spans="1:41" x14ac:dyDescent="0.3">
      <c r="A319" t="s">
        <v>6</v>
      </c>
      <c r="B319" s="13">
        <v>3</v>
      </c>
      <c r="C319" s="33">
        <f t="shared" si="43"/>
        <v>0</v>
      </c>
      <c r="D319" s="19">
        <f t="shared" si="43"/>
        <v>0.16647970222095862</v>
      </c>
      <c r="E319" s="19">
        <f t="shared" si="43"/>
        <v>0.63654003790366531</v>
      </c>
      <c r="F319" s="34">
        <f t="shared" si="43"/>
        <v>22.954613059172175</v>
      </c>
      <c r="G319" s="20">
        <f t="shared" si="43"/>
        <v>1.4297668543682329</v>
      </c>
      <c r="H319" s="17">
        <f>SUM(C319:G319)</f>
        <v>25.187399653665032</v>
      </c>
      <c r="I319" s="17">
        <f>F319/H319*100</f>
        <v>91.135303265940905</v>
      </c>
      <c r="J319" s="17">
        <f>SQRT(I319*(100-I319)/(L319-1))</f>
        <v>0.56056273651662925</v>
      </c>
      <c r="K319" s="18">
        <f>100-I319</f>
        <v>8.8646967340590948</v>
      </c>
      <c r="L319" s="1">
        <f>H308</f>
        <v>2572</v>
      </c>
      <c r="M319">
        <v>3</v>
      </c>
      <c r="N319" s="1">
        <v>47805.41</v>
      </c>
      <c r="O319" s="17">
        <f>N319/N321*100</f>
        <v>25.187399653665032</v>
      </c>
      <c r="P319" s="52">
        <f>((O319*O319*(I319/100)*(K319/100))/(L319-1))</f>
        <v>1.9934948393734064E-2</v>
      </c>
      <c r="AM319" s="78"/>
      <c r="AN319" s="78"/>
      <c r="AO319" s="78"/>
    </row>
    <row r="320" spans="1:41" x14ac:dyDescent="0.3">
      <c r="A320" t="s">
        <v>7</v>
      </c>
      <c r="B320" s="13">
        <v>4</v>
      </c>
      <c r="C320" s="35">
        <f t="shared" si="43"/>
        <v>0</v>
      </c>
      <c r="D320" s="36">
        <f t="shared" si="43"/>
        <v>0</v>
      </c>
      <c r="E320" s="21">
        <f t="shared" si="43"/>
        <v>7.2440704041275408E-2</v>
      </c>
      <c r="F320" s="21">
        <f t="shared" si="43"/>
        <v>0.97277516855426971</v>
      </c>
      <c r="G320" s="37">
        <f t="shared" si="43"/>
        <v>8.8895092530650821</v>
      </c>
      <c r="H320" s="17">
        <f>SUM(C320:G320)</f>
        <v>9.934725125660627</v>
      </c>
      <c r="I320" s="17">
        <f>G320/H320*100</f>
        <v>89.479166666666671</v>
      </c>
      <c r="J320" s="17">
        <f>SQRT(I320*(100-I320)/(L320-1))</f>
        <v>0.99077886137292825</v>
      </c>
      <c r="K320" s="18">
        <f>100-I320</f>
        <v>10.520833333333329</v>
      </c>
      <c r="L320" s="1">
        <f>H309</f>
        <v>960</v>
      </c>
      <c r="M320">
        <v>4</v>
      </c>
      <c r="N320" s="1">
        <v>18856</v>
      </c>
      <c r="O320" s="17">
        <f>N320/N321*100</f>
        <v>9.934725125660627</v>
      </c>
      <c r="P320" s="52">
        <f>((O320*O320*(I320/100)*(K320/100))/(L320-1))</f>
        <v>9.688692566098632E-3</v>
      </c>
    </row>
    <row r="321" spans="1:41" x14ac:dyDescent="0.3">
      <c r="B321" t="s">
        <v>28</v>
      </c>
      <c r="C321" s="17">
        <f t="shared" ref="C321:H321" si="44">SUM(C316:C320)</f>
        <v>1.3447848710127088</v>
      </c>
      <c r="D321" s="17">
        <f t="shared" si="44"/>
        <v>5.178553660270012</v>
      </c>
      <c r="E321" s="17">
        <f t="shared" si="44"/>
        <v>58.123234037215205</v>
      </c>
      <c r="F321" s="17">
        <f t="shared" si="44"/>
        <v>24.728808232565616</v>
      </c>
      <c r="G321" s="17">
        <f t="shared" si="44"/>
        <v>10.624619198936472</v>
      </c>
      <c r="H321" s="18">
        <f t="shared" si="44"/>
        <v>100.00000000000003</v>
      </c>
      <c r="I321" s="13" t="s">
        <v>24</v>
      </c>
      <c r="J321" s="12" t="s">
        <v>29</v>
      </c>
      <c r="N321" s="1">
        <f>SUM(N316:N320)</f>
        <v>189798.91</v>
      </c>
      <c r="O321" s="17">
        <f>SUM(O316:O320)</f>
        <v>100.00000000000003</v>
      </c>
      <c r="AM321" s="78"/>
      <c r="AN321" s="78"/>
      <c r="AO321" s="78"/>
    </row>
    <row r="322" spans="1:41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5.2022722886677598E-3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0.13574307304383593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0.17167846325957845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0.1885488107180979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0.16100287434173619</v>
      </c>
      <c r="H322" s="1"/>
      <c r="I322" s="14">
        <f>(C316+D317+E318+F319+G320)/H321</f>
        <v>0.93844285239998837</v>
      </c>
      <c r="J322" s="53">
        <f>SQRT(SUM(P316:P320))/100</f>
        <v>2.3197860243267783E-3</v>
      </c>
      <c r="M322" s="1"/>
      <c r="N322" s="9"/>
    </row>
    <row r="323" spans="1:41" x14ac:dyDescent="0.3">
      <c r="B323" s="1" t="s">
        <v>30</v>
      </c>
      <c r="C323" s="17">
        <f>C316/C321*100</f>
        <v>100</v>
      </c>
      <c r="D323" s="17">
        <f>D317/D321*100</f>
        <v>69.078002046294003</v>
      </c>
      <c r="E323" s="17">
        <f>E318/E321*100</f>
        <v>98.201928366190188</v>
      </c>
      <c r="F323" s="17">
        <f>F319/F321*100</f>
        <v>92.825391516211511</v>
      </c>
      <c r="G323" s="17">
        <f>G320/G321*100</f>
        <v>83.668968144805845</v>
      </c>
      <c r="H323" s="1"/>
      <c r="AM323" s="78"/>
      <c r="AN323" s="78"/>
      <c r="AO323" s="78"/>
    </row>
    <row r="324" spans="1:41" x14ac:dyDescent="0.3">
      <c r="B324" s="16" t="s">
        <v>39</v>
      </c>
      <c r="C324" s="18">
        <f>SQRT((C327+C328)/(C321*C321))</f>
        <v>0</v>
      </c>
      <c r="D324" s="18">
        <f>SQRT((D327+D328)/(D321*D321))</f>
        <v>4.5746308966656448</v>
      </c>
      <c r="E324" s="18">
        <f>SQRT((E327+E328)/(E321*E321))</f>
        <v>0.1785758753189905</v>
      </c>
      <c r="F324" s="18">
        <f>SQRT((F327+F328)/(F321*F321))</f>
        <v>0.62297314024858819</v>
      </c>
      <c r="G324" s="18">
        <f>SQRT((G327+G328)/(G321*G321))</f>
        <v>1.8157937089873224</v>
      </c>
      <c r="H324" s="1"/>
    </row>
    <row r="325" spans="1:41" x14ac:dyDescent="0.3">
      <c r="B325" s="1" t="s">
        <v>37</v>
      </c>
      <c r="C325" s="18">
        <f>100-C323</f>
        <v>0</v>
      </c>
      <c r="D325" s="18">
        <f>100-D323</f>
        <v>30.921997953705997</v>
      </c>
      <c r="E325" s="18">
        <f>100-E323</f>
        <v>1.7980716338098119</v>
      </c>
      <c r="F325" s="18">
        <f>100-F323</f>
        <v>7.1746084837884894</v>
      </c>
      <c r="G325" s="18">
        <f>100-G323</f>
        <v>16.331031855194155</v>
      </c>
      <c r="AM325" s="78"/>
      <c r="AN325" s="78"/>
      <c r="AO325" s="78"/>
    </row>
    <row r="326" spans="1:41" ht="15.6" x14ac:dyDescent="0.35">
      <c r="B326" s="1" t="s">
        <v>25</v>
      </c>
      <c r="C326" s="1">
        <f>C310</f>
        <v>258</v>
      </c>
      <c r="D326" s="1">
        <f>D310</f>
        <v>488</v>
      </c>
      <c r="E326" s="1">
        <f>E310</f>
        <v>6982</v>
      </c>
      <c r="F326" s="1">
        <f>F310</f>
        <v>2535</v>
      </c>
      <c r="G326" s="1">
        <f>G310</f>
        <v>1036</v>
      </c>
    </row>
    <row r="327" spans="1:41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498.0609400219459</v>
      </c>
      <c r="E327" s="18">
        <f>(O318*O318*(100-E323)*(100-E323)*(I318)*(100-I318))/((L318-1)*100)</f>
        <v>6.1280568415487506</v>
      </c>
      <c r="F327" s="18">
        <f>(O319*O319*(100-F323)*(100-F323)*(I319)*(100-I319))/((L319-1)*100)</f>
        <v>102.61516060318833</v>
      </c>
      <c r="G327" s="18">
        <f>(O320*O320*(100-G323)*(100-G323)*(I320)*(100-I320))/((L320-1)*100)</f>
        <v>258.39995120797732</v>
      </c>
      <c r="AM327" s="78"/>
    </row>
    <row r="328" spans="1:41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63.15381316977227</v>
      </c>
      <c r="E328" s="18">
        <f>E323*E323*(SUM((H316*E316*(1-E305/H305))/(H305-1),(H317*E317*(1-E306/H306))/(H306-1), (H319*E319*(1-E308/H308))/(H308-1),(H320*E320*(1-E309/H309))/(H309-1)))</f>
        <v>101.60404102082771</v>
      </c>
      <c r="F328" s="18">
        <f>F323*F323*(SUM((H316*F316*(1-F305/H305))/(H305-1),(H317*F317*(1-F306/H306))/(H306-1), (H318*F318*(1-F307/H307))/(H307-1),(H320*F320*(1-F309/H309))/(H309-1)))</f>
        <v>134.71067460973126</v>
      </c>
      <c r="G328" s="18">
        <f>G323*G323*(SUM((H316*G316*(1-G305/H305))/(H305-1),(H317*G317*(1-G306/H306))/(H306-1), (H318*G318*(1-G307/H307))/(H307-1),(H319*G319*(1-G308/H308))/(H308-1)))</f>
        <v>113.78581562846307</v>
      </c>
    </row>
    <row r="329" spans="1:41" x14ac:dyDescent="0.3">
      <c r="AM329" s="78"/>
    </row>
    <row r="331" spans="1:41" x14ac:dyDescent="0.3">
      <c r="A331" s="361" t="s">
        <v>437</v>
      </c>
      <c r="B331" s="361"/>
      <c r="C331" s="361"/>
      <c r="D331" s="361"/>
      <c r="E331" s="361"/>
      <c r="F331" s="361"/>
      <c r="G331" s="361"/>
      <c r="H331" s="361"/>
      <c r="I331" s="361"/>
      <c r="J331" s="361"/>
      <c r="K331" s="361"/>
      <c r="L331" s="361" t="s">
        <v>89</v>
      </c>
      <c r="M331" s="361"/>
      <c r="N331" s="361"/>
      <c r="O331" s="361"/>
      <c r="P331" s="361"/>
      <c r="AM331" s="78"/>
    </row>
    <row r="332" spans="1:41" x14ac:dyDescent="0.3">
      <c r="A332" t="s">
        <v>320</v>
      </c>
      <c r="B332" t="s">
        <v>21</v>
      </c>
      <c r="I332" s="1" t="s">
        <v>58</v>
      </c>
      <c r="O332" s="143"/>
      <c r="P332" s="143"/>
    </row>
    <row r="333" spans="1:41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56</v>
      </c>
      <c r="O333" s="13"/>
      <c r="P333" s="13"/>
      <c r="AM333" s="78"/>
    </row>
    <row r="334" spans="1:41" x14ac:dyDescent="0.3">
      <c r="A334" t="s">
        <v>3</v>
      </c>
      <c r="B334" s="13">
        <v>0</v>
      </c>
      <c r="C334" s="26">
        <v>259</v>
      </c>
      <c r="D334" s="3">
        <v>0</v>
      </c>
      <c r="E334" s="3">
        <v>0</v>
      </c>
      <c r="F334" s="3">
        <v>0</v>
      </c>
      <c r="G334" s="4">
        <v>0</v>
      </c>
      <c r="H334" s="1">
        <f>SUM(C334:G334)</f>
        <v>259</v>
      </c>
      <c r="I334" s="10">
        <f>C334/H334</f>
        <v>1</v>
      </c>
      <c r="J334" s="11">
        <f>1-I334</f>
        <v>0</v>
      </c>
      <c r="K334">
        <f>H334-C339</f>
        <v>-1</v>
      </c>
      <c r="N334" s="10">
        <f>2*(C340*I334)/(C340+I334)</f>
        <v>0.9980732177263969</v>
      </c>
      <c r="O334" s="1"/>
      <c r="P334" s="1"/>
    </row>
    <row r="335" spans="1:41" x14ac:dyDescent="0.3">
      <c r="A335" t="s">
        <v>4</v>
      </c>
      <c r="B335" s="13">
        <v>1</v>
      </c>
      <c r="C335" s="5">
        <v>0</v>
      </c>
      <c r="D335" s="27">
        <v>305</v>
      </c>
      <c r="E335" s="1">
        <v>22</v>
      </c>
      <c r="F335" s="1">
        <v>0</v>
      </c>
      <c r="G335" s="6">
        <v>12</v>
      </c>
      <c r="H335" s="1">
        <f>SUM(C335:G335)</f>
        <v>339</v>
      </c>
      <c r="I335" s="10">
        <f>D335/H335</f>
        <v>0.89970501474926257</v>
      </c>
      <c r="J335" s="11">
        <f>1-I335</f>
        <v>0.10029498525073743</v>
      </c>
      <c r="K335">
        <f>H335-D339</f>
        <v>-187</v>
      </c>
      <c r="N335" s="10">
        <f>2*(D340*I335)/(D340+I335)</f>
        <v>0.7052023121387283</v>
      </c>
      <c r="O335" s="1"/>
      <c r="P335" s="1"/>
      <c r="AM335" s="78"/>
    </row>
    <row r="336" spans="1:41" x14ac:dyDescent="0.3">
      <c r="A336" t="s">
        <v>5</v>
      </c>
      <c r="B336" s="13">
        <v>2</v>
      </c>
      <c r="C336" s="5">
        <v>0</v>
      </c>
      <c r="D336" s="1">
        <v>191</v>
      </c>
      <c r="E336" s="27">
        <v>6860</v>
      </c>
      <c r="F336" s="1">
        <v>99</v>
      </c>
      <c r="G336" s="6">
        <v>19</v>
      </c>
      <c r="H336" s="1">
        <f>SUM(C336:G336)</f>
        <v>7169</v>
      </c>
      <c r="I336" s="10">
        <f>E336/H336</f>
        <v>0.95689775421955647</v>
      </c>
      <c r="J336" s="11">
        <f>1-I336</f>
        <v>4.3102245780443527E-2</v>
      </c>
      <c r="K336">
        <f>H336-E339</f>
        <v>204</v>
      </c>
      <c r="N336" s="10">
        <f>2*(E340*I336)/(E340+I336)</f>
        <v>0.97070892882411208</v>
      </c>
      <c r="O336" s="1"/>
      <c r="P336" s="1"/>
    </row>
    <row r="337" spans="1:40" x14ac:dyDescent="0.3">
      <c r="A337" t="s">
        <v>6</v>
      </c>
      <c r="B337" s="13">
        <v>3</v>
      </c>
      <c r="C337" s="5">
        <v>1</v>
      </c>
      <c r="D337" s="1">
        <v>30</v>
      </c>
      <c r="E337" s="1">
        <v>66</v>
      </c>
      <c r="F337" s="27">
        <v>2313</v>
      </c>
      <c r="G337" s="6">
        <v>162</v>
      </c>
      <c r="H337" s="1">
        <f>SUM(C337:G337)</f>
        <v>2572</v>
      </c>
      <c r="I337" s="10">
        <f>F337/H337</f>
        <v>0.89930015552099529</v>
      </c>
      <c r="J337" s="11">
        <f>1-I337</f>
        <v>0.10069984447900471</v>
      </c>
      <c r="K337">
        <f>H337-F339</f>
        <v>70</v>
      </c>
      <c r="N337" s="10">
        <f>2*(F340*I337)/(F340+I337)</f>
        <v>0.91170674024438314</v>
      </c>
      <c r="O337" s="1"/>
      <c r="P337" s="1"/>
      <c r="AM337" s="78"/>
    </row>
    <row r="338" spans="1:40" x14ac:dyDescent="0.3">
      <c r="A338" t="s">
        <v>7</v>
      </c>
      <c r="B338" s="13">
        <v>4</v>
      </c>
      <c r="C338" s="7">
        <v>0</v>
      </c>
      <c r="D338" s="8">
        <v>0</v>
      </c>
      <c r="E338" s="8">
        <v>17</v>
      </c>
      <c r="F338" s="8">
        <v>90</v>
      </c>
      <c r="G338" s="28">
        <v>853</v>
      </c>
      <c r="H338" s="1">
        <f>SUM(C338:G338)</f>
        <v>960</v>
      </c>
      <c r="I338" s="10">
        <f>G338/H338</f>
        <v>0.88854166666666667</v>
      </c>
      <c r="J338" s="11">
        <f>1-I338</f>
        <v>0.11145833333333333</v>
      </c>
      <c r="K338">
        <f>H338-G339</f>
        <v>-86</v>
      </c>
      <c r="N338" s="10">
        <f>2*(G340*I338)/(G340+I338)</f>
        <v>0.85044865403788628</v>
      </c>
      <c r="O338" s="1"/>
      <c r="P338" s="1"/>
    </row>
    <row r="339" spans="1:40" ht="15.6" x14ac:dyDescent="0.35">
      <c r="B339" s="1" t="s">
        <v>19</v>
      </c>
      <c r="C339" s="1">
        <f>SUM(C334:C338)</f>
        <v>260</v>
      </c>
      <c r="D339" s="1">
        <f>SUM(D334:D338)</f>
        <v>526</v>
      </c>
      <c r="E339" s="1">
        <f>SUM(E334:E338)</f>
        <v>6965</v>
      </c>
      <c r="F339" s="1">
        <f>SUM(F334:F338)</f>
        <v>2502</v>
      </c>
      <c r="G339" s="1">
        <f>SUM(G334:G338)</f>
        <v>1046</v>
      </c>
      <c r="H339" s="1">
        <f>SUM(H333:H338)</f>
        <v>11299</v>
      </c>
      <c r="I339" s="13" t="s">
        <v>12</v>
      </c>
      <c r="N339" s="16"/>
      <c r="O339" s="1"/>
      <c r="P339" s="1"/>
      <c r="AM339" s="78"/>
    </row>
    <row r="340" spans="1:40" x14ac:dyDescent="0.3">
      <c r="A340" s="1" t="s">
        <v>321</v>
      </c>
      <c r="B340" s="1" t="s">
        <v>2</v>
      </c>
      <c r="C340" s="10">
        <f>C334/C339</f>
        <v>0.99615384615384617</v>
      </c>
      <c r="D340" s="10">
        <f>D335/D339</f>
        <v>0.57984790874524716</v>
      </c>
      <c r="E340" s="10">
        <f>E336/E339</f>
        <v>0.98492462311557794</v>
      </c>
      <c r="F340" s="10">
        <f>F337/F339</f>
        <v>0.92446043165467628</v>
      </c>
      <c r="G340" s="10">
        <f>G338/G339</f>
        <v>0.81548757170172081</v>
      </c>
      <c r="H340" s="10"/>
      <c r="I340" s="14">
        <f>(C334+D335+E336+F337+G338)/H339</f>
        <v>0.93725108416674041</v>
      </c>
    </row>
    <row r="341" spans="1:40" x14ac:dyDescent="0.3">
      <c r="B341" s="1" t="s">
        <v>14</v>
      </c>
      <c r="C341" s="11">
        <f>1-C340</f>
        <v>3.8461538461538325E-3</v>
      </c>
      <c r="D341" s="11">
        <f>1-D340</f>
        <v>0.42015209125475284</v>
      </c>
      <c r="E341" s="11">
        <f>1-E340</f>
        <v>1.5075376884422065E-2</v>
      </c>
      <c r="F341" s="11">
        <f>1-F340</f>
        <v>7.5539568345323715E-2</v>
      </c>
      <c r="G341" s="11">
        <f>1-G340</f>
        <v>0.18451242829827919</v>
      </c>
      <c r="AM341" s="78"/>
      <c r="AN341" s="78"/>
    </row>
    <row r="342" spans="1:40" x14ac:dyDescent="0.3">
      <c r="C342" s="2"/>
    </row>
    <row r="343" spans="1:40" ht="15.6" x14ac:dyDescent="0.35">
      <c r="A343" t="s">
        <v>322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1.3843440205033832</v>
      </c>
      <c r="D345" s="31">
        <f>(D334/$L345)*$O345</f>
        <v>0</v>
      </c>
      <c r="E345" s="31">
        <f>(E334/$L345)*$O345</f>
        <v>0</v>
      </c>
      <c r="F345" s="31">
        <f>(F334/$L345)*$O345</f>
        <v>0</v>
      </c>
      <c r="G345" s="32">
        <f>(G334/$L345)*$O345</f>
        <v>0</v>
      </c>
      <c r="H345" s="17">
        <f>SUM(C345:G345)</f>
        <v>1.3843440205033832</v>
      </c>
      <c r="I345" s="17">
        <f>C345/H345*100</f>
        <v>100</v>
      </c>
      <c r="J345" s="17">
        <f>SQRT(I345*(100-I345)/(L345-1))</f>
        <v>0</v>
      </c>
      <c r="K345" s="18">
        <f>100-I345</f>
        <v>0</v>
      </c>
      <c r="L345" s="1">
        <f>H334</f>
        <v>259</v>
      </c>
      <c r="M345">
        <v>0</v>
      </c>
      <c r="N345" s="1">
        <v>2627.47</v>
      </c>
      <c r="O345" s="17">
        <f>N345/N350*100</f>
        <v>1.3843440205033832</v>
      </c>
      <c r="P345" s="52">
        <f>((O345*O345*(I345/100)*(K345/100))/(L345-1))</f>
        <v>0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45">(C335/$L346)*$O346</f>
        <v>0</v>
      </c>
      <c r="D346" s="34">
        <f t="shared" si="45"/>
        <v>3.9020826709454681</v>
      </c>
      <c r="E346" s="19">
        <f t="shared" si="45"/>
        <v>0.28146170085508293</v>
      </c>
      <c r="F346" s="18">
        <f t="shared" si="45"/>
        <v>0</v>
      </c>
      <c r="G346" s="20">
        <f t="shared" si="45"/>
        <v>0.15352456410277249</v>
      </c>
      <c r="H346" s="17">
        <f>SUM(C346:G346)</f>
        <v>4.3370689359033232</v>
      </c>
      <c r="I346" s="17">
        <f>D346/H346*100</f>
        <v>89.970501474926252</v>
      </c>
      <c r="J346" s="17">
        <f>SQRT(I346*(100-I346)/(L346-1))</f>
        <v>1.6339220356155837</v>
      </c>
      <c r="K346" s="18">
        <f>100-I346</f>
        <v>10.029498525073748</v>
      </c>
      <c r="L346" s="1">
        <f>H335</f>
        <v>339</v>
      </c>
      <c r="M346">
        <v>1</v>
      </c>
      <c r="N346" s="1">
        <v>8231.7099999999991</v>
      </c>
      <c r="O346" s="17">
        <f>N346/N350*100</f>
        <v>4.3370689359033232</v>
      </c>
      <c r="P346" s="52">
        <f>((O346*O346*(I346/100)*(K346/100))/(L346-1))</f>
        <v>5.0217525638797103E-3</v>
      </c>
    </row>
    <row r="347" spans="1:40" x14ac:dyDescent="0.3">
      <c r="A347" t="s">
        <v>5</v>
      </c>
      <c r="B347" s="13">
        <v>2</v>
      </c>
      <c r="C347" s="33">
        <f t="shared" si="45"/>
        <v>0</v>
      </c>
      <c r="D347" s="19">
        <f t="shared" si="45"/>
        <v>1.5851857093789536</v>
      </c>
      <c r="E347" s="34">
        <f t="shared" si="45"/>
        <v>56.933895111725775</v>
      </c>
      <c r="F347" s="19">
        <f t="shared" si="45"/>
        <v>0.82164076035872469</v>
      </c>
      <c r="G347" s="20">
        <f t="shared" si="45"/>
        <v>0.15768863077591685</v>
      </c>
      <c r="H347" s="17">
        <f>SUM(C347:G347)</f>
        <v>59.498410212239371</v>
      </c>
      <c r="I347" s="17">
        <f>E347/H347*100</f>
        <v>95.68977542195563</v>
      </c>
      <c r="J347" s="17">
        <f>SQRT(I347*(100-I347)/(L347-1))</f>
        <v>0.23987429915126762</v>
      </c>
      <c r="K347" s="18">
        <f>100-I347</f>
        <v>4.3102245780443695</v>
      </c>
      <c r="L347" s="1">
        <f>H336</f>
        <v>7169</v>
      </c>
      <c r="M347">
        <v>2</v>
      </c>
      <c r="N347" s="1">
        <v>112927.34</v>
      </c>
      <c r="O347" s="17">
        <f>N347/N350*100</f>
        <v>59.498410212239364</v>
      </c>
      <c r="P347" s="52">
        <f>((O347*O347*(I347/100)*(K347/100))/(L347-1))</f>
        <v>2.0369396448811142E-2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45"/>
        <v>9.7107313052804019E-3</v>
      </c>
      <c r="D348" s="19">
        <f t="shared" si="45"/>
        <v>0.29132193915841209</v>
      </c>
      <c r="E348" s="19">
        <f t="shared" si="45"/>
        <v>0.6409082661485066</v>
      </c>
      <c r="F348" s="34">
        <f t="shared" si="45"/>
        <v>22.460921509113572</v>
      </c>
      <c r="G348" s="20">
        <f t="shared" si="45"/>
        <v>1.5731384714554253</v>
      </c>
      <c r="H348" s="17">
        <f>SUM(C348:G348)</f>
        <v>24.976000917181196</v>
      </c>
      <c r="I348" s="17">
        <f>F348/H348*100</f>
        <v>89.930015552099533</v>
      </c>
      <c r="J348" s="17">
        <f>SQRT(I348*(100-I348)/(L348-1))</f>
        <v>0.59349312962176881</v>
      </c>
      <c r="K348" s="18">
        <f>100-I348</f>
        <v>10.069984447900467</v>
      </c>
      <c r="L348" s="1">
        <f>H337</f>
        <v>2572</v>
      </c>
      <c r="M348">
        <v>3</v>
      </c>
      <c r="N348" s="1">
        <v>47404.18</v>
      </c>
      <c r="O348" s="17">
        <f>N348/N350*100</f>
        <v>24.976000917181196</v>
      </c>
      <c r="P348" s="52">
        <f>((O348*O348*(I348/100)*(K348/100))/(L348-1))</f>
        <v>2.1972384742821753E-2</v>
      </c>
    </row>
    <row r="349" spans="1:40" x14ac:dyDescent="0.3">
      <c r="A349" t="s">
        <v>7</v>
      </c>
      <c r="B349" s="13">
        <v>4</v>
      </c>
      <c r="C349" s="35">
        <f t="shared" si="45"/>
        <v>0</v>
      </c>
      <c r="D349" s="36">
        <f t="shared" si="45"/>
        <v>0</v>
      </c>
      <c r="E349" s="21">
        <f t="shared" si="45"/>
        <v>0.17361561514680909</v>
      </c>
      <c r="F349" s="21">
        <f t="shared" si="45"/>
        <v>0.91914149195369521</v>
      </c>
      <c r="G349" s="37">
        <f t="shared" si="45"/>
        <v>8.7114188070722438</v>
      </c>
      <c r="H349" s="17">
        <f>SUM(C349:G349)</f>
        <v>9.8041759141727489</v>
      </c>
      <c r="I349" s="17">
        <f>G349/H349*100</f>
        <v>88.854166666666657</v>
      </c>
      <c r="J349" s="17">
        <f>SQRT(I349*(100-I349)/(L349-1))</f>
        <v>1.016215624077015</v>
      </c>
      <c r="K349" s="18">
        <f>100-I349</f>
        <v>11.145833333333343</v>
      </c>
      <c r="L349" s="1">
        <f>H338</f>
        <v>960</v>
      </c>
      <c r="M349">
        <v>4</v>
      </c>
      <c r="N349" s="1">
        <v>18608.22</v>
      </c>
      <c r="O349" s="17">
        <f>N349/N350*100</f>
        <v>9.8041759141727489</v>
      </c>
      <c r="P349" s="52">
        <f>((O349*O349*(I349/100)*(K349/100))/(L349-1))</f>
        <v>9.9264492329063595E-3</v>
      </c>
      <c r="AM349" s="78"/>
      <c r="AN349" s="78"/>
    </row>
    <row r="350" spans="1:40" x14ac:dyDescent="0.3">
      <c r="B350" t="s">
        <v>28</v>
      </c>
      <c r="C350" s="17">
        <f t="shared" ref="C350:H350" si="46">SUM(C345:C349)</f>
        <v>1.3940547518086637</v>
      </c>
      <c r="D350" s="17">
        <f t="shared" si="46"/>
        <v>5.7785903194828343</v>
      </c>
      <c r="E350" s="17">
        <f t="shared" si="46"/>
        <v>58.029880693876173</v>
      </c>
      <c r="F350" s="17">
        <f t="shared" si="46"/>
        <v>24.201703761425993</v>
      </c>
      <c r="G350" s="17">
        <f t="shared" si="46"/>
        <v>10.595770473406358</v>
      </c>
      <c r="H350" s="18">
        <f t="shared" si="46"/>
        <v>100.00000000000001</v>
      </c>
      <c r="I350" s="13" t="s">
        <v>24</v>
      </c>
      <c r="J350" s="12" t="s">
        <v>29</v>
      </c>
      <c r="N350" s="1">
        <f>SUM(N345:N349)</f>
        <v>189798.91999999998</v>
      </c>
      <c r="O350" s="17">
        <f>SUM(O345:O349)</f>
        <v>100.00000000000001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9.7088433435039753E-3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0.1435565147517949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0.17759355645563238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0.19286181321452919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0.16562039188904118</v>
      </c>
      <c r="H351" s="1"/>
      <c r="I351" s="14">
        <f>(C345+D346+E347+F348+G349)/H350</f>
        <v>0.93392662119360437</v>
      </c>
      <c r="J351" s="53">
        <f>SQRT(SUM(P345:P349))/100</f>
        <v>2.3935325982409133E-3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99.303418227104672</v>
      </c>
      <c r="D352" s="17">
        <f>D346/D350*100</f>
        <v>67.526549819414996</v>
      </c>
      <c r="E352" s="17">
        <f>E347/E350*100</f>
        <v>98.111342692686151</v>
      </c>
      <c r="F352" s="17">
        <f>F348/F350*100</f>
        <v>92.80719130573371</v>
      </c>
      <c r="G352" s="17">
        <f>G349/G350*100</f>
        <v>82.216001459605721</v>
      </c>
      <c r="H352" s="1"/>
    </row>
    <row r="353" spans="1:40" x14ac:dyDescent="0.3">
      <c r="B353" s="16" t="s">
        <v>39</v>
      </c>
      <c r="C353" s="18">
        <f>SQRT((C356+C357)/(C350*C350))</f>
        <v>0.69172951123203141</v>
      </c>
      <c r="D353" s="18">
        <f>SQRT((D356+D357)/(D350*D350))</f>
        <v>4.2414121668063327</v>
      </c>
      <c r="E353" s="18">
        <f>SQRT((E356+E357)/(E350*E350))</f>
        <v>0.18475825551975661</v>
      </c>
      <c r="F353" s="18">
        <f>SQRT((F356+F357)/(F350*F350))</f>
        <v>0.64669341446241457</v>
      </c>
      <c r="G353" s="18">
        <f>SQRT((G356+G357)/(G350*G350))</f>
        <v>1.9625177814159949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0.6965817728953283</v>
      </c>
      <c r="D354" s="18">
        <f>100-D352</f>
        <v>32.473450180585004</v>
      </c>
      <c r="E354" s="18">
        <f>100-E352</f>
        <v>1.8886573073138493</v>
      </c>
      <c r="F354" s="18">
        <f>100-F352</f>
        <v>7.1928086942662901</v>
      </c>
      <c r="G354" s="18">
        <f>100-G352</f>
        <v>17.783998540394279</v>
      </c>
    </row>
    <row r="355" spans="1:40" ht="15.6" x14ac:dyDescent="0.35">
      <c r="B355" s="1" t="s">
        <v>25</v>
      </c>
      <c r="C355" s="1">
        <f>C339</f>
        <v>260</v>
      </c>
      <c r="D355" s="1">
        <f>D339</f>
        <v>526</v>
      </c>
      <c r="E355" s="1">
        <f>E339</f>
        <v>6965</v>
      </c>
      <c r="F355" s="1">
        <f>F339</f>
        <v>2502</v>
      </c>
      <c r="G355" s="1">
        <f>G339</f>
        <v>1046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529.55634548540695</v>
      </c>
      <c r="E356" s="18">
        <f>(O347*O347*(100-E352)*(100-E352)*(I347)*(100-I347))/((L347-1)*100)</f>
        <v>7.265817538341472</v>
      </c>
      <c r="F356" s="18">
        <f>(O348*O348*(100-F352)*(100-F352)*(I348)*(100-I348))/((L348-1)*100)</f>
        <v>113.6774215403145</v>
      </c>
      <c r="G356" s="18">
        <f>(O349*O349*(100-G352)*(100-G352)*(I349)*(100-I349))/((L349-1)*100)</f>
        <v>313.94440953078566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0.92989148509235875</v>
      </c>
      <c r="D357" s="18">
        <f>D352*D352*(SUM((H345*D345*(1-D334/H334))/(H334-1),(H347*D347*(1-D336/H336))/(H336-1), (H348*D348*(1-D337/H337))/(H337-1),(H349*D349*(1-D338/H338))/(H338-1)))</f>
        <v>71.153523674833124</v>
      </c>
      <c r="E357" s="18">
        <f>E352*E352*(SUM((H345*E345*(1-E334/H334))/(H334-1),(H346*E346*(1-E335/H335))/(H335-1), (H348*E348*(1-E337/H337))/(H337-1),(H349*E349*(1-E338/H338))/(H338-1)))</f>
        <v>107.68473452666616</v>
      </c>
      <c r="F357" s="18">
        <f>F352*F352*(SUM((H345*F345*(1-F334/H334))/(H334-1),(H346*F346*(1-F335/H335))/(H335-1), (H347*F347*(1-F336/H336))/(H336-1),(H349*F349*(1-F338/H338))/(H338-1)))</f>
        <v>131.27896004356748</v>
      </c>
      <c r="G357" s="18">
        <f>G352*G352*(SUM((H345*G345*(1-G334/H334))/(H334-1),(H346*G346*(1-G335/H335))/(H335-1), (H347*G347*(1-G336/H336))/(H336-1),(H348*G348*(1-G337/H337))/(H337-1)))</f>
        <v>118.46216117766855</v>
      </c>
      <c r="AM357" s="78"/>
      <c r="AN357" s="78"/>
    </row>
    <row r="359" spans="1:40" x14ac:dyDescent="0.3">
      <c r="AM359" s="78"/>
      <c r="AN359" s="78"/>
    </row>
    <row r="360" spans="1:40" x14ac:dyDescent="0.3">
      <c r="A360" s="361" t="s">
        <v>437</v>
      </c>
      <c r="B360" s="361"/>
      <c r="C360" s="361"/>
      <c r="D360" s="361"/>
      <c r="E360" s="361"/>
      <c r="F360" s="361"/>
      <c r="G360" s="361"/>
      <c r="H360" s="361"/>
      <c r="I360" s="361"/>
      <c r="J360" s="361"/>
      <c r="K360" s="361"/>
      <c r="L360" s="361" t="s">
        <v>90</v>
      </c>
      <c r="M360" s="361"/>
      <c r="N360" s="361"/>
      <c r="O360" s="361"/>
      <c r="P360" s="361"/>
    </row>
    <row r="361" spans="1:40" x14ac:dyDescent="0.3">
      <c r="A361" t="s">
        <v>15</v>
      </c>
      <c r="B361" t="s">
        <v>21</v>
      </c>
      <c r="I361" s="1" t="s">
        <v>58</v>
      </c>
      <c r="O361" s="143"/>
      <c r="P361" s="143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56</v>
      </c>
      <c r="O362" s="13"/>
      <c r="P362" s="13"/>
    </row>
    <row r="363" spans="1:40" x14ac:dyDescent="0.3">
      <c r="A363" t="s">
        <v>3</v>
      </c>
      <c r="B363" s="13">
        <v>0</v>
      </c>
      <c r="C363" s="26">
        <v>253</v>
      </c>
      <c r="D363" s="3">
        <v>0</v>
      </c>
      <c r="E363" s="3">
        <v>0</v>
      </c>
      <c r="F363" s="3">
        <v>6</v>
      </c>
      <c r="G363" s="4">
        <v>0</v>
      </c>
      <c r="H363" s="1">
        <f>SUM(C363:G363)</f>
        <v>259</v>
      </c>
      <c r="I363" s="10">
        <f>C363/H363</f>
        <v>0.97683397683397688</v>
      </c>
      <c r="J363" s="11">
        <f>1-I363</f>
        <v>2.316602316602312E-2</v>
      </c>
      <c r="K363">
        <f>H363-C368</f>
        <v>5</v>
      </c>
      <c r="N363" s="10">
        <f>2*(C369*I363)/(C369+I363)</f>
        <v>0.9863547758284601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301</v>
      </c>
      <c r="E364" s="1">
        <v>26</v>
      </c>
      <c r="F364" s="1">
        <v>0</v>
      </c>
      <c r="G364" s="6">
        <v>12</v>
      </c>
      <c r="H364" s="1">
        <f>SUM(C364:G364)</f>
        <v>339</v>
      </c>
      <c r="I364" s="10">
        <f>D364/H364</f>
        <v>0.88790560471976399</v>
      </c>
      <c r="J364" s="11">
        <f>1-I364</f>
        <v>0.11209439528023601</v>
      </c>
      <c r="K364">
        <f>H364-D368</f>
        <v>-180</v>
      </c>
      <c r="N364" s="10">
        <f>2*(D369*I364)/(D369+I364)</f>
        <v>0.70163170163170163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188</v>
      </c>
      <c r="E365" s="27">
        <v>6871</v>
      </c>
      <c r="F365" s="1">
        <v>93</v>
      </c>
      <c r="G365" s="6">
        <v>17</v>
      </c>
      <c r="H365" s="1">
        <f>SUM(C365:G365)</f>
        <v>7169</v>
      </c>
      <c r="I365" s="10">
        <f>E365/H365</f>
        <v>0.95843213837355279</v>
      </c>
      <c r="J365" s="11">
        <f>1-I365</f>
        <v>4.1567861626447211E-2</v>
      </c>
      <c r="K365">
        <f>H365-E368</f>
        <v>191</v>
      </c>
      <c r="N365" s="10">
        <f>2*(E369*I365)/(E369+I365)</f>
        <v>0.97137202233689124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1</v>
      </c>
      <c r="D366" s="1">
        <v>30</v>
      </c>
      <c r="E366" s="1">
        <v>72</v>
      </c>
      <c r="F366" s="27">
        <v>2315</v>
      </c>
      <c r="G366" s="6">
        <v>154</v>
      </c>
      <c r="H366" s="1">
        <f>SUM(C366:G366)</f>
        <v>2572</v>
      </c>
      <c r="I366" s="10">
        <f>F366/H366</f>
        <v>0.90007776049766719</v>
      </c>
      <c r="J366" s="11">
        <f>1-I366</f>
        <v>9.992223950233281E-2</v>
      </c>
      <c r="K366">
        <f>H366-F368</f>
        <v>62</v>
      </c>
      <c r="N366" s="10">
        <f>2*(F369*I366)/(F369+I366)</f>
        <v>0.91105863833136558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0</v>
      </c>
      <c r="E367" s="8">
        <v>9</v>
      </c>
      <c r="F367" s="8">
        <v>96</v>
      </c>
      <c r="G367" s="28">
        <v>855</v>
      </c>
      <c r="H367" s="1">
        <f>SUM(C367:G367)</f>
        <v>960</v>
      </c>
      <c r="I367" s="10">
        <f>G367/H367</f>
        <v>0.890625</v>
      </c>
      <c r="J367" s="11">
        <f>1-I367</f>
        <v>0.109375</v>
      </c>
      <c r="K367">
        <f>H367-G368</f>
        <v>-78</v>
      </c>
      <c r="N367" s="10">
        <f>2*(G369*I367)/(G369+I367)</f>
        <v>0.85585585585585588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254</v>
      </c>
      <c r="D368" s="1">
        <f>SUM(D363:D367)</f>
        <v>519</v>
      </c>
      <c r="E368" s="1">
        <f>SUM(E363:E367)</f>
        <v>6978</v>
      </c>
      <c r="F368" s="1">
        <f>SUM(F363:F367)</f>
        <v>2510</v>
      </c>
      <c r="G368" s="1">
        <f>SUM(G363:G367)</f>
        <v>1038</v>
      </c>
      <c r="H368" s="1">
        <f>SUM(H362:H367)</f>
        <v>11299</v>
      </c>
      <c r="I368" s="13" t="s">
        <v>12</v>
      </c>
      <c r="N368" s="16"/>
      <c r="O368" s="1"/>
      <c r="P368" s="1"/>
    </row>
    <row r="369" spans="1:40" x14ac:dyDescent="0.3">
      <c r="A369" s="1" t="s">
        <v>57</v>
      </c>
      <c r="B369" s="1" t="s">
        <v>2</v>
      </c>
      <c r="C369" s="10">
        <f>C363/C368</f>
        <v>0.99606299212598426</v>
      </c>
      <c r="D369" s="10">
        <f>D364/D368</f>
        <v>0.57996146435452789</v>
      </c>
      <c r="E369" s="10">
        <f>E365/E368</f>
        <v>0.98466609343651479</v>
      </c>
      <c r="F369" s="10">
        <f>F366/F368</f>
        <v>0.92231075697211151</v>
      </c>
      <c r="G369" s="10">
        <f>G367/G368</f>
        <v>0.82369942196531787</v>
      </c>
      <c r="H369" s="10"/>
      <c r="I369" s="14">
        <f>(C363+D364+E365+F366+G367)/H368</f>
        <v>0.93769360120364631</v>
      </c>
      <c r="AM369" s="78"/>
      <c r="AN369" s="78"/>
    </row>
    <row r="370" spans="1:40" x14ac:dyDescent="0.3">
      <c r="B370" s="1" t="s">
        <v>14</v>
      </c>
      <c r="C370" s="11">
        <f>1-C369</f>
        <v>3.937007874015741E-3</v>
      </c>
      <c r="D370" s="11">
        <f>1-D369</f>
        <v>0.42003853564547211</v>
      </c>
      <c r="E370" s="11">
        <f>1-E369</f>
        <v>1.5333906563485211E-2</v>
      </c>
      <c r="F370" s="11">
        <f>1-F369</f>
        <v>7.7689243027888488E-2</v>
      </c>
      <c r="G370" s="11">
        <f>1-G369</f>
        <v>0.17630057803468213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1.3070915863408046</v>
      </c>
      <c r="D374" s="31">
        <f>(D363/$L374)*$O374</f>
        <v>0</v>
      </c>
      <c r="E374" s="31">
        <f>(E363/$L374)*$O374</f>
        <v>0</v>
      </c>
      <c r="F374" s="31">
        <f>(F363/$L374)*$O374</f>
        <v>3.0998219438912358E-2</v>
      </c>
      <c r="G374" s="32">
        <f>(G363/$L374)*$O374</f>
        <v>0</v>
      </c>
      <c r="H374" s="17">
        <f>SUM(C374:G374)</f>
        <v>1.338089805779717</v>
      </c>
      <c r="I374" s="17">
        <f>C374/H374*100</f>
        <v>97.683397683397672</v>
      </c>
      <c r="J374" s="17">
        <f>SQRT(I374*(100-I374)/(L374-1))</f>
        <v>0.93653986569014813</v>
      </c>
      <c r="K374" s="18">
        <f>100-I374</f>
        <v>2.316602316602328</v>
      </c>
      <c r="L374" s="1">
        <f>H363</f>
        <v>259</v>
      </c>
      <c r="M374">
        <v>0</v>
      </c>
      <c r="N374" s="1">
        <v>2539.6799999999998</v>
      </c>
      <c r="O374" s="17">
        <f>N374/N379*100</f>
        <v>1.3380898057797168</v>
      </c>
      <c r="P374" s="52">
        <f>((O374*O374*(I374/100)*(K374/100))/(L374-1))</f>
        <v>1.5704461945793998E-4</v>
      </c>
    </row>
    <row r="375" spans="1:40" x14ac:dyDescent="0.3">
      <c r="A375" t="s">
        <v>4</v>
      </c>
      <c r="B375" s="13">
        <v>1</v>
      </c>
      <c r="C375" s="33">
        <f t="shared" ref="C375:G378" si="47">(C364/$L375)*$O375</f>
        <v>0</v>
      </c>
      <c r="D375" s="34">
        <f t="shared" si="47"/>
        <v>3.7674638626573138</v>
      </c>
      <c r="E375" s="19">
        <f t="shared" si="47"/>
        <v>0.32542877218966831</v>
      </c>
      <c r="F375" s="18">
        <f t="shared" si="47"/>
        <v>0</v>
      </c>
      <c r="G375" s="20">
        <f t="shared" si="47"/>
        <v>0.15019789485676999</v>
      </c>
      <c r="H375" s="17">
        <f>SUM(C375:G375)</f>
        <v>4.2430905297037524</v>
      </c>
      <c r="I375" s="17">
        <f>D375/H375*100</f>
        <v>88.790560471976391</v>
      </c>
      <c r="J375" s="17">
        <f>SQRT(I375*(100-I375)/(L375-1))</f>
        <v>1.7159988709375662</v>
      </c>
      <c r="K375" s="18">
        <f>100-I375</f>
        <v>11.209439528023609</v>
      </c>
      <c r="L375" s="1">
        <f>H364</f>
        <v>339</v>
      </c>
      <c r="M375">
        <v>1</v>
      </c>
      <c r="N375" s="1">
        <v>8053.34</v>
      </c>
      <c r="O375" s="17">
        <f>N375/N379*100</f>
        <v>4.2430905297037524</v>
      </c>
      <c r="P375" s="52">
        <f>((O375*O375*(I375/100)*(K375/100))/(L375-1))</f>
        <v>5.3014978704544382E-3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47"/>
        <v>0</v>
      </c>
      <c r="D376" s="19">
        <f t="shared" si="47"/>
        <v>1.5618027862097599</v>
      </c>
      <c r="E376" s="34">
        <f t="shared" si="47"/>
        <v>57.080568851315213</v>
      </c>
      <c r="F376" s="19">
        <f t="shared" si="47"/>
        <v>0.77259393147610467</v>
      </c>
      <c r="G376" s="20">
        <f t="shared" si="47"/>
        <v>0.14122684768918042</v>
      </c>
      <c r="H376" s="17">
        <f>SUM(C376:G376)</f>
        <v>59.556192416690259</v>
      </c>
      <c r="I376" s="17">
        <f>E376/H376*100</f>
        <v>95.843213837355279</v>
      </c>
      <c r="J376" s="17">
        <f>SQRT(I376*(100-I376)/(L376-1))</f>
        <v>0.23575479120646117</v>
      </c>
      <c r="K376" s="18">
        <f>100-I376</f>
        <v>4.1567861626447211</v>
      </c>
      <c r="L376" s="1">
        <f>H365</f>
        <v>7169</v>
      </c>
      <c r="M376">
        <v>2</v>
      </c>
      <c r="N376" s="1">
        <v>113037.01</v>
      </c>
      <c r="O376" s="17">
        <f>N376/N379*100</f>
        <v>59.556192416690259</v>
      </c>
      <c r="P376" s="52">
        <f>((O376*O376*(I376/100)*(K376/100))/(L376-1))</f>
        <v>1.9714006888020191E-2</v>
      </c>
    </row>
    <row r="377" spans="1:40" x14ac:dyDescent="0.3">
      <c r="A377" t="s">
        <v>6</v>
      </c>
      <c r="B377" s="13">
        <v>3</v>
      </c>
      <c r="C377" s="33">
        <f t="shared" si="47"/>
        <v>9.681054731522646E-3</v>
      </c>
      <c r="D377" s="19">
        <f t="shared" si="47"/>
        <v>0.29043164194567939</v>
      </c>
      <c r="E377" s="19">
        <f t="shared" si="47"/>
        <v>0.69703594066963048</v>
      </c>
      <c r="F377" s="34">
        <f t="shared" si="47"/>
        <v>22.411641703474924</v>
      </c>
      <c r="G377" s="20">
        <f t="shared" si="47"/>
        <v>1.4908824286544875</v>
      </c>
      <c r="H377" s="17">
        <f>SUM(C377:G377)</f>
        <v>24.899672769476243</v>
      </c>
      <c r="I377" s="17">
        <f>F377/H377*100</f>
        <v>90.007776049766719</v>
      </c>
      <c r="J377" s="17">
        <f>SQRT(I377*(100-I377)/(L377-1))</f>
        <v>0.59145275184333557</v>
      </c>
      <c r="K377" s="18">
        <f>100-I377</f>
        <v>9.9922239502332815</v>
      </c>
      <c r="L377" s="1">
        <f>H366</f>
        <v>2572</v>
      </c>
      <c r="M377">
        <v>3</v>
      </c>
      <c r="N377" s="1">
        <v>47259.31</v>
      </c>
      <c r="O377" s="17">
        <f>N377/N379*100</f>
        <v>24.899672769476243</v>
      </c>
      <c r="P377" s="52">
        <f>((O377*O377*(I377/100)*(K377/100))/(L377-1))</f>
        <v>2.1688393931674974E-2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47"/>
        <v>0</v>
      </c>
      <c r="D378" s="36">
        <f t="shared" si="47"/>
        <v>0</v>
      </c>
      <c r="E378" s="21">
        <f t="shared" si="47"/>
        <v>9.3402698234531595E-2</v>
      </c>
      <c r="F378" s="21">
        <f t="shared" si="47"/>
        <v>0.99629544783500368</v>
      </c>
      <c r="G378" s="37">
        <f t="shared" si="47"/>
        <v>8.8732563322805014</v>
      </c>
      <c r="H378" s="17">
        <f>SUM(C378:G378)</f>
        <v>9.9629544783500368</v>
      </c>
      <c r="I378" s="17">
        <f>G378/H378*100</f>
        <v>89.0625</v>
      </c>
      <c r="J378" s="17">
        <f>SQRT(I378*(100-I378)/(L378-1))</f>
        <v>1.0078529475417597</v>
      </c>
      <c r="K378" s="18">
        <f>100-I378</f>
        <v>10.9375</v>
      </c>
      <c r="L378" s="1">
        <f>H367</f>
        <v>960</v>
      </c>
      <c r="M378">
        <v>4</v>
      </c>
      <c r="N378" s="1">
        <v>18909.580000000002</v>
      </c>
      <c r="O378" s="17">
        <f>N378/N379*100</f>
        <v>9.9629544783500368</v>
      </c>
      <c r="P378" s="52">
        <f>((O378*O378*(I378/100)*(K378/100))/(L378-1))</f>
        <v>1.0082555761090538E-2</v>
      </c>
    </row>
    <row r="379" spans="1:40" x14ac:dyDescent="0.3">
      <c r="B379" t="s">
        <v>28</v>
      </c>
      <c r="C379" s="17">
        <f t="shared" ref="C379:H379" si="48">SUM(C374:C378)</f>
        <v>1.3167726410723273</v>
      </c>
      <c r="D379" s="17">
        <f t="shared" si="48"/>
        <v>5.6196982908127531</v>
      </c>
      <c r="E379" s="17">
        <f t="shared" si="48"/>
        <v>58.196436262409044</v>
      </c>
      <c r="F379" s="17">
        <f t="shared" si="48"/>
        <v>24.211529302224942</v>
      </c>
      <c r="G379" s="17">
        <f t="shared" si="48"/>
        <v>10.65556350348094</v>
      </c>
      <c r="H379" s="18">
        <f t="shared" si="48"/>
        <v>100.00000000000001</v>
      </c>
      <c r="I379" s="13" t="s">
        <v>24</v>
      </c>
      <c r="J379" s="12" t="s">
        <v>29</v>
      </c>
      <c r="N379" s="1">
        <f>SUM(N374:N378)</f>
        <v>189798.91999999998</v>
      </c>
      <c r="O379" s="17">
        <f>SUM(O374:O378)</f>
        <v>100.00000000000001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1.5815329608474531E-2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0.14387188142411392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0.17604395834485795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0.19359003329215987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0.16317175791049471</v>
      </c>
      <c r="H380" s="1"/>
      <c r="I380" s="14">
        <f>(C374+D375+E376+F377+G378)/H379</f>
        <v>0.93440022336068751</v>
      </c>
      <c r="J380" s="53">
        <f>SQRT(SUM(P374:P378))/100</f>
        <v>2.3862837021338869E-3</v>
      </c>
      <c r="M380" s="1"/>
      <c r="N380" s="9"/>
    </row>
    <row r="381" spans="1:40" x14ac:dyDescent="0.3">
      <c r="B381" s="1" t="s">
        <v>30</v>
      </c>
      <c r="C381" s="17">
        <f>C374/C379*100</f>
        <v>99.264789195222122</v>
      </c>
      <c r="D381" s="17">
        <f>D375/D379*100</f>
        <v>67.040322588429234</v>
      </c>
      <c r="E381" s="17">
        <f>E376/E379*100</f>
        <v>98.082584634457078</v>
      </c>
      <c r="F381" s="17">
        <f>F377/F379*100</f>
        <v>92.565989631292652</v>
      </c>
      <c r="G381" s="17">
        <f>G378/G379*100</f>
        <v>83.273459253298071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1.0110379659347248</v>
      </c>
      <c r="D382" s="18">
        <f>SQRT((D385+D386)/(D379*D379))</f>
        <v>4.5199882986433391</v>
      </c>
      <c r="E382" s="18">
        <f>SQRT((E385+E386)/(E379*E379))</f>
        <v>0.18499427394508319</v>
      </c>
      <c r="F382" s="18">
        <f>SQRT((F385+F386)/(F379*F379))</f>
        <v>0.65995481953158286</v>
      </c>
      <c r="G382" s="18">
        <f>SQRT((G385+G386)/(G379*G379))</f>
        <v>1.8697791795670582</v>
      </c>
      <c r="H382" s="1"/>
    </row>
    <row r="383" spans="1:40" x14ac:dyDescent="0.3">
      <c r="B383" s="1" t="s">
        <v>37</v>
      </c>
      <c r="C383" s="18">
        <f>100-C381</f>
        <v>0.73521080477787848</v>
      </c>
      <c r="D383" s="18">
        <f>100-D381</f>
        <v>32.959677411570766</v>
      </c>
      <c r="E383" s="18">
        <f>100-E381</f>
        <v>1.9174153655429222</v>
      </c>
      <c r="F383" s="18">
        <f>100-F381</f>
        <v>7.434010368707348</v>
      </c>
      <c r="G383" s="18">
        <f>100-G381</f>
        <v>16.726540746701929</v>
      </c>
      <c r="AM383" s="78"/>
      <c r="AN383" s="78"/>
    </row>
    <row r="384" spans="1:40" ht="15.6" x14ac:dyDescent="0.35">
      <c r="B384" s="1" t="s">
        <v>25</v>
      </c>
      <c r="C384" s="1">
        <f>C368</f>
        <v>254</v>
      </c>
      <c r="D384" s="1">
        <f>D368</f>
        <v>519</v>
      </c>
      <c r="E384" s="1">
        <f>E368</f>
        <v>6978</v>
      </c>
      <c r="F384" s="1">
        <f>F368</f>
        <v>2510</v>
      </c>
      <c r="G384" s="1">
        <f>G368</f>
        <v>1038</v>
      </c>
    </row>
    <row r="385" spans="1:40" x14ac:dyDescent="0.3">
      <c r="B385" s="1" t="s">
        <v>34</v>
      </c>
      <c r="C385" s="18">
        <f>(O374*O374*(100-C381)*(100-C381)*(I374)*(100-I374))/(L374-1)</f>
        <v>0.84888101987016296</v>
      </c>
      <c r="D385" s="18">
        <f>(O375*O375*(100-D381)*(100-D381)*(I375)*(100-I375))/((L375-1)*100)</f>
        <v>575.92309729878559</v>
      </c>
      <c r="E385" s="18">
        <f>(O376*O376*(100-E381)*(100-E381)*(I376)*(100-I376))/((L376-1)*100)</f>
        <v>7.2478185242452282</v>
      </c>
      <c r="F385" s="18">
        <f>(O377*O377*(100-F381)*(100-F381)*(I377)*(100-I377))/((L377-1)*100)</f>
        <v>119.85984668355593</v>
      </c>
      <c r="G385" s="18">
        <f>(O378*O378*(100-G381)*(100-G381)*(I378)*(100-I378))/((L378-1)*100)</f>
        <v>282.08688703321116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0.92349766151671964</v>
      </c>
      <c r="D386" s="18">
        <f>D381*D381*(SUM((H374*D374*(1-D363/H363))/(H363-1),(H376*D376*(1-D365/H365))/(H365-1), (H377*D377*(1-D366/H366))/(H366-1),(H378*D378*(1-D367/H367))/(H367-1)))</f>
        <v>69.286205875201063</v>
      </c>
      <c r="E386" s="18">
        <f>E381*E381*(SUM((H374*E374*(1-E363/H363))/(H363-1),(H375*E375*(1-E364/H364))/(H364-1), (H377*E377*(1-E366/H366))/(H366-1),(H378*E378*(1-E367/H367))/(H367-1)))</f>
        <v>108.65909837487932</v>
      </c>
      <c r="F386" s="18">
        <f>F381*F381*(SUM((H374*F374*(1-F363/H363))/(H363-1),(H375*F375*(1-F364/H364))/(H364-1), (H376*F376*(1-F365/H365))/(H365-1),(H378*F378*(1-F367/H367))/(H367-1)))</f>
        <v>135.45310934175151</v>
      </c>
      <c r="G386" s="18">
        <f>G381*G381*(SUM((H374*G374*(1-G363/H363))/(H363-1),(H375*G375*(1-G364/H364))/(H364-1), (H376*G376*(1-G365/H365))/(H365-1),(H377*G377*(1-G366/H366))/(H366-1)))</f>
        <v>114.8609888637386</v>
      </c>
    </row>
    <row r="387" spans="1:40" x14ac:dyDescent="0.3">
      <c r="AM387" s="78"/>
      <c r="AN387" s="78"/>
    </row>
    <row r="389" spans="1:40" x14ac:dyDescent="0.3">
      <c r="A389" s="361" t="s">
        <v>437</v>
      </c>
      <c r="B389" s="361"/>
      <c r="C389" s="361"/>
      <c r="D389" s="361"/>
      <c r="E389" s="361"/>
      <c r="F389" s="361"/>
      <c r="G389" s="361"/>
      <c r="H389" s="361"/>
      <c r="I389" s="361"/>
      <c r="J389" s="361"/>
      <c r="K389" s="361"/>
      <c r="L389" s="361" t="s">
        <v>91</v>
      </c>
      <c r="M389" s="361"/>
      <c r="N389" s="361"/>
      <c r="O389" s="361"/>
      <c r="P389" s="361"/>
      <c r="AM389" s="78"/>
      <c r="AN389" s="78"/>
    </row>
    <row r="390" spans="1:40" x14ac:dyDescent="0.3">
      <c r="A390" t="s">
        <v>15</v>
      </c>
      <c r="B390" t="s">
        <v>21</v>
      </c>
      <c r="I390" s="1" t="s">
        <v>58</v>
      </c>
      <c r="O390" s="143"/>
      <c r="P390" s="143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56</v>
      </c>
      <c r="O391" s="13"/>
      <c r="P391" s="13"/>
      <c r="AM391" s="78"/>
      <c r="AN391" s="78"/>
    </row>
    <row r="392" spans="1:40" x14ac:dyDescent="0.3">
      <c r="A392" t="s">
        <v>3</v>
      </c>
      <c r="B392" s="13">
        <v>0</v>
      </c>
      <c r="C392" s="26">
        <v>259</v>
      </c>
      <c r="D392" s="3">
        <v>0</v>
      </c>
      <c r="E392" s="3">
        <v>0</v>
      </c>
      <c r="F392" s="3">
        <v>0</v>
      </c>
      <c r="G392" s="4">
        <v>0</v>
      </c>
      <c r="H392" s="1">
        <f>SUM(C392:G392)</f>
        <v>259</v>
      </c>
      <c r="I392" s="10">
        <f>C392/H392</f>
        <v>1</v>
      </c>
      <c r="J392" s="11">
        <f>1-I392</f>
        <v>0</v>
      </c>
      <c r="K392">
        <f>H392-C397</f>
        <v>-3</v>
      </c>
      <c r="N392" s="10">
        <f>2*(C398*I392)/(C398+I392)</f>
        <v>0.99424184261036475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305</v>
      </c>
      <c r="E393" s="1">
        <v>22</v>
      </c>
      <c r="F393" s="1">
        <v>0</v>
      </c>
      <c r="G393" s="6">
        <v>12</v>
      </c>
      <c r="H393" s="1">
        <f>SUM(C393:G393)</f>
        <v>339</v>
      </c>
      <c r="I393" s="10">
        <f>D393/H393</f>
        <v>0.89970501474926257</v>
      </c>
      <c r="J393" s="11">
        <f>1-I393</f>
        <v>0.10029498525073743</v>
      </c>
      <c r="K393">
        <f>H393-D397</f>
        <v>-186</v>
      </c>
      <c r="N393" s="10">
        <f>2*(D398*I393)/(D398+I393)</f>
        <v>0.7060185185185186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201</v>
      </c>
      <c r="E394" s="27">
        <v>6853</v>
      </c>
      <c r="F394" s="1">
        <v>95</v>
      </c>
      <c r="G394" s="6">
        <v>20</v>
      </c>
      <c r="H394" s="1">
        <f>SUM(C394:G394)</f>
        <v>7169</v>
      </c>
      <c r="I394" s="10">
        <f>E394/H394</f>
        <v>0.95592132793974049</v>
      </c>
      <c r="J394" s="11">
        <f>1-I394</f>
        <v>4.4078672060259505E-2</v>
      </c>
      <c r="K394">
        <f>H394-E397</f>
        <v>223</v>
      </c>
      <c r="N394" s="10">
        <f>2*(E398*I394)/(E398+I394)</f>
        <v>0.97102373361671979</v>
      </c>
      <c r="O394" s="1"/>
      <c r="P394" s="1"/>
    </row>
    <row r="395" spans="1:40" x14ac:dyDescent="0.3">
      <c r="A395" t="s">
        <v>6</v>
      </c>
      <c r="B395" s="13">
        <v>3</v>
      </c>
      <c r="C395" s="5">
        <v>2</v>
      </c>
      <c r="D395" s="1">
        <v>19</v>
      </c>
      <c r="E395" s="1">
        <v>60</v>
      </c>
      <c r="F395" s="27">
        <v>2332</v>
      </c>
      <c r="G395" s="6">
        <v>159</v>
      </c>
      <c r="H395" s="1">
        <f>SUM(C395:G395)</f>
        <v>2572</v>
      </c>
      <c r="I395" s="10">
        <f>F395/H395</f>
        <v>0.90668740279937787</v>
      </c>
      <c r="J395" s="11">
        <f>1-I395</f>
        <v>9.3312597200622127E-2</v>
      </c>
      <c r="K395">
        <f>H395-F397</f>
        <v>46</v>
      </c>
      <c r="N395" s="10">
        <f>2*(F398*I395)/(F398+I395)</f>
        <v>0.91486857591212245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1</v>
      </c>
      <c r="D396" s="8">
        <v>0</v>
      </c>
      <c r="E396" s="8">
        <v>11</v>
      </c>
      <c r="F396" s="8">
        <v>99</v>
      </c>
      <c r="G396" s="28">
        <v>849</v>
      </c>
      <c r="H396" s="1">
        <f>SUM(C396:G396)</f>
        <v>960</v>
      </c>
      <c r="I396" s="10">
        <f>G396/H396</f>
        <v>0.88437500000000002</v>
      </c>
      <c r="J396" s="11">
        <f>1-I396</f>
        <v>0.11562499999999998</v>
      </c>
      <c r="K396">
        <f>H396-G397</f>
        <v>-80</v>
      </c>
      <c r="N396" s="10">
        <f>2*(G398*I396)/(G398+I396)</f>
        <v>0.84900000000000009</v>
      </c>
      <c r="O396" s="1"/>
      <c r="P396" s="1"/>
    </row>
    <row r="397" spans="1:40" ht="15.6" x14ac:dyDescent="0.35">
      <c r="B397" s="1" t="s">
        <v>19</v>
      </c>
      <c r="C397" s="1">
        <f>SUM(C392:C396)</f>
        <v>262</v>
      </c>
      <c r="D397" s="1">
        <f>SUM(D392:D396)</f>
        <v>525</v>
      </c>
      <c r="E397" s="1">
        <f>SUM(E392:E396)</f>
        <v>6946</v>
      </c>
      <c r="F397" s="1">
        <f>SUM(F392:F396)</f>
        <v>2526</v>
      </c>
      <c r="G397" s="1">
        <f>SUM(G392:G396)</f>
        <v>1040</v>
      </c>
      <c r="H397" s="1">
        <f>SUM(H391:H396)</f>
        <v>11299</v>
      </c>
      <c r="I397" s="13" t="s">
        <v>12</v>
      </c>
      <c r="N397" s="16"/>
      <c r="O397" s="1"/>
      <c r="P397" s="1"/>
      <c r="AM397" s="78"/>
      <c r="AN397" s="78"/>
    </row>
    <row r="398" spans="1:40" x14ac:dyDescent="0.3">
      <c r="A398" s="1" t="s">
        <v>57</v>
      </c>
      <c r="B398" s="1" t="s">
        <v>2</v>
      </c>
      <c r="C398" s="10">
        <f>C392/C397</f>
        <v>0.98854961832061072</v>
      </c>
      <c r="D398" s="10">
        <f>D393/D397</f>
        <v>0.580952380952381</v>
      </c>
      <c r="E398" s="10">
        <f>E394/E397</f>
        <v>0.98661099913619354</v>
      </c>
      <c r="F398" s="10">
        <f>F395/F397</f>
        <v>0.92319873317498025</v>
      </c>
      <c r="G398" s="10">
        <f>G396/G397</f>
        <v>0.81634615384615383</v>
      </c>
      <c r="H398" s="10"/>
      <c r="I398" s="14">
        <f>(C392+D393+E394+F395+G396)/H397</f>
        <v>0.93795911142578992</v>
      </c>
    </row>
    <row r="399" spans="1:40" x14ac:dyDescent="0.3">
      <c r="B399" s="1" t="s">
        <v>14</v>
      </c>
      <c r="C399" s="11">
        <f>1-C398</f>
        <v>1.1450381679389277E-2</v>
      </c>
      <c r="D399" s="11">
        <f>1-D398</f>
        <v>0.419047619047619</v>
      </c>
      <c r="E399" s="11">
        <f>1-E398</f>
        <v>1.3389000863806455E-2</v>
      </c>
      <c r="F399" s="11">
        <f>1-F398</f>
        <v>7.6801266825019754E-2</v>
      </c>
      <c r="G399" s="11">
        <f>1-G398</f>
        <v>0.18365384615384617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1.4194970129440145</v>
      </c>
      <c r="D403" s="31">
        <f>(D392/$L403)*$O403</f>
        <v>0</v>
      </c>
      <c r="E403" s="31">
        <f>(E392/$L403)*$O403</f>
        <v>0</v>
      </c>
      <c r="F403" s="31">
        <f>(F392/$L403)*$O403</f>
        <v>0</v>
      </c>
      <c r="G403" s="32">
        <f>(G392/$L403)*$O403</f>
        <v>0</v>
      </c>
      <c r="H403" s="17">
        <f>SUM(C403:G403)</f>
        <v>1.4194970129440145</v>
      </c>
      <c r="I403" s="17">
        <f>C403/H403*100</f>
        <v>100</v>
      </c>
      <c r="J403" s="17">
        <f>SQRT(I403*(100-I403)/(L403-1))</f>
        <v>0</v>
      </c>
      <c r="K403" s="18">
        <f>100-I403</f>
        <v>0</v>
      </c>
      <c r="L403" s="1">
        <f>H392</f>
        <v>259</v>
      </c>
      <c r="M403">
        <v>0</v>
      </c>
      <c r="N403" s="1">
        <v>2694.19</v>
      </c>
      <c r="O403" s="17">
        <f>N403/N408*100</f>
        <v>1.4194970129440145</v>
      </c>
      <c r="P403" s="52">
        <f>((O403*O403*(I403/100)*(K403/100))/(L403-1))</f>
        <v>0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49">(C393/$L404)*$O404</f>
        <v>0</v>
      </c>
      <c r="D404" s="34">
        <f t="shared" si="49"/>
        <v>3.8229954007646012</v>
      </c>
      <c r="E404" s="19">
        <f t="shared" si="49"/>
        <v>0.27575704530105322</v>
      </c>
      <c r="F404" s="18">
        <f t="shared" si="49"/>
        <v>0</v>
      </c>
      <c r="G404" s="20">
        <f t="shared" si="49"/>
        <v>0.15041293380057447</v>
      </c>
      <c r="H404" s="17">
        <f>SUM(C404:G404)</f>
        <v>4.2491653798662297</v>
      </c>
      <c r="I404" s="17">
        <f>D404/H404*100</f>
        <v>89.970501474926238</v>
      </c>
      <c r="J404" s="17">
        <f>SQRT(I404*(100-I404)/(L404-1))</f>
        <v>1.6339220356155848</v>
      </c>
      <c r="K404" s="18">
        <f>100-I404</f>
        <v>10.029498525073762</v>
      </c>
      <c r="L404" s="1">
        <f>H393</f>
        <v>339</v>
      </c>
      <c r="M404">
        <v>1</v>
      </c>
      <c r="N404" s="1">
        <v>8064.87</v>
      </c>
      <c r="O404" s="17">
        <f>N404/N408*100</f>
        <v>4.2491653798662288</v>
      </c>
      <c r="P404" s="52">
        <f>((O404*O404*(I404/100)*(K404/100))/(L404-1))</f>
        <v>4.8202540534008015E-3</v>
      </c>
    </row>
    <row r="405" spans="1:40" x14ac:dyDescent="0.3">
      <c r="A405" t="s">
        <v>5</v>
      </c>
      <c r="B405" s="13">
        <v>2</v>
      </c>
      <c r="C405" s="33">
        <f t="shared" si="49"/>
        <v>0</v>
      </c>
      <c r="D405" s="19">
        <f t="shared" si="49"/>
        <v>1.6677952064846446</v>
      </c>
      <c r="E405" s="34">
        <f t="shared" si="49"/>
        <v>56.862689303677953</v>
      </c>
      <c r="F405" s="19">
        <f t="shared" si="49"/>
        <v>0.78826141600020516</v>
      </c>
      <c r="G405" s="20">
        <f t="shared" si="49"/>
        <v>0.16594977178951689</v>
      </c>
      <c r="H405" s="17">
        <f>SUM(C405:G405)</f>
        <v>59.484695697952318</v>
      </c>
      <c r="I405" s="17">
        <f>E405/H405*100</f>
        <v>95.592132793974059</v>
      </c>
      <c r="J405" s="17">
        <f>SQRT(I405*(100-I405)/(L405-1))</f>
        <v>0.24245231124443253</v>
      </c>
      <c r="K405" s="18">
        <f>100-I405</f>
        <v>4.4078672060259407</v>
      </c>
      <c r="L405" s="1">
        <f>H394</f>
        <v>7169</v>
      </c>
      <c r="M405">
        <v>2</v>
      </c>
      <c r="N405" s="1">
        <v>112901.31</v>
      </c>
      <c r="O405" s="17">
        <f>N405/N408*100</f>
        <v>59.484695697952326</v>
      </c>
      <c r="P405" s="52">
        <f>((O405*O405*(I405/100)*(K405/100))/(L405-1))</f>
        <v>2.0799990924927469E-2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49"/>
        <v>1.9557220593309065E-2</v>
      </c>
      <c r="D406" s="19">
        <f t="shared" si="49"/>
        <v>0.18579359563643613</v>
      </c>
      <c r="E406" s="19">
        <f t="shared" si="49"/>
        <v>0.58671661779927198</v>
      </c>
      <c r="F406" s="34">
        <f t="shared" si="49"/>
        <v>22.80371921179837</v>
      </c>
      <c r="G406" s="20">
        <f t="shared" si="49"/>
        <v>1.5547990371680707</v>
      </c>
      <c r="H406" s="17">
        <f>SUM(C406:G406)</f>
        <v>25.150585682995459</v>
      </c>
      <c r="I406" s="17">
        <f>F406/H406*100</f>
        <v>90.668740279937794</v>
      </c>
      <c r="J406" s="17">
        <f>SQRT(I406*(100-I406)/(L406-1))</f>
        <v>0.57365118008003868</v>
      </c>
      <c r="K406" s="18">
        <f>100-I406</f>
        <v>9.3312597200622065</v>
      </c>
      <c r="L406" s="1">
        <f>H395</f>
        <v>2572</v>
      </c>
      <c r="M406">
        <v>3</v>
      </c>
      <c r="N406" s="1">
        <v>47735.54</v>
      </c>
      <c r="O406" s="17">
        <f>N406/N408*100</f>
        <v>25.150585682995459</v>
      </c>
      <c r="P406" s="52">
        <f>((O406*O406*(I406/100)*(K406/100))/(L406-1))</f>
        <v>2.0815746416477043E-2</v>
      </c>
    </row>
    <row r="407" spans="1:40" x14ac:dyDescent="0.3">
      <c r="A407" t="s">
        <v>7</v>
      </c>
      <c r="B407" s="13">
        <v>4</v>
      </c>
      <c r="C407" s="35">
        <f t="shared" si="49"/>
        <v>1.0100058569002042E-2</v>
      </c>
      <c r="D407" s="36">
        <f t="shared" si="49"/>
        <v>0</v>
      </c>
      <c r="E407" s="21">
        <f t="shared" si="49"/>
        <v>0.11110064425902245</v>
      </c>
      <c r="F407" s="21">
        <f t="shared" si="49"/>
        <v>0.99990579833120219</v>
      </c>
      <c r="G407" s="37">
        <f t="shared" si="49"/>
        <v>8.5749497250827336</v>
      </c>
      <c r="H407" s="17">
        <f>SUM(C407:G407)</f>
        <v>9.6960562262419607</v>
      </c>
      <c r="I407" s="17">
        <f>G407/H407*100</f>
        <v>88.437499999999986</v>
      </c>
      <c r="J407" s="17">
        <f>SQRT(I407*(100-I407)/(L407-1))</f>
        <v>1.0326063654130526</v>
      </c>
      <c r="K407" s="18">
        <f>100-I407</f>
        <v>11.562500000000014</v>
      </c>
      <c r="L407" s="1">
        <f>H396</f>
        <v>960</v>
      </c>
      <c r="M407">
        <v>4</v>
      </c>
      <c r="N407" s="1">
        <v>18403.009999999998</v>
      </c>
      <c r="O407" s="17">
        <f>N407/N408*100</f>
        <v>9.6960562262419607</v>
      </c>
      <c r="P407" s="52">
        <f>((O407*O407*(I407/100)*(K407/100))/(L407-1))</f>
        <v>1.0024433664133251E-2</v>
      </c>
      <c r="AM407" s="78"/>
      <c r="AN407" s="78"/>
    </row>
    <row r="408" spans="1:40" x14ac:dyDescent="0.3">
      <c r="B408" t="s">
        <v>28</v>
      </c>
      <c r="C408" s="17">
        <f t="shared" ref="C408:H408" si="50">SUM(C403:C407)</f>
        <v>1.4491542921063256</v>
      </c>
      <c r="D408" s="17">
        <f t="shared" si="50"/>
        <v>5.6765842028856826</v>
      </c>
      <c r="E408" s="17">
        <f t="shared" si="50"/>
        <v>57.836263611037303</v>
      </c>
      <c r="F408" s="17">
        <f t="shared" si="50"/>
        <v>24.591886426129776</v>
      </c>
      <c r="G408" s="17">
        <f t="shared" si="50"/>
        <v>10.446111467840895</v>
      </c>
      <c r="H408" s="18">
        <f t="shared" si="50"/>
        <v>99.999999999999986</v>
      </c>
      <c r="I408" s="13" t="s">
        <v>24</v>
      </c>
      <c r="J408" s="12" t="s">
        <v>29</v>
      </c>
      <c r="N408" s="1">
        <f>SUM(N403:N407)</f>
        <v>189798.92</v>
      </c>
      <c r="O408" s="17">
        <f>SUM(O403:O407)</f>
        <v>99.999999999999986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1.71172033067271E-2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0.14163309305512869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0.17533376100230449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0.19057598847933427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0.16573955200983514</v>
      </c>
      <c r="H409" s="1"/>
      <c r="I409" s="56">
        <f>(C403+D404+E405+F406+G407)/H408</f>
        <v>0.93483850654267686</v>
      </c>
      <c r="J409" s="53">
        <f>SQRT(SUM(P403:P407))/100</f>
        <v>2.3761402538347472E-3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97.953476774429276</v>
      </c>
      <c r="D410" s="17">
        <f>D404/D408*100</f>
        <v>67.346757559258748</v>
      </c>
      <c r="E410" s="17">
        <f>E405/E408*100</f>
        <v>98.316671502317519</v>
      </c>
      <c r="F410" s="17">
        <f>F406/F408*100</f>
        <v>92.728629339994782</v>
      </c>
      <c r="G410" s="17">
        <f>G407/G408*100</f>
        <v>82.087480604446284</v>
      </c>
      <c r="H410" s="1"/>
    </row>
    <row r="411" spans="1:40" x14ac:dyDescent="0.3">
      <c r="B411" s="16" t="s">
        <v>39</v>
      </c>
      <c r="C411" s="18">
        <f>SQRT((C414+C415)/(C408*C408))</f>
        <v>1.1573689673651497</v>
      </c>
      <c r="D411" s="18">
        <f>SQRT((D414+D415)/(D408*D408))</f>
        <v>4.2540510866983849</v>
      </c>
      <c r="E411" s="18">
        <f>SQRT((E414+E415)/(E408*E408))</f>
        <v>0.17474817408320792</v>
      </c>
      <c r="F411" s="18">
        <f>SQRT((F414+F415)/(F408*F408))</f>
        <v>0.63457100608751482</v>
      </c>
      <c r="G411" s="18">
        <f>SQRT((G414+G415)/(G408*G408))</f>
        <v>2.0065287403486667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2.0465232255707235</v>
      </c>
      <c r="D412" s="18">
        <f>100-D410</f>
        <v>32.653242440741252</v>
      </c>
      <c r="E412" s="18">
        <f>100-E410</f>
        <v>1.6833284976824814</v>
      </c>
      <c r="F412" s="18">
        <f>100-F410</f>
        <v>7.2713706600052177</v>
      </c>
      <c r="G412" s="18">
        <f>100-G410</f>
        <v>17.912519395553716</v>
      </c>
    </row>
    <row r="413" spans="1:40" ht="15.6" x14ac:dyDescent="0.35">
      <c r="B413" s="1" t="s">
        <v>25</v>
      </c>
      <c r="C413" s="1">
        <f>C397</f>
        <v>262</v>
      </c>
      <c r="D413" s="1">
        <f>D397</f>
        <v>525</v>
      </c>
      <c r="E413" s="1">
        <f>E397</f>
        <v>6946</v>
      </c>
      <c r="F413" s="1">
        <f>F397</f>
        <v>2526</v>
      </c>
      <c r="G413" s="1">
        <f>G397</f>
        <v>1040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513.95199263634436</v>
      </c>
      <c r="E414" s="18">
        <f>(O405*O405*(100-E410)*(100-E410)*(I405)*(100-I405))/((L405-1)*100)</f>
        <v>5.8938746772008548</v>
      </c>
      <c r="F414" s="18">
        <f>(O406*O406*(100-F410)*(100-F410)*(I406)*(100-I406))/((L406-1)*100)</f>
        <v>110.05874481454215</v>
      </c>
      <c r="G414" s="18">
        <f>(O407*O407*(100-G410)*(100-G410)*(I407)*(100-I407))/((L407-1)*100)</f>
        <v>321.64232561459113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2.81302065948397</v>
      </c>
      <c r="D415" s="18">
        <f>D410*D410*(SUM((H403*D403*(1-D392/H392))/(H392-1),(H405*D405*(1-D394/H394))/(H394-1), (H406*D406*(1-D395/H395))/(H395-1),(H407*D407*(1-D396/H396))/(H396-1)))</f>
        <v>69.197054892598302</v>
      </c>
      <c r="E415" s="18">
        <f>E410*E410*(SUM((H403*E403*(1-E392/H392))/(H392-1),(H404*E404*(1-E393/H393))/(H393-1), (H406*E406*(1-E395/H395))/(H395-1),(H407*E407*(1-E396/H396))/(H396-1)))</f>
        <v>96.253156839865383</v>
      </c>
      <c r="F415" s="18">
        <f>F410*F410*(SUM((H403*F403*(1-F392/H392))/(H392-1),(H404*F404*(1-F393/H393))/(H393-1), (H405*F405*(1-F394/H394))/(H394-1),(H407*F407*(1-F396/H396))/(H396-1)))</f>
        <v>133.46658431923322</v>
      </c>
      <c r="G415" s="18">
        <f>G410*G410*(SUM((H403*G403*(1-G392/H392))/(H392-1),(H404*G404*(1-G393/H393))/(H393-1), (H405*G405*(1-G394/H394))/(H394-1),(H406*G406*(1-G395/H395))/(H395-1)))</f>
        <v>117.69700190799124</v>
      </c>
      <c r="AM415" s="78"/>
      <c r="AN415" s="78"/>
    </row>
    <row r="417" spans="1:40" x14ac:dyDescent="0.3">
      <c r="AM417" s="78"/>
      <c r="AN417" s="78"/>
    </row>
    <row r="418" spans="1:40" x14ac:dyDescent="0.3">
      <c r="A418" s="361" t="s">
        <v>437</v>
      </c>
      <c r="B418" s="361"/>
      <c r="C418" s="361"/>
      <c r="D418" s="361"/>
      <c r="E418" s="361"/>
      <c r="F418" s="361"/>
      <c r="G418" s="361"/>
      <c r="H418" s="361"/>
      <c r="I418" s="361"/>
      <c r="J418" s="361"/>
      <c r="K418" s="361"/>
      <c r="L418" s="361" t="s">
        <v>92</v>
      </c>
      <c r="M418" s="361"/>
      <c r="N418" s="361"/>
      <c r="O418" s="361"/>
      <c r="P418" s="361"/>
    </row>
    <row r="419" spans="1:40" x14ac:dyDescent="0.3">
      <c r="A419" t="s">
        <v>15</v>
      </c>
      <c r="B419" t="s">
        <v>21</v>
      </c>
      <c r="I419" s="1" t="s">
        <v>58</v>
      </c>
      <c r="O419" s="143"/>
      <c r="P419" s="143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56</v>
      </c>
      <c r="O420" s="13"/>
      <c r="P420" s="13"/>
    </row>
    <row r="421" spans="1:40" x14ac:dyDescent="0.3">
      <c r="A421" t="s">
        <v>3</v>
      </c>
      <c r="B421" s="13">
        <v>0</v>
      </c>
      <c r="C421" s="26">
        <v>257</v>
      </c>
      <c r="D421" s="3">
        <v>0</v>
      </c>
      <c r="E421" s="3">
        <v>0</v>
      </c>
      <c r="F421" s="3">
        <v>2</v>
      </c>
      <c r="G421" s="4">
        <v>0</v>
      </c>
      <c r="H421" s="1">
        <f>SUM(C421:G421)</f>
        <v>259</v>
      </c>
      <c r="I421" s="10">
        <f>C421/H421</f>
        <v>0.99227799227799229</v>
      </c>
      <c r="J421" s="11">
        <f>1-I421</f>
        <v>7.7220077220077066E-3</v>
      </c>
      <c r="K421">
        <f>H421-C426</f>
        <v>1</v>
      </c>
      <c r="N421" s="10">
        <f>2*(C427*I421)/(C427+I421)</f>
        <v>0.99419729206963248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308</v>
      </c>
      <c r="E422" s="1">
        <v>19</v>
      </c>
      <c r="F422" s="1">
        <v>0</v>
      </c>
      <c r="G422" s="6">
        <v>12</v>
      </c>
      <c r="H422" s="1">
        <f>SUM(C422:G422)</f>
        <v>339</v>
      </c>
      <c r="I422" s="10">
        <f>D422/H422</f>
        <v>0.90855457227138647</v>
      </c>
      <c r="J422" s="11">
        <f>1-I422</f>
        <v>9.1445427728613526E-2</v>
      </c>
      <c r="K422">
        <f>H422-D426</f>
        <v>-204</v>
      </c>
      <c r="N422" s="10">
        <f>2*(D427*I422)/(D427+I422)</f>
        <v>0.69841269841269837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204</v>
      </c>
      <c r="E423" s="27">
        <v>6854</v>
      </c>
      <c r="F423" s="1">
        <v>91</v>
      </c>
      <c r="G423" s="6">
        <v>20</v>
      </c>
      <c r="H423" s="1">
        <f>SUM(C423:G423)</f>
        <v>7169</v>
      </c>
      <c r="I423" s="10">
        <f>E423/H423</f>
        <v>0.95606081740828563</v>
      </c>
      <c r="J423" s="11">
        <f>1-I423</f>
        <v>4.3939182591714365E-2</v>
      </c>
      <c r="K423">
        <f>H423-E426</f>
        <v>189</v>
      </c>
      <c r="N423" s="10">
        <f>2*(E427*I423)/(E427+I423)</f>
        <v>0.96883171955615244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1</v>
      </c>
      <c r="D424" s="1">
        <v>31</v>
      </c>
      <c r="E424" s="1">
        <v>85</v>
      </c>
      <c r="F424" s="27">
        <v>2306</v>
      </c>
      <c r="G424" s="6">
        <v>149</v>
      </c>
      <c r="H424" s="1">
        <f>SUM(C424:G424)</f>
        <v>2572</v>
      </c>
      <c r="I424" s="10">
        <f>F424/H424</f>
        <v>0.89657853810264387</v>
      </c>
      <c r="J424" s="11">
        <f>1-I424</f>
        <v>0.10342146189735613</v>
      </c>
      <c r="K424">
        <f>H424-F426</f>
        <v>79</v>
      </c>
      <c r="N424" s="10">
        <f>2*(F427*I424)/(F427+I424)</f>
        <v>0.91056268509378091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0</v>
      </c>
      <c r="E425" s="8">
        <v>22</v>
      </c>
      <c r="F425" s="8">
        <v>94</v>
      </c>
      <c r="G425" s="28">
        <v>844</v>
      </c>
      <c r="H425" s="1">
        <f>SUM(C425:G425)</f>
        <v>960</v>
      </c>
      <c r="I425" s="10">
        <f>G425/H425</f>
        <v>0.87916666666666665</v>
      </c>
      <c r="J425" s="11">
        <f>1-I425</f>
        <v>0.12083333333333335</v>
      </c>
      <c r="K425">
        <f>H425-G426</f>
        <v>-65</v>
      </c>
      <c r="N425" s="10">
        <f>2*(G427*I425)/(G427+I425)</f>
        <v>0.85037783375314857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258</v>
      </c>
      <c r="D426" s="1">
        <f>SUM(D421:D425)</f>
        <v>543</v>
      </c>
      <c r="E426" s="1">
        <f>SUM(E421:E425)</f>
        <v>6980</v>
      </c>
      <c r="F426" s="1">
        <f>SUM(F421:F425)</f>
        <v>2493</v>
      </c>
      <c r="G426" s="1">
        <f>SUM(G421:G425)</f>
        <v>1025</v>
      </c>
      <c r="H426" s="1">
        <f>SUM(H420:H425)</f>
        <v>11299</v>
      </c>
      <c r="I426" s="13" t="s">
        <v>12</v>
      </c>
      <c r="N426" s="16"/>
      <c r="O426" s="1"/>
      <c r="P426" s="1"/>
    </row>
    <row r="427" spans="1:40" x14ac:dyDescent="0.3">
      <c r="A427" s="1" t="s">
        <v>57</v>
      </c>
      <c r="B427" s="1" t="s">
        <v>2</v>
      </c>
      <c r="C427" s="10">
        <f>C421/C426</f>
        <v>0.99612403100775193</v>
      </c>
      <c r="D427" s="10">
        <f>D422/D426</f>
        <v>0.56721915285451197</v>
      </c>
      <c r="E427" s="10">
        <f>E423/E426</f>
        <v>0.98194842406876792</v>
      </c>
      <c r="F427" s="10">
        <f>F424/F426</f>
        <v>0.92498997192137988</v>
      </c>
      <c r="G427" s="10">
        <f>G425/G426</f>
        <v>0.82341463414634142</v>
      </c>
      <c r="H427" s="10"/>
      <c r="I427" s="14">
        <f>(C421+D422+E423+F424+G425)/H426</f>
        <v>0.9353925126117355</v>
      </c>
      <c r="AM427" s="78"/>
      <c r="AN427" s="78"/>
    </row>
    <row r="428" spans="1:40" x14ac:dyDescent="0.3">
      <c r="B428" s="1" t="s">
        <v>14</v>
      </c>
      <c r="C428" s="11">
        <f>1-C427</f>
        <v>3.8759689922480689E-3</v>
      </c>
      <c r="D428" s="11">
        <f>1-D427</f>
        <v>0.43278084714548803</v>
      </c>
      <c r="E428" s="11">
        <f>1-E427</f>
        <v>1.8051575931232078E-2</v>
      </c>
      <c r="F428" s="11">
        <f>1-F427</f>
        <v>7.5010028078620117E-2</v>
      </c>
      <c r="G428" s="11">
        <f>1-G427</f>
        <v>0.17658536585365858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1.3464421828726978</v>
      </c>
      <c r="D432" s="31">
        <f>(D421/$L432)*$O432</f>
        <v>0</v>
      </c>
      <c r="E432" s="31">
        <f>(E421/$L432)*$O432</f>
        <v>0</v>
      </c>
      <c r="F432" s="31">
        <f>(F421/$L432)*$O432</f>
        <v>1.0478149283056013E-2</v>
      </c>
      <c r="G432" s="32">
        <f>(G421/$L432)*$O432</f>
        <v>0</v>
      </c>
      <c r="H432" s="17">
        <f>SUM(C432:G432)</f>
        <v>1.3569203321557537</v>
      </c>
      <c r="I432" s="17">
        <f>C432/H432*100</f>
        <v>99.227799227799238</v>
      </c>
      <c r="J432" s="17">
        <f>SQRT(I432*(100-I432)/(L432-1))</f>
        <v>0.54496918050789322</v>
      </c>
      <c r="K432" s="18">
        <f>100-I432</f>
        <v>0.77220077220076178</v>
      </c>
      <c r="L432" s="1">
        <f>H421</f>
        <v>259</v>
      </c>
      <c r="M432">
        <v>0</v>
      </c>
      <c r="N432" s="1">
        <v>2575.42</v>
      </c>
      <c r="O432" s="17">
        <f>N432/N437*100</f>
        <v>1.3569203321557537</v>
      </c>
      <c r="P432" s="52">
        <f>((O432*O432*(I432/100)*(K432/100))/(L432-1))</f>
        <v>5.4683031756371097E-5</v>
      </c>
    </row>
    <row r="433" spans="1:40" x14ac:dyDescent="0.3">
      <c r="A433" t="s">
        <v>4</v>
      </c>
      <c r="B433" s="13">
        <v>1</v>
      </c>
      <c r="C433" s="33">
        <f t="shared" ref="C433:G436" si="51">(C422/$L433)*$O433</f>
        <v>0</v>
      </c>
      <c r="D433" s="34">
        <f t="shared" si="51"/>
        <v>4.0331342460070561</v>
      </c>
      <c r="E433" s="19">
        <f t="shared" si="51"/>
        <v>0.24879724244848719</v>
      </c>
      <c r="F433" s="18">
        <f t="shared" si="51"/>
        <v>0</v>
      </c>
      <c r="G433" s="20">
        <f t="shared" si="51"/>
        <v>0.1571351004937814</v>
      </c>
      <c r="H433" s="17">
        <f>SUM(C433:G433)</f>
        <v>4.4390665889493244</v>
      </c>
      <c r="I433" s="17">
        <f>D433/H433*100</f>
        <v>90.855457227138643</v>
      </c>
      <c r="J433" s="17">
        <f>SQRT(I433*(100-I433)/(L433-1))</f>
        <v>1.5678270633196913</v>
      </c>
      <c r="K433" s="18">
        <f>100-I433</f>
        <v>9.1445427728613566</v>
      </c>
      <c r="L433" s="1">
        <f>H422</f>
        <v>339</v>
      </c>
      <c r="M433">
        <v>1</v>
      </c>
      <c r="N433" s="1">
        <v>8425.2999999999993</v>
      </c>
      <c r="O433" s="17">
        <f>N433/N437*100</f>
        <v>4.4390665889493244</v>
      </c>
      <c r="P433" s="52">
        <f>((O433*O433*(I433/100)*(K433/100))/(L433-1))</f>
        <v>4.8437267274625559E-3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51"/>
        <v>0</v>
      </c>
      <c r="D434" s="19">
        <f t="shared" si="51"/>
        <v>1.6938580862682806</v>
      </c>
      <c r="E434" s="34">
        <f t="shared" si="51"/>
        <v>56.910310408248996</v>
      </c>
      <c r="F434" s="19">
        <f t="shared" si="51"/>
        <v>0.75559355809026241</v>
      </c>
      <c r="G434" s="20">
        <f t="shared" si="51"/>
        <v>0.16606451826159616</v>
      </c>
      <c r="H434" s="17">
        <f>SUM(C434:G434)</f>
        <v>59.525826570869135</v>
      </c>
      <c r="I434" s="17">
        <f>E434/H434*100</f>
        <v>95.606081740828557</v>
      </c>
      <c r="J434" s="17">
        <f>SQRT(I434*(100-I434)/(L434-1))</f>
        <v>0.24208604103169049</v>
      </c>
      <c r="K434" s="18">
        <f>100-I434</f>
        <v>4.3939182591714427</v>
      </c>
      <c r="L434" s="1">
        <f>H423</f>
        <v>7169</v>
      </c>
      <c r="M434">
        <v>2</v>
      </c>
      <c r="N434" s="1">
        <v>112979.37</v>
      </c>
      <c r="O434" s="17">
        <f>N434/N437*100</f>
        <v>59.525826570869135</v>
      </c>
      <c r="P434" s="52">
        <f>((O434*O434*(I434/100)*(K434/100))/(L434-1))</f>
        <v>2.0765881235003447E-2</v>
      </c>
    </row>
    <row r="435" spans="1:40" x14ac:dyDescent="0.3">
      <c r="A435" t="s">
        <v>6</v>
      </c>
      <c r="B435" s="13">
        <v>3</v>
      </c>
      <c r="C435" s="33">
        <f t="shared" si="51"/>
        <v>9.6863874791537335E-3</v>
      </c>
      <c r="D435" s="19">
        <f t="shared" si="51"/>
        <v>0.30027801185376574</v>
      </c>
      <c r="E435" s="19">
        <f t="shared" si="51"/>
        <v>0.82334293572806727</v>
      </c>
      <c r="F435" s="34">
        <f t="shared" si="51"/>
        <v>22.336809526928509</v>
      </c>
      <c r="G435" s="20">
        <f t="shared" si="51"/>
        <v>1.4432717343939061</v>
      </c>
      <c r="H435" s="17">
        <f>SUM(C435:G435)</f>
        <v>24.913388596383403</v>
      </c>
      <c r="I435" s="17">
        <f>F435/H435*100</f>
        <v>89.657853810264385</v>
      </c>
      <c r="J435" s="17">
        <f>SQRT(I435*(100-I435)/(L435-1))</f>
        <v>0.60054902637989638</v>
      </c>
      <c r="K435" s="18">
        <f>100-I435</f>
        <v>10.342146189735615</v>
      </c>
      <c r="L435" s="1">
        <f>H424</f>
        <v>2572</v>
      </c>
      <c r="M435">
        <v>3</v>
      </c>
      <c r="N435" s="1">
        <v>47285.34</v>
      </c>
      <c r="O435" s="17">
        <f>N435/N437*100</f>
        <v>24.913388596383403</v>
      </c>
      <c r="P435" s="52">
        <f>((O435*O435*(I435/100)*(K435/100))/(L435-1))</f>
        <v>2.2385280398866066E-2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51"/>
        <v>0</v>
      </c>
      <c r="D436" s="36">
        <f t="shared" si="51"/>
        <v>0</v>
      </c>
      <c r="E436" s="21">
        <f t="shared" si="51"/>
        <v>0.22377661880847116</v>
      </c>
      <c r="F436" s="21">
        <f t="shared" si="51"/>
        <v>0.9561364621816496</v>
      </c>
      <c r="G436" s="37">
        <f t="shared" si="51"/>
        <v>8.5848848306522587</v>
      </c>
      <c r="H436" s="17">
        <f>SUM(C436:G436)</f>
        <v>9.7647979116423791</v>
      </c>
      <c r="I436" s="17">
        <f>G436/H436*100</f>
        <v>87.916666666666671</v>
      </c>
      <c r="J436" s="17">
        <f>SQRT(I436*(100-I436)/(L436-1))</f>
        <v>1.0524941274466006</v>
      </c>
      <c r="K436" s="18">
        <f>100-I436</f>
        <v>12.083333333333329</v>
      </c>
      <c r="L436" s="1">
        <f>H425</f>
        <v>960</v>
      </c>
      <c r="M436">
        <v>4</v>
      </c>
      <c r="N436" s="1">
        <v>18533.48</v>
      </c>
      <c r="O436" s="17">
        <f>N436/N437*100</f>
        <v>9.7647979116423791</v>
      </c>
      <c r="P436" s="52">
        <f>((O436*O436*(I436/100)*(K436/100))/(L436-1))</f>
        <v>1.0562479572972112E-2</v>
      </c>
    </row>
    <row r="437" spans="1:40" x14ac:dyDescent="0.3">
      <c r="B437" t="s">
        <v>28</v>
      </c>
      <c r="C437" s="17">
        <f t="shared" ref="C437:H437" si="52">SUM(C432:C436)</f>
        <v>1.3561285703518515</v>
      </c>
      <c r="D437" s="17">
        <f t="shared" si="52"/>
        <v>6.0272703441291027</v>
      </c>
      <c r="E437" s="17">
        <f t="shared" si="52"/>
        <v>58.206227205234022</v>
      </c>
      <c r="F437" s="17">
        <f t="shared" si="52"/>
        <v>24.059017696483476</v>
      </c>
      <c r="G437" s="17">
        <f t="shared" si="52"/>
        <v>10.351356183801542</v>
      </c>
      <c r="H437" s="18">
        <f t="shared" si="52"/>
        <v>99.999999999999986</v>
      </c>
      <c r="I437" s="13" t="s">
        <v>24</v>
      </c>
      <c r="J437" s="12" t="s">
        <v>29</v>
      </c>
      <c r="N437" s="1">
        <f>SUM(N432:N436)</f>
        <v>189798.91</v>
      </c>
      <c r="O437" s="17">
        <f>SUM(O432:O436)</f>
        <v>99.999999999999986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1.2176268842870212E-2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0.14617544230124921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0.18377692198252785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0.19338688200522153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0.1645645345948179</v>
      </c>
      <c r="H438" s="1"/>
      <c r="I438" s="56">
        <f>(C432+D433+E434+F435+G436)/H437</f>
        <v>0.93211581194709525</v>
      </c>
      <c r="J438" s="53">
        <f>SQRT(SUM(P432:P436))/100</f>
        <v>2.4209925849960909E-3</v>
      </c>
      <c r="M438" s="1"/>
      <c r="N438" s="9"/>
    </row>
    <row r="439" spans="1:40" x14ac:dyDescent="0.3">
      <c r="B439" s="1" t="s">
        <v>30</v>
      </c>
      <c r="C439" s="17">
        <f>C432/C437*100</f>
        <v>99.285732364104646</v>
      </c>
      <c r="D439" s="17">
        <f>D433/D437*100</f>
        <v>66.914772620669879</v>
      </c>
      <c r="E439" s="17">
        <f>E434/E437*100</f>
        <v>97.77357705659972</v>
      </c>
      <c r="F439" s="17">
        <f>F435/F437*100</f>
        <v>92.841735305732414</v>
      </c>
      <c r="G439" s="17">
        <f>G436/G437*100</f>
        <v>82.934880012016492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0.8090808010629218</v>
      </c>
      <c r="D440" s="18">
        <f>SQRT((D443+D444)/(D437*D437))</f>
        <v>4.0784574337383486</v>
      </c>
      <c r="E440" s="18">
        <f>SQRT((E443+E444)/(E437*E437))</f>
        <v>0.19947793154226412</v>
      </c>
      <c r="F440" s="18">
        <f>SQRT((F443+F444)/(F437*F437))</f>
        <v>0.64962287582916134</v>
      </c>
      <c r="G440" s="18">
        <f>SQRT((G443+G444)/(G437*G437))</f>
        <v>1.9830595033530924</v>
      </c>
      <c r="H440" s="1"/>
    </row>
    <row r="441" spans="1:40" x14ac:dyDescent="0.3">
      <c r="B441" s="1" t="s">
        <v>37</v>
      </c>
      <c r="C441" s="18">
        <f>100-C439</f>
        <v>0.71426763589535369</v>
      </c>
      <c r="D441" s="18">
        <f>100-D439</f>
        <v>33.085227379330121</v>
      </c>
      <c r="E441" s="18">
        <f>100-E439</f>
        <v>2.22642294340028</v>
      </c>
      <c r="F441" s="18">
        <f>100-F439</f>
        <v>7.1582646942675865</v>
      </c>
      <c r="G441" s="18">
        <f>100-G439</f>
        <v>17.065119987983508</v>
      </c>
      <c r="AM441" s="78"/>
      <c r="AN441" s="78"/>
    </row>
    <row r="442" spans="1:40" ht="15.6" x14ac:dyDescent="0.35">
      <c r="B442" s="1" t="s">
        <v>25</v>
      </c>
      <c r="C442" s="1">
        <f>C426</f>
        <v>258</v>
      </c>
      <c r="D442" s="1">
        <f>D426</f>
        <v>543</v>
      </c>
      <c r="E442" s="1">
        <f>E426</f>
        <v>6980</v>
      </c>
      <c r="F442" s="1">
        <f>F426</f>
        <v>2493</v>
      </c>
      <c r="G442" s="1">
        <f>G426</f>
        <v>1025</v>
      </c>
    </row>
    <row r="443" spans="1:40" x14ac:dyDescent="0.3">
      <c r="B443" s="1" t="s">
        <v>34</v>
      </c>
      <c r="C443" s="18">
        <f>(O432*O432*(100-C439)*(100-C439)*(I432)*(100-I432))/(L432-1)</f>
        <v>0.27898093757171627</v>
      </c>
      <c r="D443" s="18">
        <f>(O433*O433*(100-D439)*(100-D439)*(I433)*(100-I433))/((L433-1)*100)</f>
        <v>530.20995865359339</v>
      </c>
      <c r="E443" s="18">
        <f>(O434*O434*(100-E439)*(100-E439)*(I434)*(100-I434))/((L434-1)*100)</f>
        <v>10.293562443289096</v>
      </c>
      <c r="F443" s="18">
        <f>(O435*O435*(100-F439)*(100-F439)*(I435)*(100-I435))/((L435-1)*100)</f>
        <v>114.70386334512921</v>
      </c>
      <c r="G443" s="18">
        <f>(O436*O436*(100-G439)*(100-G439)*(I436)*(100-I436))/((L436-1)*100)</f>
        <v>307.59875584328972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0.92490550233154367</v>
      </c>
      <c r="D444" s="18">
        <f>D439*D439*(SUM((H432*D432*(1-D421/H421))/(H421-1),(H434*D434*(1-D423/H423))/(H423-1), (H435*D435*(1-D424/H424))/(H424-1),(H436*D436*(1-D425/H425))/(H425-1)))</f>
        <v>74.063071164218513</v>
      </c>
      <c r="E444" s="18">
        <f>E439*E439*(SUM((H432*E432*(1-E421/H421))/(H421-1),(H433*E433*(1-E422/H422))/(H422-1), (H435*E435*(1-E424/H424))/(H424-1),(H436*E436*(1-E425/H425))/(H425-1)))</f>
        <v>124.51845654273335</v>
      </c>
      <c r="F444" s="18">
        <f>F439*F439*(SUM((H432*F432*(1-F421/H421))/(H421-1),(H433*F433*(1-F422/H422))/(H422-1), (H434*F434*(1-F423/H423))/(H423-1),(H436*F436*(1-F425/H425))/(H425-1)))</f>
        <v>129.57078834453898</v>
      </c>
      <c r="G444" s="18">
        <f>G439*G439*(SUM((H432*G432*(1-G421/H421))/(H421-1),(H433*G433*(1-G422/H422))/(H422-1), (H434*G434*(1-G423/H423))/(H423-1),(H435*G435*(1-G424/H424))/(H424-1)))</f>
        <v>113.77355783466882</v>
      </c>
    </row>
    <row r="445" spans="1:40" x14ac:dyDescent="0.3">
      <c r="AM445" s="78"/>
      <c r="AN445" s="78"/>
    </row>
    <row r="447" spans="1:40" x14ac:dyDescent="0.3">
      <c r="A447" s="361" t="s">
        <v>437</v>
      </c>
      <c r="B447" s="361"/>
      <c r="C447" s="361"/>
      <c r="D447" s="361"/>
      <c r="E447" s="361"/>
      <c r="F447" s="361"/>
      <c r="G447" s="361"/>
      <c r="H447" s="361"/>
      <c r="I447" s="361"/>
      <c r="J447" s="361"/>
      <c r="K447" s="361"/>
      <c r="L447" s="361" t="s">
        <v>93</v>
      </c>
      <c r="M447" s="361"/>
      <c r="N447" s="361"/>
      <c r="O447" s="361"/>
      <c r="P447" s="361"/>
      <c r="AM447" s="78"/>
      <c r="AN447" s="78"/>
    </row>
    <row r="448" spans="1:40" x14ac:dyDescent="0.3">
      <c r="A448" t="s">
        <v>15</v>
      </c>
      <c r="B448" t="s">
        <v>21</v>
      </c>
      <c r="I448" s="1" t="s">
        <v>58</v>
      </c>
      <c r="O448" s="143"/>
      <c r="P448" s="143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56</v>
      </c>
      <c r="O449" s="13"/>
      <c r="P449" s="13"/>
      <c r="AM449" s="78"/>
      <c r="AN449" s="78"/>
    </row>
    <row r="450" spans="1:40" x14ac:dyDescent="0.3">
      <c r="A450" t="s">
        <v>3</v>
      </c>
      <c r="B450" s="13">
        <v>0</v>
      </c>
      <c r="C450" s="26">
        <v>258</v>
      </c>
      <c r="D450" s="3">
        <v>0</v>
      </c>
      <c r="E450" s="3">
        <v>0</v>
      </c>
      <c r="F450" s="3">
        <v>1</v>
      </c>
      <c r="G450" s="4">
        <v>0</v>
      </c>
      <c r="H450" s="1">
        <f>SUM(C450:G450)</f>
        <v>259</v>
      </c>
      <c r="I450" s="10">
        <f>C450/H450</f>
        <v>0.99613899613899615</v>
      </c>
      <c r="J450" s="11">
        <f>1-I450</f>
        <v>3.8610038610038533E-3</v>
      </c>
      <c r="K450">
        <f>H450-C455</f>
        <v>-2</v>
      </c>
      <c r="N450" s="10">
        <f>2*(C456*I450)/(C456+I450)</f>
        <v>0.99230769230769234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302</v>
      </c>
      <c r="E451" s="1">
        <v>23</v>
      </c>
      <c r="F451" s="1">
        <v>0</v>
      </c>
      <c r="G451" s="6">
        <v>14</v>
      </c>
      <c r="H451" s="1">
        <f>SUM(C451:G451)</f>
        <v>339</v>
      </c>
      <c r="I451" s="10">
        <f>D451/H451</f>
        <v>0.89085545722713866</v>
      </c>
      <c r="J451" s="11">
        <f>1-I451</f>
        <v>0.10914454277286134</v>
      </c>
      <c r="K451">
        <f>H451-D455</f>
        <v>-192</v>
      </c>
      <c r="N451" s="10">
        <f>2*(D456*I451)/(D456+I451)</f>
        <v>0.69425287356321852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201</v>
      </c>
      <c r="E452" s="27">
        <v>6856</v>
      </c>
      <c r="F452" s="1">
        <v>92</v>
      </c>
      <c r="G452" s="6">
        <v>20</v>
      </c>
      <c r="H452" s="1">
        <f>SUM(C452:G452)</f>
        <v>7169</v>
      </c>
      <c r="I452" s="10">
        <f>E452/H452</f>
        <v>0.95633979634537591</v>
      </c>
      <c r="J452" s="11">
        <f>1-I452</f>
        <v>4.3660203654624086E-2</v>
      </c>
      <c r="K452">
        <f>H452-E455</f>
        <v>217</v>
      </c>
      <c r="N452" s="10">
        <f>2*(E456*I452)/(E456+I452)</f>
        <v>0.97103604560583523</v>
      </c>
      <c r="O452" s="1"/>
      <c r="P452" s="1"/>
    </row>
    <row r="453" spans="1:40" x14ac:dyDescent="0.3">
      <c r="A453" t="s">
        <v>6</v>
      </c>
      <c r="B453" s="13">
        <v>3</v>
      </c>
      <c r="C453" s="5">
        <v>3</v>
      </c>
      <c r="D453" s="1">
        <v>28</v>
      </c>
      <c r="E453" s="1">
        <v>57</v>
      </c>
      <c r="F453" s="27">
        <v>2337</v>
      </c>
      <c r="G453" s="6">
        <v>147</v>
      </c>
      <c r="H453" s="1">
        <f>SUM(C453:G453)</f>
        <v>2572</v>
      </c>
      <c r="I453" s="10">
        <f>F453/H453</f>
        <v>0.90863141524105751</v>
      </c>
      <c r="J453" s="11">
        <f>1-I453</f>
        <v>9.1368584758942495E-2</v>
      </c>
      <c r="K453">
        <f>H453-F455</f>
        <v>47</v>
      </c>
      <c r="N453" s="10">
        <f>2*(F456*I453)/(F456+I453)</f>
        <v>0.91701000588581505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0</v>
      </c>
      <c r="E454" s="8">
        <v>16</v>
      </c>
      <c r="F454" s="8">
        <v>95</v>
      </c>
      <c r="G454" s="28">
        <v>849</v>
      </c>
      <c r="H454" s="1">
        <f>SUM(C454:G454)</f>
        <v>960</v>
      </c>
      <c r="I454" s="10">
        <f>G454/H454</f>
        <v>0.88437500000000002</v>
      </c>
      <c r="J454" s="11">
        <f>1-I454</f>
        <v>0.11562499999999998</v>
      </c>
      <c r="K454">
        <f>H454-G455</f>
        <v>-70</v>
      </c>
      <c r="N454" s="10">
        <f>2*(G456*I454)/(G456+I454)</f>
        <v>0.85326633165829158</v>
      </c>
      <c r="O454" s="1"/>
      <c r="P454" s="1"/>
    </row>
    <row r="455" spans="1:40" ht="15.6" x14ac:dyDescent="0.35">
      <c r="B455" s="1" t="s">
        <v>19</v>
      </c>
      <c r="C455" s="1">
        <f>SUM(C450:C454)</f>
        <v>261</v>
      </c>
      <c r="D455" s="1">
        <f>SUM(D450:D454)</f>
        <v>531</v>
      </c>
      <c r="E455" s="1">
        <f>SUM(E450:E454)</f>
        <v>6952</v>
      </c>
      <c r="F455" s="1">
        <f>SUM(F450:F454)</f>
        <v>2525</v>
      </c>
      <c r="G455" s="1">
        <f>SUM(G450:G454)</f>
        <v>1030</v>
      </c>
      <c r="H455" s="1">
        <f>SUM(H449:H454)</f>
        <v>11299</v>
      </c>
      <c r="I455" s="13" t="s">
        <v>12</v>
      </c>
      <c r="N455" s="16"/>
      <c r="O455" s="1"/>
      <c r="P455" s="1"/>
      <c r="AM455" s="78"/>
      <c r="AN455" s="78"/>
    </row>
    <row r="456" spans="1:40" x14ac:dyDescent="0.3">
      <c r="A456" s="1" t="s">
        <v>57</v>
      </c>
      <c r="B456" s="1" t="s">
        <v>2</v>
      </c>
      <c r="C456" s="10">
        <f>C450/C455</f>
        <v>0.9885057471264368</v>
      </c>
      <c r="D456" s="10">
        <f>D451/D455</f>
        <v>0.56873822975517896</v>
      </c>
      <c r="E456" s="10">
        <f>E452/E455</f>
        <v>0.9861910241657077</v>
      </c>
      <c r="F456" s="10">
        <f>F453/F455</f>
        <v>0.92554455445544559</v>
      </c>
      <c r="G456" s="10">
        <f>G454/G455</f>
        <v>0.82427184466019421</v>
      </c>
      <c r="H456" s="10"/>
      <c r="I456" s="14">
        <f>(C450+D451+E452+F453+G454)/H455</f>
        <v>0.93831312505531461</v>
      </c>
    </row>
    <row r="457" spans="1:40" x14ac:dyDescent="0.3">
      <c r="B457" s="1" t="s">
        <v>14</v>
      </c>
      <c r="C457" s="11">
        <f>1-C456</f>
        <v>1.1494252873563204E-2</v>
      </c>
      <c r="D457" s="11">
        <f>1-D456</f>
        <v>0.43126177024482104</v>
      </c>
      <c r="E457" s="11">
        <f>1-E456</f>
        <v>1.3808975834292303E-2</v>
      </c>
      <c r="F457" s="11">
        <f>1-F456</f>
        <v>7.4455445544554411E-2</v>
      </c>
      <c r="G457" s="11">
        <f>1-G456</f>
        <v>0.17572815533980579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1.3754563263140576</v>
      </c>
      <c r="D461" s="31">
        <f>(D450/$L461)*$O461</f>
        <v>0</v>
      </c>
      <c r="E461" s="31">
        <f>(E450/$L461)*$O461</f>
        <v>0</v>
      </c>
      <c r="F461" s="31">
        <f>(F450/$L461)*$O461</f>
        <v>5.3312260709847195E-3</v>
      </c>
      <c r="G461" s="32">
        <f>(G450/$L461)*$O461</f>
        <v>0</v>
      </c>
      <c r="H461" s="17">
        <f>SUM(C461:G461)</f>
        <v>1.3807875523850424</v>
      </c>
      <c r="I461" s="17">
        <f>C461/H461*100</f>
        <v>99.613899613899605</v>
      </c>
      <c r="J461" s="17">
        <f>SQRT(I461*(100-I461)/(L461-1))</f>
        <v>0.3861003861003906</v>
      </c>
      <c r="K461" s="18">
        <f>100-I461</f>
        <v>0.3861003861003951</v>
      </c>
      <c r="L461" s="1">
        <f>H450</f>
        <v>259</v>
      </c>
      <c r="M461">
        <v>0</v>
      </c>
      <c r="N461" s="1">
        <v>2620.7199999999998</v>
      </c>
      <c r="O461" s="17">
        <f>N461/N466*100</f>
        <v>1.3807875523850424</v>
      </c>
      <c r="P461" s="52">
        <f>((O461*O461*(I461/100)*(K461/100))/(L461-1))</f>
        <v>2.842197141994783E-5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53">(C451/$L462)*$O462</f>
        <v>0</v>
      </c>
      <c r="D462" s="34">
        <f t="shared" si="53"/>
        <v>3.9915853338516274</v>
      </c>
      <c r="E462" s="19">
        <f t="shared" si="53"/>
        <v>0.30399490953174646</v>
      </c>
      <c r="F462" s="18">
        <f t="shared" si="53"/>
        <v>0</v>
      </c>
      <c r="G462" s="20">
        <f t="shared" si="53"/>
        <v>0.18504037971497611</v>
      </c>
      <c r="H462" s="17">
        <f>SUM(C462:G462)</f>
        <v>4.4806206230983499</v>
      </c>
      <c r="I462" s="17">
        <f>D462/H462*100</f>
        <v>89.08554572271386</v>
      </c>
      <c r="J462" s="17">
        <f>SQRT(I462*(100-I462)/(L462-1))</f>
        <v>1.6960798131040489</v>
      </c>
      <c r="K462" s="18">
        <f>100-I462</f>
        <v>10.91445427728614</v>
      </c>
      <c r="L462" s="1">
        <f>H451</f>
        <v>339</v>
      </c>
      <c r="M462">
        <v>1</v>
      </c>
      <c r="N462" s="1">
        <v>8504.17</v>
      </c>
      <c r="O462" s="17">
        <f>N462/N466*100</f>
        <v>4.4806206230983499</v>
      </c>
      <c r="P462" s="52">
        <f>((O462*O462*(I462/100)*(K462/100))/(L462-1))</f>
        <v>5.7752251132932152E-3</v>
      </c>
    </row>
    <row r="463" spans="1:40" x14ac:dyDescent="0.3">
      <c r="A463" t="s">
        <v>5</v>
      </c>
      <c r="B463" s="13">
        <v>2</v>
      </c>
      <c r="C463" s="33">
        <f t="shared" si="53"/>
        <v>0</v>
      </c>
      <c r="D463" s="19">
        <f t="shared" si="53"/>
        <v>1.6709489726986542</v>
      </c>
      <c r="E463" s="34">
        <f t="shared" si="53"/>
        <v>56.99515500906454</v>
      </c>
      <c r="F463" s="19">
        <f t="shared" si="53"/>
        <v>0.76481246511580192</v>
      </c>
      <c r="G463" s="20">
        <f t="shared" si="53"/>
        <v>0.16626357937300043</v>
      </c>
      <c r="H463" s="17">
        <f>SUM(C463:G463)</f>
        <v>59.597180026251998</v>
      </c>
      <c r="I463" s="17">
        <f>E463/H463*100</f>
        <v>95.633979634537596</v>
      </c>
      <c r="J463" s="17">
        <f>SQRT(I463*(100-I463)/(L463-1))</f>
        <v>0.24135149567287431</v>
      </c>
      <c r="K463" s="18">
        <f>100-I463</f>
        <v>4.3660203654624041</v>
      </c>
      <c r="L463" s="1">
        <f>H452</f>
        <v>7169</v>
      </c>
      <c r="M463">
        <v>2</v>
      </c>
      <c r="N463" s="1">
        <v>113114.81</v>
      </c>
      <c r="O463" s="17">
        <f>N463/N466*100</f>
        <v>59.597180026251998</v>
      </c>
      <c r="P463" s="52">
        <f>((O463*O463*(I463/100)*(K463/100))/(L463-1))</f>
        <v>2.0689567409606976E-2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53"/>
        <v>2.9146474500177162E-2</v>
      </c>
      <c r="D464" s="19">
        <f t="shared" si="53"/>
        <v>0.27203376200165352</v>
      </c>
      <c r="E464" s="19">
        <f t="shared" si="53"/>
        <v>0.55378301550336606</v>
      </c>
      <c r="F464" s="34">
        <f t="shared" si="53"/>
        <v>22.705103635638007</v>
      </c>
      <c r="G464" s="20">
        <f t="shared" si="53"/>
        <v>1.4281772505086807</v>
      </c>
      <c r="H464" s="17">
        <f>SUM(C464:G464)</f>
        <v>24.988244138151884</v>
      </c>
      <c r="I464" s="17">
        <f>F464/H464*100</f>
        <v>90.863141524105757</v>
      </c>
      <c r="J464" s="17">
        <f>SQRT(I464*(100-I464)/(L464-1))</f>
        <v>0.56825240801484078</v>
      </c>
      <c r="K464" s="18">
        <f>100-I464</f>
        <v>9.1368584758942433</v>
      </c>
      <c r="L464" s="1">
        <f>H453</f>
        <v>2572</v>
      </c>
      <c r="M464">
        <v>3</v>
      </c>
      <c r="N464" s="1">
        <v>47427.42</v>
      </c>
      <c r="O464" s="17">
        <f>N464/N466*100</f>
        <v>24.988244138151884</v>
      </c>
      <c r="P464" s="52">
        <f>((O464*O464*(I464/100)*(K464/100))/(L464-1))</f>
        <v>2.0162948939828947E-2</v>
      </c>
    </row>
    <row r="465" spans="1:40" x14ac:dyDescent="0.3">
      <c r="A465" t="s">
        <v>7</v>
      </c>
      <c r="B465" s="13">
        <v>4</v>
      </c>
      <c r="C465" s="35">
        <f t="shared" si="53"/>
        <v>0</v>
      </c>
      <c r="D465" s="36">
        <f t="shared" si="53"/>
        <v>0</v>
      </c>
      <c r="E465" s="21">
        <f t="shared" si="53"/>
        <v>0.15921946100187886</v>
      </c>
      <c r="F465" s="21">
        <f t="shared" si="53"/>
        <v>0.94536554969865583</v>
      </c>
      <c r="G465" s="37">
        <f t="shared" si="53"/>
        <v>8.4485826494121987</v>
      </c>
      <c r="H465" s="17">
        <f>SUM(C465:G465)</f>
        <v>9.5531676601127327</v>
      </c>
      <c r="I465" s="17">
        <f>G465/H465*100</f>
        <v>88.437500000000014</v>
      </c>
      <c r="J465" s="17">
        <f>SQRT(I465*(100-I465)/(L465-1))</f>
        <v>1.0326063654130515</v>
      </c>
      <c r="K465" s="18">
        <f>100-I465</f>
        <v>11.562499999999986</v>
      </c>
      <c r="L465" s="1">
        <f>H454</f>
        <v>960</v>
      </c>
      <c r="M465">
        <v>4</v>
      </c>
      <c r="N465" s="1">
        <v>18131.810000000001</v>
      </c>
      <c r="O465" s="17">
        <f>N465/N466*100</f>
        <v>9.5531676601127327</v>
      </c>
      <c r="P465" s="52">
        <f>((O465*O465*(I465/100)*(K465/100))/(L465-1))</f>
        <v>9.7311551159596586E-3</v>
      </c>
      <c r="AM465" s="78"/>
      <c r="AN465" s="78"/>
    </row>
    <row r="466" spans="1:40" x14ac:dyDescent="0.3">
      <c r="B466" t="s">
        <v>28</v>
      </c>
      <c r="C466" s="17">
        <f t="shared" ref="C466:H466" si="54">SUM(C461:C465)</f>
        <v>1.4046028008142348</v>
      </c>
      <c r="D466" s="17">
        <f t="shared" si="54"/>
        <v>5.9345680685519344</v>
      </c>
      <c r="E466" s="17">
        <f t="shared" si="54"/>
        <v>58.012152395101531</v>
      </c>
      <c r="F466" s="17">
        <f t="shared" si="54"/>
        <v>24.42061287652345</v>
      </c>
      <c r="G466" s="17">
        <f t="shared" si="54"/>
        <v>10.228063859008856</v>
      </c>
      <c r="H466" s="18">
        <f t="shared" si="54"/>
        <v>100.00000000000001</v>
      </c>
      <c r="I466" s="13" t="s">
        <v>24</v>
      </c>
      <c r="J466" s="12" t="s">
        <v>29</v>
      </c>
      <c r="N466" s="1">
        <f>SUM(N461:N465)</f>
        <v>189798.93</v>
      </c>
      <c r="O466" s="17">
        <f>SUM(O461:O465)</f>
        <v>100.00000000000001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1.7639565329895371E-2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0.14789791033138286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0.17677977116763818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0.1869129071329344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0.16286944483799062</v>
      </c>
      <c r="H467" s="1"/>
      <c r="I467" s="14">
        <f>(C461+D462+E463+F464+G465)/H466</f>
        <v>0.93515882954280416</v>
      </c>
      <c r="J467" s="53">
        <f>SQRT(SUM(P461:P465))/100</f>
        <v>2.3746014097129806E-3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97.924931198821369</v>
      </c>
      <c r="D468" s="17">
        <f>D462/D466*100</f>
        <v>67.259913236206174</v>
      </c>
      <c r="E468" s="17">
        <f>E463/E466*100</f>
        <v>98.246923542656091</v>
      </c>
      <c r="F468" s="17">
        <f>F464/F466*100</f>
        <v>92.975158938231914</v>
      </c>
      <c r="G468" s="17">
        <f>G465/G466*100</f>
        <v>82.601973998927519</v>
      </c>
      <c r="H468" s="1"/>
    </row>
    <row r="469" spans="1:40" x14ac:dyDescent="0.3">
      <c r="B469" s="16" t="s">
        <v>39</v>
      </c>
      <c r="C469" s="18">
        <f>SQRT((C472+C473)/(C466*C466))</f>
        <v>1.4126565708255494</v>
      </c>
      <c r="D469" s="18">
        <f>SQRT((D472+D473)/(D466*D466))</f>
        <v>4.4325668711054735</v>
      </c>
      <c r="E469" s="18">
        <f>SQRT((E472+E473)/(E466*E466))</f>
        <v>0.1795322840736156</v>
      </c>
      <c r="F469" s="18">
        <f>SQRT((F472+F473)/(F466*F466))</f>
        <v>0.6174497903091396</v>
      </c>
      <c r="G469" s="18">
        <f>SQRT((G472+G473)/(G466*G466))</f>
        <v>1.9780098914055924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2.0750688011786309</v>
      </c>
      <c r="D470" s="18">
        <f>100-D468</f>
        <v>32.740086763793826</v>
      </c>
      <c r="E470" s="18">
        <f>100-E468</f>
        <v>1.7530764573439086</v>
      </c>
      <c r="F470" s="18">
        <f>100-F468</f>
        <v>7.0248410617680861</v>
      </c>
      <c r="G470" s="18">
        <f>100-G468</f>
        <v>17.398026001072481</v>
      </c>
    </row>
    <row r="471" spans="1:40" ht="15.6" x14ac:dyDescent="0.35">
      <c r="B471" s="1" t="s">
        <v>25</v>
      </c>
      <c r="C471" s="1">
        <f>C455</f>
        <v>261</v>
      </c>
      <c r="D471" s="1">
        <f>D455</f>
        <v>531</v>
      </c>
      <c r="E471" s="1">
        <f>E455</f>
        <v>6952</v>
      </c>
      <c r="F471" s="1">
        <f>F455</f>
        <v>2525</v>
      </c>
      <c r="G471" s="1">
        <f>G455</f>
        <v>1030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1.223824660098519</v>
      </c>
      <c r="D472" s="18">
        <f>(O462*O462*(100-D468)*(100-D468)*(I462)*(100-I462))/((L462-1)*100)</f>
        <v>619.05405014406131</v>
      </c>
      <c r="E472" s="18">
        <f>(O463*O463*(100-E468)*(100-E468)*(I463)*(100-I463))/((L463-1)*100)</f>
        <v>6.3584773010788327</v>
      </c>
      <c r="F472" s="18">
        <f>(O464*O464*(100-F468)*(100-F468)*(I464)*(100-I464))/((L464-1)*100)</f>
        <v>99.500910701145116</v>
      </c>
      <c r="G472" s="18">
        <f>(O465*O465*(100-G468)*(100-G468)*(I465)*(100-I465))/((L465-1)*100)</f>
        <v>294.5536077543332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2.7133098087585514</v>
      </c>
      <c r="D473" s="18">
        <f>D468*D468*(SUM((H461*D461*(1-D450/H450))/(H450-1),(H463*D463*(1-D452/H452))/(H452-1), (H464*D464*(1-D453/H453))/(H453-1),(H465*D465*(1-D454/H454))/(H454-1)))</f>
        <v>72.918430958994477</v>
      </c>
      <c r="E473" s="18">
        <f>E468*E468*(SUM((H461*E461*(1-E450/H450))/(H450-1),(H462*E462*(1-E451/H451))/(H451-1), (H464*E464*(1-E453/H453))/(H453-1),(H465*E465*(1-E454/H454))/(H454-1)))</f>
        <v>102.1148771777673</v>
      </c>
      <c r="F473" s="18">
        <f>F468*F468*(SUM((H461*F461*(1-F450/H450))/(H450-1),(H462*F462*(1-F451/H451))/(H451-1), (H463*F463*(1-F452/H452))/(H452-1),(H465*F465*(1-F454/H454))/(H454-1)))</f>
        <v>127.86032090483587</v>
      </c>
      <c r="G473" s="18">
        <f>G468*G468*(SUM((H461*G461*(1-G450/H450))/(H450-1),(H462*G462*(1-G451/H451))/(H451-1), (H463*G463*(1-G452/H452))/(H452-1),(H464*G464*(1-G453/H453))/(H453-1)))</f>
        <v>114.74831031746264</v>
      </c>
      <c r="AM473" s="78"/>
      <c r="AN473" s="78"/>
    </row>
    <row r="475" spans="1:40" x14ac:dyDescent="0.3">
      <c r="AM475" s="78"/>
      <c r="AN475" s="78"/>
    </row>
    <row r="476" spans="1:40" x14ac:dyDescent="0.3">
      <c r="A476" s="361" t="s">
        <v>437</v>
      </c>
      <c r="B476" s="361"/>
      <c r="C476" s="361"/>
      <c r="D476" s="361"/>
      <c r="E476" s="361"/>
      <c r="F476" s="361"/>
      <c r="G476" s="361"/>
      <c r="H476" s="361"/>
      <c r="I476" s="361"/>
      <c r="J476" s="361"/>
      <c r="K476" s="361"/>
      <c r="L476" s="361" t="s">
        <v>94</v>
      </c>
      <c r="M476" s="361"/>
      <c r="N476" s="361"/>
      <c r="O476" s="361"/>
      <c r="P476" s="361"/>
    </row>
    <row r="477" spans="1:40" x14ac:dyDescent="0.3">
      <c r="A477" t="s">
        <v>15</v>
      </c>
      <c r="B477" t="s">
        <v>21</v>
      </c>
      <c r="I477" s="1" t="s">
        <v>58</v>
      </c>
      <c r="O477" s="143"/>
      <c r="P477" s="143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56</v>
      </c>
      <c r="O478" s="13"/>
      <c r="P478" s="13"/>
    </row>
    <row r="479" spans="1:40" x14ac:dyDescent="0.3">
      <c r="A479" t="s">
        <v>3</v>
      </c>
      <c r="B479" s="13">
        <v>0</v>
      </c>
      <c r="C479" s="26">
        <v>259</v>
      </c>
      <c r="D479" s="3">
        <v>0</v>
      </c>
      <c r="E479" s="3">
        <v>0</v>
      </c>
      <c r="F479" s="3">
        <v>0</v>
      </c>
      <c r="G479" s="4">
        <v>0</v>
      </c>
      <c r="H479" s="1">
        <f>SUM(C479:G479)</f>
        <v>259</v>
      </c>
      <c r="I479" s="10">
        <f>C479/H479</f>
        <v>1</v>
      </c>
      <c r="J479" s="11">
        <f>1-I479</f>
        <v>0</v>
      </c>
      <c r="K479">
        <f>H479-C484</f>
        <v>0</v>
      </c>
      <c r="N479" s="10">
        <f>2*(C485*I479)/(C485+I479)</f>
        <v>1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306</v>
      </c>
      <c r="E480" s="1">
        <v>20</v>
      </c>
      <c r="F480" s="1">
        <v>0</v>
      </c>
      <c r="G480" s="6">
        <v>13</v>
      </c>
      <c r="H480" s="1">
        <f>SUM(C480:G480)</f>
        <v>339</v>
      </c>
      <c r="I480" s="10">
        <f>D480/H480</f>
        <v>0.90265486725663713</v>
      </c>
      <c r="J480" s="11">
        <f>1-I480</f>
        <v>9.7345132743362872E-2</v>
      </c>
      <c r="K480">
        <f>H480-D484</f>
        <v>-205</v>
      </c>
      <c r="N480" s="10">
        <f>2*(D485*I480)/(D485+I480)</f>
        <v>0.69309173272933178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210</v>
      </c>
      <c r="E481" s="27">
        <v>6843</v>
      </c>
      <c r="F481" s="1">
        <v>89</v>
      </c>
      <c r="G481" s="6">
        <v>27</v>
      </c>
      <c r="H481" s="1">
        <f>SUM(C481:G481)</f>
        <v>7169</v>
      </c>
      <c r="I481" s="10">
        <f>E481/H481</f>
        <v>0.95452643325428932</v>
      </c>
      <c r="J481" s="11">
        <f>1-I481</f>
        <v>4.5473566745710681E-2</v>
      </c>
      <c r="K481">
        <f>H481-E484</f>
        <v>230</v>
      </c>
      <c r="N481" s="10">
        <f>2*(E485*I481)/(E485+I481)</f>
        <v>0.97008789339381918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28</v>
      </c>
      <c r="E482" s="1">
        <v>60</v>
      </c>
      <c r="F482" s="27">
        <v>2328</v>
      </c>
      <c r="G482" s="6">
        <v>156</v>
      </c>
      <c r="H482" s="1">
        <f>SUM(C482:G482)</f>
        <v>2572</v>
      </c>
      <c r="I482" s="10">
        <f>F482/H482</f>
        <v>0.90513219284603419</v>
      </c>
      <c r="J482" s="11">
        <f>1-I482</f>
        <v>9.4867807153965811E-2</v>
      </c>
      <c r="K482">
        <f>H482-F484</f>
        <v>55</v>
      </c>
      <c r="N482" s="10">
        <f>2*(F485*I482)/(F485+I482)</f>
        <v>0.91491452151699737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0</v>
      </c>
      <c r="E483" s="8">
        <v>16</v>
      </c>
      <c r="F483" s="8">
        <v>100</v>
      </c>
      <c r="G483" s="28">
        <v>844</v>
      </c>
      <c r="H483" s="1">
        <f>SUM(C483:G483)</f>
        <v>960</v>
      </c>
      <c r="I483" s="10">
        <f>G483/H483</f>
        <v>0.87916666666666665</v>
      </c>
      <c r="J483" s="11">
        <f>1-I483</f>
        <v>0.12083333333333335</v>
      </c>
      <c r="K483">
        <f>H483-G484</f>
        <v>-80</v>
      </c>
      <c r="N483" s="10">
        <f>2*(G485*I483)/(G485+I483)</f>
        <v>0.84400000000000008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259</v>
      </c>
      <c r="D484" s="1">
        <f>SUM(D479:D483)</f>
        <v>544</v>
      </c>
      <c r="E484" s="1">
        <f>SUM(E479:E483)</f>
        <v>6939</v>
      </c>
      <c r="F484" s="1">
        <f>SUM(F479:F483)</f>
        <v>2517</v>
      </c>
      <c r="G484" s="1">
        <f>SUM(G479:G483)</f>
        <v>1040</v>
      </c>
      <c r="H484" s="1">
        <f>SUM(H478:H483)</f>
        <v>11299</v>
      </c>
      <c r="I484" s="13" t="s">
        <v>12</v>
      </c>
      <c r="N484" s="16"/>
      <c r="O484" s="1"/>
      <c r="P484" s="1"/>
    </row>
    <row r="485" spans="1:40" x14ac:dyDescent="0.3">
      <c r="A485" s="1" t="s">
        <v>57</v>
      </c>
      <c r="B485" s="1" t="s">
        <v>2</v>
      </c>
      <c r="C485" s="10">
        <f>C479/C484</f>
        <v>1</v>
      </c>
      <c r="D485" s="10">
        <f>D480/D484</f>
        <v>0.5625</v>
      </c>
      <c r="E485" s="10">
        <f>E481/E484</f>
        <v>0.98616515348032863</v>
      </c>
      <c r="F485" s="10">
        <f>F482/F484</f>
        <v>0.92491060786650769</v>
      </c>
      <c r="G485" s="10">
        <f>G483/G484</f>
        <v>0.81153846153846154</v>
      </c>
      <c r="H485" s="10"/>
      <c r="I485" s="14">
        <f>(C479+D480+E481+F482+G483)/H484</f>
        <v>0.93636605009292861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0.4375</v>
      </c>
      <c r="E486" s="11">
        <f>1-E485</f>
        <v>1.3834846519671373E-2</v>
      </c>
      <c r="F486" s="11">
        <f>1-F485</f>
        <v>7.5089392133492305E-2</v>
      </c>
      <c r="G486" s="11">
        <f>1-G485</f>
        <v>0.18846153846153846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1.3823998577020356</v>
      </c>
      <c r="D490" s="31">
        <f>(D479/$L490)*$O490</f>
        <v>0</v>
      </c>
      <c r="E490" s="31">
        <f>(E479/$L490)*$O490</f>
        <v>0</v>
      </c>
      <c r="F490" s="31">
        <f>(F479/$L490)*$O490</f>
        <v>0</v>
      </c>
      <c r="G490" s="32">
        <f>(G479/$L490)*$O490</f>
        <v>0</v>
      </c>
      <c r="H490" s="17">
        <f>SUM(C490:G490)</f>
        <v>1.3823998577020356</v>
      </c>
      <c r="I490" s="17">
        <f>C490/H490*100</f>
        <v>100</v>
      </c>
      <c r="J490" s="17">
        <f>SQRT(I490*(100-I490)/(L490-1))</f>
        <v>0</v>
      </c>
      <c r="K490" s="18">
        <f>100-I490</f>
        <v>0</v>
      </c>
      <c r="L490" s="1">
        <f>H479</f>
        <v>259</v>
      </c>
      <c r="M490">
        <v>0</v>
      </c>
      <c r="N490" s="1">
        <v>2623.78</v>
      </c>
      <c r="O490" s="17">
        <f>N490/N495*100</f>
        <v>1.3823998577020356</v>
      </c>
      <c r="P490" s="52">
        <f>((O490*O490*(I490/100)*(K490/100))/(L490-1))</f>
        <v>0</v>
      </c>
    </row>
    <row r="491" spans="1:40" x14ac:dyDescent="0.3">
      <c r="A491" t="s">
        <v>4</v>
      </c>
      <c r="B491" s="13">
        <v>1</v>
      </c>
      <c r="C491" s="33">
        <f t="shared" ref="C491:G494" si="55">(C480/$L491)*$O491</f>
        <v>0</v>
      </c>
      <c r="D491" s="34">
        <f t="shared" si="55"/>
        <v>4.0495952988525543</v>
      </c>
      <c r="E491" s="19">
        <f t="shared" si="55"/>
        <v>0.26467943129755256</v>
      </c>
      <c r="F491" s="18">
        <f t="shared" si="55"/>
        <v>0</v>
      </c>
      <c r="G491" s="20">
        <f t="shared" si="55"/>
        <v>0.17204163034340919</v>
      </c>
      <c r="H491" s="17">
        <f>SUM(C491:G491)</f>
        <v>4.4863163604935163</v>
      </c>
      <c r="I491" s="17">
        <f>D491/H491*100</f>
        <v>90.265486725663706</v>
      </c>
      <c r="J491" s="17">
        <f>SQRT(I491*(100-I491)/(L491-1))</f>
        <v>1.6123511616510575</v>
      </c>
      <c r="K491" s="18">
        <f>100-I491</f>
        <v>9.7345132743362939</v>
      </c>
      <c r="L491" s="1">
        <f>H480</f>
        <v>339</v>
      </c>
      <c r="M491">
        <v>1</v>
      </c>
      <c r="N491" s="1">
        <v>8514.98</v>
      </c>
      <c r="O491" s="17">
        <f>N491/N495*100</f>
        <v>4.4863163604935163</v>
      </c>
      <c r="P491" s="52">
        <f>((O491*O491*(I491/100)*(K491/100))/(L491-1))</f>
        <v>5.2323773909205241E-3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55"/>
        <v>0</v>
      </c>
      <c r="D492" s="19">
        <f t="shared" si="55"/>
        <v>1.7310177928002863</v>
      </c>
      <c r="E492" s="34">
        <f t="shared" si="55"/>
        <v>56.406451219677912</v>
      </c>
      <c r="F492" s="19">
        <f t="shared" si="55"/>
        <v>0.7336218264725024</v>
      </c>
      <c r="G492" s="20">
        <f t="shared" si="55"/>
        <v>0.22255943050289398</v>
      </c>
      <c r="H492" s="17">
        <f>SUM(C492:G492)</f>
        <v>59.09365026945359</v>
      </c>
      <c r="I492" s="17">
        <f>E492/H492*100</f>
        <v>95.452643325428937</v>
      </c>
      <c r="J492" s="17">
        <f>SQRT(I492*(100-I492)/(L492-1))</f>
        <v>0.24607896489921233</v>
      </c>
      <c r="K492" s="18">
        <f>100-I492</f>
        <v>4.5473566745710627</v>
      </c>
      <c r="L492" s="1">
        <f>H481</f>
        <v>7169</v>
      </c>
      <c r="M492">
        <v>2</v>
      </c>
      <c r="N492" s="1">
        <v>112159.11</v>
      </c>
      <c r="O492" s="17">
        <f>N492/N495*100</f>
        <v>59.09365026945359</v>
      </c>
      <c r="P492" s="52">
        <f>((O492*O492*(I492/100)*(K492/100))/(L492-1))</f>
        <v>2.1146116367011251E-2</v>
      </c>
    </row>
    <row r="493" spans="1:40" x14ac:dyDescent="0.3">
      <c r="A493" t="s">
        <v>6</v>
      </c>
      <c r="B493" s="13">
        <v>3</v>
      </c>
      <c r="C493" s="33">
        <f t="shared" si="55"/>
        <v>0</v>
      </c>
      <c r="D493" s="19">
        <f t="shared" si="55"/>
        <v>0.27391264944437116</v>
      </c>
      <c r="E493" s="19">
        <f t="shared" si="55"/>
        <v>0.58695567738079535</v>
      </c>
      <c r="F493" s="34">
        <f t="shared" si="55"/>
        <v>22.773880282374858</v>
      </c>
      <c r="G493" s="20">
        <f t="shared" si="55"/>
        <v>1.5260847611900679</v>
      </c>
      <c r="H493" s="17">
        <f>SUM(C493:G493)</f>
        <v>25.16083337039009</v>
      </c>
      <c r="I493" s="17">
        <f>F493/H493*100</f>
        <v>90.513219284603423</v>
      </c>
      <c r="J493" s="17">
        <f>SQRT(I493*(100-I493)/(L493-1))</f>
        <v>0.57791557445785113</v>
      </c>
      <c r="K493" s="18">
        <f>100-I493</f>
        <v>9.4867807153965771</v>
      </c>
      <c r="L493" s="1">
        <f>H482</f>
        <v>2572</v>
      </c>
      <c r="M493">
        <v>3</v>
      </c>
      <c r="N493" s="1">
        <v>47754.99</v>
      </c>
      <c r="O493" s="17">
        <f>N493/N495*100</f>
        <v>25.160833370390094</v>
      </c>
      <c r="P493" s="52">
        <f>((O493*O493*(I493/100)*(K493/100))/(L493-1))</f>
        <v>2.1143595436057532E-2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55"/>
        <v>0</v>
      </c>
      <c r="D494" s="36">
        <f t="shared" si="55"/>
        <v>0</v>
      </c>
      <c r="E494" s="21">
        <f t="shared" si="55"/>
        <v>0.16461333569934614</v>
      </c>
      <c r="F494" s="21">
        <f t="shared" si="55"/>
        <v>1.0288333481209133</v>
      </c>
      <c r="G494" s="37">
        <f t="shared" si="55"/>
        <v>8.683353458140509</v>
      </c>
      <c r="H494" s="17">
        <f>SUM(C494:G494)</f>
        <v>9.8768001419607678</v>
      </c>
      <c r="I494" s="17">
        <f>G494/H494*100</f>
        <v>87.916666666666671</v>
      </c>
      <c r="J494" s="17">
        <f>SQRT(I494*(100-I494)/(L494-1))</f>
        <v>1.0524941274466006</v>
      </c>
      <c r="K494" s="18">
        <f>100-I494</f>
        <v>12.083333333333329</v>
      </c>
      <c r="L494" s="1">
        <f>H483</f>
        <v>960</v>
      </c>
      <c r="M494">
        <v>4</v>
      </c>
      <c r="N494" s="1">
        <v>18746.060000000001</v>
      </c>
      <c r="O494" s="17">
        <f>N494/N495*100</f>
        <v>9.8768001419607678</v>
      </c>
      <c r="P494" s="52">
        <f>((O494*O494*(I494/100)*(K494/100))/(L494-1))</f>
        <v>1.0806172459913419E-2</v>
      </c>
    </row>
    <row r="495" spans="1:40" x14ac:dyDescent="0.3">
      <c r="B495" t="s">
        <v>28</v>
      </c>
      <c r="C495" s="17">
        <f t="shared" ref="C495:H495" si="56">SUM(C490:C494)</f>
        <v>1.3823998577020356</v>
      </c>
      <c r="D495" s="17">
        <f t="shared" si="56"/>
        <v>6.054525741097212</v>
      </c>
      <c r="E495" s="17">
        <f t="shared" si="56"/>
        <v>57.4226996640556</v>
      </c>
      <c r="F495" s="17">
        <f t="shared" si="56"/>
        <v>24.536335456968274</v>
      </c>
      <c r="G495" s="17">
        <f t="shared" si="56"/>
        <v>10.604039280176881</v>
      </c>
      <c r="H495" s="18">
        <f t="shared" si="56"/>
        <v>100.00000000000001</v>
      </c>
      <c r="I495" s="13" t="s">
        <v>24</v>
      </c>
      <c r="J495" s="12" t="s">
        <v>29</v>
      </c>
      <c r="N495" s="1">
        <f>SUM(N490:N494)</f>
        <v>189798.91999999998</v>
      </c>
      <c r="O495" s="17">
        <f>SUM(O490:O494)</f>
        <v>100.00000000000001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0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0.1473704773032464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0.17808044513737448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0.19128481877266537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0.16981050473896081</v>
      </c>
      <c r="H496" s="1"/>
      <c r="I496" s="14">
        <f>(C490+D491+E492+F493+G494)/H495</f>
        <v>0.93295680116747848</v>
      </c>
      <c r="J496" s="53">
        <f>SQRT(SUM(P490:P494))/100</f>
        <v>2.4151244616769283E-3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66.885425415974524</v>
      </c>
      <c r="E497" s="17">
        <f>E492/E495*100</f>
        <v>98.230232207257544</v>
      </c>
      <c r="F497" s="17">
        <f>F493/F495*100</f>
        <v>92.816958434219316</v>
      </c>
      <c r="G497" s="17">
        <f>G494/G495*100</f>
        <v>81.88722456331439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4.2031445388374387</v>
      </c>
      <c r="E498" s="18">
        <f>SQRT((E501+E502)/(E495*E495))</f>
        <v>0.18159951130106353</v>
      </c>
      <c r="F498" s="18">
        <f>SQRT((F501+F502)/(F495*F495))</f>
        <v>0.6344388855605495</v>
      </c>
      <c r="G498" s="18">
        <f>SQRT((G501+G502)/(G495*G495))</f>
        <v>2.0565444847055834</v>
      </c>
      <c r="H498" s="1"/>
    </row>
    <row r="499" spans="1:40" x14ac:dyDescent="0.3">
      <c r="B499" s="1" t="s">
        <v>37</v>
      </c>
      <c r="C499" s="18">
        <f>100-C497</f>
        <v>0</v>
      </c>
      <c r="D499" s="18">
        <f>100-D497</f>
        <v>33.114574584025476</v>
      </c>
      <c r="E499" s="18">
        <f>100-E497</f>
        <v>1.7697677927424564</v>
      </c>
      <c r="F499" s="18">
        <f>100-F497</f>
        <v>7.1830415657806839</v>
      </c>
      <c r="G499" s="18">
        <f>100-G497</f>
        <v>18.11277543668561</v>
      </c>
      <c r="AM499" s="78"/>
      <c r="AN499" s="78"/>
    </row>
    <row r="500" spans="1:40" ht="15.6" x14ac:dyDescent="0.35">
      <c r="B500" s="1" t="s">
        <v>25</v>
      </c>
      <c r="C500" s="1">
        <f>C484</f>
        <v>259</v>
      </c>
      <c r="D500" s="1">
        <f>D484</f>
        <v>544</v>
      </c>
      <c r="E500" s="1">
        <f>E484</f>
        <v>6939</v>
      </c>
      <c r="F500" s="1">
        <f>F484</f>
        <v>2517</v>
      </c>
      <c r="G500" s="1">
        <f>G484</f>
        <v>1040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573.76944984448176</v>
      </c>
      <c r="E501" s="18">
        <f>(O492*O492*(100-E497)*(100-E497)*(I492)*(100-I492))/((L492-1)*100)</f>
        <v>6.6231286709232542</v>
      </c>
      <c r="F501" s="18">
        <f>(O493*O493*(100-F497)*(100-F497)*(I493)*(100-I493))/((L493-1)*100)</f>
        <v>109.09267713379163</v>
      </c>
      <c r="G501" s="18">
        <f>(O494*O494*(100-G497)*(100-G497)*(I494)*(100-I494))/((L494-1)*100)</f>
        <v>354.52094625960342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73.833636291214503</v>
      </c>
      <c r="E502" s="18">
        <f>E497*E497*(SUM((H490*E490*(1-E479/H479))/(H479-1),(H491*E491*(1-E480/H480))/(H480-1), (H493*E493*(1-E482/H482))/(H482-1),(H494*E494*(1-E483/H483))/(H483-1)))</f>
        <v>102.11868293728435</v>
      </c>
      <c r="F502" s="18">
        <f>F497*F497*(SUM((H490*F490*(1-F479/H479))/(H479-1),(H491*F491*(1-F480/H480))/(H480-1), (H492*F492*(1-F481/H481))/(H481-1),(H494*F494*(1-F483/H483))/(H483-1)))</f>
        <v>133.23275083221853</v>
      </c>
      <c r="G502" s="18">
        <f>G497*G497*(SUM((H490*G490*(1-G479/H479))/(H479-1),(H491*G491*(1-G480/H480))/(H480-1), (H492*G492*(1-G481/H481))/(H481-1),(H493*G493*(1-G482/H482))/(H482-1)))</f>
        <v>121.05389517977849</v>
      </c>
    </row>
    <row r="503" spans="1:40" x14ac:dyDescent="0.3">
      <c r="AM503" s="78"/>
      <c r="AN503" s="78"/>
    </row>
    <row r="505" spans="1:40" x14ac:dyDescent="0.3">
      <c r="A505" s="361" t="s">
        <v>437</v>
      </c>
      <c r="B505" s="361"/>
      <c r="C505" s="361"/>
      <c r="D505" s="361"/>
      <c r="E505" s="361"/>
      <c r="F505" s="361"/>
      <c r="G505" s="361"/>
      <c r="H505" s="361"/>
      <c r="I505" s="361"/>
      <c r="J505" s="361"/>
      <c r="K505" s="361"/>
      <c r="L505" s="361" t="s">
        <v>95</v>
      </c>
      <c r="M505" s="361"/>
      <c r="N505" s="361"/>
      <c r="O505" s="361"/>
      <c r="P505" s="361"/>
      <c r="AM505" s="78"/>
      <c r="AN505" s="78"/>
    </row>
    <row r="506" spans="1:40" x14ac:dyDescent="0.3">
      <c r="A506" t="s">
        <v>15</v>
      </c>
      <c r="B506" t="s">
        <v>21</v>
      </c>
      <c r="I506" s="1" t="s">
        <v>58</v>
      </c>
      <c r="O506" s="143"/>
      <c r="P506" s="143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56</v>
      </c>
      <c r="O507" s="13"/>
      <c r="P507" s="13"/>
      <c r="AM507" s="78"/>
      <c r="AN507" s="78"/>
    </row>
    <row r="508" spans="1:40" x14ac:dyDescent="0.3">
      <c r="A508" t="s">
        <v>3</v>
      </c>
      <c r="B508" s="13">
        <v>0</v>
      </c>
      <c r="C508" s="26">
        <v>258</v>
      </c>
      <c r="D508" s="3">
        <v>0</v>
      </c>
      <c r="E508" s="3">
        <v>0</v>
      </c>
      <c r="F508" s="3">
        <v>1</v>
      </c>
      <c r="G508" s="4">
        <v>0</v>
      </c>
      <c r="H508" s="1">
        <f>SUM(C508:G508)</f>
        <v>259</v>
      </c>
      <c r="I508" s="10">
        <f>C508/H508</f>
        <v>0.99613899613899615</v>
      </c>
      <c r="J508" s="11">
        <f>1-I508</f>
        <v>3.8610038610038533E-3</v>
      </c>
      <c r="K508">
        <f>H508-C513</f>
        <v>0</v>
      </c>
      <c r="N508" s="10">
        <f>2*(C514*I508)/(C514+I508)</f>
        <v>0.99613899613899615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300</v>
      </c>
      <c r="E509" s="1">
        <v>27</v>
      </c>
      <c r="F509" s="1">
        <v>0</v>
      </c>
      <c r="G509" s="6">
        <v>12</v>
      </c>
      <c r="H509" s="1">
        <f>SUM(C509:G509)</f>
        <v>339</v>
      </c>
      <c r="I509" s="10">
        <f>D509/H509</f>
        <v>0.88495575221238942</v>
      </c>
      <c r="J509" s="11">
        <f>1-I509</f>
        <v>0.11504424778761058</v>
      </c>
      <c r="K509">
        <f>H509-D513</f>
        <v>-163</v>
      </c>
      <c r="N509" s="10">
        <f>2*(D514*I509)/(D514+I509)</f>
        <v>0.71343638525564812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180</v>
      </c>
      <c r="E510" s="27">
        <v>6876</v>
      </c>
      <c r="F510" s="1">
        <v>94</v>
      </c>
      <c r="G510" s="6">
        <v>19</v>
      </c>
      <c r="H510" s="1">
        <f>SUM(C510:G510)</f>
        <v>7169</v>
      </c>
      <c r="I510" s="10">
        <f>E510/H510</f>
        <v>0.95912958571627838</v>
      </c>
      <c r="J510" s="11">
        <f>1-I510</f>
        <v>4.0870414283721623E-2</v>
      </c>
      <c r="K510">
        <f>H510-E513</f>
        <v>187</v>
      </c>
      <c r="N510" s="10">
        <f>2*(E514*I510)/(E514+I510)</f>
        <v>0.97180411278354895</v>
      </c>
      <c r="O510" s="1"/>
      <c r="P510" s="1"/>
    </row>
    <row r="511" spans="1:40" x14ac:dyDescent="0.3">
      <c r="A511" t="s">
        <v>6</v>
      </c>
      <c r="B511" s="13">
        <v>3</v>
      </c>
      <c r="C511" s="5">
        <v>1</v>
      </c>
      <c r="D511" s="1">
        <v>22</v>
      </c>
      <c r="E511" s="1">
        <v>67</v>
      </c>
      <c r="F511" s="27">
        <v>2331</v>
      </c>
      <c r="G511" s="6">
        <v>151</v>
      </c>
      <c r="H511" s="1">
        <f>SUM(C511:G511)</f>
        <v>2572</v>
      </c>
      <c r="I511" s="10">
        <f>F511/H511</f>
        <v>0.90629860031104204</v>
      </c>
      <c r="J511" s="11">
        <f>1-I511</f>
        <v>9.3701399688957965E-2</v>
      </c>
      <c r="K511">
        <f>H511-F513</f>
        <v>52</v>
      </c>
      <c r="N511" s="10">
        <f>2*(F514*I511)/(F514+I511)</f>
        <v>0.91555380989787916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0</v>
      </c>
      <c r="E512" s="8">
        <v>12</v>
      </c>
      <c r="F512" s="8">
        <v>94</v>
      </c>
      <c r="G512" s="28">
        <v>854</v>
      </c>
      <c r="H512" s="1">
        <f>SUM(C512:G512)</f>
        <v>960</v>
      </c>
      <c r="I512" s="10">
        <f>G512/H512</f>
        <v>0.88958333333333328</v>
      </c>
      <c r="J512" s="11">
        <f>1-I512</f>
        <v>0.11041666666666672</v>
      </c>
      <c r="K512">
        <f>H512-G513</f>
        <v>-76</v>
      </c>
      <c r="N512" s="10">
        <f>2*(G514*I512)/(G514+I512)</f>
        <v>0.85571142284569146</v>
      </c>
      <c r="O512" s="1"/>
      <c r="P512" s="1"/>
    </row>
    <row r="513" spans="1:40" ht="15.6" x14ac:dyDescent="0.35">
      <c r="B513" s="1" t="s">
        <v>19</v>
      </c>
      <c r="C513" s="1">
        <f>SUM(C508:C512)</f>
        <v>259</v>
      </c>
      <c r="D513" s="1">
        <f>SUM(D508:D512)</f>
        <v>502</v>
      </c>
      <c r="E513" s="1">
        <f>SUM(E508:E512)</f>
        <v>6982</v>
      </c>
      <c r="F513" s="1">
        <f>SUM(F508:F512)</f>
        <v>2520</v>
      </c>
      <c r="G513" s="1">
        <f>SUM(G508:G512)</f>
        <v>1036</v>
      </c>
      <c r="H513" s="1">
        <f>SUM(H507:H512)</f>
        <v>11299</v>
      </c>
      <c r="I513" s="13" t="s">
        <v>12</v>
      </c>
      <c r="N513" s="16"/>
      <c r="O513" s="1"/>
      <c r="P513" s="1"/>
      <c r="AM513" s="78"/>
      <c r="AN513" s="78"/>
    </row>
    <row r="514" spans="1:40" x14ac:dyDescent="0.3">
      <c r="A514" s="1" t="s">
        <v>57</v>
      </c>
      <c r="B514" s="1" t="s">
        <v>2</v>
      </c>
      <c r="C514" s="10">
        <f>C508/C513</f>
        <v>0.99613899613899615</v>
      </c>
      <c r="D514" s="10">
        <f>D509/D513</f>
        <v>0.59760956175298807</v>
      </c>
      <c r="E514" s="10">
        <f>E510/E513</f>
        <v>0.98481810369521627</v>
      </c>
      <c r="F514" s="10">
        <f>F511/F513</f>
        <v>0.92500000000000004</v>
      </c>
      <c r="G514" s="10">
        <f>G512/G513</f>
        <v>0.82432432432432434</v>
      </c>
      <c r="H514" s="10"/>
      <c r="I514" s="14">
        <f>(C508+D509+E510+F511+G512)/H513</f>
        <v>0.93981768298079471</v>
      </c>
    </row>
    <row r="515" spans="1:40" x14ac:dyDescent="0.3">
      <c r="B515" s="1" t="s">
        <v>14</v>
      </c>
      <c r="C515" s="11">
        <f>1-C514</f>
        <v>3.8610038610038533E-3</v>
      </c>
      <c r="D515" s="11">
        <f>1-D514</f>
        <v>0.40239043824701193</v>
      </c>
      <c r="E515" s="11">
        <f>1-E514</f>
        <v>1.5181896304783726E-2</v>
      </c>
      <c r="F515" s="11">
        <f>1-F514</f>
        <v>7.4999999999999956E-2</v>
      </c>
      <c r="G515" s="11">
        <f>1-G514</f>
        <v>0.17567567567567566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1.3967701157596655</v>
      </c>
      <c r="D519" s="31">
        <f>(D508/$L519)*$O519</f>
        <v>0</v>
      </c>
      <c r="E519" s="31">
        <f>(E508/$L519)*$O519</f>
        <v>0</v>
      </c>
      <c r="F519" s="31">
        <f>(F508/$L519)*$O519</f>
        <v>5.4138376579831995E-3</v>
      </c>
      <c r="G519" s="32">
        <f>(G508/$L519)*$O519</f>
        <v>0</v>
      </c>
      <c r="H519" s="17">
        <f>SUM(C519:G519)</f>
        <v>1.4021839534176486</v>
      </c>
      <c r="I519" s="17">
        <f>C519/H519*100</f>
        <v>99.613899613899619</v>
      </c>
      <c r="J519" s="17">
        <f>SQRT(I519*(100-I519)/(L519-1))</f>
        <v>0.3861003861003835</v>
      </c>
      <c r="K519" s="18">
        <f>100-I519</f>
        <v>0.38610038610038089</v>
      </c>
      <c r="L519" s="1">
        <f>H508</f>
        <v>259</v>
      </c>
      <c r="M519">
        <v>0</v>
      </c>
      <c r="N519" s="1">
        <v>2661.33</v>
      </c>
      <c r="O519" s="17">
        <f>N519/N524*100</f>
        <v>1.4021839534176486</v>
      </c>
      <c r="P519" s="52">
        <f>((O519*O519*(I519/100)*(K519/100))/(L519-1))</f>
        <v>2.9309638186996616E-5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57">(C509/$L520)*$O520</f>
        <v>0</v>
      </c>
      <c r="D520" s="34">
        <f t="shared" si="57"/>
        <v>3.7999927147864505</v>
      </c>
      <c r="E520" s="19">
        <f t="shared" si="57"/>
        <v>0.3419993443307805</v>
      </c>
      <c r="F520" s="18">
        <f t="shared" si="57"/>
        <v>0</v>
      </c>
      <c r="G520" s="20">
        <f t="shared" si="57"/>
        <v>0.151999708591458</v>
      </c>
      <c r="H520" s="17">
        <f>SUM(C520:G520)</f>
        <v>4.2939917677086896</v>
      </c>
      <c r="I520" s="17">
        <f>D520/H520*100</f>
        <v>88.495575221238937</v>
      </c>
      <c r="J520" s="17">
        <f>SQRT(I520*(100-I520)/(L520-1))</f>
        <v>1.7355410189219826</v>
      </c>
      <c r="K520" s="18">
        <f>100-I520</f>
        <v>11.504424778761063</v>
      </c>
      <c r="L520" s="1">
        <f>H509</f>
        <v>339</v>
      </c>
      <c r="M520">
        <v>1</v>
      </c>
      <c r="N520" s="1">
        <v>8149.95</v>
      </c>
      <c r="O520" s="17">
        <f>N520/N524*100</f>
        <v>4.2939917677086887</v>
      </c>
      <c r="P520" s="52">
        <f>((O520*O520*(I520/100)*(K520/100))/(L520-1))</f>
        <v>5.5538248586269618E-3</v>
      </c>
    </row>
    <row r="521" spans="1:40" x14ac:dyDescent="0.3">
      <c r="A521" t="s">
        <v>5</v>
      </c>
      <c r="B521" s="13">
        <v>2</v>
      </c>
      <c r="C521" s="33">
        <f t="shared" si="57"/>
        <v>0</v>
      </c>
      <c r="D521" s="19">
        <f t="shared" si="57"/>
        <v>1.4994704762824191</v>
      </c>
      <c r="E521" s="34">
        <f t="shared" si="57"/>
        <v>57.279772193988407</v>
      </c>
      <c r="F521" s="19">
        <f t="shared" si="57"/>
        <v>0.78305680428081892</v>
      </c>
      <c r="G521" s="20">
        <f t="shared" si="57"/>
        <v>0.15827743916314424</v>
      </c>
      <c r="H521" s="17">
        <f>SUM(C521:G521)</f>
        <v>59.720576913714787</v>
      </c>
      <c r="I521" s="17">
        <f>E521/H521*100</f>
        <v>95.912958571627854</v>
      </c>
      <c r="J521" s="17">
        <f>SQRT(I521*(100-I521)/(L521-1))</f>
        <v>0.23385365682943215</v>
      </c>
      <c r="K521" s="18">
        <f>100-I521</f>
        <v>4.0870414283721459</v>
      </c>
      <c r="L521" s="1">
        <f>H510</f>
        <v>7169</v>
      </c>
      <c r="M521">
        <v>2</v>
      </c>
      <c r="N521" s="1">
        <v>113349.01</v>
      </c>
      <c r="O521" s="17">
        <f>N521/N524*100</f>
        <v>59.720576913714794</v>
      </c>
      <c r="P521" s="52">
        <f>((O521*O521*(I521/100)*(K521/100))/(L521-1))</f>
        <v>1.9504567287379815E-2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57"/>
        <v>9.6783957826210402E-3</v>
      </c>
      <c r="D522" s="19">
        <f t="shared" si="57"/>
        <v>0.21292470721766288</v>
      </c>
      <c r="E522" s="19">
        <f t="shared" si="57"/>
        <v>0.64845251743560972</v>
      </c>
      <c r="F522" s="34">
        <f t="shared" si="57"/>
        <v>22.560340569289647</v>
      </c>
      <c r="G522" s="20">
        <f t="shared" si="57"/>
        <v>1.4614377631757771</v>
      </c>
      <c r="H522" s="17">
        <f>SUM(C522:G522)</f>
        <v>24.892833952901317</v>
      </c>
      <c r="I522" s="17">
        <f>F522/H522*100</f>
        <v>90.629860031104201</v>
      </c>
      <c r="J522" s="17">
        <f>SQRT(I522*(100-I522)/(L522-1))</f>
        <v>0.57472177966300575</v>
      </c>
      <c r="K522" s="18">
        <f>100-I522</f>
        <v>9.3701399688957991</v>
      </c>
      <c r="L522" s="1">
        <f>H511</f>
        <v>2572</v>
      </c>
      <c r="M522">
        <v>3</v>
      </c>
      <c r="N522" s="1">
        <v>47246.33</v>
      </c>
      <c r="O522" s="17">
        <f>N522/N524*100</f>
        <v>24.892833952901317</v>
      </c>
      <c r="P522" s="52">
        <f>((O522*O522*(I522/100)*(K522/100))/(L522-1))</f>
        <v>2.0467462119756533E-2</v>
      </c>
    </row>
    <row r="523" spans="1:40" x14ac:dyDescent="0.3">
      <c r="A523" t="s">
        <v>7</v>
      </c>
      <c r="B523" s="13">
        <v>4</v>
      </c>
      <c r="C523" s="35">
        <f t="shared" si="57"/>
        <v>0</v>
      </c>
      <c r="D523" s="36">
        <f t="shared" si="57"/>
        <v>0</v>
      </c>
      <c r="E523" s="21">
        <f t="shared" si="57"/>
        <v>0.12113016765321954</v>
      </c>
      <c r="F523" s="21">
        <f t="shared" si="57"/>
        <v>0.94885297995021967</v>
      </c>
      <c r="G523" s="37">
        <f t="shared" si="57"/>
        <v>8.6204302646541233</v>
      </c>
      <c r="H523" s="17">
        <f>SUM(C523:G523)</f>
        <v>9.6904134122575627</v>
      </c>
      <c r="I523" s="17">
        <f>G523/H523*100</f>
        <v>88.958333333333329</v>
      </c>
      <c r="J523" s="17">
        <f>SQRT(I523*(100-I523)/(L523-1))</f>
        <v>1.0120485135783621</v>
      </c>
      <c r="K523" s="18">
        <f>100-I523</f>
        <v>11.041666666666671</v>
      </c>
      <c r="L523" s="1">
        <f>H512</f>
        <v>960</v>
      </c>
      <c r="M523">
        <v>4</v>
      </c>
      <c r="N523" s="1">
        <v>18392.3</v>
      </c>
      <c r="O523" s="17">
        <f>N523/N524*100</f>
        <v>9.6904134122575627</v>
      </c>
      <c r="P523" s="52">
        <f>((O523*O523*(I523/100)*(K523/100))/(L523-1))</f>
        <v>9.6180553788014298E-3</v>
      </c>
      <c r="AM523" s="78"/>
      <c r="AN523" s="78"/>
    </row>
    <row r="524" spans="1:40" x14ac:dyDescent="0.3">
      <c r="B524" t="s">
        <v>28</v>
      </c>
      <c r="C524" s="17">
        <f>SUM(C519:C523)</f>
        <v>1.4064485115422865</v>
      </c>
      <c r="D524" s="17">
        <f>SUM(D519:D523)</f>
        <v>5.5123878982865326</v>
      </c>
      <c r="E524" s="17">
        <f>SUM(E519:E523)</f>
        <v>58.391354223408015</v>
      </c>
      <c r="F524" s="17">
        <f>SUM(F519:F523)</f>
        <v>24.297664191178669</v>
      </c>
      <c r="G524" s="17">
        <f>SUM(G519:G523)</f>
        <v>10.392145175584503</v>
      </c>
      <c r="H524" s="1">
        <f>SUM(H518:H523)</f>
        <v>100</v>
      </c>
      <c r="I524" s="13" t="s">
        <v>24</v>
      </c>
      <c r="J524" s="12" t="s">
        <v>29</v>
      </c>
      <c r="N524" s="1">
        <f>SUM(N519:N523)</f>
        <v>189798.91999999998</v>
      </c>
      <c r="O524" s="17">
        <f>SUM(O519:O523)</f>
        <v>100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1.1082932772233874E-2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0.14056361826338692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0.17552413789105933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0.18859055300907068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0.16153698206320438</v>
      </c>
      <c r="H525" s="1"/>
      <c r="I525" s="14">
        <f>(C519+D520+E521+F522+G523)/H524</f>
        <v>0.93657305858478279</v>
      </c>
      <c r="J525" s="53">
        <f>SQRT(SUM(P519:P523))/100</f>
        <v>2.3488980242392758E-3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99.311855663169084</v>
      </c>
      <c r="D526" s="17">
        <f>D520/D524*100</f>
        <v>68.93551007119143</v>
      </c>
      <c r="E526" s="17">
        <f>E521/E524*100</f>
        <v>98.096324286012205</v>
      </c>
      <c r="F526" s="17">
        <f>F522/F524*100</f>
        <v>92.849832773144655</v>
      </c>
      <c r="G526" s="17">
        <f>G523/G524*100</f>
        <v>82.951403382115188</v>
      </c>
      <c r="H526" s="1"/>
    </row>
    <row r="527" spans="1:40" x14ac:dyDescent="0.3">
      <c r="B527" s="16" t="s">
        <v>39</v>
      </c>
      <c r="C527" s="18">
        <f>SQRT((C530+C531)/(C524*C524))</f>
        <v>0.73294812524494635</v>
      </c>
      <c r="D527" s="18">
        <f>SQRT((D530+D531)/(D524*D524))</f>
        <v>4.4566821352658739</v>
      </c>
      <c r="E527" s="18">
        <f>SQRT((E530+E531)/(E524*E524))</f>
        <v>0.18446803942521481</v>
      </c>
      <c r="F527" s="18">
        <f>SQRT((F530+F531)/(F524*F524))</f>
        <v>0.63086452718009511</v>
      </c>
      <c r="G527" s="18">
        <f>SQRT((G530+G531)/(G524*G524))</f>
        <v>1.9077818986463166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0.68814433683091636</v>
      </c>
      <c r="D528" s="18">
        <f>100-D526</f>
        <v>31.06448992880857</v>
      </c>
      <c r="E528" s="18">
        <f>100-E526</f>
        <v>1.9036757139877949</v>
      </c>
      <c r="F528" s="18">
        <f>100-F526</f>
        <v>7.1501672268553449</v>
      </c>
      <c r="G528" s="18">
        <f>100-G526</f>
        <v>17.048596617884812</v>
      </c>
    </row>
    <row r="529" spans="1:40" ht="15.6" x14ac:dyDescent="0.35">
      <c r="B529" s="1" t="s">
        <v>25</v>
      </c>
      <c r="C529" s="1">
        <f>C513</f>
        <v>259</v>
      </c>
      <c r="D529" s="1">
        <f>D513</f>
        <v>502</v>
      </c>
      <c r="E529" s="1">
        <f>E513</f>
        <v>6982</v>
      </c>
      <c r="F529" s="1">
        <f>F513</f>
        <v>2520</v>
      </c>
      <c r="G529" s="1">
        <f>G513</f>
        <v>1036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0.13879363101957673</v>
      </c>
      <c r="D530" s="18">
        <f>(O520*O520*(100-D526)*(100-D526)*(I520)*(100-I520))/((L520-1)*100)</f>
        <v>535.94550649498854</v>
      </c>
      <c r="E530" s="18">
        <f>(O521*O521*(100-E526)*(100-E526)*(I521)*(100-I521))/((L521-1)*100)</f>
        <v>7.0684185632234531</v>
      </c>
      <c r="F530" s="18">
        <f>(O522*O522*(100-F526)*(100-F526)*(I522)*(100-I522))/((L522-1)*100)</f>
        <v>104.63967775330006</v>
      </c>
      <c r="G530" s="18">
        <f>(O523*O523*(100-G526)*(100-G526)*(I523)*(100-I523))/((L523-1)*100)</f>
        <v>279.55324874832621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0.92386592551873814</v>
      </c>
      <c r="D531" s="18">
        <f>D526*D526*(SUM((H519*D519*(1-D508/H508))/(H508-1),(H521*D521*(1-D510/H510))/(H510-1), (H522*D522*(1-D511/H511))/(H511-1),(H523*D523*(1-D512/H512))/(H512-1)))</f>
        <v>67.590050014717519</v>
      </c>
      <c r="E531" s="18">
        <f>E526*E526*(SUM((H519*E519*(1-E508/H508))/(H508-1),(H520*E520*(1-E509/H509))/(H509-1), (H522*E522*(1-E511/H511))/(H511-1),(H523*E523*(1-E512/H512))/(H512-1)))</f>
        <v>108.95331738300301</v>
      </c>
      <c r="F531" s="18">
        <f>F526*F526*(SUM((H519*F519*(1-F508/H508))/(H508-1),(H520*F520*(1-F509/H509))/(H509-1), (H521*F521*(1-F510/H510))/(H510-1),(H523*F523*(1-F512/H512))/(H512-1)))</f>
        <v>130.3242900658727</v>
      </c>
      <c r="G531" s="18">
        <f>G526*G526*(SUM((H519*G519*(1-G508/H508))/(H508-1),(H520*G520*(1-G509/H509))/(H509-1), (H521*G521*(1-G510/H510))/(H510-1),(H522*G522*(1-G511/H511))/(H511-1)))</f>
        <v>113.51490405190995</v>
      </c>
      <c r="AM531" s="78"/>
      <c r="AN531" s="78"/>
    </row>
    <row r="533" spans="1:40" x14ac:dyDescent="0.3">
      <c r="AM533" s="78"/>
      <c r="AN533" s="78"/>
    </row>
    <row r="534" spans="1:40" x14ac:dyDescent="0.3">
      <c r="A534" s="361" t="s">
        <v>437</v>
      </c>
      <c r="B534" s="361"/>
      <c r="C534" s="361"/>
      <c r="D534" s="361"/>
      <c r="E534" s="361"/>
      <c r="F534" s="361"/>
      <c r="G534" s="361"/>
      <c r="H534" s="361"/>
      <c r="I534" s="361"/>
      <c r="J534" s="361"/>
      <c r="K534" s="361"/>
      <c r="L534" s="361" t="s">
        <v>96</v>
      </c>
      <c r="M534" s="361"/>
      <c r="N534" s="361"/>
      <c r="O534" s="361"/>
      <c r="P534" s="361"/>
    </row>
    <row r="535" spans="1:40" x14ac:dyDescent="0.3">
      <c r="A535" t="s">
        <v>15</v>
      </c>
      <c r="B535" t="s">
        <v>21</v>
      </c>
      <c r="I535" s="1" t="s">
        <v>58</v>
      </c>
      <c r="O535" s="143"/>
      <c r="P535" s="143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56</v>
      </c>
      <c r="O536" s="13"/>
      <c r="P536" s="13"/>
    </row>
    <row r="537" spans="1:40" x14ac:dyDescent="0.3">
      <c r="A537" t="s">
        <v>3</v>
      </c>
      <c r="B537" s="13">
        <v>0</v>
      </c>
      <c r="C537" s="26">
        <v>257</v>
      </c>
      <c r="D537" s="3">
        <v>0</v>
      </c>
      <c r="E537" s="3">
        <v>0</v>
      </c>
      <c r="F537" s="3">
        <v>2</v>
      </c>
      <c r="G537" s="4">
        <v>0</v>
      </c>
      <c r="H537" s="1">
        <f>SUM(C537:G537)</f>
        <v>259</v>
      </c>
      <c r="I537" s="10">
        <f>C537/H537</f>
        <v>0.99227799227799229</v>
      </c>
      <c r="J537" s="11">
        <f>1-I537</f>
        <v>7.7220077220077066E-3</v>
      </c>
      <c r="K537">
        <f>H537-C542</f>
        <v>1</v>
      </c>
      <c r="N537" s="10">
        <f>2*(C543*I537)/(C543+I537)</f>
        <v>0.99419729206963248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301</v>
      </c>
      <c r="E538" s="1">
        <v>25</v>
      </c>
      <c r="F538" s="1">
        <v>0</v>
      </c>
      <c r="G538" s="6">
        <v>13</v>
      </c>
      <c r="H538" s="1">
        <f>SUM(C538:G538)</f>
        <v>339</v>
      </c>
      <c r="I538" s="10">
        <f>D538/H538</f>
        <v>0.88790560471976399</v>
      </c>
      <c r="J538" s="11">
        <f>1-I538</f>
        <v>0.11209439528023601</v>
      </c>
      <c r="K538">
        <f>H538-D542</f>
        <v>-164</v>
      </c>
      <c r="N538" s="10">
        <f>2*(D543*I538)/(D543+I538)</f>
        <v>0.71496437054631823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181</v>
      </c>
      <c r="E539" s="27">
        <v>6876</v>
      </c>
      <c r="F539" s="1">
        <v>93</v>
      </c>
      <c r="G539" s="6">
        <v>19</v>
      </c>
      <c r="H539" s="1">
        <f>SUM(C539:G539)</f>
        <v>7169</v>
      </c>
      <c r="I539" s="10">
        <f>E539/H539</f>
        <v>0.95912958571627838</v>
      </c>
      <c r="J539" s="11">
        <f>1-I539</f>
        <v>4.0870414283721623E-2</v>
      </c>
      <c r="K539">
        <f>H539-E542</f>
        <v>187</v>
      </c>
      <c r="N539" s="10">
        <f>2*(E543*I539)/(E543+I539)</f>
        <v>0.97180411278354895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1</v>
      </c>
      <c r="D540" s="1">
        <v>21</v>
      </c>
      <c r="E540" s="1">
        <v>67</v>
      </c>
      <c r="F540" s="27">
        <v>2336</v>
      </c>
      <c r="G540" s="6">
        <v>147</v>
      </c>
      <c r="H540" s="1">
        <f>SUM(C540:G540)</f>
        <v>2572</v>
      </c>
      <c r="I540" s="10">
        <f>F540/H540</f>
        <v>0.90824261275272167</v>
      </c>
      <c r="J540" s="11">
        <f>1-I540</f>
        <v>9.1757387247278333E-2</v>
      </c>
      <c r="K540">
        <f>H540-F542</f>
        <v>39</v>
      </c>
      <c r="N540" s="10">
        <f>2*(F543*I540)/(F543+I540)</f>
        <v>0.91518119490695404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0</v>
      </c>
      <c r="E541" s="8">
        <v>14</v>
      </c>
      <c r="F541" s="8">
        <v>102</v>
      </c>
      <c r="G541" s="28">
        <v>844</v>
      </c>
      <c r="H541" s="1">
        <f>SUM(C541:G541)</f>
        <v>960</v>
      </c>
      <c r="I541" s="10">
        <f>G541/H541</f>
        <v>0.87916666666666665</v>
      </c>
      <c r="J541" s="11">
        <f>1-I541</f>
        <v>0.12083333333333335</v>
      </c>
      <c r="K541">
        <f>H541-G542</f>
        <v>-63</v>
      </c>
      <c r="N541" s="10">
        <f>2*(G543*I541)/(G543+I541)</f>
        <v>0.85123550176500262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258</v>
      </c>
      <c r="D542" s="1">
        <f>SUM(D537:D541)</f>
        <v>503</v>
      </c>
      <c r="E542" s="1">
        <f>SUM(E537:E541)</f>
        <v>6982</v>
      </c>
      <c r="F542" s="1">
        <f>SUM(F537:F541)</f>
        <v>2533</v>
      </c>
      <c r="G542" s="1">
        <f>SUM(G537:G541)</f>
        <v>1023</v>
      </c>
      <c r="H542" s="1">
        <f>SUM(H536:H541)</f>
        <v>11299</v>
      </c>
      <c r="I542" s="13" t="s">
        <v>12</v>
      </c>
      <c r="N542" s="16"/>
      <c r="O542" s="1"/>
      <c r="P542" s="1"/>
    </row>
    <row r="543" spans="1:40" x14ac:dyDescent="0.3">
      <c r="A543" s="1" t="s">
        <v>57</v>
      </c>
      <c r="B543" s="1" t="s">
        <v>2</v>
      </c>
      <c r="C543" s="10">
        <f>C537/C542</f>
        <v>0.99612403100775193</v>
      </c>
      <c r="D543" s="10">
        <f>D538/D542</f>
        <v>0.59840954274353875</v>
      </c>
      <c r="E543" s="10">
        <f>E539/E542</f>
        <v>0.98481810369521627</v>
      </c>
      <c r="F543" s="10">
        <f>F540/F542</f>
        <v>0.92222660876431106</v>
      </c>
      <c r="G543" s="10">
        <f>G541/G542</f>
        <v>0.82502443792766378</v>
      </c>
      <c r="H543" s="10"/>
      <c r="I543" s="14">
        <f>(C537+D538+E539+F540+G541)/H542</f>
        <v>0.93937516594388881</v>
      </c>
    </row>
    <row r="544" spans="1:40" x14ac:dyDescent="0.3">
      <c r="B544" s="1" t="s">
        <v>14</v>
      </c>
      <c r="C544" s="11">
        <f>1-C543</f>
        <v>3.8759689922480689E-3</v>
      </c>
      <c r="D544" s="11">
        <f>1-D543</f>
        <v>0.40159045725646125</v>
      </c>
      <c r="E544" s="11">
        <f>1-E543</f>
        <v>1.5181896304783726E-2</v>
      </c>
      <c r="F544" s="11">
        <f>1-F543</f>
        <v>7.7773391235688938E-2</v>
      </c>
      <c r="G544" s="11">
        <f>1-G543</f>
        <v>0.17497556207233622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1.3526112093690876</v>
      </c>
      <c r="D548" s="31">
        <f>(D537/$L548)*$O548</f>
        <v>0</v>
      </c>
      <c r="E548" s="31">
        <f>(E537/$L548)*$O548</f>
        <v>0</v>
      </c>
      <c r="F548" s="31">
        <f>(F537/$L548)*$O548</f>
        <v>1.0526157271354766E-2</v>
      </c>
      <c r="G548" s="32">
        <f>(G537/$L548)*$O548</f>
        <v>0</v>
      </c>
      <c r="H548" s="17">
        <f>SUM(C548:G548)</f>
        <v>1.3631373666404425</v>
      </c>
      <c r="I548" s="17">
        <f>C548/H548*100</f>
        <v>99.227799227799224</v>
      </c>
      <c r="J548" s="17">
        <f>SQRT(I548*(100-I548)/(L548-1))</f>
        <v>0.54496918050789811</v>
      </c>
      <c r="K548" s="18">
        <f>100-I548</f>
        <v>0.77220077220077599</v>
      </c>
      <c r="L548" s="1">
        <f>H537</f>
        <v>259</v>
      </c>
      <c r="M548">
        <v>0</v>
      </c>
      <c r="N548" s="1">
        <v>2587.2199999999998</v>
      </c>
      <c r="O548" s="17">
        <f>N548/N553*100</f>
        <v>1.3631373666404423</v>
      </c>
      <c r="P548" s="52">
        <f>((O548*O548*(I548/100)*(K548/100))/(L548-1))</f>
        <v>5.5185264793862226E-5</v>
      </c>
    </row>
    <row r="549" spans="1:16" x14ac:dyDescent="0.3">
      <c r="A549" t="s">
        <v>4</v>
      </c>
      <c r="B549" s="13">
        <v>1</v>
      </c>
      <c r="C549" s="33">
        <f t="shared" ref="C549:G552" si="58">(C538/$L549)*$O549</f>
        <v>0</v>
      </c>
      <c r="D549" s="34">
        <f t="shared" si="58"/>
        <v>3.8193584512732879</v>
      </c>
      <c r="E549" s="19">
        <f t="shared" si="58"/>
        <v>0.31722246273033955</v>
      </c>
      <c r="F549" s="18">
        <f t="shared" si="58"/>
        <v>0</v>
      </c>
      <c r="G549" s="20">
        <f t="shared" si="58"/>
        <v>0.16495568061977656</v>
      </c>
      <c r="H549" s="17">
        <f>SUM(C549:G549)</f>
        <v>4.3015365946234043</v>
      </c>
      <c r="I549" s="17">
        <f>D549/H549*100</f>
        <v>88.790560471976391</v>
      </c>
      <c r="J549" s="17">
        <f>SQRT(I549*(100-I549)/(L549-1))</f>
        <v>1.7159988709375662</v>
      </c>
      <c r="K549" s="18">
        <f>100-I549</f>
        <v>11.209439528023609</v>
      </c>
      <c r="L549" s="1">
        <f>H538</f>
        <v>339</v>
      </c>
      <c r="M549">
        <v>1</v>
      </c>
      <c r="N549" s="1">
        <v>8164.27</v>
      </c>
      <c r="O549" s="17">
        <f>N549/N553*100</f>
        <v>4.3015365946234043</v>
      </c>
      <c r="P549" s="52">
        <f>((O549*O549*(I549/100)*(K549/100))/(L549-1))</f>
        <v>5.448553747998611E-3</v>
      </c>
    </row>
    <row r="550" spans="1:16" x14ac:dyDescent="0.3">
      <c r="A550" t="s">
        <v>5</v>
      </c>
      <c r="B550" s="13">
        <v>2</v>
      </c>
      <c r="C550" s="33">
        <f t="shared" si="58"/>
        <v>0</v>
      </c>
      <c r="D550" s="19">
        <f t="shared" si="58"/>
        <v>1.5018731034485213</v>
      </c>
      <c r="E550" s="34">
        <f t="shared" si="58"/>
        <v>57.054582648132779</v>
      </c>
      <c r="F550" s="19">
        <f t="shared" si="58"/>
        <v>0.77168065536305241</v>
      </c>
      <c r="G550" s="20">
        <f t="shared" si="58"/>
        <v>0.15765518765481717</v>
      </c>
      <c r="H550" s="17">
        <f>SUM(C550:G550)</f>
        <v>59.485791594599171</v>
      </c>
      <c r="I550" s="17">
        <f>E550/H550*100</f>
        <v>95.91295857162784</v>
      </c>
      <c r="J550" s="17">
        <f>SQRT(I550*(100-I550)/(L550-1))</f>
        <v>0.23385365682943254</v>
      </c>
      <c r="K550" s="18">
        <f>100-I550</f>
        <v>4.0870414283721601</v>
      </c>
      <c r="L550" s="1">
        <f>H539</f>
        <v>7169</v>
      </c>
      <c r="M550">
        <v>2</v>
      </c>
      <c r="N550" s="1">
        <v>112903.39</v>
      </c>
      <c r="O550" s="17">
        <f>N550/N553*100</f>
        <v>59.485791594599171</v>
      </c>
      <c r="P550" s="52">
        <f>((O550*O550*(I550/100)*(K550/100))/(L550-1))</f>
        <v>1.9351508338594673E-2</v>
      </c>
    </row>
    <row r="551" spans="1:16" x14ac:dyDescent="0.3">
      <c r="A551" t="s">
        <v>6</v>
      </c>
      <c r="B551" s="13">
        <v>3</v>
      </c>
      <c r="C551" s="33">
        <f t="shared" si="58"/>
        <v>9.7458138622055993E-3</v>
      </c>
      <c r="D551" s="19">
        <f t="shared" si="58"/>
        <v>0.20466209110631761</v>
      </c>
      <c r="E551" s="19">
        <f t="shared" si="58"/>
        <v>0.65296952876777514</v>
      </c>
      <c r="F551" s="34">
        <f t="shared" si="58"/>
        <v>22.766221182112282</v>
      </c>
      <c r="G551" s="20">
        <f t="shared" si="58"/>
        <v>1.4326346377442232</v>
      </c>
      <c r="H551" s="17">
        <f>SUM(C551:G551)</f>
        <v>25.066233253592802</v>
      </c>
      <c r="I551" s="17">
        <f>F551/H551*100</f>
        <v>90.824261275272164</v>
      </c>
      <c r="J551" s="17">
        <f>SQRT(I551*(100-I551)/(L551-1))</f>
        <v>0.56933832344016333</v>
      </c>
      <c r="K551" s="18">
        <f>100-I551</f>
        <v>9.1757387247278359</v>
      </c>
      <c r="L551" s="1">
        <f>H540</f>
        <v>2572</v>
      </c>
      <c r="M551">
        <v>3</v>
      </c>
      <c r="N551" s="1">
        <v>47575.44</v>
      </c>
      <c r="O551" s="17">
        <f>N551/N553*100</f>
        <v>25.066233253592802</v>
      </c>
      <c r="P551" s="52">
        <f>((O551*O551*(I551/100)*(K551/100))/(L551-1))</f>
        <v>2.036662136944916E-2</v>
      </c>
    </row>
    <row r="552" spans="1:16" x14ac:dyDescent="0.3">
      <c r="A552" t="s">
        <v>7</v>
      </c>
      <c r="B552" s="13">
        <v>4</v>
      </c>
      <c r="C552" s="35">
        <f t="shared" si="58"/>
        <v>0</v>
      </c>
      <c r="D552" s="36">
        <f t="shared" si="58"/>
        <v>0</v>
      </c>
      <c r="E552" s="21">
        <f t="shared" si="58"/>
        <v>0.14267314236210263</v>
      </c>
      <c r="F552" s="21">
        <f t="shared" si="58"/>
        <v>1.039475751495319</v>
      </c>
      <c r="G552" s="37">
        <f t="shared" si="58"/>
        <v>8.6011522966867577</v>
      </c>
      <c r="H552" s="17">
        <f>SUM(C552:G552)</f>
        <v>9.7833011905441793</v>
      </c>
      <c r="I552" s="17">
        <f>G552/H552*100</f>
        <v>87.916666666666671</v>
      </c>
      <c r="J552" s="17">
        <f>SQRT(I552*(100-I552)/(L552-1))</f>
        <v>1.0524941274466006</v>
      </c>
      <c r="K552" s="18">
        <f>100-I552</f>
        <v>12.083333333333329</v>
      </c>
      <c r="L552" s="1">
        <f>H541</f>
        <v>960</v>
      </c>
      <c r="M552">
        <v>4</v>
      </c>
      <c r="N552" s="1">
        <v>18568.599999999999</v>
      </c>
      <c r="O552" s="17">
        <f>N552/N553*100</f>
        <v>9.7833011905441793</v>
      </c>
      <c r="P552" s="52">
        <f>((O552*O552*(I552/100)*(K552/100))/(L552-1))</f>
        <v>1.0602547104721033E-2</v>
      </c>
    </row>
    <row r="553" spans="1:16" x14ac:dyDescent="0.3">
      <c r="B553" t="s">
        <v>28</v>
      </c>
      <c r="C553" s="17">
        <f>SUM(C548:C552)</f>
        <v>1.3623570232312932</v>
      </c>
      <c r="D553" s="17">
        <f>SUM(D548:D552)</f>
        <v>5.5258936458281269</v>
      </c>
      <c r="E553" s="17">
        <f>SUM(E548:E552)</f>
        <v>58.167447781992998</v>
      </c>
      <c r="F553" s="17">
        <f>SUM(F548:F552)</f>
        <v>24.587903746242009</v>
      </c>
      <c r="G553" s="17">
        <f>SUM(G548:G552)</f>
        <v>10.356397802705574</v>
      </c>
      <c r="H553" s="1">
        <f>SUM(H547:H552)</f>
        <v>100</v>
      </c>
      <c r="I553" s="13" t="s">
        <v>24</v>
      </c>
      <c r="J553" s="12" t="s">
        <v>29</v>
      </c>
      <c r="N553" s="1">
        <f>SUM(N548:N552)</f>
        <v>189798.92</v>
      </c>
      <c r="O553" s="17">
        <f>SUM(O548:O552)</f>
        <v>100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1.2244025208429007E-2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0.13985050323560877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0.17523665218681278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0.19026676605057699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0.16453947009250164</v>
      </c>
      <c r="H554" s="1"/>
      <c r="I554" s="56">
        <f>(C548+D549+E550+F551+G552)/H553</f>
        <v>0.93593925787574195</v>
      </c>
      <c r="J554" s="53">
        <f>SQRT(SUM(P548:P552))/100</f>
        <v>2.3627191078407382E-3</v>
      </c>
      <c r="M554" s="1"/>
      <c r="N554" s="9"/>
    </row>
    <row r="555" spans="1:16" x14ac:dyDescent="0.3">
      <c r="B555" s="1" t="s">
        <v>30</v>
      </c>
      <c r="C555" s="17">
        <f>C548/C553*100</f>
        <v>99.284635840971404</v>
      </c>
      <c r="D555" s="17">
        <f>D549/D553*100</f>
        <v>69.117480285867998</v>
      </c>
      <c r="E555" s="17">
        <f>E550/E553*100</f>
        <v>98.086790505178854</v>
      </c>
      <c r="F555" s="17">
        <f>F551/F553*100</f>
        <v>92.591143259180228</v>
      </c>
      <c r="G555" s="17">
        <f>G552/G553*100</f>
        <v>83.051582804589984</v>
      </c>
      <c r="H555" s="1"/>
    </row>
    <row r="556" spans="1:16" x14ac:dyDescent="0.3">
      <c r="B556" s="16" t="s">
        <v>39</v>
      </c>
      <c r="C556" s="18">
        <f>SQRT((C559+C560)/(C553*C553))</f>
        <v>0.81031392934085678</v>
      </c>
      <c r="D556" s="18">
        <f>SQRT((D559+D560)/(D553*D553))</f>
        <v>4.3849805889409783</v>
      </c>
      <c r="E556" s="18">
        <f>SQRT((E559+E560)/(E553*E553))</f>
        <v>0.18556969926985875</v>
      </c>
      <c r="F556" s="18">
        <f>SQRT((F559+F560)/(F553*F553))</f>
        <v>0.64010420190942718</v>
      </c>
      <c r="G556" s="18">
        <f>SQRT((G559+G560)/(G553*G553))</f>
        <v>1.9748984835494441</v>
      </c>
      <c r="H556" s="1"/>
    </row>
    <row r="557" spans="1:16" x14ac:dyDescent="0.3">
      <c r="B557" s="1" t="s">
        <v>37</v>
      </c>
      <c r="C557" s="18">
        <f>100-C555</f>
        <v>0.71536415902859574</v>
      </c>
      <c r="D557" s="18">
        <f>100-D555</f>
        <v>30.882519714132002</v>
      </c>
      <c r="E557" s="18">
        <f>100-E555</f>
        <v>1.913209494821146</v>
      </c>
      <c r="F557" s="18">
        <f>100-F555</f>
        <v>7.4088567408197719</v>
      </c>
      <c r="G557" s="18">
        <f>100-G555</f>
        <v>16.948417195410016</v>
      </c>
    </row>
    <row r="558" spans="1:16" ht="15.6" x14ac:dyDescent="0.35">
      <c r="B558" s="1" t="s">
        <v>25</v>
      </c>
      <c r="C558" s="1">
        <f>C542</f>
        <v>258</v>
      </c>
      <c r="D558" s="1">
        <f>D542</f>
        <v>503</v>
      </c>
      <c r="E558" s="1">
        <f>E542</f>
        <v>6982</v>
      </c>
      <c r="F558" s="1">
        <f>F542</f>
        <v>2533</v>
      </c>
      <c r="G558" s="1">
        <f>G542</f>
        <v>1023</v>
      </c>
    </row>
    <row r="559" spans="1:16" x14ac:dyDescent="0.3">
      <c r="B559" s="1" t="s">
        <v>34</v>
      </c>
      <c r="C559" s="18">
        <f>(O548*O548*(100-C555)*(100-C555)*(I548)*(100-I548))/(L548-1)</f>
        <v>0.28240831896220198</v>
      </c>
      <c r="D559" s="18">
        <f>(O549*O549*(100-D555)*(100-D555)*(I549)*(100-I549))/((L549-1)*100)</f>
        <v>519.64492962651059</v>
      </c>
      <c r="E559" s="18">
        <f>(O550*O550*(100-E555)*(100-E555)*(I550)*(100-I550))/((L550-1)*100)</f>
        <v>7.0833691628480882</v>
      </c>
      <c r="F559" s="18">
        <f>(O551*O551*(100-F555)*(100-F555)*(I551)*(100-I551))/((L551-1)*100)</f>
        <v>111.7947435711942</v>
      </c>
      <c r="G559" s="18">
        <f>(O552*O552*(100-G555)*(100-G555)*(I552)*(100-I552))/((L552-1)*100)</f>
        <v>304.55694144448057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0.93626829985539306</v>
      </c>
      <c r="D560" s="18">
        <f>D555*D555*(SUM((H548*D548*(1-D537/H537))/(H537-1),(H550*D550*(1-D539/H539))/(H539-1), (H551*D551*(1-D540/H540))/(H540-1),(H552*D552*(1-D541/H541))/(H541-1)))</f>
        <v>67.493347910512824</v>
      </c>
      <c r="E560" s="18">
        <f>E555*E555*(SUM((H548*E548*(1-E537/H537))/(H537-1),(H549*E549*(1-E538/H538))/(H538-1), (H551*E551*(1-E540/H540))/(H540-1),(H552*E552*(1-E541/H541))/(H541-1)))</f>
        <v>109.42956657256585</v>
      </c>
      <c r="F560" s="18">
        <f>F555*F555*(SUM((H548*F548*(1-F537/H537))/(H537-1),(H549*F549*(1-F538/H538))/(H538-1), (H550*F550*(1-F539/H539))/(H539-1),(H552*F552*(1-F541/H541))/(H541-1)))</f>
        <v>135.91572728952681</v>
      </c>
      <c r="G560" s="18">
        <f>G555*G555*(SUM((H548*G548*(1-G537/H537))/(H537-1),(H549*G549*(1-G538/H538))/(H538-1), (H550*G550*(1-G539/H539))/(H539-1),(H551*G551*(1-G540/H540))/(H540-1)))</f>
        <v>113.76149009682391</v>
      </c>
    </row>
    <row r="563" spans="1:16" x14ac:dyDescent="0.3">
      <c r="A563" s="361" t="s">
        <v>437</v>
      </c>
      <c r="B563" s="361"/>
      <c r="C563" s="361"/>
      <c r="D563" s="361"/>
      <c r="E563" s="361"/>
      <c r="F563" s="361"/>
      <c r="G563" s="361"/>
      <c r="H563" s="361"/>
      <c r="I563" s="361"/>
      <c r="J563" s="361"/>
      <c r="K563" s="361"/>
      <c r="L563" s="361" t="s">
        <v>97</v>
      </c>
      <c r="M563" s="361"/>
      <c r="N563" s="361"/>
      <c r="O563" s="361"/>
      <c r="P563" s="361"/>
    </row>
    <row r="564" spans="1:16" x14ac:dyDescent="0.3">
      <c r="A564" t="s">
        <v>15</v>
      </c>
      <c r="B564" t="s">
        <v>21</v>
      </c>
      <c r="I564" s="1" t="s">
        <v>58</v>
      </c>
      <c r="O564" s="143"/>
      <c r="P564" s="143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56</v>
      </c>
      <c r="O565" s="13"/>
      <c r="P565" s="13"/>
    </row>
    <row r="566" spans="1:16" x14ac:dyDescent="0.3">
      <c r="A566" t="s">
        <v>3</v>
      </c>
      <c r="B566" s="13">
        <v>0</v>
      </c>
      <c r="C566" s="26">
        <v>258</v>
      </c>
      <c r="D566" s="3">
        <v>0</v>
      </c>
      <c r="E566" s="3">
        <v>0</v>
      </c>
      <c r="F566" s="3">
        <v>1</v>
      </c>
      <c r="G566" s="4">
        <v>0</v>
      </c>
      <c r="H566" s="1">
        <f>SUM(C566:G566)</f>
        <v>259</v>
      </c>
      <c r="I566" s="10">
        <f>C566/H566</f>
        <v>0.99613899613899615</v>
      </c>
      <c r="J566" s="11">
        <f>1-I566</f>
        <v>3.8610038610038533E-3</v>
      </c>
      <c r="K566">
        <f>H566-C571</f>
        <v>-1</v>
      </c>
      <c r="N566" s="10">
        <f>2*(C572*I566)/(C572+I566)</f>
        <v>0.99421965317919081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306</v>
      </c>
      <c r="E567" s="1">
        <v>21</v>
      </c>
      <c r="F567" s="1">
        <v>0</v>
      </c>
      <c r="G567" s="6">
        <v>12</v>
      </c>
      <c r="H567" s="1">
        <f>SUM(C567:G567)</f>
        <v>339</v>
      </c>
      <c r="I567" s="10">
        <f>D567/H567</f>
        <v>0.90265486725663713</v>
      </c>
      <c r="J567" s="11">
        <f>1-I567</f>
        <v>9.7345132743362872E-2</v>
      </c>
      <c r="K567">
        <f>H567-D571</f>
        <v>-202</v>
      </c>
      <c r="N567" s="10">
        <f>2*(D572*I567)/(D572+I567)</f>
        <v>0.69545454545454544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203</v>
      </c>
      <c r="E568" s="27">
        <v>6845</v>
      </c>
      <c r="F568" s="1">
        <v>101</v>
      </c>
      <c r="G568" s="6">
        <v>20</v>
      </c>
      <c r="H568" s="1">
        <f>SUM(C568:G568)</f>
        <v>7169</v>
      </c>
      <c r="I568" s="10">
        <f>E568/H568</f>
        <v>0.9548054121913796</v>
      </c>
      <c r="J568" s="11">
        <f>1-I568</f>
        <v>4.5194587808620401E-2</v>
      </c>
      <c r="K568">
        <f>H568-E571</f>
        <v>231</v>
      </c>
      <c r="N568" s="10">
        <f>2*(E572*I568)/(E572+I568)</f>
        <v>0.97044020698943778</v>
      </c>
      <c r="O568" s="1"/>
      <c r="P568" s="1"/>
    </row>
    <row r="569" spans="1:16" x14ac:dyDescent="0.3">
      <c r="A569" t="s">
        <v>6</v>
      </c>
      <c r="B569" s="13">
        <v>3</v>
      </c>
      <c r="C569" s="5">
        <v>1</v>
      </c>
      <c r="D569" s="1">
        <v>31</v>
      </c>
      <c r="E569" s="1">
        <v>57</v>
      </c>
      <c r="F569" s="27">
        <v>2340</v>
      </c>
      <c r="G569" s="6">
        <v>143</v>
      </c>
      <c r="H569" s="1">
        <f>SUM(C569:G569)</f>
        <v>2572</v>
      </c>
      <c r="I569" s="10">
        <f>F569/H569</f>
        <v>0.90979782270606535</v>
      </c>
      <c r="J569" s="11">
        <f>1-I569</f>
        <v>9.0202177293934649E-2</v>
      </c>
      <c r="K569">
        <f>H569-F571</f>
        <v>42</v>
      </c>
      <c r="N569" s="10">
        <f>2*(F572*I569)/(F572+I569)</f>
        <v>0.91728733829870646</v>
      </c>
      <c r="O569" s="1"/>
      <c r="P569" s="1"/>
    </row>
    <row r="570" spans="1:16" x14ac:dyDescent="0.3">
      <c r="A570" t="s">
        <v>7</v>
      </c>
      <c r="B570" s="13">
        <v>4</v>
      </c>
      <c r="C570" s="7">
        <v>1</v>
      </c>
      <c r="D570" s="8">
        <v>1</v>
      </c>
      <c r="E570" s="8">
        <v>15</v>
      </c>
      <c r="F570" s="8">
        <v>88</v>
      </c>
      <c r="G570" s="28">
        <v>855</v>
      </c>
      <c r="H570" s="1">
        <f>SUM(C570:G570)</f>
        <v>960</v>
      </c>
      <c r="I570" s="10">
        <f>G570/H570</f>
        <v>0.890625</v>
      </c>
      <c r="J570" s="11">
        <f>1-I570</f>
        <v>0.109375</v>
      </c>
      <c r="K570">
        <f>H570-G571</f>
        <v>-70</v>
      </c>
      <c r="N570" s="10">
        <f>2*(G572*I570)/(G572+I570)</f>
        <v>0.85929648241206036</v>
      </c>
      <c r="O570" s="1"/>
      <c r="P570" s="1"/>
    </row>
    <row r="571" spans="1:16" ht="15.6" x14ac:dyDescent="0.35">
      <c r="B571" s="1" t="s">
        <v>19</v>
      </c>
      <c r="C571" s="1">
        <f>SUM(C566:C570)</f>
        <v>260</v>
      </c>
      <c r="D571" s="1">
        <f>SUM(D566:D570)</f>
        <v>541</v>
      </c>
      <c r="E571" s="1">
        <f>SUM(E566:E570)</f>
        <v>6938</v>
      </c>
      <c r="F571" s="1">
        <f>SUM(F566:F570)</f>
        <v>2530</v>
      </c>
      <c r="G571" s="1">
        <f>SUM(G566:G570)</f>
        <v>1030</v>
      </c>
      <c r="H571" s="1">
        <f>SUM(H565:H570)</f>
        <v>11299</v>
      </c>
      <c r="I571" s="13" t="s">
        <v>12</v>
      </c>
      <c r="N571" s="16"/>
      <c r="O571" s="1"/>
      <c r="P571" s="1"/>
    </row>
    <row r="572" spans="1:16" x14ac:dyDescent="0.3">
      <c r="A572" s="1" t="s">
        <v>57</v>
      </c>
      <c r="B572" s="1" t="s">
        <v>2</v>
      </c>
      <c r="C572" s="10">
        <f>C566/C571</f>
        <v>0.99230769230769234</v>
      </c>
      <c r="D572" s="10">
        <f>D567/D571</f>
        <v>0.56561922365988915</v>
      </c>
      <c r="E572" s="10">
        <f>E568/E571</f>
        <v>0.98659556068031129</v>
      </c>
      <c r="F572" s="10">
        <f>F569/F571</f>
        <v>0.92490118577075098</v>
      </c>
      <c r="G572" s="10">
        <f>G570/G571</f>
        <v>0.83009708737864074</v>
      </c>
      <c r="H572" s="10"/>
      <c r="I572" s="14">
        <f>(C566+D567+E568+F569+G570)/H571</f>
        <v>0.93849013187007702</v>
      </c>
    </row>
    <row r="573" spans="1:16" x14ac:dyDescent="0.3">
      <c r="B573" s="1" t="s">
        <v>14</v>
      </c>
      <c r="C573" s="11">
        <f>1-C572</f>
        <v>7.692307692307665E-3</v>
      </c>
      <c r="D573" s="11">
        <f>1-D572</f>
        <v>0.43438077634011085</v>
      </c>
      <c r="E573" s="11">
        <f>1-E572</f>
        <v>1.340443931968871E-2</v>
      </c>
      <c r="F573" s="11">
        <f>1-F572</f>
        <v>7.5098814229249022E-2</v>
      </c>
      <c r="G573" s="11">
        <f>1-G572</f>
        <v>0.16990291262135926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1.3718612507583487</v>
      </c>
      <c r="D577" s="31">
        <f>(D566/$L577)*$O577</f>
        <v>0</v>
      </c>
      <c r="E577" s="31">
        <f>(E566/$L577)*$O577</f>
        <v>0</v>
      </c>
      <c r="F577" s="31">
        <f>(F566/$L577)*$O577</f>
        <v>5.3172916696060035E-3</v>
      </c>
      <c r="G577" s="32">
        <f>(G566/$L577)*$O577</f>
        <v>0</v>
      </c>
      <c r="H577" s="17">
        <f>SUM(C577:G577)</f>
        <v>1.3771785424279548</v>
      </c>
      <c r="I577" s="17">
        <f>C577/H577*100</f>
        <v>99.613899613899619</v>
      </c>
      <c r="J577" s="17">
        <f>SQRT(I577*(100-I577)/(L577-1))</f>
        <v>0.3861003861003835</v>
      </c>
      <c r="K577" s="18">
        <f>100-I577</f>
        <v>0.38610038610038089</v>
      </c>
      <c r="L577" s="1">
        <f>H566</f>
        <v>259</v>
      </c>
      <c r="M577">
        <v>0</v>
      </c>
      <c r="N577" s="1">
        <v>2613.87</v>
      </c>
      <c r="O577" s="17">
        <f>N577/N582*100</f>
        <v>1.3771785424279548</v>
      </c>
      <c r="P577" s="52">
        <f>((O577*O577*(I577/100)*(K577/100))/(L577-1))</f>
        <v>2.8273590699661014E-5</v>
      </c>
    </row>
    <row r="578" spans="1:16" x14ac:dyDescent="0.3">
      <c r="A578" t="s">
        <v>4</v>
      </c>
      <c r="B578" s="13">
        <v>1</v>
      </c>
      <c r="C578" s="33">
        <f t="shared" ref="C578:G581" si="59">(C567/$L578)*$O578</f>
        <v>0</v>
      </c>
      <c r="D578" s="34">
        <f t="shared" si="59"/>
        <v>3.9998348582973278</v>
      </c>
      <c r="E578" s="19">
        <f t="shared" si="59"/>
        <v>0.27449847066746369</v>
      </c>
      <c r="F578" s="18">
        <f t="shared" si="59"/>
        <v>0</v>
      </c>
      <c r="G578" s="20">
        <f t="shared" si="59"/>
        <v>0.15685626895283639</v>
      </c>
      <c r="H578" s="17">
        <f>SUM(C578:G578)</f>
        <v>4.4311895979176281</v>
      </c>
      <c r="I578" s="17">
        <f>D578/H578*100</f>
        <v>90.265486725663706</v>
      </c>
      <c r="J578" s="17">
        <f>SQRT(I578*(100-I578)/(L578-1))</f>
        <v>1.6123511616510575</v>
      </c>
      <c r="K578" s="18">
        <f>100-I578</f>
        <v>9.7345132743362939</v>
      </c>
      <c r="L578" s="1">
        <f>H567</f>
        <v>339</v>
      </c>
      <c r="M578">
        <v>1</v>
      </c>
      <c r="N578" s="1">
        <v>8410.35</v>
      </c>
      <c r="O578" s="17">
        <f>N578/N582*100</f>
        <v>4.4311895979176281</v>
      </c>
      <c r="P578" s="52">
        <f>((O578*O578*(I578/100)*(K578/100))/(L578-1))</f>
        <v>5.1045790645711398E-3</v>
      </c>
    </row>
    <row r="579" spans="1:16" x14ac:dyDescent="0.3">
      <c r="A579" t="s">
        <v>5</v>
      </c>
      <c r="B579" s="13">
        <v>2</v>
      </c>
      <c r="C579" s="33">
        <f t="shared" si="59"/>
        <v>0</v>
      </c>
      <c r="D579" s="19">
        <f t="shared" si="59"/>
        <v>1.6731505529395008</v>
      </c>
      <c r="E579" s="34">
        <f t="shared" si="59"/>
        <v>56.417317905767902</v>
      </c>
      <c r="F579" s="19">
        <f t="shared" si="59"/>
        <v>0.83245421599453007</v>
      </c>
      <c r="G579" s="20">
        <f t="shared" si="59"/>
        <v>0.16484241900881785</v>
      </c>
      <c r="H579" s="17">
        <f>SUM(C579:G579)</f>
        <v>59.087765093710757</v>
      </c>
      <c r="I579" s="17">
        <f>E579/H579*100</f>
        <v>95.480541219137947</v>
      </c>
      <c r="J579" s="17">
        <f>SQRT(I579*(100-I579)/(L579-1))</f>
        <v>0.24535880773521085</v>
      </c>
      <c r="K579" s="18">
        <f>100-I579</f>
        <v>4.5194587808620525</v>
      </c>
      <c r="L579" s="1">
        <f>H568</f>
        <v>7169</v>
      </c>
      <c r="M579">
        <v>2</v>
      </c>
      <c r="N579" s="1">
        <v>112147.94</v>
      </c>
      <c r="O579" s="17">
        <f>N579/N582*100</f>
        <v>59.08776509371075</v>
      </c>
      <c r="P579" s="52">
        <f>((O579*O579*(I579/100)*(K579/100))/(L579-1))</f>
        <v>2.101834095322766E-2</v>
      </c>
    </row>
    <row r="580" spans="1:16" x14ac:dyDescent="0.3">
      <c r="A580" t="s">
        <v>6</v>
      </c>
      <c r="B580" s="13">
        <v>3</v>
      </c>
      <c r="C580" s="33">
        <f t="shared" si="59"/>
        <v>9.8228598769500575E-3</v>
      </c>
      <c r="D580" s="19">
        <f t="shared" si="59"/>
        <v>0.30450865618545175</v>
      </c>
      <c r="E580" s="19">
        <f t="shared" si="59"/>
        <v>0.5599030129861533</v>
      </c>
      <c r="F580" s="34">
        <f t="shared" si="59"/>
        <v>22.985492112063138</v>
      </c>
      <c r="G580" s="20">
        <f t="shared" si="59"/>
        <v>1.4046689624038584</v>
      </c>
      <c r="H580" s="17">
        <f>SUM(C580:G580)</f>
        <v>25.264395603515549</v>
      </c>
      <c r="I580" s="17">
        <f>F580/H580*100</f>
        <v>90.979782270606549</v>
      </c>
      <c r="J580" s="17">
        <f>SQRT(I580*(100-I580)/(L580-1))</f>
        <v>0.56497589470016552</v>
      </c>
      <c r="K580" s="18">
        <f>100-I580</f>
        <v>9.0202177293934511</v>
      </c>
      <c r="L580" s="1">
        <f>H569</f>
        <v>2572</v>
      </c>
      <c r="M580">
        <v>3</v>
      </c>
      <c r="N580" s="1">
        <v>47951.55</v>
      </c>
      <c r="O580" s="17">
        <f>N580/N582*100</f>
        <v>25.264395603515549</v>
      </c>
      <c r="P580" s="52">
        <f>((O580*O580*(I580/100)*(K580/100))/(L580-1))</f>
        <v>2.0374063876675414E-2</v>
      </c>
    </row>
    <row r="581" spans="1:16" x14ac:dyDescent="0.3">
      <c r="A581" t="s">
        <v>7</v>
      </c>
      <c r="B581" s="13">
        <v>4</v>
      </c>
      <c r="C581" s="35">
        <f t="shared" si="59"/>
        <v>1.0249449127529281E-2</v>
      </c>
      <c r="D581" s="36">
        <f t="shared" si="59"/>
        <v>1.0249449127529281E-2</v>
      </c>
      <c r="E581" s="21">
        <f t="shared" si="59"/>
        <v>0.15374173691293921</v>
      </c>
      <c r="F581" s="21">
        <f t="shared" si="59"/>
        <v>0.90195152322257666</v>
      </c>
      <c r="G581" s="37">
        <f t="shared" si="59"/>
        <v>8.7632790040375355</v>
      </c>
      <c r="H581" s="17">
        <f>SUM(C581:G581)</f>
        <v>9.8394711624281097</v>
      </c>
      <c r="I581" s="17">
        <f>G581/H581*100</f>
        <v>89.0625</v>
      </c>
      <c r="J581" s="17">
        <f>SQRT(I581*(100-I581)/(L581-1))</f>
        <v>1.0078529475417597</v>
      </c>
      <c r="K581" s="18">
        <f>100-I581</f>
        <v>10.9375</v>
      </c>
      <c r="L581" s="1">
        <f>H570</f>
        <v>960</v>
      </c>
      <c r="M581">
        <v>4</v>
      </c>
      <c r="N581" s="1">
        <v>18675.21</v>
      </c>
      <c r="O581" s="17">
        <f>N581/N582*100</f>
        <v>9.8394711624281097</v>
      </c>
      <c r="P581" s="52">
        <f>((O581*O581*(I581/100)*(K581/100))/(L581-1))</f>
        <v>9.834173249149071E-3</v>
      </c>
    </row>
    <row r="582" spans="1:16" x14ac:dyDescent="0.3">
      <c r="B582" t="s">
        <v>28</v>
      </c>
      <c r="C582" s="17">
        <f t="shared" ref="C582:H582" si="60">SUM(C577:C581)</f>
        <v>1.3919335597628282</v>
      </c>
      <c r="D582" s="17">
        <f t="shared" si="60"/>
        <v>5.9877435165498092</v>
      </c>
      <c r="E582" s="17">
        <f t="shared" si="60"/>
        <v>57.405461126334465</v>
      </c>
      <c r="F582" s="17">
        <f t="shared" si="60"/>
        <v>24.72521514294985</v>
      </c>
      <c r="G582" s="17">
        <f t="shared" si="60"/>
        <v>10.489646654403048</v>
      </c>
      <c r="H582" s="18">
        <f t="shared" si="60"/>
        <v>100</v>
      </c>
      <c r="I582" s="13" t="s">
        <v>24</v>
      </c>
      <c r="J582" s="12" t="s">
        <v>29</v>
      </c>
      <c r="N582" s="1">
        <f>SUM(N577:N581)</f>
        <v>189798.92</v>
      </c>
      <c r="O582" s="17">
        <f>SUM(O577:O581)</f>
        <v>100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1.5151147365702819E-2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0.14679705334806853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0.1769472124004573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0.18856278772542776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0.1618247773320648</v>
      </c>
      <c r="H583" s="1"/>
      <c r="I583" s="56">
        <f>(C577+D578+E579+F580+G581)/H582</f>
        <v>0.93537785130924245</v>
      </c>
      <c r="J583" s="53">
        <f>SQRT(SUM(P577:P581))/100</f>
        <v>2.3740141266286293E-3</v>
      </c>
      <c r="M583" s="1"/>
      <c r="N583" s="9"/>
    </row>
    <row r="584" spans="1:16" x14ac:dyDescent="0.3">
      <c r="B584" s="1" t="s">
        <v>30</v>
      </c>
      <c r="C584" s="17">
        <f>C577/C582*100</f>
        <v>98.557954949523634</v>
      </c>
      <c r="D584" s="17">
        <f>D578/D582*100</f>
        <v>66.800370577697493</v>
      </c>
      <c r="E584" s="17">
        <f>E579/E582*100</f>
        <v>98.278659902423016</v>
      </c>
      <c r="F584" s="17">
        <f>F580/F582*100</f>
        <v>92.963769897133631</v>
      </c>
      <c r="G584" s="17">
        <f>G581/G582*100</f>
        <v>83.542175373077356</v>
      </c>
      <c r="H584" s="1"/>
    </row>
    <row r="585" spans="1:16" x14ac:dyDescent="0.3">
      <c r="B585" s="16" t="s">
        <v>39</v>
      </c>
      <c r="C585" s="18">
        <f>SQRT((C588+C589)/(C582*C582))</f>
        <v>1.146251381496235</v>
      </c>
      <c r="D585" s="18">
        <f>SQRT((D588+D589)/(D582*D582))</f>
        <v>4.2120986764486448</v>
      </c>
      <c r="E585" s="18">
        <f>SQRT((E588+E589)/(E582*E582))</f>
        <v>0.17917591558562249</v>
      </c>
      <c r="F585" s="18">
        <f>SQRT((F588+F589)/(F582*F582))</f>
        <v>0.61633535918826843</v>
      </c>
      <c r="G585" s="18">
        <f>SQRT((G588+G589)/(G582*G582))</f>
        <v>1.8599544565426518</v>
      </c>
      <c r="H585" s="1"/>
    </row>
    <row r="586" spans="1:16" x14ac:dyDescent="0.3">
      <c r="B586" s="1" t="s">
        <v>37</v>
      </c>
      <c r="C586" s="18">
        <f>100-C584</f>
        <v>1.4420450504763664</v>
      </c>
      <c r="D586" s="18">
        <f>100-D584</f>
        <v>33.199629422302507</v>
      </c>
      <c r="E586" s="18">
        <f>100-E584</f>
        <v>1.7213400975769844</v>
      </c>
      <c r="F586" s="18">
        <f>100-F584</f>
        <v>7.0362301028663694</v>
      </c>
      <c r="G586" s="18">
        <f>100-G584</f>
        <v>16.457824626922644</v>
      </c>
    </row>
    <row r="587" spans="1:16" ht="15.6" x14ac:dyDescent="0.35">
      <c r="B587" s="1" t="s">
        <v>25</v>
      </c>
      <c r="C587" s="1">
        <f>C571</f>
        <v>260</v>
      </c>
      <c r="D587" s="1">
        <f>D571</f>
        <v>541</v>
      </c>
      <c r="E587" s="1">
        <f>E571</f>
        <v>6938</v>
      </c>
      <c r="F587" s="1">
        <f>F571</f>
        <v>2530</v>
      </c>
      <c r="G587" s="1">
        <f>G571</f>
        <v>1030</v>
      </c>
    </row>
    <row r="588" spans="1:16" x14ac:dyDescent="0.3">
      <c r="B588" s="1" t="s">
        <v>34</v>
      </c>
      <c r="C588" s="18">
        <f>(O577*O577*(100-C584)*(100-C584)*(I577)*(100-I577))/(L577-1)</f>
        <v>0.58794760171488658</v>
      </c>
      <c r="D588" s="18">
        <f>(O578*O578*(100-D584)*(100-D584)*(I578)*(100-I578))/((L578-1)*100)</f>
        <v>562.63456237283083</v>
      </c>
      <c r="E588" s="18">
        <f>(O579*O579*(100-E584)*(100-E584)*(I579)*(100-I579))/((L579-1)*100)</f>
        <v>6.2277590821634128</v>
      </c>
      <c r="F588" s="18">
        <f>(O580*O580*(100-F584)*(100-F584)*(I580)*(100-I580))/((L580-1)*100)</f>
        <v>100.86900353888386</v>
      </c>
      <c r="G588" s="18">
        <f>(O581*O581*(100-G584)*(100-G584)*(I581)*(100-I581))/((L581-1)*100)</f>
        <v>266.36840821876609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1.9576910470790603</v>
      </c>
      <c r="D589" s="18">
        <f>D584*D584*(SUM((H577*D577*(1-D566/H566))/(H566-1),(H579*D579*(1-D568/H568))/(H568-1), (H580*D580*(1-D569/H569))/(H569-1),(H581*D581*(1-D570/H570))/(H570-1)))</f>
        <v>73.462590888068974</v>
      </c>
      <c r="E589" s="18">
        <f>E584*E584*(SUM((H577*E577*(1-E566/H566))/(H566-1),(H578*E578*(1-E567/H567))/(H567-1), (H580*E580*(1-E569/H569))/(H569-1),(H581*E581*(1-E570/H570))/(H570-1)))</f>
        <v>99.56737286585404</v>
      </c>
      <c r="F589" s="18">
        <f>F584*F584*(SUM((H577*F577*(1-F566/H566))/(H566-1),(H578*F578*(1-F567/H567))/(H567-1), (H579*F579*(1-F568/H568))/(H568-1),(H581*F581*(1-F570/H570))/(H570-1)))</f>
        <v>131.35885978805928</v>
      </c>
      <c r="G589" s="18">
        <f>G584*G584*(SUM((H577*G577*(1-G566/H566))/(H566-1),(H578*G578*(1-G567/H567))/(H567-1), (H579*G579*(1-G568/H568))/(H568-1),(H580*G580*(1-G569/H569))/(H569-1)))</f>
        <v>114.2820338065016</v>
      </c>
    </row>
    <row r="592" spans="1:16" x14ac:dyDescent="0.3">
      <c r="A592" s="361"/>
      <c r="B592" s="361"/>
      <c r="C592" s="361"/>
      <c r="D592" s="361"/>
      <c r="E592" s="361"/>
      <c r="F592" s="361"/>
      <c r="G592" s="361"/>
      <c r="H592" s="361"/>
      <c r="I592" s="361"/>
      <c r="J592" s="361"/>
      <c r="K592" s="361"/>
      <c r="L592" s="361"/>
      <c r="M592" s="361"/>
      <c r="N592" s="361"/>
      <c r="O592" s="361"/>
      <c r="P592" s="361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61"/>
      <c r="B621" s="361"/>
      <c r="C621" s="361"/>
      <c r="D621" s="361"/>
      <c r="E621" s="361"/>
      <c r="F621" s="361"/>
      <c r="G621" s="361"/>
      <c r="H621" s="361"/>
      <c r="I621" s="361"/>
      <c r="J621" s="361"/>
      <c r="K621" s="361"/>
      <c r="L621" s="361"/>
      <c r="M621" s="361"/>
      <c r="N621" s="361"/>
      <c r="O621" s="361"/>
      <c r="P621" s="361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61"/>
      <c r="B650" s="361"/>
      <c r="C650" s="361"/>
      <c r="D650" s="361"/>
      <c r="E650" s="361"/>
      <c r="F650" s="361"/>
      <c r="G650" s="361"/>
      <c r="H650" s="361"/>
      <c r="I650" s="361"/>
      <c r="J650" s="361"/>
      <c r="K650" s="361"/>
      <c r="L650" s="361"/>
      <c r="M650" s="361"/>
      <c r="N650" s="361"/>
      <c r="O650" s="361"/>
      <c r="P650" s="361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61"/>
      <c r="B679" s="361"/>
      <c r="C679" s="361"/>
      <c r="D679" s="361"/>
      <c r="E679" s="361"/>
      <c r="F679" s="361"/>
      <c r="G679" s="361"/>
      <c r="H679" s="361"/>
      <c r="I679" s="361"/>
      <c r="J679" s="361"/>
      <c r="K679" s="361"/>
      <c r="L679" s="361"/>
      <c r="M679" s="361"/>
      <c r="N679" s="361"/>
      <c r="O679" s="361"/>
      <c r="P679" s="361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61"/>
      <c r="B708" s="361"/>
      <c r="C708" s="361"/>
      <c r="D708" s="361"/>
      <c r="E708" s="361"/>
      <c r="F708" s="361"/>
      <c r="G708" s="361"/>
      <c r="H708" s="361"/>
      <c r="I708" s="361"/>
      <c r="J708" s="361"/>
      <c r="K708" s="361"/>
      <c r="L708" s="361"/>
      <c r="M708" s="361"/>
      <c r="N708" s="361"/>
      <c r="O708" s="361"/>
      <c r="P708" s="361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61"/>
      <c r="B737" s="361"/>
      <c r="C737" s="361"/>
      <c r="D737" s="361"/>
      <c r="E737" s="361"/>
      <c r="F737" s="361"/>
      <c r="G737" s="361"/>
      <c r="H737" s="361"/>
      <c r="I737" s="361"/>
      <c r="J737" s="361"/>
      <c r="K737" s="361"/>
      <c r="L737" s="361"/>
      <c r="M737" s="361"/>
      <c r="N737" s="361"/>
      <c r="O737" s="361"/>
      <c r="P737" s="361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61"/>
      <c r="B766" s="361"/>
      <c r="C766" s="361"/>
      <c r="D766" s="361"/>
      <c r="E766" s="361"/>
      <c r="F766" s="361"/>
      <c r="G766" s="361"/>
      <c r="H766" s="361"/>
      <c r="I766" s="361"/>
      <c r="J766" s="361"/>
      <c r="K766" s="361"/>
      <c r="L766" s="361"/>
      <c r="M766" s="361"/>
      <c r="N766" s="361"/>
      <c r="O766" s="361"/>
      <c r="P766" s="361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61"/>
      <c r="B795" s="361"/>
      <c r="C795" s="361"/>
      <c r="D795" s="361"/>
      <c r="E795" s="361"/>
      <c r="F795" s="361"/>
      <c r="G795" s="361"/>
      <c r="H795" s="361"/>
      <c r="I795" s="361"/>
      <c r="J795" s="361"/>
      <c r="K795" s="361"/>
      <c r="L795" s="361"/>
      <c r="M795" s="361"/>
      <c r="N795" s="361"/>
      <c r="O795" s="361"/>
      <c r="P795" s="361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61"/>
      <c r="B824" s="361"/>
      <c r="C824" s="361"/>
      <c r="D824" s="361"/>
      <c r="E824" s="361"/>
      <c r="F824" s="361"/>
      <c r="G824" s="361"/>
      <c r="H824" s="361"/>
      <c r="I824" s="361"/>
      <c r="J824" s="361"/>
      <c r="K824" s="361"/>
      <c r="L824" s="361"/>
      <c r="M824" s="361"/>
      <c r="N824" s="361"/>
      <c r="O824" s="361"/>
      <c r="P824" s="361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61"/>
      <c r="B853" s="361"/>
      <c r="C853" s="361"/>
      <c r="D853" s="361"/>
      <c r="E853" s="361"/>
      <c r="F853" s="361"/>
      <c r="G853" s="361"/>
      <c r="H853" s="361"/>
      <c r="I853" s="361"/>
      <c r="J853" s="361"/>
      <c r="K853" s="361"/>
      <c r="L853" s="361"/>
      <c r="M853" s="361"/>
      <c r="N853" s="361"/>
      <c r="O853" s="361"/>
      <c r="P853" s="361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61"/>
      <c r="B882" s="361"/>
      <c r="C882" s="361"/>
      <c r="D882" s="361"/>
      <c r="E882" s="361"/>
      <c r="F882" s="361"/>
      <c r="G882" s="361"/>
      <c r="H882" s="361"/>
      <c r="I882" s="361"/>
      <c r="J882" s="361"/>
      <c r="K882" s="361"/>
      <c r="L882" s="361"/>
      <c r="M882" s="361"/>
      <c r="N882" s="361"/>
      <c r="O882" s="361"/>
      <c r="P882" s="361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61"/>
      <c r="B911" s="361"/>
      <c r="C911" s="361"/>
      <c r="D911" s="361"/>
      <c r="E911" s="361"/>
      <c r="F911" s="361"/>
      <c r="G911" s="361"/>
      <c r="H911" s="361"/>
      <c r="I911" s="361"/>
      <c r="J911" s="361"/>
      <c r="K911" s="361"/>
      <c r="L911" s="361"/>
      <c r="M911" s="361"/>
      <c r="N911" s="361"/>
      <c r="O911" s="361"/>
      <c r="P911" s="361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61"/>
      <c r="B940" s="361"/>
      <c r="C940" s="361"/>
      <c r="D940" s="361"/>
      <c r="E940" s="361"/>
      <c r="F940" s="361"/>
      <c r="G940" s="361"/>
      <c r="H940" s="361"/>
      <c r="I940" s="361"/>
      <c r="J940" s="361"/>
      <c r="K940" s="361"/>
      <c r="L940" s="361"/>
      <c r="M940" s="361"/>
      <c r="N940" s="361"/>
      <c r="O940" s="361"/>
      <c r="P940" s="361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61"/>
      <c r="B969" s="361"/>
      <c r="C969" s="361"/>
      <c r="D969" s="361"/>
      <c r="E969" s="361"/>
      <c r="F969" s="361"/>
      <c r="G969" s="361"/>
      <c r="H969" s="361"/>
      <c r="I969" s="361"/>
      <c r="J969" s="361"/>
      <c r="K969" s="361"/>
      <c r="L969" s="361"/>
      <c r="M969" s="361"/>
      <c r="N969" s="361"/>
      <c r="O969" s="361"/>
      <c r="P969" s="361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61"/>
      <c r="B998" s="361"/>
      <c r="C998" s="361"/>
      <c r="D998" s="361"/>
      <c r="E998" s="361"/>
      <c r="F998" s="361"/>
      <c r="G998" s="361"/>
      <c r="H998" s="361"/>
      <c r="I998" s="361"/>
      <c r="J998" s="361"/>
      <c r="K998" s="361"/>
      <c r="L998" s="361"/>
      <c r="M998" s="361"/>
      <c r="N998" s="361"/>
      <c r="O998" s="361"/>
      <c r="P998" s="361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61"/>
      <c r="B1027" s="361"/>
      <c r="C1027" s="361"/>
      <c r="D1027" s="361"/>
      <c r="E1027" s="361"/>
      <c r="F1027" s="361"/>
      <c r="G1027" s="361"/>
      <c r="H1027" s="361"/>
      <c r="I1027" s="361"/>
      <c r="J1027" s="361"/>
      <c r="K1027" s="361"/>
      <c r="L1027" s="361"/>
      <c r="M1027" s="361"/>
      <c r="N1027" s="361"/>
      <c r="O1027" s="361"/>
      <c r="P1027" s="361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61"/>
      <c r="B1056" s="361"/>
      <c r="C1056" s="361"/>
      <c r="D1056" s="361"/>
      <c r="E1056" s="361"/>
      <c r="F1056" s="361"/>
      <c r="G1056" s="361"/>
      <c r="H1056" s="361"/>
      <c r="I1056" s="361"/>
      <c r="J1056" s="361"/>
      <c r="K1056" s="361"/>
      <c r="L1056" s="361"/>
      <c r="M1056" s="361"/>
      <c r="N1056" s="361"/>
      <c r="O1056" s="361"/>
      <c r="P1056" s="361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61"/>
      <c r="B1085" s="361"/>
      <c r="C1085" s="361"/>
      <c r="D1085" s="361"/>
      <c r="E1085" s="361"/>
      <c r="F1085" s="361"/>
      <c r="G1085" s="361"/>
      <c r="H1085" s="361"/>
      <c r="I1085" s="361"/>
      <c r="J1085" s="361"/>
      <c r="K1085" s="361"/>
      <c r="L1085" s="361"/>
      <c r="M1085" s="361"/>
      <c r="N1085" s="361"/>
      <c r="O1085" s="361"/>
      <c r="P1085" s="361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61"/>
      <c r="B1114" s="361"/>
      <c r="C1114" s="361"/>
      <c r="D1114" s="361"/>
      <c r="E1114" s="361"/>
      <c r="F1114" s="361"/>
      <c r="G1114" s="361"/>
      <c r="H1114" s="361"/>
      <c r="I1114" s="361"/>
      <c r="J1114" s="361"/>
      <c r="K1114" s="361"/>
      <c r="L1114" s="361"/>
      <c r="M1114" s="361"/>
      <c r="N1114" s="361"/>
      <c r="O1114" s="361"/>
      <c r="P1114" s="361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61"/>
      <c r="B1143" s="361"/>
      <c r="C1143" s="361"/>
      <c r="D1143" s="361"/>
      <c r="E1143" s="361"/>
      <c r="F1143" s="361"/>
      <c r="G1143" s="361"/>
      <c r="H1143" s="361"/>
      <c r="I1143" s="361"/>
      <c r="J1143" s="361"/>
      <c r="K1143" s="361"/>
      <c r="L1143" s="361"/>
      <c r="M1143" s="361"/>
      <c r="N1143" s="361"/>
      <c r="O1143" s="361"/>
      <c r="P1143" s="361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61"/>
      <c r="B1172" s="361"/>
      <c r="C1172" s="361"/>
      <c r="D1172" s="361"/>
      <c r="E1172" s="361"/>
      <c r="F1172" s="361"/>
      <c r="G1172" s="361"/>
      <c r="H1172" s="361"/>
      <c r="I1172" s="361"/>
      <c r="J1172" s="361"/>
      <c r="K1172" s="361"/>
      <c r="L1172" s="361"/>
      <c r="M1172" s="361"/>
      <c r="N1172" s="361"/>
      <c r="O1172" s="361"/>
      <c r="P1172" s="361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61"/>
      <c r="B1201" s="361"/>
      <c r="C1201" s="361"/>
      <c r="D1201" s="361"/>
      <c r="E1201" s="361"/>
      <c r="F1201" s="361"/>
      <c r="G1201" s="361"/>
      <c r="H1201" s="361"/>
      <c r="I1201" s="361"/>
      <c r="J1201" s="361"/>
      <c r="K1201" s="361"/>
      <c r="L1201" s="361"/>
      <c r="M1201" s="361"/>
      <c r="N1201" s="361"/>
      <c r="O1201" s="361"/>
      <c r="P1201" s="361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61"/>
      <c r="B1230" s="361"/>
      <c r="C1230" s="361"/>
      <c r="D1230" s="361"/>
      <c r="E1230" s="361"/>
      <c r="F1230" s="361"/>
      <c r="G1230" s="361"/>
      <c r="H1230" s="361"/>
      <c r="I1230" s="361"/>
      <c r="J1230" s="361"/>
      <c r="K1230" s="361"/>
      <c r="L1230" s="361"/>
      <c r="M1230" s="361"/>
      <c r="N1230" s="361"/>
      <c r="O1230" s="361"/>
      <c r="P1230" s="361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61"/>
      <c r="B1259" s="361"/>
      <c r="C1259" s="361"/>
      <c r="D1259" s="361"/>
      <c r="E1259" s="361"/>
      <c r="F1259" s="361"/>
      <c r="G1259" s="361"/>
      <c r="H1259" s="361"/>
      <c r="I1259" s="361"/>
      <c r="J1259" s="361"/>
      <c r="K1259" s="361"/>
      <c r="L1259" s="361"/>
      <c r="M1259" s="361"/>
      <c r="N1259" s="361"/>
      <c r="O1259" s="361"/>
      <c r="P1259" s="361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61"/>
      <c r="B1288" s="361"/>
      <c r="C1288" s="361"/>
      <c r="D1288" s="361"/>
      <c r="E1288" s="361"/>
      <c r="F1288" s="361"/>
      <c r="G1288" s="361"/>
      <c r="H1288" s="361"/>
      <c r="I1288" s="361"/>
      <c r="J1288" s="361"/>
      <c r="K1288" s="361"/>
      <c r="L1288" s="361"/>
      <c r="M1288" s="361"/>
      <c r="N1288" s="361"/>
      <c r="O1288" s="361"/>
      <c r="P1288" s="361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61"/>
      <c r="B1317" s="361"/>
      <c r="C1317" s="361"/>
      <c r="D1317" s="361"/>
      <c r="E1317" s="361"/>
      <c r="F1317" s="361"/>
      <c r="G1317" s="361"/>
      <c r="H1317" s="361"/>
      <c r="I1317" s="361"/>
      <c r="J1317" s="361"/>
      <c r="K1317" s="361"/>
      <c r="L1317" s="361"/>
      <c r="M1317" s="361"/>
      <c r="N1317" s="361"/>
      <c r="O1317" s="361"/>
      <c r="P1317" s="361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61"/>
      <c r="B1346" s="361"/>
      <c r="C1346" s="361"/>
      <c r="D1346" s="361"/>
      <c r="E1346" s="361"/>
      <c r="F1346" s="361"/>
      <c r="G1346" s="361"/>
      <c r="H1346" s="361"/>
      <c r="I1346" s="361"/>
      <c r="J1346" s="361"/>
      <c r="K1346" s="361"/>
      <c r="L1346" s="361"/>
      <c r="M1346" s="361"/>
      <c r="N1346" s="361"/>
      <c r="O1346" s="361"/>
      <c r="P1346" s="361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61"/>
      <c r="B1375" s="361"/>
      <c r="C1375" s="361"/>
      <c r="D1375" s="361"/>
      <c r="E1375" s="361"/>
      <c r="F1375" s="361"/>
      <c r="G1375" s="361"/>
      <c r="H1375" s="361"/>
      <c r="I1375" s="361"/>
      <c r="J1375" s="361"/>
      <c r="K1375" s="361"/>
      <c r="L1375" s="361"/>
      <c r="M1375" s="361"/>
      <c r="N1375" s="361"/>
      <c r="O1375" s="361"/>
      <c r="P1375" s="361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61"/>
      <c r="B1404" s="361"/>
      <c r="C1404" s="361"/>
      <c r="D1404" s="361"/>
      <c r="E1404" s="361"/>
      <c r="F1404" s="361"/>
      <c r="G1404" s="361"/>
      <c r="H1404" s="361"/>
      <c r="I1404" s="361"/>
      <c r="J1404" s="361"/>
      <c r="K1404" s="361"/>
      <c r="L1404" s="361"/>
      <c r="M1404" s="361"/>
      <c r="N1404" s="361"/>
      <c r="O1404" s="361"/>
      <c r="P1404" s="361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61"/>
      <c r="B1433" s="361"/>
      <c r="C1433" s="361"/>
      <c r="D1433" s="361"/>
      <c r="E1433" s="361"/>
      <c r="F1433" s="361"/>
      <c r="G1433" s="361"/>
      <c r="H1433" s="361"/>
      <c r="I1433" s="361"/>
      <c r="J1433" s="361"/>
      <c r="K1433" s="361"/>
      <c r="L1433" s="361"/>
      <c r="M1433" s="361"/>
      <c r="N1433" s="361"/>
      <c r="O1433" s="361"/>
      <c r="P1433" s="361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mergeCells count="102">
    <mergeCell ref="A12:K12"/>
    <mergeCell ref="L12:P12"/>
    <mergeCell ref="A41:K41"/>
    <mergeCell ref="L41:P41"/>
    <mergeCell ref="A70:K70"/>
    <mergeCell ref="L70:P70"/>
    <mergeCell ref="A157:K157"/>
    <mergeCell ref="L157:P157"/>
    <mergeCell ref="A186:K186"/>
    <mergeCell ref="L186:P186"/>
    <mergeCell ref="A215:K215"/>
    <mergeCell ref="L215:P215"/>
    <mergeCell ref="AJ80:AT80"/>
    <mergeCell ref="AU80:AY80"/>
    <mergeCell ref="A99:K99"/>
    <mergeCell ref="L99:P99"/>
    <mergeCell ref="A128:K128"/>
    <mergeCell ref="L128:P128"/>
    <mergeCell ref="A331:K331"/>
    <mergeCell ref="L331:P331"/>
    <mergeCell ref="A360:K360"/>
    <mergeCell ref="L360:P360"/>
    <mergeCell ref="A389:K389"/>
    <mergeCell ref="L389:P389"/>
    <mergeCell ref="A244:K244"/>
    <mergeCell ref="L244:P244"/>
    <mergeCell ref="A273:K273"/>
    <mergeCell ref="L273:P273"/>
    <mergeCell ref="A302:K302"/>
    <mergeCell ref="L302:P302"/>
    <mergeCell ref="A505:K505"/>
    <mergeCell ref="L505:P505"/>
    <mergeCell ref="A534:K534"/>
    <mergeCell ref="L534:P534"/>
    <mergeCell ref="A563:K563"/>
    <mergeCell ref="L563:P563"/>
    <mergeCell ref="A418:K418"/>
    <mergeCell ref="L418:P418"/>
    <mergeCell ref="A447:K447"/>
    <mergeCell ref="L447:P447"/>
    <mergeCell ref="A476:K476"/>
    <mergeCell ref="L476:P476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CF3B0-E3C9-47CE-9F5C-211DF5559AF8}">
  <dimension ref="A1:BE1459"/>
  <sheetViews>
    <sheetView topLeftCell="AC91" zoomScale="80" zoomScaleNormal="80" workbookViewId="0">
      <selection activeCell="AL100" sqref="AL100:AP100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</cols>
  <sheetData>
    <row r="1" spans="1:57" x14ac:dyDescent="0.3">
      <c r="A1" s="12"/>
      <c r="B1" s="12" t="s">
        <v>10</v>
      </c>
      <c r="C1" s="12"/>
      <c r="D1" s="12"/>
      <c r="E1" s="12"/>
      <c r="F1" s="12"/>
      <c r="G1" t="s">
        <v>47</v>
      </c>
    </row>
    <row r="2" spans="1:57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G2" t="s">
        <v>46</v>
      </c>
      <c r="AG2" s="51" t="s">
        <v>127</v>
      </c>
      <c r="AH2" s="51" t="s">
        <v>131</v>
      </c>
    </row>
    <row r="3" spans="1:57" x14ac:dyDescent="0.3">
      <c r="A3" s="12" t="s">
        <v>3</v>
      </c>
      <c r="B3" s="103">
        <v>175.36</v>
      </c>
      <c r="C3" s="22">
        <f>B3/$B$8</f>
        <v>5.8291477331276827E-2</v>
      </c>
      <c r="D3" s="85">
        <v>0.02</v>
      </c>
      <c r="E3" s="86">
        <f>D3-C3</f>
        <v>-3.829147733127683E-2</v>
      </c>
      <c r="F3" s="12" t="s">
        <v>49</v>
      </c>
      <c r="G3" t="s">
        <v>50</v>
      </c>
      <c r="AG3" s="51" t="s">
        <v>128</v>
      </c>
      <c r="AH3" s="51" t="s">
        <v>134</v>
      </c>
    </row>
    <row r="4" spans="1:57" x14ac:dyDescent="0.3">
      <c r="A4" s="12" t="s">
        <v>4</v>
      </c>
      <c r="B4" s="103">
        <v>249.32</v>
      </c>
      <c r="C4" s="22">
        <f>B4/$B$8</f>
        <v>8.2876546123596809E-2</v>
      </c>
      <c r="D4" s="85">
        <v>7.0000000000000007E-2</v>
      </c>
      <c r="E4" s="86">
        <f>D4-C4</f>
        <v>-1.2876546123596802E-2</v>
      </c>
      <c r="F4" s="12" t="s">
        <v>49</v>
      </c>
      <c r="G4" t="s">
        <v>55</v>
      </c>
      <c r="AG4" s="51" t="s">
        <v>129</v>
      </c>
      <c r="AH4" s="51" t="s">
        <v>132</v>
      </c>
    </row>
    <row r="5" spans="1:57" x14ac:dyDescent="0.3">
      <c r="A5" s="12" t="s">
        <v>5</v>
      </c>
      <c r="B5" s="103">
        <v>1402.65</v>
      </c>
      <c r="C5" s="22">
        <f>B5/$B$8</f>
        <v>0.46625536427187181</v>
      </c>
      <c r="D5" s="85">
        <v>0.48</v>
      </c>
      <c r="E5" s="86">
        <f>D5-C5</f>
        <v>1.3744635728128174E-2</v>
      </c>
      <c r="F5" s="12"/>
      <c r="AG5" s="51" t="s">
        <v>130</v>
      </c>
      <c r="AH5" s="51" t="s">
        <v>133</v>
      </c>
    </row>
    <row r="6" spans="1:57" x14ac:dyDescent="0.3">
      <c r="A6" s="12" t="s">
        <v>6</v>
      </c>
      <c r="B6" s="103">
        <v>728.96</v>
      </c>
      <c r="C6" s="22">
        <f>B6/$B$8</f>
        <v>0.2423138418989938</v>
      </c>
      <c r="D6" s="85">
        <v>0.28000000000000003</v>
      </c>
      <c r="E6" s="86">
        <f>D6-C6</f>
        <v>3.7686158101006229E-2</v>
      </c>
      <c r="F6" s="12"/>
      <c r="I6" s="12"/>
      <c r="J6" s="12" t="s">
        <v>54</v>
      </c>
      <c r="K6" s="12"/>
      <c r="AG6" s="51" t="s">
        <v>155</v>
      </c>
      <c r="AH6" s="51" t="s">
        <v>157</v>
      </c>
    </row>
    <row r="7" spans="1:57" x14ac:dyDescent="0.3">
      <c r="A7" s="12" t="s">
        <v>7</v>
      </c>
      <c r="B7" s="103">
        <v>452.04</v>
      </c>
      <c r="C7" s="22">
        <f>B7/$B$8</f>
        <v>0.15026277037426081</v>
      </c>
      <c r="D7" s="85">
        <v>0.15</v>
      </c>
      <c r="E7" s="86">
        <f>D7-C7</f>
        <v>-2.6277037426081229E-4</v>
      </c>
      <c r="F7" s="12"/>
      <c r="I7" s="12"/>
      <c r="J7" s="12">
        <v>21150</v>
      </c>
      <c r="K7" s="12"/>
      <c r="AG7" s="51" t="s">
        <v>156</v>
      </c>
      <c r="AH7" s="51" t="s">
        <v>158</v>
      </c>
    </row>
    <row r="8" spans="1:57" x14ac:dyDescent="0.3">
      <c r="A8" s="12"/>
      <c r="B8" s="103">
        <f>SUM(B3:B7)</f>
        <v>3008.33</v>
      </c>
      <c r="C8" s="61">
        <f>SUM(C3:C7)</f>
        <v>1</v>
      </c>
      <c r="D8" s="12"/>
      <c r="E8" s="12" t="s">
        <v>16</v>
      </c>
      <c r="F8" s="12">
        <v>189798.92</v>
      </c>
      <c r="I8" s="12" t="s">
        <v>60</v>
      </c>
      <c r="J8" s="12" t="s">
        <v>54</v>
      </c>
      <c r="K8" s="12" t="s">
        <v>59</v>
      </c>
      <c r="AG8" s="51" t="s">
        <v>210</v>
      </c>
      <c r="AH8" s="51" t="s">
        <v>215</v>
      </c>
    </row>
    <row r="9" spans="1:57" x14ac:dyDescent="0.3">
      <c r="A9" s="12"/>
      <c r="B9" s="87">
        <f>B8/0.09</f>
        <v>33425.888888888891</v>
      </c>
      <c r="C9" s="12" t="s">
        <v>48</v>
      </c>
      <c r="D9" s="12"/>
      <c r="E9" s="12" t="s">
        <v>51</v>
      </c>
      <c r="F9" s="88">
        <f>B8/F8</f>
        <v>1.5850090190186541E-2</v>
      </c>
      <c r="I9" s="12">
        <v>11299</v>
      </c>
      <c r="J9" s="12">
        <v>19419</v>
      </c>
      <c r="K9" s="89">
        <f>(J7-J9)/J7</f>
        <v>8.1843971631205673E-2</v>
      </c>
      <c r="AG9" s="51" t="s">
        <v>211</v>
      </c>
      <c r="AH9" s="51" t="s">
        <v>216</v>
      </c>
    </row>
    <row r="10" spans="1:57" x14ac:dyDescent="0.3">
      <c r="A10" s="130" t="s">
        <v>417</v>
      </c>
      <c r="B10" s="131">
        <v>43418</v>
      </c>
      <c r="F10" s="46"/>
      <c r="I10" s="89">
        <f>I9/(I9+J9)</f>
        <v>0.36782993684484666</v>
      </c>
      <c r="J10" s="89">
        <f>J9/(J9+I9)</f>
        <v>0.63217006315515334</v>
      </c>
      <c r="K10" s="12"/>
      <c r="AG10" s="51" t="s">
        <v>212</v>
      </c>
      <c r="AH10" s="51" t="s">
        <v>217</v>
      </c>
    </row>
    <row r="11" spans="1:57" x14ac:dyDescent="0.3">
      <c r="B11" s="18"/>
      <c r="F11" s="46"/>
      <c r="I11" s="45"/>
      <c r="J11" s="45"/>
      <c r="AG11" s="51" t="s">
        <v>213</v>
      </c>
      <c r="AH11" s="51" t="s">
        <v>218</v>
      </c>
    </row>
    <row r="12" spans="1:57" x14ac:dyDescent="0.3">
      <c r="A12" s="361" t="s">
        <v>441</v>
      </c>
      <c r="B12" s="361"/>
      <c r="C12" s="361"/>
      <c r="D12" s="361"/>
      <c r="E12" s="361"/>
      <c r="F12" s="361"/>
      <c r="G12" s="361"/>
      <c r="H12" s="361"/>
      <c r="I12" s="361"/>
      <c r="J12" s="361"/>
      <c r="K12" s="361"/>
      <c r="L12" s="361" t="s">
        <v>52</v>
      </c>
      <c r="M12" s="361"/>
      <c r="N12" s="361"/>
      <c r="O12" s="361"/>
      <c r="P12" s="361"/>
      <c r="R12" s="47" t="s">
        <v>441</v>
      </c>
      <c r="S12" s="47" t="s">
        <v>41</v>
      </c>
      <c r="T12" s="47"/>
      <c r="U12" s="47"/>
      <c r="V12" s="47"/>
      <c r="W12" s="47"/>
      <c r="X12" s="47"/>
      <c r="Y12" s="47"/>
      <c r="Z12" s="47"/>
      <c r="AA12" s="47"/>
      <c r="AB12" s="47" t="s">
        <v>63</v>
      </c>
      <c r="AC12" s="47"/>
      <c r="AD12" s="47"/>
      <c r="AE12" s="47"/>
      <c r="AF12" s="47"/>
      <c r="AG12" s="51" t="s">
        <v>214</v>
      </c>
      <c r="AH12" s="51" t="s">
        <v>219</v>
      </c>
      <c r="AW12" s="66"/>
      <c r="AX12" s="77" t="s">
        <v>328</v>
      </c>
      <c r="AY12" s="77" t="s">
        <v>331</v>
      </c>
      <c r="AZ12" s="77" t="s">
        <v>329</v>
      </c>
      <c r="BA12" s="77" t="s">
        <v>330</v>
      </c>
      <c r="BB12" s="77" t="s">
        <v>332</v>
      </c>
      <c r="BC12" s="77" t="s">
        <v>333</v>
      </c>
      <c r="BD12" s="77" t="s">
        <v>372</v>
      </c>
      <c r="BE12" s="13"/>
    </row>
    <row r="13" spans="1:57" x14ac:dyDescent="0.3">
      <c r="A13" t="s">
        <v>320</v>
      </c>
      <c r="B13" t="s">
        <v>21</v>
      </c>
      <c r="I13" s="1" t="s">
        <v>58</v>
      </c>
      <c r="AG13" s="51" t="s">
        <v>324</v>
      </c>
      <c r="AH13" s="51" t="s">
        <v>326</v>
      </c>
      <c r="AW13" s="51" t="s">
        <v>131</v>
      </c>
      <c r="AX13" s="80">
        <f>MIN($AE$16:$AE$20)</f>
        <v>0.93401407692481253</v>
      </c>
      <c r="AY13" s="80">
        <f>_xlfn.QUARTILE.EXC($AE$16:$AE$20,1)</f>
        <v>0.93458009210974158</v>
      </c>
      <c r="AZ13" s="80">
        <f>MEDIAN($AE$16:$AE$20)</f>
        <v>0.93626332512038091</v>
      </c>
      <c r="BA13" s="80">
        <f>AVERAGE($AE$16:$AE$20)</f>
        <v>0.9360587230697256</v>
      </c>
      <c r="BB13" s="80">
        <f>_xlfn.QUARTILE.EXC(AE16:AE20,3)</f>
        <v>0.93743505300438223</v>
      </c>
      <c r="BC13" s="80">
        <f>MAX(AE16:AE20)</f>
        <v>0.938119901113045</v>
      </c>
      <c r="BD13" s="80">
        <f>(BB13-AY13)/AZ13</f>
        <v>3.0493140316839576E-3</v>
      </c>
      <c r="BE13" s="80"/>
    </row>
    <row r="14" spans="1:57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56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325</v>
      </c>
      <c r="AH14" s="51" t="s">
        <v>327</v>
      </c>
      <c r="AW14" s="51" t="s">
        <v>134</v>
      </c>
      <c r="AX14" s="80">
        <f>MIN($AE$16:$AE$25)</f>
        <v>0.93121015474526159</v>
      </c>
      <c r="AY14" s="80">
        <f>_xlfn.QUARTILE.EXC($AE$16:$AE$25,1)</f>
        <v>0.93486309970220605</v>
      </c>
      <c r="AZ14" s="80">
        <f>MEDIAN($AE$16:$AE$25)</f>
        <v>0.93633161274122978</v>
      </c>
      <c r="BA14" s="80">
        <f>AVERAGE($AE$16:$AE$25)</f>
        <v>0.93579927585291112</v>
      </c>
      <c r="BB14" s="80">
        <f>_xlfn.QUARTILE.EXC($AE$16:$AE$25,3)</f>
        <v>0.93714898467975261</v>
      </c>
      <c r="BC14" s="80">
        <f>MAX($AE$16:$AE$25)</f>
        <v>0.938119901113045</v>
      </c>
      <c r="BD14" s="80">
        <f t="shared" ref="BD14:BD23" si="0">(BB14-AY14)/AZ14</f>
        <v>2.4413198768909882E-3</v>
      </c>
      <c r="BE14" s="80"/>
    </row>
    <row r="15" spans="1:57" x14ac:dyDescent="0.3">
      <c r="A15" t="s">
        <v>3</v>
      </c>
      <c r="B15" s="13">
        <v>0</v>
      </c>
      <c r="C15" s="26">
        <v>259</v>
      </c>
      <c r="D15" s="3">
        <v>0</v>
      </c>
      <c r="E15" s="3">
        <v>0</v>
      </c>
      <c r="F15" s="3">
        <v>0</v>
      </c>
      <c r="G15" s="4">
        <v>0</v>
      </c>
      <c r="H15" s="1">
        <f>SUM(C15:G15)</f>
        <v>259</v>
      </c>
      <c r="I15" s="10">
        <f>C15/H15</f>
        <v>1</v>
      </c>
      <c r="J15" s="11">
        <f>1-I15</f>
        <v>0</v>
      </c>
      <c r="K15">
        <f>H15-C20</f>
        <v>0</v>
      </c>
      <c r="N15" s="10">
        <f>2*(C21*I15)/(C21+I15)</f>
        <v>1</v>
      </c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77</v>
      </c>
      <c r="AF15" s="12" t="s">
        <v>29</v>
      </c>
      <c r="AH15" t="s">
        <v>125</v>
      </c>
      <c r="AI15" t="s">
        <v>126</v>
      </c>
      <c r="AW15" s="51" t="s">
        <v>132</v>
      </c>
      <c r="AX15" s="80">
        <f>MIN($AE$16:$AE$35)</f>
        <v>0.93121015474526159</v>
      </c>
      <c r="AY15" s="80">
        <f>_xlfn.QUARTILE.EXC($AE$16:$AE$35,1)</f>
        <v>0.93519117790177408</v>
      </c>
      <c r="AZ15" s="126">
        <f>MEDIAN($AE$16:$AE$35)</f>
        <v>0.93651984302518643</v>
      </c>
      <c r="BA15" s="126">
        <f>AVERAGE($AE$16:$AE$35)</f>
        <v>0.93621056695856653</v>
      </c>
      <c r="BB15" s="80">
        <f>_xlfn.QUARTILE.EXC($AE$16:$AE$35,3)</f>
        <v>0.93748020217884431</v>
      </c>
      <c r="BC15" s="80">
        <f>MAX($AE$16:$AE$35)</f>
        <v>0.93857457938782485</v>
      </c>
      <c r="BD15" s="80">
        <f t="shared" si="0"/>
        <v>2.444181288968875E-3</v>
      </c>
      <c r="BE15" s="80"/>
    </row>
    <row r="16" spans="1:57" x14ac:dyDescent="0.3">
      <c r="A16" t="s">
        <v>4</v>
      </c>
      <c r="B16" s="13">
        <v>1</v>
      </c>
      <c r="C16" s="5">
        <v>0</v>
      </c>
      <c r="D16" s="27">
        <v>288</v>
      </c>
      <c r="E16" s="1">
        <v>43</v>
      </c>
      <c r="F16" s="1">
        <v>0</v>
      </c>
      <c r="G16" s="6">
        <v>8</v>
      </c>
      <c r="H16" s="1">
        <f>SUM(C16:G16)</f>
        <v>339</v>
      </c>
      <c r="I16" s="10">
        <f>D16/H16</f>
        <v>0.84955752212389379</v>
      </c>
      <c r="J16" s="11">
        <f>1-I16</f>
        <v>0.15044247787610621</v>
      </c>
      <c r="K16">
        <f>H16-D20</f>
        <v>-160</v>
      </c>
      <c r="N16" s="10">
        <f>2*(D21*I16)/(D21+I16)</f>
        <v>0.68735083532219565</v>
      </c>
      <c r="R16" t="s">
        <v>70</v>
      </c>
      <c r="S16" t="s">
        <v>28</v>
      </c>
      <c r="T16" s="57">
        <f t="shared" ref="T16:X19" si="1">C31</f>
        <v>1.4744295378131091</v>
      </c>
      <c r="U16" s="57">
        <f t="shared" si="1"/>
        <v>5.8494909283669463</v>
      </c>
      <c r="V16" s="57">
        <f t="shared" si="1"/>
        <v>56.945649869655256</v>
      </c>
      <c r="W16" s="57">
        <f t="shared" si="1"/>
        <v>27.417344157857912</v>
      </c>
      <c r="X16" s="57">
        <f t="shared" si="1"/>
        <v>8.3130855063067859</v>
      </c>
      <c r="AC16" t="s">
        <v>70</v>
      </c>
      <c r="AD16" s="51">
        <f>I21</f>
        <v>0.93944636678200688</v>
      </c>
      <c r="AE16" s="55">
        <f>I32</f>
        <v>0.93401407692481253</v>
      </c>
      <c r="AF16" s="55">
        <f>J32</f>
        <v>2.3564073566927301E-3</v>
      </c>
      <c r="AH16">
        <v>21</v>
      </c>
      <c r="AI16">
        <v>32</v>
      </c>
      <c r="AW16" s="51" t="s">
        <v>133</v>
      </c>
      <c r="AX16" s="80">
        <f>MIN($AE$16:$AE$45)</f>
        <v>0.93121015474526159</v>
      </c>
      <c r="AY16" s="80">
        <f>_xlfn.QUARTILE.EXC($AE$16:$AE$45,1)</f>
        <v>0.93519117790177408</v>
      </c>
      <c r="AZ16" s="80">
        <f>MEDIAN($AE$16:$AE$45)</f>
        <v>0.93651984302518643</v>
      </c>
      <c r="BA16" s="80">
        <f>AVERAGE($AE$16:$AE$45)</f>
        <v>0.93621056695856653</v>
      </c>
      <c r="BB16" s="80">
        <f>_xlfn.QUARTILE.EXC($AE$16:$AE$45,3)</f>
        <v>0.93748020217884431</v>
      </c>
      <c r="BC16" s="80">
        <f>MAX($AE$16:$AE$45)</f>
        <v>0.93857457938782485</v>
      </c>
      <c r="BD16" s="80">
        <f t="shared" si="0"/>
        <v>2.444181288968875E-3</v>
      </c>
      <c r="BE16" s="80"/>
    </row>
    <row r="17" spans="1:57" x14ac:dyDescent="0.3">
      <c r="A17" t="s">
        <v>5</v>
      </c>
      <c r="B17" s="13">
        <v>2</v>
      </c>
      <c r="C17" s="5">
        <v>0</v>
      </c>
      <c r="D17" s="1">
        <v>186</v>
      </c>
      <c r="E17" s="27">
        <v>7101</v>
      </c>
      <c r="F17" s="1">
        <v>90</v>
      </c>
      <c r="G17" s="6">
        <v>22</v>
      </c>
      <c r="H17" s="1">
        <f>SUM(C17:G17)</f>
        <v>7399</v>
      </c>
      <c r="I17" s="10">
        <f>E17/H17</f>
        <v>0.95972428706581969</v>
      </c>
      <c r="J17" s="11">
        <f>1-I17</f>
        <v>4.0275712934180308E-2</v>
      </c>
      <c r="K17">
        <f>H17-E20</f>
        <v>190</v>
      </c>
      <c r="N17" s="10">
        <f>2*(E21*I17)/(E21+I17)</f>
        <v>0.97220700985761233</v>
      </c>
      <c r="S17" s="66" t="s">
        <v>39</v>
      </c>
      <c r="T17" s="67">
        <f t="shared" si="1"/>
        <v>0</v>
      </c>
      <c r="U17" s="67">
        <f t="shared" si="1"/>
        <v>0.15029561858546575</v>
      </c>
      <c r="V17" s="67">
        <f t="shared" si="1"/>
        <v>0.17811779415284718</v>
      </c>
      <c r="W17" s="67">
        <f t="shared" si="1"/>
        <v>0.17719560717960678</v>
      </c>
      <c r="X17" s="67">
        <f t="shared" si="1"/>
        <v>0.16879346148722763</v>
      </c>
      <c r="AC17" t="s">
        <v>71</v>
      </c>
      <c r="AD17" s="51">
        <f>I50</f>
        <v>0.942560553633218</v>
      </c>
      <c r="AE17" s="55">
        <f>I61</f>
        <v>0.93675020489571936</v>
      </c>
      <c r="AF17" s="55">
        <f>J61</f>
        <v>2.3262677669999786E-3</v>
      </c>
      <c r="AH17">
        <v>50</v>
      </c>
      <c r="AI17">
        <v>61</v>
      </c>
      <c r="AW17" s="51" t="s">
        <v>157</v>
      </c>
      <c r="AX17" s="80">
        <f>MIN($AE$16:$AE$55)</f>
        <v>0.93121015474526159</v>
      </c>
      <c r="AY17" s="80">
        <f>_xlfn.QUARTILE.EXC($AE$16:$AE$55,1)</f>
        <v>0.93519117790177408</v>
      </c>
      <c r="AZ17" s="80">
        <f>MEDIAN($AE$16:$AE$55)</f>
        <v>0.93651984302518643</v>
      </c>
      <c r="BA17" s="80">
        <f>AVERAGE($AE$16:$AE$55)</f>
        <v>0.93621056695856653</v>
      </c>
      <c r="BB17" s="80">
        <f>_xlfn.QUARTILE.EXC($AE$16:$AE$55,3)</f>
        <v>0.93748020217884431</v>
      </c>
      <c r="BC17" s="80">
        <f>MAX($AE$16:$AE$55)</f>
        <v>0.93857457938782485</v>
      </c>
      <c r="BD17" s="80">
        <f t="shared" si="0"/>
        <v>2.444181288968875E-3</v>
      </c>
      <c r="BE17" s="80"/>
    </row>
    <row r="18" spans="1:57" x14ac:dyDescent="0.3">
      <c r="A18" t="s">
        <v>6</v>
      </c>
      <c r="B18" s="13">
        <v>3</v>
      </c>
      <c r="C18" s="5">
        <v>0</v>
      </c>
      <c r="D18" s="1">
        <v>5</v>
      </c>
      <c r="E18" s="1">
        <v>32</v>
      </c>
      <c r="F18" s="27">
        <v>2491</v>
      </c>
      <c r="G18" s="6">
        <v>75</v>
      </c>
      <c r="H18" s="1">
        <f>SUM(C18:G18)</f>
        <v>2603</v>
      </c>
      <c r="I18" s="10">
        <f>F18/H18</f>
        <v>0.95697272378025355</v>
      </c>
      <c r="J18" s="11">
        <f>1-I18</f>
        <v>4.3027276219746446E-2</v>
      </c>
      <c r="K18">
        <f>H18-F20</f>
        <v>-164</v>
      </c>
      <c r="N18" s="10">
        <f>2*(F21*I18)/(F21+I18)</f>
        <v>0.92774674115456246</v>
      </c>
      <c r="S18" s="70" t="s">
        <v>30</v>
      </c>
      <c r="T18" s="64">
        <f t="shared" si="1"/>
        <v>100</v>
      </c>
      <c r="U18" s="64">
        <f t="shared" si="1"/>
        <v>70.765551860174185</v>
      </c>
      <c r="V18" s="64">
        <f t="shared" si="1"/>
        <v>97.769500273057844</v>
      </c>
      <c r="W18" s="64">
        <f t="shared" si="1"/>
        <v>90.578369777129765</v>
      </c>
      <c r="X18" s="64">
        <f t="shared" si="1"/>
        <v>87.547432701095701</v>
      </c>
      <c r="AC18" t="s">
        <v>72</v>
      </c>
      <c r="AD18" s="51">
        <f>I79</f>
        <v>0.94108996539792389</v>
      </c>
      <c r="AE18" s="55">
        <f>I90</f>
        <v>0.93626332512038091</v>
      </c>
      <c r="AF18" s="55">
        <f>J90</f>
        <v>2.3233004837748283E-3</v>
      </c>
      <c r="AH18">
        <v>79</v>
      </c>
      <c r="AI18">
        <v>90</v>
      </c>
      <c r="AW18" s="51" t="s">
        <v>158</v>
      </c>
      <c r="AX18" s="80">
        <f>MIN($AE$16:$AE$65)</f>
        <v>0.93121015474526159</v>
      </c>
      <c r="AY18" s="80">
        <f>_xlfn.QUARTILE.EXC($AE$16:$AE$65,1)</f>
        <v>0.93519117790177408</v>
      </c>
      <c r="AZ18" s="80">
        <f>MEDIAN($AE$16:$AE$65)</f>
        <v>0.93651984302518643</v>
      </c>
      <c r="BA18" s="80">
        <f>AVERAGE($AE$16:$AE$65)</f>
        <v>0.93621056695856653</v>
      </c>
      <c r="BB18" s="80">
        <f>_xlfn.QUARTILE.EXC($AE$16:$AE$65,3)</f>
        <v>0.93748020217884431</v>
      </c>
      <c r="BC18" s="80">
        <f>MAX($AE$16:$AE$65)</f>
        <v>0.93857457938782485</v>
      </c>
      <c r="BD18" s="80">
        <f t="shared" si="0"/>
        <v>2.444181288968875E-3</v>
      </c>
      <c r="BE18" s="80"/>
    </row>
    <row r="19" spans="1:57" x14ac:dyDescent="0.3">
      <c r="A19" t="s">
        <v>7</v>
      </c>
      <c r="B19" s="13">
        <v>4</v>
      </c>
      <c r="C19" s="7">
        <v>0</v>
      </c>
      <c r="D19" s="8">
        <v>20</v>
      </c>
      <c r="E19" s="8">
        <v>33</v>
      </c>
      <c r="F19" s="8">
        <v>186</v>
      </c>
      <c r="G19" s="28">
        <v>721</v>
      </c>
      <c r="H19" s="1">
        <f>SUM(C19:G19)</f>
        <v>960</v>
      </c>
      <c r="I19" s="10">
        <f>G19/H19</f>
        <v>0.75104166666666672</v>
      </c>
      <c r="J19" s="11">
        <f>1-I19</f>
        <v>0.24895833333333328</v>
      </c>
      <c r="K19">
        <f>H19-G20</f>
        <v>134</v>
      </c>
      <c r="N19" s="10">
        <f>2*(G21*I19)/(G21+I19)</f>
        <v>0.80739081746920494</v>
      </c>
      <c r="S19" s="66" t="s">
        <v>39</v>
      </c>
      <c r="T19" s="67">
        <f t="shared" si="1"/>
        <v>0</v>
      </c>
      <c r="U19" s="67">
        <f t="shared" si="1"/>
        <v>4.9416187092164225</v>
      </c>
      <c r="V19" s="67">
        <f t="shared" si="1"/>
        <v>0.21088673919893555</v>
      </c>
      <c r="W19" s="67">
        <f t="shared" si="1"/>
        <v>0.59367465725795732</v>
      </c>
      <c r="X19" s="67">
        <f t="shared" si="1"/>
        <v>2.2892092097818875</v>
      </c>
      <c r="AC19" t="s">
        <v>73</v>
      </c>
      <c r="AD19" s="51">
        <f>I108</f>
        <v>0.94013840830449824</v>
      </c>
      <c r="AE19" s="73">
        <f>I119</f>
        <v>0.93514610729467051</v>
      </c>
      <c r="AF19" s="73">
        <f>J119</f>
        <v>2.3427464688614147E-3</v>
      </c>
      <c r="AH19">
        <v>108</v>
      </c>
      <c r="AI19">
        <v>119</v>
      </c>
      <c r="AW19" s="51" t="s">
        <v>215</v>
      </c>
      <c r="AX19" s="80">
        <f>MIN($AE$16:$AE$75)</f>
        <v>0.93121015474526159</v>
      </c>
      <c r="AY19" s="80">
        <f>_xlfn.QUARTILE.EXC($AE$16:$AE$75,1)</f>
        <v>0.93519117790177408</v>
      </c>
      <c r="AZ19" s="80">
        <f>MEDIAN($AE$16:$AE$75)</f>
        <v>0.93651984302518643</v>
      </c>
      <c r="BA19" s="80">
        <f>AVERAGE($AE$16:$AE$75)</f>
        <v>0.93621056695856653</v>
      </c>
      <c r="BB19" s="80">
        <f>_xlfn.QUARTILE.EXC($AE$16:$AE$75,3)</f>
        <v>0.93748020217884431</v>
      </c>
      <c r="BC19" s="80">
        <f>MAX($AE$16:$AE$75)</f>
        <v>0.93857457938782485</v>
      </c>
      <c r="BD19" s="80">
        <f t="shared" si="0"/>
        <v>2.444181288968875E-3</v>
      </c>
      <c r="BE19" s="80"/>
    </row>
    <row r="20" spans="1:57" ht="15.6" x14ac:dyDescent="0.35">
      <c r="B20" s="1" t="s">
        <v>19</v>
      </c>
      <c r="C20" s="1">
        <f>SUM(C15:C19)</f>
        <v>259</v>
      </c>
      <c r="D20" s="1">
        <f>SUM(D15:D19)</f>
        <v>499</v>
      </c>
      <c r="E20" s="1">
        <f>SUM(E15:E19)</f>
        <v>7209</v>
      </c>
      <c r="F20" s="1">
        <f>SUM(F15:F19)</f>
        <v>2767</v>
      </c>
      <c r="G20" s="1">
        <f>SUM(G15:G19)</f>
        <v>826</v>
      </c>
      <c r="H20" s="1">
        <f>SUM(H14:H19)</f>
        <v>11560</v>
      </c>
      <c r="I20" s="13" t="s">
        <v>12</v>
      </c>
      <c r="N20" s="16"/>
      <c r="S20" s="70" t="s">
        <v>31</v>
      </c>
      <c r="T20" s="64">
        <f>I26</f>
        <v>100</v>
      </c>
      <c r="U20" s="64">
        <f>I27</f>
        <v>84.955752212389385</v>
      </c>
      <c r="V20" s="64">
        <f>I28</f>
        <v>95.972428706581965</v>
      </c>
      <c r="W20" s="64">
        <f>I29</f>
        <v>95.69727237802536</v>
      </c>
      <c r="X20" s="64">
        <f>I30</f>
        <v>75.104166666666657</v>
      </c>
      <c r="AC20" t="s">
        <v>76</v>
      </c>
      <c r="AD20" s="51">
        <f>I137</f>
        <v>0.94333910034602075</v>
      </c>
      <c r="AE20" s="73">
        <f>I148</f>
        <v>0.938119901113045</v>
      </c>
      <c r="AF20" s="73">
        <f>J148</f>
        <v>2.2965652593440319E-3</v>
      </c>
      <c r="AH20">
        <v>137</v>
      </c>
      <c r="AI20">
        <v>148</v>
      </c>
      <c r="AW20" s="51" t="s">
        <v>216</v>
      </c>
      <c r="AX20" s="80">
        <f>MIN($AE$16:$AE$85)</f>
        <v>0.93121015474526159</v>
      </c>
      <c r="AY20" s="80">
        <f>_xlfn.QUARTILE.EXC($AE$16:$AE$85,1)</f>
        <v>0.93519117790177408</v>
      </c>
      <c r="AZ20" s="80">
        <f>MEDIAN($AE$16:$AE$85)</f>
        <v>0.93651984302518643</v>
      </c>
      <c r="BA20" s="80">
        <f>AVERAGE($AE$16:$AE$85)</f>
        <v>0.93621056695856653</v>
      </c>
      <c r="BB20" s="80">
        <f>_xlfn.QUARTILE.EXC($AE$16:$AE$85,3)</f>
        <v>0.93748020217884431</v>
      </c>
      <c r="BC20" s="80">
        <f>MAX($AE$16:$AE$85)</f>
        <v>0.93857457938782485</v>
      </c>
      <c r="BD20" s="80">
        <f t="shared" si="0"/>
        <v>2.444181288968875E-3</v>
      </c>
      <c r="BE20" s="80"/>
    </row>
    <row r="21" spans="1:57" x14ac:dyDescent="0.3">
      <c r="A21" s="1" t="s">
        <v>321</v>
      </c>
      <c r="B21" s="1" t="s">
        <v>2</v>
      </c>
      <c r="C21" s="10">
        <f>C15/C20</f>
        <v>1</v>
      </c>
      <c r="D21" s="10">
        <f>D16/D20</f>
        <v>0.57715430861723449</v>
      </c>
      <c r="E21" s="10">
        <f>E17/E20</f>
        <v>0.98501872659176026</v>
      </c>
      <c r="F21" s="10">
        <f>F18/F20</f>
        <v>0.90025298156848577</v>
      </c>
      <c r="G21" s="10">
        <f>G19/G20</f>
        <v>0.8728813559322034</v>
      </c>
      <c r="H21" s="10"/>
      <c r="I21" s="14">
        <f>(C15+D16+E17+F18+G19)/H20</f>
        <v>0.93944636678200688</v>
      </c>
      <c r="S21" s="66" t="s">
        <v>39</v>
      </c>
      <c r="T21" s="67">
        <f>J26</f>
        <v>0</v>
      </c>
      <c r="U21" s="67">
        <f>J27</f>
        <v>1.9445686667237165</v>
      </c>
      <c r="V21" s="67">
        <f>J28</f>
        <v>0.22857972061204279</v>
      </c>
      <c r="W21" s="67">
        <f>J29</f>
        <v>0.39780300630458487</v>
      </c>
      <c r="X21" s="67">
        <f>J30</f>
        <v>1.3963234967525007</v>
      </c>
      <c r="AC21" t="s">
        <v>98</v>
      </c>
      <c r="AD21" s="51">
        <f>I166</f>
        <v>0.942560553633218</v>
      </c>
      <c r="AE21" s="55">
        <f>I177</f>
        <v>0.93702349705623755</v>
      </c>
      <c r="AF21" s="55">
        <f>J177</f>
        <v>2.3287076193447189E-3</v>
      </c>
      <c r="AH21">
        <v>166</v>
      </c>
      <c r="AI21">
        <v>177</v>
      </c>
      <c r="AW21" s="51" t="s">
        <v>217</v>
      </c>
      <c r="AX21" s="80">
        <f>MIN($AE$16:$AE$95)</f>
        <v>0.93121015474526159</v>
      </c>
      <c r="AY21" s="80">
        <f>_xlfn.QUARTILE.EXC($AE$16:$AE$95,1)</f>
        <v>0.93519117790177408</v>
      </c>
      <c r="AZ21" s="80">
        <f>MEDIAN($AE$16:$AE$95)</f>
        <v>0.93651984302518643</v>
      </c>
      <c r="BA21" s="80">
        <f>AVERAGE($AE$16:$AE$95)</f>
        <v>0.93621056695856653</v>
      </c>
      <c r="BB21" s="80">
        <f>_xlfn.QUARTILE.EXC($AE$16:$AE$95,3)</f>
        <v>0.93748020217884431</v>
      </c>
      <c r="BC21" s="80">
        <f>MAX($AE$16:$AE$95)</f>
        <v>0.93857457938782485</v>
      </c>
      <c r="BD21" s="80">
        <f t="shared" si="0"/>
        <v>2.444181288968875E-3</v>
      </c>
      <c r="BE21" s="80"/>
    </row>
    <row r="22" spans="1:57" x14ac:dyDescent="0.3">
      <c r="B22" s="1" t="s">
        <v>14</v>
      </c>
      <c r="C22" s="11">
        <f>1-C21</f>
        <v>0</v>
      </c>
      <c r="D22" s="11">
        <f>1-D21</f>
        <v>0.42284569138276551</v>
      </c>
      <c r="E22" s="11">
        <f>1-E21</f>
        <v>1.4981273408239737E-2</v>
      </c>
      <c r="F22" s="11">
        <f>1-F21</f>
        <v>9.9747018431514234E-2</v>
      </c>
      <c r="G22" s="11">
        <f>1-G21</f>
        <v>0.1271186440677966</v>
      </c>
      <c r="S22" s="68" t="s">
        <v>56</v>
      </c>
      <c r="T22" s="65">
        <f>N15*100</f>
        <v>100</v>
      </c>
      <c r="U22" s="65">
        <f>N16*100</f>
        <v>68.735083532219562</v>
      </c>
      <c r="V22" s="65">
        <f>N17*100</f>
        <v>97.220700985761226</v>
      </c>
      <c r="W22" s="65">
        <f>N18*100</f>
        <v>92.77467411545625</v>
      </c>
      <c r="X22" s="65">
        <f>N19*100</f>
        <v>80.73908174692049</v>
      </c>
      <c r="Y22" s="46"/>
      <c r="Z22" s="46"/>
      <c r="AA22" s="46"/>
      <c r="AC22" t="s">
        <v>99</v>
      </c>
      <c r="AD22" s="51">
        <f>I195</f>
        <v>0.94238754325259511</v>
      </c>
      <c r="AE22" s="55">
        <f>I206</f>
        <v>0.93752544755029765</v>
      </c>
      <c r="AF22" s="55">
        <f>J206</f>
        <v>2.2824616153993933E-3</v>
      </c>
      <c r="AH22">
        <v>195</v>
      </c>
      <c r="AI22">
        <v>206</v>
      </c>
      <c r="AW22" s="51" t="s">
        <v>218</v>
      </c>
      <c r="AX22" s="80">
        <f>MIN($AE$16:$AE$105)</f>
        <v>0.93121015474526159</v>
      </c>
      <c r="AY22" s="80">
        <f>_xlfn.QUARTILE.EXC($AE$16:$AE$105,1)</f>
        <v>0.93519117790177408</v>
      </c>
      <c r="AZ22" s="80">
        <f>MEDIAN($AE$16:$AE$105)</f>
        <v>0.93651984302518643</v>
      </c>
      <c r="BA22" s="80">
        <f>AVERAGE($AE$16:$AE$105)</f>
        <v>0.93621056695856653</v>
      </c>
      <c r="BB22" s="80">
        <f>_xlfn.QUARTILE.EXC($AE$16:$AE$105,3)</f>
        <v>0.93748020217884431</v>
      </c>
      <c r="BC22" s="80">
        <f>MAX($AE$16:$AE$105)</f>
        <v>0.93857457938782485</v>
      </c>
      <c r="BD22" s="80">
        <f t="shared" si="0"/>
        <v>2.444181288968875E-3</v>
      </c>
      <c r="BE22" s="80"/>
    </row>
    <row r="23" spans="1:57" x14ac:dyDescent="0.3">
      <c r="C23" s="2"/>
      <c r="R23" s="16" t="s">
        <v>66</v>
      </c>
      <c r="S23" t="s">
        <v>9</v>
      </c>
      <c r="T23" s="30">
        <f>N26</f>
        <v>2921.16</v>
      </c>
      <c r="U23" s="30">
        <f>N27</f>
        <v>9653.36</v>
      </c>
      <c r="V23" s="30">
        <f>N28</f>
        <v>114934.07</v>
      </c>
      <c r="W23" s="30">
        <f>N29</f>
        <v>51414.03</v>
      </c>
      <c r="X23" s="30">
        <f>N30</f>
        <v>19198.75</v>
      </c>
      <c r="Z23" t="s">
        <v>36</v>
      </c>
      <c r="AA23" s="1">
        <f>N31</f>
        <v>198121.37</v>
      </c>
      <c r="AC23" t="s">
        <v>100</v>
      </c>
      <c r="AD23" s="51">
        <f>I224</f>
        <v>0.94212802768166093</v>
      </c>
      <c r="AE23" s="55">
        <f>I235</f>
        <v>0.93639990036207865</v>
      </c>
      <c r="AF23" s="55">
        <f>J235</f>
        <v>2.3272209038916899E-3</v>
      </c>
      <c r="AH23">
        <v>224</v>
      </c>
      <c r="AI23">
        <v>235</v>
      </c>
      <c r="AW23" s="51" t="s">
        <v>219</v>
      </c>
      <c r="AX23" s="80">
        <f>MIN($AE$16:$AE$115)</f>
        <v>0.93121015474526159</v>
      </c>
      <c r="AY23" s="80">
        <f>_xlfn.QUARTILE.EXC($AE$16:$AE$115,1)</f>
        <v>0.93519117790177408</v>
      </c>
      <c r="AZ23" s="126">
        <f>MEDIAN($AE$16:$AE$115)</f>
        <v>0.93651984302518643</v>
      </c>
      <c r="BA23" s="126">
        <f>AVERAGE($AE$16:$AE$115)</f>
        <v>0.93621056695856653</v>
      </c>
      <c r="BB23" s="80">
        <f>_xlfn.QUARTILE.EXC($AE$16:$AE$115,3)</f>
        <v>0.93748020217884431</v>
      </c>
      <c r="BC23" s="80">
        <f>MAX($AE$16:$AE$115)</f>
        <v>0.93857457938782485</v>
      </c>
      <c r="BD23" s="80">
        <f t="shared" si="0"/>
        <v>2.444181288968875E-3</v>
      </c>
      <c r="BE23" s="80"/>
    </row>
    <row r="24" spans="1:57" ht="15.6" x14ac:dyDescent="0.35">
      <c r="A24" t="s">
        <v>322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323</v>
      </c>
      <c r="S24" t="s">
        <v>68</v>
      </c>
      <c r="T24" s="57">
        <f>$AA23*T16/100</f>
        <v>2921.16</v>
      </c>
      <c r="U24" s="57">
        <f>$AA23*U16/100</f>
        <v>11589.091565306313</v>
      </c>
      <c r="V24" s="57">
        <f>$AA23*V16/100</f>
        <v>112821.50167716421</v>
      </c>
      <c r="W24" s="57">
        <f>$AA23*W16/100</f>
        <v>54319.617863163054</v>
      </c>
      <c r="X24" s="57">
        <f>$AA23*X16/100</f>
        <v>16469.998894366439</v>
      </c>
      <c r="Z24" t="s">
        <v>36</v>
      </c>
      <c r="AA24" s="25">
        <f>SUM(T24:X24)</f>
        <v>198121.37000000002</v>
      </c>
      <c r="AC24" t="s">
        <v>101</v>
      </c>
      <c r="AD24" s="51">
        <f>I253</f>
        <v>0.93693771626297573</v>
      </c>
      <c r="AE24" s="55">
        <f>I264</f>
        <v>0.93121015474526159</v>
      </c>
      <c r="AF24" s="55">
        <f>J264</f>
        <v>2.3865117072518227E-3</v>
      </c>
      <c r="AH24">
        <v>253</v>
      </c>
      <c r="AI24">
        <v>264</v>
      </c>
      <c r="BE24" s="80"/>
    </row>
    <row r="25" spans="1:57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67</v>
      </c>
      <c r="T25" s="67">
        <f>$AA23*T17/100</f>
        <v>0</v>
      </c>
      <c r="U25" s="67">
        <f>$AA23*U17/100</f>
        <v>297.76773859149938</v>
      </c>
      <c r="V25" s="67">
        <f>$AA23*V17/100</f>
        <v>352.88941398940074</v>
      </c>
      <c r="W25" s="67">
        <f>$AA23*W17/100</f>
        <v>351.06236452405528</v>
      </c>
      <c r="X25" s="67">
        <f>$AA23*X17/100</f>
        <v>334.4159183689178</v>
      </c>
      <c r="AA25" s="1"/>
      <c r="AC25" t="s">
        <v>102</v>
      </c>
      <c r="AD25" s="51">
        <f>I282</f>
        <v>0.94108996539792389</v>
      </c>
      <c r="AE25" s="55">
        <f>I293</f>
        <v>0.93554014346660652</v>
      </c>
      <c r="AF25" s="55">
        <f>J293</f>
        <v>2.3375404107438469E-3</v>
      </c>
      <c r="AH25">
        <v>282</v>
      </c>
      <c r="AI25">
        <v>293</v>
      </c>
      <c r="BE25" s="80"/>
    </row>
    <row r="26" spans="1:57" x14ac:dyDescent="0.3">
      <c r="A26" t="s">
        <v>3</v>
      </c>
      <c r="B26" s="13">
        <v>0</v>
      </c>
      <c r="C26" s="29">
        <f>(C15/$L26)*$O26</f>
        <v>1.4744295378131091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0</v>
      </c>
      <c r="G26" s="32">
        <f t="shared" si="2"/>
        <v>0</v>
      </c>
      <c r="H26" s="17">
        <f>SUM(C26:G26)</f>
        <v>1.4744295378131091</v>
      </c>
      <c r="I26" s="17">
        <f>C26/H26*100</f>
        <v>100</v>
      </c>
      <c r="J26" s="17">
        <f>SQRT(I26*(100-I26)/(L26-1))</f>
        <v>0</v>
      </c>
      <c r="K26" s="18">
        <f>100-I26</f>
        <v>0</v>
      </c>
      <c r="L26" s="1">
        <f>H15</f>
        <v>259</v>
      </c>
      <c r="M26">
        <v>0</v>
      </c>
      <c r="N26" s="1">
        <v>2921.16</v>
      </c>
      <c r="O26" s="17">
        <f>N26/N31*100</f>
        <v>1.4744295378131091</v>
      </c>
      <c r="P26" s="52">
        <f>((O26*O26*(I26/100)*(K26/100))/(L26-1))</f>
        <v>0</v>
      </c>
      <c r="R26" t="s">
        <v>71</v>
      </c>
      <c r="S26" s="70" t="s">
        <v>28</v>
      </c>
      <c r="T26" s="64">
        <f t="shared" ref="T26:X29" si="3">C60</f>
        <v>1.4699322945323869</v>
      </c>
      <c r="U26" s="64">
        <f t="shared" si="3"/>
        <v>5.5897053654102953</v>
      </c>
      <c r="V26" s="64">
        <f t="shared" si="3"/>
        <v>56.607465488749781</v>
      </c>
      <c r="W26" s="64">
        <f t="shared" si="3"/>
        <v>27.534583192070659</v>
      </c>
      <c r="X26" s="64">
        <f t="shared" si="3"/>
        <v>8.7983136592368805</v>
      </c>
      <c r="Y26" s="13"/>
      <c r="Z26" s="74"/>
      <c r="AA26" s="12"/>
      <c r="AC26" t="s">
        <v>103</v>
      </c>
      <c r="AD26" s="51">
        <f>I311</f>
        <v>0.94316608996539797</v>
      </c>
      <c r="AE26" s="55">
        <f>I322</f>
        <v>0.93807222888882535</v>
      </c>
      <c r="AF26" s="55">
        <f>J322</f>
        <v>2.2949004852362846E-3</v>
      </c>
      <c r="AH26">
        <v>311</v>
      </c>
      <c r="AI26">
        <v>322</v>
      </c>
    </row>
    <row r="27" spans="1:57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4.1394245364696962</v>
      </c>
      <c r="E27" s="19">
        <f t="shared" si="2"/>
        <v>0.61803908009790609</v>
      </c>
      <c r="F27" s="18">
        <f t="shared" si="2"/>
        <v>0</v>
      </c>
      <c r="G27" s="20">
        <f t="shared" si="2"/>
        <v>0.11498401490193601</v>
      </c>
      <c r="H27" s="17">
        <f>SUM(C27:G27)</f>
        <v>4.8724476314695382</v>
      </c>
      <c r="I27" s="17">
        <f>D27/H27*100</f>
        <v>84.955752212389385</v>
      </c>
      <c r="J27" s="17">
        <f>SQRT(I27*(100-I27)/(L27-1))</f>
        <v>1.9445686667237165</v>
      </c>
      <c r="K27" s="18">
        <f>100-I27</f>
        <v>15.044247787610615</v>
      </c>
      <c r="L27" s="1">
        <f>H16</f>
        <v>339</v>
      </c>
      <c r="M27">
        <v>1</v>
      </c>
      <c r="N27" s="1">
        <v>9653.36</v>
      </c>
      <c r="O27" s="17">
        <f>N27/N31*100</f>
        <v>4.8724476314695382</v>
      </c>
      <c r="P27" s="52">
        <f>((O27*O27*(I27/100)*(K27/100))/(L27-1))</f>
        <v>8.9772005480511889E-3</v>
      </c>
      <c r="S27" s="66" t="s">
        <v>39</v>
      </c>
      <c r="T27" s="67">
        <f t="shared" si="3"/>
        <v>0</v>
      </c>
      <c r="U27" s="67">
        <f t="shared" si="3"/>
        <v>0.14294756038821702</v>
      </c>
      <c r="V27" s="67">
        <f t="shared" si="3"/>
        <v>0.16834624775306908</v>
      </c>
      <c r="W27" s="67">
        <f t="shared" si="3"/>
        <v>0.1801045810804052</v>
      </c>
      <c r="X27" s="67">
        <f t="shared" si="3"/>
        <v>0.17153966861465667</v>
      </c>
      <c r="AC27" t="s">
        <v>104</v>
      </c>
      <c r="AD27" s="51">
        <f>I340</f>
        <v>0.94074394463667821</v>
      </c>
      <c r="AE27" s="55">
        <f>I351</f>
        <v>0.93507338378723392</v>
      </c>
      <c r="AF27" s="55">
        <f>J351</f>
        <v>2.350573576459855E-3</v>
      </c>
      <c r="AH27">
        <v>340</v>
      </c>
      <c r="AI27">
        <v>351</v>
      </c>
    </row>
    <row r="28" spans="1:57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1.4583352737211845</v>
      </c>
      <c r="E28" s="34">
        <f t="shared" si="2"/>
        <v>55.67547730480716</v>
      </c>
      <c r="F28" s="19">
        <f t="shared" si="2"/>
        <v>0.70564610018766993</v>
      </c>
      <c r="G28" s="20">
        <f t="shared" si="2"/>
        <v>0.17249126893476374</v>
      </c>
      <c r="H28" s="17">
        <f>SUM(C28:G28)</f>
        <v>58.011949947650777</v>
      </c>
      <c r="I28" s="17">
        <f>E28/H28*100</f>
        <v>95.972428706581965</v>
      </c>
      <c r="J28" s="17">
        <f>SQRT(I28*(100-I28)/(L28-1))</f>
        <v>0.22857972061204279</v>
      </c>
      <c r="K28" s="18">
        <f>100-I28</f>
        <v>4.0275712934180348</v>
      </c>
      <c r="L28" s="1">
        <f>H17</f>
        <v>7399</v>
      </c>
      <c r="M28">
        <v>2</v>
      </c>
      <c r="N28" s="1">
        <v>114934.07</v>
      </c>
      <c r="O28" s="17">
        <f>N28/N31*100</f>
        <v>58.011949947650777</v>
      </c>
      <c r="P28" s="52">
        <f>((O28*O28*(I28/100)*(K28/100))/(L28-1))</f>
        <v>1.7583702297910633E-2</v>
      </c>
      <c r="S28" t="s">
        <v>30</v>
      </c>
      <c r="T28" s="57">
        <f t="shared" si="3"/>
        <v>100</v>
      </c>
      <c r="U28" s="57">
        <f t="shared" si="3"/>
        <v>72.86541610400586</v>
      </c>
      <c r="V28" s="57">
        <f t="shared" si="3"/>
        <v>98.133090563226617</v>
      </c>
      <c r="W28" s="57">
        <f t="shared" si="3"/>
        <v>90.362421479057815</v>
      </c>
      <c r="X28" s="57">
        <f t="shared" si="3"/>
        <v>87.523074644175992</v>
      </c>
      <c r="AC28" t="s">
        <v>105</v>
      </c>
      <c r="AD28" s="51">
        <f>I369</f>
        <v>0.93970588235294117</v>
      </c>
      <c r="AE28" s="55">
        <f>I380</f>
        <v>0.934762894700785</v>
      </c>
      <c r="AF28" s="55">
        <f>J380</f>
        <v>2.341751721709038E-3</v>
      </c>
      <c r="AH28">
        <v>369</v>
      </c>
      <c r="AI28">
        <v>380</v>
      </c>
    </row>
    <row r="29" spans="1:57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4.9847818896774032E-2</v>
      </c>
      <c r="E29" s="19">
        <f t="shared" si="2"/>
        <v>0.31902604093935383</v>
      </c>
      <c r="F29" s="34">
        <f t="shared" si="2"/>
        <v>24.834183374372824</v>
      </c>
      <c r="G29" s="20">
        <f t="shared" si="2"/>
        <v>0.74771728345161059</v>
      </c>
      <c r="H29" s="17">
        <f>SUM(C29:G29)</f>
        <v>25.950774517660562</v>
      </c>
      <c r="I29" s="17">
        <f>F29/H29*100</f>
        <v>95.69727237802536</v>
      </c>
      <c r="J29" s="17">
        <f>SQRT(I29*(100-I29)/(L29-1))</f>
        <v>0.39780300630458487</v>
      </c>
      <c r="K29" s="18">
        <f>100-I29</f>
        <v>4.3027276219746398</v>
      </c>
      <c r="L29" s="1">
        <f>H18</f>
        <v>2603</v>
      </c>
      <c r="M29">
        <v>3</v>
      </c>
      <c r="N29" s="1">
        <v>51414.03</v>
      </c>
      <c r="O29" s="17">
        <f>N29/N31*100</f>
        <v>25.950774517660562</v>
      </c>
      <c r="P29" s="52">
        <f>((O29*O29*(I29/100)*(K29/100))/(L29-1))</f>
        <v>1.0657044276175353E-2</v>
      </c>
      <c r="S29" s="66" t="s">
        <v>39</v>
      </c>
      <c r="T29" s="67">
        <f t="shared" si="3"/>
        <v>0</v>
      </c>
      <c r="U29" s="67">
        <f t="shared" si="3"/>
        <v>4.648653116494275</v>
      </c>
      <c r="V29" s="67">
        <f t="shared" si="3"/>
        <v>0.19424387634559004</v>
      </c>
      <c r="W29" s="67">
        <f t="shared" si="3"/>
        <v>0.60439193924878298</v>
      </c>
      <c r="X29" s="67">
        <f t="shared" si="3"/>
        <v>2.1992734404513379</v>
      </c>
      <c r="AC29" t="s">
        <v>106</v>
      </c>
      <c r="AD29" s="51">
        <f>I398</f>
        <v>0.94074394463667821</v>
      </c>
      <c r="AE29" s="55">
        <f>I409</f>
        <v>0.93551883053456031</v>
      </c>
      <c r="AF29" s="55">
        <f>J409</f>
        <v>2.3309751262237631E-3</v>
      </c>
      <c r="AH29">
        <v>398</v>
      </c>
      <c r="AI29">
        <v>409</v>
      </c>
    </row>
    <row r="30" spans="1:57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0.20188329927929194</v>
      </c>
      <c r="E30" s="21">
        <f t="shared" si="2"/>
        <v>0.33310744381083174</v>
      </c>
      <c r="F30" s="21">
        <f t="shared" si="2"/>
        <v>1.877514683297415</v>
      </c>
      <c r="G30" s="37">
        <f t="shared" si="2"/>
        <v>7.277892939018475</v>
      </c>
      <c r="H30" s="17">
        <f>SUM(C30:G30)</f>
        <v>9.6903983654060148</v>
      </c>
      <c r="I30" s="17">
        <f>G30/H30*100</f>
        <v>75.104166666666657</v>
      </c>
      <c r="J30" s="17">
        <f>SQRT(I30*(100-I30)/(L30-1))</f>
        <v>1.3963234967525007</v>
      </c>
      <c r="K30" s="18">
        <f>100-I30</f>
        <v>24.895833333333343</v>
      </c>
      <c r="L30" s="1">
        <f>H19</f>
        <v>960</v>
      </c>
      <c r="M30">
        <v>4</v>
      </c>
      <c r="N30" s="1">
        <v>19198.75</v>
      </c>
      <c r="O30" s="17">
        <f>N30/N31*100</f>
        <v>9.6903983654060131</v>
      </c>
      <c r="P30" s="52">
        <f>((O30*O30*(I30/100)*(K30/100))/(L30-1))</f>
        <v>1.8308609184619008E-2</v>
      </c>
      <c r="S30" t="s">
        <v>31</v>
      </c>
      <c r="T30" s="57">
        <f>I55</f>
        <v>100</v>
      </c>
      <c r="U30" s="57">
        <f>I56</f>
        <v>85.545722713864308</v>
      </c>
      <c r="V30" s="57">
        <f>I57</f>
        <v>96.215704824976342</v>
      </c>
      <c r="W30" s="57">
        <f>I58</f>
        <v>95.735689588935841</v>
      </c>
      <c r="X30" s="57">
        <f>I59</f>
        <v>76.666666666666671</v>
      </c>
      <c r="AC30" t="s">
        <v>107</v>
      </c>
      <c r="AD30" s="51">
        <f>I427</f>
        <v>0.94048442906574392</v>
      </c>
      <c r="AE30" s="55">
        <f>I438</f>
        <v>0.93532638972308479</v>
      </c>
      <c r="AF30" s="55">
        <f>J438</f>
        <v>2.3430337694347035E-3</v>
      </c>
      <c r="AH30">
        <v>427</v>
      </c>
      <c r="AI30">
        <v>438</v>
      </c>
    </row>
    <row r="31" spans="1:57" x14ac:dyDescent="0.3">
      <c r="B31" t="s">
        <v>28</v>
      </c>
      <c r="C31" s="17">
        <f>SUM(C26:C30)</f>
        <v>1.4744295378131091</v>
      </c>
      <c r="D31" s="17">
        <f>SUM(D26:D30)</f>
        <v>5.8494909283669463</v>
      </c>
      <c r="E31" s="17">
        <f>SUM(E26:E30)</f>
        <v>56.945649869655256</v>
      </c>
      <c r="F31" s="17">
        <f>SUM(F26:F30)</f>
        <v>27.417344157857912</v>
      </c>
      <c r="G31" s="17">
        <f>SUM(G26:G30)</f>
        <v>8.3130855063067859</v>
      </c>
      <c r="H31" s="1">
        <f>SUM(H25:H30)</f>
        <v>100</v>
      </c>
      <c r="I31" s="13" t="s">
        <v>24</v>
      </c>
      <c r="J31" s="12" t="s">
        <v>29</v>
      </c>
      <c r="N31" s="1">
        <f>SUM(N26:N30)</f>
        <v>198121.37</v>
      </c>
      <c r="O31" s="17">
        <f>SUM(O26:O30)</f>
        <v>100</v>
      </c>
      <c r="S31" s="66" t="s">
        <v>39</v>
      </c>
      <c r="T31" s="67">
        <f>J55</f>
        <v>0</v>
      </c>
      <c r="U31" s="67">
        <f>J56</f>
        <v>1.9126653517482657</v>
      </c>
      <c r="V31" s="67">
        <f>J57</f>
        <v>0.22184943210024982</v>
      </c>
      <c r="W31" s="67">
        <f>J58</f>
        <v>0.39610260096805844</v>
      </c>
      <c r="X31" s="67">
        <f>J59</f>
        <v>1.3657851290205536</v>
      </c>
      <c r="AC31" t="s">
        <v>108</v>
      </c>
      <c r="AD31" s="51">
        <f>I456</f>
        <v>0.94299307958477507</v>
      </c>
      <c r="AE31" s="55">
        <f>I467</f>
        <v>0.93798622985818925</v>
      </c>
      <c r="AF31" s="55">
        <f>J467</f>
        <v>2.3032366693478139E-3</v>
      </c>
      <c r="AH31">
        <v>456</v>
      </c>
      <c r="AI31">
        <v>467</v>
      </c>
    </row>
    <row r="32" spans="1:57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0</v>
      </c>
      <c r="D32" s="18">
        <f>SQRT(SUM((O26*O26*(D26/O26)*(1-D26/O26))/L26,(O27*O27*(D27/O27)*(1-D27/O27))/L27,(O28*O28*(D28/O28)*(1-D28/O28))/L28,(O29*O29*(D29/O29)*(1-D29/O29))/L29,(O30*O30*(D30/O30)*(1-D30/O30))/L30))</f>
        <v>0.15029561858546575</v>
      </c>
      <c r="E32" s="18">
        <f>SQRT(SUM((O26*O26*(E26/O26)*(1-E26/O26))/L26,(O27*O27*(E27/O27)*(1-E27/O27))/L27,(O28*O28*(E28/O28)*(1-E28/O28))/L28,(O29*O29*(E29/O29)*(1-E29/O29))/L29,(O30*O30*(E30/O30)*(1-E30/O30))/L30))</f>
        <v>0.17811779415284718</v>
      </c>
      <c r="F32" s="18">
        <f>SQRT(SUM((O26*O26*(F26/O26)*(1-F26/O26))/L26,(O27*O27*(F27/O27)*(1-F27/O27))/L27,(O28*O28*(F28/O28)*(1-F28/O28))/L28,(O29*O29*(F29/O29)*(1-F29/O29))/L29,(O30*O30*(F30/O30)*(1-F30/O30))/L30))</f>
        <v>0.17719560717960678</v>
      </c>
      <c r="G32" s="18">
        <f>SQRT(SUM((O26*O26*(G26/O26)*(1-G26/O26))/L26,(O27*O27*(G27/O27)*(1-G27/O27))/L27,(O28*O28*(G28/O28)*(1-G28/O28))/L28,(O29*O29*(G29/O29)*(1-G29/O29))/L29,(O30*O30*(G30/O30)*(1-G30/O30))/L30))</f>
        <v>0.16879346148722763</v>
      </c>
      <c r="H32" s="1"/>
      <c r="I32" s="14">
        <f>(C26+D27+E28+F29+G30)/H31</f>
        <v>0.93401407692481253</v>
      </c>
      <c r="J32" s="53">
        <f>SQRT(SUM(P26:P30))/100</f>
        <v>2.3564073566927301E-3</v>
      </c>
      <c r="M32" s="1"/>
      <c r="N32" s="9"/>
      <c r="S32" s="66" t="s">
        <v>56</v>
      </c>
      <c r="T32" s="67">
        <f>N44*100</f>
        <v>100</v>
      </c>
      <c r="U32" s="67">
        <f>N45*100</f>
        <v>71.078431372549034</v>
      </c>
      <c r="V32" s="67">
        <f>N46*100</f>
        <v>97.480487470902361</v>
      </c>
      <c r="W32" s="67">
        <f>N47*100</f>
        <v>92.79463787004282</v>
      </c>
      <c r="X32" s="67">
        <f>N48*100</f>
        <v>81.370923161967951</v>
      </c>
      <c r="AC32" t="s">
        <v>109</v>
      </c>
      <c r="AD32" s="51">
        <f>I485</f>
        <v>0.94325259515570936</v>
      </c>
      <c r="AE32" s="55">
        <f>I496</f>
        <v>0.93857457938782485</v>
      </c>
      <c r="AF32" s="55">
        <f>J496</f>
        <v>2.2656681121021212E-3</v>
      </c>
      <c r="AH32">
        <v>485</v>
      </c>
      <c r="AI32">
        <v>496</v>
      </c>
    </row>
    <row r="33" spans="1:35" x14ac:dyDescent="0.3">
      <c r="B33" s="1" t="s">
        <v>30</v>
      </c>
      <c r="C33" s="17">
        <f>C26/C31*100</f>
        <v>100</v>
      </c>
      <c r="D33" s="17">
        <f>D27/D31*100</f>
        <v>70.765551860174185</v>
      </c>
      <c r="E33" s="17">
        <f>E28/E31*100</f>
        <v>97.769500273057844</v>
      </c>
      <c r="F33" s="17">
        <f>F29/F31*100</f>
        <v>90.578369777129765</v>
      </c>
      <c r="G33" s="17">
        <f>G30/G31*100</f>
        <v>87.547432701095701</v>
      </c>
      <c r="H33" s="1"/>
      <c r="R33" s="16" t="s">
        <v>66</v>
      </c>
      <c r="S33" t="s">
        <v>9</v>
      </c>
      <c r="T33" s="30">
        <f>N55</f>
        <v>2912.25</v>
      </c>
      <c r="U33" s="30">
        <f>N56</f>
        <v>9432.86</v>
      </c>
      <c r="V33" s="30">
        <f>N57</f>
        <v>114386.44</v>
      </c>
      <c r="W33" s="30">
        <f>N58</f>
        <v>51490.11</v>
      </c>
      <c r="X33" s="30">
        <f>N59</f>
        <v>19899.71</v>
      </c>
      <c r="Z33" t="s">
        <v>36</v>
      </c>
      <c r="AA33" s="1">
        <f>N60</f>
        <v>198121.37</v>
      </c>
      <c r="AC33" t="s">
        <v>110</v>
      </c>
      <c r="AD33" s="51">
        <f>I514</f>
        <v>0.94195501730103803</v>
      </c>
      <c r="AE33" s="55">
        <f>I525</f>
        <v>0.93663978568829431</v>
      </c>
      <c r="AF33" s="55">
        <f>J525</f>
        <v>2.3244556940631989E-3</v>
      </c>
      <c r="AH33">
        <v>514</v>
      </c>
      <c r="AI33">
        <v>525</v>
      </c>
    </row>
    <row r="34" spans="1:35" ht="15.6" x14ac:dyDescent="0.35">
      <c r="B34" s="16" t="s">
        <v>39</v>
      </c>
      <c r="C34" s="18">
        <f>SQRT((C37+C38)/(C31*C31))</f>
        <v>0</v>
      </c>
      <c r="D34" s="18">
        <f>SQRT((D37+D38)/(D31*D31))</f>
        <v>4.9416187092164225</v>
      </c>
      <c r="E34" s="18">
        <f>SQRT((E37+E38)/(E31*E31))</f>
        <v>0.21088673919893555</v>
      </c>
      <c r="F34" s="18">
        <f>SQRT((F37+F38)/(F31*F31))</f>
        <v>0.59367465725795732</v>
      </c>
      <c r="G34" s="18">
        <f>SQRT((G37+G38)/(G31*G31))</f>
        <v>2.2892092097818875</v>
      </c>
      <c r="H34" s="1"/>
      <c r="R34" s="16" t="s">
        <v>323</v>
      </c>
      <c r="S34" t="s">
        <v>68</v>
      </c>
      <c r="T34" s="57">
        <f>$AA33*T26/100</f>
        <v>2912.25</v>
      </c>
      <c r="U34" s="57">
        <f>$AA33*U26/100</f>
        <v>11074.400848914382</v>
      </c>
      <c r="V34" s="57">
        <f>$AA33*V26/100</f>
        <v>112151.48614858827</v>
      </c>
      <c r="W34" s="57">
        <f>$AA33*W26/100</f>
        <v>54551.893443920118</v>
      </c>
      <c r="X34" s="57">
        <f>$AA33*X26/100</f>
        <v>17431.339558577238</v>
      </c>
      <c r="Z34" t="s">
        <v>36</v>
      </c>
      <c r="AA34" s="25">
        <f>SUM(T34:X34)</f>
        <v>198121.37</v>
      </c>
      <c r="AB34" s="25"/>
      <c r="AC34" t="s">
        <v>111</v>
      </c>
      <c r="AD34" s="51">
        <f>I543</f>
        <v>0.94230103806228371</v>
      </c>
      <c r="AE34" s="55">
        <f>I554</f>
        <v>0.93734446606448429</v>
      </c>
      <c r="AF34" s="55">
        <f>J554</f>
        <v>2.3027716916930465E-3</v>
      </c>
      <c r="AH34">
        <v>543</v>
      </c>
      <c r="AI34">
        <v>554</v>
      </c>
    </row>
    <row r="35" spans="1:35" x14ac:dyDescent="0.3">
      <c r="B35" s="1" t="s">
        <v>37</v>
      </c>
      <c r="C35" s="18">
        <f>100-C33</f>
        <v>0</v>
      </c>
      <c r="D35" s="18">
        <f>100-D33</f>
        <v>29.234448139825815</v>
      </c>
      <c r="E35" s="18">
        <f>100-E33</f>
        <v>2.2304997269421563</v>
      </c>
      <c r="F35" s="18">
        <f>100-F33</f>
        <v>9.4216302228702347</v>
      </c>
      <c r="G35" s="18">
        <f>100-G33</f>
        <v>12.452567298904299</v>
      </c>
      <c r="R35" s="66"/>
      <c r="S35" s="66" t="s">
        <v>67</v>
      </c>
      <c r="T35" s="67">
        <f>$AA33*T27/100</f>
        <v>0</v>
      </c>
      <c r="U35" s="67">
        <f>$AA33*U27/100</f>
        <v>283.2096650227129</v>
      </c>
      <c r="V35" s="67">
        <f>$AA33*V27/100</f>
        <v>333.52989239197467</v>
      </c>
      <c r="W35" s="67">
        <f>$AA33*W27/100</f>
        <v>356.82566346925961</v>
      </c>
      <c r="X35" s="67">
        <f>$AA33*X27/100</f>
        <v>339.85674155281777</v>
      </c>
      <c r="AA35" s="1"/>
      <c r="AB35" s="25"/>
      <c r="AC35" s="58" t="s">
        <v>112</v>
      </c>
      <c r="AD35" s="120">
        <f>I572</f>
        <v>0.94221453287197232</v>
      </c>
      <c r="AE35" s="121">
        <f>I583</f>
        <v>0.93691979200893716</v>
      </c>
      <c r="AF35" s="121">
        <f>J583</f>
        <v>2.3238121596861894E-3</v>
      </c>
      <c r="AH35">
        <v>572</v>
      </c>
      <c r="AI35">
        <v>583</v>
      </c>
    </row>
    <row r="36" spans="1:35" ht="15.6" x14ac:dyDescent="0.35">
      <c r="B36" s="1" t="s">
        <v>25</v>
      </c>
      <c r="C36" s="1">
        <f>C20</f>
        <v>259</v>
      </c>
      <c r="D36" s="1">
        <f>D20</f>
        <v>499</v>
      </c>
      <c r="E36" s="1">
        <f>E20</f>
        <v>7209</v>
      </c>
      <c r="F36" s="1">
        <f>F20</f>
        <v>2767</v>
      </c>
      <c r="G36" s="1">
        <f>G20</f>
        <v>826</v>
      </c>
      <c r="R36" t="s">
        <v>72</v>
      </c>
      <c r="S36" t="s">
        <v>28</v>
      </c>
      <c r="T36" s="57">
        <f t="shared" ref="T36:X39" si="4">C89</f>
        <v>1.4716131567035478</v>
      </c>
      <c r="U36" s="57">
        <f t="shared" si="4"/>
        <v>5.9315145371591562</v>
      </c>
      <c r="V36" s="57">
        <f t="shared" si="4"/>
        <v>56.62833346704528</v>
      </c>
      <c r="W36" s="57">
        <f t="shared" si="4"/>
        <v>27.413253399630335</v>
      </c>
      <c r="X36" s="57">
        <f t="shared" si="4"/>
        <v>8.5552854394616809</v>
      </c>
      <c r="Y36" s="13"/>
      <c r="Z36" s="74"/>
      <c r="AA36" s="12"/>
      <c r="AC36" t="s">
        <v>113</v>
      </c>
      <c r="AD36" s="51"/>
      <c r="AE36" s="51"/>
      <c r="AH36">
        <v>601</v>
      </c>
      <c r="AI36">
        <v>612</v>
      </c>
    </row>
    <row r="37" spans="1:3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767.2391003311742</v>
      </c>
      <c r="E37" s="18">
        <f>(O28*O28*(100-E33)*(100-E33)*(I28)*(100-I28))/((L28-1)*100)</f>
        <v>8.74811877904291</v>
      </c>
      <c r="F37" s="18">
        <f>(O29*O29*(100-F33)*(100-F33)*(I29)*(100-I29))/((L29-1)*100)</f>
        <v>94.599508608253615</v>
      </c>
      <c r="G37" s="18">
        <f>(O30*O30*(100-G33)*(100-G33)*(I30)*(100-I30))/((L30-1)*100)</f>
        <v>283.90507072516266</v>
      </c>
      <c r="S37" s="66" t="s">
        <v>39</v>
      </c>
      <c r="T37" s="67">
        <f t="shared" si="4"/>
        <v>0</v>
      </c>
      <c r="U37" s="67">
        <f t="shared" si="4"/>
        <v>0.14888710567933047</v>
      </c>
      <c r="V37" s="67">
        <f t="shared" si="4"/>
        <v>0.17376412359158164</v>
      </c>
      <c r="W37" s="67">
        <f t="shared" si="4"/>
        <v>0.17473998998659743</v>
      </c>
      <c r="X37" s="67">
        <f t="shared" si="4"/>
        <v>0.16614363151230466</v>
      </c>
      <c r="AC37" t="s">
        <v>114</v>
      </c>
      <c r="AD37" s="51"/>
      <c r="AE37" s="51"/>
      <c r="AH37">
        <v>630</v>
      </c>
      <c r="AI37">
        <v>641</v>
      </c>
    </row>
    <row r="38" spans="1:35" x14ac:dyDescent="0.3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68.315065393060237</v>
      </c>
      <c r="E38" s="18">
        <f>E33*E33*(SUM((H26*E26*(1-E15/H15))/(H15-1),(H27*E27*(1-E16/H16))/(H16-1), (H29*E29*(1-E18/H18))/(H18-1),(H30*E30*(1-E19/H19))/(H19-1)))</f>
        <v>135.46994161299659</v>
      </c>
      <c r="F38" s="18">
        <f>F33*F33*(SUM((H26*F26*(1-F15/H15))/(H15-1),(H27*F27*(1-F16/H16))/(H16-1), (H28*F28*(1-F17/H17))/(H17-1),(H30*F30*(1-F19/H19))/(H19-1)))</f>
        <v>170.34064730622364</v>
      </c>
      <c r="G38" s="18">
        <f>G33*G33*(SUM((H26*G26*(1-G15/H15))/(H15-1),(H27*G27*(1-G16/H16))/(H16-1), (H28*G28*(1-G17/H17))/(H17-1),(H29*G29*(1-G18/H18))/(H18-1)))</f>
        <v>78.250745246778735</v>
      </c>
      <c r="S38" t="s">
        <v>30</v>
      </c>
      <c r="T38" s="57">
        <f t="shared" si="4"/>
        <v>100</v>
      </c>
      <c r="U38" s="57">
        <f t="shared" si="4"/>
        <v>70.393934472239124</v>
      </c>
      <c r="V38" s="57">
        <f t="shared" si="4"/>
        <v>98.178448275989325</v>
      </c>
      <c r="W38" s="57">
        <f t="shared" si="4"/>
        <v>90.603113005799997</v>
      </c>
      <c r="X38" s="57">
        <f t="shared" si="4"/>
        <v>88.193584112360867</v>
      </c>
      <c r="Z38" s="50"/>
      <c r="AA38" s="54"/>
      <c r="AC38" t="s">
        <v>115</v>
      </c>
      <c r="AD38" s="51"/>
      <c r="AE38" s="51"/>
      <c r="AH38">
        <v>659</v>
      </c>
      <c r="AI38">
        <v>670</v>
      </c>
    </row>
    <row r="39" spans="1:35" x14ac:dyDescent="0.3">
      <c r="S39" s="66" t="s">
        <v>39</v>
      </c>
      <c r="T39" s="67">
        <f t="shared" si="4"/>
        <v>0</v>
      </c>
      <c r="U39" s="67">
        <f t="shared" si="4"/>
        <v>4.7582068006929239</v>
      </c>
      <c r="V39" s="67">
        <f t="shared" si="4"/>
        <v>0.19306520742122857</v>
      </c>
      <c r="W39" s="67">
        <f t="shared" si="4"/>
        <v>0.58452842110293435</v>
      </c>
      <c r="X39" s="67">
        <f t="shared" si="4"/>
        <v>2.102800544320889</v>
      </c>
      <c r="AC39" t="s">
        <v>116</v>
      </c>
      <c r="AD39" s="51"/>
      <c r="AE39" s="51"/>
      <c r="AH39">
        <v>688</v>
      </c>
      <c r="AI39">
        <v>699</v>
      </c>
    </row>
    <row r="40" spans="1:35" x14ac:dyDescent="0.3">
      <c r="S40" t="s">
        <v>31</v>
      </c>
      <c r="T40" s="57">
        <f>I84</f>
        <v>100</v>
      </c>
      <c r="U40" s="57">
        <f>I85</f>
        <v>86.135693215339231</v>
      </c>
      <c r="V40" s="57">
        <f>I86</f>
        <v>95.769698607919992</v>
      </c>
      <c r="W40" s="57">
        <f>I87</f>
        <v>96.119861698040722</v>
      </c>
      <c r="X40" s="57">
        <f>I88</f>
        <v>77.083333333333343</v>
      </c>
      <c r="AC40" t="s">
        <v>117</v>
      </c>
      <c r="AD40" s="51"/>
      <c r="AE40" s="51"/>
      <c r="AH40">
        <v>717</v>
      </c>
      <c r="AI40">
        <v>728</v>
      </c>
    </row>
    <row r="41" spans="1:35" x14ac:dyDescent="0.3">
      <c r="A41" s="361" t="s">
        <v>441</v>
      </c>
      <c r="B41" s="361"/>
      <c r="C41" s="361"/>
      <c r="D41" s="361"/>
      <c r="E41" s="361"/>
      <c r="F41" s="361"/>
      <c r="G41" s="361"/>
      <c r="H41" s="361"/>
      <c r="I41" s="361"/>
      <c r="J41" s="361"/>
      <c r="K41" s="361"/>
      <c r="L41" s="361" t="s">
        <v>53</v>
      </c>
      <c r="M41" s="361"/>
      <c r="N41" s="361"/>
      <c r="O41" s="361"/>
      <c r="P41" s="361"/>
      <c r="S41" s="66" t="s">
        <v>39</v>
      </c>
      <c r="T41" s="67">
        <f>J84</f>
        <v>0</v>
      </c>
      <c r="U41" s="67">
        <f>J85</f>
        <v>1.8796730137447457</v>
      </c>
      <c r="V41" s="67">
        <f>J86</f>
        <v>0.23401438359686333</v>
      </c>
      <c r="W41" s="67">
        <f>J87</f>
        <v>0.37859643951024841</v>
      </c>
      <c r="X41" s="67">
        <f>J88</f>
        <v>1.3572087898417575</v>
      </c>
      <c r="AC41" t="s">
        <v>118</v>
      </c>
      <c r="AD41" s="51"/>
      <c r="AE41" s="51"/>
      <c r="AH41">
        <v>746</v>
      </c>
      <c r="AI41">
        <v>757</v>
      </c>
    </row>
    <row r="42" spans="1:35" x14ac:dyDescent="0.3">
      <c r="A42" t="s">
        <v>320</v>
      </c>
      <c r="B42" t="s">
        <v>21</v>
      </c>
      <c r="I42" s="1" t="s">
        <v>58</v>
      </c>
      <c r="S42" s="66" t="s">
        <v>56</v>
      </c>
      <c r="T42" s="67">
        <f>N73*100</f>
        <v>100</v>
      </c>
      <c r="U42" s="67">
        <f>N74*100</f>
        <v>68.786808009422856</v>
      </c>
      <c r="V42" s="67">
        <f>N75*100</f>
        <v>97.261684167181386</v>
      </c>
      <c r="W42" s="67">
        <f>N76*100</f>
        <v>93.011152416356865</v>
      </c>
      <c r="X42" s="67">
        <f>N77*100</f>
        <v>82.130965593784694</v>
      </c>
      <c r="AC42" t="s">
        <v>119</v>
      </c>
      <c r="AD42" s="51"/>
      <c r="AE42" s="51"/>
      <c r="AH42">
        <v>775</v>
      </c>
      <c r="AI42">
        <v>786</v>
      </c>
    </row>
    <row r="43" spans="1:3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56</v>
      </c>
      <c r="R43" s="16" t="s">
        <v>66</v>
      </c>
      <c r="S43" t="s">
        <v>9</v>
      </c>
      <c r="T43" s="30">
        <f>N84</f>
        <v>2915.58</v>
      </c>
      <c r="U43" s="30">
        <f>N85</f>
        <v>9603.93</v>
      </c>
      <c r="V43" s="30">
        <f>N86</f>
        <v>115014.64</v>
      </c>
      <c r="W43" s="30">
        <f>N87</f>
        <v>51194.33</v>
      </c>
      <c r="X43" s="30">
        <f>N88</f>
        <v>19392.88</v>
      </c>
      <c r="Z43" t="s">
        <v>36</v>
      </c>
      <c r="AA43" s="1">
        <f>N89</f>
        <v>198121.36</v>
      </c>
      <c r="AC43" t="s">
        <v>120</v>
      </c>
      <c r="AD43" s="51"/>
      <c r="AE43" s="51"/>
      <c r="AH43">
        <v>804</v>
      </c>
      <c r="AI43">
        <v>815</v>
      </c>
    </row>
    <row r="44" spans="1:35" ht="15.6" x14ac:dyDescent="0.35">
      <c r="A44" t="s">
        <v>3</v>
      </c>
      <c r="B44" s="13">
        <v>0</v>
      </c>
      <c r="C44" s="26">
        <v>259</v>
      </c>
      <c r="D44" s="3">
        <v>0</v>
      </c>
      <c r="E44" s="3">
        <v>0</v>
      </c>
      <c r="F44" s="3">
        <v>0</v>
      </c>
      <c r="G44" s="4">
        <v>0</v>
      </c>
      <c r="H44" s="1">
        <f>SUM(C44:G44)</f>
        <v>259</v>
      </c>
      <c r="I44" s="10">
        <f>C44/H44</f>
        <v>1</v>
      </c>
      <c r="J44" s="11">
        <f>1-I44</f>
        <v>0</v>
      </c>
      <c r="K44">
        <f>H44-C49</f>
        <v>0</v>
      </c>
      <c r="N44" s="10">
        <f>2*(C50*I44)/(C50+I44)</f>
        <v>1</v>
      </c>
      <c r="R44" s="16" t="s">
        <v>323</v>
      </c>
      <c r="S44" t="s">
        <v>68</v>
      </c>
      <c r="T44" s="57">
        <f>$AA43*T36/100</f>
        <v>2915.58</v>
      </c>
      <c r="U44" s="57">
        <f>$AA43*U36/100</f>
        <v>11751.597269617423</v>
      </c>
      <c r="V44" s="57">
        <f>$AA43*V36/100</f>
        <v>112192.82441024524</v>
      </c>
      <c r="W44" s="57">
        <f>$AA43*W36/100</f>
        <v>54311.510455593845</v>
      </c>
      <c r="X44" s="57">
        <f>$AA43*X36/100</f>
        <v>16949.847864543459</v>
      </c>
      <c r="Z44" t="s">
        <v>36</v>
      </c>
      <c r="AA44" s="25">
        <f>SUM(T44:X44)</f>
        <v>198121.36</v>
      </c>
      <c r="AC44" t="s">
        <v>121</v>
      </c>
      <c r="AD44" s="51"/>
      <c r="AE44" s="51"/>
      <c r="AH44">
        <v>833</v>
      </c>
      <c r="AI44">
        <v>844</v>
      </c>
    </row>
    <row r="45" spans="1:35" x14ac:dyDescent="0.3">
      <c r="A45" t="s">
        <v>4</v>
      </c>
      <c r="B45" s="13">
        <v>1</v>
      </c>
      <c r="C45" s="5">
        <v>0</v>
      </c>
      <c r="D45" s="27">
        <v>290</v>
      </c>
      <c r="E45" s="1">
        <v>42</v>
      </c>
      <c r="F45" s="1">
        <v>0</v>
      </c>
      <c r="G45" s="6">
        <v>7</v>
      </c>
      <c r="H45" s="1">
        <f>SUM(C45:G45)</f>
        <v>339</v>
      </c>
      <c r="I45" s="10">
        <f>D45/H45</f>
        <v>0.85545722713864303</v>
      </c>
      <c r="J45" s="11">
        <f>1-I45</f>
        <v>0.14454277286135697</v>
      </c>
      <c r="K45">
        <f>H45-D49</f>
        <v>-138</v>
      </c>
      <c r="N45" s="10">
        <f>2*(D50*I45)/(D50+I45)</f>
        <v>0.71078431372549034</v>
      </c>
      <c r="R45" s="66"/>
      <c r="S45" s="66" t="s">
        <v>67</v>
      </c>
      <c r="T45" s="67">
        <f>$AA43*T37/100</f>
        <v>0</v>
      </c>
      <c r="U45" s="67">
        <f>$AA43*U37/100</f>
        <v>294.97715863652678</v>
      </c>
      <c r="V45" s="67">
        <f>$AA43*V37/100</f>
        <v>344.26384485172241</v>
      </c>
      <c r="W45" s="67">
        <f>$AA43*W37/100</f>
        <v>346.19724462531065</v>
      </c>
      <c r="X45" s="67">
        <f>$AA43*X37/100</f>
        <v>329.16602230556651</v>
      </c>
      <c r="AA45" s="1"/>
      <c r="AC45" t="s">
        <v>122</v>
      </c>
      <c r="AD45" s="51"/>
      <c r="AE45" s="51"/>
      <c r="AH45">
        <v>862</v>
      </c>
      <c r="AI45">
        <v>873</v>
      </c>
    </row>
    <row r="46" spans="1:35" x14ac:dyDescent="0.3">
      <c r="A46" t="s">
        <v>5</v>
      </c>
      <c r="B46" s="13">
        <v>2</v>
      </c>
      <c r="C46" s="5">
        <v>0</v>
      </c>
      <c r="D46" s="1">
        <v>165</v>
      </c>
      <c r="E46" s="27">
        <v>7119</v>
      </c>
      <c r="F46" s="1">
        <v>88</v>
      </c>
      <c r="G46" s="6">
        <v>27</v>
      </c>
      <c r="H46" s="1">
        <f>SUM(C46:G46)</f>
        <v>7399</v>
      </c>
      <c r="I46" s="10">
        <f>E46/H46</f>
        <v>0.96215704824976345</v>
      </c>
      <c r="J46" s="11">
        <f>1-I46</f>
        <v>3.7842951750236553E-2</v>
      </c>
      <c r="K46">
        <f>H46-E49</f>
        <v>192</v>
      </c>
      <c r="N46" s="10">
        <f>2*(E50*I46)/(E50+I46)</f>
        <v>0.97480487470902366</v>
      </c>
      <c r="R46" t="s">
        <v>73</v>
      </c>
      <c r="S46" t="s">
        <v>28</v>
      </c>
      <c r="T46" s="57">
        <f t="shared" ref="T46:X49" si="5">C118</f>
        <v>1.474066198616848</v>
      </c>
      <c r="U46" s="57">
        <f t="shared" si="5"/>
        <v>6.0207713968749568</v>
      </c>
      <c r="V46" s="57">
        <f t="shared" si="5"/>
        <v>56.477205220134927</v>
      </c>
      <c r="W46" s="57">
        <f t="shared" si="5"/>
        <v>27.545753310071042</v>
      </c>
      <c r="X46" s="57">
        <f t="shared" si="5"/>
        <v>8.4822038743022361</v>
      </c>
      <c r="Y46" s="60"/>
      <c r="Z46" s="74"/>
      <c r="AA46" s="12"/>
      <c r="AC46" t="s">
        <v>135</v>
      </c>
      <c r="AD46" s="51"/>
      <c r="AE46" s="51"/>
      <c r="AH46">
        <v>891</v>
      </c>
      <c r="AI46">
        <v>902</v>
      </c>
    </row>
    <row r="47" spans="1:35" x14ac:dyDescent="0.3">
      <c r="A47" t="s">
        <v>6</v>
      </c>
      <c r="B47" s="13">
        <v>3</v>
      </c>
      <c r="C47" s="5">
        <v>0</v>
      </c>
      <c r="D47" s="1">
        <v>2</v>
      </c>
      <c r="E47" s="1">
        <v>30</v>
      </c>
      <c r="F47" s="27">
        <v>2492</v>
      </c>
      <c r="G47" s="6">
        <v>79</v>
      </c>
      <c r="H47" s="1">
        <f>SUM(C47:G47)</f>
        <v>2603</v>
      </c>
      <c r="I47" s="10">
        <f>F47/H47</f>
        <v>0.95735689588935846</v>
      </c>
      <c r="J47" s="11">
        <f>1-I47</f>
        <v>4.2643104110641539E-2</v>
      </c>
      <c r="K47">
        <f>H47-F49</f>
        <v>-165</v>
      </c>
      <c r="N47" s="10">
        <f>2*(F50*I47)/(F50+I47)</f>
        <v>0.92794637870042818</v>
      </c>
      <c r="S47" s="66" t="s">
        <v>39</v>
      </c>
      <c r="T47" s="67">
        <f t="shared" si="5"/>
        <v>0</v>
      </c>
      <c r="U47" s="67">
        <f t="shared" si="5"/>
        <v>0.15033184265368496</v>
      </c>
      <c r="V47" s="67">
        <f t="shared" si="5"/>
        <v>0.17495565875760541</v>
      </c>
      <c r="W47" s="67">
        <f t="shared" si="5"/>
        <v>0.17674302861819402</v>
      </c>
      <c r="X47" s="67">
        <f t="shared" si="5"/>
        <v>0.16827010754557267</v>
      </c>
      <c r="AC47" t="s">
        <v>136</v>
      </c>
      <c r="AD47" s="51"/>
      <c r="AE47" s="51"/>
      <c r="AH47">
        <v>920</v>
      </c>
      <c r="AI47">
        <v>931</v>
      </c>
    </row>
    <row r="48" spans="1:35" x14ac:dyDescent="0.3">
      <c r="A48" t="s">
        <v>7</v>
      </c>
      <c r="B48" s="13">
        <v>4</v>
      </c>
      <c r="C48" s="7">
        <v>0</v>
      </c>
      <c r="D48" s="8">
        <v>20</v>
      </c>
      <c r="E48" s="8">
        <v>16</v>
      </c>
      <c r="F48" s="8">
        <v>188</v>
      </c>
      <c r="G48" s="28">
        <v>736</v>
      </c>
      <c r="H48" s="1">
        <f>SUM(C48:G48)</f>
        <v>960</v>
      </c>
      <c r="I48" s="10">
        <f>G48/H48</f>
        <v>0.76666666666666672</v>
      </c>
      <c r="J48" s="11">
        <f>1-I48</f>
        <v>0.23333333333333328</v>
      </c>
      <c r="K48">
        <f>H48-G49</f>
        <v>111</v>
      </c>
      <c r="N48" s="10">
        <f>2*(G50*I48)/(G50+I48)</f>
        <v>0.81370923161967945</v>
      </c>
      <c r="S48" t="s">
        <v>30</v>
      </c>
      <c r="T48" s="57">
        <f t="shared" si="5"/>
        <v>100</v>
      </c>
      <c r="U48" s="57">
        <f t="shared" si="5"/>
        <v>70.802611371059371</v>
      </c>
      <c r="V48" s="57">
        <f t="shared" si="5"/>
        <v>98.024184032686406</v>
      </c>
      <c r="W48" s="57">
        <f t="shared" si="5"/>
        <v>90.843582596621005</v>
      </c>
      <c r="X48" s="57">
        <f t="shared" si="5"/>
        <v>87.156740454911471</v>
      </c>
      <c r="AC48" t="s">
        <v>137</v>
      </c>
      <c r="AD48" s="51"/>
      <c r="AE48" s="51"/>
      <c r="AH48">
        <v>949</v>
      </c>
      <c r="AI48">
        <v>960</v>
      </c>
    </row>
    <row r="49" spans="1:35" ht="15.6" x14ac:dyDescent="0.35">
      <c r="B49" s="1" t="s">
        <v>19</v>
      </c>
      <c r="C49" s="1">
        <f>SUM(C44:C48)</f>
        <v>259</v>
      </c>
      <c r="D49" s="1">
        <f>SUM(D44:D48)</f>
        <v>477</v>
      </c>
      <c r="E49" s="1">
        <f>SUM(E44:E48)</f>
        <v>7207</v>
      </c>
      <c r="F49" s="1">
        <f>SUM(F44:F48)</f>
        <v>2768</v>
      </c>
      <c r="G49" s="1">
        <f>SUM(G44:G48)</f>
        <v>849</v>
      </c>
      <c r="H49" s="1">
        <f>SUM(H43:H48)</f>
        <v>11560</v>
      </c>
      <c r="I49" s="13" t="s">
        <v>12</v>
      </c>
      <c r="S49" s="66" t="s">
        <v>39</v>
      </c>
      <c r="T49" s="67">
        <f t="shared" si="5"/>
        <v>0</v>
      </c>
      <c r="U49" s="67">
        <f t="shared" si="5"/>
        <v>4.6703434961823138</v>
      </c>
      <c r="V49" s="67">
        <f t="shared" si="5"/>
        <v>0.2015982150001098</v>
      </c>
      <c r="W49" s="67">
        <f t="shared" si="5"/>
        <v>0.58467634754154207</v>
      </c>
      <c r="X49" s="67">
        <f t="shared" si="5"/>
        <v>2.2776436413203567</v>
      </c>
      <c r="AC49" t="s">
        <v>138</v>
      </c>
      <c r="AD49" s="51"/>
      <c r="AE49" s="51"/>
      <c r="AH49">
        <v>978</v>
      </c>
      <c r="AI49">
        <v>989</v>
      </c>
    </row>
    <row r="50" spans="1:35" x14ac:dyDescent="0.3">
      <c r="A50" s="1" t="s">
        <v>321</v>
      </c>
      <c r="B50" s="1" t="s">
        <v>2</v>
      </c>
      <c r="C50" s="10">
        <f>C44/C49</f>
        <v>1</v>
      </c>
      <c r="D50" s="10">
        <f>D45/D49</f>
        <v>0.60796645702306085</v>
      </c>
      <c r="E50" s="10">
        <f>E46/E49</f>
        <v>0.9877896489524074</v>
      </c>
      <c r="F50" s="10">
        <f>F47/F49</f>
        <v>0.9002890173410405</v>
      </c>
      <c r="G50" s="10">
        <f>G48/G49</f>
        <v>0.86690223792697296</v>
      </c>
      <c r="H50" s="10"/>
      <c r="I50" s="14">
        <f>(C44+D45+E46+F47+G48)/H49</f>
        <v>0.942560553633218</v>
      </c>
      <c r="S50" s="15" t="s">
        <v>31</v>
      </c>
      <c r="T50" s="71">
        <f>I113</f>
        <v>100</v>
      </c>
      <c r="U50" s="71">
        <f>I114</f>
        <v>86.430678466076685</v>
      </c>
      <c r="V50" s="71">
        <f>I115</f>
        <v>95.864305987295566</v>
      </c>
      <c r="W50" s="71">
        <f>I116</f>
        <v>95.69727237802536</v>
      </c>
      <c r="X50" s="71">
        <f>I117</f>
        <v>76.25</v>
      </c>
      <c r="AC50" t="s">
        <v>139</v>
      </c>
      <c r="AD50" s="51"/>
      <c r="AE50" s="51"/>
      <c r="AH50">
        <v>1007</v>
      </c>
      <c r="AI50">
        <v>1018</v>
      </c>
    </row>
    <row r="51" spans="1:35" x14ac:dyDescent="0.3">
      <c r="B51" s="1" t="s">
        <v>14</v>
      </c>
      <c r="C51" s="11">
        <f>1-C50</f>
        <v>0</v>
      </c>
      <c r="D51" s="11">
        <f>1-D50</f>
        <v>0.39203354297693915</v>
      </c>
      <c r="E51" s="11">
        <f>1-E50</f>
        <v>1.2210351047592605E-2</v>
      </c>
      <c r="F51" s="11">
        <f>1-F50</f>
        <v>9.9710982658959502E-2</v>
      </c>
      <c r="G51" s="11">
        <f>1-G50</f>
        <v>0.13309776207302704</v>
      </c>
      <c r="S51" s="75" t="s">
        <v>39</v>
      </c>
      <c r="T51" s="76">
        <f>J113</f>
        <v>0</v>
      </c>
      <c r="U51" s="76">
        <f>J114</f>
        <v>1.8627504529603405</v>
      </c>
      <c r="V51" s="76">
        <f>J115</f>
        <v>0.23149707198323374</v>
      </c>
      <c r="W51" s="76">
        <f>J116</f>
        <v>0.39780300630458487</v>
      </c>
      <c r="X51" s="76">
        <f>J117</f>
        <v>1.3741762154526418</v>
      </c>
      <c r="AC51" t="s">
        <v>140</v>
      </c>
      <c r="AD51" s="51"/>
      <c r="AE51" s="51"/>
      <c r="AH51">
        <v>1036</v>
      </c>
      <c r="AI51">
        <v>1047</v>
      </c>
    </row>
    <row r="52" spans="1:35" x14ac:dyDescent="0.3">
      <c r="C52" s="2"/>
      <c r="S52" s="66" t="s">
        <v>56</v>
      </c>
      <c r="T52" s="67">
        <f>N102*100</f>
        <v>100</v>
      </c>
      <c r="U52" s="67">
        <f>N103*100</f>
        <v>69.185360094450999</v>
      </c>
      <c r="V52" s="67">
        <f>N104*100</f>
        <v>97.26431264998287</v>
      </c>
      <c r="W52" s="67">
        <f>N105*100</f>
        <v>92.843831531867309</v>
      </c>
      <c r="X52" s="67">
        <f>N106*100</f>
        <v>81.152993348115302</v>
      </c>
      <c r="AC52" t="s">
        <v>141</v>
      </c>
      <c r="AD52" s="51"/>
      <c r="AE52" s="51"/>
      <c r="AH52">
        <v>1065</v>
      </c>
      <c r="AI52">
        <v>1076</v>
      </c>
    </row>
    <row r="53" spans="1:35" ht="15.6" x14ac:dyDescent="0.35">
      <c r="A53" t="s">
        <v>322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66</v>
      </c>
      <c r="S53" t="s">
        <v>9</v>
      </c>
      <c r="T53" s="30">
        <f>N113</f>
        <v>2920.44</v>
      </c>
      <c r="U53" s="30">
        <f>N114</f>
        <v>9771.58</v>
      </c>
      <c r="V53" s="30">
        <f>N115</f>
        <v>114414.43</v>
      </c>
      <c r="W53" s="30">
        <f>N116</f>
        <v>51806.07</v>
      </c>
      <c r="X53" s="30">
        <f>N117</f>
        <v>19208.84</v>
      </c>
      <c r="Z53" t="s">
        <v>36</v>
      </c>
      <c r="AA53" s="1">
        <f>N118</f>
        <v>198121.36</v>
      </c>
      <c r="AC53" t="s">
        <v>142</v>
      </c>
      <c r="AD53" s="51"/>
      <c r="AE53" s="51"/>
      <c r="AH53">
        <v>1094</v>
      </c>
      <c r="AI53">
        <v>1105</v>
      </c>
    </row>
    <row r="54" spans="1:35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323</v>
      </c>
      <c r="S54" t="s">
        <v>68</v>
      </c>
      <c r="T54" s="57">
        <f>$AA53*T46/100</f>
        <v>2920.44</v>
      </c>
      <c r="U54" s="57">
        <f>$AA53*U46/100</f>
        <v>11928.434173979662</v>
      </c>
      <c r="V54" s="57">
        <f>$AA53*V46/100</f>
        <v>111893.4070721223</v>
      </c>
      <c r="W54" s="57">
        <f>$AA53*W46/100</f>
        <v>54574.021080157763</v>
      </c>
      <c r="X54" s="57">
        <f>$AA53*X46/100</f>
        <v>16805.057673740281</v>
      </c>
      <c r="Z54" t="s">
        <v>36</v>
      </c>
      <c r="AA54" s="25">
        <f>SUM(T54:X54)</f>
        <v>198121.36000000002</v>
      </c>
      <c r="AC54" t="s">
        <v>143</v>
      </c>
      <c r="AD54" s="51"/>
      <c r="AE54" s="51"/>
      <c r="AH54">
        <v>1123</v>
      </c>
      <c r="AI54">
        <v>1134</v>
      </c>
    </row>
    <row r="55" spans="1:35" x14ac:dyDescent="0.3">
      <c r="A55" t="s">
        <v>3</v>
      </c>
      <c r="B55" s="13">
        <v>0</v>
      </c>
      <c r="C55" s="29">
        <f>(C44/$L55)*$O55</f>
        <v>1.4699322945323869</v>
      </c>
      <c r="D55" s="31">
        <f>(D44/$L55)*$O55</f>
        <v>0</v>
      </c>
      <c r="E55" s="31">
        <f>(E44/$L55)*$O55</f>
        <v>0</v>
      </c>
      <c r="F55" s="31">
        <f>(F44/$L55)*$O55</f>
        <v>0</v>
      </c>
      <c r="G55" s="32">
        <f>(G44/$L55)*$O55</f>
        <v>0</v>
      </c>
      <c r="H55" s="17">
        <f>SUM(C55:G55)</f>
        <v>1.4699322945323869</v>
      </c>
      <c r="I55" s="17">
        <f>C55/H55*100</f>
        <v>100</v>
      </c>
      <c r="J55" s="17">
        <f>SQRT(I55*(100-I55)/(L55-1))</f>
        <v>0</v>
      </c>
      <c r="K55" s="18">
        <f>100-I55</f>
        <v>0</v>
      </c>
      <c r="L55" s="1">
        <f>H44</f>
        <v>259</v>
      </c>
      <c r="M55">
        <v>0</v>
      </c>
      <c r="N55" s="1">
        <v>2912.25</v>
      </c>
      <c r="O55" s="17">
        <f>N55/N60*100</f>
        <v>1.4699322945323869</v>
      </c>
      <c r="P55" s="52">
        <f>((O55*O55*(I55/100)*(K55/100))/(L55-1))</f>
        <v>0</v>
      </c>
      <c r="R55" s="66"/>
      <c r="S55" s="66" t="s">
        <v>67</v>
      </c>
      <c r="T55" s="67">
        <f>$AA53*T47/100</f>
        <v>0</v>
      </c>
      <c r="U55" s="67">
        <f>$AA53*U47/100</f>
        <v>297.8394911785407</v>
      </c>
      <c r="V55" s="67">
        <f>$AA53*V47/100</f>
        <v>346.62453052752693</v>
      </c>
      <c r="W55" s="67">
        <f>$AA53*W47/100</f>
        <v>350.16569200355514</v>
      </c>
      <c r="X55" s="67">
        <f>$AA53*X47/100</f>
        <v>333.37902554275121</v>
      </c>
      <c r="AA55" s="1"/>
      <c r="AC55" t="s">
        <v>144</v>
      </c>
      <c r="AD55" s="51"/>
      <c r="AE55" s="51"/>
      <c r="AH55">
        <v>1152</v>
      </c>
      <c r="AI55">
        <v>1163</v>
      </c>
    </row>
    <row r="56" spans="1:35" x14ac:dyDescent="0.3">
      <c r="A56" t="s">
        <v>4</v>
      </c>
      <c r="B56" s="13">
        <v>1</v>
      </c>
      <c r="C56" s="33">
        <f t="shared" ref="C56:G59" si="6">(C45/$L56)*$O56</f>
        <v>0</v>
      </c>
      <c r="D56" s="34">
        <f t="shared" si="6"/>
        <v>4.0729620734941525</v>
      </c>
      <c r="E56" s="19">
        <f t="shared" si="6"/>
        <v>0.58987726581639444</v>
      </c>
      <c r="F56" s="18">
        <f t="shared" si="6"/>
        <v>0</v>
      </c>
      <c r="G56" s="20">
        <f t="shared" si="6"/>
        <v>9.8312877636065749E-2</v>
      </c>
      <c r="H56" s="17">
        <f>SUM(C56:G56)</f>
        <v>4.7611522169466127</v>
      </c>
      <c r="I56" s="17">
        <f>D56/H56*100</f>
        <v>85.545722713864308</v>
      </c>
      <c r="J56" s="17">
        <f>SQRT(I56*(100-I56)/(L56-1))</f>
        <v>1.9126653517482657</v>
      </c>
      <c r="K56" s="18">
        <f>100-I56</f>
        <v>14.454277286135692</v>
      </c>
      <c r="L56" s="1">
        <f>H45</f>
        <v>339</v>
      </c>
      <c r="M56">
        <v>1</v>
      </c>
      <c r="N56" s="1">
        <v>9432.86</v>
      </c>
      <c r="O56" s="17">
        <f>N56/N60*100</f>
        <v>4.7611522169466127</v>
      </c>
      <c r="P56" s="52">
        <f>((O56*O56*(I56/100)*(K56/100))/(L56-1))</f>
        <v>8.2928176143028699E-3</v>
      </c>
      <c r="R56" t="s">
        <v>76</v>
      </c>
      <c r="S56" t="s">
        <v>28</v>
      </c>
      <c r="T56" s="57">
        <f t="shared" ref="T56:X59" si="7">C147</f>
        <v>1.4723854106392162</v>
      </c>
      <c r="U56" s="57">
        <f t="shared" si="7"/>
        <v>5.7790075769819493</v>
      </c>
      <c r="V56" s="57">
        <f t="shared" si="7"/>
        <v>56.527385398466279</v>
      </c>
      <c r="W56" s="57">
        <f t="shared" si="7"/>
        <v>27.637140357290765</v>
      </c>
      <c r="X56" s="57">
        <f t="shared" si="7"/>
        <v>8.584081256621781</v>
      </c>
      <c r="Y56" s="13"/>
      <c r="Z56" s="74"/>
      <c r="AA56" s="12"/>
      <c r="AC56" t="s">
        <v>145</v>
      </c>
      <c r="AD56" s="51"/>
      <c r="AE56" s="51"/>
      <c r="AH56">
        <v>1181</v>
      </c>
      <c r="AI56">
        <v>1192</v>
      </c>
    </row>
    <row r="57" spans="1:35" x14ac:dyDescent="0.3">
      <c r="A57" t="s">
        <v>5</v>
      </c>
      <c r="B57" s="13">
        <v>2</v>
      </c>
      <c r="C57" s="33">
        <f t="shared" si="6"/>
        <v>0</v>
      </c>
      <c r="D57" s="19">
        <f t="shared" si="6"/>
        <v>1.2875204574585817</v>
      </c>
      <c r="E57" s="34">
        <f t="shared" si="6"/>
        <v>55.550655373622071</v>
      </c>
      <c r="F57" s="19">
        <f t="shared" si="6"/>
        <v>0.68667757731124346</v>
      </c>
      <c r="G57" s="20">
        <f t="shared" si="6"/>
        <v>0.21068516576594973</v>
      </c>
      <c r="H57" s="17">
        <f>SUM(C57:G57)</f>
        <v>57.73553857415785</v>
      </c>
      <c r="I57" s="17">
        <f>E57/H57*100</f>
        <v>96.215704824976342</v>
      </c>
      <c r="J57" s="17">
        <f>SQRT(I57*(100-I57)/(L57-1))</f>
        <v>0.22184943210024982</v>
      </c>
      <c r="K57" s="18">
        <f>100-I57</f>
        <v>3.784295175023658</v>
      </c>
      <c r="L57" s="1">
        <f>H46</f>
        <v>7399</v>
      </c>
      <c r="M57">
        <v>2</v>
      </c>
      <c r="N57" s="1">
        <v>114386.44</v>
      </c>
      <c r="O57" s="17">
        <f>N57/N60*100</f>
        <v>57.73553857415785</v>
      </c>
      <c r="P57" s="52">
        <f>((O57*O57*(I57/100)*(K57/100))/(L57-1))</f>
        <v>1.6406014288264319E-2</v>
      </c>
      <c r="S57" s="66" t="s">
        <v>39</v>
      </c>
      <c r="T57" s="67">
        <f t="shared" si="7"/>
        <v>0</v>
      </c>
      <c r="U57" s="67">
        <f t="shared" si="7"/>
        <v>0.14546753839512636</v>
      </c>
      <c r="V57" s="67">
        <f t="shared" si="7"/>
        <v>0.16742674027823096</v>
      </c>
      <c r="W57" s="67">
        <f t="shared" si="7"/>
        <v>0.17550530214210708</v>
      </c>
      <c r="X57" s="67">
        <f t="shared" si="7"/>
        <v>0.16682792679025504</v>
      </c>
      <c r="AC57" t="s">
        <v>146</v>
      </c>
      <c r="AD57" s="51"/>
      <c r="AE57" s="51"/>
      <c r="AH57">
        <v>1210</v>
      </c>
      <c r="AI57">
        <v>1221</v>
      </c>
    </row>
    <row r="58" spans="1:35" x14ac:dyDescent="0.3">
      <c r="A58" t="s">
        <v>6</v>
      </c>
      <c r="B58" s="13">
        <v>3</v>
      </c>
      <c r="C58" s="33">
        <f t="shared" si="6"/>
        <v>0</v>
      </c>
      <c r="D58" s="19">
        <f t="shared" si="6"/>
        <v>1.9968632517271833E-2</v>
      </c>
      <c r="E58" s="19">
        <f t="shared" si="6"/>
        <v>0.29952948775907745</v>
      </c>
      <c r="F58" s="34">
        <f t="shared" si="6"/>
        <v>24.880916116520702</v>
      </c>
      <c r="G58" s="20">
        <f t="shared" si="6"/>
        <v>0.7887609844322373</v>
      </c>
      <c r="H58" s="17">
        <f>SUM(C58:G58)</f>
        <v>25.989175221229289</v>
      </c>
      <c r="I58" s="17">
        <f>F58/H58*100</f>
        <v>95.735689588935841</v>
      </c>
      <c r="J58" s="17">
        <f>SQRT(I58*(100-I58)/(L58-1))</f>
        <v>0.39610260096805844</v>
      </c>
      <c r="K58" s="18">
        <f>100-I58</f>
        <v>4.2643104110641588</v>
      </c>
      <c r="L58" s="1">
        <f>H47</f>
        <v>2603</v>
      </c>
      <c r="M58">
        <v>3</v>
      </c>
      <c r="N58" s="1">
        <v>51490.11</v>
      </c>
      <c r="O58" s="17">
        <f>N58/N60*100</f>
        <v>25.989175221229289</v>
      </c>
      <c r="P58" s="52">
        <f>((O58*O58*(I58/100)*(K58/100))/(L58-1))</f>
        <v>1.0597425756965676E-2</v>
      </c>
      <c r="S58" t="s">
        <v>30</v>
      </c>
      <c r="T58" s="57">
        <f t="shared" si="7"/>
        <v>100</v>
      </c>
      <c r="U58" s="57">
        <f t="shared" si="7"/>
        <v>72.074824051538116</v>
      </c>
      <c r="V58" s="57">
        <f t="shared" si="7"/>
        <v>98.256040698344847</v>
      </c>
      <c r="W58" s="57">
        <f t="shared" si="7"/>
        <v>90.635273675630998</v>
      </c>
      <c r="X58" s="57">
        <f t="shared" si="7"/>
        <v>88.347562530402072</v>
      </c>
      <c r="AC58" t="s">
        <v>147</v>
      </c>
      <c r="AD58" s="51"/>
      <c r="AE58" s="51"/>
      <c r="AH58">
        <v>1239</v>
      </c>
      <c r="AI58">
        <v>1250</v>
      </c>
    </row>
    <row r="59" spans="1:35" x14ac:dyDescent="0.3">
      <c r="A59" t="s">
        <v>7</v>
      </c>
      <c r="B59" s="13">
        <v>4</v>
      </c>
      <c r="C59" s="35">
        <f t="shared" si="6"/>
        <v>0</v>
      </c>
      <c r="D59" s="36">
        <f t="shared" si="6"/>
        <v>0.20925420194028876</v>
      </c>
      <c r="E59" s="21">
        <f t="shared" si="6"/>
        <v>0.16740336155223101</v>
      </c>
      <c r="F59" s="21">
        <f t="shared" si="6"/>
        <v>1.9669894982387144</v>
      </c>
      <c r="G59" s="37">
        <f t="shared" si="6"/>
        <v>7.7005546314026274</v>
      </c>
      <c r="H59" s="17">
        <f>SUM(C59:G59)</f>
        <v>10.044201693133861</v>
      </c>
      <c r="I59" s="17">
        <f>G59/H59*100</f>
        <v>76.666666666666671</v>
      </c>
      <c r="J59" s="17">
        <f>SQRT(I59*(100-I59)/(L59-1))</f>
        <v>1.3657851290205536</v>
      </c>
      <c r="K59" s="18">
        <f>100-I59</f>
        <v>23.333333333333329</v>
      </c>
      <c r="L59" s="1">
        <f>H48</f>
        <v>960</v>
      </c>
      <c r="M59">
        <v>4</v>
      </c>
      <c r="N59" s="1">
        <v>19899.71</v>
      </c>
      <c r="O59" s="17">
        <f>N59/N60*100</f>
        <v>10.044201693133861</v>
      </c>
      <c r="P59" s="52">
        <f>((O59*O59*(I59/100)*(K59/100))/(L59-1))</f>
        <v>1.8818959578297819E-2</v>
      </c>
      <c r="S59" s="66" t="s">
        <v>39</v>
      </c>
      <c r="T59" s="67">
        <f t="shared" si="7"/>
        <v>0</v>
      </c>
      <c r="U59" s="67">
        <f t="shared" si="7"/>
        <v>4.6153962982449448</v>
      </c>
      <c r="V59" s="67">
        <f t="shared" si="7"/>
        <v>0.18944852424470127</v>
      </c>
      <c r="W59" s="67">
        <f t="shared" si="7"/>
        <v>0.58187093244238164</v>
      </c>
      <c r="X59" s="67">
        <f t="shared" si="7"/>
        <v>2.0890511889707786</v>
      </c>
      <c r="AC59" t="s">
        <v>148</v>
      </c>
      <c r="AD59" s="51"/>
      <c r="AE59" s="51"/>
      <c r="AH59">
        <v>1268</v>
      </c>
      <c r="AI59">
        <v>1279</v>
      </c>
    </row>
    <row r="60" spans="1:35" x14ac:dyDescent="0.3">
      <c r="B60" t="s">
        <v>28</v>
      </c>
      <c r="C60" s="17">
        <f>SUM(C55:C59)</f>
        <v>1.4699322945323869</v>
      </c>
      <c r="D60" s="17">
        <f>SUM(D55:D59)</f>
        <v>5.5897053654102953</v>
      </c>
      <c r="E60" s="17">
        <f>SUM(E55:E59)</f>
        <v>56.607465488749781</v>
      </c>
      <c r="F60" s="17">
        <f>SUM(F55:F59)</f>
        <v>27.534583192070659</v>
      </c>
      <c r="G60" s="17">
        <f>SUM(G55:G59)</f>
        <v>8.7983136592368805</v>
      </c>
      <c r="H60" s="1">
        <f>SUM(H54:H59)</f>
        <v>100</v>
      </c>
      <c r="I60" s="13" t="s">
        <v>24</v>
      </c>
      <c r="J60" s="12" t="s">
        <v>29</v>
      </c>
      <c r="N60" s="1">
        <f>SUM(N55:N59)</f>
        <v>198121.37</v>
      </c>
      <c r="O60" s="17">
        <f>SUM(O55:O59)</f>
        <v>100</v>
      </c>
      <c r="S60" s="15" t="s">
        <v>31</v>
      </c>
      <c r="T60" s="71">
        <f>I142</f>
        <v>100</v>
      </c>
      <c r="U60" s="71">
        <f>I143</f>
        <v>86.135693215339217</v>
      </c>
      <c r="V60" s="71">
        <f>I144</f>
        <v>96.148128125422346</v>
      </c>
      <c r="W60" s="71">
        <f>I145</f>
        <v>96.119861698040722</v>
      </c>
      <c r="X60" s="71">
        <f>I146</f>
        <v>76.875</v>
      </c>
      <c r="AC60" t="s">
        <v>149</v>
      </c>
      <c r="AD60" s="51"/>
      <c r="AE60" s="51"/>
      <c r="AH60">
        <v>1297</v>
      </c>
      <c r="AI60">
        <v>1308</v>
      </c>
    </row>
    <row r="61" spans="1:35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0</v>
      </c>
      <c r="D61" s="18">
        <f>SQRT(SUM((O55*O55*(D55/O55)*(1-D55/O55))/L55,(O56*O56*(D56/O56)*(1-D56/O56))/L56,(O57*O57*(D57/O57)*(1-D57/O57))/L57,(O58*O58*(D58/O58)*(1-D58/O58))/L58,(O59*O59*(D59/O59)*(1-D59/O59))/L59))</f>
        <v>0.14294756038821702</v>
      </c>
      <c r="E61" s="18">
        <f>SQRT(SUM((O55*O55*(E55/O55)*(1-E55/O55))/L55,(O56*O56*(E56/O56)*(1-E56/O56))/L56,(O57*O57*(E57/O57)*(1-E57/O57))/L57,(O58*O58*(E58/O58)*(1-E58/O58))/L58,(O59*O59*(E59/O59)*(1-E59/O59))/L59))</f>
        <v>0.16834624775306908</v>
      </c>
      <c r="F61" s="18">
        <f>SQRT(SUM((O55*O55*(F55/O55)*(1-F55/O55))/L55,(O56*O56*(F56/O56)*(1-F56/O56))/L56,(O57*O57*(F57/O57)*(1-F57/O57))/L57,(O58*O58*(F58/O58)*(1-F58/O58))/L58,(O59*O59*(F59/O59)*(1-F59/O59))/L59))</f>
        <v>0.1801045810804052</v>
      </c>
      <c r="G61" s="18">
        <f>SQRT(SUM((O55*O55*(G55/O55)*(1-G55/O55))/L55,(O56*O56*(G56/O56)*(1-G56/O56))/L56,(O57*O57*(G57/O57)*(1-G57/O57))/L57,(O58*O58*(G58/O58)*(1-G58/O58))/L58,(O59*O59*(G59/O59)*(1-G59/O59))/L59))</f>
        <v>0.17153966861465667</v>
      </c>
      <c r="H61" s="1"/>
      <c r="I61" s="14">
        <f>(C55+D56+E57+F58+G59)/H60</f>
        <v>0.93675020489571936</v>
      </c>
      <c r="J61" s="53">
        <f>SQRT(SUM(P55:P59))/100</f>
        <v>2.3262677669999786E-3</v>
      </c>
      <c r="M61" s="1"/>
      <c r="N61" s="9"/>
      <c r="S61" s="75" t="s">
        <v>39</v>
      </c>
      <c r="T61" s="76">
        <f>J142</f>
        <v>0</v>
      </c>
      <c r="U61" s="76">
        <f>J143</f>
        <v>1.8796730137447466</v>
      </c>
      <c r="V61" s="76">
        <f>J144</f>
        <v>0.22374285199128541</v>
      </c>
      <c r="W61" s="76">
        <f>J145</f>
        <v>0.37859643951024841</v>
      </c>
      <c r="X61" s="76">
        <f>J146</f>
        <v>1.3615203330504093</v>
      </c>
      <c r="AC61" t="s">
        <v>150</v>
      </c>
      <c r="AD61" s="51"/>
      <c r="AE61" s="51"/>
      <c r="AH61">
        <v>1326</v>
      </c>
      <c r="AI61">
        <v>1337</v>
      </c>
    </row>
    <row r="62" spans="1:35" x14ac:dyDescent="0.3">
      <c r="B62" s="1" t="s">
        <v>30</v>
      </c>
      <c r="C62" s="17">
        <f>C55/C60*100</f>
        <v>100</v>
      </c>
      <c r="D62" s="17">
        <f>D56/D60*100</f>
        <v>72.86541610400586</v>
      </c>
      <c r="E62" s="17">
        <f>E57/E60*100</f>
        <v>98.133090563226617</v>
      </c>
      <c r="F62" s="17">
        <f>F58/F60*100</f>
        <v>90.362421479057815</v>
      </c>
      <c r="G62" s="17">
        <f>G59/G60*100</f>
        <v>87.523074644175992</v>
      </c>
      <c r="H62" s="1"/>
      <c r="S62" s="66" t="s">
        <v>56</v>
      </c>
      <c r="T62" s="67">
        <f>N131*100</f>
        <v>100</v>
      </c>
      <c r="U62" s="67">
        <f>N132*100</f>
        <v>70.361445783132538</v>
      </c>
      <c r="V62" s="67">
        <f>N133*100</f>
        <v>97.492120049335341</v>
      </c>
      <c r="W62" s="67">
        <f>N134*100</f>
        <v>93.045741911491248</v>
      </c>
      <c r="X62" s="67">
        <f>N135*100</f>
        <v>82</v>
      </c>
      <c r="AC62" t="s">
        <v>151</v>
      </c>
      <c r="AD62" s="51"/>
      <c r="AE62" s="51"/>
      <c r="AH62">
        <v>1355</v>
      </c>
      <c r="AI62">
        <v>1366</v>
      </c>
    </row>
    <row r="63" spans="1:35" x14ac:dyDescent="0.3">
      <c r="B63" s="16" t="s">
        <v>39</v>
      </c>
      <c r="C63" s="18">
        <f>SQRT((C66+C67)/(C60*C60))</f>
        <v>0</v>
      </c>
      <c r="D63" s="18">
        <f>SQRT((D66+D67)/(D60*D60))</f>
        <v>4.648653116494275</v>
      </c>
      <c r="E63" s="18">
        <f>SQRT((E66+E67)/(E60*E60))</f>
        <v>0.19424387634559004</v>
      </c>
      <c r="F63" s="18">
        <f>SQRT((F66+F67)/(F60*F60))</f>
        <v>0.60439193924878298</v>
      </c>
      <c r="G63" s="18">
        <f>SQRT((G66+G67)/(G60*G60))</f>
        <v>2.1992734404513379</v>
      </c>
      <c r="H63" s="1"/>
      <c r="R63" s="16" t="s">
        <v>66</v>
      </c>
      <c r="S63" t="s">
        <v>9</v>
      </c>
      <c r="T63" s="30">
        <f>N142</f>
        <v>2917.11</v>
      </c>
      <c r="U63" s="30">
        <f>N143</f>
        <v>9580.43</v>
      </c>
      <c r="V63" s="30">
        <f>N144</f>
        <v>114448.11</v>
      </c>
      <c r="W63" s="30">
        <f>N145</f>
        <v>51630.76</v>
      </c>
      <c r="X63" s="30">
        <f>N146</f>
        <v>19544.95</v>
      </c>
      <c r="Z63" t="s">
        <v>36</v>
      </c>
      <c r="AA63" s="1">
        <f>N147</f>
        <v>198121.36000000002</v>
      </c>
      <c r="AC63" t="s">
        <v>152</v>
      </c>
      <c r="AD63" s="51"/>
      <c r="AE63" s="51"/>
      <c r="AH63">
        <v>1384</v>
      </c>
      <c r="AI63">
        <v>1395</v>
      </c>
    </row>
    <row r="64" spans="1:35" ht="15.6" x14ac:dyDescent="0.35">
      <c r="B64" s="1" t="s">
        <v>37</v>
      </c>
      <c r="C64" s="18">
        <f>100-C62</f>
        <v>0</v>
      </c>
      <c r="D64" s="18">
        <f>100-D62</f>
        <v>27.13458389599414</v>
      </c>
      <c r="E64" s="18">
        <f>100-E62</f>
        <v>1.8669094367733834</v>
      </c>
      <c r="F64" s="18">
        <f>100-F62</f>
        <v>9.6375785209421849</v>
      </c>
      <c r="G64" s="18">
        <f>100-G62</f>
        <v>12.476925355824008</v>
      </c>
      <c r="R64" s="16" t="s">
        <v>323</v>
      </c>
      <c r="S64" t="s">
        <v>68</v>
      </c>
      <c r="T64" s="57">
        <f>$AA63*T56/100</f>
        <v>2917.11</v>
      </c>
      <c r="U64" s="57">
        <f>$AA63*U56/100</f>
        <v>11449.448406019686</v>
      </c>
      <c r="V64" s="57">
        <f>$AA63*V56/100</f>
        <v>111992.82472388282</v>
      </c>
      <c r="W64" s="57">
        <f>$AA63*W56/100</f>
        <v>54755.078340973327</v>
      </c>
      <c r="X64" s="57">
        <f>$AA63*X56/100</f>
        <v>17006.898529124166</v>
      </c>
      <c r="Z64" t="s">
        <v>36</v>
      </c>
      <c r="AA64" s="25">
        <f>SUM(T64:X64)</f>
        <v>198121.36</v>
      </c>
      <c r="AC64" t="s">
        <v>153</v>
      </c>
      <c r="AD64" s="51"/>
      <c r="AE64" s="51"/>
      <c r="AH64">
        <v>1413</v>
      </c>
      <c r="AI64">
        <v>1424</v>
      </c>
    </row>
    <row r="65" spans="1:51" ht="15.6" x14ac:dyDescent="0.35">
      <c r="B65" s="1" t="s">
        <v>25</v>
      </c>
      <c r="C65" s="1">
        <f>C49</f>
        <v>259</v>
      </c>
      <c r="D65" s="1">
        <f>D49</f>
        <v>477</v>
      </c>
      <c r="E65" s="1">
        <f>E49</f>
        <v>7207</v>
      </c>
      <c r="F65" s="1">
        <f>F49</f>
        <v>2768</v>
      </c>
      <c r="G65" s="1">
        <f>G49</f>
        <v>849</v>
      </c>
      <c r="R65" s="66"/>
      <c r="S65" s="66" t="s">
        <v>67</v>
      </c>
      <c r="T65" s="67">
        <f>$AA63*T57/100</f>
        <v>0</v>
      </c>
      <c r="U65" s="67">
        <f>$AA63*U57/100</f>
        <v>288.20226542694655</v>
      </c>
      <c r="V65" s="67">
        <f>$AA63*V57/100</f>
        <v>331.70813484289903</v>
      </c>
      <c r="W65" s="67">
        <f>$AA63*W57/100</f>
        <v>347.71349147605173</v>
      </c>
      <c r="X65" s="67">
        <f>$AA63*X57/100</f>
        <v>330.52175741665764</v>
      </c>
      <c r="AA65" s="1"/>
      <c r="AC65" t="s">
        <v>154</v>
      </c>
      <c r="AD65" s="51"/>
      <c r="AE65" s="51"/>
      <c r="AH65">
        <v>1442</v>
      </c>
      <c r="AI65">
        <v>1453</v>
      </c>
    </row>
    <row r="66" spans="1:51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610.58825511597968</v>
      </c>
      <c r="E66" s="18">
        <f>(O57*O57*(100-E62)*(100-E62)*(I57)*(100-I57))/((L57-1)*100)</f>
        <v>5.7180715764546388</v>
      </c>
      <c r="F66" s="18">
        <f>(O58*O58*(100-F62)*(100-F62)*(I58)*(100-I58))/((L58-1)*100)</f>
        <v>98.431984611248978</v>
      </c>
      <c r="G66" s="18">
        <f>(O59*O59*(100-G62)*(100-G62)*(I59)*(100-I59))/((L59-1)*100)</f>
        <v>292.96164341600996</v>
      </c>
      <c r="R66" t="s">
        <v>98</v>
      </c>
      <c r="S66" t="s">
        <v>28</v>
      </c>
      <c r="T66" s="57">
        <f>C176</f>
        <v>1.4687058477692665</v>
      </c>
      <c r="U66" s="57">
        <f t="shared" ref="U66:X69" si="8">D176</f>
        <v>5.8845253372798698</v>
      </c>
      <c r="V66" s="57">
        <f t="shared" si="8"/>
        <v>56.572154920689904</v>
      </c>
      <c r="W66" s="57">
        <f t="shared" si="8"/>
        <v>27.314707713217899</v>
      </c>
      <c r="X66" s="57">
        <f t="shared" si="8"/>
        <v>8.7599061810430658</v>
      </c>
      <c r="Y66" s="13"/>
      <c r="Z66" s="74"/>
      <c r="AA66" s="12"/>
      <c r="AC66" t="s">
        <v>163</v>
      </c>
      <c r="AD66" s="51"/>
      <c r="AE66" s="51"/>
      <c r="AH66" s="78"/>
    </row>
    <row r="67" spans="1:51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64.611247899357934</v>
      </c>
      <c r="E67" s="18">
        <f>E62*E62*(SUM((H55*E55*(1-E44/H44))/(H44-1),(H56*E56*(1-E45/H45))/(H45-1), (H58*E58*(1-E47/H47))/(H47-1),(H59*E59*(1-E48/H48))/(H48-1)))</f>
        <v>115.1863249013234</v>
      </c>
      <c r="F67" s="18">
        <f>F62*F62*(SUM((H55*F55*(1-F44/H44))/(H44-1),(H56*F56*(1-F45/H45))/(H45-1), (H57*F57*(1-F46/H46))/(H46-1),(H59*F59*(1-F48/H48))/(H48-1)))</f>
        <v>178.51353299997916</v>
      </c>
      <c r="G67" s="18">
        <f>G62*G62*(SUM((H55*G55*(1-G44/H44))/(H44-1),(H56*G56*(1-G45/H45))/(H45-1), (H57*G57*(1-G46/H46))/(H46-1),(H58*G58*(1-G47/H47))/(H47-1)))</f>
        <v>81.456891838305509</v>
      </c>
      <c r="S67" s="66" t="s">
        <v>39</v>
      </c>
      <c r="T67" s="67">
        <f>C177</f>
        <v>0</v>
      </c>
      <c r="U67" s="67">
        <f t="shared" si="8"/>
        <v>0.14946980674630925</v>
      </c>
      <c r="V67" s="67">
        <f t="shared" si="8"/>
        <v>0.174131213283163</v>
      </c>
      <c r="W67" s="67">
        <f t="shared" si="8"/>
        <v>0.17529893842649155</v>
      </c>
      <c r="X67" s="67">
        <f t="shared" si="8"/>
        <v>0.16636407275038814</v>
      </c>
      <c r="AC67" t="s">
        <v>164</v>
      </c>
      <c r="AD67" s="51"/>
      <c r="AE67" s="51"/>
      <c r="AI67" s="78"/>
    </row>
    <row r="68" spans="1:51" x14ac:dyDescent="0.3">
      <c r="S68" t="s">
        <v>30</v>
      </c>
      <c r="T68" s="57">
        <f>C178</f>
        <v>100</v>
      </c>
      <c r="U68" s="57">
        <f t="shared" si="8"/>
        <v>71.257518867318169</v>
      </c>
      <c r="V68" s="57">
        <f t="shared" si="8"/>
        <v>97.959731411912216</v>
      </c>
      <c r="W68" s="57">
        <f t="shared" si="8"/>
        <v>90.960850768943331</v>
      </c>
      <c r="X68" s="57">
        <f t="shared" si="8"/>
        <v>88.777840874458619</v>
      </c>
      <c r="AC68" t="s">
        <v>165</v>
      </c>
      <c r="AD68" s="51"/>
      <c r="AE68" s="51"/>
      <c r="AH68" s="2"/>
      <c r="AI68" s="2"/>
    </row>
    <row r="69" spans="1:51" x14ac:dyDescent="0.3">
      <c r="S69" s="66" t="s">
        <v>39</v>
      </c>
      <c r="T69" s="67">
        <f>C179</f>
        <v>0</v>
      </c>
      <c r="U69" s="67">
        <f t="shared" si="8"/>
        <v>4.7917868998553583</v>
      </c>
      <c r="V69" s="67">
        <f t="shared" si="8"/>
        <v>0.20428010968923976</v>
      </c>
      <c r="W69" s="67">
        <f t="shared" si="8"/>
        <v>0.58275266817133708</v>
      </c>
      <c r="X69" s="67">
        <f t="shared" si="8"/>
        <v>1.9890388614085008</v>
      </c>
      <c r="AC69" t="s">
        <v>166</v>
      </c>
      <c r="AD69" s="51"/>
      <c r="AE69" s="51"/>
    </row>
    <row r="70" spans="1:51" x14ac:dyDescent="0.3">
      <c r="A70" s="361" t="s">
        <v>441</v>
      </c>
      <c r="B70" s="361"/>
      <c r="C70" s="361"/>
      <c r="D70" s="361"/>
      <c r="E70" s="361"/>
      <c r="F70" s="361"/>
      <c r="G70" s="361"/>
      <c r="H70" s="361"/>
      <c r="I70" s="361"/>
      <c r="J70" s="361"/>
      <c r="K70" s="361"/>
      <c r="L70" s="361" t="s">
        <v>61</v>
      </c>
      <c r="M70" s="361"/>
      <c r="N70" s="361"/>
      <c r="O70" s="361"/>
      <c r="P70" s="361"/>
      <c r="S70" s="15" t="s">
        <v>31</v>
      </c>
      <c r="T70" s="71">
        <f>I171</f>
        <v>100</v>
      </c>
      <c r="U70" s="71">
        <f>I172</f>
        <v>85.545722713864308</v>
      </c>
      <c r="V70" s="71">
        <f>I173</f>
        <v>96.026490066225165</v>
      </c>
      <c r="W70" s="71">
        <f>I174</f>
        <v>95.889358432577794</v>
      </c>
      <c r="X70" s="71">
        <f>I175</f>
        <v>77.708333333333329</v>
      </c>
      <c r="AC70" t="s">
        <v>167</v>
      </c>
      <c r="AD70" s="51"/>
      <c r="AE70" s="51"/>
      <c r="AH70" s="2"/>
      <c r="AI70" s="2"/>
    </row>
    <row r="71" spans="1:51" x14ac:dyDescent="0.3">
      <c r="A71" t="s">
        <v>320</v>
      </c>
      <c r="B71" t="s">
        <v>21</v>
      </c>
      <c r="I71" s="1" t="s">
        <v>58</v>
      </c>
      <c r="O71" s="143"/>
      <c r="P71" s="143"/>
      <c r="S71" s="75" t="s">
        <v>39</v>
      </c>
      <c r="T71" s="76">
        <f>J171</f>
        <v>0</v>
      </c>
      <c r="U71" s="76">
        <f>J172</f>
        <v>1.9126653517482657</v>
      </c>
      <c r="V71" s="76">
        <f>J173</f>
        <v>0.22710438277068065</v>
      </c>
      <c r="W71" s="76">
        <f>J174</f>
        <v>0.38921212847953895</v>
      </c>
      <c r="X71" s="76">
        <f>J175</f>
        <v>1.3439891534212476</v>
      </c>
      <c r="AC71" t="s">
        <v>168</v>
      </c>
      <c r="AD71" s="51"/>
      <c r="AE71" s="51"/>
    </row>
    <row r="72" spans="1:51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56</v>
      </c>
      <c r="O72" s="13"/>
      <c r="P72" s="13"/>
      <c r="S72" s="66" t="s">
        <v>56</v>
      </c>
      <c r="T72" s="67">
        <f>N160*100</f>
        <v>100</v>
      </c>
      <c r="U72" s="67">
        <f>N161*100</f>
        <v>69.295101553166077</v>
      </c>
      <c r="V72" s="67">
        <f>N162*100</f>
        <v>97.328767123287676</v>
      </c>
      <c r="W72" s="67">
        <f>N163*100</f>
        <v>93.169092945128767</v>
      </c>
      <c r="X72" s="67">
        <f>N164*100</f>
        <v>82.567791920309901</v>
      </c>
      <c r="AC72" t="s">
        <v>159</v>
      </c>
      <c r="AD72" s="51"/>
      <c r="AE72" s="51"/>
      <c r="AH72" s="2"/>
      <c r="AI72" s="2"/>
    </row>
    <row r="73" spans="1:51" x14ac:dyDescent="0.3">
      <c r="A73" t="s">
        <v>3</v>
      </c>
      <c r="B73" s="13">
        <v>0</v>
      </c>
      <c r="C73" s="26">
        <v>259</v>
      </c>
      <c r="D73" s="3">
        <v>0</v>
      </c>
      <c r="E73" s="3">
        <v>0</v>
      </c>
      <c r="F73" s="3">
        <v>0</v>
      </c>
      <c r="G73" s="4">
        <v>0</v>
      </c>
      <c r="H73" s="1">
        <f>SUM(C73:G73)</f>
        <v>259</v>
      </c>
      <c r="I73" s="10">
        <f>C73/H73</f>
        <v>1</v>
      </c>
      <c r="J73" s="11">
        <f>1-I73</f>
        <v>0</v>
      </c>
      <c r="K73">
        <f>H73-C78</f>
        <v>0</v>
      </c>
      <c r="N73" s="10">
        <f>2*(C79*I73)/(C79+I73)</f>
        <v>1</v>
      </c>
      <c r="O73" s="1"/>
      <c r="P73" s="1"/>
      <c r="R73" s="16" t="s">
        <v>66</v>
      </c>
      <c r="S73" t="s">
        <v>9</v>
      </c>
      <c r="T73" s="1">
        <f>N171</f>
        <v>2909.82</v>
      </c>
      <c r="U73" s="1">
        <f>N172</f>
        <v>9711.25</v>
      </c>
      <c r="V73" s="1">
        <f>N173</f>
        <v>114337.99</v>
      </c>
      <c r="W73" s="1">
        <f>N174</f>
        <v>51334.81</v>
      </c>
      <c r="X73" s="1">
        <f>N175</f>
        <v>19827.490000000002</v>
      </c>
      <c r="Z73" t="s">
        <v>36</v>
      </c>
      <c r="AA73" s="1">
        <f>N176</f>
        <v>198121.36</v>
      </c>
      <c r="AC73" t="s">
        <v>169</v>
      </c>
      <c r="AD73" s="51"/>
      <c r="AE73" s="51"/>
    </row>
    <row r="74" spans="1:51" ht="15.6" x14ac:dyDescent="0.35">
      <c r="A74" t="s">
        <v>4</v>
      </c>
      <c r="B74" s="13">
        <v>1</v>
      </c>
      <c r="C74" s="5">
        <v>0</v>
      </c>
      <c r="D74" s="27">
        <v>292</v>
      </c>
      <c r="E74" s="1">
        <v>39</v>
      </c>
      <c r="F74" s="1">
        <v>0</v>
      </c>
      <c r="G74" s="6">
        <v>8</v>
      </c>
      <c r="H74" s="1">
        <f>SUM(C74:G74)</f>
        <v>339</v>
      </c>
      <c r="I74" s="10">
        <f>D74/H74</f>
        <v>0.86135693215339237</v>
      </c>
      <c r="J74" s="11">
        <f>1-I74</f>
        <v>0.13864306784660763</v>
      </c>
      <c r="K74">
        <f>H74-D78</f>
        <v>-171</v>
      </c>
      <c r="N74" s="10">
        <f>2*(D79*I74)/(D79+I74)</f>
        <v>0.68786808009422851</v>
      </c>
      <c r="O74" s="1"/>
      <c r="P74" s="1"/>
      <c r="R74" s="16" t="s">
        <v>323</v>
      </c>
      <c r="S74" t="s">
        <v>68</v>
      </c>
      <c r="T74" s="57">
        <f>$AA73*T66/100</f>
        <v>2909.82</v>
      </c>
      <c r="U74" s="57">
        <f>$AA73*U66/100</f>
        <v>11658.501627763464</v>
      </c>
      <c r="V74" s="57">
        <f>$AA73*V66/100</f>
        <v>112081.52271017776</v>
      </c>
      <c r="W74" s="57">
        <f>$AA73*W66/100</f>
        <v>54116.270401452202</v>
      </c>
      <c r="X74" s="57">
        <f>$AA73*X66/100</f>
        <v>17355.245260606582</v>
      </c>
      <c r="Z74" t="s">
        <v>36</v>
      </c>
      <c r="AA74" s="25">
        <f>SUM(T74:X74)</f>
        <v>198121.36</v>
      </c>
      <c r="AC74" t="s">
        <v>170</v>
      </c>
      <c r="AD74" s="51"/>
      <c r="AE74" s="51"/>
      <c r="AH74" s="2"/>
      <c r="AI74" s="2"/>
    </row>
    <row r="75" spans="1:51" x14ac:dyDescent="0.3">
      <c r="A75" t="s">
        <v>5</v>
      </c>
      <c r="B75" s="13">
        <v>2</v>
      </c>
      <c r="C75" s="5">
        <v>0</v>
      </c>
      <c r="D75" s="1">
        <v>198</v>
      </c>
      <c r="E75" s="27">
        <v>7086</v>
      </c>
      <c r="F75" s="1">
        <v>97</v>
      </c>
      <c r="G75" s="6">
        <v>18</v>
      </c>
      <c r="H75" s="1">
        <f>SUM(C75:G75)</f>
        <v>7399</v>
      </c>
      <c r="I75" s="10">
        <f>E75/H75</f>
        <v>0.95769698607919984</v>
      </c>
      <c r="J75" s="11">
        <f>1-I75</f>
        <v>4.2303013920800159E-2</v>
      </c>
      <c r="K75">
        <f>H75-E78</f>
        <v>227</v>
      </c>
      <c r="N75" s="10">
        <f>2*(E79*I75)/(E79+I75)</f>
        <v>0.97261684167181384</v>
      </c>
      <c r="O75" s="1"/>
      <c r="P75" s="1"/>
      <c r="R75" s="66"/>
      <c r="S75" s="66" t="s">
        <v>67</v>
      </c>
      <c r="T75" s="67">
        <f>$AA73*T67/100</f>
        <v>0</v>
      </c>
      <c r="U75" s="67">
        <f>$AA73*U67/100</f>
        <v>296.13161391515962</v>
      </c>
      <c r="V75" s="67">
        <f>$AA73*V67/100</f>
        <v>344.99112794110317</v>
      </c>
      <c r="W75" s="67">
        <f>$AA73*W67/100</f>
        <v>347.30464087612768</v>
      </c>
      <c r="X75" s="67">
        <f>$AA73*X67/100</f>
        <v>329.60276348445836</v>
      </c>
      <c r="AA75" s="1"/>
      <c r="AC75" t="s">
        <v>171</v>
      </c>
      <c r="AD75" s="51"/>
      <c r="AE75" s="51"/>
    </row>
    <row r="76" spans="1:51" x14ac:dyDescent="0.3">
      <c r="A76" t="s">
        <v>6</v>
      </c>
      <c r="B76" s="13">
        <v>3</v>
      </c>
      <c r="C76" s="5">
        <v>0</v>
      </c>
      <c r="D76" s="1">
        <v>5</v>
      </c>
      <c r="E76" s="1">
        <v>20</v>
      </c>
      <c r="F76" s="27">
        <v>2502</v>
      </c>
      <c r="G76" s="6">
        <v>76</v>
      </c>
      <c r="H76" s="1">
        <f>SUM(C76:G76)</f>
        <v>2603</v>
      </c>
      <c r="I76" s="10">
        <f>F76/H76</f>
        <v>0.96119861698040721</v>
      </c>
      <c r="J76" s="11">
        <f>1-I76</f>
        <v>3.8801383019592794E-2</v>
      </c>
      <c r="K76">
        <f>H76-F78</f>
        <v>-174</v>
      </c>
      <c r="N76" s="10">
        <f>2*(F79*I76)/(F79+I76)</f>
        <v>0.93011152416356868</v>
      </c>
      <c r="O76" s="1"/>
      <c r="P76" s="1"/>
      <c r="R76" t="s">
        <v>99</v>
      </c>
      <c r="S76" t="s">
        <v>28</v>
      </c>
      <c r="T76" s="57">
        <f>C205</f>
        <v>1.475519778608436</v>
      </c>
      <c r="U76" s="57">
        <f t="shared" ref="U76:X79" si="9">D205</f>
        <v>5.6296686406057592</v>
      </c>
      <c r="V76" s="57">
        <f t="shared" si="9"/>
        <v>56.750987605071209</v>
      </c>
      <c r="W76" s="57">
        <f t="shared" si="9"/>
        <v>28.02933363748615</v>
      </c>
      <c r="X76" s="57">
        <f t="shared" si="9"/>
        <v>8.114490338228455</v>
      </c>
      <c r="AC76" t="s">
        <v>172</v>
      </c>
      <c r="AD76" s="51"/>
      <c r="AE76" s="51"/>
      <c r="AH76" s="78"/>
      <c r="AI76" s="78"/>
    </row>
    <row r="77" spans="1:51" x14ac:dyDescent="0.3">
      <c r="A77" t="s">
        <v>7</v>
      </c>
      <c r="B77" s="13">
        <v>4</v>
      </c>
      <c r="C77" s="7">
        <v>0</v>
      </c>
      <c r="D77" s="8">
        <v>15</v>
      </c>
      <c r="E77" s="8">
        <v>27</v>
      </c>
      <c r="F77" s="8">
        <v>178</v>
      </c>
      <c r="G77" s="28">
        <v>740</v>
      </c>
      <c r="H77" s="1">
        <f>SUM(C77:G77)</f>
        <v>960</v>
      </c>
      <c r="I77" s="10">
        <f>G77/H77</f>
        <v>0.77083333333333337</v>
      </c>
      <c r="J77" s="11">
        <f>1-I77</f>
        <v>0.22916666666666663</v>
      </c>
      <c r="K77">
        <f>H77-G78</f>
        <v>118</v>
      </c>
      <c r="N77" s="10">
        <f>2*(G79*I77)/(G79+I77)</f>
        <v>0.82130965593784688</v>
      </c>
      <c r="O77" s="1"/>
      <c r="P77" s="1"/>
      <c r="S77" s="66" t="s">
        <v>39</v>
      </c>
      <c r="T77" s="67">
        <f>C206</f>
        <v>0</v>
      </c>
      <c r="U77" s="67">
        <f t="shared" si="9"/>
        <v>0.14383628295884068</v>
      </c>
      <c r="V77" s="67">
        <f t="shared" si="9"/>
        <v>0.17017910017982063</v>
      </c>
      <c r="W77" s="67">
        <f t="shared" si="9"/>
        <v>0.17451585094346089</v>
      </c>
      <c r="X77" s="67">
        <f t="shared" si="9"/>
        <v>0.16403781463003786</v>
      </c>
      <c r="AC77" t="s">
        <v>173</v>
      </c>
      <c r="AD77" s="51"/>
      <c r="AE77" s="51"/>
    </row>
    <row r="78" spans="1:51" ht="15.6" x14ac:dyDescent="0.35">
      <c r="B78" s="1" t="s">
        <v>19</v>
      </c>
      <c r="C78" s="1">
        <f>SUM(C73:C77)</f>
        <v>259</v>
      </c>
      <c r="D78" s="1">
        <f>SUM(D73:D77)</f>
        <v>510</v>
      </c>
      <c r="E78" s="1">
        <f>SUM(E73:E77)</f>
        <v>7172</v>
      </c>
      <c r="F78" s="1">
        <f>SUM(F73:F77)</f>
        <v>2777</v>
      </c>
      <c r="G78" s="1">
        <f>SUM(G73:G77)</f>
        <v>842</v>
      </c>
      <c r="H78" s="1">
        <f>SUM(H72:H77)</f>
        <v>11560</v>
      </c>
      <c r="I78" s="13" t="s">
        <v>12</v>
      </c>
      <c r="N78" s="16"/>
      <c r="O78" s="1"/>
      <c r="P78" s="1"/>
      <c r="S78" s="70" t="s">
        <v>30</v>
      </c>
      <c r="T78" s="64">
        <f>C207</f>
        <v>100</v>
      </c>
      <c r="U78" s="64">
        <f t="shared" si="9"/>
        <v>71.830558324582384</v>
      </c>
      <c r="V78" s="64">
        <f t="shared" si="9"/>
        <v>98.061914363325968</v>
      </c>
      <c r="W78" s="64">
        <f t="shared" si="9"/>
        <v>90.42910947678368</v>
      </c>
      <c r="X78" s="64">
        <f t="shared" si="9"/>
        <v>89.166670883582924</v>
      </c>
      <c r="AC78" t="s">
        <v>174</v>
      </c>
      <c r="AD78" s="51"/>
      <c r="AE78" s="51"/>
      <c r="AH78" s="78"/>
      <c r="AI78" s="78"/>
    </row>
    <row r="79" spans="1:51" x14ac:dyDescent="0.3">
      <c r="A79" s="1" t="s">
        <v>321</v>
      </c>
      <c r="B79" s="1" t="s">
        <v>2</v>
      </c>
      <c r="C79" s="10">
        <f>C73/C78</f>
        <v>1</v>
      </c>
      <c r="D79" s="10">
        <f>D74/D78</f>
        <v>0.5725490196078431</v>
      </c>
      <c r="E79" s="10">
        <f>E75/E78</f>
        <v>0.98800892359174564</v>
      </c>
      <c r="F79" s="10">
        <f>F76/F78</f>
        <v>0.90097227223622611</v>
      </c>
      <c r="G79" s="10">
        <f>G77/G78</f>
        <v>0.87885985748218531</v>
      </c>
      <c r="H79" s="10"/>
      <c r="I79" s="14">
        <f>(C73+D74+E75+F76+G77)/H78</f>
        <v>0.94108996539792389</v>
      </c>
      <c r="S79" s="66" t="s">
        <v>39</v>
      </c>
      <c r="T79" s="67">
        <f>C208</f>
        <v>0</v>
      </c>
      <c r="U79" s="67">
        <f t="shared" si="9"/>
        <v>4.6961591042292934</v>
      </c>
      <c r="V79" s="67">
        <f t="shared" si="9"/>
        <v>0.19603473728704629</v>
      </c>
      <c r="W79" s="67">
        <f t="shared" si="9"/>
        <v>0.57328748618578407</v>
      </c>
      <c r="X79" s="67">
        <f t="shared" si="9"/>
        <v>2.073255759412</v>
      </c>
      <c r="AC79" t="s">
        <v>175</v>
      </c>
      <c r="AD79" s="51"/>
      <c r="AE79" s="51"/>
    </row>
    <row r="80" spans="1:51" x14ac:dyDescent="0.3">
      <c r="B80" s="1" t="s">
        <v>14</v>
      </c>
      <c r="C80" s="11">
        <f>1-C79</f>
        <v>0</v>
      </c>
      <c r="D80" s="11">
        <f>1-D79</f>
        <v>0.4274509803921569</v>
      </c>
      <c r="E80" s="11">
        <f>1-E79</f>
        <v>1.1991076408254364E-2</v>
      </c>
      <c r="F80" s="11">
        <f>1-F79</f>
        <v>9.9027727763773887E-2</v>
      </c>
      <c r="G80" s="11">
        <f>1-G79</f>
        <v>0.12114014251781469</v>
      </c>
      <c r="S80" s="70" t="s">
        <v>31</v>
      </c>
      <c r="T80" s="64">
        <f>I200</f>
        <v>100</v>
      </c>
      <c r="U80" s="64">
        <f>I201</f>
        <v>85.840707964601762</v>
      </c>
      <c r="V80" s="64">
        <f>I202</f>
        <v>96.14812812542236</v>
      </c>
      <c r="W80" s="64">
        <f>I203</f>
        <v>96.427199385324627</v>
      </c>
      <c r="X80" s="64">
        <f>I204</f>
        <v>75</v>
      </c>
      <c r="AC80" t="s">
        <v>176</v>
      </c>
      <c r="AD80" s="51"/>
      <c r="AE80" s="51"/>
      <c r="AH80" s="78"/>
      <c r="AI80" s="78"/>
      <c r="AJ80" s="361" t="s">
        <v>442</v>
      </c>
      <c r="AK80" s="361"/>
      <c r="AL80" s="361"/>
      <c r="AM80" s="361"/>
      <c r="AN80" s="361"/>
      <c r="AO80" s="361"/>
      <c r="AP80" s="361"/>
      <c r="AQ80" s="361"/>
      <c r="AR80" s="361"/>
      <c r="AS80" s="361"/>
      <c r="AT80" s="361"/>
      <c r="AU80" s="361" t="s">
        <v>374</v>
      </c>
      <c r="AV80" s="361"/>
      <c r="AW80" s="361"/>
      <c r="AX80" s="361"/>
      <c r="AY80" s="361"/>
    </row>
    <row r="81" spans="1:51" x14ac:dyDescent="0.3">
      <c r="C81" s="2"/>
      <c r="S81" s="66" t="s">
        <v>39</v>
      </c>
      <c r="T81" s="67">
        <f>J200</f>
        <v>0</v>
      </c>
      <c r="U81" s="67">
        <f>J201</f>
        <v>1.8963088192218003</v>
      </c>
      <c r="V81" s="67">
        <f>J202</f>
        <v>0.22374285199128502</v>
      </c>
      <c r="W81" s="67">
        <f>J203</f>
        <v>0.36387357762020567</v>
      </c>
      <c r="X81" s="67">
        <f>J204</f>
        <v>1.3982709418043677</v>
      </c>
      <c r="AC81" t="s">
        <v>177</v>
      </c>
      <c r="AD81" s="51"/>
      <c r="AE81" s="51"/>
      <c r="AJ81" t="s">
        <v>320</v>
      </c>
      <c r="AK81" t="s">
        <v>21</v>
      </c>
      <c r="AR81" s="1" t="s">
        <v>58</v>
      </c>
    </row>
    <row r="82" spans="1:51" ht="15.6" x14ac:dyDescent="0.35">
      <c r="A82" t="s">
        <v>322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56</v>
      </c>
      <c r="T82" s="65">
        <f>N189*100</f>
        <v>100</v>
      </c>
      <c r="U82" s="65">
        <f>N190*100</f>
        <v>70.545454545454533</v>
      </c>
      <c r="V82" s="65">
        <f>N191*100</f>
        <v>97.405353597590192</v>
      </c>
      <c r="W82" s="65">
        <f>N192*100</f>
        <v>92.94575078689131</v>
      </c>
      <c r="X82" s="65">
        <f>N193*100</f>
        <v>81.401921989824771</v>
      </c>
      <c r="Z82" s="46"/>
      <c r="AA82" s="46"/>
      <c r="AC82" t="s">
        <v>178</v>
      </c>
      <c r="AD82" s="51"/>
      <c r="AE82" s="51"/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56</v>
      </c>
    </row>
    <row r="83" spans="1:51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66</v>
      </c>
      <c r="S83" t="s">
        <v>9</v>
      </c>
      <c r="T83" s="30">
        <f>N200</f>
        <v>2923.32</v>
      </c>
      <c r="U83" s="30">
        <f>N201</f>
        <v>9333.19</v>
      </c>
      <c r="V83" s="30">
        <f>N202</f>
        <v>114673.82</v>
      </c>
      <c r="W83" s="30">
        <f>N203</f>
        <v>52077.82</v>
      </c>
      <c r="X83" s="30">
        <f>N204</f>
        <v>19113.22</v>
      </c>
      <c r="Z83" t="s">
        <v>36</v>
      </c>
      <c r="AA83" s="1">
        <f>N205</f>
        <v>198121.37</v>
      </c>
      <c r="AC83" t="s">
        <v>179</v>
      </c>
      <c r="AD83" s="51"/>
      <c r="AE83" s="51"/>
      <c r="AJ83" t="s">
        <v>3</v>
      </c>
      <c r="AK83" s="13">
        <v>0</v>
      </c>
      <c r="AL83" s="26">
        <v>259</v>
      </c>
      <c r="AM83" s="3">
        <v>0</v>
      </c>
      <c r="AN83" s="3">
        <v>0</v>
      </c>
      <c r="AO83" s="3">
        <v>0</v>
      </c>
      <c r="AP83" s="4">
        <v>0</v>
      </c>
      <c r="AQ83" s="1">
        <f>SUM(AL83:AP83)</f>
        <v>259</v>
      </c>
      <c r="AR83" s="10">
        <f>AL83/AQ83</f>
        <v>1</v>
      </c>
      <c r="AS83" s="11">
        <f>1-AR83</f>
        <v>0</v>
      </c>
      <c r="AT83">
        <f>AQ83-AL88</f>
        <v>0</v>
      </c>
      <c r="AW83" s="10">
        <f>2*(AL89*AR83)/(AL89+AR83)</f>
        <v>1</v>
      </c>
    </row>
    <row r="84" spans="1:51" ht="15.6" x14ac:dyDescent="0.35">
      <c r="A84" t="s">
        <v>3</v>
      </c>
      <c r="B84" s="13">
        <v>0</v>
      </c>
      <c r="C84" s="29">
        <f>(C73/$L84)*$O84</f>
        <v>1.4716131567035478</v>
      </c>
      <c r="D84" s="31">
        <f>(D73/$L84)*$O84</f>
        <v>0</v>
      </c>
      <c r="E84" s="31">
        <f>(E73/$L84)*$O84</f>
        <v>0</v>
      </c>
      <c r="F84" s="31">
        <f>(F73/$L84)*$O84</f>
        <v>0</v>
      </c>
      <c r="G84" s="32">
        <f>(G73/$L84)*$O84</f>
        <v>0</v>
      </c>
      <c r="H84" s="17">
        <f>SUM(C84:G84)</f>
        <v>1.4716131567035478</v>
      </c>
      <c r="I84" s="17">
        <f>C84/H84*100</f>
        <v>100</v>
      </c>
      <c r="J84" s="17">
        <f>SQRT(I84*(100-I84)/(L84-1))</f>
        <v>0</v>
      </c>
      <c r="K84" s="18">
        <f>100-I84</f>
        <v>0</v>
      </c>
      <c r="L84" s="1">
        <f>H73</f>
        <v>259</v>
      </c>
      <c r="M84">
        <v>0</v>
      </c>
      <c r="N84" s="1">
        <v>2915.58</v>
      </c>
      <c r="O84" s="17">
        <f>N84/N89*100</f>
        <v>1.4716131567035478</v>
      </c>
      <c r="P84" s="52">
        <f>((O84*O84*(I84/100)*(K84/100))/(L84-1))</f>
        <v>0</v>
      </c>
      <c r="R84" s="16" t="s">
        <v>323</v>
      </c>
      <c r="S84" t="s">
        <v>68</v>
      </c>
      <c r="T84" s="57">
        <f>$AA83*T76/100</f>
        <v>2923.32</v>
      </c>
      <c r="U84" s="57">
        <f>$AA83*U76/100</f>
        <v>11153.576637228507</v>
      </c>
      <c r="V84" s="57">
        <f>$AA83*V76/100</f>
        <v>112435.83413169727</v>
      </c>
      <c r="W84" s="57">
        <f>$AA83*W76/100</f>
        <v>55532.099804458398</v>
      </c>
      <c r="X84" s="57">
        <f>$AA83*X76/100</f>
        <v>16076.539426615847</v>
      </c>
      <c r="Z84" t="s">
        <v>36</v>
      </c>
      <c r="AA84" s="25">
        <f>SUM(T84:X84)</f>
        <v>198121.37000000002</v>
      </c>
      <c r="AC84" t="s">
        <v>180</v>
      </c>
      <c r="AD84" s="51"/>
      <c r="AE84" s="51"/>
      <c r="AH84" s="78"/>
      <c r="AI84" s="78"/>
      <c r="AJ84" t="s">
        <v>4</v>
      </c>
      <c r="AK84" s="13">
        <v>1</v>
      </c>
      <c r="AL84" s="5">
        <v>0</v>
      </c>
      <c r="AM84" s="27">
        <v>294</v>
      </c>
      <c r="AN84" s="1">
        <v>38</v>
      </c>
      <c r="AO84" s="1">
        <v>0</v>
      </c>
      <c r="AP84" s="6">
        <v>7</v>
      </c>
      <c r="AQ84" s="1">
        <f>SUM(AL84:AP84)</f>
        <v>339</v>
      </c>
      <c r="AR84" s="10">
        <f>AM84/AQ84</f>
        <v>0.86725663716814161</v>
      </c>
      <c r="AS84" s="11">
        <f>1-AR84</f>
        <v>0.13274336283185839</v>
      </c>
      <c r="AT84">
        <f>AQ84-AM88</f>
        <v>-158</v>
      </c>
      <c r="AW84" s="10">
        <f>2*(AM89*AR84)/(AM89+AR84)</f>
        <v>0.70334928229665072</v>
      </c>
    </row>
    <row r="85" spans="1:51" x14ac:dyDescent="0.3">
      <c r="A85" t="s">
        <v>4</v>
      </c>
      <c r="B85" s="13">
        <v>1</v>
      </c>
      <c r="C85" s="33">
        <f t="shared" ref="C85:G88" si="10">(C74/$L85)*$O85</f>
        <v>0</v>
      </c>
      <c r="D85" s="34">
        <f t="shared" si="10"/>
        <v>4.1754264564991539</v>
      </c>
      <c r="E85" s="19">
        <f t="shared" si="10"/>
        <v>0.55767682124474993</v>
      </c>
      <c r="F85" s="18">
        <f t="shared" si="10"/>
        <v>0</v>
      </c>
      <c r="G85" s="20">
        <f t="shared" si="10"/>
        <v>0.11439524538353844</v>
      </c>
      <c r="H85" s="17">
        <f>SUM(C85:G85)</f>
        <v>4.8474985231274426</v>
      </c>
      <c r="I85" s="17">
        <f>D85/H85*100</f>
        <v>86.135693215339231</v>
      </c>
      <c r="J85" s="17">
        <f>SQRT(I85*(100-I85)/(L85-1))</f>
        <v>1.8796730137447457</v>
      </c>
      <c r="K85" s="18">
        <f>100-I85</f>
        <v>13.864306784660769</v>
      </c>
      <c r="L85" s="1">
        <f>H74</f>
        <v>339</v>
      </c>
      <c r="M85">
        <v>1</v>
      </c>
      <c r="N85" s="1">
        <v>9603.93</v>
      </c>
      <c r="O85" s="17">
        <f>N85/N89*100</f>
        <v>4.8474985231274417</v>
      </c>
      <c r="P85" s="52">
        <f>((O85*O85*(I85/100)*(K85/100))/(L85-1))</f>
        <v>8.3023298451888067E-3</v>
      </c>
      <c r="R85" s="66"/>
      <c r="S85" s="66" t="s">
        <v>67</v>
      </c>
      <c r="T85" s="67">
        <f>$AA83*T77/100</f>
        <v>0</v>
      </c>
      <c r="U85" s="67">
        <f>$AA83*U77/100</f>
        <v>284.97041435513171</v>
      </c>
      <c r="V85" s="67">
        <f>$AA83*V77/100</f>
        <v>337.16116472993309</v>
      </c>
      <c r="W85" s="67">
        <f>$AA83*W77/100</f>
        <v>345.75319475634262</v>
      </c>
      <c r="X85" s="67">
        <f>$AA83*X77/100</f>
        <v>324.99396566309144</v>
      </c>
      <c r="AA85" s="1"/>
      <c r="AC85" t="s">
        <v>181</v>
      </c>
      <c r="AD85" s="51"/>
      <c r="AE85" s="51"/>
      <c r="AJ85" t="s">
        <v>5</v>
      </c>
      <c r="AK85" s="13">
        <v>2</v>
      </c>
      <c r="AL85" s="5">
        <v>0</v>
      </c>
      <c r="AM85" s="1">
        <v>176</v>
      </c>
      <c r="AN85" s="27">
        <v>7110</v>
      </c>
      <c r="AO85" s="1">
        <v>92</v>
      </c>
      <c r="AP85" s="6">
        <v>21</v>
      </c>
      <c r="AQ85" s="1">
        <f>SUM(AL85:AP85)</f>
        <v>7399</v>
      </c>
      <c r="AR85" s="10">
        <f>AN85/AQ85</f>
        <v>0.96094066765779163</v>
      </c>
      <c r="AS85" s="11">
        <f>1-AR85</f>
        <v>3.9059332342208375E-2</v>
      </c>
      <c r="AT85">
        <f>AQ85-AN88</f>
        <v>199</v>
      </c>
      <c r="AW85" s="10">
        <f>2*(AN89*AR85)/(AN89+AR85)</f>
        <v>0.97403931776149055</v>
      </c>
    </row>
    <row r="86" spans="1:51" x14ac:dyDescent="0.3">
      <c r="A86" t="s">
        <v>5</v>
      </c>
      <c r="B86" s="13">
        <v>2</v>
      </c>
      <c r="C86" s="33">
        <f t="shared" si="10"/>
        <v>0</v>
      </c>
      <c r="D86" s="19">
        <f t="shared" si="10"/>
        <v>1.5535097626777541</v>
      </c>
      <c r="E86" s="34">
        <f t="shared" si="10"/>
        <v>55.596819082497802</v>
      </c>
      <c r="F86" s="19">
        <f t="shared" si="10"/>
        <v>0.76106286353405128</v>
      </c>
      <c r="G86" s="20">
        <f t="shared" si="10"/>
        <v>0.14122816024343221</v>
      </c>
      <c r="H86" s="17">
        <f>SUM(C86:G86)</f>
        <v>58.052619868953037</v>
      </c>
      <c r="I86" s="17">
        <f>E86/H86*100</f>
        <v>95.769698607919992</v>
      </c>
      <c r="J86" s="17">
        <f>SQRT(I86*(100-I86)/(L86-1))</f>
        <v>0.23401438359686333</v>
      </c>
      <c r="K86" s="18">
        <f>100-I86</f>
        <v>4.2303013920800083</v>
      </c>
      <c r="L86" s="1">
        <f>H75</f>
        <v>7399</v>
      </c>
      <c r="M86">
        <v>2</v>
      </c>
      <c r="N86" s="1">
        <v>115014.64</v>
      </c>
      <c r="O86" s="17">
        <f>N86/N89*100</f>
        <v>58.052619868953045</v>
      </c>
      <c r="P86" s="52">
        <f>((O86*O86*(I86/100)*(K86/100))/(L86-1))</f>
        <v>1.8455624767127275E-2</v>
      </c>
      <c r="R86" t="s">
        <v>100</v>
      </c>
      <c r="S86" s="70" t="s">
        <v>28</v>
      </c>
      <c r="T86" s="64">
        <f>C234</f>
        <v>1.478568489535909</v>
      </c>
      <c r="U86" s="64">
        <f t="shared" ref="U86:X89" si="11">D234</f>
        <v>5.6471243613254929</v>
      </c>
      <c r="V86" s="64">
        <f t="shared" si="11"/>
        <v>56.55715328698399</v>
      </c>
      <c r="W86" s="64">
        <f t="shared" si="11"/>
        <v>27.633764246340796</v>
      </c>
      <c r="X86" s="64">
        <f t="shared" si="11"/>
        <v>8.6833896158138089</v>
      </c>
      <c r="AA86" s="12"/>
      <c r="AC86" t="s">
        <v>182</v>
      </c>
      <c r="AD86" s="51"/>
      <c r="AE86" s="51"/>
      <c r="AH86" s="78"/>
      <c r="AI86" s="78"/>
      <c r="AJ86" t="s">
        <v>6</v>
      </c>
      <c r="AK86" s="13">
        <v>3</v>
      </c>
      <c r="AL86" s="5">
        <v>0</v>
      </c>
      <c r="AM86" s="1">
        <v>7</v>
      </c>
      <c r="AN86" s="1">
        <v>25</v>
      </c>
      <c r="AO86" s="27">
        <v>2506</v>
      </c>
      <c r="AP86" s="6">
        <v>65</v>
      </c>
      <c r="AQ86" s="1">
        <f>SUM(AL86:AP86)</f>
        <v>2603</v>
      </c>
      <c r="AR86" s="10">
        <f>AO86/AQ86</f>
        <v>0.96273530541682673</v>
      </c>
      <c r="AS86" s="11">
        <f>1-AR86</f>
        <v>3.7264694583173275E-2</v>
      </c>
      <c r="AT86">
        <f>AQ86-AO88</f>
        <v>-171</v>
      </c>
      <c r="AW86" s="10">
        <f>2*(AO89*AR86)/(AO89+AR86)</f>
        <v>0.93211828156964849</v>
      </c>
    </row>
    <row r="87" spans="1:51" x14ac:dyDescent="0.3">
      <c r="A87" t="s">
        <v>6</v>
      </c>
      <c r="B87" s="13">
        <v>3</v>
      </c>
      <c r="C87" s="33">
        <f t="shared" si="10"/>
        <v>0</v>
      </c>
      <c r="D87" s="19">
        <f t="shared" si="10"/>
        <v>4.9634814061217787E-2</v>
      </c>
      <c r="E87" s="19">
        <f t="shared" si="10"/>
        <v>0.19853925624487115</v>
      </c>
      <c r="F87" s="34">
        <f t="shared" si="10"/>
        <v>24.837260956233383</v>
      </c>
      <c r="G87" s="20">
        <f t="shared" si="10"/>
        <v>0.75444917373051035</v>
      </c>
      <c r="H87" s="17">
        <f>SUM(C87:G87)</f>
        <v>25.839884200269982</v>
      </c>
      <c r="I87" s="17">
        <f>F87/H87*100</f>
        <v>96.119861698040722</v>
      </c>
      <c r="J87" s="17">
        <f>SQRT(I87*(100-I87)/(L87-1))</f>
        <v>0.37859643951024841</v>
      </c>
      <c r="K87" s="18">
        <f>100-I87</f>
        <v>3.8801383019592777</v>
      </c>
      <c r="L87" s="1">
        <f>H76</f>
        <v>2603</v>
      </c>
      <c r="M87">
        <v>3</v>
      </c>
      <c r="N87" s="1">
        <v>51194.33</v>
      </c>
      <c r="O87" s="17">
        <f>N87/N89*100</f>
        <v>25.839884200269982</v>
      </c>
      <c r="P87" s="52">
        <f>((O87*O87*(I87/100)*(K87/100))/(L87-1))</f>
        <v>9.5704900664574481E-3</v>
      </c>
      <c r="S87" s="66" t="s">
        <v>39</v>
      </c>
      <c r="T87" s="67">
        <f>C235</f>
        <v>0</v>
      </c>
      <c r="U87" s="67">
        <f t="shared" si="11"/>
        <v>0.14557961927696403</v>
      </c>
      <c r="V87" s="67">
        <f t="shared" si="11"/>
        <v>0.17278865338861793</v>
      </c>
      <c r="W87" s="67">
        <f t="shared" si="11"/>
        <v>0.17699321246108882</v>
      </c>
      <c r="X87" s="67">
        <f t="shared" si="11"/>
        <v>0.16947554430513806</v>
      </c>
      <c r="AC87" t="s">
        <v>183</v>
      </c>
      <c r="AD87" s="51"/>
      <c r="AE87" s="51"/>
      <c r="AJ87" t="s">
        <v>7</v>
      </c>
      <c r="AK87" s="13">
        <v>4</v>
      </c>
      <c r="AL87" s="7">
        <v>0</v>
      </c>
      <c r="AM87" s="8">
        <v>20</v>
      </c>
      <c r="AN87" s="8">
        <v>27</v>
      </c>
      <c r="AO87" s="8">
        <v>176</v>
      </c>
      <c r="AP87" s="28">
        <v>737</v>
      </c>
      <c r="AQ87" s="1">
        <f>SUM(AL87:AP87)</f>
        <v>960</v>
      </c>
      <c r="AR87" s="10">
        <f>AP87/AQ87</f>
        <v>0.76770833333333333</v>
      </c>
      <c r="AS87" s="11">
        <f>1-AR87</f>
        <v>0.23229166666666667</v>
      </c>
      <c r="AT87">
        <f>AQ87-AP88</f>
        <v>130</v>
      </c>
      <c r="AW87" s="10">
        <f>2*(AP89*AR87)/(AP89+AR87)</f>
        <v>0.82346368715083795</v>
      </c>
    </row>
    <row r="88" spans="1:51" ht="15.6" x14ac:dyDescent="0.35">
      <c r="A88" t="s">
        <v>7</v>
      </c>
      <c r="B88" s="13">
        <v>4</v>
      </c>
      <c r="C88" s="35">
        <f t="shared" si="10"/>
        <v>0</v>
      </c>
      <c r="D88" s="36">
        <f t="shared" si="10"/>
        <v>0.15294350392103107</v>
      </c>
      <c r="E88" s="21">
        <f t="shared" si="10"/>
        <v>0.27529830705785591</v>
      </c>
      <c r="F88" s="21">
        <f t="shared" si="10"/>
        <v>1.8149295798629022</v>
      </c>
      <c r="G88" s="37">
        <f t="shared" si="10"/>
        <v>7.5452128601041997</v>
      </c>
      <c r="H88" s="17">
        <f>SUM(C88:G88)</f>
        <v>9.7883842509459882</v>
      </c>
      <c r="I88" s="17">
        <f>G88/H88*100</f>
        <v>77.083333333333343</v>
      </c>
      <c r="J88" s="17">
        <f>SQRT(I88*(100-I88)/(L88-1))</f>
        <v>1.3572087898417575</v>
      </c>
      <c r="K88" s="18">
        <f>100-I88</f>
        <v>22.916666666666657</v>
      </c>
      <c r="L88" s="1">
        <f>H77</f>
        <v>960</v>
      </c>
      <c r="M88">
        <v>4</v>
      </c>
      <c r="N88" s="1">
        <v>19392.88</v>
      </c>
      <c r="O88" s="17">
        <f>N88/N89*100</f>
        <v>9.7883842509459882</v>
      </c>
      <c r="P88" s="52">
        <f>((O88*O88*(I88/100)*(K88/100))/(L88-1))</f>
        <v>1.7648806700309994E-2</v>
      </c>
      <c r="S88" t="s">
        <v>30</v>
      </c>
      <c r="T88" s="57">
        <f>C236</f>
        <v>100</v>
      </c>
      <c r="U88" s="57">
        <f t="shared" si="11"/>
        <v>71.374910395183903</v>
      </c>
      <c r="V88" s="57">
        <f t="shared" si="11"/>
        <v>97.960686887886482</v>
      </c>
      <c r="W88" s="57">
        <f t="shared" si="11"/>
        <v>90.572398262068106</v>
      </c>
      <c r="X88" s="57">
        <f t="shared" si="11"/>
        <v>88.657230440172981</v>
      </c>
      <c r="AC88" t="s">
        <v>184</v>
      </c>
      <c r="AD88" s="51"/>
      <c r="AE88" s="51"/>
      <c r="AH88" s="78"/>
      <c r="AI88" s="78"/>
      <c r="AK88" s="1" t="s">
        <v>19</v>
      </c>
      <c r="AL88" s="1">
        <f>SUM(AL83:AL87)</f>
        <v>259</v>
      </c>
      <c r="AM88" s="1">
        <f>SUM(AM83:AM87)</f>
        <v>497</v>
      </c>
      <c r="AN88" s="1">
        <f>SUM(AN83:AN87)</f>
        <v>7200</v>
      </c>
      <c r="AO88" s="1">
        <f>SUM(AO83:AO87)</f>
        <v>2774</v>
      </c>
      <c r="AP88" s="1">
        <f>SUM(AP83:AP87)</f>
        <v>830</v>
      </c>
      <c r="AQ88" s="1">
        <f>SUM(AQ82:AQ87)</f>
        <v>11560</v>
      </c>
      <c r="AR88" s="13" t="s">
        <v>12</v>
      </c>
    </row>
    <row r="89" spans="1:51" x14ac:dyDescent="0.3">
      <c r="B89" t="s">
        <v>28</v>
      </c>
      <c r="C89" s="17">
        <f>SUM(C84:C88)</f>
        <v>1.4716131567035478</v>
      </c>
      <c r="D89" s="17">
        <f>SUM(D84:D88)</f>
        <v>5.9315145371591562</v>
      </c>
      <c r="E89" s="17">
        <f>SUM(E84:E88)</f>
        <v>56.62833346704528</v>
      </c>
      <c r="F89" s="17">
        <f>SUM(F84:F88)</f>
        <v>27.413253399630335</v>
      </c>
      <c r="G89" s="17">
        <f>SUM(G84:G88)</f>
        <v>8.5552854394616809</v>
      </c>
      <c r="H89" s="1">
        <f>SUM(H83:H88)</f>
        <v>100</v>
      </c>
      <c r="I89" s="13" t="s">
        <v>24</v>
      </c>
      <c r="J89" s="12" t="s">
        <v>29</v>
      </c>
      <c r="N89" s="1">
        <f>SUM(N84:N88)</f>
        <v>198121.36</v>
      </c>
      <c r="O89" s="17">
        <f>SUM(O84:O88)</f>
        <v>100</v>
      </c>
      <c r="S89" s="66" t="s">
        <v>39</v>
      </c>
      <c r="T89" s="67">
        <f>C237</f>
        <v>0</v>
      </c>
      <c r="U89" s="67">
        <f t="shared" si="11"/>
        <v>4.8403021544200362</v>
      </c>
      <c r="V89" s="67">
        <f t="shared" si="11"/>
        <v>0.2022388886663824</v>
      </c>
      <c r="W89" s="67">
        <f t="shared" si="11"/>
        <v>0.58777020057779239</v>
      </c>
      <c r="X89" s="67">
        <f t="shared" si="11"/>
        <v>2.0657780830519421</v>
      </c>
      <c r="AC89" t="s">
        <v>185</v>
      </c>
      <c r="AD89" s="51"/>
      <c r="AE89" s="51"/>
      <c r="AJ89" s="1" t="s">
        <v>321</v>
      </c>
      <c r="AK89" s="1" t="s">
        <v>2</v>
      </c>
      <c r="AL89" s="10">
        <f>AL83/AL88</f>
        <v>1</v>
      </c>
      <c r="AM89" s="10">
        <f>AM84/AM88</f>
        <v>0.59154929577464788</v>
      </c>
      <c r="AN89" s="10">
        <f>AN85/AN88</f>
        <v>0.98750000000000004</v>
      </c>
      <c r="AO89" s="10">
        <f>AO86/AO88</f>
        <v>0.9033886085075703</v>
      </c>
      <c r="AP89" s="10">
        <f>AP87/AP88</f>
        <v>0.88795180722891565</v>
      </c>
      <c r="AQ89" s="10"/>
      <c r="AR89" s="14">
        <f>(AL83+AM84+AN85+AO86+AP87)/AQ88</f>
        <v>0.94342560553633215</v>
      </c>
    </row>
    <row r="90" spans="1:51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0</v>
      </c>
      <c r="D90" s="18">
        <f>SQRT(SUM((O84*O84*(D84/O84)*(1-D84/O84))/L84,(O85*O85*(D85/O85)*(1-D85/O85))/L85,(O86*O86*(D86/O86)*(1-D86/O86))/L86,(O87*O87*(D87/O87)*(1-D87/O87))/L87,(O88*O88*(D88/O88)*(1-D88/O88))/L88))</f>
        <v>0.14888710567933047</v>
      </c>
      <c r="E90" s="18">
        <f>SQRT(SUM((O84*O84*(E84/O84)*(1-E84/O84))/L84,(O85*O85*(E85/O85)*(1-E85/O85))/L85,(O86*O86*(E86/O86)*(1-E86/O86))/L86,(O87*O87*(E87/O87)*(1-E87/O87))/L87,(O88*O88*(E88/O88)*(1-E88/O88))/L88))</f>
        <v>0.17376412359158164</v>
      </c>
      <c r="F90" s="18">
        <f>SQRT(SUM((O84*O84*(F84/O84)*(1-F84/O84))/L84,(O85*O85*(F85/O85)*(1-F85/O85))/L85,(O86*O86*(F86/O86)*(1-F86/O86))/L86,(O87*O87*(F87/O87)*(1-F87/O87))/L87,(O88*O88*(F88/O88)*(1-F88/O88))/L88))</f>
        <v>0.17473998998659743</v>
      </c>
      <c r="G90" s="18">
        <f>SQRT(SUM((O84*O84*(G84/O84)*(1-G84/O84))/L84,(O85*O85*(G85/O85)*(1-G85/O85))/L85,(O86*O86*(G86/O86)*(1-G86/O86))/L86,(O87*O87*(G87/O87)*(1-G87/O87))/L87,(O88*O88*(G88/O88)*(1-G88/O88))/L88))</f>
        <v>0.16614363151230466</v>
      </c>
      <c r="H90" s="1"/>
      <c r="I90" s="14">
        <f>(C84+D85+E86+F87+G88)/H89</f>
        <v>0.93626332512038091</v>
      </c>
      <c r="J90" s="53">
        <f>SQRT(SUM(P84:P88))/100</f>
        <v>2.3233004837748283E-3</v>
      </c>
      <c r="M90" s="1"/>
      <c r="N90" s="9"/>
      <c r="S90" t="s">
        <v>31</v>
      </c>
      <c r="T90" s="57">
        <f>I229</f>
        <v>100</v>
      </c>
      <c r="U90" s="57">
        <f>I230</f>
        <v>85.250737463126853</v>
      </c>
      <c r="V90" s="57">
        <f>I231</f>
        <v>96.067036085957568</v>
      </c>
      <c r="W90" s="57">
        <f>I232</f>
        <v>96.119861698040737</v>
      </c>
      <c r="X90" s="57">
        <f>I233</f>
        <v>76.354166666666671</v>
      </c>
      <c r="AC90" t="s">
        <v>186</v>
      </c>
      <c r="AD90" s="51"/>
      <c r="AE90" s="51"/>
      <c r="AH90" s="78"/>
      <c r="AI90" s="78"/>
      <c r="AK90" s="1" t="s">
        <v>14</v>
      </c>
      <c r="AL90" s="11">
        <f>1-AL89</f>
        <v>0</v>
      </c>
      <c r="AM90" s="11">
        <f>1-AM89</f>
        <v>0.40845070422535212</v>
      </c>
      <c r="AN90" s="11">
        <f>1-AN89</f>
        <v>1.2499999999999956E-2</v>
      </c>
      <c r="AO90" s="11">
        <f>1-AO89</f>
        <v>9.6611391492429699E-2</v>
      </c>
      <c r="AP90" s="11">
        <f>1-AP89</f>
        <v>0.11204819277108435</v>
      </c>
    </row>
    <row r="91" spans="1:51" x14ac:dyDescent="0.3">
      <c r="B91" s="1" t="s">
        <v>30</v>
      </c>
      <c r="C91" s="17">
        <f>C84/C89*100</f>
        <v>100</v>
      </c>
      <c r="D91" s="17">
        <f>D85/D89*100</f>
        <v>70.393934472239124</v>
      </c>
      <c r="E91" s="17">
        <f>E86/E89*100</f>
        <v>98.178448275989325</v>
      </c>
      <c r="F91" s="17">
        <f>F87/F89*100</f>
        <v>90.603113005799997</v>
      </c>
      <c r="G91" s="17">
        <f>G88/G89*100</f>
        <v>88.193584112360867</v>
      </c>
      <c r="H91" s="1"/>
      <c r="S91" s="66" t="s">
        <v>39</v>
      </c>
      <c r="T91" s="67">
        <f>J229</f>
        <v>0</v>
      </c>
      <c r="U91" s="67">
        <f>J230</f>
        <v>1.9287497163603353</v>
      </c>
      <c r="V91" s="67">
        <f>J231</f>
        <v>0.22599041165602582</v>
      </c>
      <c r="W91" s="67">
        <f>J232</f>
        <v>0.37859643951024774</v>
      </c>
      <c r="X91" s="67">
        <f>J233</f>
        <v>1.3720956241379361</v>
      </c>
      <c r="AC91" t="s">
        <v>187</v>
      </c>
      <c r="AD91" s="51"/>
      <c r="AE91" s="51"/>
      <c r="AL91" s="2"/>
    </row>
    <row r="92" spans="1:51" ht="15.6" x14ac:dyDescent="0.35">
      <c r="B92" s="16" t="s">
        <v>39</v>
      </c>
      <c r="C92" s="18">
        <f>SQRT((C95+C96)/(C89*C89))</f>
        <v>0</v>
      </c>
      <c r="D92" s="18">
        <f>SQRT((D95+D96)/(D89*D89))</f>
        <v>4.7582068006929239</v>
      </c>
      <c r="E92" s="18">
        <f>SQRT((E95+E96)/(E89*E89))</f>
        <v>0.19306520742122857</v>
      </c>
      <c r="F92" s="18">
        <f>SQRT((F95+F96)/(F89*F89))</f>
        <v>0.58452842110293435</v>
      </c>
      <c r="G92" s="18">
        <f>SQRT((G95+G96)/(G89*G89))</f>
        <v>2.102800544320889</v>
      </c>
      <c r="H92" s="1"/>
      <c r="S92" s="66" t="s">
        <v>56</v>
      </c>
      <c r="T92" s="67">
        <f>N218*100</f>
        <v>100</v>
      </c>
      <c r="U92" s="67">
        <f>N219*100</f>
        <v>69.806763285024161</v>
      </c>
      <c r="V92" s="67">
        <f>N220*100</f>
        <v>97.343193645576562</v>
      </c>
      <c r="W92" s="67">
        <f>N221*100</f>
        <v>93.080357142857139</v>
      </c>
      <c r="X92" s="67">
        <f>N222*100</f>
        <v>81.716833890746926</v>
      </c>
      <c r="AC92" t="s">
        <v>188</v>
      </c>
      <c r="AD92" s="51"/>
      <c r="AE92" s="51"/>
      <c r="AH92" s="78"/>
      <c r="AI92" s="78"/>
      <c r="AJ92" t="s">
        <v>322</v>
      </c>
      <c r="AK92" s="15" t="s">
        <v>23</v>
      </c>
      <c r="AW92" s="12" t="s">
        <v>17</v>
      </c>
      <c r="AX92" s="1" t="s">
        <v>27</v>
      </c>
      <c r="AY92" s="1" t="s">
        <v>33</v>
      </c>
    </row>
    <row r="93" spans="1:51" ht="15.6" x14ac:dyDescent="0.35">
      <c r="B93" s="1" t="s">
        <v>37</v>
      </c>
      <c r="C93" s="18">
        <f>100-C91</f>
        <v>0</v>
      </c>
      <c r="D93" s="18">
        <f>100-D91</f>
        <v>29.606065527760876</v>
      </c>
      <c r="E93" s="18">
        <f>100-E91</f>
        <v>1.8215517240106749</v>
      </c>
      <c r="F93" s="18">
        <f>100-F91</f>
        <v>9.3968869942000026</v>
      </c>
      <c r="G93" s="18">
        <f>100-G91</f>
        <v>11.806415887639133</v>
      </c>
      <c r="R93" s="16" t="s">
        <v>66</v>
      </c>
      <c r="S93" t="s">
        <v>9</v>
      </c>
      <c r="T93" s="30">
        <f>N229</f>
        <v>2929.36</v>
      </c>
      <c r="U93" s="30">
        <f>N230</f>
        <v>9367.1200000000008</v>
      </c>
      <c r="V93" s="30">
        <f>N231</f>
        <v>114260.54</v>
      </c>
      <c r="W93" s="30">
        <f>N232</f>
        <v>51588.639999999999</v>
      </c>
      <c r="X93" s="30">
        <f>N233</f>
        <v>19975.7</v>
      </c>
      <c r="Z93" t="s">
        <v>36</v>
      </c>
      <c r="AA93" s="1">
        <f>N234</f>
        <v>198121.36</v>
      </c>
      <c r="AC93" t="s">
        <v>189</v>
      </c>
      <c r="AD93" s="51"/>
      <c r="AE93" s="51"/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</row>
    <row r="94" spans="1:51" ht="15.6" x14ac:dyDescent="0.35">
      <c r="B94" s="1" t="s">
        <v>25</v>
      </c>
      <c r="C94" s="1">
        <f>C78</f>
        <v>259</v>
      </c>
      <c r="D94" s="1">
        <f>D78</f>
        <v>510</v>
      </c>
      <c r="E94" s="1">
        <f>E78</f>
        <v>7172</v>
      </c>
      <c r="F94" s="1">
        <f>F78</f>
        <v>2777</v>
      </c>
      <c r="G94" s="1">
        <f>G78</f>
        <v>842</v>
      </c>
      <c r="R94" s="16" t="s">
        <v>323</v>
      </c>
      <c r="S94" t="s">
        <v>68</v>
      </c>
      <c r="T94" s="57">
        <f>$AA93*T86/100</f>
        <v>2929.3600000000006</v>
      </c>
      <c r="U94" s="57">
        <f>$AA93*U86/100</f>
        <v>11188.15958554938</v>
      </c>
      <c r="V94" s="57">
        <f>$AA93*V86/100</f>
        <v>112051.80126945738</v>
      </c>
      <c r="W94" s="57">
        <f>$AA93*W86/100</f>
        <v>54748.389544044127</v>
      </c>
      <c r="X94" s="57">
        <f>$AA93*X86/100</f>
        <v>17203.649600949091</v>
      </c>
      <c r="Z94" t="s">
        <v>36</v>
      </c>
      <c r="AA94" s="25">
        <f>SUM(T94:X94)</f>
        <v>198121.36</v>
      </c>
      <c r="AC94" t="s">
        <v>190</v>
      </c>
      <c r="AD94" s="51"/>
      <c r="AE94" s="51"/>
      <c r="AH94" s="78"/>
      <c r="AI94" s="78"/>
      <c r="AJ94" t="s">
        <v>3</v>
      </c>
      <c r="AK94" s="13">
        <v>0</v>
      </c>
      <c r="AL94" s="29">
        <f>(AL83/$AU94)*$AX94</f>
        <v>1.4746567457441235</v>
      </c>
      <c r="AM94" s="31">
        <f t="shared" ref="AM94:AO95" si="12">(AM83/$AU94)*$AX94</f>
        <v>0</v>
      </c>
      <c r="AN94" s="31">
        <f t="shared" si="12"/>
        <v>0</v>
      </c>
      <c r="AO94" s="31">
        <f t="shared" si="12"/>
        <v>0</v>
      </c>
      <c r="AP94" s="32">
        <f>(AP83/$AU94)*$AX94</f>
        <v>0</v>
      </c>
      <c r="AQ94" s="17">
        <f>SUM(AL94:AP94)</f>
        <v>1.4746567457441235</v>
      </c>
      <c r="AR94" s="17">
        <f>AL94/AQ94*100</f>
        <v>100</v>
      </c>
      <c r="AS94" s="17">
        <f>SQRT(AR94*(100-AR94)/(AU94-1))</f>
        <v>0</v>
      </c>
      <c r="AT94" s="18">
        <f>100-AR94</f>
        <v>0</v>
      </c>
      <c r="AU94" s="1">
        <f>AQ83</f>
        <v>259</v>
      </c>
      <c r="AV94">
        <v>0</v>
      </c>
      <c r="AW94" s="1">
        <v>2921.61</v>
      </c>
      <c r="AX94" s="17">
        <f>AW94/AW99*100</f>
        <v>1.4746567457441235</v>
      </c>
      <c r="AY94" s="52">
        <f>((AX94*AX94*(AR94/100)*(AT94/100))/(AU94-1))</f>
        <v>0</v>
      </c>
    </row>
    <row r="95" spans="1:51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727.71508169281788</v>
      </c>
      <c r="E95" s="18">
        <f>(O86*O86*(100-E91)*(100-E91)*(I86)*(100-I86))/((L86-1)*100)</f>
        <v>6.1236698368303291</v>
      </c>
      <c r="F95" s="18">
        <f>(O87*O87*(100-F91)*(100-F91)*(I87)*(100-I87))/((L87-1)*100)</f>
        <v>84.508848678552312</v>
      </c>
      <c r="G95" s="18">
        <f>(O88*O88*(100-G91)*(100-G91)*(I88)*(100-I88))/((L88-1)*100)</f>
        <v>246.00928645936273</v>
      </c>
      <c r="R95" s="66"/>
      <c r="S95" s="66" t="s">
        <v>67</v>
      </c>
      <c r="T95" s="67">
        <f>$AA93*T87/100</f>
        <v>0</v>
      </c>
      <c r="U95" s="67">
        <f>$AA93*U87/100</f>
        <v>288.42432159434327</v>
      </c>
      <c r="V95" s="67">
        <f>$AA93*V87/100</f>
        <v>342.33123001921587</v>
      </c>
      <c r="W95" s="67">
        <f>$AA93*W87/100</f>
        <v>350.66135963559861</v>
      </c>
      <c r="X95" s="67">
        <f>$AA93*X87/100</f>
        <v>335.76725324474205</v>
      </c>
      <c r="AA95" s="1"/>
      <c r="AC95" t="s">
        <v>191</v>
      </c>
      <c r="AD95" s="51"/>
      <c r="AE95" s="51"/>
      <c r="AJ95" t="s">
        <v>4</v>
      </c>
      <c r="AK95" s="13">
        <v>1</v>
      </c>
      <c r="AL95" s="33">
        <f t="shared" ref="AL95:AO98" si="13">(AL84/$AU95)*$AX95</f>
        <v>0</v>
      </c>
      <c r="AM95" s="34">
        <f>(AM84/$AU95)*$AX95</f>
        <v>4.2396923311018506</v>
      </c>
      <c r="AN95" s="19">
        <f t="shared" si="12"/>
        <v>0.54798744415602152</v>
      </c>
      <c r="AO95" s="18">
        <f t="shared" si="12"/>
        <v>0</v>
      </c>
      <c r="AP95" s="20">
        <f>(AP84/$AU95)*$AX95</f>
        <v>0.10094505550242501</v>
      </c>
      <c r="AQ95" s="17">
        <f>SUM(AL95:AP95)</f>
        <v>4.8886248307602971</v>
      </c>
      <c r="AR95" s="17">
        <f>AM95/AQ95*100</f>
        <v>86.725663716814154</v>
      </c>
      <c r="AS95" s="17">
        <f>SQRT(AR95*(100-AR95)/(AU95-1))</f>
        <v>1.8455332487033302</v>
      </c>
      <c r="AT95" s="18">
        <f>100-AR95</f>
        <v>13.274336283185846</v>
      </c>
      <c r="AU95" s="1">
        <f>AQ84</f>
        <v>339</v>
      </c>
      <c r="AV95">
        <v>1</v>
      </c>
      <c r="AW95" s="1">
        <v>9685.41</v>
      </c>
      <c r="AX95" s="17">
        <f>AW95/AW99*100</f>
        <v>4.8886248307602971</v>
      </c>
      <c r="AY95" s="52">
        <f>((AX95*AX95*(AR95/100)*(AT95/100))/(AU95-1))</f>
        <v>8.1398643260493213E-3</v>
      </c>
    </row>
    <row r="96" spans="1:51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68.843691029735979</v>
      </c>
      <c r="E96" s="18">
        <f>E91*E91*(SUM((H84*E84*(1-E73/H73))/(H73-1),(H85*E85*(1-E74/H74))/(H74-1), (H87*E87*(1-E76/H76))/(H76-1),(H88*E88*(1-E77/H77))/(H77-1)))</f>
        <v>113.40596522597167</v>
      </c>
      <c r="F96" s="18">
        <f>F91*F91*(SUM((H84*F84*(1-F73/H73))/(H73-1),(H85*F85*(1-F74/H74))/(H74-1), (H86*F86*(1-F75/H75))/(H75-1),(H88*F88*(1-F77/H77))/(H77-1)))</f>
        <v>172.25414225009195</v>
      </c>
      <c r="G96" s="18">
        <f>G91*G91*(SUM((H84*G84*(1-G73/H73))/(H73-1),(H85*G85*(1-G74/H74))/(H74-1), (H86*G86*(1-G75/H75))/(H75-1),(H87*G87*(1-G76/H76))/(H76-1)))</f>
        <v>77.632932007667094</v>
      </c>
      <c r="R96" t="s">
        <v>101</v>
      </c>
      <c r="S96" t="s">
        <v>28</v>
      </c>
      <c r="T96" s="57">
        <f>C263</f>
        <v>1.4699777954280144</v>
      </c>
      <c r="U96" s="57">
        <f t="shared" ref="U96:X99" si="14">D263</f>
        <v>6.0326095227007874</v>
      </c>
      <c r="V96" s="57">
        <f t="shared" si="14"/>
        <v>56.681231119787476</v>
      </c>
      <c r="W96" s="57">
        <f t="shared" si="14"/>
        <v>27.796360131186152</v>
      </c>
      <c r="X96" s="57">
        <f t="shared" si="14"/>
        <v>8.0198214308975544</v>
      </c>
      <c r="Y96" s="13"/>
      <c r="Z96" s="74"/>
      <c r="AA96" s="12"/>
      <c r="AC96" t="s">
        <v>192</v>
      </c>
      <c r="AD96" s="51"/>
      <c r="AE96" s="51"/>
      <c r="AH96" s="78"/>
      <c r="AI96" s="78"/>
      <c r="AJ96" t="s">
        <v>5</v>
      </c>
      <c r="AK96" s="13">
        <v>2</v>
      </c>
      <c r="AL96" s="33">
        <f t="shared" si="13"/>
        <v>0</v>
      </c>
      <c r="AM96" s="19">
        <f t="shared" si="13"/>
        <v>1.3744350684477764</v>
      </c>
      <c r="AN96" s="34">
        <f t="shared" si="13"/>
        <v>55.524053049225522</v>
      </c>
      <c r="AO96" s="19">
        <f t="shared" si="13"/>
        <v>0.71845469487042868</v>
      </c>
      <c r="AP96" s="20">
        <f>(AP85/$AU96)*$AX96</f>
        <v>0.16399509339433696</v>
      </c>
      <c r="AQ96" s="17">
        <f>SUM(AL96:AP96)</f>
        <v>57.78093790593806</v>
      </c>
      <c r="AR96" s="17">
        <f>AN96/AQ96*100</f>
        <v>96.094066765779161</v>
      </c>
      <c r="AS96" s="17">
        <f>SQRT(AR96*(100-AR96)/(AU96-1))</f>
        <v>0.22524415547237875</v>
      </c>
      <c r="AT96" s="18">
        <f>100-AR96</f>
        <v>3.9059332342208393</v>
      </c>
      <c r="AU96" s="1">
        <f>AQ85</f>
        <v>7399</v>
      </c>
      <c r="AV96">
        <v>2</v>
      </c>
      <c r="AW96" s="1">
        <v>114476.38</v>
      </c>
      <c r="AX96" s="17">
        <f>AW96/AW99*100</f>
        <v>57.78093790593806</v>
      </c>
      <c r="AY96" s="52">
        <f>((AX96*AX96*(AR96/100)*(AT96/100))/(AU96-1))</f>
        <v>1.6938550217640024E-2</v>
      </c>
    </row>
    <row r="97" spans="1:51" x14ac:dyDescent="0.3">
      <c r="S97" s="66" t="s">
        <v>39</v>
      </c>
      <c r="T97" s="67">
        <f>C264</f>
        <v>0</v>
      </c>
      <c r="U97" s="67">
        <f t="shared" si="14"/>
        <v>0.15291715720660931</v>
      </c>
      <c r="V97" s="67">
        <f t="shared" si="14"/>
        <v>0.18089721983655249</v>
      </c>
      <c r="W97" s="67">
        <f t="shared" si="14"/>
        <v>0.17876495240243334</v>
      </c>
      <c r="X97" s="67">
        <f t="shared" si="14"/>
        <v>0.1718305604698617</v>
      </c>
      <c r="AC97" t="s">
        <v>193</v>
      </c>
      <c r="AD97" s="51"/>
      <c r="AE97" s="51"/>
      <c r="AJ97" t="s">
        <v>6</v>
      </c>
      <c r="AK97" s="13">
        <v>3</v>
      </c>
      <c r="AL97" s="33">
        <f t="shared" si="13"/>
        <v>0</v>
      </c>
      <c r="AM97" s="19">
        <f t="shared" si="13"/>
        <v>7.0570006498526391E-2</v>
      </c>
      <c r="AN97" s="19">
        <f t="shared" si="13"/>
        <v>0.25203573749473712</v>
      </c>
      <c r="AO97" s="34">
        <f t="shared" si="13"/>
        <v>25.264062326472448</v>
      </c>
      <c r="AP97" s="20">
        <f>(AP86/$AU97)*$AX97</f>
        <v>0.65529291748631646</v>
      </c>
      <c r="AQ97" s="17">
        <f>SUM(AL97:AP97)</f>
        <v>26.24196098795203</v>
      </c>
      <c r="AR97" s="17">
        <f>AO97/AQ97*100</f>
        <v>96.273530541682661</v>
      </c>
      <c r="AS97" s="17">
        <f>SQRT(AR97*(100-AR97)/(AU97-1))</f>
        <v>0.37132020901141038</v>
      </c>
      <c r="AT97" s="18">
        <f>100-AR97</f>
        <v>3.7264694583173394</v>
      </c>
      <c r="AU97" s="1">
        <f>AQ86</f>
        <v>2603</v>
      </c>
      <c r="AV97">
        <v>3</v>
      </c>
      <c r="AW97" s="1">
        <v>51990.93</v>
      </c>
      <c r="AX97" s="17">
        <f>AW97/AW99*100</f>
        <v>26.24196098795203</v>
      </c>
      <c r="AY97" s="52">
        <f>((AX97*AX97*(AR97/100)*(AT97/100))/(AU97-1))</f>
        <v>9.494885754263712E-3</v>
      </c>
    </row>
    <row r="98" spans="1:51" x14ac:dyDescent="0.3">
      <c r="S98" t="s">
        <v>30</v>
      </c>
      <c r="T98" s="57">
        <f>C265</f>
        <v>100</v>
      </c>
      <c r="U98" s="57">
        <f t="shared" si="14"/>
        <v>70.402205014297095</v>
      </c>
      <c r="V98" s="57">
        <f t="shared" si="14"/>
        <v>97.747042746572944</v>
      </c>
      <c r="W98" s="57">
        <f t="shared" si="14"/>
        <v>89.780469244793466</v>
      </c>
      <c r="X98" s="57">
        <f t="shared" si="14"/>
        <v>87.832601326783859</v>
      </c>
      <c r="AA98" s="54"/>
      <c r="AC98" t="s">
        <v>194</v>
      </c>
      <c r="AD98" s="51"/>
      <c r="AE98" s="51"/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13"/>
        <v>0.200287906866781</v>
      </c>
      <c r="AN98" s="21">
        <f t="shared" si="13"/>
        <v>0.27038867427015434</v>
      </c>
      <c r="AO98" s="21">
        <f t="shared" si="13"/>
        <v>1.7625335804276727</v>
      </c>
      <c r="AP98" s="37">
        <f>(AP87/$AU98)*$AX98</f>
        <v>7.3806093680408793</v>
      </c>
      <c r="AQ98" s="17">
        <f>SUM(AL98:AP98)</f>
        <v>9.6138195296054878</v>
      </c>
      <c r="AR98" s="17">
        <f>AP98/AQ98*100</f>
        <v>76.770833333333329</v>
      </c>
      <c r="AS98" s="17">
        <f>SQRT(AR98*(100-AR98)/(AU98-1))</f>
        <v>1.3636585469150411</v>
      </c>
      <c r="AT98" s="18">
        <f>100-AR98</f>
        <v>23.229166666666671</v>
      </c>
      <c r="AU98" s="1">
        <f>AQ87</f>
        <v>960</v>
      </c>
      <c r="AV98">
        <v>4</v>
      </c>
      <c r="AW98" s="1">
        <v>19047.03</v>
      </c>
      <c r="AX98" s="17">
        <f>AW98/AW99*100</f>
        <v>9.6138195296054878</v>
      </c>
      <c r="AY98" s="52">
        <f>((AX98*AX98*(AR98/100)*(AT98/100))/(AU98-1))</f>
        <v>1.7187123919966459E-2</v>
      </c>
    </row>
    <row r="99" spans="1:51" x14ac:dyDescent="0.3">
      <c r="A99" s="361" t="s">
        <v>441</v>
      </c>
      <c r="B99" s="361"/>
      <c r="C99" s="361"/>
      <c r="D99" s="361"/>
      <c r="E99" s="361"/>
      <c r="F99" s="361"/>
      <c r="G99" s="361"/>
      <c r="H99" s="361"/>
      <c r="I99" s="361"/>
      <c r="J99" s="361"/>
      <c r="K99" s="361"/>
      <c r="L99" s="361" t="s">
        <v>62</v>
      </c>
      <c r="M99" s="361"/>
      <c r="N99" s="361"/>
      <c r="O99" s="361"/>
      <c r="P99" s="361"/>
      <c r="S99" s="66" t="s">
        <v>39</v>
      </c>
      <c r="T99" s="67">
        <f>C266</f>
        <v>0</v>
      </c>
      <c r="U99" s="67">
        <f t="shared" si="14"/>
        <v>4.9149530384958027</v>
      </c>
      <c r="V99" s="67">
        <f t="shared" si="14"/>
        <v>0.21400464875913924</v>
      </c>
      <c r="W99" s="67">
        <f t="shared" si="14"/>
        <v>0.60259173687859924</v>
      </c>
      <c r="X99" s="67">
        <f t="shared" si="14"/>
        <v>2.3939471221523152</v>
      </c>
      <c r="AC99" t="s">
        <v>195</v>
      </c>
      <c r="AD99" s="51"/>
      <c r="AE99" s="51"/>
      <c r="AK99" t="s">
        <v>28</v>
      </c>
      <c r="AL99" s="17">
        <f t="shared" ref="AL99:AQ99" si="15">SUM(AL94:AL98)</f>
        <v>1.4746567457441235</v>
      </c>
      <c r="AM99" s="17">
        <f t="shared" si="15"/>
        <v>5.8849853129149343</v>
      </c>
      <c r="AN99" s="17">
        <f t="shared" si="15"/>
        <v>56.594464905146431</v>
      </c>
      <c r="AO99" s="17">
        <f t="shared" si="15"/>
        <v>27.745050601770547</v>
      </c>
      <c r="AP99" s="17">
        <f t="shared" si="15"/>
        <v>8.3008424344239575</v>
      </c>
      <c r="AQ99" s="18">
        <f t="shared" si="15"/>
        <v>100</v>
      </c>
      <c r="AR99" s="13" t="s">
        <v>24</v>
      </c>
      <c r="AS99" s="12" t="s">
        <v>29</v>
      </c>
      <c r="AW99" s="1">
        <f>SUM(AW94:AW98)</f>
        <v>198121.36000000002</v>
      </c>
      <c r="AX99" s="17">
        <f>SUM(AX94:AX98)</f>
        <v>100</v>
      </c>
    </row>
    <row r="100" spans="1:51" x14ac:dyDescent="0.3">
      <c r="A100" t="s">
        <v>320</v>
      </c>
      <c r="B100" t="s">
        <v>21</v>
      </c>
      <c r="I100" s="1" t="s">
        <v>58</v>
      </c>
      <c r="O100" s="143"/>
      <c r="P100" s="143"/>
      <c r="S100" t="s">
        <v>31</v>
      </c>
      <c r="T100" s="57">
        <f>I258</f>
        <v>100</v>
      </c>
      <c r="U100" s="57">
        <f>I259</f>
        <v>85.250737463126839</v>
      </c>
      <c r="V100" s="57">
        <f>I260</f>
        <v>95.769698607919992</v>
      </c>
      <c r="W100" s="57">
        <f>I261</f>
        <v>96.158278908951203</v>
      </c>
      <c r="X100" s="57">
        <f>I262</f>
        <v>72.291666666666671</v>
      </c>
      <c r="AC100" t="s">
        <v>196</v>
      </c>
      <c r="AD100" s="51"/>
      <c r="AE100" s="51"/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0</v>
      </c>
      <c r="AM100" s="18">
        <f>SQRT(SUM((AX94*AM94-AM94*AM94)/AU94,(AX95*AM95-AM95*AM95)/AU95,(AX96*AM96-AM96*AM96)/AU96,(AX97*AM97-AM97*AM97)/AU97,(AX98*AM98-AM98*AM98)/AU98))</f>
        <v>0.14583349959130973</v>
      </c>
      <c r="AN100" s="18">
        <f>SQRT(SUM((AX94*AN94-AN94*AN94)/AU94,(AX95*AN95-AN95*AN95)/AU95,(AX96*AN96-AN96*AN96)/AU96,(AX97*AN97-AN97*AN97)/AU97,(AX98*AN98-AN98*AN98)/AU98))</f>
        <v>0.17058992829916111</v>
      </c>
      <c r="AO100" s="18">
        <f>SQRT(SUM((AX94*AO94-AO94*AO94)/AU94,(AX95*AO95-AO95*AO95)/AU95,(AX96*AO96-AO96*AO96)/AU96,(AX97*AO97-AO97*AO97)/AU97,(AX98*AO98-AO98*AO98)/AU98))</f>
        <v>0.17160081905484426</v>
      </c>
      <c r="AP100" s="18">
        <f>SQRT(SUM((AX94*AP94-AP94*AP94)/AU94,(AX95*AP95-AP95*AP95)/AU95,(AX96*AP96-AP96*AP96)/AU96,(AX97*AP97-AP97*AP97)/AU97,(AX98*AP98-AP98*AP98)/AU98))</f>
        <v>0.16221354881387454</v>
      </c>
      <c r="AQ100" s="1"/>
      <c r="AR100" s="56">
        <f>(AL94+AM95+AN96+AO97+AP98)/AQ99</f>
        <v>0.93883073820584828</v>
      </c>
      <c r="AS100" s="53">
        <f>SQRT(SUM(AY94:AY98))/100</f>
        <v>2.2750917392034883E-3</v>
      </c>
      <c r="AV100" s="1"/>
      <c r="AW100" s="9"/>
    </row>
    <row r="101" spans="1:51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56</v>
      </c>
      <c r="O101" s="13"/>
      <c r="P101" s="13"/>
      <c r="S101" s="66" t="s">
        <v>39</v>
      </c>
      <c r="T101" s="67">
        <f>J258</f>
        <v>0</v>
      </c>
      <c r="U101" s="67">
        <f>J259</f>
        <v>1.9287497163603362</v>
      </c>
      <c r="V101" s="67">
        <f>J260</f>
        <v>0.23401438359686333</v>
      </c>
      <c r="W101" s="67">
        <f>J261</f>
        <v>0.37679281315383073</v>
      </c>
      <c r="X101" s="67">
        <f>J262</f>
        <v>1.4452401459553152</v>
      </c>
      <c r="AC101" t="s">
        <v>197</v>
      </c>
      <c r="AD101" s="51"/>
      <c r="AE101" s="51"/>
      <c r="AK101" s="1" t="s">
        <v>30</v>
      </c>
      <c r="AL101" s="17">
        <f>AL94/AL99*100</f>
        <v>100</v>
      </c>
      <c r="AM101" s="17">
        <f>AM95/AM99*100</f>
        <v>72.042530366177886</v>
      </c>
      <c r="AN101" s="17">
        <f>AN96/AN99*100</f>
        <v>98.10862801209457</v>
      </c>
      <c r="AO101" s="17">
        <f>AO97/AO99*100</f>
        <v>91.057906828471317</v>
      </c>
      <c r="AP101" s="17">
        <f>AP98/AP99*100</f>
        <v>88.913979832133279</v>
      </c>
      <c r="AQ101" s="1"/>
    </row>
    <row r="102" spans="1:51" x14ac:dyDescent="0.3">
      <c r="A102" t="s">
        <v>3</v>
      </c>
      <c r="B102" s="13">
        <v>0</v>
      </c>
      <c r="C102" s="26">
        <v>259</v>
      </c>
      <c r="D102" s="3">
        <v>0</v>
      </c>
      <c r="E102" s="3">
        <v>0</v>
      </c>
      <c r="F102" s="3">
        <v>0</v>
      </c>
      <c r="G102" s="4">
        <v>0</v>
      </c>
      <c r="H102" s="1">
        <f>SUM(C102:G102)</f>
        <v>259</v>
      </c>
      <c r="I102" s="10">
        <f>C102/H102</f>
        <v>1</v>
      </c>
      <c r="J102" s="11">
        <f>1-I102</f>
        <v>0</v>
      </c>
      <c r="K102">
        <f>H102-C107</f>
        <v>0</v>
      </c>
      <c r="N102" s="10">
        <f>2*(C108*I102)/(C108+I102)</f>
        <v>1</v>
      </c>
      <c r="O102" s="1"/>
      <c r="P102" s="1"/>
      <c r="S102" s="66" t="s">
        <v>56</v>
      </c>
      <c r="T102" s="67">
        <f>N247*100</f>
        <v>100</v>
      </c>
      <c r="U102" s="67">
        <f>N248*100</f>
        <v>68.080094228504123</v>
      </c>
      <c r="V102" s="67">
        <f>N249*100</f>
        <v>97.115055163434505</v>
      </c>
      <c r="W102" s="67">
        <f>N250*100</f>
        <v>92.583687812095434</v>
      </c>
      <c r="X102" s="67">
        <f>N251*100</f>
        <v>79.178551055333713</v>
      </c>
      <c r="AC102" t="s">
        <v>198</v>
      </c>
      <c r="AD102" s="51"/>
      <c r="AE102" s="51"/>
      <c r="AH102" s="78"/>
      <c r="AI102" s="78"/>
      <c r="AK102" s="16" t="s">
        <v>39</v>
      </c>
      <c r="AL102" s="18">
        <f>SQRT((AL105+AL106)/(AL99*AL99))</f>
        <v>0</v>
      </c>
      <c r="AM102" s="18">
        <f>SQRT((AM105+AM106)/(AM99*AM99))</f>
        <v>4.5102114418065202</v>
      </c>
      <c r="AN102" s="18">
        <f>SQRT((AN105+AN106)/(AN99*AN99))</f>
        <v>0.1962703031173918</v>
      </c>
      <c r="AO102" s="18">
        <f>SQRT((AO105+AO106)/(AO99*AO99))</f>
        <v>0.56012779103475796</v>
      </c>
      <c r="AP102" s="18">
        <f>SQRT((AP105+AP106)/(AP99*AP99))</f>
        <v>2.0286666977387791</v>
      </c>
      <c r="AQ102" s="1"/>
    </row>
    <row r="103" spans="1:51" x14ac:dyDescent="0.3">
      <c r="A103" t="s">
        <v>4</v>
      </c>
      <c r="B103" s="13">
        <v>1</v>
      </c>
      <c r="C103" s="5">
        <v>0</v>
      </c>
      <c r="D103" s="27">
        <v>293</v>
      </c>
      <c r="E103" s="1">
        <v>40</v>
      </c>
      <c r="F103" s="1">
        <v>0</v>
      </c>
      <c r="G103" s="6">
        <v>6</v>
      </c>
      <c r="H103" s="1">
        <f>SUM(C103:G103)</f>
        <v>339</v>
      </c>
      <c r="I103" s="10">
        <f>D103/H103</f>
        <v>0.86430678466076694</v>
      </c>
      <c r="J103" s="11">
        <f>1-I103</f>
        <v>0.13569321533923306</v>
      </c>
      <c r="K103">
        <f>H103-D107</f>
        <v>-169</v>
      </c>
      <c r="N103" s="10">
        <f>2*(D108*I103)/(D108+I103)</f>
        <v>0.69185360094450998</v>
      </c>
      <c r="O103" s="1"/>
      <c r="P103" s="1"/>
      <c r="R103" s="16" t="s">
        <v>66</v>
      </c>
      <c r="S103" t="s">
        <v>9</v>
      </c>
      <c r="T103" s="30">
        <f>N258</f>
        <v>2912.34</v>
      </c>
      <c r="U103" s="30">
        <f>N259</f>
        <v>9870.17</v>
      </c>
      <c r="V103" s="30">
        <f>N260</f>
        <v>114616.22</v>
      </c>
      <c r="W103" s="30">
        <f>N261</f>
        <v>51417.91</v>
      </c>
      <c r="X103" s="30">
        <f>N262</f>
        <v>19304.72</v>
      </c>
      <c r="Z103" t="s">
        <v>36</v>
      </c>
      <c r="AA103" s="1">
        <f>N263</f>
        <v>198121.36000000002</v>
      </c>
      <c r="AC103" t="s">
        <v>199</v>
      </c>
      <c r="AD103" s="51"/>
      <c r="AE103" s="51"/>
      <c r="AK103" s="1" t="s">
        <v>37</v>
      </c>
      <c r="AL103" s="18">
        <f>100-AL101</f>
        <v>0</v>
      </c>
      <c r="AM103" s="18">
        <f>100-AM101</f>
        <v>27.957469633822114</v>
      </c>
      <c r="AN103" s="18">
        <f>100-AN101</f>
        <v>1.8913719879054298</v>
      </c>
      <c r="AO103" s="18">
        <f>100-AO101</f>
        <v>8.9420931715286827</v>
      </c>
      <c r="AP103" s="18">
        <f>100-AP101</f>
        <v>11.086020167866721</v>
      </c>
    </row>
    <row r="104" spans="1:51" ht="15.6" x14ac:dyDescent="0.35">
      <c r="A104" t="s">
        <v>5</v>
      </c>
      <c r="B104" s="13">
        <v>2</v>
      </c>
      <c r="C104" s="5">
        <v>0</v>
      </c>
      <c r="D104" s="1">
        <v>180</v>
      </c>
      <c r="E104" s="27">
        <v>7093</v>
      </c>
      <c r="F104" s="1">
        <v>98</v>
      </c>
      <c r="G104" s="6">
        <v>28</v>
      </c>
      <c r="H104" s="1">
        <f>SUM(C104:G104)</f>
        <v>7399</v>
      </c>
      <c r="I104" s="10">
        <f>E104/H104</f>
        <v>0.95864305987295584</v>
      </c>
      <c r="J104" s="11">
        <f>1-I104</f>
        <v>4.1356940127044162E-2</v>
      </c>
      <c r="K104">
        <f>H104-E107</f>
        <v>213</v>
      </c>
      <c r="N104" s="10">
        <f>2*(E108*I104)/(E108+I104)</f>
        <v>0.97264312649982865</v>
      </c>
      <c r="O104" s="1"/>
      <c r="P104" s="1"/>
      <c r="R104" s="16" t="s">
        <v>323</v>
      </c>
      <c r="S104" t="s">
        <v>68</v>
      </c>
      <c r="T104" s="57">
        <f>$AA103*T96/100</f>
        <v>2912.34</v>
      </c>
      <c r="U104" s="57">
        <f>$AA103*U96/100</f>
        <v>11951.888029864309</v>
      </c>
      <c r="V104" s="57">
        <f>$AA103*V96/100</f>
        <v>112297.62595926618</v>
      </c>
      <c r="W104" s="57">
        <f>$AA103*W96/100</f>
        <v>55070.526722403796</v>
      </c>
      <c r="X104" s="57">
        <f>$AA103*X96/100</f>
        <v>15888.979288465698</v>
      </c>
      <c r="Z104" t="s">
        <v>36</v>
      </c>
      <c r="AA104" s="25">
        <f>SUM(T104:X104)</f>
        <v>198121.36</v>
      </c>
      <c r="AC104" t="s">
        <v>200</v>
      </c>
      <c r="AD104" s="51"/>
      <c r="AE104" s="51"/>
      <c r="AH104" s="78"/>
      <c r="AI104" s="78"/>
      <c r="AK104" s="1" t="s">
        <v>25</v>
      </c>
      <c r="AL104" s="1">
        <f>AL88</f>
        <v>259</v>
      </c>
      <c r="AM104" s="1">
        <f>AM88</f>
        <v>497</v>
      </c>
      <c r="AN104" s="1">
        <f>AN88</f>
        <v>7200</v>
      </c>
      <c r="AO104" s="1">
        <f>AO88</f>
        <v>2774</v>
      </c>
      <c r="AP104" s="1">
        <f>AP88</f>
        <v>830</v>
      </c>
    </row>
    <row r="105" spans="1:51" x14ac:dyDescent="0.3">
      <c r="A105" t="s">
        <v>6</v>
      </c>
      <c r="B105" s="13">
        <v>3</v>
      </c>
      <c r="C105" s="5">
        <v>0</v>
      </c>
      <c r="D105" s="1">
        <v>9</v>
      </c>
      <c r="E105" s="1">
        <v>25</v>
      </c>
      <c r="F105" s="27">
        <v>2491</v>
      </c>
      <c r="G105" s="6">
        <v>78</v>
      </c>
      <c r="H105" s="1">
        <f>SUM(C105:G105)</f>
        <v>2603</v>
      </c>
      <c r="I105" s="10">
        <f>F105/H105</f>
        <v>0.95697272378025355</v>
      </c>
      <c r="J105" s="11">
        <f>1-I105</f>
        <v>4.3027276219746446E-2</v>
      </c>
      <c r="K105">
        <f>H105-F107</f>
        <v>-160</v>
      </c>
      <c r="N105" s="10">
        <f>2*(F108*I105)/(F108+I105)</f>
        <v>0.92843831531867316</v>
      </c>
      <c r="O105" s="1"/>
      <c r="P105" s="1"/>
      <c r="R105" s="66"/>
      <c r="S105" s="66" t="s">
        <v>67</v>
      </c>
      <c r="T105" s="67">
        <f>$AA103*T97/100</f>
        <v>0</v>
      </c>
      <c r="U105" s="67">
        <f>$AA103*U97/100</f>
        <v>302.96155153107242</v>
      </c>
      <c r="V105" s="67">
        <f>$AA103*V97/100</f>
        <v>358.39603214236763</v>
      </c>
      <c r="W105" s="67">
        <f>$AA103*W97/100</f>
        <v>354.17155490305362</v>
      </c>
      <c r="X105" s="67">
        <f>$AA103*X97/100</f>
        <v>340.43304329851242</v>
      </c>
      <c r="AA105" s="1"/>
      <c r="AC105" t="s">
        <v>201</v>
      </c>
      <c r="AD105" s="51"/>
      <c r="AE105" s="51"/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636.22816362863114</v>
      </c>
      <c r="AN105" s="18">
        <f>(AX96*AX96*(100-AN101)*(100-AN101)*(AR96)*(100-AR96))/((AU96-1)*100)</f>
        <v>6.0594072373934651</v>
      </c>
      <c r="AO105" s="18">
        <f>(AX97*AX97*(100-AO101)*(100-AO101)*(AR97)*(100-AR97))/((AU97-1)*100)</f>
        <v>75.922084738062793</v>
      </c>
      <c r="AP105" s="18">
        <f>(AX98*AX98*(100-AP101)*(100-AP101)*(AR98)*(100-AR98))/((AU98-1)*100)</f>
        <v>211.22948341757126</v>
      </c>
    </row>
    <row r="106" spans="1:51" x14ac:dyDescent="0.3">
      <c r="A106" t="s">
        <v>7</v>
      </c>
      <c r="B106" s="13">
        <v>4</v>
      </c>
      <c r="C106" s="7">
        <v>0</v>
      </c>
      <c r="D106" s="8">
        <v>26</v>
      </c>
      <c r="E106" s="8">
        <v>28</v>
      </c>
      <c r="F106" s="8">
        <v>174</v>
      </c>
      <c r="G106" s="28">
        <v>732</v>
      </c>
      <c r="H106" s="1">
        <f>SUM(C106:G106)</f>
        <v>960</v>
      </c>
      <c r="I106" s="10">
        <f>G106/H106</f>
        <v>0.76249999999999996</v>
      </c>
      <c r="J106" s="11">
        <f>1-I106</f>
        <v>0.23750000000000004</v>
      </c>
      <c r="K106">
        <f>H106-G107</f>
        <v>116</v>
      </c>
      <c r="N106" s="10">
        <f>2*(G108*I106)/(G108+I106)</f>
        <v>0.81152993348115299</v>
      </c>
      <c r="O106" s="1"/>
      <c r="P106" s="1"/>
      <c r="R106" t="s">
        <v>102</v>
      </c>
      <c r="S106" t="s">
        <v>28</v>
      </c>
      <c r="T106" s="57">
        <f>C292</f>
        <v>1.4697506619175233</v>
      </c>
      <c r="U106" s="57">
        <f t="shared" ref="U106:X109" si="16">D292</f>
        <v>5.7931699009386568</v>
      </c>
      <c r="V106" s="57">
        <f t="shared" si="16"/>
        <v>56.865374117667685</v>
      </c>
      <c r="W106" s="57">
        <f t="shared" si="16"/>
        <v>27.346094248069374</v>
      </c>
      <c r="X106" s="57">
        <f t="shared" si="16"/>
        <v>8.5256110714067557</v>
      </c>
      <c r="Y106" s="60"/>
      <c r="Z106" s="74"/>
      <c r="AA106" s="12"/>
      <c r="AC106" t="s">
        <v>202</v>
      </c>
      <c r="AD106" s="51"/>
      <c r="AE106" s="51"/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68.277633948207637</v>
      </c>
      <c r="AN106" s="18">
        <f>AN101*AN101*(SUM((AQ94*AN94*(1-AN83/AQ83))/(AQ83-1),(AQ95*AN95*(1-AN84/AQ84))/(AQ84-1), (AQ97*AN97*(1-AN86/AQ86))/(AQ86-1),(AQ98*AN98*(1-AN87/AQ87))/(AQ87-1)))</f>
        <v>117.3240975558974</v>
      </c>
      <c r="AO106" s="18">
        <f>AO101*AO101*(SUM((AQ94*AO94*(1-AO83/AQ83))/(AQ83-1),(AQ95*AO95*(1-AO84/AQ84))/(AQ84-1), (AQ96*AO96*(1-AO85/AQ85))/(AQ85-1),(AQ98*AO98*(1-AO87/AQ87))/(AQ87-1)))</f>
        <v>165.59356885056152</v>
      </c>
      <c r="AP106" s="18">
        <f>AP101*AP101*(SUM((AQ94*AP94*(1-AP83/AQ83))/(AQ83-1),(AQ95*AP95*(1-AP84/AQ84))/(AQ84-1), (AQ96*AP96*(1-AP85/AQ85))/(AQ85-1),(AQ97*AP97*(1-AP86/AQ86))/(AQ86-1)))</f>
        <v>72.344079811345111</v>
      </c>
    </row>
    <row r="107" spans="1:51" ht="15.6" x14ac:dyDescent="0.35">
      <c r="B107" s="1" t="s">
        <v>19</v>
      </c>
      <c r="C107" s="1">
        <f>SUM(C102:C106)</f>
        <v>259</v>
      </c>
      <c r="D107" s="1">
        <f>SUM(D102:D106)</f>
        <v>508</v>
      </c>
      <c r="E107" s="1">
        <f>SUM(E102:E106)</f>
        <v>7186</v>
      </c>
      <c r="F107" s="1">
        <f>SUM(F102:F106)</f>
        <v>2763</v>
      </c>
      <c r="G107" s="1">
        <f>SUM(G102:G106)</f>
        <v>844</v>
      </c>
      <c r="H107" s="1">
        <f>SUM(H101:H106)</f>
        <v>11560</v>
      </c>
      <c r="I107" s="13" t="s">
        <v>12</v>
      </c>
      <c r="N107" s="16"/>
      <c r="O107" s="1"/>
      <c r="P107" s="1"/>
      <c r="S107" s="66" t="s">
        <v>39</v>
      </c>
      <c r="T107" s="67">
        <f>C293</f>
        <v>0</v>
      </c>
      <c r="U107" s="67">
        <f t="shared" si="16"/>
        <v>0.14584369912580983</v>
      </c>
      <c r="V107" s="67">
        <f t="shared" si="16"/>
        <v>0.175980384234391</v>
      </c>
      <c r="W107" s="67">
        <f t="shared" si="16"/>
        <v>0.17753749942129099</v>
      </c>
      <c r="X107" s="67">
        <f t="shared" si="16"/>
        <v>0.16901257876441947</v>
      </c>
      <c r="AC107" t="s">
        <v>203</v>
      </c>
      <c r="AD107" s="51"/>
      <c r="AE107" s="51"/>
    </row>
    <row r="108" spans="1:51" x14ac:dyDescent="0.3">
      <c r="A108" s="1" t="s">
        <v>321</v>
      </c>
      <c r="B108" s="1" t="s">
        <v>2</v>
      </c>
      <c r="C108" s="10">
        <f>C102/C107</f>
        <v>1</v>
      </c>
      <c r="D108" s="10">
        <f>D103/D107</f>
        <v>0.57677165354330706</v>
      </c>
      <c r="E108" s="10">
        <f>E104/E107</f>
        <v>0.98705816866128582</v>
      </c>
      <c r="F108" s="10">
        <f>F105/F107</f>
        <v>0.90155627940644223</v>
      </c>
      <c r="G108" s="10">
        <f>G106/G107</f>
        <v>0.86729857819905209</v>
      </c>
      <c r="H108" s="10"/>
      <c r="I108" s="14">
        <f>(C102+D103+E104+F105+G106)/H107</f>
        <v>0.94013840830449824</v>
      </c>
      <c r="S108" t="s">
        <v>30</v>
      </c>
      <c r="T108" s="57">
        <f>C294</f>
        <v>100</v>
      </c>
      <c r="U108" s="57">
        <f t="shared" si="16"/>
        <v>71.858700485495348</v>
      </c>
      <c r="V108" s="57">
        <f t="shared" si="16"/>
        <v>97.838191968207383</v>
      </c>
      <c r="W108" s="57">
        <f t="shared" si="16"/>
        <v>90.492682073410094</v>
      </c>
      <c r="X108" s="57">
        <f t="shared" si="16"/>
        <v>88.428840980242214</v>
      </c>
      <c r="AC108" t="s">
        <v>204</v>
      </c>
      <c r="AD108" s="51"/>
      <c r="AE108" s="51"/>
      <c r="AH108" s="78"/>
      <c r="AI108" s="78"/>
      <c r="AJ108" s="118" t="s">
        <v>375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</row>
    <row r="109" spans="1:51" x14ac:dyDescent="0.3">
      <c r="B109" s="1" t="s">
        <v>14</v>
      </c>
      <c r="C109" s="11">
        <f>1-C108</f>
        <v>0</v>
      </c>
      <c r="D109" s="11">
        <f>1-D108</f>
        <v>0.42322834645669294</v>
      </c>
      <c r="E109" s="11">
        <f>1-E108</f>
        <v>1.2941831338714183E-2</v>
      </c>
      <c r="F109" s="11">
        <f>1-F108</f>
        <v>9.8443720593557771E-2</v>
      </c>
      <c r="G109" s="11">
        <f>1-G108</f>
        <v>0.13270142180094791</v>
      </c>
      <c r="S109" s="66" t="s">
        <v>39</v>
      </c>
      <c r="T109" s="67">
        <f>C295</f>
        <v>0</v>
      </c>
      <c r="U109" s="67">
        <f t="shared" si="16"/>
        <v>4.6347374703584947</v>
      </c>
      <c r="V109" s="67">
        <f t="shared" si="16"/>
        <v>0.20738049391975494</v>
      </c>
      <c r="W109" s="67">
        <f t="shared" si="16"/>
        <v>0.59746840787665356</v>
      </c>
      <c r="X109" s="67">
        <f t="shared" si="16"/>
        <v>2.1268059549056129</v>
      </c>
      <c r="AC109" t="s">
        <v>205</v>
      </c>
      <c r="AD109" s="51"/>
      <c r="AE109" s="51"/>
      <c r="AJ109" s="106" t="s">
        <v>443</v>
      </c>
      <c r="AK109" s="107" t="s">
        <v>28</v>
      </c>
      <c r="AL109" s="108">
        <f t="shared" ref="AL109:AP112" si="17">AL99</f>
        <v>1.4746567457441235</v>
      </c>
      <c r="AM109" s="108">
        <f t="shared" si="17"/>
        <v>5.8849853129149343</v>
      </c>
      <c r="AN109" s="108">
        <f t="shared" si="17"/>
        <v>56.594464905146431</v>
      </c>
      <c r="AO109" s="108">
        <f t="shared" si="17"/>
        <v>27.745050601770547</v>
      </c>
      <c r="AP109" s="108">
        <f t="shared" si="17"/>
        <v>8.3008424344239575</v>
      </c>
      <c r="AQ109" s="107"/>
      <c r="AR109" s="232" t="s">
        <v>77</v>
      </c>
      <c r="AS109" s="233">
        <f>AR100</f>
        <v>0.93883073820584828</v>
      </c>
    </row>
    <row r="110" spans="1:51" x14ac:dyDescent="0.3">
      <c r="C110" s="2"/>
      <c r="S110" s="15" t="s">
        <v>31</v>
      </c>
      <c r="T110" s="71">
        <f>I287</f>
        <v>100</v>
      </c>
      <c r="U110" s="71">
        <f>I288</f>
        <v>86.135693215339231</v>
      </c>
      <c r="V110" s="71">
        <f>I289</f>
        <v>96.026490066225151</v>
      </c>
      <c r="W110" s="71">
        <f>I290</f>
        <v>95.850941221667313</v>
      </c>
      <c r="X110" s="71">
        <f>I291</f>
        <v>75.833333333333329</v>
      </c>
      <c r="AC110" t="s">
        <v>206</v>
      </c>
      <c r="AD110" s="51"/>
      <c r="AE110" s="51"/>
      <c r="AH110" s="78"/>
      <c r="AI110" s="78"/>
      <c r="AJ110" s="107"/>
      <c r="AK110" s="109" t="s">
        <v>39</v>
      </c>
      <c r="AL110" s="110">
        <f t="shared" si="17"/>
        <v>0</v>
      </c>
      <c r="AM110" s="110">
        <f t="shared" si="17"/>
        <v>0.14583349959130973</v>
      </c>
      <c r="AN110" s="110">
        <f t="shared" si="17"/>
        <v>0.17058992829916111</v>
      </c>
      <c r="AO110" s="110">
        <f t="shared" si="17"/>
        <v>0.17160081905484426</v>
      </c>
      <c r="AP110" s="110">
        <f t="shared" si="17"/>
        <v>0.16221354881387454</v>
      </c>
      <c r="AQ110" s="107"/>
      <c r="AR110" s="232" t="s">
        <v>29</v>
      </c>
      <c r="AS110" s="234">
        <f>AS100</f>
        <v>2.2750917392034883E-3</v>
      </c>
      <c r="AX110" s="103" t="s">
        <v>386</v>
      </c>
    </row>
    <row r="111" spans="1:51" ht="15.6" x14ac:dyDescent="0.35">
      <c r="A111" t="s">
        <v>322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</v>
      </c>
      <c r="U111" s="76">
        <f>J288</f>
        <v>1.8796730137447457</v>
      </c>
      <c r="V111" s="76">
        <f>J289</f>
        <v>0.22710438277068104</v>
      </c>
      <c r="W111" s="76">
        <f>J290</f>
        <v>0.39094830856780166</v>
      </c>
      <c r="X111" s="76">
        <f>J291</f>
        <v>1.382385422597437</v>
      </c>
      <c r="AC111" t="s">
        <v>160</v>
      </c>
      <c r="AD111" s="51"/>
      <c r="AE111" s="51"/>
      <c r="AJ111" s="107"/>
      <c r="AK111" s="107" t="s">
        <v>30</v>
      </c>
      <c r="AL111" s="108">
        <f t="shared" si="17"/>
        <v>100</v>
      </c>
      <c r="AM111" s="108">
        <f t="shared" si="17"/>
        <v>72.042530366177886</v>
      </c>
      <c r="AN111" s="108">
        <f t="shared" si="17"/>
        <v>98.10862801209457</v>
      </c>
      <c r="AO111" s="108">
        <f t="shared" si="17"/>
        <v>91.057906828471317</v>
      </c>
      <c r="AP111" s="108">
        <f t="shared" si="17"/>
        <v>88.913979832133279</v>
      </c>
      <c r="AQ111" s="107"/>
      <c r="AR111" s="107"/>
      <c r="AS111" s="107"/>
      <c r="AU111" s="103" t="s">
        <v>386</v>
      </c>
      <c r="AW111" s="101"/>
      <c r="AX111" s="1" t="s">
        <v>380</v>
      </c>
      <c r="AY111" s="96"/>
    </row>
    <row r="112" spans="1:51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56</v>
      </c>
      <c r="T112" s="67">
        <f>N276*100</f>
        <v>100</v>
      </c>
      <c r="U112" s="67">
        <f>N277*100</f>
        <v>70.192307692307708</v>
      </c>
      <c r="V112" s="67">
        <f>N278*100</f>
        <v>97.262149212867897</v>
      </c>
      <c r="W112" s="67">
        <f>N279*100</f>
        <v>92.906348910817343</v>
      </c>
      <c r="X112" s="67">
        <f>N280*100</f>
        <v>81.386249301285631</v>
      </c>
      <c r="AC112" t="s">
        <v>207</v>
      </c>
      <c r="AD112" s="51"/>
      <c r="AE112" s="51"/>
      <c r="AH112" s="78"/>
      <c r="AI112" s="78"/>
      <c r="AJ112" s="107"/>
      <c r="AK112" s="109" t="s">
        <v>39</v>
      </c>
      <c r="AL112" s="110">
        <f t="shared" si="17"/>
        <v>0</v>
      </c>
      <c r="AM112" s="110">
        <f t="shared" si="17"/>
        <v>4.5102114418065202</v>
      </c>
      <c r="AN112" s="110">
        <f t="shared" si="17"/>
        <v>0.1962703031173918</v>
      </c>
      <c r="AO112" s="110">
        <f t="shared" si="17"/>
        <v>0.56012779103475796</v>
      </c>
      <c r="AP112" s="110">
        <f t="shared" si="17"/>
        <v>2.0286666977387791</v>
      </c>
      <c r="AQ112" s="107"/>
      <c r="AR112" s="107"/>
      <c r="AS112" s="107"/>
      <c r="AU112" s="93"/>
      <c r="AV112" s="1" t="s">
        <v>380</v>
      </c>
      <c r="AW112" s="97"/>
      <c r="AX112" s="71" t="s">
        <v>381</v>
      </c>
      <c r="AY112" s="95"/>
    </row>
    <row r="113" spans="1:51" x14ac:dyDescent="0.3">
      <c r="A113" t="s">
        <v>3</v>
      </c>
      <c r="B113" s="13">
        <v>0</v>
      </c>
      <c r="C113" s="29">
        <f>(C102/$L113)*$O113</f>
        <v>1.474066198616848</v>
      </c>
      <c r="D113" s="31">
        <f>(D102/$L113)*$O113</f>
        <v>0</v>
      </c>
      <c r="E113" s="31">
        <f>(E102/$L113)*$O113</f>
        <v>0</v>
      </c>
      <c r="F113" s="31">
        <f>(F102/$L113)*$O113</f>
        <v>0</v>
      </c>
      <c r="G113" s="32">
        <f>(G102/$L113)*$O113</f>
        <v>0</v>
      </c>
      <c r="H113" s="17">
        <f>SUM(C113:G113)</f>
        <v>1.474066198616848</v>
      </c>
      <c r="I113" s="17">
        <f>C113/H113*100</f>
        <v>100</v>
      </c>
      <c r="J113" s="17">
        <f>SQRT(I113*(100-I113)/(L113-1))</f>
        <v>0</v>
      </c>
      <c r="K113" s="18">
        <f>100-I113</f>
        <v>0</v>
      </c>
      <c r="L113" s="1">
        <f>H102</f>
        <v>259</v>
      </c>
      <c r="M113">
        <v>0</v>
      </c>
      <c r="N113" s="1">
        <v>2920.44</v>
      </c>
      <c r="O113" s="17">
        <f>N113/N118*100</f>
        <v>1.474066198616848</v>
      </c>
      <c r="P113" s="52">
        <f>((O113*O113*(I113/100)*(K113/100))/(L113-1))</f>
        <v>0</v>
      </c>
      <c r="R113" s="16" t="s">
        <v>66</v>
      </c>
      <c r="S113" t="s">
        <v>9</v>
      </c>
      <c r="T113" s="30">
        <f>N287</f>
        <v>2911.89</v>
      </c>
      <c r="U113" s="30">
        <f>N288</f>
        <v>9575.11</v>
      </c>
      <c r="V113" s="30">
        <f>N289</f>
        <v>114788.02</v>
      </c>
      <c r="W113" s="30">
        <f>N290</f>
        <v>51149.77</v>
      </c>
      <c r="X113" s="30">
        <f>N291</f>
        <v>19696.57</v>
      </c>
      <c r="Z113" t="s">
        <v>36</v>
      </c>
      <c r="AA113" s="1">
        <f>N292</f>
        <v>198121.36000000002</v>
      </c>
      <c r="AC113" t="s">
        <v>161</v>
      </c>
      <c r="AD113" s="51"/>
      <c r="AE113" s="51"/>
      <c r="AJ113" s="107"/>
      <c r="AK113" s="111" t="s">
        <v>31</v>
      </c>
      <c r="AL113" s="112">
        <f>AR94</f>
        <v>100</v>
      </c>
      <c r="AM113" s="112">
        <f>AR95</f>
        <v>86.725663716814154</v>
      </c>
      <c r="AN113" s="112">
        <f>AR96</f>
        <v>96.094066765779161</v>
      </c>
      <c r="AO113" s="112">
        <f>AR97</f>
        <v>96.273530541682661</v>
      </c>
      <c r="AP113" s="112">
        <f>AR98</f>
        <v>76.770833333333329</v>
      </c>
      <c r="AQ113" s="107"/>
      <c r="AR113" s="107"/>
      <c r="AS113" s="107"/>
      <c r="AU113" s="94"/>
      <c r="AV113" s="71" t="s">
        <v>383</v>
      </c>
      <c r="AW113" s="98"/>
      <c r="AX113" s="71" t="s">
        <v>382</v>
      </c>
      <c r="AY113" s="93"/>
    </row>
    <row r="114" spans="1:51" ht="15.6" x14ac:dyDescent="0.35">
      <c r="A114" t="s">
        <v>4</v>
      </c>
      <c r="B114" s="13">
        <v>1</v>
      </c>
      <c r="C114" s="33">
        <f t="shared" ref="C114:G117" si="18">(C103/$L114)*$O114</f>
        <v>0</v>
      </c>
      <c r="D114" s="34">
        <f t="shared" si="18"/>
        <v>4.2628633736692789</v>
      </c>
      <c r="E114" s="19">
        <f t="shared" si="18"/>
        <v>0.58196087012549891</v>
      </c>
      <c r="F114" s="18">
        <f t="shared" si="18"/>
        <v>0</v>
      </c>
      <c r="G114" s="20">
        <f t="shared" si="18"/>
        <v>8.7294130518824828E-2</v>
      </c>
      <c r="H114" s="17">
        <f>SUM(C114:G114)</f>
        <v>4.9321183743136032</v>
      </c>
      <c r="I114" s="17">
        <f>D114/H114*100</f>
        <v>86.430678466076685</v>
      </c>
      <c r="J114" s="17">
        <f>SQRT(I114*(100-I114)/(L114-1))</f>
        <v>1.8627504529603405</v>
      </c>
      <c r="K114" s="18">
        <f>100-I114</f>
        <v>13.569321533923315</v>
      </c>
      <c r="L114" s="1">
        <f>H103</f>
        <v>339</v>
      </c>
      <c r="M114">
        <v>1</v>
      </c>
      <c r="N114" s="1">
        <v>9771.58</v>
      </c>
      <c r="O114" s="17">
        <f>N114/N118*100</f>
        <v>4.9321183743136032</v>
      </c>
      <c r="P114" s="52">
        <f>((O114*O114*(I114/100)*(K114/100))/(L114-1))</f>
        <v>8.4406586683186385E-3</v>
      </c>
      <c r="R114" s="16" t="s">
        <v>323</v>
      </c>
      <c r="S114" t="s">
        <v>68</v>
      </c>
      <c r="T114" s="57">
        <f>$AA113*T106/100</f>
        <v>2911.8899999999994</v>
      </c>
      <c r="U114" s="57">
        <f>$AA113*U106/100</f>
        <v>11477.506994850321</v>
      </c>
      <c r="V114" s="57">
        <f>$AA113*V106/100</f>
        <v>112662.45257101122</v>
      </c>
      <c r="W114" s="57">
        <f>$AA113*W106/100</f>
        <v>54178.453831156818</v>
      </c>
      <c r="X114" s="57">
        <f>$AA113*X106/100</f>
        <v>16891.056602981636</v>
      </c>
      <c r="Z114" t="s">
        <v>36</v>
      </c>
      <c r="AA114" s="25">
        <f>SUM(T114:X114)</f>
        <v>198121.36</v>
      </c>
      <c r="AC114" t="s">
        <v>208</v>
      </c>
      <c r="AD114" s="51"/>
      <c r="AE114" s="51"/>
      <c r="AH114" s="78"/>
      <c r="AI114" s="78"/>
      <c r="AJ114" s="107"/>
      <c r="AK114" s="113" t="s">
        <v>39</v>
      </c>
      <c r="AL114" s="114">
        <f>AS94</f>
        <v>0</v>
      </c>
      <c r="AM114" s="114">
        <f>AS95</f>
        <v>1.8455332487033302</v>
      </c>
      <c r="AN114" s="114">
        <f>AS96</f>
        <v>0.22524415547237875</v>
      </c>
      <c r="AO114" s="114">
        <f>AS97</f>
        <v>0.37132020901141038</v>
      </c>
      <c r="AP114" s="114">
        <f>AS98</f>
        <v>1.3636585469150411</v>
      </c>
      <c r="AQ114" s="107"/>
      <c r="AR114" s="107"/>
      <c r="AS114" s="107"/>
      <c r="AU114" s="95"/>
      <c r="AV114" s="1" t="s">
        <v>384</v>
      </c>
      <c r="AW114" s="99"/>
      <c r="AX114" s="1" t="s">
        <v>387</v>
      </c>
      <c r="AY114" s="99"/>
    </row>
    <row r="115" spans="1:51" x14ac:dyDescent="0.3">
      <c r="A115" t="s">
        <v>5</v>
      </c>
      <c r="B115" s="13">
        <v>2</v>
      </c>
      <c r="C115" s="33">
        <f t="shared" si="18"/>
        <v>0</v>
      </c>
      <c r="D115" s="19">
        <f t="shared" si="18"/>
        <v>1.4049115359749818</v>
      </c>
      <c r="E115" s="34">
        <f t="shared" si="18"/>
        <v>55.361319581503039</v>
      </c>
      <c r="F115" s="19">
        <f t="shared" si="18"/>
        <v>0.76489628069749016</v>
      </c>
      <c r="G115" s="20">
        <f t="shared" si="18"/>
        <v>0.21854179448499719</v>
      </c>
      <c r="H115" s="17">
        <f>SUM(C115:G115)</f>
        <v>57.749669192660512</v>
      </c>
      <c r="I115" s="17">
        <f>E115/H115*100</f>
        <v>95.864305987295566</v>
      </c>
      <c r="J115" s="17">
        <f>SQRT(I115*(100-I115)/(L115-1))</f>
        <v>0.23149707198323374</v>
      </c>
      <c r="K115" s="18">
        <f>100-I115</f>
        <v>4.1356940127044339</v>
      </c>
      <c r="L115" s="1">
        <f>H104</f>
        <v>7399</v>
      </c>
      <c r="M115">
        <v>2</v>
      </c>
      <c r="N115" s="1">
        <v>114414.43</v>
      </c>
      <c r="O115" s="17">
        <f>N115/N118*100</f>
        <v>57.749669192660505</v>
      </c>
      <c r="P115" s="52">
        <f>((O115*O115*(I115/100)*(K115/100))/(L115-1))</f>
        <v>1.7872693443585781E-2</v>
      </c>
      <c r="R115" s="66"/>
      <c r="S115" s="66" t="s">
        <v>67</v>
      </c>
      <c r="T115" s="67">
        <f>$AA113*T107/100</f>
        <v>0</v>
      </c>
      <c r="U115" s="67">
        <f>$AA113*U107/100</f>
        <v>288.94752018236255</v>
      </c>
      <c r="V115" s="67">
        <f>$AA113*V107/100</f>
        <v>348.65473057840109</v>
      </c>
      <c r="W115" s="67">
        <f>$AA113*W107/100</f>
        <v>351.73970836345393</v>
      </c>
      <c r="X115" s="67">
        <f>$AA113*X107/100</f>
        <v>334.85001961913906</v>
      </c>
      <c r="AA115" s="1"/>
      <c r="AC115" t="s">
        <v>209</v>
      </c>
      <c r="AD115" s="51"/>
      <c r="AE115" s="51"/>
      <c r="AJ115" s="107"/>
      <c r="AK115" s="109" t="s">
        <v>56</v>
      </c>
      <c r="AL115" s="110">
        <f>AW83*100</f>
        <v>100</v>
      </c>
      <c r="AM115" s="110">
        <f>AW84*100</f>
        <v>70.334928229665067</v>
      </c>
      <c r="AN115" s="110">
        <f>AW85*100</f>
        <v>97.403931776149051</v>
      </c>
      <c r="AO115" s="110">
        <f>AW86*100</f>
        <v>93.211828156964856</v>
      </c>
      <c r="AP115" s="110">
        <f>AW87*100</f>
        <v>82.346368715083798</v>
      </c>
      <c r="AQ115" s="107"/>
      <c r="AR115" s="107"/>
      <c r="AS115" s="107"/>
      <c r="AU115" s="96"/>
      <c r="AV115" s="1" t="s">
        <v>385</v>
      </c>
      <c r="AW115" s="100"/>
      <c r="AX115" s="71" t="s">
        <v>388</v>
      </c>
      <c r="AY115" s="102"/>
    </row>
    <row r="116" spans="1:51" x14ac:dyDescent="0.3">
      <c r="A116" t="s">
        <v>6</v>
      </c>
      <c r="B116" s="13">
        <v>3</v>
      </c>
      <c r="C116" s="33">
        <f t="shared" si="18"/>
        <v>0</v>
      </c>
      <c r="D116" s="19">
        <f t="shared" si="18"/>
        <v>9.0410253890350331E-2</v>
      </c>
      <c r="E116" s="19">
        <f t="shared" si="18"/>
        <v>0.25113959413986203</v>
      </c>
      <c r="F116" s="34">
        <f t="shared" si="18"/>
        <v>25.023549160095854</v>
      </c>
      <c r="G116" s="20">
        <f t="shared" si="18"/>
        <v>0.78355553371636966</v>
      </c>
      <c r="H116" s="17">
        <f>SUM(C116:G116)</f>
        <v>26.148654541842436</v>
      </c>
      <c r="I116" s="17">
        <f>F116/H116*100</f>
        <v>95.69727237802536</v>
      </c>
      <c r="J116" s="17">
        <f>SQRT(I116*(100-I116)/(L116-1))</f>
        <v>0.39780300630458487</v>
      </c>
      <c r="K116" s="18">
        <f>100-I116</f>
        <v>4.3027276219746398</v>
      </c>
      <c r="L116" s="1">
        <f>H105</f>
        <v>2603</v>
      </c>
      <c r="M116">
        <v>3</v>
      </c>
      <c r="N116" s="1">
        <v>51806.07</v>
      </c>
      <c r="O116" s="17">
        <f>N116/N118*100</f>
        <v>26.148654541842436</v>
      </c>
      <c r="P116" s="52">
        <f>((O116*O116*(I116/100)*(K116/100))/(L116-1))</f>
        <v>1.0820188251508062E-2</v>
      </c>
      <c r="R116" t="s">
        <v>103</v>
      </c>
      <c r="S116" t="s">
        <v>28</v>
      </c>
      <c r="T116" s="57">
        <f>C321</f>
        <v>1.4672520451856332</v>
      </c>
      <c r="U116" s="57">
        <f t="shared" ref="U116:X119" si="19">D321</f>
        <v>5.8079795457862193</v>
      </c>
      <c r="V116" s="57">
        <f t="shared" si="19"/>
        <v>56.847707175366651</v>
      </c>
      <c r="W116" s="57">
        <f t="shared" si="19"/>
        <v>27.465652354338982</v>
      </c>
      <c r="X116" s="57">
        <f t="shared" si="19"/>
        <v>8.4114088793224973</v>
      </c>
      <c r="Z116" s="74"/>
      <c r="AA116" s="12"/>
      <c r="AD116" s="51"/>
      <c r="AE116" s="51"/>
      <c r="AH116" s="78"/>
      <c r="AI116" s="78"/>
      <c r="AJ116" s="115" t="s">
        <v>379</v>
      </c>
      <c r="AK116" s="107" t="s">
        <v>9</v>
      </c>
      <c r="AL116" s="116">
        <f>AW94</f>
        <v>2921.61</v>
      </c>
      <c r="AM116" s="116">
        <f>AW95</f>
        <v>9685.41</v>
      </c>
      <c r="AN116" s="116">
        <f>AW96</f>
        <v>114476.38</v>
      </c>
      <c r="AO116" s="116">
        <f>AW97</f>
        <v>51990.93</v>
      </c>
      <c r="AP116" s="116">
        <f>AW98</f>
        <v>19047.03</v>
      </c>
      <c r="AQ116" s="107"/>
      <c r="AR116" s="115" t="s">
        <v>36</v>
      </c>
      <c r="AS116" s="137">
        <f>AW99</f>
        <v>198121.36000000002</v>
      </c>
      <c r="AW116" s="102"/>
      <c r="AX116" s="1" t="s">
        <v>385</v>
      </c>
      <c r="AY116" s="104"/>
    </row>
    <row r="117" spans="1:51" ht="15.6" x14ac:dyDescent="0.35">
      <c r="A117" t="s">
        <v>7</v>
      </c>
      <c r="B117" s="13">
        <v>4</v>
      </c>
      <c r="C117" s="35">
        <f t="shared" si="18"/>
        <v>0</v>
      </c>
      <c r="D117" s="36">
        <f t="shared" si="18"/>
        <v>0.26258623334034592</v>
      </c>
      <c r="E117" s="21">
        <f t="shared" si="18"/>
        <v>0.28278517436652634</v>
      </c>
      <c r="F117" s="21">
        <f t="shared" si="18"/>
        <v>1.7573078692776996</v>
      </c>
      <c r="G117" s="37">
        <f t="shared" si="18"/>
        <v>7.3928124155820454</v>
      </c>
      <c r="H117" s="17">
        <f>SUM(C117:G117)</f>
        <v>9.6954916925666161</v>
      </c>
      <c r="I117" s="17">
        <f>G117/H117*100</f>
        <v>76.25</v>
      </c>
      <c r="J117" s="17">
        <f>SQRT(I117*(100-I117)/(L117-1))</f>
        <v>1.3741762154526418</v>
      </c>
      <c r="K117" s="18">
        <f>100-I117</f>
        <v>23.75</v>
      </c>
      <c r="L117" s="1">
        <f>H106</f>
        <v>960</v>
      </c>
      <c r="M117">
        <v>4</v>
      </c>
      <c r="N117" s="1">
        <v>19208.84</v>
      </c>
      <c r="O117" s="17">
        <f>N117/N118*100</f>
        <v>9.6954916925666179</v>
      </c>
      <c r="P117" s="52">
        <f>((O117*O117*(I117/100)*(K117/100))/(L117-1))</f>
        <v>1.7751069810213793E-2</v>
      </c>
      <c r="S117" s="66" t="s">
        <v>39</v>
      </c>
      <c r="T117" s="67">
        <f>C322</f>
        <v>0</v>
      </c>
      <c r="U117" s="67">
        <f t="shared" si="19"/>
        <v>0.14835985199739901</v>
      </c>
      <c r="V117" s="67">
        <f t="shared" si="19"/>
        <v>0.16807781480321701</v>
      </c>
      <c r="W117" s="67">
        <f t="shared" si="19"/>
        <v>0.17491025695765111</v>
      </c>
      <c r="X117" s="67">
        <f t="shared" si="19"/>
        <v>0.16409558596300183</v>
      </c>
      <c r="AD117" s="51"/>
      <c r="AE117" s="51"/>
      <c r="AJ117" s="115" t="s">
        <v>378</v>
      </c>
      <c r="AK117" s="107" t="s">
        <v>68</v>
      </c>
      <c r="AL117" s="108">
        <f>$AS116*AL109/100</f>
        <v>2921.61</v>
      </c>
      <c r="AM117" s="108">
        <f>$AS116*AM109/100</f>
        <v>11659.412937747324</v>
      </c>
      <c r="AN117" s="108">
        <f>$AS116*AN109/100</f>
        <v>112125.72355479882</v>
      </c>
      <c r="AO117" s="108">
        <f>$AS116*AO109/100</f>
        <v>54968.871584915993</v>
      </c>
      <c r="AP117" s="108">
        <f>$AS116*AP109/100</f>
        <v>16445.741922537854</v>
      </c>
      <c r="AQ117" s="107"/>
      <c r="AR117" s="115" t="s">
        <v>36</v>
      </c>
      <c r="AS117" s="137">
        <f>SUM(AL117:AP117)</f>
        <v>198121.36</v>
      </c>
    </row>
    <row r="118" spans="1:51" x14ac:dyDescent="0.3">
      <c r="B118" t="s">
        <v>28</v>
      </c>
      <c r="C118" s="17">
        <f t="shared" ref="C118:H118" si="20">SUM(C113:C117)</f>
        <v>1.474066198616848</v>
      </c>
      <c r="D118" s="17">
        <f t="shared" si="20"/>
        <v>6.0207713968749568</v>
      </c>
      <c r="E118" s="17">
        <f t="shared" si="20"/>
        <v>56.477205220134927</v>
      </c>
      <c r="F118" s="17">
        <f t="shared" si="20"/>
        <v>27.545753310071042</v>
      </c>
      <c r="G118" s="17">
        <f t="shared" si="20"/>
        <v>8.4822038743022361</v>
      </c>
      <c r="H118" s="18">
        <f t="shared" si="20"/>
        <v>100.00000000000001</v>
      </c>
      <c r="I118" s="13" t="s">
        <v>24</v>
      </c>
      <c r="J118" s="12" t="s">
        <v>29</v>
      </c>
      <c r="N118" s="1">
        <f>SUM(N113:N117)</f>
        <v>198121.36</v>
      </c>
      <c r="O118" s="17">
        <f>SUM(O113:O117)</f>
        <v>100.00000000000001</v>
      </c>
      <c r="S118" t="s">
        <v>30</v>
      </c>
      <c r="T118" s="57">
        <f>C323</f>
        <v>100</v>
      </c>
      <c r="U118" s="57">
        <f t="shared" si="19"/>
        <v>71.37002098927897</v>
      </c>
      <c r="V118" s="57">
        <f t="shared" si="19"/>
        <v>98.203414229502542</v>
      </c>
      <c r="W118" s="57">
        <f t="shared" si="19"/>
        <v>90.756875040071776</v>
      </c>
      <c r="X118" s="57">
        <f t="shared" si="19"/>
        <v>88.468621440356202</v>
      </c>
      <c r="AD118" s="51"/>
      <c r="AE118" s="51"/>
      <c r="AH118" s="78"/>
      <c r="AI118" s="78"/>
      <c r="AJ118" s="109"/>
      <c r="AK118" s="109" t="s">
        <v>377</v>
      </c>
      <c r="AL118" s="110">
        <f>$AS116*AL110/100</f>
        <v>0</v>
      </c>
      <c r="AM118" s="110">
        <f>$AS116*AM110/100</f>
        <v>288.92731272589731</v>
      </c>
      <c r="AN118" s="110">
        <f>$AS116*AN110/100</f>
        <v>337.97508596932289</v>
      </c>
      <c r="AO118" s="110">
        <f>$AS116*AO110/100</f>
        <v>339.97787648259663</v>
      </c>
      <c r="AP118" s="110">
        <f>$AS116*AP110/100</f>
        <v>321.37968901431213</v>
      </c>
      <c r="AQ118" s="107"/>
      <c r="AR118" s="107"/>
      <c r="AS118" s="107"/>
    </row>
    <row r="119" spans="1:51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0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0.15033184265368496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0.17495565875760541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0.17674302861819402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0.16827010754557267</v>
      </c>
      <c r="H119" s="1"/>
      <c r="I119" s="56">
        <f>(C113+D114+E115+F116+G117)/H118</f>
        <v>0.93514610729467051</v>
      </c>
      <c r="J119" s="53">
        <f>SQRT(SUM(P113:P117))/100</f>
        <v>2.3427464688614147E-3</v>
      </c>
      <c r="M119" s="1"/>
      <c r="N119" s="9"/>
      <c r="S119" s="66" t="s">
        <v>39</v>
      </c>
      <c r="T119" s="67">
        <f>C324</f>
        <v>0</v>
      </c>
      <c r="U119" s="67">
        <f t="shared" si="19"/>
        <v>4.7856716633275695</v>
      </c>
      <c r="V119" s="67">
        <f t="shared" si="19"/>
        <v>0.19129575445538705</v>
      </c>
      <c r="W119" s="67">
        <f t="shared" si="19"/>
        <v>0.58171403981048297</v>
      </c>
      <c r="X119" s="67">
        <f t="shared" si="19"/>
        <v>2.0795608638107077</v>
      </c>
      <c r="AD119" s="51"/>
      <c r="AE119" s="51"/>
      <c r="AJ119" s="115" t="s">
        <v>410</v>
      </c>
      <c r="AK119" s="122" t="s">
        <v>9</v>
      </c>
      <c r="AL119" s="136">
        <f>AVERAGE(AR195:AR214)</f>
        <v>2916.5530000000003</v>
      </c>
      <c r="AM119" s="136">
        <f>AVERAGE(AS195:AS214)</f>
        <v>9662.0694999999996</v>
      </c>
      <c r="AN119" s="136">
        <f>AVERAGE(AT195:AT214)</f>
        <v>114479.20899999999</v>
      </c>
      <c r="AO119" s="136">
        <f>AVERAGE(AU195:AU214)</f>
        <v>51620.602999999996</v>
      </c>
      <c r="AP119" s="136">
        <f>AVERAGE(AV195:AV214)</f>
        <v>19442.93</v>
      </c>
      <c r="AQ119" s="107"/>
      <c r="AR119" s="115" t="s">
        <v>36</v>
      </c>
      <c r="AS119" s="137">
        <f>SUM(AL119:AP119)</f>
        <v>198121.36449999997</v>
      </c>
    </row>
    <row r="120" spans="1:51" x14ac:dyDescent="0.3">
      <c r="B120" s="1" t="s">
        <v>30</v>
      </c>
      <c r="C120" s="17">
        <f>C113/C118*100</f>
        <v>100</v>
      </c>
      <c r="D120" s="17">
        <f>D114/D118*100</f>
        <v>70.802611371059371</v>
      </c>
      <c r="E120" s="17">
        <f>E115/E118*100</f>
        <v>98.024184032686406</v>
      </c>
      <c r="F120" s="17">
        <f>F116/F118*100</f>
        <v>90.843582596621005</v>
      </c>
      <c r="G120" s="17">
        <f>G117/G118*100</f>
        <v>87.156740454911471</v>
      </c>
      <c r="H120" s="1"/>
      <c r="S120" s="15" t="s">
        <v>31</v>
      </c>
      <c r="T120" s="71">
        <f>I316</f>
        <v>100</v>
      </c>
      <c r="U120" s="71">
        <f>I317</f>
        <v>85.545722713864308</v>
      </c>
      <c r="V120" s="71">
        <f>I318</f>
        <v>96.215704824976342</v>
      </c>
      <c r="W120" s="71">
        <f>I319</f>
        <v>95.927775643488289</v>
      </c>
      <c r="X120" s="71">
        <f>I320</f>
        <v>76.875</v>
      </c>
      <c r="AD120" s="51"/>
      <c r="AE120" s="51"/>
      <c r="AH120" s="78"/>
      <c r="AI120" s="78"/>
      <c r="AJ120" s="141"/>
      <c r="AK120" s="129" t="s">
        <v>394</v>
      </c>
      <c r="AL120" s="125">
        <f>_xlfn.STDEV.S(AR195:AR214)/SQRT($AK$108)</f>
        <v>2.253554280406139</v>
      </c>
      <c r="AM120" s="125">
        <f>_xlfn.STDEV.S(AS195:AS214)/SQRT($AK$108)</f>
        <v>43.931204959542889</v>
      </c>
      <c r="AN120" s="125">
        <f>_xlfn.STDEV.S(AT195:AT214)/SQRT($AK$108)</f>
        <v>81.699224195569386</v>
      </c>
      <c r="AO120" s="125">
        <f>_xlfn.STDEV.S(AU195:AU214)/SQRT($AK$108)</f>
        <v>63.949723109972169</v>
      </c>
      <c r="AP120" s="125">
        <f>_xlfn.STDEV.S(AV195:AV214)/SQRT($AK$108)</f>
        <v>60.889129243240106</v>
      </c>
      <c r="AQ120" s="107"/>
      <c r="AR120" s="107"/>
      <c r="AS120" s="107"/>
    </row>
    <row r="121" spans="1:51" x14ac:dyDescent="0.3">
      <c r="B121" s="16" t="s">
        <v>39</v>
      </c>
      <c r="C121" s="18">
        <f>SQRT((C124+C125)/(C118*C118))</f>
        <v>0</v>
      </c>
      <c r="D121" s="18">
        <f>SQRT((D124+D125)/(D118*D118))</f>
        <v>4.6703434961823138</v>
      </c>
      <c r="E121" s="18">
        <f>SQRT((E124+E125)/(E118*E118))</f>
        <v>0.2015982150001098</v>
      </c>
      <c r="F121" s="18">
        <f>SQRT((F124+F125)/(F118*F118))</f>
        <v>0.58467634754154207</v>
      </c>
      <c r="G121" s="18">
        <f>SQRT((G124+G125)/(G118*G118))</f>
        <v>2.2776436413203567</v>
      </c>
      <c r="H121" s="1"/>
      <c r="S121" s="75" t="s">
        <v>39</v>
      </c>
      <c r="T121" s="76">
        <f>J316</f>
        <v>0</v>
      </c>
      <c r="U121" s="76">
        <f>J317</f>
        <v>1.9126653517482657</v>
      </c>
      <c r="V121" s="76">
        <f>J318</f>
        <v>0.22184943210024982</v>
      </c>
      <c r="W121" s="76">
        <f>J319</f>
        <v>0.38746670504423208</v>
      </c>
      <c r="X121" s="76">
        <f>J320</f>
        <v>1.3615203330504093</v>
      </c>
      <c r="AD121" s="51"/>
      <c r="AE121" s="51"/>
      <c r="AJ121" s="119" t="s">
        <v>444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</row>
    <row r="122" spans="1:51" x14ac:dyDescent="0.3">
      <c r="B122" s="1" t="s">
        <v>37</v>
      </c>
      <c r="C122" s="18">
        <f>100-C120</f>
        <v>0</v>
      </c>
      <c r="D122" s="18">
        <f>100-D120</f>
        <v>29.197388628940629</v>
      </c>
      <c r="E122" s="18">
        <f>100-E120</f>
        <v>1.9758159673135935</v>
      </c>
      <c r="F122" s="18">
        <f>100-F120</f>
        <v>9.1564174033789953</v>
      </c>
      <c r="G122" s="18">
        <f>100-G120</f>
        <v>12.843259545088529</v>
      </c>
      <c r="S122" s="66" t="s">
        <v>56</v>
      </c>
      <c r="T122" s="67">
        <f>N305*100</f>
        <v>100</v>
      </c>
      <c r="U122" s="67">
        <f>N306*100</f>
        <v>69.711538461538467</v>
      </c>
      <c r="V122" s="67">
        <f>N307*100</f>
        <v>97.507190795781412</v>
      </c>
      <c r="W122" s="67">
        <f>N308*100</f>
        <v>92.963514519731945</v>
      </c>
      <c r="X122" s="67">
        <f>N309*100</f>
        <v>82.182628062360806</v>
      </c>
      <c r="AD122" s="51"/>
      <c r="AE122" s="51"/>
      <c r="AH122" s="78"/>
      <c r="AI122" s="78"/>
      <c r="AJ122" s="115" t="s">
        <v>409</v>
      </c>
      <c r="AK122" s="122" t="s">
        <v>9</v>
      </c>
      <c r="AL122" s="136">
        <v>263.97000000000003</v>
      </c>
      <c r="AM122" s="136">
        <v>714.02</v>
      </c>
      <c r="AN122" s="136">
        <v>16774.11</v>
      </c>
      <c r="AO122" s="136">
        <v>3283.7</v>
      </c>
      <c r="AP122" s="136">
        <v>1108.1600000000001</v>
      </c>
      <c r="AQ122" s="107"/>
      <c r="AR122" s="115" t="s">
        <v>36</v>
      </c>
      <c r="AS122" s="137">
        <f>SUM(AL122:AP122)</f>
        <v>22143.960000000003</v>
      </c>
      <c r="AU122">
        <v>1</v>
      </c>
      <c r="AV122">
        <v>68</v>
      </c>
    </row>
    <row r="123" spans="1:51" ht="15.6" x14ac:dyDescent="0.35">
      <c r="B123" s="1" t="s">
        <v>25</v>
      </c>
      <c r="C123" s="1">
        <f>C107</f>
        <v>259</v>
      </c>
      <c r="D123" s="1">
        <f>D107</f>
        <v>508</v>
      </c>
      <c r="E123" s="1">
        <f>E107</f>
        <v>7186</v>
      </c>
      <c r="F123" s="1">
        <f>F107</f>
        <v>2763</v>
      </c>
      <c r="G123" s="1">
        <f>G107</f>
        <v>844</v>
      </c>
      <c r="R123" s="16" t="s">
        <v>66</v>
      </c>
      <c r="S123" t="s">
        <v>9</v>
      </c>
      <c r="T123" s="30">
        <f>N316</f>
        <v>2906.94</v>
      </c>
      <c r="U123" s="30">
        <f>N317</f>
        <v>9600.06</v>
      </c>
      <c r="V123" s="30">
        <f>N318</f>
        <v>114954.22</v>
      </c>
      <c r="W123" s="30">
        <f>N319</f>
        <v>51482.12</v>
      </c>
      <c r="X123" s="30">
        <f>N320</f>
        <v>19178.04</v>
      </c>
      <c r="Z123" t="s">
        <v>36</v>
      </c>
      <c r="AA123" s="1">
        <f>N321</f>
        <v>198121.38</v>
      </c>
      <c r="AD123" s="51"/>
      <c r="AE123" s="51"/>
      <c r="AJ123" s="107"/>
      <c r="AK123" s="107" t="s">
        <v>391</v>
      </c>
      <c r="AL123" s="108">
        <f>(AL122/$AS122)*100</f>
        <v>1.1920632082066622</v>
      </c>
      <c r="AM123" s="108">
        <f>(AM122/$AS122)*100</f>
        <v>3.224445853406527</v>
      </c>
      <c r="AN123" s="108">
        <f>(AN122/$AS122)*100</f>
        <v>75.750272309017902</v>
      </c>
      <c r="AO123" s="108">
        <f>(AO122/$AS122)*100</f>
        <v>14.828874329614031</v>
      </c>
      <c r="AP123" s="108">
        <f>(AP122/$AS122)*100</f>
        <v>5.0043442997548766</v>
      </c>
      <c r="AQ123" s="107"/>
      <c r="AR123" s="107"/>
      <c r="AS123" s="107"/>
      <c r="AU123">
        <v>2</v>
      </c>
      <c r="AV123">
        <v>97</v>
      </c>
    </row>
    <row r="124" spans="1:51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719.555602971496</v>
      </c>
      <c r="E124" s="18">
        <f>(O115*O115*(100-E120)*(100-E120)*(I115)*(100-I115))/((L115-1)*100)</f>
        <v>6.9772291721014135</v>
      </c>
      <c r="F124" s="18">
        <f>(O116*O116*(100-F120)*(100-F120)*(I116)*(100-I116))/((L116-1)*100)</f>
        <v>90.716436297684481</v>
      </c>
      <c r="G124" s="18">
        <f>(O117*O117*(100-G120)*(100-G120)*(I117)*(100-I117))/((L117-1)*100)</f>
        <v>292.80268188922497</v>
      </c>
      <c r="R124" s="16" t="s">
        <v>323</v>
      </c>
      <c r="S124" t="s">
        <v>68</v>
      </c>
      <c r="T124" s="57">
        <f>$AA123*T116/100</f>
        <v>2906.94</v>
      </c>
      <c r="U124" s="57">
        <f>$AA123*U116/100</f>
        <v>11506.849226229389</v>
      </c>
      <c r="V124" s="57">
        <f>$AA123*V116/100</f>
        <v>112627.46195419543</v>
      </c>
      <c r="W124" s="57">
        <f>$AA123*W116/100</f>
        <v>54415.329470418881</v>
      </c>
      <c r="X124" s="57">
        <f>$AA123*X116/100</f>
        <v>16664.799349156267</v>
      </c>
      <c r="Z124" t="s">
        <v>36</v>
      </c>
      <c r="AA124" s="25">
        <f>SUM(T124:X124)</f>
        <v>198121.37999999998</v>
      </c>
      <c r="AD124" s="51"/>
      <c r="AE124" s="51"/>
      <c r="AH124" s="78"/>
      <c r="AI124" s="78"/>
      <c r="AJ124" s="115" t="s">
        <v>410</v>
      </c>
      <c r="AK124" s="122" t="s">
        <v>9</v>
      </c>
      <c r="AL124" s="140">
        <f>AVERAGE(AR216:AR235)</f>
        <v>264.10500000000002</v>
      </c>
      <c r="AM124" s="136">
        <f>AVERAGE(AS216:AS235)</f>
        <v>711.37250000000017</v>
      </c>
      <c r="AN124" s="136">
        <f>AVERAGE(AT216:AT235)</f>
        <v>16763.896000000001</v>
      </c>
      <c r="AO124" s="136">
        <f>AVERAGE(AU216:AU235)</f>
        <v>3256.0535000000004</v>
      </c>
      <c r="AP124" s="136">
        <f>AVERAGE(AV216:AV235)</f>
        <v>1148.5235</v>
      </c>
      <c r="AQ124" s="107"/>
      <c r="AR124" s="115" t="s">
        <v>36</v>
      </c>
      <c r="AS124" s="137">
        <f>SUM(AL124:AP124)</f>
        <v>22143.950500000003</v>
      </c>
      <c r="AU124">
        <v>3</v>
      </c>
      <c r="AV124">
        <v>126</v>
      </c>
    </row>
    <row r="125" spans="1:51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71.126524803048937</v>
      </c>
      <c r="E125" s="18">
        <f>E120*E120*(SUM((H113*E113*(1-E102/H102))/(H102-1),(H114*E114*(1-E103/H103))/(H103-1), (H116*E116*(1-E105/H105))/(H105-1),(H117*E117*(1-E106/H106))/(H106-1)))</f>
        <v>122.65702095144945</v>
      </c>
      <c r="F125" s="18">
        <f>F120*F120*(SUM((H113*F113*(1-F102/H102))/(H102-1),(H114*F114*(1-F103/H103))/(H103-1), (H115*F115*(1-F104/H104))/(H104-1),(H117*F117*(1-F106/H106))/(H106-1)))</f>
        <v>168.66587635620499</v>
      </c>
      <c r="G125" s="18">
        <f>G120*G120*(SUM((H113*G113*(1-G102/H102))/(H102-1),(H114*G114*(1-G103/H103))/(H103-1), (H115*G115*(1-G104/H104))/(H104-1),(H116*G116*(1-G105/H105))/(H105-1)))</f>
        <v>80.43799187701579</v>
      </c>
      <c r="R125" s="66"/>
      <c r="S125" s="66" t="s">
        <v>67</v>
      </c>
      <c r="T125" s="67">
        <f>$AA123*T117/100</f>
        <v>0</v>
      </c>
      <c r="U125" s="67">
        <f>$AA123*U117/100</f>
        <v>293.9325861432045</v>
      </c>
      <c r="V125" s="67">
        <f>$AA123*V117/100</f>
        <v>332.99808616197782</v>
      </c>
      <c r="W125" s="67">
        <f>$AA123*W117/100</f>
        <v>346.53461484604441</v>
      </c>
      <c r="X125" s="67">
        <f>$AA123*X117/100</f>
        <v>325.10843942898549</v>
      </c>
      <c r="AA125" s="1"/>
      <c r="AD125" s="51"/>
      <c r="AE125" s="51"/>
      <c r="AJ125" s="107"/>
      <c r="AK125" s="129" t="s">
        <v>394</v>
      </c>
      <c r="AL125" s="125">
        <f>_xlfn.STDEV.S(AR216:AR235)/SQRT($AK$108)</f>
        <v>0.24294736272005737</v>
      </c>
      <c r="AM125" s="125">
        <f>_xlfn.STDEV.S(AS216:AS235)/SQRT($AK$108)</f>
        <v>4.6559197675195128</v>
      </c>
      <c r="AN125" s="125">
        <f>_xlfn.STDEV.S(AT216:AT235)/SQRT($AK$108)</f>
        <v>6.1903231103494853</v>
      </c>
      <c r="AO125" s="125">
        <f>_xlfn.STDEV.S(AU216:AU235)/SQRT($AK$108)</f>
        <v>6.4989566480441994</v>
      </c>
      <c r="AP125" s="125">
        <f>_xlfn.STDEV.S(AV216:AV235)/SQRT($AK$108)</f>
        <v>6.2249235157000768</v>
      </c>
      <c r="AQ125" s="107"/>
      <c r="AR125" s="107"/>
      <c r="AS125" s="142"/>
      <c r="AU125">
        <v>4</v>
      </c>
      <c r="AV125">
        <v>155</v>
      </c>
    </row>
    <row r="126" spans="1:51" x14ac:dyDescent="0.3">
      <c r="R126" t="s">
        <v>104</v>
      </c>
      <c r="S126" t="s">
        <v>28</v>
      </c>
      <c r="T126" s="57">
        <f>C350</f>
        <v>1.4736572839164197</v>
      </c>
      <c r="U126" s="57">
        <f t="shared" ref="U126:X129" si="21">D350</f>
        <v>5.7159142970843231</v>
      </c>
      <c r="V126" s="57">
        <f t="shared" si="21"/>
        <v>56.595983258433712</v>
      </c>
      <c r="W126" s="57">
        <f t="shared" si="21"/>
        <v>27.618363436522504</v>
      </c>
      <c r="X126" s="57">
        <f t="shared" si="21"/>
        <v>8.5960817240430494</v>
      </c>
      <c r="Y126" s="13"/>
      <c r="Z126" s="74"/>
      <c r="AA126" s="12"/>
      <c r="AD126" s="51"/>
      <c r="AE126" s="51"/>
      <c r="AH126" s="78"/>
      <c r="AI126" s="78"/>
      <c r="AJ126" s="119" t="s">
        <v>445</v>
      </c>
      <c r="AK126" s="107"/>
      <c r="AL126" s="116"/>
      <c r="AM126" s="116"/>
      <c r="AN126" s="116"/>
      <c r="AO126" s="116"/>
      <c r="AP126" s="116"/>
      <c r="AQ126" s="107"/>
      <c r="AR126" s="107"/>
      <c r="AS126" s="142"/>
      <c r="AU126">
        <v>5</v>
      </c>
      <c r="AV126">
        <v>184</v>
      </c>
    </row>
    <row r="127" spans="1:51" x14ac:dyDescent="0.3">
      <c r="S127" s="66" t="s">
        <v>39</v>
      </c>
      <c r="T127" s="67">
        <f>C351</f>
        <v>0</v>
      </c>
      <c r="U127" s="67">
        <f t="shared" si="21"/>
        <v>0.15021598863008062</v>
      </c>
      <c r="V127" s="67">
        <f t="shared" si="21"/>
        <v>0.17494676080237118</v>
      </c>
      <c r="W127" s="67">
        <f t="shared" si="21"/>
        <v>0.17718218327828086</v>
      </c>
      <c r="X127" s="67">
        <f t="shared" si="21"/>
        <v>0.16891112974208522</v>
      </c>
      <c r="AD127" s="51"/>
      <c r="AE127" s="51"/>
      <c r="AJ127" s="115" t="s">
        <v>409</v>
      </c>
      <c r="AK127" s="122" t="s">
        <v>9</v>
      </c>
      <c r="AL127" s="136">
        <v>40.880000000000003</v>
      </c>
      <c r="AM127" s="136">
        <v>470.32</v>
      </c>
      <c r="AN127" s="136">
        <v>16350.92</v>
      </c>
      <c r="AO127" s="136">
        <v>15013.16</v>
      </c>
      <c r="AP127" s="136">
        <v>11261.79</v>
      </c>
      <c r="AQ127" s="107"/>
      <c r="AR127" s="115" t="s">
        <v>36</v>
      </c>
      <c r="AS127" s="137">
        <f>SUM(AL127:AP127)</f>
        <v>43137.07</v>
      </c>
      <c r="AU127">
        <v>6</v>
      </c>
      <c r="AV127">
        <v>213</v>
      </c>
    </row>
    <row r="128" spans="1:51" x14ac:dyDescent="0.3">
      <c r="A128" s="361" t="s">
        <v>441</v>
      </c>
      <c r="B128" s="361"/>
      <c r="C128" s="361"/>
      <c r="D128" s="361"/>
      <c r="E128" s="361"/>
      <c r="F128" s="361"/>
      <c r="G128" s="361"/>
      <c r="H128" s="361"/>
      <c r="I128" s="361"/>
      <c r="J128" s="361"/>
      <c r="K128" s="361"/>
      <c r="L128" s="361" t="s">
        <v>64</v>
      </c>
      <c r="M128" s="361"/>
      <c r="N128" s="361"/>
      <c r="O128" s="361"/>
      <c r="P128" s="361"/>
      <c r="S128" t="s">
        <v>30</v>
      </c>
      <c r="T128" s="57">
        <f>C352</f>
        <v>100</v>
      </c>
      <c r="U128" s="57">
        <f t="shared" si="21"/>
        <v>70.854637720467451</v>
      </c>
      <c r="V128" s="57">
        <f t="shared" si="21"/>
        <v>97.974060107952383</v>
      </c>
      <c r="W128" s="57">
        <f t="shared" si="21"/>
        <v>90.423081360004986</v>
      </c>
      <c r="X128" s="57">
        <f t="shared" si="21"/>
        <v>87.957898413583152</v>
      </c>
      <c r="AD128" s="51"/>
      <c r="AE128" s="51"/>
      <c r="AH128" s="78"/>
      <c r="AI128" s="78"/>
      <c r="AJ128" s="107"/>
      <c r="AK128" s="107" t="s">
        <v>391</v>
      </c>
      <c r="AL128" s="108">
        <f>(AL127/$AS127)*100</f>
        <v>9.4767678936005628E-2</v>
      </c>
      <c r="AM128" s="108">
        <f>(AM127/$AS127)*100</f>
        <v>1.0902919461150236</v>
      </c>
      <c r="AN128" s="108">
        <f>(AN127/$AS127)*100</f>
        <v>37.90456792730707</v>
      </c>
      <c r="AO128" s="108">
        <f>(AO127/$AS127)*100</f>
        <v>34.803383725412971</v>
      </c>
      <c r="AP128" s="108">
        <f>(AP127/$AS127)*100</f>
        <v>26.106988722228934</v>
      </c>
      <c r="AQ128" s="107"/>
      <c r="AR128" s="107"/>
      <c r="AS128" s="142"/>
      <c r="AU128">
        <v>7</v>
      </c>
      <c r="AV128">
        <v>242</v>
      </c>
    </row>
    <row r="129" spans="1:48" x14ac:dyDescent="0.3">
      <c r="A129" t="s">
        <v>320</v>
      </c>
      <c r="B129" t="s">
        <v>21</v>
      </c>
      <c r="I129" s="1" t="s">
        <v>58</v>
      </c>
      <c r="O129" s="143"/>
      <c r="P129" s="143"/>
      <c r="S129" s="66" t="s">
        <v>39</v>
      </c>
      <c r="T129" s="67">
        <f>C353</f>
        <v>0</v>
      </c>
      <c r="U129" s="67">
        <f t="shared" si="21"/>
        <v>5.1441725011007566</v>
      </c>
      <c r="V129" s="67">
        <f t="shared" si="21"/>
        <v>0.20310783205812202</v>
      </c>
      <c r="W129" s="67">
        <f t="shared" si="21"/>
        <v>0.59129343003975265</v>
      </c>
      <c r="X129" s="67">
        <f t="shared" si="21"/>
        <v>2.1610908247046821</v>
      </c>
      <c r="AD129" s="51"/>
      <c r="AE129" s="51"/>
      <c r="AJ129" s="115" t="s">
        <v>410</v>
      </c>
      <c r="AK129" s="122" t="s">
        <v>9</v>
      </c>
      <c r="AL129" s="136">
        <f>AVERAGE(AL195:AL214)</f>
        <v>40.597499999999989</v>
      </c>
      <c r="AM129" s="136">
        <f>AVERAGE(AM195:AM214)</f>
        <v>483.78749999999991</v>
      </c>
      <c r="AN129" s="136">
        <f>AVERAGE(AN195:AN214)</f>
        <v>16327.626999999999</v>
      </c>
      <c r="AO129" s="136">
        <f>AVERAGE(AO195:AO214)</f>
        <v>14965.548999999999</v>
      </c>
      <c r="AP129" s="136">
        <f>AVERAGE(AP195:AP214)</f>
        <v>11319.5155</v>
      </c>
      <c r="AQ129" s="107"/>
      <c r="AR129" s="115" t="s">
        <v>36</v>
      </c>
      <c r="AS129" s="137">
        <f>SUM(AL129:AP129)</f>
        <v>43137.076499999996</v>
      </c>
      <c r="AU129">
        <v>8</v>
      </c>
      <c r="AV129">
        <v>271</v>
      </c>
    </row>
    <row r="130" spans="1:48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56</v>
      </c>
      <c r="O130" s="13"/>
      <c r="P130" s="13"/>
      <c r="S130" s="15" t="s">
        <v>31</v>
      </c>
      <c r="T130" s="71">
        <f>I345</f>
        <v>100</v>
      </c>
      <c r="U130" s="71">
        <f>I346</f>
        <v>83.77581120943951</v>
      </c>
      <c r="V130" s="71">
        <f>I347</f>
        <v>95.931882686849562</v>
      </c>
      <c r="W130" s="71">
        <f>I348</f>
        <v>96.043027276219732</v>
      </c>
      <c r="X130" s="71">
        <f>I349</f>
        <v>76.458333333333329</v>
      </c>
      <c r="AD130" s="51"/>
      <c r="AE130" s="51"/>
      <c r="AH130" s="78"/>
      <c r="AI130" s="78"/>
      <c r="AJ130" s="107"/>
      <c r="AK130" s="129" t="s">
        <v>394</v>
      </c>
      <c r="AL130" s="125">
        <f>_xlfn.STDEV.S(AL195:AL214)/SQRT($AK$108)</f>
        <v>0.13306087842946585</v>
      </c>
      <c r="AM130" s="125">
        <f>_xlfn.STDEV.S(AM195:AM214)/SQRT($AK$108)</f>
        <v>4.2276352650400826</v>
      </c>
      <c r="AN130" s="125">
        <f>_xlfn.STDEV.S(AN195:AN214)/SQRT($AK$108)</f>
        <v>19.768229669425605</v>
      </c>
      <c r="AO130" s="125">
        <f>_xlfn.STDEV.S(AO195:AO214)/SQRT($AK$108)</f>
        <v>24.917976906347391</v>
      </c>
      <c r="AP130" s="125">
        <f>_xlfn.STDEV.S(AP195:AP214)/SQRT($AK$108)</f>
        <v>22.364001189352692</v>
      </c>
      <c r="AQ130" s="107"/>
      <c r="AR130" s="107"/>
      <c r="AS130" s="142"/>
      <c r="AU130">
        <v>9</v>
      </c>
      <c r="AV130">
        <v>300</v>
      </c>
    </row>
    <row r="131" spans="1:48" x14ac:dyDescent="0.3">
      <c r="A131" t="s">
        <v>3</v>
      </c>
      <c r="B131" s="13">
        <v>0</v>
      </c>
      <c r="C131" s="26">
        <v>259</v>
      </c>
      <c r="D131" s="3">
        <v>0</v>
      </c>
      <c r="E131" s="3">
        <v>0</v>
      </c>
      <c r="F131" s="3">
        <v>0</v>
      </c>
      <c r="G131" s="4">
        <v>0</v>
      </c>
      <c r="H131" s="1">
        <f>SUM(C131:G131)</f>
        <v>259</v>
      </c>
      <c r="I131" s="10">
        <f>C131/H131</f>
        <v>1</v>
      </c>
      <c r="J131" s="11">
        <f>1-I131</f>
        <v>0</v>
      </c>
      <c r="K131">
        <f>H131-C136</f>
        <v>0</v>
      </c>
      <c r="N131" s="10">
        <f>2*(C137*I131)/(C137+I131)</f>
        <v>1</v>
      </c>
      <c r="O131" s="1"/>
      <c r="P131" s="1"/>
      <c r="S131" s="75" t="s">
        <v>39</v>
      </c>
      <c r="T131" s="76">
        <f>J345</f>
        <v>0</v>
      </c>
      <c r="U131" s="76">
        <f>J346</f>
        <v>2.0053143721611719</v>
      </c>
      <c r="V131" s="76">
        <f>J347</f>
        <v>0.22967887618157093</v>
      </c>
      <c r="W131" s="76">
        <f>J348</f>
        <v>0.38217370484754298</v>
      </c>
      <c r="X131" s="76">
        <f>J349</f>
        <v>1.3700036143221326</v>
      </c>
      <c r="AD131" s="51"/>
      <c r="AE131" s="51"/>
      <c r="AJ131" s="119" t="s">
        <v>446</v>
      </c>
      <c r="AK131" s="107"/>
      <c r="AL131" s="116"/>
      <c r="AM131" s="116"/>
      <c r="AN131" s="116"/>
      <c r="AO131" s="116"/>
      <c r="AP131" s="116"/>
      <c r="AQ131" s="107"/>
      <c r="AR131" s="107"/>
      <c r="AS131" s="142"/>
      <c r="AU131">
        <v>10</v>
      </c>
      <c r="AV131">
        <v>329</v>
      </c>
    </row>
    <row r="132" spans="1:48" x14ac:dyDescent="0.3">
      <c r="A132" t="s">
        <v>4</v>
      </c>
      <c r="B132" s="13">
        <v>1</v>
      </c>
      <c r="C132" s="5">
        <v>0</v>
      </c>
      <c r="D132" s="27">
        <v>292</v>
      </c>
      <c r="E132" s="1">
        <v>40</v>
      </c>
      <c r="F132" s="1">
        <v>0</v>
      </c>
      <c r="G132" s="6">
        <v>7</v>
      </c>
      <c r="H132" s="1">
        <f>SUM(C132:G132)</f>
        <v>339</v>
      </c>
      <c r="I132" s="10">
        <f>D132/H132</f>
        <v>0.86135693215339237</v>
      </c>
      <c r="J132" s="11">
        <f>1-I132</f>
        <v>0.13864306784660763</v>
      </c>
      <c r="K132">
        <f>H132-D136</f>
        <v>-152</v>
      </c>
      <c r="N132" s="10">
        <f>2*(D137*I132)/(D137+I132)</f>
        <v>0.70361445783132537</v>
      </c>
      <c r="O132" s="1"/>
      <c r="P132" s="1"/>
      <c r="S132" s="66" t="s">
        <v>56</v>
      </c>
      <c r="T132" s="67">
        <f>N334*100</f>
        <v>100</v>
      </c>
      <c r="U132" s="67">
        <f>N335*100</f>
        <v>68.433734939759034</v>
      </c>
      <c r="V132" s="67">
        <f>N336*100</f>
        <v>97.292851757932979</v>
      </c>
      <c r="W132" s="67">
        <f>N337*100</f>
        <v>92.902266815310298</v>
      </c>
      <c r="X132" s="67">
        <f>N338*100</f>
        <v>81.600889382990545</v>
      </c>
      <c r="AD132" s="51"/>
      <c r="AE132" s="51"/>
      <c r="AH132" s="78"/>
      <c r="AI132" s="78"/>
      <c r="AJ132" s="115" t="s">
        <v>409</v>
      </c>
      <c r="AK132" s="122" t="s">
        <v>9</v>
      </c>
      <c r="AL132" s="136">
        <v>0</v>
      </c>
      <c r="AM132" s="136">
        <v>21.46</v>
      </c>
      <c r="AN132" s="136">
        <v>1323.93</v>
      </c>
      <c r="AO132" s="136">
        <v>410.11</v>
      </c>
      <c r="AP132" s="136">
        <v>97.72</v>
      </c>
      <c r="AQ132" s="107"/>
      <c r="AR132" s="115" t="s">
        <v>36</v>
      </c>
      <c r="AS132" s="137">
        <f>SUM(AL132:AP132)</f>
        <v>1853.22</v>
      </c>
      <c r="AU132">
        <v>11</v>
      </c>
      <c r="AV132">
        <v>358</v>
      </c>
    </row>
    <row r="133" spans="1:48" x14ac:dyDescent="0.3">
      <c r="A133" t="s">
        <v>5</v>
      </c>
      <c r="B133" s="13">
        <v>2</v>
      </c>
      <c r="C133" s="5">
        <v>0</v>
      </c>
      <c r="D133" s="1">
        <v>174</v>
      </c>
      <c r="E133" s="27">
        <v>7114</v>
      </c>
      <c r="F133" s="1">
        <v>88</v>
      </c>
      <c r="G133" s="6">
        <v>23</v>
      </c>
      <c r="H133" s="1">
        <f>SUM(C133:G133)</f>
        <v>7399</v>
      </c>
      <c r="I133" s="10">
        <f>E133/H133</f>
        <v>0.9614812812542235</v>
      </c>
      <c r="J133" s="11">
        <f>1-I133</f>
        <v>3.8518718745776503E-2</v>
      </c>
      <c r="K133">
        <f>H133-E136</f>
        <v>204</v>
      </c>
      <c r="N133" s="10">
        <f>2*(E137*I133)/(E137+I133)</f>
        <v>0.9749212004933534</v>
      </c>
      <c r="O133" s="1"/>
      <c r="P133" s="1"/>
      <c r="R133" s="16" t="s">
        <v>66</v>
      </c>
      <c r="S133" t="s">
        <v>9</v>
      </c>
      <c r="T133" s="30">
        <f>N345</f>
        <v>2919.63</v>
      </c>
      <c r="U133" s="30">
        <f>N346</f>
        <v>9577.82</v>
      </c>
      <c r="V133" s="30">
        <f>N347</f>
        <v>114515.71</v>
      </c>
      <c r="W133" s="30">
        <f>N348</f>
        <v>51516.07</v>
      </c>
      <c r="X133" s="30">
        <f>N349</f>
        <v>19592.14</v>
      </c>
      <c r="Z133" t="s">
        <v>36</v>
      </c>
      <c r="AA133" s="1">
        <f>N350</f>
        <v>198121.37</v>
      </c>
      <c r="AD133" s="51"/>
      <c r="AE133" s="51"/>
      <c r="AJ133" s="107"/>
      <c r="AK133" s="107" t="s">
        <v>391</v>
      </c>
      <c r="AL133" s="108">
        <f>(AL132/$AS132)*100</f>
        <v>0</v>
      </c>
      <c r="AM133" s="108">
        <f>(AM132/$AS132)*100</f>
        <v>1.1579844810653888</v>
      </c>
      <c r="AN133" s="108">
        <f>(AN132/$AS132)*100</f>
        <v>71.439440541328068</v>
      </c>
      <c r="AO133" s="108">
        <f>(AO132/$AS132)*100</f>
        <v>22.129590658421559</v>
      </c>
      <c r="AP133" s="108">
        <f>(AP132/$AS132)*100</f>
        <v>5.2729843191849861</v>
      </c>
      <c r="AQ133" s="107"/>
      <c r="AR133" s="107"/>
      <c r="AS133" s="142"/>
      <c r="AU133">
        <v>12</v>
      </c>
      <c r="AV133">
        <v>387</v>
      </c>
    </row>
    <row r="134" spans="1:48" ht="15.6" x14ac:dyDescent="0.35">
      <c r="A134" t="s">
        <v>6</v>
      </c>
      <c r="B134" s="13">
        <v>3</v>
      </c>
      <c r="C134" s="5">
        <v>0</v>
      </c>
      <c r="D134" s="1">
        <v>6</v>
      </c>
      <c r="E134" s="1">
        <v>23</v>
      </c>
      <c r="F134" s="27">
        <v>2502</v>
      </c>
      <c r="G134" s="6">
        <v>72</v>
      </c>
      <c r="H134" s="1">
        <f>SUM(C134:G134)</f>
        <v>2603</v>
      </c>
      <c r="I134" s="10">
        <f>F134/H134</f>
        <v>0.96119861698040721</v>
      </c>
      <c r="J134" s="11">
        <f>1-I134</f>
        <v>3.8801383019592794E-2</v>
      </c>
      <c r="K134">
        <f>H134-F136</f>
        <v>-172</v>
      </c>
      <c r="N134" s="10">
        <f>2*(F137*I134)/(F137+I134)</f>
        <v>0.93045741911491253</v>
      </c>
      <c r="O134" s="1"/>
      <c r="P134" s="1"/>
      <c r="R134" s="16" t="s">
        <v>323</v>
      </c>
      <c r="S134" t="s">
        <v>68</v>
      </c>
      <c r="T134" s="57">
        <f>$AA133*T126/100</f>
        <v>2919.6300000000006</v>
      </c>
      <c r="U134" s="57">
        <f>$AA133*U126/100</f>
        <v>11324.447713409332</v>
      </c>
      <c r="V134" s="57">
        <f>$AA133*V126/100</f>
        <v>112128.73739657951</v>
      </c>
      <c r="W134" s="57">
        <f>$AA133*W126/100</f>
        <v>54717.880012017464</v>
      </c>
      <c r="X134" s="57">
        <f>$AA133*X126/100</f>
        <v>17030.674877993708</v>
      </c>
      <c r="Z134" t="s">
        <v>36</v>
      </c>
      <c r="AA134" s="25">
        <f>SUM(T134:X134)</f>
        <v>198121.37000000002</v>
      </c>
      <c r="AD134" s="51"/>
      <c r="AE134" s="51"/>
      <c r="AH134" s="78"/>
      <c r="AI134" s="78"/>
      <c r="AJ134" s="115" t="s">
        <v>410</v>
      </c>
      <c r="AK134" s="122" t="s">
        <v>9</v>
      </c>
      <c r="AL134" s="140">
        <f>AVERAGE(AL216:AL235)</f>
        <v>8.9999999999999993E-3</v>
      </c>
      <c r="AM134" s="136">
        <f>AVERAGE(AM216:AM235)</f>
        <v>22.614500000000003</v>
      </c>
      <c r="AN134" s="136">
        <f>AVERAGE(AN216:AN235)</f>
        <v>1321.4029999999998</v>
      </c>
      <c r="AO134" s="140">
        <f>AVERAGE(AO216:AO235)</f>
        <v>409.12749999999994</v>
      </c>
      <c r="AP134" s="136">
        <f>AVERAGE(AP216:AP235)</f>
        <v>100.06600000000002</v>
      </c>
      <c r="AQ134" s="107"/>
      <c r="AR134" s="115" t="s">
        <v>36</v>
      </c>
      <c r="AS134" s="137">
        <f>SUM(AL134:AP134)</f>
        <v>1853.2199999999996</v>
      </c>
      <c r="AU134">
        <v>13</v>
      </c>
      <c r="AV134">
        <v>416</v>
      </c>
    </row>
    <row r="135" spans="1:48" x14ac:dyDescent="0.3">
      <c r="A135" t="s">
        <v>7</v>
      </c>
      <c r="B135" s="13">
        <v>4</v>
      </c>
      <c r="C135" s="7">
        <v>0</v>
      </c>
      <c r="D135" s="8">
        <v>19</v>
      </c>
      <c r="E135" s="8">
        <v>18</v>
      </c>
      <c r="F135" s="8">
        <v>185</v>
      </c>
      <c r="G135" s="28">
        <v>738</v>
      </c>
      <c r="H135" s="1">
        <f>SUM(C135:G135)</f>
        <v>960</v>
      </c>
      <c r="I135" s="10">
        <f>G135/H135</f>
        <v>0.76875000000000004</v>
      </c>
      <c r="J135" s="11">
        <f>1-I135</f>
        <v>0.23124999999999996</v>
      </c>
      <c r="K135">
        <f>H135-G136</f>
        <v>120</v>
      </c>
      <c r="N135" s="10">
        <f>2*(G137*I135)/(G137+I135)</f>
        <v>0.82000000000000006</v>
      </c>
      <c r="O135" s="1"/>
      <c r="P135" s="1"/>
      <c r="R135" s="66"/>
      <c r="S135" s="66" t="s">
        <v>67</v>
      </c>
      <c r="T135" s="67">
        <f>$AA133*T127/100</f>
        <v>0</v>
      </c>
      <c r="U135" s="67">
        <f>$AA133*U127/100</f>
        <v>297.60997463295996</v>
      </c>
      <c r="V135" s="67">
        <f>$AA133*V127/100</f>
        <v>346.60691927228078</v>
      </c>
      <c r="W135" s="67">
        <f>$AA133*W127/100</f>
        <v>351.03576890684099</v>
      </c>
      <c r="X135" s="67">
        <f>$AA133*X127/100</f>
        <v>334.64904432749665</v>
      </c>
      <c r="AA135" s="1"/>
      <c r="AD135" s="51"/>
      <c r="AE135" s="51"/>
      <c r="AJ135" s="107"/>
      <c r="AK135" s="129" t="s">
        <v>394</v>
      </c>
      <c r="AL135" s="125">
        <f>_xlfn.STDEV.S(AL216:AL235)/SQRT($AK$108)</f>
        <v>6.1942248145051672E-3</v>
      </c>
      <c r="AM135" s="125">
        <f>_xlfn.STDEV.S(AM216:AM235)/SQRT($AK$108)</f>
        <v>0.25875356595559573</v>
      </c>
      <c r="AN135" s="125">
        <f>_xlfn.STDEV.S(AN216:AN235)/SQRT($AK$108)</f>
        <v>0.84977399472169468</v>
      </c>
      <c r="AO135" s="125">
        <f>_xlfn.STDEV.S(AO216:AO235)/SQRT($AK$108)</f>
        <v>0.61844834486249334</v>
      </c>
      <c r="AP135" s="125">
        <f>_xlfn.STDEV.S(AP216:AP235)/SQRT($AK$108)</f>
        <v>0.52179467629569232</v>
      </c>
      <c r="AQ135" s="107"/>
      <c r="AR135" s="107"/>
      <c r="AS135" s="107"/>
      <c r="AU135">
        <v>14</v>
      </c>
      <c r="AV135">
        <v>445</v>
      </c>
    </row>
    <row r="136" spans="1:48" ht="15.6" x14ac:dyDescent="0.35">
      <c r="B136" s="1" t="s">
        <v>19</v>
      </c>
      <c r="C136" s="1">
        <f>SUM(C131:C135)</f>
        <v>259</v>
      </c>
      <c r="D136" s="1">
        <f>SUM(D131:D135)</f>
        <v>491</v>
      </c>
      <c r="E136" s="1">
        <f>SUM(E131:E135)</f>
        <v>7195</v>
      </c>
      <c r="F136" s="1">
        <f>SUM(F131:F135)</f>
        <v>2775</v>
      </c>
      <c r="G136" s="1">
        <f>SUM(G131:G135)</f>
        <v>840</v>
      </c>
      <c r="H136" s="1">
        <f>SUM(H130:H135)</f>
        <v>11560</v>
      </c>
      <c r="I136" s="13" t="s">
        <v>12</v>
      </c>
      <c r="N136" s="16"/>
      <c r="O136" s="1"/>
      <c r="P136" s="1"/>
      <c r="R136" t="s">
        <v>105</v>
      </c>
      <c r="S136" t="s">
        <v>28</v>
      </c>
      <c r="T136" s="57">
        <f>C379</f>
        <v>1.4770693338129046</v>
      </c>
      <c r="U136" s="57">
        <f t="shared" ref="U136:X139" si="22">D379</f>
        <v>6.106111084427126</v>
      </c>
      <c r="V136" s="57">
        <f t="shared" si="22"/>
        <v>56.197792077339997</v>
      </c>
      <c r="W136" s="57">
        <f t="shared" si="22"/>
        <v>27.959209277396447</v>
      </c>
      <c r="X136" s="57">
        <f t="shared" si="22"/>
        <v>8.2598182270235156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</row>
    <row r="137" spans="1:48" x14ac:dyDescent="0.3">
      <c r="A137" s="1" t="s">
        <v>321</v>
      </c>
      <c r="B137" s="1" t="s">
        <v>2</v>
      </c>
      <c r="C137" s="10">
        <f>C131/C136</f>
        <v>1</v>
      </c>
      <c r="D137" s="10">
        <f>D132/D136</f>
        <v>0.59470468431771895</v>
      </c>
      <c r="E137" s="10">
        <f>E133/E136</f>
        <v>0.9887421820708826</v>
      </c>
      <c r="F137" s="10">
        <f>F134/F136</f>
        <v>0.90162162162162163</v>
      </c>
      <c r="G137" s="10">
        <f>G135/G136</f>
        <v>0.87857142857142856</v>
      </c>
      <c r="H137" s="10"/>
      <c r="I137" s="14">
        <f>(C131+D132+E133+F134+G135)/H136</f>
        <v>0.94333910034602075</v>
      </c>
      <c r="S137" s="66" t="s">
        <v>39</v>
      </c>
      <c r="T137" s="67">
        <f>C380</f>
        <v>0</v>
      </c>
      <c r="U137" s="67">
        <f t="shared" si="22"/>
        <v>0.15025136096332539</v>
      </c>
      <c r="V137" s="67">
        <f t="shared" si="22"/>
        <v>0.17684301049402543</v>
      </c>
      <c r="W137" s="67">
        <f t="shared" si="22"/>
        <v>0.17621537833186035</v>
      </c>
      <c r="X137" s="67">
        <f t="shared" si="22"/>
        <v>0.16666884840328755</v>
      </c>
      <c r="AD137" s="51"/>
      <c r="AE137" s="51"/>
      <c r="AU137">
        <v>16</v>
      </c>
      <c r="AV137">
        <v>503</v>
      </c>
    </row>
    <row r="138" spans="1:48" x14ac:dyDescent="0.3">
      <c r="B138" s="1" t="s">
        <v>14</v>
      </c>
      <c r="C138" s="11">
        <f>1-C137</f>
        <v>0</v>
      </c>
      <c r="D138" s="11">
        <f>1-D137</f>
        <v>0.40529531568228105</v>
      </c>
      <c r="E138" s="11">
        <f>1-E137</f>
        <v>1.1257817929117397E-2</v>
      </c>
      <c r="F138" s="11">
        <f>1-F137</f>
        <v>9.8378378378378373E-2</v>
      </c>
      <c r="G138" s="11">
        <f>1-G137</f>
        <v>0.12142857142857144</v>
      </c>
      <c r="S138" t="s">
        <v>30</v>
      </c>
      <c r="T138" s="57">
        <f>C381</f>
        <v>100</v>
      </c>
      <c r="U138" s="57">
        <f t="shared" si="22"/>
        <v>70.826575730946601</v>
      </c>
      <c r="V138" s="57">
        <f t="shared" si="22"/>
        <v>97.969057514712816</v>
      </c>
      <c r="W138" s="57">
        <f t="shared" si="22"/>
        <v>90.476578921544032</v>
      </c>
      <c r="X138" s="57">
        <f t="shared" si="22"/>
        <v>88.639813294356486</v>
      </c>
      <c r="AA138" s="54"/>
      <c r="AD138" s="51"/>
      <c r="AE138" s="51"/>
      <c r="AH138" s="78"/>
      <c r="AI138" s="78"/>
      <c r="AU138">
        <v>17</v>
      </c>
      <c r="AV138">
        <v>532</v>
      </c>
    </row>
    <row r="139" spans="1:48" x14ac:dyDescent="0.3">
      <c r="C139" s="2"/>
      <c r="S139" s="66" t="s">
        <v>39</v>
      </c>
      <c r="T139" s="67">
        <f>C382</f>
        <v>0</v>
      </c>
      <c r="U139" s="67">
        <f t="shared" si="22"/>
        <v>4.6081967241679269</v>
      </c>
      <c r="V139" s="67">
        <f t="shared" si="22"/>
        <v>0.20526936662106018</v>
      </c>
      <c r="W139" s="67">
        <f t="shared" si="22"/>
        <v>0.57998047280545673</v>
      </c>
      <c r="X139" s="67">
        <f t="shared" si="22"/>
        <v>2.1367233936225949</v>
      </c>
      <c r="AD139" s="51"/>
      <c r="AE139" s="51"/>
      <c r="AU139">
        <v>18</v>
      </c>
      <c r="AV139">
        <v>561</v>
      </c>
    </row>
    <row r="140" spans="1:48" ht="15.6" x14ac:dyDescent="0.35">
      <c r="A140" t="s">
        <v>322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100</v>
      </c>
      <c r="U140" s="57">
        <f>I375</f>
        <v>86.725663716814154</v>
      </c>
      <c r="V140" s="57">
        <f>I376</f>
        <v>95.742667928098399</v>
      </c>
      <c r="W140" s="57">
        <f>I377</f>
        <v>96.196696119861684</v>
      </c>
      <c r="X140" s="57">
        <f>I378</f>
        <v>75.208333333333329</v>
      </c>
      <c r="AD140" s="51"/>
      <c r="AE140" s="51"/>
      <c r="AH140" s="78"/>
      <c r="AI140" s="78"/>
      <c r="AU140">
        <v>19</v>
      </c>
      <c r="AV140">
        <v>590</v>
      </c>
    </row>
    <row r="141" spans="1:48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</v>
      </c>
      <c r="U141" s="67">
        <f>J375</f>
        <v>1.8455332487033302</v>
      </c>
      <c r="V141" s="67">
        <f>J376</f>
        <v>0.23472771028383144</v>
      </c>
      <c r="W141" s="67">
        <f>J377</f>
        <v>0.37497899895544978</v>
      </c>
      <c r="X141" s="67">
        <f>J378</f>
        <v>1.394365217325179</v>
      </c>
      <c r="AD141" s="51"/>
      <c r="AE141" s="51"/>
    </row>
    <row r="142" spans="1:48" x14ac:dyDescent="0.3">
      <c r="A142" t="s">
        <v>3</v>
      </c>
      <c r="B142" s="13">
        <v>0</v>
      </c>
      <c r="C142" s="29">
        <f>(C131/$L142)*$O142</f>
        <v>1.4723854106392162</v>
      </c>
      <c r="D142" s="31">
        <f>(D131/$L142)*$O142</f>
        <v>0</v>
      </c>
      <c r="E142" s="31">
        <f>(E131/$L142)*$O142</f>
        <v>0</v>
      </c>
      <c r="F142" s="31">
        <f>(F131/$L142)*$O142</f>
        <v>0</v>
      </c>
      <c r="G142" s="32">
        <f>(G131/$L142)*$O142</f>
        <v>0</v>
      </c>
      <c r="H142" s="17">
        <f>SUM(C142:G142)</f>
        <v>1.4723854106392162</v>
      </c>
      <c r="I142" s="17">
        <f>C142/H142*100</f>
        <v>100</v>
      </c>
      <c r="J142" s="17">
        <f>SQRT(I142*(100-I142)/(L142-1))</f>
        <v>0</v>
      </c>
      <c r="K142" s="18">
        <f>100-I142</f>
        <v>0</v>
      </c>
      <c r="L142" s="1">
        <f>H131</f>
        <v>259</v>
      </c>
      <c r="M142">
        <v>0</v>
      </c>
      <c r="N142" s="1">
        <v>2917.11</v>
      </c>
      <c r="O142" s="17">
        <f>N142/N147*100</f>
        <v>1.4723854106392162</v>
      </c>
      <c r="P142" s="52">
        <f>((O142*O142*(I142/100)*(K142/100))/(L142-1))</f>
        <v>0</v>
      </c>
      <c r="S142" s="66" t="s">
        <v>56</v>
      </c>
      <c r="T142" s="67">
        <f>N363*100</f>
        <v>100</v>
      </c>
      <c r="U142" s="67">
        <f>N364*100</f>
        <v>68.852459016393439</v>
      </c>
      <c r="V142" s="67">
        <f>N365*100</f>
        <v>97.180876603333559</v>
      </c>
      <c r="W142" s="67">
        <f>N366*100</f>
        <v>92.87833827893175</v>
      </c>
      <c r="X142" s="67">
        <f>N367*100</f>
        <v>81.26055149127744</v>
      </c>
      <c r="AD142" s="51"/>
      <c r="AE142" s="51"/>
      <c r="AH142" s="78"/>
      <c r="AI142" s="78"/>
    </row>
    <row r="143" spans="1:48" x14ac:dyDescent="0.3">
      <c r="A143" t="s">
        <v>4</v>
      </c>
      <c r="B143" s="13">
        <v>1</v>
      </c>
      <c r="C143" s="33">
        <f t="shared" ref="C143:G146" si="23">(C132/$L143)*$O143</f>
        <v>0</v>
      </c>
      <c r="D143" s="34">
        <f t="shared" si="23"/>
        <v>4.1652095430347966</v>
      </c>
      <c r="E143" s="19">
        <f t="shared" si="23"/>
        <v>0.57057664973079403</v>
      </c>
      <c r="F143" s="18">
        <f t="shared" si="23"/>
        <v>0</v>
      </c>
      <c r="G143" s="20">
        <f t="shared" si="23"/>
        <v>9.9850913702888955E-2</v>
      </c>
      <c r="H143" s="17">
        <f>SUM(C143:G143)</f>
        <v>4.8356371064684804</v>
      </c>
      <c r="I143" s="17">
        <f>D143/H143*100</f>
        <v>86.135693215339217</v>
      </c>
      <c r="J143" s="17">
        <f>SQRT(I143*(100-I143)/(L143-1))</f>
        <v>1.8796730137447466</v>
      </c>
      <c r="K143" s="18">
        <f>100-I143</f>
        <v>13.864306784660783</v>
      </c>
      <c r="L143" s="1">
        <f>H132</f>
        <v>339</v>
      </c>
      <c r="M143">
        <v>1</v>
      </c>
      <c r="N143" s="1">
        <v>9580.43</v>
      </c>
      <c r="O143" s="17">
        <f>N143/N147*100</f>
        <v>4.8356371064684796</v>
      </c>
      <c r="P143" s="52">
        <f>((O143*O143*(I143/100)*(K143/100))/(L143-1))</f>
        <v>8.2617493642826809E-3</v>
      </c>
      <c r="R143" s="16" t="s">
        <v>66</v>
      </c>
      <c r="S143" t="s">
        <v>9</v>
      </c>
      <c r="T143" s="30">
        <f>N374</f>
        <v>2926.39</v>
      </c>
      <c r="U143" s="30">
        <f>N375</f>
        <v>9879.7199999999993</v>
      </c>
      <c r="V143" s="30">
        <f>N376</f>
        <v>113928.92</v>
      </c>
      <c r="W143" s="30">
        <f>N377</f>
        <v>52099.34</v>
      </c>
      <c r="X143" s="30">
        <f>N378</f>
        <v>19287</v>
      </c>
      <c r="Z143" t="s">
        <v>36</v>
      </c>
      <c r="AA143" s="1">
        <f>N379</f>
        <v>198121.37</v>
      </c>
      <c r="AD143" s="51"/>
      <c r="AE143" s="51"/>
    </row>
    <row r="144" spans="1:48" ht="15.6" x14ac:dyDescent="0.35">
      <c r="A144" t="s">
        <v>5</v>
      </c>
      <c r="B144" s="13">
        <v>2</v>
      </c>
      <c r="C144" s="33">
        <f t="shared" si="23"/>
        <v>0</v>
      </c>
      <c r="D144" s="19">
        <f t="shared" si="23"/>
        <v>1.3584809277047998</v>
      </c>
      <c r="E144" s="34">
        <f t="shared" si="23"/>
        <v>55.541570802827273</v>
      </c>
      <c r="F144" s="19">
        <f t="shared" si="23"/>
        <v>0.68704782550587573</v>
      </c>
      <c r="G144" s="20">
        <f t="shared" si="23"/>
        <v>0.1795693180299448</v>
      </c>
      <c r="H144" s="17">
        <f>SUM(C144:G144)</f>
        <v>57.766668874067896</v>
      </c>
      <c r="I144" s="17">
        <f>E144/H144*100</f>
        <v>96.148128125422346</v>
      </c>
      <c r="J144" s="17">
        <f>SQRT(I144*(100-I144)/(L144-1))</f>
        <v>0.22374285199128541</v>
      </c>
      <c r="K144" s="18">
        <f>100-I144</f>
        <v>3.8518718745776539</v>
      </c>
      <c r="L144" s="1">
        <f>H133</f>
        <v>7399</v>
      </c>
      <c r="M144">
        <v>2</v>
      </c>
      <c r="N144" s="1">
        <v>114448.11</v>
      </c>
      <c r="O144" s="17">
        <f>N144/N147*100</f>
        <v>57.766668874067896</v>
      </c>
      <c r="P144" s="52">
        <f>((O144*O144*(I144/100)*(K144/100))/(L144-1))</f>
        <v>1.6705250346991836E-2</v>
      </c>
      <c r="R144" s="16" t="s">
        <v>323</v>
      </c>
      <c r="S144" t="s">
        <v>68</v>
      </c>
      <c r="T144" s="57">
        <f>$AA143*T136/100</f>
        <v>2926.39</v>
      </c>
      <c r="U144" s="57">
        <f>$AA143*U136/100</f>
        <v>12097.510934188878</v>
      </c>
      <c r="V144" s="57">
        <f>$AA143*V136/100</f>
        <v>111339.83557337747</v>
      </c>
      <c r="W144" s="57">
        <f>$AA143*W136/100</f>
        <v>55393.168461544941</v>
      </c>
      <c r="X144" s="57">
        <f>$AA143*X136/100</f>
        <v>16364.465030888699</v>
      </c>
      <c r="Z144" t="s">
        <v>36</v>
      </c>
      <c r="AA144" s="25">
        <f>SUM(T144:X144)</f>
        <v>198121.37</v>
      </c>
      <c r="AD144" s="51"/>
      <c r="AE144" s="51"/>
      <c r="AH144" s="78"/>
      <c r="AI144" s="78"/>
    </row>
    <row r="145" spans="1:35" x14ac:dyDescent="0.3">
      <c r="A145" t="s">
        <v>6</v>
      </c>
      <c r="B145" s="13">
        <v>3</v>
      </c>
      <c r="C145" s="33">
        <f t="shared" si="23"/>
        <v>0</v>
      </c>
      <c r="D145" s="19">
        <f t="shared" si="23"/>
        <v>6.0069539086208025E-2</v>
      </c>
      <c r="E145" s="19">
        <f t="shared" si="23"/>
        <v>0.23026656649713079</v>
      </c>
      <c r="F145" s="34">
        <f t="shared" si="23"/>
        <v>25.048997798948747</v>
      </c>
      <c r="G145" s="20">
        <f t="shared" si="23"/>
        <v>0.72083446903449633</v>
      </c>
      <c r="H145" s="17">
        <f>SUM(C145:G145)</f>
        <v>26.060168373566583</v>
      </c>
      <c r="I145" s="17">
        <f>F145/H145*100</f>
        <v>96.119861698040722</v>
      </c>
      <c r="J145" s="17">
        <f>SQRT(I145*(100-I145)/(L145-1))</f>
        <v>0.37859643951024841</v>
      </c>
      <c r="K145" s="18">
        <f>100-I145</f>
        <v>3.8801383019592777</v>
      </c>
      <c r="L145" s="1">
        <f>H134</f>
        <v>2603</v>
      </c>
      <c r="M145">
        <v>3</v>
      </c>
      <c r="N145" s="1">
        <v>51630.76</v>
      </c>
      <c r="O145" s="17">
        <f>N145/N147*100</f>
        <v>26.060168373566583</v>
      </c>
      <c r="P145" s="52">
        <f>((O145*O145*(I145/100)*(K145/100))/(L145-1))</f>
        <v>9.7343618362659059E-3</v>
      </c>
      <c r="R145" s="66"/>
      <c r="S145" s="66" t="s">
        <v>67</v>
      </c>
      <c r="T145" s="67">
        <f>$AA143*T137/100</f>
        <v>0</v>
      </c>
      <c r="U145" s="67">
        <f>$AA143*U137/100</f>
        <v>297.68005478418547</v>
      </c>
      <c r="V145" s="67">
        <f>$AA143*V137/100</f>
        <v>350.36379514000691</v>
      </c>
      <c r="W145" s="67">
        <f>$AA143*W137/100</f>
        <v>349.12032170176485</v>
      </c>
      <c r="X145" s="67">
        <f>$AA143*X137/100</f>
        <v>330.20660581981639</v>
      </c>
      <c r="AA145" s="1"/>
      <c r="AD145" s="51"/>
      <c r="AE145" s="51"/>
    </row>
    <row r="146" spans="1:35" x14ac:dyDescent="0.3">
      <c r="A146" t="s">
        <v>7</v>
      </c>
      <c r="B146" s="13">
        <v>4</v>
      </c>
      <c r="C146" s="35">
        <f t="shared" si="23"/>
        <v>0</v>
      </c>
      <c r="D146" s="36">
        <f t="shared" si="23"/>
        <v>0.19524756715614439</v>
      </c>
      <c r="E146" s="21">
        <f t="shared" si="23"/>
        <v>0.18497137941108416</v>
      </c>
      <c r="F146" s="21">
        <f t="shared" si="23"/>
        <v>1.9010947328361429</v>
      </c>
      <c r="G146" s="37">
        <f t="shared" si="23"/>
        <v>7.5838265558544515</v>
      </c>
      <c r="H146" s="17">
        <f>SUM(C146:G146)</f>
        <v>9.8651402352578224</v>
      </c>
      <c r="I146" s="17">
        <f>G146/H146*100</f>
        <v>76.875</v>
      </c>
      <c r="J146" s="17">
        <f>SQRT(I146*(100-I146)/(L146-1))</f>
        <v>1.3615203330504093</v>
      </c>
      <c r="K146" s="18">
        <f>100-I146</f>
        <v>23.125</v>
      </c>
      <c r="L146" s="1">
        <f>H135</f>
        <v>960</v>
      </c>
      <c r="M146">
        <v>4</v>
      </c>
      <c r="N146" s="1">
        <v>19544.95</v>
      </c>
      <c r="O146" s="17">
        <f>N146/N147*100</f>
        <v>9.8651402352578224</v>
      </c>
      <c r="P146" s="52">
        <f>((O146*O146*(I146/100)*(K146/100))/(L146-1))</f>
        <v>1.804075835671879E-2</v>
      </c>
      <c r="R146" t="s">
        <v>106</v>
      </c>
      <c r="S146" t="s">
        <v>28</v>
      </c>
      <c r="T146" s="57">
        <f>C408</f>
        <v>1.4759337408142159</v>
      </c>
      <c r="U146" s="57">
        <f t="shared" ref="U146:X149" si="24">D408</f>
        <v>5.9988213903008454</v>
      </c>
      <c r="V146" s="57">
        <f t="shared" si="24"/>
        <v>56.519131535699039</v>
      </c>
      <c r="W146" s="57">
        <f t="shared" si="24"/>
        <v>27.718213836558778</v>
      </c>
      <c r="X146" s="57">
        <f t="shared" si="24"/>
        <v>8.2878994966271122</v>
      </c>
      <c r="Y146" s="60"/>
      <c r="Z146" s="74"/>
      <c r="AA146" s="12"/>
      <c r="AD146" s="51"/>
      <c r="AE146" s="51"/>
      <c r="AH146" s="78"/>
      <c r="AI146" s="78"/>
    </row>
    <row r="147" spans="1:35" x14ac:dyDescent="0.3">
      <c r="B147" t="s">
        <v>28</v>
      </c>
      <c r="C147" s="17">
        <f t="shared" ref="C147:H147" si="25">SUM(C142:C146)</f>
        <v>1.4723854106392162</v>
      </c>
      <c r="D147" s="17">
        <f t="shared" si="25"/>
        <v>5.7790075769819493</v>
      </c>
      <c r="E147" s="17">
        <f t="shared" si="25"/>
        <v>56.527385398466279</v>
      </c>
      <c r="F147" s="17">
        <f t="shared" si="25"/>
        <v>27.637140357290765</v>
      </c>
      <c r="G147" s="17">
        <f t="shared" si="25"/>
        <v>8.584081256621781</v>
      </c>
      <c r="H147" s="18">
        <f t="shared" si="25"/>
        <v>100</v>
      </c>
      <c r="I147" s="13" t="s">
        <v>24</v>
      </c>
      <c r="J147" s="12" t="s">
        <v>29</v>
      </c>
      <c r="N147" s="1">
        <f>SUM(N142:N146)</f>
        <v>198121.36000000002</v>
      </c>
      <c r="O147" s="17">
        <f>SUM(O142:O146)</f>
        <v>100</v>
      </c>
      <c r="S147" s="66" t="s">
        <v>39</v>
      </c>
      <c r="T147" s="67">
        <f>C409</f>
        <v>0</v>
      </c>
      <c r="U147" s="67">
        <f t="shared" si="24"/>
        <v>0.14692383960542804</v>
      </c>
      <c r="V147" s="67">
        <f t="shared" si="24"/>
        <v>0.17598405871153117</v>
      </c>
      <c r="W147" s="67">
        <f t="shared" si="24"/>
        <v>0.17574576478157883</v>
      </c>
      <c r="X147" s="67">
        <f t="shared" si="24"/>
        <v>0.16825054781542667</v>
      </c>
      <c r="AD147" s="51"/>
      <c r="AE147" s="51"/>
    </row>
    <row r="148" spans="1:35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0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0.14546753839512636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0.16742674027823096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0.17550530214210708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0.16682792679025504</v>
      </c>
      <c r="H148" s="1"/>
      <c r="I148" s="56">
        <f>(C142+D143+E144+F145+G146)/H147</f>
        <v>0.938119901113045</v>
      </c>
      <c r="J148" s="53">
        <f>SQRT(SUM(P142:P146))/100</f>
        <v>2.2965652593440319E-3</v>
      </c>
      <c r="M148" s="1"/>
      <c r="N148" s="9"/>
      <c r="S148" t="s">
        <v>30</v>
      </c>
      <c r="T148" s="57">
        <f>C410</f>
        <v>100</v>
      </c>
      <c r="U148" s="57">
        <f t="shared" si="24"/>
        <v>72.629366902365476</v>
      </c>
      <c r="V148" s="57">
        <f t="shared" si="24"/>
        <v>97.913195726391649</v>
      </c>
      <c r="W148" s="57">
        <f t="shared" si="24"/>
        <v>90.428555285221734</v>
      </c>
      <c r="X148" s="57">
        <f t="shared" si="24"/>
        <v>88.251252462278771</v>
      </c>
      <c r="AD148" s="51"/>
      <c r="AE148" s="51"/>
      <c r="AH148" s="78"/>
      <c r="AI148" s="78"/>
    </row>
    <row r="149" spans="1:35" x14ac:dyDescent="0.3">
      <c r="B149" s="1" t="s">
        <v>30</v>
      </c>
      <c r="C149" s="17">
        <f>C142/C147*100</f>
        <v>100</v>
      </c>
      <c r="D149" s="17">
        <f>D143/D147*100</f>
        <v>72.074824051538116</v>
      </c>
      <c r="E149" s="17">
        <f>E144/E147*100</f>
        <v>98.256040698344847</v>
      </c>
      <c r="F149" s="17">
        <f>F145/F147*100</f>
        <v>90.635273675630998</v>
      </c>
      <c r="G149" s="17">
        <f>G146/G147*100</f>
        <v>88.347562530402072</v>
      </c>
      <c r="H149" s="1"/>
      <c r="S149" s="66" t="s">
        <v>39</v>
      </c>
      <c r="T149" s="67">
        <f>C411</f>
        <v>0</v>
      </c>
      <c r="U149" s="67">
        <f t="shared" si="24"/>
        <v>4.450157716771983</v>
      </c>
      <c r="V149" s="67">
        <f t="shared" si="24"/>
        <v>0.20716501743386698</v>
      </c>
      <c r="W149" s="67">
        <f t="shared" si="24"/>
        <v>0.58411031310642103</v>
      </c>
      <c r="X149" s="67">
        <f t="shared" si="24"/>
        <v>2.2022975994976099</v>
      </c>
      <c r="AD149" s="51"/>
      <c r="AE149" s="51"/>
    </row>
    <row r="150" spans="1:35" x14ac:dyDescent="0.3">
      <c r="B150" s="16" t="s">
        <v>39</v>
      </c>
      <c r="C150" s="18">
        <f>SQRT((C153+C154)/(C147*C147))</f>
        <v>0</v>
      </c>
      <c r="D150" s="18">
        <f>SQRT((D153+D154)/(D147*D147))</f>
        <v>4.6153962982449448</v>
      </c>
      <c r="E150" s="18">
        <f>SQRT((E153+E154)/(E147*E147))</f>
        <v>0.18944852424470127</v>
      </c>
      <c r="F150" s="18">
        <f>SQRT((F153+F154)/(F147*F147))</f>
        <v>0.58187093244238164</v>
      </c>
      <c r="G150" s="18">
        <f>SQRT((G153+G154)/(G147*G147))</f>
        <v>2.0890511889707786</v>
      </c>
      <c r="H150" s="1"/>
      <c r="S150" s="15" t="s">
        <v>31</v>
      </c>
      <c r="T150" s="71">
        <f>I403</f>
        <v>100</v>
      </c>
      <c r="U150" s="71">
        <f>I404</f>
        <v>86.725663716814154</v>
      </c>
      <c r="V150" s="71">
        <f>I405</f>
        <v>95.945398026760387</v>
      </c>
      <c r="W150" s="71">
        <f>I406</f>
        <v>96.196696119861699</v>
      </c>
      <c r="X150" s="71">
        <f>I407</f>
        <v>74.895833333333343</v>
      </c>
      <c r="AD150" s="51"/>
      <c r="AE150" s="51"/>
      <c r="AH150" s="78"/>
      <c r="AI150" s="78"/>
    </row>
    <row r="151" spans="1:35" x14ac:dyDescent="0.3">
      <c r="B151" s="1" t="s">
        <v>37</v>
      </c>
      <c r="C151" s="18">
        <f>100-C149</f>
        <v>0</v>
      </c>
      <c r="D151" s="18">
        <f>100-D149</f>
        <v>27.925175948461884</v>
      </c>
      <c r="E151" s="18">
        <f>100-E149</f>
        <v>1.7439593016551527</v>
      </c>
      <c r="F151" s="18">
        <f>100-F149</f>
        <v>9.364726324369002</v>
      </c>
      <c r="G151" s="18">
        <f>100-G149</f>
        <v>11.652437469597928</v>
      </c>
      <c r="S151" s="75" t="s">
        <v>39</v>
      </c>
      <c r="T151" s="76">
        <f>J403</f>
        <v>0</v>
      </c>
      <c r="U151" s="76">
        <f>J404</f>
        <v>1.8455332487033302</v>
      </c>
      <c r="V151" s="76">
        <f>J405</f>
        <v>0.22931318405872911</v>
      </c>
      <c r="W151" s="76">
        <f>J406</f>
        <v>0.37497899895544912</v>
      </c>
      <c r="X151" s="76">
        <f>J407</f>
        <v>1.4002075976869721</v>
      </c>
      <c r="AD151" s="51"/>
      <c r="AE151" s="51"/>
    </row>
    <row r="152" spans="1:35" ht="15.6" x14ac:dyDescent="0.35">
      <c r="B152" s="1" t="s">
        <v>25</v>
      </c>
      <c r="C152" s="1">
        <f>C136</f>
        <v>259</v>
      </c>
      <c r="D152" s="1">
        <f>D136</f>
        <v>491</v>
      </c>
      <c r="E152" s="1">
        <f>E136</f>
        <v>7195</v>
      </c>
      <c r="F152" s="1">
        <f>F136</f>
        <v>2775</v>
      </c>
      <c r="G152" s="1">
        <f>G136</f>
        <v>840</v>
      </c>
      <c r="S152" s="66" t="s">
        <v>56</v>
      </c>
      <c r="T152" s="67">
        <f>N392*100</f>
        <v>100</v>
      </c>
      <c r="U152" s="67">
        <f>N393*100</f>
        <v>70.25089605734766</v>
      </c>
      <c r="V152" s="67">
        <f>N394*100</f>
        <v>97.266561622251146</v>
      </c>
      <c r="W152" s="67">
        <f>N395*100</f>
        <v>92.912801484230059</v>
      </c>
      <c r="X152" s="67">
        <f>N396*100</f>
        <v>80.877390326209223</v>
      </c>
      <c r="AD152" s="51"/>
      <c r="AE152" s="51"/>
      <c r="AH152" s="78"/>
      <c r="AI152" s="78"/>
    </row>
    <row r="153" spans="1:35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644.26398127744744</v>
      </c>
      <c r="E153" s="18">
        <f>(O144*O144*(100-E149)*(100-E149)*(I144)*(100-I144))/((L144-1)*100)</f>
        <v>5.0807248939432617</v>
      </c>
      <c r="F153" s="18">
        <f>(O145*O145*(100-F149)*(100-F149)*(I145)*(100-I145))/((L145-1)*100)</f>
        <v>85.368502928734657</v>
      </c>
      <c r="G153" s="18">
        <f>(O146*O146*(100-G149)*(100-G149)*(I146)*(100-I146))/((L146-1)*100)</f>
        <v>244.95615227949864</v>
      </c>
      <c r="R153" s="16" t="s">
        <v>66</v>
      </c>
      <c r="S153" t="s">
        <v>9</v>
      </c>
      <c r="T153" s="30">
        <f>N403</f>
        <v>2924.14</v>
      </c>
      <c r="U153" s="30">
        <f>N404</f>
        <v>9953.18</v>
      </c>
      <c r="V153" s="30">
        <f>N405</f>
        <v>114273.06</v>
      </c>
      <c r="W153" s="30">
        <f>N406</f>
        <v>51622.85</v>
      </c>
      <c r="X153" s="30">
        <f>N407</f>
        <v>19348.13</v>
      </c>
      <c r="Z153" t="s">
        <v>36</v>
      </c>
      <c r="AA153" s="1">
        <f>N408</f>
        <v>198121.36000000002</v>
      </c>
      <c r="AD153" s="51"/>
      <c r="AE153" s="51"/>
    </row>
    <row r="154" spans="1:35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67.153483443739702</v>
      </c>
      <c r="E154" s="18">
        <f>E149*E149*(SUM((H142*E142*(1-E131/H131))/(H131-1),(H143*E143*(1-E132/H132))/(H132-1), (H145*E145*(1-E134/H134))/(H134-1),(H146*E146*(1-E135/H135))/(H135-1)))</f>
        <v>109.60259314574759</v>
      </c>
      <c r="F154" s="18">
        <f>F149*F149*(SUM((H142*F142*(1-F131/H131))/(H131-1),(H143*F143*(1-F132/H132))/(H132-1), (H144*F144*(1-F133/H133))/(H133-1),(H146*F146*(1-F135/H135))/(H135-1)))</f>
        <v>173.23805456270776</v>
      </c>
      <c r="G154" s="18">
        <f>G149*G149*(SUM((H142*G142*(1-G131/H131))/(H131-1),(H143*G143*(1-G132/H132))/(H132-1), (H144*G144*(1-G133/H133))/(H133-1),(H145*G145*(1-G134/H134))/(H134-1)))</f>
        <v>76.621458075008334</v>
      </c>
      <c r="R154" s="16" t="s">
        <v>323</v>
      </c>
      <c r="S154" t="s">
        <v>68</v>
      </c>
      <c r="T154" s="57">
        <f>$AA153*T146/100</f>
        <v>2924.14</v>
      </c>
      <c r="U154" s="57">
        <f>$AA153*U146/100</f>
        <v>11884.946522434942</v>
      </c>
      <c r="V154" s="57">
        <f>$AA153*V146/100</f>
        <v>111976.47205871582</v>
      </c>
      <c r="W154" s="57">
        <f>$AA153*W146/100</f>
        <v>54915.70222069844</v>
      </c>
      <c r="X154" s="57">
        <f>$AA153*X146/100</f>
        <v>16420.09919815079</v>
      </c>
      <c r="Z154" t="s">
        <v>36</v>
      </c>
      <c r="AA154" s="25">
        <f>SUM(T154:X154)</f>
        <v>198121.36</v>
      </c>
      <c r="AD154" s="51"/>
      <c r="AE154" s="51"/>
      <c r="AH154" s="78"/>
      <c r="AI154" s="78"/>
    </row>
    <row r="155" spans="1:35" x14ac:dyDescent="0.3">
      <c r="R155" s="66"/>
      <c r="S155" s="66" t="s">
        <v>67</v>
      </c>
      <c r="T155" s="67">
        <f>$AA153*T147/100</f>
        <v>0</v>
      </c>
      <c r="U155" s="67">
        <f>$AA153*U147/100</f>
        <v>291.08750919049265</v>
      </c>
      <c r="V155" s="67">
        <f>$AA153*V147/100</f>
        <v>348.66201050248407</v>
      </c>
      <c r="W155" s="67">
        <f>$AA153*W147/100</f>
        <v>348.18989932766505</v>
      </c>
      <c r="X155" s="67">
        <f>$AA153*X147/100</f>
        <v>333.34027353937364</v>
      </c>
      <c r="AA155" s="1"/>
      <c r="AD155" s="51"/>
      <c r="AE155" s="51"/>
    </row>
    <row r="156" spans="1:35" x14ac:dyDescent="0.3">
      <c r="R156" t="s">
        <v>107</v>
      </c>
      <c r="S156" t="s">
        <v>28</v>
      </c>
      <c r="T156" s="57">
        <f>C437</f>
        <v>1.4633404495103404</v>
      </c>
      <c r="U156" s="57">
        <f t="shared" ref="U156:X159" si="26">D437</f>
        <v>6.0813422424711927</v>
      </c>
      <c r="V156" s="57">
        <f t="shared" si="26"/>
        <v>56.210158131557137</v>
      </c>
      <c r="W156" s="57">
        <f t="shared" si="26"/>
        <v>27.908317207251567</v>
      </c>
      <c r="X156" s="57">
        <f t="shared" si="26"/>
        <v>8.3368419692097611</v>
      </c>
      <c r="Z156" s="74"/>
      <c r="AA156" s="12"/>
      <c r="AD156" s="51"/>
      <c r="AE156" s="51"/>
      <c r="AH156" s="78"/>
      <c r="AI156" s="78"/>
    </row>
    <row r="157" spans="1:35" x14ac:dyDescent="0.3">
      <c r="A157" s="361" t="s">
        <v>441</v>
      </c>
      <c r="B157" s="361"/>
      <c r="C157" s="361"/>
      <c r="D157" s="361"/>
      <c r="E157" s="361"/>
      <c r="F157" s="361"/>
      <c r="G157" s="361"/>
      <c r="H157" s="361"/>
      <c r="I157" s="361"/>
      <c r="J157" s="361"/>
      <c r="K157" s="361"/>
      <c r="L157" s="361" t="s">
        <v>83</v>
      </c>
      <c r="M157" s="361"/>
      <c r="N157" s="361"/>
      <c r="O157" s="361"/>
      <c r="P157" s="361"/>
      <c r="S157" s="66" t="s">
        <v>39</v>
      </c>
      <c r="T157" s="67">
        <f>C438</f>
        <v>0</v>
      </c>
      <c r="U157" s="67">
        <f t="shared" si="26"/>
        <v>0.15117471780407865</v>
      </c>
      <c r="V157" s="67">
        <f t="shared" si="26"/>
        <v>0.17769138352116909</v>
      </c>
      <c r="W157" s="67">
        <f t="shared" si="26"/>
        <v>0.17507122428746727</v>
      </c>
      <c r="X157" s="67">
        <f t="shared" si="26"/>
        <v>0.16609151804594932</v>
      </c>
      <c r="AD157" s="51"/>
      <c r="AE157" s="51"/>
    </row>
    <row r="158" spans="1:35" x14ac:dyDescent="0.3">
      <c r="A158" t="s">
        <v>320</v>
      </c>
      <c r="B158" t="s">
        <v>21</v>
      </c>
      <c r="I158" s="1" t="s">
        <v>58</v>
      </c>
      <c r="O158" s="143"/>
      <c r="P158" s="143"/>
      <c r="S158" t="s">
        <v>30</v>
      </c>
      <c r="T158" s="57">
        <f>C439</f>
        <v>100</v>
      </c>
      <c r="U158" s="57">
        <f t="shared" si="26"/>
        <v>71.741642256519128</v>
      </c>
      <c r="V158" s="57">
        <f t="shared" si="26"/>
        <v>97.916063714230631</v>
      </c>
      <c r="W158" s="57">
        <f t="shared" si="26"/>
        <v>90.582928337066122</v>
      </c>
      <c r="X158" s="57">
        <f t="shared" si="26"/>
        <v>88.612672858654193</v>
      </c>
      <c r="AD158" s="51"/>
      <c r="AE158" s="51"/>
      <c r="AH158" s="78"/>
      <c r="AI158" s="78"/>
    </row>
    <row r="159" spans="1:35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56</v>
      </c>
      <c r="O159" s="13"/>
      <c r="P159" s="13"/>
      <c r="S159" s="66" t="s">
        <v>39</v>
      </c>
      <c r="T159" s="67">
        <f>C440</f>
        <v>0</v>
      </c>
      <c r="U159" s="67">
        <f t="shared" si="26"/>
        <v>4.6849970418025357</v>
      </c>
      <c r="V159" s="67">
        <f t="shared" si="26"/>
        <v>0.2094144241240983</v>
      </c>
      <c r="W159" s="67">
        <f t="shared" si="26"/>
        <v>0.57549645743648636</v>
      </c>
      <c r="X159" s="67">
        <f t="shared" si="26"/>
        <v>2.1105033048801327</v>
      </c>
      <c r="AD159" s="51"/>
      <c r="AE159" s="51"/>
    </row>
    <row r="160" spans="1:35" x14ac:dyDescent="0.3">
      <c r="A160" t="s">
        <v>3</v>
      </c>
      <c r="B160" s="13">
        <v>0</v>
      </c>
      <c r="C160" s="26">
        <v>259</v>
      </c>
      <c r="D160" s="3">
        <v>0</v>
      </c>
      <c r="E160" s="3">
        <v>0</v>
      </c>
      <c r="F160" s="3">
        <v>0</v>
      </c>
      <c r="G160" s="4">
        <v>0</v>
      </c>
      <c r="H160" s="1">
        <f>SUM(C160:G160)</f>
        <v>259</v>
      </c>
      <c r="I160" s="10">
        <f>C160/H160</f>
        <v>1</v>
      </c>
      <c r="J160" s="11">
        <f>1-I160</f>
        <v>0</v>
      </c>
      <c r="K160">
        <f>H160-C165</f>
        <v>0</v>
      </c>
      <c r="N160" s="10">
        <f>2*(C166*I160)/(C166+I160)</f>
        <v>1</v>
      </c>
      <c r="O160" s="1"/>
      <c r="P160" s="1"/>
      <c r="S160" s="15" t="s">
        <v>31</v>
      </c>
      <c r="T160" s="71">
        <f>I432</f>
        <v>100</v>
      </c>
      <c r="U160" s="71">
        <f>I433</f>
        <v>85.840707964601776</v>
      </c>
      <c r="V160" s="71">
        <f>I434</f>
        <v>95.796729287741584</v>
      </c>
      <c r="W160" s="71">
        <f>I435</f>
        <v>96.273530541682675</v>
      </c>
      <c r="X160" s="71">
        <f>I436</f>
        <v>75.833333333333329</v>
      </c>
      <c r="AD160" s="51"/>
      <c r="AE160" s="51"/>
      <c r="AH160" s="78"/>
      <c r="AI160" s="78"/>
    </row>
    <row r="161" spans="1:35" x14ac:dyDescent="0.3">
      <c r="A161" t="s">
        <v>4</v>
      </c>
      <c r="B161" s="13">
        <v>1</v>
      </c>
      <c r="C161" s="5">
        <v>0</v>
      </c>
      <c r="D161" s="27">
        <v>290</v>
      </c>
      <c r="E161" s="1">
        <v>42</v>
      </c>
      <c r="F161" s="1">
        <v>0</v>
      </c>
      <c r="G161" s="6">
        <v>7</v>
      </c>
      <c r="H161" s="1">
        <f>SUM(C161:G161)</f>
        <v>339</v>
      </c>
      <c r="I161" s="10">
        <f>D161/H161</f>
        <v>0.85545722713864303</v>
      </c>
      <c r="J161" s="11">
        <f>1-I161</f>
        <v>0.14454277286135697</v>
      </c>
      <c r="K161">
        <f>H161-D165</f>
        <v>-159</v>
      </c>
      <c r="N161" s="10">
        <f>2*(D166*I161)/(D166+I161)</f>
        <v>0.69295101553166072</v>
      </c>
      <c r="O161" s="1"/>
      <c r="P161" s="1"/>
      <c r="S161" s="75" t="s">
        <v>39</v>
      </c>
      <c r="T161" s="76">
        <f>J432</f>
        <v>0</v>
      </c>
      <c r="U161" s="76">
        <f>J433</f>
        <v>1.8963088192217994</v>
      </c>
      <c r="V161" s="76">
        <f>J434</f>
        <v>0.23329845253863651</v>
      </c>
      <c r="W161" s="76">
        <f>J435</f>
        <v>0.37132020901140972</v>
      </c>
      <c r="X161" s="76">
        <f>J436</f>
        <v>1.382385422597437</v>
      </c>
      <c r="AD161" s="51"/>
      <c r="AE161" s="51"/>
    </row>
    <row r="162" spans="1:35" x14ac:dyDescent="0.3">
      <c r="A162" t="s">
        <v>5</v>
      </c>
      <c r="B162" s="13">
        <v>2</v>
      </c>
      <c r="C162" s="5">
        <v>0</v>
      </c>
      <c r="D162" s="1">
        <v>181</v>
      </c>
      <c r="E162" s="27">
        <v>7105</v>
      </c>
      <c r="F162" s="1">
        <v>88</v>
      </c>
      <c r="G162" s="6">
        <v>25</v>
      </c>
      <c r="H162" s="1">
        <f>SUM(C162:G162)</f>
        <v>7399</v>
      </c>
      <c r="I162" s="10">
        <f>E162/H162</f>
        <v>0.96026490066225167</v>
      </c>
      <c r="J162" s="11">
        <f>1-I162</f>
        <v>3.9735099337748325E-2</v>
      </c>
      <c r="K162">
        <f>H162-E165</f>
        <v>198</v>
      </c>
      <c r="N162" s="10">
        <f>2*(E166*I162)/(E166+I162)</f>
        <v>0.97328767123287674</v>
      </c>
      <c r="O162" s="1"/>
      <c r="P162" s="1"/>
      <c r="S162" s="66" t="s">
        <v>56</v>
      </c>
      <c r="T162" s="67">
        <f>N421*100</f>
        <v>100</v>
      </c>
      <c r="U162" s="67">
        <f>N422*100</f>
        <v>68.957345971563981</v>
      </c>
      <c r="V162" s="67">
        <f>N423*100</f>
        <v>97.209079064664323</v>
      </c>
      <c r="W162" s="67">
        <f>N424*100</f>
        <v>92.969764422185122</v>
      </c>
      <c r="X162" s="67">
        <f>N425*100</f>
        <v>81.614349775784746</v>
      </c>
      <c r="AD162" s="51"/>
      <c r="AE162" s="51"/>
      <c r="AH162" s="78"/>
      <c r="AI162" s="78"/>
    </row>
    <row r="163" spans="1:35" x14ac:dyDescent="0.3">
      <c r="A163" t="s">
        <v>6</v>
      </c>
      <c r="B163" s="13">
        <v>3</v>
      </c>
      <c r="C163" s="5">
        <v>0</v>
      </c>
      <c r="D163" s="1">
        <v>4</v>
      </c>
      <c r="E163" s="1">
        <v>34</v>
      </c>
      <c r="F163" s="27">
        <v>2496</v>
      </c>
      <c r="G163" s="6">
        <v>69</v>
      </c>
      <c r="H163" s="1">
        <f>SUM(C163:G163)</f>
        <v>2603</v>
      </c>
      <c r="I163" s="10">
        <f>F163/H163</f>
        <v>0.95889358432577798</v>
      </c>
      <c r="J163" s="11">
        <f>1-I163</f>
        <v>4.1106415674222019E-2</v>
      </c>
      <c r="K163">
        <f>H163-F165</f>
        <v>-152</v>
      </c>
      <c r="N163" s="10">
        <f>2*(F166*I163)/(F166+I163)</f>
        <v>0.93169092945128773</v>
      </c>
      <c r="O163" s="1"/>
      <c r="P163" s="1"/>
      <c r="R163" s="16" t="s">
        <v>66</v>
      </c>
      <c r="S163" t="s">
        <v>9</v>
      </c>
      <c r="T163" s="30">
        <f>N432</f>
        <v>2899.19</v>
      </c>
      <c r="U163" s="30">
        <f>N433</f>
        <v>10069.52</v>
      </c>
      <c r="V163" s="30">
        <f>N434</f>
        <v>113828.07</v>
      </c>
      <c r="W163" s="30">
        <f>N435</f>
        <v>52024.08</v>
      </c>
      <c r="X163" s="30">
        <f>N436</f>
        <v>19300.5</v>
      </c>
      <c r="Z163" t="s">
        <v>36</v>
      </c>
      <c r="AA163" s="1">
        <f>N437</f>
        <v>198121.36000000002</v>
      </c>
      <c r="AD163" s="51"/>
      <c r="AE163" s="51"/>
    </row>
    <row r="164" spans="1:35" ht="15.6" x14ac:dyDescent="0.35">
      <c r="A164" t="s">
        <v>7</v>
      </c>
      <c r="B164" s="13">
        <v>4</v>
      </c>
      <c r="C164" s="7">
        <v>0</v>
      </c>
      <c r="D164" s="8">
        <v>23</v>
      </c>
      <c r="E164" s="8">
        <v>20</v>
      </c>
      <c r="F164" s="8">
        <v>171</v>
      </c>
      <c r="G164" s="28">
        <v>746</v>
      </c>
      <c r="H164" s="1">
        <f>SUM(C164:G164)</f>
        <v>960</v>
      </c>
      <c r="I164" s="10">
        <f>G164/H164</f>
        <v>0.77708333333333335</v>
      </c>
      <c r="J164" s="11">
        <f>1-I164</f>
        <v>0.22291666666666665</v>
      </c>
      <c r="K164">
        <f>H164-G165</f>
        <v>113</v>
      </c>
      <c r="N164" s="10">
        <f>2*(G166*I164)/(G166+I164)</f>
        <v>0.82567791920309908</v>
      </c>
      <c r="O164" s="1"/>
      <c r="P164" s="1"/>
      <c r="R164" s="16" t="s">
        <v>323</v>
      </c>
      <c r="S164" t="s">
        <v>68</v>
      </c>
      <c r="T164" s="57">
        <f>$AA163*T156/100</f>
        <v>2899.19</v>
      </c>
      <c r="U164" s="57">
        <f>$AA163*U156/100</f>
        <v>12048.437957038426</v>
      </c>
      <c r="V164" s="57">
        <f>$AA163*V156/100</f>
        <v>111364.3297483916</v>
      </c>
      <c r="W164" s="57">
        <f>$AA163*W156/100</f>
        <v>55292.337604120832</v>
      </c>
      <c r="X164" s="57">
        <f>$AA163*X156/100</f>
        <v>16517.064690449162</v>
      </c>
      <c r="Z164" t="s">
        <v>36</v>
      </c>
      <c r="AA164" s="25">
        <f>SUM(T164:X164)</f>
        <v>198121.36000000002</v>
      </c>
      <c r="AD164" s="51"/>
      <c r="AE164" s="51"/>
      <c r="AH164" s="78"/>
      <c r="AI164" s="78"/>
    </row>
    <row r="165" spans="1:35" ht="15.6" x14ac:dyDescent="0.35">
      <c r="B165" s="1" t="s">
        <v>19</v>
      </c>
      <c r="C165" s="1">
        <f>SUM(C160:C164)</f>
        <v>259</v>
      </c>
      <c r="D165" s="1">
        <f>SUM(D160:D164)</f>
        <v>498</v>
      </c>
      <c r="E165" s="1">
        <f>SUM(E160:E164)</f>
        <v>7201</v>
      </c>
      <c r="F165" s="1">
        <f>SUM(F160:F164)</f>
        <v>2755</v>
      </c>
      <c r="G165" s="1">
        <f>SUM(G160:G164)</f>
        <v>847</v>
      </c>
      <c r="H165" s="1">
        <f>SUM(H159:H164)</f>
        <v>11560</v>
      </c>
      <c r="I165" s="13" t="s">
        <v>12</v>
      </c>
      <c r="N165" s="16"/>
      <c r="O165" s="1"/>
      <c r="P165" s="1"/>
      <c r="R165" s="66"/>
      <c r="S165" s="66" t="s">
        <v>67</v>
      </c>
      <c r="T165" s="67">
        <f>$AA163*T157/100</f>
        <v>0</v>
      </c>
      <c r="U165" s="67">
        <f>$AA163*U157/100</f>
        <v>299.50940688960281</v>
      </c>
      <c r="V165" s="67">
        <f>$AA163*V157/100</f>
        <v>352.04458563495609</v>
      </c>
      <c r="W165" s="67">
        <f>$AA163*W157/100</f>
        <v>346.85349052698047</v>
      </c>
      <c r="X165" s="67">
        <f>$AA163*X157/100</f>
        <v>329.06277439728024</v>
      </c>
      <c r="AA165" s="1"/>
      <c r="AD165" s="51"/>
      <c r="AE165" s="51"/>
    </row>
    <row r="166" spans="1:35" x14ac:dyDescent="0.3">
      <c r="A166" s="1" t="s">
        <v>321</v>
      </c>
      <c r="B166" s="1" t="s">
        <v>2</v>
      </c>
      <c r="C166" s="10">
        <f>C160/C165</f>
        <v>1</v>
      </c>
      <c r="D166" s="10">
        <f>D161/D165</f>
        <v>0.58232931726907633</v>
      </c>
      <c r="E166" s="10">
        <f>E162/E165</f>
        <v>0.9866685182613526</v>
      </c>
      <c r="F166" s="10">
        <f>F163/F165</f>
        <v>0.90598911070780397</v>
      </c>
      <c r="G166" s="10">
        <f>G164/G165</f>
        <v>0.8807556080283353</v>
      </c>
      <c r="H166" s="10"/>
      <c r="I166" s="14">
        <f>(C160+D161+E162+F163+G164)/H165</f>
        <v>0.942560553633218</v>
      </c>
      <c r="R166" t="s">
        <v>108</v>
      </c>
      <c r="S166" t="s">
        <v>28</v>
      </c>
      <c r="T166" s="57">
        <f>C466</f>
        <v>1.4793860955029738</v>
      </c>
      <c r="U166" s="57">
        <f t="shared" ref="U166:X169" si="27">D466</f>
        <v>5.9121220655578197</v>
      </c>
      <c r="V166" s="57">
        <f t="shared" si="27"/>
        <v>56.727759916816368</v>
      </c>
      <c r="W166" s="57">
        <f t="shared" si="27"/>
        <v>27.34565285858395</v>
      </c>
      <c r="X166" s="57">
        <f t="shared" si="27"/>
        <v>8.5350790635388947</v>
      </c>
      <c r="Z166" s="74"/>
      <c r="AA166" s="12"/>
      <c r="AD166" s="51"/>
      <c r="AE166" s="51"/>
      <c r="AH166" s="78"/>
      <c r="AI166" s="78"/>
    </row>
    <row r="167" spans="1:35" x14ac:dyDescent="0.3">
      <c r="B167" s="1" t="s">
        <v>14</v>
      </c>
      <c r="C167" s="11">
        <f>1-C166</f>
        <v>0</v>
      </c>
      <c r="D167" s="11">
        <f>1-D166</f>
        <v>0.41767068273092367</v>
      </c>
      <c r="E167" s="11">
        <f>1-E166</f>
        <v>1.3331481738647399E-2</v>
      </c>
      <c r="F167" s="11">
        <f>1-F166</f>
        <v>9.4010889292196032E-2</v>
      </c>
      <c r="G167" s="11">
        <f>1-G166</f>
        <v>0.1192443919716647</v>
      </c>
      <c r="S167" s="66" t="s">
        <v>39</v>
      </c>
      <c r="T167" s="67">
        <f>C467</f>
        <v>0</v>
      </c>
      <c r="U167" s="67">
        <f t="shared" si="27"/>
        <v>0.14877480992108744</v>
      </c>
      <c r="V167" s="67">
        <f t="shared" si="27"/>
        <v>0.17130301298779257</v>
      </c>
      <c r="W167" s="67">
        <f t="shared" si="27"/>
        <v>0.17381199372946662</v>
      </c>
      <c r="X167" s="67">
        <f t="shared" si="27"/>
        <v>0.16374041666030359</v>
      </c>
      <c r="AD167" s="51"/>
      <c r="AE167" s="51"/>
    </row>
    <row r="168" spans="1:35" x14ac:dyDescent="0.3">
      <c r="C168" s="2"/>
      <c r="S168" t="s">
        <v>30</v>
      </c>
      <c r="T168" s="57">
        <f>C468</f>
        <v>100</v>
      </c>
      <c r="U168" s="57">
        <f t="shared" si="27"/>
        <v>71.806245022312126</v>
      </c>
      <c r="V168" s="57">
        <f t="shared" si="27"/>
        <v>98.150082984199656</v>
      </c>
      <c r="W168" s="57">
        <f t="shared" si="27"/>
        <v>90.847876146451313</v>
      </c>
      <c r="X168" s="57">
        <f t="shared" si="27"/>
        <v>88.489816015062189</v>
      </c>
      <c r="AD168" s="51"/>
      <c r="AE168" s="51"/>
      <c r="AH168" s="78"/>
      <c r="AI168" s="78"/>
    </row>
    <row r="169" spans="1:35" ht="15.6" x14ac:dyDescent="0.35">
      <c r="A169" t="s">
        <v>322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0</v>
      </c>
      <c r="U169" s="67">
        <f t="shared" si="27"/>
        <v>4.6875936887687324</v>
      </c>
      <c r="V169" s="67">
        <f t="shared" si="27"/>
        <v>0.19550056246394926</v>
      </c>
      <c r="W169" s="67">
        <f t="shared" si="27"/>
        <v>0.57903067196065106</v>
      </c>
      <c r="X169" s="67">
        <f t="shared" si="27"/>
        <v>2.0399306593604187</v>
      </c>
      <c r="AD169" s="51"/>
      <c r="AE169" s="51"/>
    </row>
    <row r="170" spans="1:35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100</v>
      </c>
      <c r="U170" s="71">
        <f>I462</f>
        <v>85.840707964601776</v>
      </c>
      <c r="V170" s="71">
        <f>I463</f>
        <v>96.053520746046757</v>
      </c>
      <c r="W170" s="71">
        <f>I464</f>
        <v>96.004610065309265</v>
      </c>
      <c r="X170" s="71">
        <f>I465</f>
        <v>77.604166666666657</v>
      </c>
      <c r="AD170" s="51"/>
      <c r="AE170" s="51"/>
      <c r="AH170" s="78"/>
      <c r="AI170" s="78"/>
    </row>
    <row r="171" spans="1:35" x14ac:dyDescent="0.3">
      <c r="A171" t="s">
        <v>3</v>
      </c>
      <c r="B171" s="13">
        <v>0</v>
      </c>
      <c r="C171" s="29">
        <f>(C160/$L171)*$O171</f>
        <v>1.4687058477692665</v>
      </c>
      <c r="D171" s="31">
        <f>(D160/$L171)*$O171</f>
        <v>0</v>
      </c>
      <c r="E171" s="31">
        <f>(E160/$L171)*$O171</f>
        <v>0</v>
      </c>
      <c r="F171" s="31">
        <f>(F160/$L171)*$O171</f>
        <v>0</v>
      </c>
      <c r="G171" s="32">
        <f>(G160/$L171)*$O171</f>
        <v>0</v>
      </c>
      <c r="H171" s="17">
        <f>SUM(C171:G171)</f>
        <v>1.4687058477692665</v>
      </c>
      <c r="I171" s="17">
        <f>C171/H171*100</f>
        <v>100</v>
      </c>
      <c r="J171" s="17">
        <f>SQRT(I171*(100-I171)/(L171-1))</f>
        <v>0</v>
      </c>
      <c r="K171" s="18">
        <f>100-I171</f>
        <v>0</v>
      </c>
      <c r="L171" s="1">
        <f>H160</f>
        <v>259</v>
      </c>
      <c r="M171">
        <v>0</v>
      </c>
      <c r="N171" s="1">
        <v>2909.82</v>
      </c>
      <c r="O171" s="17">
        <f>N171/N176*100</f>
        <v>1.4687058477692665</v>
      </c>
      <c r="P171" s="52">
        <f>((O171*O171*(I171/100)*(K171/100))/(L171-1))</f>
        <v>0</v>
      </c>
      <c r="S171" s="75" t="s">
        <v>39</v>
      </c>
      <c r="T171" s="76">
        <f>J461</f>
        <v>0</v>
      </c>
      <c r="U171" s="76">
        <f>J462</f>
        <v>1.8963088192217994</v>
      </c>
      <c r="V171" s="76">
        <f>J463</f>
        <v>0.22636245355689513</v>
      </c>
      <c r="W171" s="76">
        <f>J464</f>
        <v>0.38394762322287601</v>
      </c>
      <c r="X171" s="76">
        <f>J465</f>
        <v>1.3462224531119136</v>
      </c>
      <c r="AD171" s="51"/>
      <c r="AE171" s="51"/>
    </row>
    <row r="172" spans="1:35" x14ac:dyDescent="0.3">
      <c r="A172" t="s">
        <v>4</v>
      </c>
      <c r="B172" s="13">
        <v>1</v>
      </c>
      <c r="C172" s="33">
        <f t="shared" ref="C172:G175" si="28">(C161/$L172)*$O172</f>
        <v>0</v>
      </c>
      <c r="D172" s="34">
        <f t="shared" si="28"/>
        <v>4.1931667524643217</v>
      </c>
      <c r="E172" s="19">
        <f t="shared" si="28"/>
        <v>0.607286219322419</v>
      </c>
      <c r="F172" s="18">
        <f t="shared" si="28"/>
        <v>0</v>
      </c>
      <c r="G172" s="20">
        <f t="shared" si="28"/>
        <v>0.10121436988706983</v>
      </c>
      <c r="H172" s="17">
        <f>SUM(C172:G172)</f>
        <v>4.9016673416738108</v>
      </c>
      <c r="I172" s="17">
        <f>D172/H172*100</f>
        <v>85.545722713864308</v>
      </c>
      <c r="J172" s="17">
        <f>SQRT(I172*(100-I172)/(L172-1))</f>
        <v>1.9126653517482657</v>
      </c>
      <c r="K172" s="18">
        <f>100-I172</f>
        <v>14.454277286135692</v>
      </c>
      <c r="L172" s="1">
        <f>H161</f>
        <v>339</v>
      </c>
      <c r="M172">
        <v>1</v>
      </c>
      <c r="N172" s="1">
        <v>9711.25</v>
      </c>
      <c r="O172" s="17">
        <f>N172/N176*100</f>
        <v>4.9016673416738108</v>
      </c>
      <c r="P172" s="52">
        <f>((O172*O172*(I172/100)*(K172/100))/(L172-1))</f>
        <v>8.7895299253686714E-3</v>
      </c>
      <c r="S172" s="66" t="s">
        <v>56</v>
      </c>
      <c r="T172" s="67">
        <f>N450*100</f>
        <v>100</v>
      </c>
      <c r="U172" s="67">
        <f>N451*100</f>
        <v>69.700598802395206</v>
      </c>
      <c r="V172" s="67">
        <f>N452*100</f>
        <v>97.40953947368422</v>
      </c>
      <c r="W172" s="67">
        <f>N453*100</f>
        <v>93.072625698324032</v>
      </c>
      <c r="X172" s="67">
        <f>N454*100</f>
        <v>82.54847645429362</v>
      </c>
      <c r="AD172" s="51"/>
      <c r="AE172" s="51"/>
      <c r="AH172" s="78"/>
      <c r="AI172" s="78"/>
    </row>
    <row r="173" spans="1:35" x14ac:dyDescent="0.3">
      <c r="A173" t="s">
        <v>5</v>
      </c>
      <c r="B173" s="13">
        <v>2</v>
      </c>
      <c r="C173" s="33">
        <f t="shared" si="28"/>
        <v>0</v>
      </c>
      <c r="D173" s="19">
        <f t="shared" si="28"/>
        <v>1.4117727675689242</v>
      </c>
      <c r="E173" s="34">
        <f t="shared" si="28"/>
        <v>55.417931014238711</v>
      </c>
      <c r="F173" s="19">
        <f t="shared" si="28"/>
        <v>0.6863867599230129</v>
      </c>
      <c r="G173" s="20">
        <f t="shared" si="28"/>
        <v>0.19499623861449231</v>
      </c>
      <c r="H173" s="17">
        <f>SUM(C173:G173)</f>
        <v>57.711086780345141</v>
      </c>
      <c r="I173" s="17">
        <f>E173/H173*100</f>
        <v>96.026490066225165</v>
      </c>
      <c r="J173" s="17">
        <f>SQRT(I173*(100-I173)/(L173-1))</f>
        <v>0.22710438277068065</v>
      </c>
      <c r="K173" s="18">
        <f>100-I173</f>
        <v>3.9735099337748352</v>
      </c>
      <c r="L173" s="1">
        <f>H162</f>
        <v>7399</v>
      </c>
      <c r="M173">
        <v>2</v>
      </c>
      <c r="N173" s="1">
        <v>114337.99</v>
      </c>
      <c r="O173" s="17">
        <f>N173/N176*100</f>
        <v>57.711086780345141</v>
      </c>
      <c r="P173" s="52">
        <f>((O173*O173*(I173/100)*(K173/100))/(L173-1))</f>
        <v>1.7177878893077838E-2</v>
      </c>
      <c r="R173" s="16" t="s">
        <v>66</v>
      </c>
      <c r="S173" t="s">
        <v>9</v>
      </c>
      <c r="T173" s="1">
        <f>N461</f>
        <v>2930.98</v>
      </c>
      <c r="U173" s="1">
        <f>N462</f>
        <v>9798.14</v>
      </c>
      <c r="V173" s="1">
        <f>N463</f>
        <v>114842.95</v>
      </c>
      <c r="W173" s="1">
        <f>N464</f>
        <v>51267.519999999997</v>
      </c>
      <c r="X173" s="1">
        <f>N465</f>
        <v>19281.78</v>
      </c>
      <c r="Z173" t="s">
        <v>36</v>
      </c>
      <c r="AA173" s="1">
        <f>N466</f>
        <v>198121.37</v>
      </c>
      <c r="AD173" s="51"/>
      <c r="AE173" s="51"/>
    </row>
    <row r="174" spans="1:35" ht="15.6" x14ac:dyDescent="0.35">
      <c r="A174" t="s">
        <v>6</v>
      </c>
      <c r="B174" s="13">
        <v>3</v>
      </c>
      <c r="C174" s="33">
        <f t="shared" si="28"/>
        <v>0</v>
      </c>
      <c r="D174" s="19">
        <f t="shared" si="28"/>
        <v>3.9816811732360881E-2</v>
      </c>
      <c r="E174" s="19">
        <f t="shared" si="28"/>
        <v>0.33844289972506747</v>
      </c>
      <c r="F174" s="34">
        <f t="shared" si="28"/>
        <v>24.845690520993188</v>
      </c>
      <c r="G174" s="20">
        <f t="shared" si="28"/>
        <v>0.68684000238322507</v>
      </c>
      <c r="H174" s="17">
        <f>SUM(C174:G174)</f>
        <v>25.91079023483384</v>
      </c>
      <c r="I174" s="17">
        <f>F174/H174*100</f>
        <v>95.889358432577794</v>
      </c>
      <c r="J174" s="17">
        <f>SQRT(I174*(100-I174)/(L174-1))</f>
        <v>0.38921212847953895</v>
      </c>
      <c r="K174" s="18">
        <f>100-I174</f>
        <v>4.1106415674222063</v>
      </c>
      <c r="L174" s="1">
        <f>H163</f>
        <v>2603</v>
      </c>
      <c r="M174">
        <v>3</v>
      </c>
      <c r="N174" s="1">
        <v>51334.81</v>
      </c>
      <c r="O174" s="17">
        <f>N174/N176*100</f>
        <v>25.91079023483384</v>
      </c>
      <c r="P174" s="52">
        <f>((O174*O174*(I174/100)*(K174/100))/(L174-1))</f>
        <v>1.0170306634928242E-2</v>
      </c>
      <c r="R174" s="16" t="s">
        <v>323</v>
      </c>
      <c r="S174" t="s">
        <v>68</v>
      </c>
      <c r="T174" s="57">
        <f>$AA173*T166/100</f>
        <v>2930.98</v>
      </c>
      <c r="U174" s="57">
        <f>$AA173*U166/100</f>
        <v>11713.177232355451</v>
      </c>
      <c r="V174" s="57">
        <f>$AA173*V166/100</f>
        <v>112389.81511750745</v>
      </c>
      <c r="W174" s="57">
        <f>$AA173*W166/100</f>
        <v>54177.582078870684</v>
      </c>
      <c r="X174" s="57">
        <f>$AA173*X166/100</f>
        <v>16909.81557126643</v>
      </c>
      <c r="Z174" t="s">
        <v>36</v>
      </c>
      <c r="AA174" s="25">
        <f>SUM(T174:X174)</f>
        <v>198121.37</v>
      </c>
      <c r="AD174" s="51"/>
      <c r="AE174" s="51"/>
      <c r="AH174" s="78"/>
      <c r="AI174" s="78"/>
    </row>
    <row r="175" spans="1:35" x14ac:dyDescent="0.3">
      <c r="A175" t="s">
        <v>7</v>
      </c>
      <c r="B175" s="13">
        <v>4</v>
      </c>
      <c r="C175" s="35">
        <f t="shared" si="28"/>
        <v>0</v>
      </c>
      <c r="D175" s="36">
        <f t="shared" si="28"/>
        <v>0.23976900551426328</v>
      </c>
      <c r="E175" s="21">
        <f t="shared" si="28"/>
        <v>0.20849478740370719</v>
      </c>
      <c r="F175" s="21">
        <f t="shared" si="28"/>
        <v>1.7826304323016966</v>
      </c>
      <c r="G175" s="37">
        <f t="shared" si="28"/>
        <v>7.7768555701582782</v>
      </c>
      <c r="H175" s="17">
        <f>SUM(C175:G175)</f>
        <v>10.007749795377945</v>
      </c>
      <c r="I175" s="17">
        <f>G175/H175*100</f>
        <v>77.708333333333329</v>
      </c>
      <c r="J175" s="17">
        <f>SQRT(I175*(100-I175)/(L175-1))</f>
        <v>1.3439891534212476</v>
      </c>
      <c r="K175" s="18">
        <f>100-I175</f>
        <v>22.291666666666671</v>
      </c>
      <c r="L175" s="1">
        <f>H164</f>
        <v>960</v>
      </c>
      <c r="M175">
        <v>4</v>
      </c>
      <c r="N175" s="1">
        <v>19827.490000000002</v>
      </c>
      <c r="O175" s="17">
        <f>N175/N176*100</f>
        <v>10.007749795377945</v>
      </c>
      <c r="P175" s="52">
        <f>((O175*O175*(I175/100)*(K175/100))/(L175-1))</f>
        <v>1.809107631056674E-2</v>
      </c>
      <c r="R175" s="66"/>
      <c r="S175" s="66" t="s">
        <v>67</v>
      </c>
      <c r="T175" s="67">
        <f>$AA173*T167/100</f>
        <v>0</v>
      </c>
      <c r="U175" s="67">
        <f>$AA173*U167/100</f>
        <v>294.75469163055436</v>
      </c>
      <c r="V175" s="67">
        <f>$AA173*V167/100</f>
        <v>339.38787618269254</v>
      </c>
      <c r="W175" s="67">
        <f>$AA173*W167/100</f>
        <v>344.35870320113338</v>
      </c>
      <c r="X175" s="67">
        <f>$AA173*X167/100</f>
        <v>324.40475673110171</v>
      </c>
      <c r="AA175" s="1"/>
      <c r="AD175" s="51"/>
      <c r="AE175" s="51"/>
    </row>
    <row r="176" spans="1:35" x14ac:dyDescent="0.3">
      <c r="B176" t="s">
        <v>28</v>
      </c>
      <c r="C176" s="17">
        <f t="shared" ref="C176:H176" si="29">SUM(C171:C175)</f>
        <v>1.4687058477692665</v>
      </c>
      <c r="D176" s="17">
        <f t="shared" si="29"/>
        <v>5.8845253372798698</v>
      </c>
      <c r="E176" s="17">
        <f t="shared" si="29"/>
        <v>56.572154920689904</v>
      </c>
      <c r="F176" s="17">
        <f t="shared" si="29"/>
        <v>27.314707713217899</v>
      </c>
      <c r="G176" s="17">
        <f t="shared" si="29"/>
        <v>8.7599061810430658</v>
      </c>
      <c r="H176" s="18">
        <f t="shared" si="29"/>
        <v>100</v>
      </c>
      <c r="I176" s="13" t="s">
        <v>24</v>
      </c>
      <c r="J176" s="12" t="s">
        <v>29</v>
      </c>
      <c r="N176" s="1">
        <f>SUM(N171:N175)</f>
        <v>198121.36</v>
      </c>
      <c r="O176" s="17">
        <f>SUM(O171:O175)</f>
        <v>100</v>
      </c>
      <c r="R176" t="s">
        <v>109</v>
      </c>
      <c r="S176" t="s">
        <v>28</v>
      </c>
      <c r="T176" s="57">
        <f>C495</f>
        <v>1.4696143818112293</v>
      </c>
      <c r="U176" s="57">
        <f t="shared" ref="U176:X179" si="30">D495</f>
        <v>5.5913499994014071</v>
      </c>
      <c r="V176" s="57">
        <f t="shared" si="30"/>
        <v>56.981818515458237</v>
      </c>
      <c r="W176" s="57">
        <f t="shared" si="30"/>
        <v>27.822397031686418</v>
      </c>
      <c r="X176" s="57">
        <f t="shared" si="30"/>
        <v>8.1348200716427197</v>
      </c>
      <c r="AD176" s="51"/>
      <c r="AE176" s="51"/>
      <c r="AH176" s="78"/>
      <c r="AI176" s="78"/>
    </row>
    <row r="177" spans="1:41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0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0.14946980674630925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0.174131213283163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0.17529893842649155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0.16636407275038814</v>
      </c>
      <c r="H177" s="1"/>
      <c r="I177" s="14">
        <f>(C171+D172+E173+F174+G175)/H176</f>
        <v>0.93702349705623755</v>
      </c>
      <c r="J177" s="53">
        <f>SQRT(SUM(P171:P175))/100</f>
        <v>2.3287076193447189E-3</v>
      </c>
      <c r="M177" s="1"/>
      <c r="N177" s="9"/>
      <c r="S177" s="66" t="s">
        <v>39</v>
      </c>
      <c r="T177" s="67">
        <f>C496</f>
        <v>0</v>
      </c>
      <c r="U177" s="67">
        <f t="shared" si="30"/>
        <v>0.14004765325153862</v>
      </c>
      <c r="V177" s="67">
        <f t="shared" si="30"/>
        <v>0.17270965227026233</v>
      </c>
      <c r="W177" s="67">
        <f t="shared" si="30"/>
        <v>0.17180126859191361</v>
      </c>
      <c r="X177" s="67">
        <f t="shared" si="30"/>
        <v>0.16323060158810354</v>
      </c>
      <c r="AD177" s="51"/>
      <c r="AE177" s="51"/>
    </row>
    <row r="178" spans="1:41" x14ac:dyDescent="0.3">
      <c r="B178" s="1" t="s">
        <v>30</v>
      </c>
      <c r="C178" s="17">
        <f>C171/C176*100</f>
        <v>100</v>
      </c>
      <c r="D178" s="17">
        <f>D172/D176*100</f>
        <v>71.257518867318169</v>
      </c>
      <c r="E178" s="17">
        <f>E173/E176*100</f>
        <v>97.959731411912216</v>
      </c>
      <c r="F178" s="17">
        <f>F174/F176*100</f>
        <v>90.960850768943331</v>
      </c>
      <c r="G178" s="17">
        <f>G175/G176*100</f>
        <v>88.777840874458619</v>
      </c>
      <c r="H178" s="1"/>
      <c r="S178" s="70" t="s">
        <v>30</v>
      </c>
      <c r="T178" s="64">
        <f>C497</f>
        <v>100</v>
      </c>
      <c r="U178" s="64">
        <f t="shared" si="30"/>
        <v>73.466077772891893</v>
      </c>
      <c r="V178" s="64">
        <f t="shared" si="30"/>
        <v>97.885920323204473</v>
      </c>
      <c r="W178" s="64">
        <f t="shared" si="30"/>
        <v>90.776390840557525</v>
      </c>
      <c r="X178" s="64">
        <f t="shared" si="30"/>
        <v>89.083134139232484</v>
      </c>
      <c r="AD178" s="51"/>
      <c r="AE178" s="51"/>
      <c r="AH178" s="78"/>
      <c r="AI178" s="78"/>
    </row>
    <row r="179" spans="1:41" x14ac:dyDescent="0.3">
      <c r="B179" s="16" t="s">
        <v>39</v>
      </c>
      <c r="C179" s="18">
        <f>SQRT((C182+C183)/(C176*C176))</f>
        <v>0</v>
      </c>
      <c r="D179" s="18">
        <f>SQRT((D182+D183)/(D176*D176))</f>
        <v>4.7917868998553583</v>
      </c>
      <c r="E179" s="18">
        <f>SQRT((E182+E183)/(E176*E176))</f>
        <v>0.20428010968923976</v>
      </c>
      <c r="F179" s="18">
        <f>SQRT((F182+F183)/(F176*F176))</f>
        <v>0.58275266817133708</v>
      </c>
      <c r="G179" s="18">
        <f>SQRT((G182+G183)/(G176*G176))</f>
        <v>1.9890388614085008</v>
      </c>
      <c r="H179" s="1"/>
      <c r="S179" s="66" t="s">
        <v>39</v>
      </c>
      <c r="T179" s="67">
        <f>C498</f>
        <v>0</v>
      </c>
      <c r="U179" s="67">
        <f t="shared" si="30"/>
        <v>4.4370802929228956</v>
      </c>
      <c r="V179" s="67">
        <f t="shared" si="30"/>
        <v>0.20303968101507971</v>
      </c>
      <c r="W179" s="67">
        <f t="shared" si="30"/>
        <v>0.56348128953839705</v>
      </c>
      <c r="X179" s="67">
        <f t="shared" si="30"/>
        <v>2.0669722970997015</v>
      </c>
      <c r="AD179" s="51"/>
      <c r="AE179" s="51"/>
    </row>
    <row r="180" spans="1:41" x14ac:dyDescent="0.3">
      <c r="B180" s="1" t="s">
        <v>37</v>
      </c>
      <c r="C180" s="18">
        <f>100-C178</f>
        <v>0</v>
      </c>
      <c r="D180" s="18">
        <f>100-D178</f>
        <v>28.742481132681831</v>
      </c>
      <c r="E180" s="18">
        <f>100-E178</f>
        <v>2.040268588087784</v>
      </c>
      <c r="F180" s="18">
        <f>100-F178</f>
        <v>9.039149231056669</v>
      </c>
      <c r="G180" s="18">
        <f>100-G178</f>
        <v>11.222159125541381</v>
      </c>
      <c r="S180" s="70" t="s">
        <v>31</v>
      </c>
      <c r="T180" s="64">
        <f>I490</f>
        <v>100</v>
      </c>
      <c r="U180" s="64">
        <f>I491</f>
        <v>86.430678466076699</v>
      </c>
      <c r="V180" s="64">
        <f>I492</f>
        <v>96.188674145154749</v>
      </c>
      <c r="W180" s="64">
        <f>I493</f>
        <v>96.465616596235108</v>
      </c>
      <c r="X180" s="64">
        <f>I494</f>
        <v>75.416666666666671</v>
      </c>
      <c r="AD180" s="51"/>
      <c r="AE180" s="51"/>
      <c r="AH180" s="78"/>
      <c r="AI180" s="78"/>
    </row>
    <row r="181" spans="1:41" ht="15.6" x14ac:dyDescent="0.35">
      <c r="B181" s="1" t="s">
        <v>25</v>
      </c>
      <c r="C181" s="1">
        <f>C165</f>
        <v>259</v>
      </c>
      <c r="D181" s="1">
        <f>D165</f>
        <v>498</v>
      </c>
      <c r="E181" s="1">
        <f>E165</f>
        <v>7201</v>
      </c>
      <c r="F181" s="1">
        <f>F165</f>
        <v>2755</v>
      </c>
      <c r="G181" s="1">
        <f>G165</f>
        <v>847</v>
      </c>
      <c r="S181" s="66" t="s">
        <v>39</v>
      </c>
      <c r="T181" s="67">
        <f>J490</f>
        <v>0</v>
      </c>
      <c r="U181" s="67">
        <f>J491</f>
        <v>1.8627504529603398</v>
      </c>
      <c r="V181" s="67">
        <f>J492</f>
        <v>0.22260906537497507</v>
      </c>
      <c r="W181" s="67">
        <f>J493</f>
        <v>0.36198406754216922</v>
      </c>
      <c r="X181" s="67">
        <f>J494</f>
        <v>1.3904159719796578</v>
      </c>
      <c r="AD181" s="51"/>
      <c r="AE181" s="51"/>
      <c r="AN181" s="2"/>
      <c r="AO181" s="2"/>
    </row>
    <row r="182" spans="1:41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726.1296305554622</v>
      </c>
      <c r="E182" s="18">
        <f>(O173*O173*(100-E178)*(100-E178)*(I173)*(100-I173))/((L173-1)*100)</f>
        <v>7.1506286237105199</v>
      </c>
      <c r="F182" s="18">
        <f>(O174*O174*(100-F178)*(100-F178)*(I174)*(100-I174))/((L174-1)*100)</f>
        <v>83.097729939329199</v>
      </c>
      <c r="G182" s="18">
        <f>(O175*O175*(100-G178)*(100-G178)*(I175)*(100-I175))/((L175-1)*100)</f>
        <v>227.83332620592495</v>
      </c>
      <c r="S182" s="68" t="s">
        <v>56</v>
      </c>
      <c r="T182" s="65">
        <f>N479*100</f>
        <v>100</v>
      </c>
      <c r="U182" s="65">
        <f>N480*100</f>
        <v>71.813725490196077</v>
      </c>
      <c r="V182" s="65">
        <f>N481*100</f>
        <v>97.353122221462286</v>
      </c>
      <c r="W182" s="65">
        <f>N482*100</f>
        <v>93.15525876460768</v>
      </c>
      <c r="X182" s="65">
        <f>N483*100</f>
        <v>81.623449830890635</v>
      </c>
      <c r="AD182" s="51"/>
      <c r="AE182" s="51"/>
      <c r="AH182" s="78"/>
      <c r="AI182" s="78"/>
    </row>
    <row r="183" spans="1:41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68.963252508927525</v>
      </c>
      <c r="E183" s="18">
        <f>E178*E178*(SUM((H171*E171*(1-E160/H160))/(H160-1),(H172*E172*(1-E161/H161))/(H161-1), (H174*E174*(1-E163/H163))/(H163-1),(H175*E175*(1-E164/H164))/(H164-1)))</f>
        <v>126.40358937883545</v>
      </c>
      <c r="F183" s="18">
        <f>F178*F178*(SUM((H171*F171*(1-F160/H160))/(H160-1),(H172*F172*(1-F161/H161))/(H161-1), (H173*F173*(1-F162/H162))/(H162-1),(H175*F175*(1-F164/H164))/(H164-1)))</f>
        <v>170.27604186284549</v>
      </c>
      <c r="G183" s="18">
        <f>G178*G178*(SUM((H171*G171*(1-G160/H160))/(H160-1),(H172*G172*(1-G161/H161))/(H161-1), (H173*G173*(1-G162/H162))/(H162-1),(H174*G174*(1-G163/H163))/(H163-1)))</f>
        <v>75.755264750047488</v>
      </c>
      <c r="R183" s="16" t="s">
        <v>66</v>
      </c>
      <c r="S183" t="s">
        <v>9</v>
      </c>
      <c r="T183" s="1">
        <f>N490</f>
        <v>2911.62</v>
      </c>
      <c r="U183" s="1">
        <f>N491</f>
        <v>9416.01</v>
      </c>
      <c r="V183" s="1">
        <f>N492</f>
        <v>114885.15</v>
      </c>
      <c r="W183" s="1">
        <f>N493</f>
        <v>51871.19</v>
      </c>
      <c r="X183" s="1">
        <f>N494</f>
        <v>19037.39</v>
      </c>
      <c r="Z183" t="s">
        <v>36</v>
      </c>
      <c r="AA183" s="1">
        <f>N495</f>
        <v>198121.36</v>
      </c>
      <c r="AD183" s="51"/>
      <c r="AE183" s="51"/>
      <c r="AN183" s="78"/>
      <c r="AO183" s="78"/>
    </row>
    <row r="184" spans="1:41" ht="15.6" x14ac:dyDescent="0.35">
      <c r="R184" s="16" t="s">
        <v>323</v>
      </c>
      <c r="S184" t="s">
        <v>68</v>
      </c>
      <c r="T184" s="57">
        <f>$AA183*T176/100</f>
        <v>2911.62</v>
      </c>
      <c r="U184" s="57">
        <f>$AA183*U176/100</f>
        <v>11077.658661174059</v>
      </c>
      <c r="V184" s="57">
        <f>$AA183*V176/100</f>
        <v>112893.15379555765</v>
      </c>
      <c r="W184" s="57">
        <f>$AA183*W176/100</f>
        <v>55122.111383776755</v>
      </c>
      <c r="X184" s="57">
        <f>$AA183*X176/100</f>
        <v>16116.816159491529</v>
      </c>
      <c r="Z184" t="s">
        <v>36</v>
      </c>
      <c r="AA184" s="25">
        <f>SUM(T184:X184)</f>
        <v>198121.36</v>
      </c>
      <c r="AD184" s="51"/>
      <c r="AE184" s="51"/>
      <c r="AH184" s="78"/>
      <c r="AI184" s="78"/>
    </row>
    <row r="185" spans="1:41" x14ac:dyDescent="0.3">
      <c r="R185" s="66"/>
      <c r="S185" s="66" t="s">
        <v>67</v>
      </c>
      <c r="T185" s="67">
        <f>$AA183*T177/100</f>
        <v>0</v>
      </c>
      <c r="U185" s="67">
        <f>$AA183*U177/100</f>
        <v>277.4643152700325</v>
      </c>
      <c r="V185" s="67">
        <f>$AA183*V177/100</f>
        <v>342.17471192911455</v>
      </c>
      <c r="W185" s="67">
        <f>$AA183*W177/100</f>
        <v>340.37500983155206</v>
      </c>
      <c r="X185" s="67">
        <f>$AA183*X177/100</f>
        <v>323.3946878025323</v>
      </c>
      <c r="AA185" s="1"/>
      <c r="AD185" s="51"/>
      <c r="AE185" s="51"/>
      <c r="AN185" s="78"/>
      <c r="AO185" s="78"/>
    </row>
    <row r="186" spans="1:41" x14ac:dyDescent="0.3">
      <c r="A186" s="361" t="s">
        <v>441</v>
      </c>
      <c r="B186" s="361"/>
      <c r="C186" s="361"/>
      <c r="D186" s="361"/>
      <c r="E186" s="361"/>
      <c r="F186" s="361"/>
      <c r="G186" s="361"/>
      <c r="H186" s="361"/>
      <c r="I186" s="361"/>
      <c r="J186" s="361"/>
      <c r="K186" s="361"/>
      <c r="L186" s="361" t="s">
        <v>84</v>
      </c>
      <c r="M186" s="361"/>
      <c r="N186" s="361"/>
      <c r="O186" s="361"/>
      <c r="P186" s="361"/>
      <c r="R186" t="s">
        <v>110</v>
      </c>
      <c r="S186" s="70" t="s">
        <v>28</v>
      </c>
      <c r="T186" s="64">
        <f>C524</f>
        <v>1.4815212251722885</v>
      </c>
      <c r="U186" s="64">
        <f t="shared" ref="U186:X189" si="31">D524</f>
        <v>5.7176969785512197</v>
      </c>
      <c r="V186" s="64">
        <f t="shared" si="31"/>
        <v>56.455806333096696</v>
      </c>
      <c r="W186" s="64">
        <f t="shared" si="31"/>
        <v>27.69861854357972</v>
      </c>
      <c r="X186" s="64">
        <f t="shared" si="31"/>
        <v>8.6463569196000769</v>
      </c>
      <c r="AA186" s="12"/>
      <c r="AD186" s="51"/>
      <c r="AE186" s="51"/>
    </row>
    <row r="187" spans="1:41" x14ac:dyDescent="0.3">
      <c r="A187" t="s">
        <v>320</v>
      </c>
      <c r="B187" t="s">
        <v>21</v>
      </c>
      <c r="I187" s="1" t="s">
        <v>58</v>
      </c>
      <c r="O187" s="143"/>
      <c r="P187" s="143"/>
      <c r="S187" s="66" t="s">
        <v>39</v>
      </c>
      <c r="T187" s="67">
        <f>C525</f>
        <v>0</v>
      </c>
      <c r="U187" s="67">
        <f t="shared" si="31"/>
        <v>0.1457863580858052</v>
      </c>
      <c r="V187" s="67">
        <f t="shared" si="31"/>
        <v>0.16947742039252131</v>
      </c>
      <c r="W187" s="67">
        <f t="shared" si="31"/>
        <v>0.17787225937377371</v>
      </c>
      <c r="X187" s="67">
        <f t="shared" si="31"/>
        <v>0.16958072828182896</v>
      </c>
      <c r="AD187" s="51"/>
      <c r="AE187" s="51"/>
      <c r="AN187" s="78"/>
      <c r="AO187" s="78"/>
    </row>
    <row r="188" spans="1:41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56</v>
      </c>
      <c r="O188" s="13"/>
      <c r="P188" s="13"/>
      <c r="S188" t="s">
        <v>30</v>
      </c>
      <c r="T188" s="57">
        <f>C526</f>
        <v>100</v>
      </c>
      <c r="U188" s="57">
        <f t="shared" si="31"/>
        <v>72.535507605257891</v>
      </c>
      <c r="V188" s="57">
        <f t="shared" si="31"/>
        <v>98.197642561050429</v>
      </c>
      <c r="W188" s="57">
        <f t="shared" si="31"/>
        <v>90.517043493928512</v>
      </c>
      <c r="X188" s="57">
        <f t="shared" si="31"/>
        <v>87.029200675653058</v>
      </c>
      <c r="AD188" s="51"/>
      <c r="AE188" s="51"/>
    </row>
    <row r="189" spans="1:41" x14ac:dyDescent="0.3">
      <c r="A189" t="s">
        <v>3</v>
      </c>
      <c r="B189" s="13">
        <v>0</v>
      </c>
      <c r="C189" s="26">
        <v>259</v>
      </c>
      <c r="D189" s="3">
        <v>0</v>
      </c>
      <c r="E189" s="3">
        <v>0</v>
      </c>
      <c r="F189" s="3">
        <v>0</v>
      </c>
      <c r="G189" s="4">
        <v>0</v>
      </c>
      <c r="H189" s="1">
        <f>SUM(C189:G189)</f>
        <v>259</v>
      </c>
      <c r="I189" s="10">
        <f>C189/H189</f>
        <v>1</v>
      </c>
      <c r="J189" s="11">
        <f>1-I189</f>
        <v>0</v>
      </c>
      <c r="K189">
        <f>H189-C194</f>
        <v>0</v>
      </c>
      <c r="N189" s="10">
        <f>2*(C195*I189)/(C195+I189)</f>
        <v>1</v>
      </c>
      <c r="O189" s="1"/>
      <c r="P189" s="1"/>
      <c r="S189" s="66" t="s">
        <v>39</v>
      </c>
      <c r="T189" s="67">
        <f>C527</f>
        <v>0</v>
      </c>
      <c r="U189" s="67">
        <f t="shared" si="31"/>
        <v>4.7246664199699264</v>
      </c>
      <c r="V189" s="67">
        <f t="shared" si="31"/>
        <v>0.19302523996114399</v>
      </c>
      <c r="W189" s="67">
        <f t="shared" si="31"/>
        <v>0.5907618055866759</v>
      </c>
      <c r="X189" s="67">
        <f t="shared" si="31"/>
        <v>2.2613754583827248</v>
      </c>
      <c r="AD189" s="51"/>
      <c r="AE189" s="51"/>
      <c r="AN189" s="78"/>
      <c r="AO189" s="78"/>
    </row>
    <row r="190" spans="1:41" x14ac:dyDescent="0.3">
      <c r="A190" t="s">
        <v>4</v>
      </c>
      <c r="B190" s="13">
        <v>1</v>
      </c>
      <c r="C190" s="5">
        <v>0</v>
      </c>
      <c r="D190" s="27">
        <v>291</v>
      </c>
      <c r="E190" s="1">
        <v>40</v>
      </c>
      <c r="F190" s="1">
        <v>0</v>
      </c>
      <c r="G190" s="6">
        <v>8</v>
      </c>
      <c r="H190" s="1">
        <f>SUM(C190:G190)</f>
        <v>339</v>
      </c>
      <c r="I190" s="10">
        <f>D190/H190</f>
        <v>0.8584070796460177</v>
      </c>
      <c r="J190" s="11">
        <f>1-I190</f>
        <v>0.1415929203539823</v>
      </c>
      <c r="K190">
        <f>H190-D194</f>
        <v>-147</v>
      </c>
      <c r="N190" s="10">
        <f>2*(D195*I190)/(D195+I190)</f>
        <v>0.70545454545454533</v>
      </c>
      <c r="O190" s="1"/>
      <c r="P190" s="1"/>
      <c r="S190" t="s">
        <v>31</v>
      </c>
      <c r="T190" s="57">
        <f>I519</f>
        <v>100</v>
      </c>
      <c r="U190" s="57">
        <f>I520</f>
        <v>85.250737463126839</v>
      </c>
      <c r="V190" s="57">
        <f>I521</f>
        <v>96.06703608595754</v>
      </c>
      <c r="W190" s="57">
        <f>I522</f>
        <v>95.850941221667313</v>
      </c>
      <c r="X190" s="57">
        <f>I523</f>
        <v>76.875</v>
      </c>
      <c r="AD190" s="51"/>
      <c r="AE190" s="51"/>
    </row>
    <row r="191" spans="1:41" x14ac:dyDescent="0.3">
      <c r="A191" t="s">
        <v>5</v>
      </c>
      <c r="B191" s="13">
        <v>2</v>
      </c>
      <c r="C191" s="5">
        <v>0</v>
      </c>
      <c r="D191" s="1">
        <v>168</v>
      </c>
      <c r="E191" s="27">
        <v>7114</v>
      </c>
      <c r="F191" s="1">
        <v>95</v>
      </c>
      <c r="G191" s="6">
        <v>22</v>
      </c>
      <c r="H191" s="1">
        <f>SUM(C191:G191)</f>
        <v>7399</v>
      </c>
      <c r="I191" s="10">
        <f>E191/H191</f>
        <v>0.9614812812542235</v>
      </c>
      <c r="J191" s="11">
        <f>1-I191</f>
        <v>3.8518718745776503E-2</v>
      </c>
      <c r="K191">
        <f>H191-E194</f>
        <v>191</v>
      </c>
      <c r="N191" s="10">
        <f>2*(E195*I191)/(E195+I191)</f>
        <v>0.97405353597590194</v>
      </c>
      <c r="O191" s="1"/>
      <c r="P191" s="1"/>
      <c r="S191" s="66" t="s">
        <v>39</v>
      </c>
      <c r="T191" s="67">
        <f>J519</f>
        <v>0</v>
      </c>
      <c r="U191" s="67">
        <f>J520</f>
        <v>1.9287497163603362</v>
      </c>
      <c r="V191" s="67">
        <f>J521</f>
        <v>0.22599041165602662</v>
      </c>
      <c r="W191" s="67">
        <f>J522</f>
        <v>0.39094830856780166</v>
      </c>
      <c r="X191" s="67">
        <f>J523</f>
        <v>1.3615203330504093</v>
      </c>
      <c r="AD191" s="51"/>
      <c r="AE191" s="51"/>
      <c r="AN191" s="78"/>
      <c r="AO191" s="78"/>
    </row>
    <row r="192" spans="1:41" x14ac:dyDescent="0.3">
      <c r="A192" t="s">
        <v>6</v>
      </c>
      <c r="B192" s="13">
        <v>3</v>
      </c>
      <c r="C192" s="5">
        <v>0</v>
      </c>
      <c r="D192" s="1">
        <v>6</v>
      </c>
      <c r="E192" s="1">
        <v>28</v>
      </c>
      <c r="F192" s="27">
        <v>2510</v>
      </c>
      <c r="G192" s="6">
        <v>59</v>
      </c>
      <c r="H192" s="1">
        <f>SUM(C192:G192)</f>
        <v>2603</v>
      </c>
      <c r="I192" s="10">
        <f>F192/H192</f>
        <v>0.96427199385324625</v>
      </c>
      <c r="J192" s="11">
        <f>1-I192</f>
        <v>3.5728006146753755E-2</v>
      </c>
      <c r="K192">
        <f>H192-F194</f>
        <v>-195</v>
      </c>
      <c r="N192" s="10">
        <f>2*(F195*I192)/(F195+I192)</f>
        <v>0.92945750786891312</v>
      </c>
      <c r="O192" s="1"/>
      <c r="P192" s="1"/>
      <c r="S192" s="66" t="s">
        <v>56</v>
      </c>
      <c r="T192" s="67">
        <f>N508*100</f>
        <v>100</v>
      </c>
      <c r="U192" s="67">
        <f>N509*100</f>
        <v>70.230862697448345</v>
      </c>
      <c r="V192" s="67">
        <f>N510*100</f>
        <v>97.436600411240576</v>
      </c>
      <c r="W192" s="67">
        <f>N511*100</f>
        <v>92.802678073275075</v>
      </c>
      <c r="X192" s="67">
        <f>N512*100</f>
        <v>81.456953642384093</v>
      </c>
      <c r="AD192" s="51"/>
      <c r="AE192" s="51"/>
    </row>
    <row r="193" spans="1:48" x14ac:dyDescent="0.3">
      <c r="A193" t="s">
        <v>7</v>
      </c>
      <c r="B193" s="13">
        <v>4</v>
      </c>
      <c r="C193" s="7">
        <v>0</v>
      </c>
      <c r="D193" s="8">
        <v>21</v>
      </c>
      <c r="E193" s="8">
        <v>26</v>
      </c>
      <c r="F193" s="8">
        <v>193</v>
      </c>
      <c r="G193" s="28">
        <v>720</v>
      </c>
      <c r="H193" s="1">
        <f>SUM(C193:G193)</f>
        <v>960</v>
      </c>
      <c r="I193" s="10">
        <f>G193/H193</f>
        <v>0.75</v>
      </c>
      <c r="J193" s="11">
        <f>1-I193</f>
        <v>0.25</v>
      </c>
      <c r="K193">
        <f>H193-G194</f>
        <v>151</v>
      </c>
      <c r="N193" s="10">
        <f>2*(G195*I193)/(G195+I193)</f>
        <v>0.81401921989824766</v>
      </c>
      <c r="O193" s="1"/>
      <c r="P193" s="1"/>
      <c r="R193" s="16" t="s">
        <v>66</v>
      </c>
      <c r="S193" t="s">
        <v>9</v>
      </c>
      <c r="T193" s="1">
        <f>N519</f>
        <v>2935.21</v>
      </c>
      <c r="U193" s="1">
        <f>N520</f>
        <v>9638.4</v>
      </c>
      <c r="V193" s="1">
        <f>N521</f>
        <v>114331.68</v>
      </c>
      <c r="W193" s="1">
        <f>N522</f>
        <v>51823.1</v>
      </c>
      <c r="X193" s="1">
        <f>N523</f>
        <v>19392.97</v>
      </c>
      <c r="Z193" t="s">
        <v>36</v>
      </c>
      <c r="AA193" s="1">
        <f>N524</f>
        <v>198121.36</v>
      </c>
      <c r="AD193" s="51"/>
      <c r="AE193" s="51"/>
      <c r="AL193" s="132">
        <v>0</v>
      </c>
      <c r="AM193" s="133">
        <v>1</v>
      </c>
      <c r="AN193" s="133">
        <v>2</v>
      </c>
      <c r="AO193" s="133">
        <v>3</v>
      </c>
      <c r="AP193" s="134">
        <v>4</v>
      </c>
    </row>
    <row r="194" spans="1:48" ht="15.6" x14ac:dyDescent="0.35">
      <c r="B194" s="1" t="s">
        <v>19</v>
      </c>
      <c r="C194" s="1">
        <f>SUM(C189:C193)</f>
        <v>259</v>
      </c>
      <c r="D194" s="1">
        <f>SUM(D189:D193)</f>
        <v>486</v>
      </c>
      <c r="E194" s="1">
        <f>SUM(E189:E193)</f>
        <v>7208</v>
      </c>
      <c r="F194" s="1">
        <f>SUM(F189:F193)</f>
        <v>2798</v>
      </c>
      <c r="G194" s="1">
        <f>SUM(G189:G193)</f>
        <v>809</v>
      </c>
      <c r="H194" s="1">
        <f>SUM(H188:H193)</f>
        <v>11560</v>
      </c>
      <c r="I194" s="13" t="s">
        <v>12</v>
      </c>
      <c r="N194" s="16"/>
      <c r="O194" s="1"/>
      <c r="P194" s="1"/>
      <c r="R194" s="16" t="s">
        <v>323</v>
      </c>
      <c r="S194" t="s">
        <v>68</v>
      </c>
      <c r="T194" s="57">
        <f>$AA193*T186/100</f>
        <v>2935.21</v>
      </c>
      <c r="U194" s="57">
        <f>$AA193*U186/100</f>
        <v>11327.979014584585</v>
      </c>
      <c r="V194" s="57">
        <f>$AA193*V186/100</f>
        <v>111851.01130609731</v>
      </c>
      <c r="W194" s="57">
        <f>$AA193*W186/100</f>
        <v>54876.87975975233</v>
      </c>
      <c r="X194" s="57">
        <f>$AA193*X186/100</f>
        <v>17130.279919565779</v>
      </c>
      <c r="Z194" t="s">
        <v>36</v>
      </c>
      <c r="AA194" s="25">
        <f>SUM(T194:X194)</f>
        <v>198121.36</v>
      </c>
      <c r="AD194" s="51"/>
      <c r="AE194" s="51"/>
      <c r="AJ194" t="s">
        <v>2</v>
      </c>
      <c r="AQ194" t="s">
        <v>41</v>
      </c>
    </row>
    <row r="195" spans="1:48" x14ac:dyDescent="0.3">
      <c r="A195" s="1" t="s">
        <v>321</v>
      </c>
      <c r="B195" s="1" t="s">
        <v>2</v>
      </c>
      <c r="C195" s="10">
        <f>C189/C194</f>
        <v>1</v>
      </c>
      <c r="D195" s="10">
        <f>D190/D194</f>
        <v>0.59876543209876543</v>
      </c>
      <c r="E195" s="10">
        <f>E191/E194</f>
        <v>0.98695893451720307</v>
      </c>
      <c r="F195" s="10">
        <f>F192/F194</f>
        <v>0.89706933523945676</v>
      </c>
      <c r="G195" s="10">
        <f>G193/G194</f>
        <v>0.88998763906056866</v>
      </c>
      <c r="H195" s="10"/>
      <c r="I195" s="14">
        <f>(C189+D190+E191+F192+G193)/H194</f>
        <v>0.94238754325259511</v>
      </c>
      <c r="R195" s="66"/>
      <c r="S195" s="66" t="s">
        <v>67</v>
      </c>
      <c r="T195" s="67">
        <f>$AA193*T187/100</f>
        <v>0</v>
      </c>
      <c r="U195" s="67">
        <f>$AA193*U187/100</f>
        <v>288.83391533406723</v>
      </c>
      <c r="V195" s="67">
        <f>$AA193*V187/100</f>
        <v>335.7709701745805</v>
      </c>
      <c r="W195" s="67">
        <f>$AA193*W187/100</f>
        <v>352.40293933404791</v>
      </c>
      <c r="X195" s="67">
        <f>$AA193*X187/100</f>
        <v>335.97564516986415</v>
      </c>
      <c r="AA195" s="1"/>
      <c r="AD195" s="51"/>
      <c r="AE195" s="51"/>
      <c r="AJ195" t="s">
        <v>415</v>
      </c>
      <c r="AK195">
        <v>0</v>
      </c>
      <c r="AL195" s="1">
        <v>40.880000000000003</v>
      </c>
      <c r="AM195" s="1">
        <v>493.04</v>
      </c>
      <c r="AN195" s="1">
        <v>16502.05</v>
      </c>
      <c r="AO195" s="1">
        <v>14889.79</v>
      </c>
      <c r="AP195" s="1">
        <v>11211.32</v>
      </c>
      <c r="AR195" s="1">
        <v>2921.16</v>
      </c>
      <c r="AS195" s="1">
        <v>9653.36</v>
      </c>
      <c r="AT195" s="1">
        <v>114934.07</v>
      </c>
      <c r="AU195" s="1">
        <v>51414.03</v>
      </c>
      <c r="AV195" s="1">
        <v>19198.75</v>
      </c>
    </row>
    <row r="196" spans="1:48" x14ac:dyDescent="0.3">
      <c r="B196" s="1" t="s">
        <v>14</v>
      </c>
      <c r="C196" s="11">
        <f>1-C195</f>
        <v>0</v>
      </c>
      <c r="D196" s="11">
        <f>1-D195</f>
        <v>0.40123456790123457</v>
      </c>
      <c r="E196" s="11">
        <f>1-E195</f>
        <v>1.3041065482796932E-2</v>
      </c>
      <c r="F196" s="11">
        <f>1-F195</f>
        <v>0.10293066476054324</v>
      </c>
      <c r="G196" s="11">
        <f>1-G195</f>
        <v>0.11001236093943134</v>
      </c>
      <c r="R196" t="s">
        <v>111</v>
      </c>
      <c r="S196" t="s">
        <v>28</v>
      </c>
      <c r="T196" s="57">
        <f>C553</f>
        <v>1.4636583625481694</v>
      </c>
      <c r="U196" s="57">
        <f t="shared" ref="U196:X199" si="32">D553</f>
        <v>5.930253092531605</v>
      </c>
      <c r="V196" s="57">
        <f t="shared" si="32"/>
        <v>56.494953255140217</v>
      </c>
      <c r="W196" s="57">
        <f t="shared" si="32"/>
        <v>27.685871451047678</v>
      </c>
      <c r="X196" s="57">
        <f t="shared" si="32"/>
        <v>8.4252638387323273</v>
      </c>
      <c r="Y196" s="13"/>
      <c r="Z196" s="74"/>
      <c r="AA196" s="12"/>
      <c r="AD196" s="51"/>
      <c r="AE196" s="51"/>
      <c r="AJ196" t="s">
        <v>415</v>
      </c>
      <c r="AK196">
        <v>1</v>
      </c>
      <c r="AL196" s="1">
        <v>40.340000000000003</v>
      </c>
      <c r="AM196" s="1">
        <v>468.85</v>
      </c>
      <c r="AN196" s="1">
        <v>16301.97</v>
      </c>
      <c r="AO196" s="1">
        <v>14963.66</v>
      </c>
      <c r="AP196" s="1">
        <v>11362.26</v>
      </c>
      <c r="AR196" s="1">
        <v>2912.25</v>
      </c>
      <c r="AS196" s="1">
        <v>9432.86</v>
      </c>
      <c r="AT196" s="1">
        <v>114386.44</v>
      </c>
      <c r="AU196" s="1">
        <v>51490.11</v>
      </c>
      <c r="AV196" s="1">
        <v>19899.71</v>
      </c>
    </row>
    <row r="197" spans="1:48" x14ac:dyDescent="0.3">
      <c r="C197" s="2"/>
      <c r="S197" s="66" t="s">
        <v>39</v>
      </c>
      <c r="T197" s="67">
        <f>C554</f>
        <v>0</v>
      </c>
      <c r="U197" s="67">
        <f t="shared" si="32"/>
        <v>0.14822506536815719</v>
      </c>
      <c r="V197" s="67">
        <f t="shared" si="32"/>
        <v>0.17420078971529374</v>
      </c>
      <c r="W197" s="67">
        <f t="shared" si="32"/>
        <v>0.17191136841982277</v>
      </c>
      <c r="X197" s="67">
        <f t="shared" si="32"/>
        <v>0.16446076845422578</v>
      </c>
      <c r="AD197" s="51"/>
      <c r="AE197" s="51"/>
      <c r="AJ197" t="s">
        <v>415</v>
      </c>
      <c r="AK197">
        <v>2</v>
      </c>
      <c r="AL197" s="1">
        <v>40.54</v>
      </c>
      <c r="AM197" s="1">
        <v>466.12</v>
      </c>
      <c r="AN197" s="1">
        <v>16382.68</v>
      </c>
      <c r="AO197" s="1">
        <v>14801.37</v>
      </c>
      <c r="AP197" s="1">
        <v>11446.37</v>
      </c>
      <c r="AR197" s="1">
        <v>2915.58</v>
      </c>
      <c r="AS197" s="1">
        <v>9603.93</v>
      </c>
      <c r="AT197" s="1">
        <v>115014.64</v>
      </c>
      <c r="AU197" s="1">
        <v>51194.33</v>
      </c>
      <c r="AV197" s="1">
        <v>19392.88</v>
      </c>
    </row>
    <row r="198" spans="1:48" ht="15.6" x14ac:dyDescent="0.35">
      <c r="A198" t="s">
        <v>322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100</v>
      </c>
      <c r="U198" s="57">
        <f t="shared" si="32"/>
        <v>70.695052005600772</v>
      </c>
      <c r="V198" s="57">
        <f t="shared" si="32"/>
        <v>98.005832814733395</v>
      </c>
      <c r="W198" s="57">
        <f t="shared" si="32"/>
        <v>90.951812691383921</v>
      </c>
      <c r="X198" s="57">
        <f t="shared" si="32"/>
        <v>89.36505135102604</v>
      </c>
      <c r="AD198" s="51"/>
      <c r="AE198" s="51"/>
      <c r="AJ198" t="s">
        <v>415</v>
      </c>
      <c r="AK198">
        <v>3</v>
      </c>
      <c r="AL198" s="1">
        <v>40.81</v>
      </c>
      <c r="AM198" s="1">
        <v>505.79</v>
      </c>
      <c r="AN198" s="1">
        <v>16260.5</v>
      </c>
      <c r="AO198" s="1">
        <v>15026.85</v>
      </c>
      <c r="AP198" s="1">
        <v>11303.12</v>
      </c>
      <c r="AR198" s="1">
        <v>2920.44</v>
      </c>
      <c r="AS198" s="1">
        <v>9771.58</v>
      </c>
      <c r="AT198" s="1">
        <v>114414.43</v>
      </c>
      <c r="AU198" s="1">
        <v>51806.07</v>
      </c>
      <c r="AV198" s="1">
        <v>19208.84</v>
      </c>
    </row>
    <row r="199" spans="1:48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</v>
      </c>
      <c r="U199" s="67">
        <f t="shared" si="32"/>
        <v>4.6799446554502264</v>
      </c>
      <c r="V199" s="67">
        <f t="shared" si="32"/>
        <v>0.20133704008218378</v>
      </c>
      <c r="W199" s="67">
        <f t="shared" si="32"/>
        <v>0.56405257436991363</v>
      </c>
      <c r="X199" s="67">
        <f t="shared" si="32"/>
        <v>1.9743722925668152</v>
      </c>
      <c r="AD199" s="51"/>
      <c r="AE199" s="51"/>
      <c r="AJ199" t="s">
        <v>415</v>
      </c>
      <c r="AK199">
        <v>4</v>
      </c>
      <c r="AL199" s="1">
        <v>40.81</v>
      </c>
      <c r="AM199" s="1">
        <v>488.75</v>
      </c>
      <c r="AN199" s="1">
        <v>16359.6</v>
      </c>
      <c r="AO199" s="1">
        <v>14909.86</v>
      </c>
      <c r="AP199" s="1">
        <v>11338.06</v>
      </c>
      <c r="AR199" s="1">
        <v>2917.11</v>
      </c>
      <c r="AS199" s="1">
        <v>9580.43</v>
      </c>
      <c r="AT199" s="1">
        <v>114448.11</v>
      </c>
      <c r="AU199" s="1">
        <v>51630.76</v>
      </c>
      <c r="AV199" s="1">
        <v>19544.95</v>
      </c>
    </row>
    <row r="200" spans="1:48" x14ac:dyDescent="0.3">
      <c r="A200" t="s">
        <v>3</v>
      </c>
      <c r="B200" s="13">
        <v>0</v>
      </c>
      <c r="C200" s="29">
        <f>(C189/$L200)*$O200</f>
        <v>1.475519778608436</v>
      </c>
      <c r="D200" s="31">
        <f>(D189/$L200)*$O200</f>
        <v>0</v>
      </c>
      <c r="E200" s="31">
        <f>(E189/$L200)*$O200</f>
        <v>0</v>
      </c>
      <c r="F200" s="31">
        <f>(F189/$L200)*$O200</f>
        <v>0</v>
      </c>
      <c r="G200" s="32">
        <f>(G189/$L200)*$O200</f>
        <v>0</v>
      </c>
      <c r="H200" s="17">
        <f>SUM(C200:G200)</f>
        <v>1.475519778608436</v>
      </c>
      <c r="I200" s="17">
        <f>C200/H200*100</f>
        <v>100</v>
      </c>
      <c r="J200" s="17">
        <f>SQRT(I200*(100-I200)/(L200-1))</f>
        <v>0</v>
      </c>
      <c r="K200" s="18">
        <f>100-I200</f>
        <v>0</v>
      </c>
      <c r="L200" s="1">
        <f>H189</f>
        <v>259</v>
      </c>
      <c r="M200">
        <v>0</v>
      </c>
      <c r="N200" s="1">
        <v>2923.32</v>
      </c>
      <c r="O200" s="17">
        <f>N200/N205*100</f>
        <v>1.475519778608436</v>
      </c>
      <c r="P200" s="52">
        <f>((O200*O200*(I200/100)*(K200/100))/(L200-1))</f>
        <v>0</v>
      </c>
      <c r="S200" t="s">
        <v>31</v>
      </c>
      <c r="T200" s="57">
        <f>I548</f>
        <v>100</v>
      </c>
      <c r="U200" s="57">
        <f>I549</f>
        <v>86.430678466076699</v>
      </c>
      <c r="V200" s="57">
        <f>I550</f>
        <v>95.918367346938766</v>
      </c>
      <c r="W200" s="57">
        <f>I551</f>
        <v>96.427199385324641</v>
      </c>
      <c r="X200" s="57">
        <f>I552</f>
        <v>76.458333333333343</v>
      </c>
      <c r="AD200" s="51"/>
      <c r="AE200" s="51"/>
      <c r="AJ200" t="s">
        <v>415</v>
      </c>
      <c r="AK200">
        <v>5</v>
      </c>
      <c r="AL200" s="1">
        <v>40.54</v>
      </c>
      <c r="AM200" s="1">
        <v>515.71</v>
      </c>
      <c r="AN200" s="1">
        <v>16290.09</v>
      </c>
      <c r="AO200" s="1">
        <v>14819.64</v>
      </c>
      <c r="AP200" s="1">
        <v>11471.09</v>
      </c>
      <c r="AR200" s="1">
        <v>2909.82</v>
      </c>
      <c r="AS200" s="1">
        <v>9711.25</v>
      </c>
      <c r="AT200" s="1">
        <v>114337.99</v>
      </c>
      <c r="AU200" s="1">
        <v>51334.81</v>
      </c>
      <c r="AV200" s="1">
        <v>19827.490000000002</v>
      </c>
    </row>
    <row r="201" spans="1:48" x14ac:dyDescent="0.3">
      <c r="A201" t="s">
        <v>4</v>
      </c>
      <c r="B201" s="13">
        <v>1</v>
      </c>
      <c r="C201" s="33">
        <f t="shared" ref="C201:G204" si="33">(C190/$L201)*$O201</f>
        <v>0</v>
      </c>
      <c r="D201" s="34">
        <f t="shared" si="33"/>
        <v>4.0438224163710439</v>
      </c>
      <c r="E201" s="19">
        <f t="shared" si="33"/>
        <v>0.55585187853897511</v>
      </c>
      <c r="F201" s="18">
        <f t="shared" si="33"/>
        <v>0</v>
      </c>
      <c r="G201" s="20">
        <f t="shared" si="33"/>
        <v>0.11117037570779503</v>
      </c>
      <c r="H201" s="17">
        <f>SUM(C201:G201)</f>
        <v>4.7108446706178144</v>
      </c>
      <c r="I201" s="17">
        <f>D201/H201*100</f>
        <v>85.840707964601762</v>
      </c>
      <c r="J201" s="17">
        <f>SQRT(I201*(100-I201)/(L201-1))</f>
        <v>1.8963088192218003</v>
      </c>
      <c r="K201" s="18">
        <f>100-I201</f>
        <v>14.159292035398238</v>
      </c>
      <c r="L201" s="1">
        <f>H190</f>
        <v>339</v>
      </c>
      <c r="M201">
        <v>1</v>
      </c>
      <c r="N201" s="1">
        <v>9333.19</v>
      </c>
      <c r="O201" s="17">
        <f>N201/N205*100</f>
        <v>4.7108446706178144</v>
      </c>
      <c r="P201" s="52">
        <f>((O201*O201*(I201/100)*(K201/100))/(L201-1))</f>
        <v>7.9802353371048428E-3</v>
      </c>
      <c r="S201" s="66" t="s">
        <v>39</v>
      </c>
      <c r="T201" s="67">
        <f>J548</f>
        <v>0</v>
      </c>
      <c r="U201" s="67">
        <f>J549</f>
        <v>1.8627504529603398</v>
      </c>
      <c r="V201" s="67">
        <f>J550</f>
        <v>0.23004387964646897</v>
      </c>
      <c r="W201" s="67">
        <f>J551</f>
        <v>0.36387357762020495</v>
      </c>
      <c r="X201" s="67">
        <f>J552</f>
        <v>1.3700036143221324</v>
      </c>
      <c r="AD201" s="51"/>
      <c r="AE201" s="51"/>
      <c r="AJ201" t="s">
        <v>415</v>
      </c>
      <c r="AK201">
        <v>6</v>
      </c>
      <c r="AL201" s="1">
        <v>39.18</v>
      </c>
      <c r="AM201" s="1">
        <v>458.48</v>
      </c>
      <c r="AN201" s="1">
        <v>16245.36</v>
      </c>
      <c r="AO201" s="1">
        <v>15149.31</v>
      </c>
      <c r="AP201" s="1">
        <v>11244.74</v>
      </c>
      <c r="AR201" s="1">
        <v>2923.32</v>
      </c>
      <c r="AS201" s="1">
        <v>9333.19</v>
      </c>
      <c r="AT201" s="1">
        <v>114673.82</v>
      </c>
      <c r="AU201" s="1">
        <v>52077.82</v>
      </c>
      <c r="AV201" s="1">
        <v>19113.22</v>
      </c>
    </row>
    <row r="202" spans="1:48" x14ac:dyDescent="0.3">
      <c r="A202" t="s">
        <v>5</v>
      </c>
      <c r="B202" s="13">
        <v>2</v>
      </c>
      <c r="C202" s="33">
        <f t="shared" si="33"/>
        <v>0</v>
      </c>
      <c r="D202" s="19">
        <f t="shared" si="33"/>
        <v>1.3142234491742031</v>
      </c>
      <c r="E202" s="34">
        <f t="shared" si="33"/>
        <v>55.651104865626671</v>
      </c>
      <c r="F202" s="19">
        <f t="shared" si="33"/>
        <v>0.74316206947350771</v>
      </c>
      <c r="G202" s="20">
        <f t="shared" si="33"/>
        <v>0.17210068977281232</v>
      </c>
      <c r="H202" s="17">
        <f>SUM(C202:G202)</f>
        <v>57.880591074047189</v>
      </c>
      <c r="I202" s="17">
        <f>E202/H202*100</f>
        <v>96.14812812542236</v>
      </c>
      <c r="J202" s="17">
        <f>SQRT(I202*(100-I202)/(L202-1))</f>
        <v>0.22374285199128502</v>
      </c>
      <c r="K202" s="18">
        <f>100-I202</f>
        <v>3.8518718745776397</v>
      </c>
      <c r="L202" s="1">
        <f>H191</f>
        <v>7399</v>
      </c>
      <c r="M202">
        <v>2</v>
      </c>
      <c r="N202" s="1">
        <v>114673.82</v>
      </c>
      <c r="O202" s="17">
        <f>N202/N205*100</f>
        <v>57.880591074047196</v>
      </c>
      <c r="P202" s="52">
        <f>((O202*O202*(I202/100)*(K202/100))/(L202-1))</f>
        <v>1.6771204485168799E-2</v>
      </c>
      <c r="S202" s="66" t="s">
        <v>56</v>
      </c>
      <c r="T202" s="67">
        <f>N537*100</f>
        <v>100</v>
      </c>
      <c r="U202" s="67">
        <f>N538*100</f>
        <v>69.185360094450999</v>
      </c>
      <c r="V202" s="67">
        <f>N539*100</f>
        <v>97.279144678226302</v>
      </c>
      <c r="W202" s="67">
        <f>N540*100</f>
        <v>93.325897006878606</v>
      </c>
      <c r="X202" s="67">
        <f>N541*100</f>
        <v>82.240896358543409</v>
      </c>
      <c r="AD202" s="51"/>
      <c r="AE202" s="51"/>
      <c r="AJ202" t="s">
        <v>415</v>
      </c>
      <c r="AK202">
        <v>7</v>
      </c>
      <c r="AL202" s="1">
        <v>40.71</v>
      </c>
      <c r="AM202" s="1">
        <v>437.04</v>
      </c>
      <c r="AN202" s="1">
        <v>16340.77</v>
      </c>
      <c r="AO202" s="1">
        <v>14868.43</v>
      </c>
      <c r="AP202" s="1">
        <v>11450.12</v>
      </c>
      <c r="AR202" s="1">
        <v>2929.36</v>
      </c>
      <c r="AS202" s="1">
        <v>9367.1200000000008</v>
      </c>
      <c r="AT202" s="1">
        <v>114260.54</v>
      </c>
      <c r="AU202" s="1">
        <v>51588.639999999999</v>
      </c>
      <c r="AV202" s="1">
        <v>19975.7</v>
      </c>
    </row>
    <row r="203" spans="1:48" x14ac:dyDescent="0.3">
      <c r="A203" t="s">
        <v>6</v>
      </c>
      <c r="B203" s="13">
        <v>3</v>
      </c>
      <c r="C203" s="33">
        <f t="shared" si="33"/>
        <v>0</v>
      </c>
      <c r="D203" s="19">
        <f t="shared" si="33"/>
        <v>6.0589665658936989E-2</v>
      </c>
      <c r="E203" s="19">
        <f t="shared" si="33"/>
        <v>0.28275177307503929</v>
      </c>
      <c r="F203" s="34">
        <f t="shared" si="33"/>
        <v>25.346676800655306</v>
      </c>
      <c r="G203" s="20">
        <f t="shared" si="33"/>
        <v>0.59579837897954702</v>
      </c>
      <c r="H203" s="17">
        <f>SUM(C203:G203)</f>
        <v>26.28581661836883</v>
      </c>
      <c r="I203" s="17">
        <f>F203/H203*100</f>
        <v>96.427199385324627</v>
      </c>
      <c r="J203" s="17">
        <f>SQRT(I203*(100-I203)/(L203-1))</f>
        <v>0.36387357762020567</v>
      </c>
      <c r="K203" s="18">
        <f>100-I203</f>
        <v>3.5728006146753728</v>
      </c>
      <c r="L203" s="1">
        <f>H192</f>
        <v>2603</v>
      </c>
      <c r="M203">
        <v>3</v>
      </c>
      <c r="N203" s="1">
        <v>52077.82</v>
      </c>
      <c r="O203" s="17">
        <f>N203/N205*100</f>
        <v>26.28581661836883</v>
      </c>
      <c r="P203" s="52">
        <f>((O203*O203*(I203/100)*(K203/100))/(L203-1))</f>
        <v>9.1483756457382791E-3</v>
      </c>
      <c r="R203" s="16" t="s">
        <v>66</v>
      </c>
      <c r="S203" t="s">
        <v>9</v>
      </c>
      <c r="T203" s="1">
        <f>N548</f>
        <v>2899.82</v>
      </c>
      <c r="U203" s="1">
        <f>N549</f>
        <v>9610.0499999999993</v>
      </c>
      <c r="V203" s="1">
        <f>N550</f>
        <v>114364.47</v>
      </c>
      <c r="W203" s="1">
        <f>N551</f>
        <v>51737.01</v>
      </c>
      <c r="X203" s="1">
        <f>N552</f>
        <v>19510.02</v>
      </c>
      <c r="Z203" t="s">
        <v>36</v>
      </c>
      <c r="AA203" s="1">
        <f>N553</f>
        <v>198121.37</v>
      </c>
      <c r="AD203" s="51"/>
      <c r="AE203" s="51"/>
      <c r="AJ203" t="s">
        <v>415</v>
      </c>
      <c r="AK203">
        <v>8</v>
      </c>
      <c r="AL203" s="1">
        <v>41.7</v>
      </c>
      <c r="AM203" s="1">
        <v>491.81</v>
      </c>
      <c r="AN203" s="1">
        <v>16409.560000000001</v>
      </c>
      <c r="AO203" s="1">
        <v>14995.07</v>
      </c>
      <c r="AP203" s="1">
        <v>11198.94</v>
      </c>
      <c r="AR203" s="1">
        <v>2912.34</v>
      </c>
      <c r="AS203" s="1">
        <v>9870.17</v>
      </c>
      <c r="AT203" s="1">
        <v>114616.22</v>
      </c>
      <c r="AU203" s="1">
        <v>51417.91</v>
      </c>
      <c r="AV203" s="1">
        <v>19304.72</v>
      </c>
    </row>
    <row r="204" spans="1:48" ht="15.6" x14ac:dyDescent="0.35">
      <c r="A204" t="s">
        <v>7</v>
      </c>
      <c r="B204" s="13">
        <v>4</v>
      </c>
      <c r="C204" s="35">
        <f t="shared" si="33"/>
        <v>0</v>
      </c>
      <c r="D204" s="36">
        <f t="shared" si="33"/>
        <v>0.21103310940157544</v>
      </c>
      <c r="E204" s="21">
        <f t="shared" si="33"/>
        <v>0.26127908783052195</v>
      </c>
      <c r="F204" s="21">
        <f t="shared" si="33"/>
        <v>1.9394947673573362</v>
      </c>
      <c r="G204" s="37">
        <f t="shared" si="33"/>
        <v>7.2354208937683007</v>
      </c>
      <c r="H204" s="17">
        <f>SUM(C204:G204)</f>
        <v>9.6472278583577342</v>
      </c>
      <c r="I204" s="17">
        <f>G204/H204*100</f>
        <v>75</v>
      </c>
      <c r="J204" s="17">
        <f>SQRT(I204*(100-I204)/(L204-1))</f>
        <v>1.3982709418043677</v>
      </c>
      <c r="K204" s="18">
        <f>100-I204</f>
        <v>25</v>
      </c>
      <c r="L204" s="1">
        <f>H193</f>
        <v>960</v>
      </c>
      <c r="M204">
        <v>4</v>
      </c>
      <c r="N204" s="1">
        <v>19113.22</v>
      </c>
      <c r="O204" s="17">
        <f>N204/N205*100</f>
        <v>9.6472278583577342</v>
      </c>
      <c r="P204" s="52">
        <f>((O204*O204*(I204/100)*(K204/100))/(L204-1))</f>
        <v>1.8196494789704164E-2</v>
      </c>
      <c r="R204" s="16" t="s">
        <v>323</v>
      </c>
      <c r="S204" t="s">
        <v>68</v>
      </c>
      <c r="T204" s="57">
        <f>$AA203*T196/100</f>
        <v>2899.82</v>
      </c>
      <c r="U204" s="57">
        <f>$AA203*U196/100</f>
        <v>11749.098671390982</v>
      </c>
      <c r="V204" s="57">
        <f>$AA203*V196/100</f>
        <v>111928.5753699434</v>
      </c>
      <c r="W204" s="57">
        <f>$AA203*W196/100</f>
        <v>54851.627815254535</v>
      </c>
      <c r="X204" s="57">
        <f>$AA203*X196/100</f>
        <v>16692.248143411078</v>
      </c>
      <c r="Z204" t="s">
        <v>36</v>
      </c>
      <c r="AA204" s="25">
        <f>SUM(T204:X204)</f>
        <v>198121.37</v>
      </c>
      <c r="AD204" s="51"/>
      <c r="AE204" s="51"/>
      <c r="AJ204" t="s">
        <v>415</v>
      </c>
      <c r="AK204">
        <v>9</v>
      </c>
      <c r="AL204" s="1">
        <v>40.630000000000003</v>
      </c>
      <c r="AM204" s="1">
        <v>473.53</v>
      </c>
      <c r="AN204" s="1">
        <v>16339.91</v>
      </c>
      <c r="AO204" s="1">
        <v>14966.78</v>
      </c>
      <c r="AP204" s="1">
        <v>11316.23</v>
      </c>
      <c r="AR204" s="1">
        <v>2911.89</v>
      </c>
      <c r="AS204" s="1">
        <v>9575.11</v>
      </c>
      <c r="AT204" s="1">
        <v>114788.02</v>
      </c>
      <c r="AU204" s="1">
        <v>51149.77</v>
      </c>
      <c r="AV204" s="1">
        <v>19696.57</v>
      </c>
    </row>
    <row r="205" spans="1:48" x14ac:dyDescent="0.3">
      <c r="B205" t="s">
        <v>28</v>
      </c>
      <c r="C205" s="17">
        <f t="shared" ref="C205:H205" si="34">SUM(C200:C204)</f>
        <v>1.475519778608436</v>
      </c>
      <c r="D205" s="17">
        <f t="shared" si="34"/>
        <v>5.6296686406057592</v>
      </c>
      <c r="E205" s="17">
        <f t="shared" si="34"/>
        <v>56.750987605071209</v>
      </c>
      <c r="F205" s="17">
        <f t="shared" si="34"/>
        <v>28.02933363748615</v>
      </c>
      <c r="G205" s="17">
        <f t="shared" si="34"/>
        <v>8.114490338228455</v>
      </c>
      <c r="H205" s="18">
        <f t="shared" si="34"/>
        <v>100</v>
      </c>
      <c r="I205" s="13" t="s">
        <v>24</v>
      </c>
      <c r="J205" s="12" t="s">
        <v>29</v>
      </c>
      <c r="N205" s="1">
        <f>SUM(N200:N204)</f>
        <v>198121.37</v>
      </c>
      <c r="O205" s="17">
        <f>SUM(O200:O204)</f>
        <v>100.00000000000001</v>
      </c>
      <c r="R205" s="66"/>
      <c r="S205" s="66" t="s">
        <v>67</v>
      </c>
      <c r="T205" s="67">
        <f>$AA203*T197/100</f>
        <v>0</v>
      </c>
      <c r="U205" s="67">
        <f>$AA203*U197/100</f>
        <v>293.66553019078856</v>
      </c>
      <c r="V205" s="67">
        <f>$AA203*V197/100</f>
        <v>345.12899113475908</v>
      </c>
      <c r="W205" s="67">
        <f>$AA203*W197/100</f>
        <v>340.5931582991002</v>
      </c>
      <c r="X205" s="67">
        <f>$AA203*X197/100</f>
        <v>325.83192757403992</v>
      </c>
      <c r="AA205" s="1"/>
      <c r="AD205" s="51"/>
      <c r="AE205" s="51"/>
      <c r="AJ205" t="s">
        <v>415</v>
      </c>
      <c r="AK205">
        <v>10</v>
      </c>
      <c r="AL205" s="1">
        <v>40</v>
      </c>
      <c r="AM205" s="1">
        <v>484.94</v>
      </c>
      <c r="AN205" s="1">
        <v>16472.32</v>
      </c>
      <c r="AO205" s="1">
        <v>14971.59</v>
      </c>
      <c r="AP205" s="1">
        <v>11168.22</v>
      </c>
      <c r="AR205" s="1">
        <v>2906.94</v>
      </c>
      <c r="AS205" s="1">
        <v>9600.06</v>
      </c>
      <c r="AT205" s="1">
        <v>114954.22</v>
      </c>
      <c r="AU205" s="1">
        <v>51482.12</v>
      </c>
      <c r="AV205" s="1">
        <v>19178.04</v>
      </c>
    </row>
    <row r="206" spans="1:48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0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0.14383628295884068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0.17017910017982063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0.17451585094346089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0.16403781463003786</v>
      </c>
      <c r="H206" s="1"/>
      <c r="I206" s="14">
        <f>(C200+D201+E202+F203+G204)/H205</f>
        <v>0.93752544755029765</v>
      </c>
      <c r="J206" s="53">
        <f>SQRT(SUM(P200:P204))/100</f>
        <v>2.2824616153993933E-3</v>
      </c>
      <c r="M206" s="1"/>
      <c r="N206" s="9"/>
      <c r="R206" t="s">
        <v>112</v>
      </c>
      <c r="S206" t="s">
        <v>28</v>
      </c>
      <c r="T206" s="57">
        <f>C582</f>
        <v>1.4657026380194444</v>
      </c>
      <c r="U206" s="57">
        <f t="shared" ref="U206:X209" si="35">D582</f>
        <v>5.9521371822814748</v>
      </c>
      <c r="V206" s="57">
        <f t="shared" si="35"/>
        <v>56.129388699618609</v>
      </c>
      <c r="W206" s="57">
        <f t="shared" si="35"/>
        <v>27.706977649746783</v>
      </c>
      <c r="X206" s="57">
        <f>G582</f>
        <v>8.745793830333696</v>
      </c>
      <c r="Y206" s="60"/>
      <c r="Z206" s="74"/>
      <c r="AA206" s="12"/>
      <c r="AD206" s="51"/>
      <c r="AE206" s="51"/>
      <c r="AJ206" t="s">
        <v>415</v>
      </c>
      <c r="AK206">
        <v>11</v>
      </c>
      <c r="AL206" s="1">
        <v>41.56</v>
      </c>
      <c r="AM206" s="1">
        <v>498.73</v>
      </c>
      <c r="AN206" s="1">
        <v>16352.53</v>
      </c>
      <c r="AO206" s="1">
        <v>14916.48</v>
      </c>
      <c r="AP206" s="1">
        <v>11327.78</v>
      </c>
      <c r="AR206" s="1">
        <v>2919.63</v>
      </c>
      <c r="AS206" s="1">
        <v>9577.82</v>
      </c>
      <c r="AT206" s="1">
        <v>114515.71</v>
      </c>
      <c r="AU206" s="1">
        <v>51516.07</v>
      </c>
      <c r="AV206" s="1">
        <v>19592.14</v>
      </c>
    </row>
    <row r="207" spans="1:48" x14ac:dyDescent="0.3">
      <c r="B207" s="1" t="s">
        <v>30</v>
      </c>
      <c r="C207" s="17">
        <f>C200/C205*100</f>
        <v>100</v>
      </c>
      <c r="D207" s="17">
        <f>D201/D205*100</f>
        <v>71.830558324582384</v>
      </c>
      <c r="E207" s="17">
        <f>E202/E205*100</f>
        <v>98.061914363325968</v>
      </c>
      <c r="F207" s="17">
        <f>F203/F205*100</f>
        <v>90.42910947678368</v>
      </c>
      <c r="G207" s="17">
        <f>G204/G205*100</f>
        <v>89.166670883582924</v>
      </c>
      <c r="H207" s="1"/>
      <c r="S207" s="66" t="s">
        <v>39</v>
      </c>
      <c r="T207" s="67">
        <f>C583</f>
        <v>0</v>
      </c>
      <c r="U207" s="67">
        <f t="shared" si="35"/>
        <v>0.14593841184741113</v>
      </c>
      <c r="V207" s="67">
        <f t="shared" si="35"/>
        <v>0.17023355828608905</v>
      </c>
      <c r="W207" s="67">
        <f t="shared" si="35"/>
        <v>0.17746888818137363</v>
      </c>
      <c r="X207" s="67">
        <f t="shared" si="35"/>
        <v>0.16991365248234538</v>
      </c>
      <c r="AD207" s="51"/>
      <c r="AE207" s="51"/>
      <c r="AJ207" t="s">
        <v>415</v>
      </c>
      <c r="AK207">
        <v>12</v>
      </c>
      <c r="AL207" s="1">
        <v>40.630000000000003</v>
      </c>
      <c r="AM207" s="1">
        <v>486.74</v>
      </c>
      <c r="AN207" s="1">
        <v>16176.73</v>
      </c>
      <c r="AO207" s="1">
        <v>15061.2</v>
      </c>
      <c r="AP207" s="1">
        <v>11371.78</v>
      </c>
      <c r="AR207" s="1">
        <v>2926.39</v>
      </c>
      <c r="AS207" s="1">
        <v>9879.7199999999993</v>
      </c>
      <c r="AT207" s="1">
        <v>113928.92</v>
      </c>
      <c r="AU207" s="1">
        <v>52099.34</v>
      </c>
      <c r="AV207" s="1">
        <v>19287</v>
      </c>
    </row>
    <row r="208" spans="1:48" x14ac:dyDescent="0.3">
      <c r="B208" s="16" t="s">
        <v>39</v>
      </c>
      <c r="C208" s="18">
        <f>SQRT((C211+C212)/(C205*C205))</f>
        <v>0</v>
      </c>
      <c r="D208" s="18">
        <f>SQRT((D211+D212)/(D205*D205))</f>
        <v>4.6961591042292934</v>
      </c>
      <c r="E208" s="18">
        <f>SQRT((E211+E212)/(E205*E205))</f>
        <v>0.19603473728704629</v>
      </c>
      <c r="F208" s="18">
        <f>SQRT((F211+F212)/(F205*F205))</f>
        <v>0.57328748618578407</v>
      </c>
      <c r="G208" s="18">
        <f>SQRT((G211+G212)/(G205*G205))</f>
        <v>2.073255759412</v>
      </c>
      <c r="H208" s="1"/>
      <c r="S208" t="s">
        <v>30</v>
      </c>
      <c r="T208" s="57">
        <f>C584</f>
        <v>100</v>
      </c>
      <c r="U208" s="57">
        <f t="shared" si="35"/>
        <v>72.31386251780998</v>
      </c>
      <c r="V208" s="57">
        <f t="shared" si="35"/>
        <v>98.200216103327648</v>
      </c>
      <c r="W208" s="57">
        <f t="shared" si="35"/>
        <v>90.670969127531222</v>
      </c>
      <c r="X208" s="57">
        <f t="shared" si="35"/>
        <v>87.821531830446105</v>
      </c>
      <c r="AD208" s="51"/>
      <c r="AE208" s="51"/>
      <c r="AJ208" t="s">
        <v>415</v>
      </c>
      <c r="AK208">
        <v>13</v>
      </c>
      <c r="AL208" s="1">
        <v>41.37</v>
      </c>
      <c r="AM208" s="1">
        <v>495.37</v>
      </c>
      <c r="AN208" s="1">
        <v>16311.89</v>
      </c>
      <c r="AO208" s="1">
        <v>15022.16</v>
      </c>
      <c r="AP208" s="1">
        <v>11266.29</v>
      </c>
      <c r="AR208" s="1">
        <v>2924.14</v>
      </c>
      <c r="AS208" s="1">
        <v>9953.18</v>
      </c>
      <c r="AT208" s="1">
        <v>114273.06</v>
      </c>
      <c r="AU208" s="1">
        <v>51622.85</v>
      </c>
      <c r="AV208" s="1">
        <v>19348.13</v>
      </c>
    </row>
    <row r="209" spans="1:48" x14ac:dyDescent="0.3">
      <c r="B209" s="1" t="s">
        <v>37</v>
      </c>
      <c r="C209" s="18">
        <f>100-C207</f>
        <v>0</v>
      </c>
      <c r="D209" s="18">
        <f>100-D207</f>
        <v>28.169441675417616</v>
      </c>
      <c r="E209" s="18">
        <f>100-E207</f>
        <v>1.9380856366740318</v>
      </c>
      <c r="F209" s="18">
        <f>100-F207</f>
        <v>9.5708905232163204</v>
      </c>
      <c r="G209" s="18">
        <f>100-G207</f>
        <v>10.833329116417076</v>
      </c>
      <c r="S209" s="66" t="s">
        <v>39</v>
      </c>
      <c r="T209" s="67">
        <f>C585</f>
        <v>0</v>
      </c>
      <c r="U209" s="67">
        <f t="shared" si="35"/>
        <v>4.4304880184081741</v>
      </c>
      <c r="V209" s="67">
        <f t="shared" si="35"/>
        <v>0.19443283228986533</v>
      </c>
      <c r="W209" s="67">
        <f t="shared" si="35"/>
        <v>0.58644113822341293</v>
      </c>
      <c r="X209" s="67">
        <f t="shared" si="35"/>
        <v>2.1508042771579197</v>
      </c>
      <c r="AD209" s="51"/>
      <c r="AE209" s="51"/>
      <c r="AJ209" t="s">
        <v>415</v>
      </c>
      <c r="AK209">
        <v>14</v>
      </c>
      <c r="AL209" s="1">
        <v>39.89</v>
      </c>
      <c r="AM209" s="1">
        <v>516.52</v>
      </c>
      <c r="AN209" s="1">
        <v>16152.49</v>
      </c>
      <c r="AO209" s="1">
        <v>15125.67</v>
      </c>
      <c r="AP209" s="1">
        <v>11302.5</v>
      </c>
      <c r="AR209" s="1">
        <v>2899.19</v>
      </c>
      <c r="AS209" s="1">
        <v>10069.52</v>
      </c>
      <c r="AT209" s="1">
        <v>113828.07</v>
      </c>
      <c r="AU209" s="1">
        <v>52024.08</v>
      </c>
      <c r="AV209" s="1">
        <v>19300.5</v>
      </c>
    </row>
    <row r="210" spans="1:48" ht="15.6" x14ac:dyDescent="0.35">
      <c r="B210" s="1" t="s">
        <v>25</v>
      </c>
      <c r="C210" s="1">
        <f>C194</f>
        <v>259</v>
      </c>
      <c r="D210" s="1">
        <f>D194</f>
        <v>486</v>
      </c>
      <c r="E210" s="1">
        <f>E194</f>
        <v>7208</v>
      </c>
      <c r="F210" s="1">
        <f>F194</f>
        <v>2798</v>
      </c>
      <c r="G210" s="1">
        <f>G194</f>
        <v>809</v>
      </c>
      <c r="S210" s="15" t="s">
        <v>31</v>
      </c>
      <c r="T210" s="71">
        <f>I577</f>
        <v>100</v>
      </c>
      <c r="U210" s="71">
        <f>I578</f>
        <v>87.020648967551622</v>
      </c>
      <c r="V210" s="71">
        <f>I579</f>
        <v>95.972428706581951</v>
      </c>
      <c r="W210" s="71">
        <f>I580</f>
        <v>95.96619285439877</v>
      </c>
      <c r="X210" s="71">
        <f>I581</f>
        <v>76.979166666666671</v>
      </c>
      <c r="AD210" s="51"/>
      <c r="AE210" s="51"/>
      <c r="AJ210" t="s">
        <v>415</v>
      </c>
      <c r="AK210">
        <v>15</v>
      </c>
      <c r="AL210" s="1">
        <v>40.43</v>
      </c>
      <c r="AM210" s="1">
        <v>473.65</v>
      </c>
      <c r="AN210" s="1">
        <v>16419.04</v>
      </c>
      <c r="AO210" s="1">
        <v>14723.33</v>
      </c>
      <c r="AP210" s="1">
        <v>11480.63</v>
      </c>
      <c r="AR210" s="1">
        <v>2930.98</v>
      </c>
      <c r="AS210" s="1">
        <v>9798.14</v>
      </c>
      <c r="AT210" s="1">
        <v>114842.95</v>
      </c>
      <c r="AU210" s="1">
        <v>51267.519999999997</v>
      </c>
      <c r="AV210" s="1">
        <v>19281.78</v>
      </c>
    </row>
    <row r="211" spans="1:48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633.24559496499262</v>
      </c>
      <c r="E211" s="18">
        <f>(O202*O202*(100-E207)*(100-E207)*(I202)*(100-I202))/((L202-1)*100)</f>
        <v>6.2995594689533476</v>
      </c>
      <c r="F211" s="18">
        <f>(O203*O203*(100-F207)*(100-F207)*(I203)*(100-I203))/((L203-1)*100)</f>
        <v>83.800900646723221</v>
      </c>
      <c r="G211" s="18">
        <f>(O204*O204*(100-G207)*(100-G207)*(I204)*(100-I204))/((L204-1)*100)</f>
        <v>213.55591842971629</v>
      </c>
      <c r="S211" s="75" t="s">
        <v>39</v>
      </c>
      <c r="T211" s="76">
        <f>J577</f>
        <v>0</v>
      </c>
      <c r="U211" s="76">
        <f>J578</f>
        <v>1.8280130756635198</v>
      </c>
      <c r="V211" s="76">
        <f>J579</f>
        <v>0.22857972061204318</v>
      </c>
      <c r="W211" s="76">
        <f>J580</f>
        <v>0.3857119127779286</v>
      </c>
      <c r="X211" s="76">
        <f>J581</f>
        <v>1.3593704325383349</v>
      </c>
      <c r="AD211" s="51"/>
      <c r="AE211" s="51"/>
      <c r="AJ211" t="s">
        <v>415</v>
      </c>
      <c r="AK211">
        <v>16</v>
      </c>
      <c r="AL211" s="1">
        <v>41</v>
      </c>
      <c r="AM211" s="1">
        <v>479.1</v>
      </c>
      <c r="AN211" s="1">
        <v>16384.16</v>
      </c>
      <c r="AO211" s="1">
        <v>15104.38</v>
      </c>
      <c r="AP211" s="1">
        <v>11128.43</v>
      </c>
      <c r="AR211" s="1">
        <v>2911.62</v>
      </c>
      <c r="AS211" s="1">
        <v>9416.01</v>
      </c>
      <c r="AT211" s="1">
        <v>114885.15</v>
      </c>
      <c r="AU211" s="1">
        <v>51871.19</v>
      </c>
      <c r="AV211" s="1">
        <v>19037.39</v>
      </c>
    </row>
    <row r="212" spans="1:48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65.71271237199943</v>
      </c>
      <c r="E212" s="18">
        <f>E207*E207*(SUM((H200*E200*(1-E189/H189))/(H189-1),(H201*E201*(1-E190/H190))/(H190-1), (H203*E203*(1-E192/H192))/(H192-1),(H204*E204*(1-E193/H193))/(H193-1)))</f>
        <v>117.46973560543117</v>
      </c>
      <c r="F212" s="18">
        <f>F207*F207*(SUM((H200*F200*(1-F189/H189))/(H189-1),(H201*F201*(1-F190/H190))/(H190-1), (H202*F202*(1-F191/H191))/(H191-1),(H204*F204*(1-F193/H193))/(H193-1)))</f>
        <v>174.40756096550874</v>
      </c>
      <c r="G212" s="18">
        <f>G207*G207*(SUM((H200*G200*(1-G189/H189))/(H189-1),(H201*G201*(1-G190/H190))/(H190-1), (H202*G202*(1-G191/H191))/(H191-1),(H203*G203*(1-G192/H192))/(H192-1)))</f>
        <v>69.471334412731053</v>
      </c>
      <c r="S212" s="66" t="s">
        <v>56</v>
      </c>
      <c r="T212" s="67">
        <f>N566*100</f>
        <v>100</v>
      </c>
      <c r="U212" s="67">
        <f>N567*100</f>
        <v>70.40572792362768</v>
      </c>
      <c r="V212" s="67">
        <f>N568*100</f>
        <v>97.387368854145237</v>
      </c>
      <c r="W212" s="67">
        <f>N569*100</f>
        <v>92.966133234090066</v>
      </c>
      <c r="X212" s="67">
        <f>N570*100</f>
        <v>81.793027116768116</v>
      </c>
      <c r="AD212" s="51"/>
      <c r="AE212" s="51"/>
      <c r="AJ212" t="s">
        <v>415</v>
      </c>
      <c r="AK212">
        <v>17</v>
      </c>
      <c r="AL212" s="1">
        <v>40.700000000000003</v>
      </c>
      <c r="AM212" s="1">
        <v>474.65</v>
      </c>
      <c r="AN212" s="1">
        <v>16261.13</v>
      </c>
      <c r="AO212" s="1">
        <v>15059.76</v>
      </c>
      <c r="AP212" s="1">
        <v>11300.84</v>
      </c>
      <c r="AR212" s="1">
        <v>2935.21</v>
      </c>
      <c r="AS212" s="1">
        <v>9638.4</v>
      </c>
      <c r="AT212" s="1">
        <v>114331.68</v>
      </c>
      <c r="AU212" s="1">
        <v>51823.1</v>
      </c>
      <c r="AV212" s="1">
        <v>19392.97</v>
      </c>
    </row>
    <row r="213" spans="1:48" x14ac:dyDescent="0.3">
      <c r="R213" s="16" t="s">
        <v>66</v>
      </c>
      <c r="S213" t="s">
        <v>9</v>
      </c>
      <c r="T213" s="1">
        <f>N577</f>
        <v>2903.87</v>
      </c>
      <c r="U213" s="1">
        <f>N578</f>
        <v>9799.49</v>
      </c>
      <c r="V213" s="1">
        <f>N579</f>
        <v>113785.67</v>
      </c>
      <c r="W213" s="1">
        <f>N580</f>
        <v>51864.53</v>
      </c>
      <c r="X213" s="1">
        <f>N581</f>
        <v>19767.8</v>
      </c>
      <c r="Z213" t="s">
        <v>36</v>
      </c>
      <c r="AA213" s="1">
        <f>N582</f>
        <v>198121.36</v>
      </c>
      <c r="AD213" s="51"/>
      <c r="AE213" s="51"/>
      <c r="AJ213" t="s">
        <v>415</v>
      </c>
      <c r="AK213">
        <v>18</v>
      </c>
      <c r="AL213" s="1">
        <v>40.43</v>
      </c>
      <c r="AM213" s="1">
        <v>483.06</v>
      </c>
      <c r="AN213" s="1">
        <v>16306.66</v>
      </c>
      <c r="AO213" s="1">
        <v>15011.17</v>
      </c>
      <c r="AP213" s="1">
        <v>11295.77</v>
      </c>
      <c r="AR213" s="1">
        <v>2899.82</v>
      </c>
      <c r="AS213" s="1">
        <v>9610.0499999999993</v>
      </c>
      <c r="AT213" s="1">
        <v>114364.47</v>
      </c>
      <c r="AU213" s="1">
        <v>51737.01</v>
      </c>
      <c r="AV213" s="1">
        <v>19510.02</v>
      </c>
    </row>
    <row r="214" spans="1:48" ht="15.6" x14ac:dyDescent="0.35">
      <c r="R214" s="16" t="s">
        <v>323</v>
      </c>
      <c r="S214" t="s">
        <v>68</v>
      </c>
      <c r="T214" s="57">
        <f>$AA213*T206/100</f>
        <v>2903.87</v>
      </c>
      <c r="U214" s="57">
        <f>$AA213*U206/100</f>
        <v>11792.455134601734</v>
      </c>
      <c r="V214" s="57">
        <f>$AA213*V206/100</f>
        <v>111204.30825137069</v>
      </c>
      <c r="W214" s="57">
        <f>$AA213*W206/100</f>
        <v>54893.440934574362</v>
      </c>
      <c r="X214" s="57">
        <f>$AA213*X206/100</f>
        <v>17327.285679453209</v>
      </c>
      <c r="Z214" t="s">
        <v>36</v>
      </c>
      <c r="AA214" s="25">
        <f>SUM(T214:X214)</f>
        <v>198121.36</v>
      </c>
      <c r="AD214" s="51"/>
      <c r="AE214" s="51"/>
      <c r="AJ214" t="s">
        <v>415</v>
      </c>
      <c r="AK214">
        <v>19</v>
      </c>
      <c r="AL214" s="1">
        <v>39.799999999999997</v>
      </c>
      <c r="AM214" s="1">
        <v>483.87</v>
      </c>
      <c r="AN214" s="1">
        <v>16283.1</v>
      </c>
      <c r="AO214" s="1">
        <v>14924.48</v>
      </c>
      <c r="AP214" s="1">
        <v>11405.82</v>
      </c>
      <c r="AR214" s="1">
        <v>2903.87</v>
      </c>
      <c r="AS214" s="1">
        <v>9799.49</v>
      </c>
      <c r="AT214" s="1">
        <v>113785.67</v>
      </c>
      <c r="AU214" s="1">
        <v>51864.53</v>
      </c>
      <c r="AV214" s="1">
        <v>19767.8</v>
      </c>
    </row>
    <row r="215" spans="1:48" x14ac:dyDescent="0.3">
      <c r="A215" s="361" t="s">
        <v>441</v>
      </c>
      <c r="B215" s="361"/>
      <c r="C215" s="361"/>
      <c r="D215" s="361"/>
      <c r="E215" s="361"/>
      <c r="F215" s="361"/>
      <c r="G215" s="361"/>
      <c r="H215" s="361"/>
      <c r="I215" s="361"/>
      <c r="J215" s="361"/>
      <c r="K215" s="361"/>
      <c r="L215" s="361" t="s">
        <v>85</v>
      </c>
      <c r="M215" s="361"/>
      <c r="N215" s="361"/>
      <c r="O215" s="361"/>
      <c r="P215" s="361"/>
      <c r="R215" s="66"/>
      <c r="S215" s="66" t="s">
        <v>67</v>
      </c>
      <c r="T215" s="67">
        <f>$AA213*T207/100</f>
        <v>0</v>
      </c>
      <c r="U215" s="67">
        <f>$AA213*U207/100</f>
        <v>289.13516631449204</v>
      </c>
      <c r="V215" s="67">
        <f>$AA213*V207/100</f>
        <v>337.26904085279233</v>
      </c>
      <c r="W215" s="67">
        <f>$AA213*W207/100</f>
        <v>351.60377484181669</v>
      </c>
      <c r="X215" s="67">
        <f>$AA213*X207/100</f>
        <v>336.63523912369646</v>
      </c>
      <c r="AA215" s="1"/>
      <c r="AD215" s="51"/>
      <c r="AE215" s="51"/>
      <c r="AQ215" t="s">
        <v>412</v>
      </c>
    </row>
    <row r="216" spans="1:48" x14ac:dyDescent="0.3">
      <c r="A216" t="s">
        <v>320</v>
      </c>
      <c r="B216" t="s">
        <v>21</v>
      </c>
      <c r="I216" s="1" t="s">
        <v>58</v>
      </c>
      <c r="O216" s="143"/>
      <c r="P216" s="143"/>
      <c r="AJ216" t="s">
        <v>416</v>
      </c>
      <c r="AK216">
        <v>0</v>
      </c>
      <c r="AL216" s="1">
        <v>0</v>
      </c>
      <c r="AM216" s="1">
        <v>22.7</v>
      </c>
      <c r="AN216" s="1">
        <v>1328.18</v>
      </c>
      <c r="AO216" s="1">
        <v>406.76</v>
      </c>
      <c r="AP216" s="1">
        <v>95.57</v>
      </c>
      <c r="AR216" s="1">
        <v>264.87</v>
      </c>
      <c r="AS216" s="1">
        <v>713.84</v>
      </c>
      <c r="AT216" s="1">
        <v>16809.490000000002</v>
      </c>
      <c r="AU216" s="1">
        <v>3234.37</v>
      </c>
      <c r="AV216" s="1">
        <v>1121.3900000000001</v>
      </c>
    </row>
    <row r="217" spans="1:48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56</v>
      </c>
      <c r="O217" s="13"/>
      <c r="P217" s="13"/>
      <c r="AJ217" t="s">
        <v>416</v>
      </c>
      <c r="AK217">
        <v>1</v>
      </c>
      <c r="AL217" s="1">
        <v>0</v>
      </c>
      <c r="AM217" s="1">
        <v>21.47</v>
      </c>
      <c r="AN217" s="1">
        <v>1320.72</v>
      </c>
      <c r="AO217" s="1">
        <v>411.51</v>
      </c>
      <c r="AP217" s="1">
        <v>99.53</v>
      </c>
      <c r="AR217" s="1">
        <v>263.25</v>
      </c>
      <c r="AS217" s="1">
        <v>695.29</v>
      </c>
      <c r="AT217" s="1">
        <v>16744.580000000002</v>
      </c>
      <c r="AU217" s="1">
        <v>3258.58</v>
      </c>
      <c r="AV217" s="1">
        <v>1182.25</v>
      </c>
    </row>
    <row r="218" spans="1:48" x14ac:dyDescent="0.3">
      <c r="A218" t="s">
        <v>3</v>
      </c>
      <c r="B218" s="13">
        <v>0</v>
      </c>
      <c r="C218" s="26">
        <v>259</v>
      </c>
      <c r="D218" s="3">
        <v>0</v>
      </c>
      <c r="E218" s="3">
        <v>0</v>
      </c>
      <c r="F218" s="3">
        <v>0</v>
      </c>
      <c r="G218" s="4">
        <v>0</v>
      </c>
      <c r="H218" s="1">
        <f>SUM(C218:G218)</f>
        <v>259</v>
      </c>
      <c r="I218" s="10">
        <f>C218/H218</f>
        <v>1</v>
      </c>
      <c r="J218" s="11">
        <f>1-I218</f>
        <v>0</v>
      </c>
      <c r="K218">
        <f>H218-C223</f>
        <v>0</v>
      </c>
      <c r="N218" s="10">
        <f>2*(C224*I218)/(C224+I218)</f>
        <v>1</v>
      </c>
      <c r="O218" s="1"/>
      <c r="P218" s="1"/>
      <c r="R218" s="66"/>
      <c r="S218" s="66"/>
      <c r="T218" s="66"/>
      <c r="U218" s="66"/>
      <c r="V218" s="66"/>
      <c r="W218" s="66"/>
      <c r="X218" s="66"/>
      <c r="AJ218" t="s">
        <v>416</v>
      </c>
      <c r="AK218">
        <v>2</v>
      </c>
      <c r="AL218" s="1">
        <v>0</v>
      </c>
      <c r="AM218" s="1">
        <v>22.08</v>
      </c>
      <c r="AN218" s="1">
        <v>1323.32</v>
      </c>
      <c r="AO218" s="1">
        <v>404.57</v>
      </c>
      <c r="AP218" s="1">
        <v>103.25</v>
      </c>
      <c r="AR218" s="1">
        <v>263.33999999999997</v>
      </c>
      <c r="AS218" s="1">
        <v>692.23</v>
      </c>
      <c r="AT218" s="1">
        <v>16814.080000000002</v>
      </c>
      <c r="AU218" s="1">
        <v>3244</v>
      </c>
      <c r="AV218" s="1">
        <v>1130.3</v>
      </c>
    </row>
    <row r="219" spans="1:48" x14ac:dyDescent="0.3">
      <c r="A219" t="s">
        <v>4</v>
      </c>
      <c r="B219" s="13">
        <v>1</v>
      </c>
      <c r="C219" s="5">
        <v>0</v>
      </c>
      <c r="D219" s="27">
        <v>289</v>
      </c>
      <c r="E219" s="1">
        <v>43</v>
      </c>
      <c r="F219" s="1">
        <v>0</v>
      </c>
      <c r="G219" s="6">
        <v>7</v>
      </c>
      <c r="H219" s="1">
        <f>SUM(C219:G219)</f>
        <v>339</v>
      </c>
      <c r="I219" s="10">
        <f>D219/H219</f>
        <v>0.85250737463126847</v>
      </c>
      <c r="J219" s="11">
        <f>1-I219</f>
        <v>0.14749262536873153</v>
      </c>
      <c r="K219">
        <f>H219-D223</f>
        <v>-150</v>
      </c>
      <c r="N219" s="10">
        <f>2*(D224*I219)/(D224+I219)</f>
        <v>0.69806763285024165</v>
      </c>
      <c r="O219" s="1"/>
      <c r="P219" s="1"/>
      <c r="R219" t="s">
        <v>371</v>
      </c>
      <c r="S219" t="s">
        <v>28</v>
      </c>
      <c r="T219" s="57">
        <f>AVERAGE(T16,T26,T36,T46,T56,T66,T76,T86,T96,T106,T116,T126,T136,T146,T156,T166,T176,T186,T196,T206)</f>
        <v>1.472104236392894</v>
      </c>
      <c r="U219" s="57">
        <f>AVERAGE(U16,U26,U36,U46,U56,U66,U76,U86,U96,U106,U116,U126,U136,U146,U156,U166,U176,U186,U196,U206)</f>
        <v>5.8485657723018551</v>
      </c>
      <c r="V219" s="57">
        <f>AVERAGE(V16,V26,V36,V46,V56,V66,V76,V86,V96,V106,V116,V126,V136,V146,V156,V166,V176,V186,V196,V206)</f>
        <v>56.588671969638924</v>
      </c>
      <c r="W219" s="57">
        <f>AVERAGE(W16,W26,W36,W46,W56,W66,W76,W86,W96,W106,W116,W126,W136,W146,W156,W166,W176,W186,W196,W206)</f>
        <v>27.629880401996701</v>
      </c>
      <c r="X219" s="57">
        <f>AVERAGE(X16,X26,X36,X46,X56,X66,X76,X86,X96,X106,X116,X126,X136,X146,X156,X166,X176,X186,X196,X206)</f>
        <v>8.4607776196696314</v>
      </c>
      <c r="AJ219" t="s">
        <v>416</v>
      </c>
      <c r="AK219">
        <v>3</v>
      </c>
      <c r="AL219" s="1">
        <v>0</v>
      </c>
      <c r="AM219" s="1">
        <v>23.41</v>
      </c>
      <c r="AN219" s="1">
        <v>1318.28</v>
      </c>
      <c r="AO219" s="1">
        <v>411.91</v>
      </c>
      <c r="AP219" s="1">
        <v>99.61</v>
      </c>
      <c r="AR219" s="1">
        <v>263.7</v>
      </c>
      <c r="AS219" s="1">
        <v>734.45</v>
      </c>
      <c r="AT219" s="1">
        <v>16762.68</v>
      </c>
      <c r="AU219" s="1">
        <v>3260.29</v>
      </c>
      <c r="AV219" s="1">
        <v>1122.83</v>
      </c>
    </row>
    <row r="220" spans="1:48" x14ac:dyDescent="0.3">
      <c r="A220" t="s">
        <v>5</v>
      </c>
      <c r="B220" s="13">
        <v>2</v>
      </c>
      <c r="C220" s="5">
        <v>0</v>
      </c>
      <c r="D220" s="1">
        <v>178</v>
      </c>
      <c r="E220" s="27">
        <v>7108</v>
      </c>
      <c r="F220" s="1">
        <v>89</v>
      </c>
      <c r="G220" s="6">
        <v>24</v>
      </c>
      <c r="H220" s="1">
        <f>SUM(C220:G220)</f>
        <v>7399</v>
      </c>
      <c r="I220" s="10">
        <f>E220/H220</f>
        <v>0.96067036085957558</v>
      </c>
      <c r="J220" s="11">
        <f>1-I220</f>
        <v>3.9329639140424422E-2</v>
      </c>
      <c r="K220">
        <f>H220-E223</f>
        <v>194</v>
      </c>
      <c r="N220" s="10">
        <f>2*(E224*I220)/(E224+I220)</f>
        <v>0.97343193645576565</v>
      </c>
      <c r="O220" s="1"/>
      <c r="P220" s="1"/>
      <c r="S220" s="66" t="s">
        <v>39</v>
      </c>
      <c r="T220" s="67">
        <f t="shared" ref="T220:X228" si="36">AVERAGE(T17,T27,T37,T47,T57,T67,T77,T87,T97,T107,T117,T127,T137,T147,T157,T167,T177,T187,T197,T207)</f>
        <v>0</v>
      </c>
      <c r="U220" s="67">
        <f t="shared" si="36"/>
        <v>0.14756371442453345</v>
      </c>
      <c r="V220" s="67">
        <f t="shared" si="36"/>
        <v>0.17340272987200764</v>
      </c>
      <c r="W220" s="67">
        <f t="shared" si="36"/>
        <v>0.17596947742974325</v>
      </c>
      <c r="X220" s="67">
        <f t="shared" si="36"/>
        <v>0.16736195821532102</v>
      </c>
      <c r="AC220" t="s">
        <v>123</v>
      </c>
      <c r="AD220" t="s">
        <v>162</v>
      </c>
      <c r="AE220" t="s">
        <v>124</v>
      </c>
      <c r="AJ220" t="s">
        <v>416</v>
      </c>
      <c r="AK220">
        <v>4</v>
      </c>
      <c r="AL220" s="1">
        <v>0</v>
      </c>
      <c r="AM220" s="1">
        <v>23.24</v>
      </c>
      <c r="AN220" s="1">
        <v>1319.61</v>
      </c>
      <c r="AO220" s="1">
        <v>410.9</v>
      </c>
      <c r="AP220" s="1">
        <v>99.47</v>
      </c>
      <c r="AR220" s="1">
        <v>263.43</v>
      </c>
      <c r="AS220" s="1">
        <v>695.29</v>
      </c>
      <c r="AT220" s="1">
        <v>16748.990000000002</v>
      </c>
      <c r="AU220" s="1">
        <v>3275.96</v>
      </c>
      <c r="AV220" s="1">
        <v>1160.28</v>
      </c>
    </row>
    <row r="221" spans="1:48" x14ac:dyDescent="0.3">
      <c r="A221" t="s">
        <v>6</v>
      </c>
      <c r="B221" s="13">
        <v>3</v>
      </c>
      <c r="C221" s="5">
        <v>0</v>
      </c>
      <c r="D221" s="1">
        <v>4</v>
      </c>
      <c r="E221" s="1">
        <v>27</v>
      </c>
      <c r="F221" s="27">
        <v>2502</v>
      </c>
      <c r="G221" s="6">
        <v>70</v>
      </c>
      <c r="H221" s="1">
        <f>SUM(C221:G221)</f>
        <v>2603</v>
      </c>
      <c r="I221" s="10">
        <f>F221/H221</f>
        <v>0.96119861698040721</v>
      </c>
      <c r="J221" s="11">
        <f>1-I221</f>
        <v>3.8801383019592794E-2</v>
      </c>
      <c r="K221">
        <f>H221-F223</f>
        <v>-170</v>
      </c>
      <c r="N221" s="10">
        <f>2*(F224*I221)/(F224+I221)</f>
        <v>0.9308035714285714</v>
      </c>
      <c r="O221" s="1"/>
      <c r="P221" s="1"/>
      <c r="S221" t="s">
        <v>30</v>
      </c>
      <c r="T221" s="57">
        <f t="shared" si="36"/>
        <v>100</v>
      </c>
      <c r="U221" s="57">
        <f t="shared" si="36"/>
        <v>71.593260973467181</v>
      </c>
      <c r="V221" s="57">
        <f t="shared" si="36"/>
        <v>98.017215865025804</v>
      </c>
      <c r="W221" s="57">
        <f t="shared" si="36"/>
        <v>90.584519080199954</v>
      </c>
      <c r="X221" s="57">
        <f t="shared" si="36"/>
        <v>88.267528571441758</v>
      </c>
      <c r="AB221">
        <v>0</v>
      </c>
      <c r="AC221">
        <v>31</v>
      </c>
      <c r="AD221">
        <v>26</v>
      </c>
      <c r="AE221">
        <v>15</v>
      </c>
      <c r="AJ221" t="s">
        <v>416</v>
      </c>
      <c r="AK221">
        <v>5</v>
      </c>
      <c r="AL221" s="1">
        <v>0</v>
      </c>
      <c r="AM221" s="1">
        <v>24.8</v>
      </c>
      <c r="AN221" s="1">
        <v>1315.53</v>
      </c>
      <c r="AO221" s="1">
        <v>410.35</v>
      </c>
      <c r="AP221" s="1">
        <v>102.54</v>
      </c>
      <c r="AR221" s="1">
        <v>263.07</v>
      </c>
      <c r="AS221" s="1">
        <v>711.76</v>
      </c>
      <c r="AT221" s="1">
        <v>16731.8</v>
      </c>
      <c r="AU221" s="1">
        <v>3238.42</v>
      </c>
      <c r="AV221" s="1">
        <v>1198.9000000000001</v>
      </c>
    </row>
    <row r="222" spans="1:48" x14ac:dyDescent="0.3">
      <c r="A222" t="s">
        <v>7</v>
      </c>
      <c r="B222" s="13">
        <v>4</v>
      </c>
      <c r="C222" s="7">
        <v>0</v>
      </c>
      <c r="D222" s="8">
        <v>18</v>
      </c>
      <c r="E222" s="8">
        <v>27</v>
      </c>
      <c r="F222" s="8">
        <v>182</v>
      </c>
      <c r="G222" s="28">
        <v>733</v>
      </c>
      <c r="H222" s="1">
        <f>SUM(C222:G222)</f>
        <v>960</v>
      </c>
      <c r="I222" s="10">
        <f>G222/H222</f>
        <v>0.76354166666666667</v>
      </c>
      <c r="J222" s="11">
        <f>1-I222</f>
        <v>0.23645833333333333</v>
      </c>
      <c r="K222">
        <f>H222-G223</f>
        <v>126</v>
      </c>
      <c r="N222" s="10">
        <f>2*(G224*I222)/(G224+I222)</f>
        <v>0.81716833890746932</v>
      </c>
      <c r="O222" s="1"/>
      <c r="P222" s="1"/>
      <c r="S222" s="66" t="s">
        <v>39</v>
      </c>
      <c r="T222" s="67">
        <f t="shared" si="36"/>
        <v>0</v>
      </c>
      <c r="U222" s="67">
        <f t="shared" si="36"/>
        <v>4.7072562905440289</v>
      </c>
      <c r="V222" s="67">
        <f t="shared" si="36"/>
        <v>0.20083845955184421</v>
      </c>
      <c r="W222" s="67">
        <f t="shared" si="36"/>
        <v>0.58446874950807071</v>
      </c>
      <c r="X222" s="67">
        <f t="shared" si="36"/>
        <v>2.1395217388429457</v>
      </c>
      <c r="AB222">
        <v>1</v>
      </c>
      <c r="AC222">
        <v>60</v>
      </c>
      <c r="AD222">
        <v>55</v>
      </c>
      <c r="AE222">
        <v>44</v>
      </c>
      <c r="AJ222" t="s">
        <v>416</v>
      </c>
      <c r="AK222">
        <v>6</v>
      </c>
      <c r="AL222" s="1">
        <v>0</v>
      </c>
      <c r="AM222" s="1">
        <v>20.99</v>
      </c>
      <c r="AN222" s="1">
        <v>1318</v>
      </c>
      <c r="AO222" s="1">
        <v>412.07</v>
      </c>
      <c r="AP222" s="1">
        <v>102.16</v>
      </c>
      <c r="AR222" s="1">
        <v>265.77</v>
      </c>
      <c r="AS222" s="1">
        <v>674.22</v>
      </c>
      <c r="AT222" s="1">
        <v>16771.59</v>
      </c>
      <c r="AU222" s="1">
        <v>3325.2</v>
      </c>
      <c r="AV222" s="1">
        <v>1107.1600000000001</v>
      </c>
    </row>
    <row r="223" spans="1:48" ht="15.6" x14ac:dyDescent="0.35">
      <c r="B223" s="1" t="s">
        <v>19</v>
      </c>
      <c r="C223" s="1">
        <f>SUM(C218:C222)</f>
        <v>259</v>
      </c>
      <c r="D223" s="1">
        <f>SUM(D218:D222)</f>
        <v>489</v>
      </c>
      <c r="E223" s="1">
        <f>SUM(E218:E222)</f>
        <v>7205</v>
      </c>
      <c r="F223" s="1">
        <f>SUM(F218:F222)</f>
        <v>2773</v>
      </c>
      <c r="G223" s="1">
        <f>SUM(G218:G222)</f>
        <v>834</v>
      </c>
      <c r="H223" s="1">
        <f>SUM(H217:H222)</f>
        <v>11560</v>
      </c>
      <c r="I223" s="13" t="s">
        <v>12</v>
      </c>
      <c r="N223" s="16"/>
      <c r="O223" s="1"/>
      <c r="P223" s="1"/>
      <c r="S223" s="15" t="s">
        <v>31</v>
      </c>
      <c r="T223" s="71">
        <f t="shared" si="36"/>
        <v>100</v>
      </c>
      <c r="U223" s="71">
        <f t="shared" si="36"/>
        <v>85.840707964601748</v>
      </c>
      <c r="V223" s="71">
        <f t="shared" si="36"/>
        <v>95.992025949452625</v>
      </c>
      <c r="W223" s="71">
        <f t="shared" si="36"/>
        <v>96.058394160583916</v>
      </c>
      <c r="X223" s="71">
        <f t="shared" si="36"/>
        <v>76.088541666666671</v>
      </c>
      <c r="AB223">
        <v>2</v>
      </c>
      <c r="AC223">
        <v>89</v>
      </c>
      <c r="AD223">
        <v>84</v>
      </c>
      <c r="AE223">
        <v>73</v>
      </c>
      <c r="AJ223" t="s">
        <v>416</v>
      </c>
      <c r="AK223">
        <v>7</v>
      </c>
      <c r="AL223" s="1">
        <v>0</v>
      </c>
      <c r="AM223" s="1">
        <v>21.59</v>
      </c>
      <c r="AN223" s="1">
        <v>1322.69</v>
      </c>
      <c r="AO223" s="1">
        <v>410.85</v>
      </c>
      <c r="AP223" s="1">
        <v>98.09</v>
      </c>
      <c r="AR223" s="1">
        <v>263.07</v>
      </c>
      <c r="AS223" s="1">
        <v>672.15</v>
      </c>
      <c r="AT223" s="1">
        <v>16785.27</v>
      </c>
      <c r="AU223" s="1">
        <v>3233.74</v>
      </c>
      <c r="AV223" s="1">
        <v>1189.72</v>
      </c>
    </row>
    <row r="224" spans="1:48" x14ac:dyDescent="0.3">
      <c r="A224" s="1" t="s">
        <v>321</v>
      </c>
      <c r="B224" s="1" t="s">
        <v>2</v>
      </c>
      <c r="C224" s="10">
        <f>C218/C223</f>
        <v>1</v>
      </c>
      <c r="D224" s="10">
        <f>D219/D223</f>
        <v>0.59100204498977504</v>
      </c>
      <c r="E224" s="10">
        <f>E220/E223</f>
        <v>0.98653712699514229</v>
      </c>
      <c r="F224" s="10">
        <f>F221/F223</f>
        <v>0.90227190768121168</v>
      </c>
      <c r="G224" s="10">
        <f>G222/G223</f>
        <v>0.87889688249400477</v>
      </c>
      <c r="H224" s="10"/>
      <c r="I224" s="14">
        <f>(C218+D219+E220+F221+G222)/H223</f>
        <v>0.94212802768166093</v>
      </c>
      <c r="S224" s="75" t="s">
        <v>39</v>
      </c>
      <c r="T224" s="76">
        <f t="shared" si="36"/>
        <v>0</v>
      </c>
      <c r="U224" s="76">
        <f t="shared" si="36"/>
        <v>1.8954702337030771</v>
      </c>
      <c r="V224" s="76">
        <f t="shared" si="36"/>
        <v>0.22800465295393185</v>
      </c>
      <c r="W224" s="76">
        <f t="shared" si="36"/>
        <v>0.38128544332372066</v>
      </c>
      <c r="X224" s="76">
        <f t="shared" si="36"/>
        <v>1.3766505121009374</v>
      </c>
      <c r="AB224">
        <v>3</v>
      </c>
      <c r="AC224">
        <v>118</v>
      </c>
      <c r="AD224">
        <v>113</v>
      </c>
      <c r="AE224">
        <v>102</v>
      </c>
      <c r="AJ224" t="s">
        <v>416</v>
      </c>
      <c r="AK224">
        <v>8</v>
      </c>
      <c r="AL224" s="1">
        <v>0</v>
      </c>
      <c r="AM224" s="1">
        <v>21.8</v>
      </c>
      <c r="AN224" s="1">
        <v>1327.67</v>
      </c>
      <c r="AO224" s="1">
        <v>405.39</v>
      </c>
      <c r="AP224" s="1">
        <v>98.36</v>
      </c>
      <c r="AR224" s="1">
        <v>263.7</v>
      </c>
      <c r="AS224" s="1">
        <v>746.88</v>
      </c>
      <c r="AT224" s="1">
        <v>16762.59</v>
      </c>
      <c r="AU224" s="1">
        <v>3218.25</v>
      </c>
      <c r="AV224" s="1">
        <v>1152.54</v>
      </c>
    </row>
    <row r="225" spans="1:48" x14ac:dyDescent="0.3">
      <c r="B225" s="1" t="s">
        <v>14</v>
      </c>
      <c r="C225" s="11">
        <f>1-C224</f>
        <v>0</v>
      </c>
      <c r="D225" s="11">
        <f>1-D224</f>
        <v>0.40899795501022496</v>
      </c>
      <c r="E225" s="11">
        <f>1-E224</f>
        <v>1.3462873004857712E-2</v>
      </c>
      <c r="F225" s="11">
        <f>1-F224</f>
        <v>9.7728092318788318E-2</v>
      </c>
      <c r="G225" s="11">
        <f>1-G224</f>
        <v>0.12110311750599523</v>
      </c>
      <c r="S225" s="66" t="s">
        <v>56</v>
      </c>
      <c r="T225" s="67">
        <f t="shared" si="36"/>
        <v>100</v>
      </c>
      <c r="U225" s="67">
        <f t="shared" si="36"/>
        <v>69.680454977547612</v>
      </c>
      <c r="V225" s="67">
        <f t="shared" si="36"/>
        <v>97.324807977432116</v>
      </c>
      <c r="W225" s="67">
        <f t="shared" si="36"/>
        <v>92.95522768702844</v>
      </c>
      <c r="X225" s="67">
        <f t="shared" si="36"/>
        <v>81.542196222489622</v>
      </c>
      <c r="AB225">
        <v>4</v>
      </c>
      <c r="AC225">
        <v>147</v>
      </c>
      <c r="AD225">
        <v>142</v>
      </c>
      <c r="AE225">
        <v>131</v>
      </c>
      <c r="AJ225" t="s">
        <v>416</v>
      </c>
      <c r="AK225">
        <v>9</v>
      </c>
      <c r="AL225" s="1">
        <v>0</v>
      </c>
      <c r="AM225" s="1">
        <v>23.15</v>
      </c>
      <c r="AN225" s="1">
        <v>1320.98</v>
      </c>
      <c r="AO225" s="1">
        <v>406.91</v>
      </c>
      <c r="AP225" s="1">
        <v>102.18</v>
      </c>
      <c r="AR225" s="1">
        <v>262.89</v>
      </c>
      <c r="AS225" s="1">
        <v>706.27</v>
      </c>
      <c r="AT225" s="1">
        <v>16776.45</v>
      </c>
      <c r="AU225" s="1">
        <v>3208.08</v>
      </c>
      <c r="AV225" s="1">
        <v>1190.26</v>
      </c>
    </row>
    <row r="226" spans="1:48" x14ac:dyDescent="0.3">
      <c r="C226" s="2"/>
      <c r="R226" s="16" t="s">
        <v>66</v>
      </c>
      <c r="S226" t="s">
        <v>9</v>
      </c>
      <c r="T226" s="1">
        <f t="shared" si="36"/>
        <v>2916.5530000000003</v>
      </c>
      <c r="U226" s="1">
        <f t="shared" si="36"/>
        <v>9662.0694999999996</v>
      </c>
      <c r="V226" s="1">
        <f t="shared" si="36"/>
        <v>114479.20899999999</v>
      </c>
      <c r="W226" s="1">
        <f t="shared" si="36"/>
        <v>51620.602999999996</v>
      </c>
      <c r="X226" s="1">
        <f t="shared" si="36"/>
        <v>19442.93</v>
      </c>
      <c r="AB226">
        <v>5</v>
      </c>
      <c r="AC226">
        <v>176</v>
      </c>
      <c r="AD226">
        <v>171</v>
      </c>
      <c r="AE226">
        <v>160</v>
      </c>
      <c r="AJ226" t="s">
        <v>416</v>
      </c>
      <c r="AK226">
        <v>10</v>
      </c>
      <c r="AL226" s="1">
        <v>0</v>
      </c>
      <c r="AM226" s="1">
        <v>21.72</v>
      </c>
      <c r="AN226" s="1">
        <v>1327.33</v>
      </c>
      <c r="AO226" s="1">
        <v>405.73</v>
      </c>
      <c r="AP226" s="1">
        <v>98.44</v>
      </c>
      <c r="AR226" s="1">
        <v>262.8</v>
      </c>
      <c r="AS226" s="1">
        <v>708.79</v>
      </c>
      <c r="AT226" s="1">
        <v>16794.73</v>
      </c>
      <c r="AU226" s="1">
        <v>3228.96</v>
      </c>
      <c r="AV226" s="1">
        <v>1148.67</v>
      </c>
    </row>
    <row r="227" spans="1:48" ht="15.6" x14ac:dyDescent="0.35">
      <c r="A227" t="s">
        <v>322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323</v>
      </c>
      <c r="S227" t="s">
        <v>68</v>
      </c>
      <c r="T227" s="57">
        <f>AVERAGE(T24,T34,T44,T54,T64,T74,T84,T94,T104,T114,T124,T134,T144,T154,T164,T174,T184,T194,T204,T214)</f>
        <v>2916.5530000000003</v>
      </c>
      <c r="U227" s="57">
        <f t="shared" si="36"/>
        <v>11587.258310325064</v>
      </c>
      <c r="V227" s="57">
        <f t="shared" si="36"/>
        <v>112114.24906226745</v>
      </c>
      <c r="W227" s="57">
        <f t="shared" si="36"/>
        <v>54740.696061417635</v>
      </c>
      <c r="X227" s="57">
        <f t="shared" si="36"/>
        <v>16762.608065989854</v>
      </c>
      <c r="AB227">
        <v>6</v>
      </c>
      <c r="AC227">
        <v>205</v>
      </c>
      <c r="AD227">
        <v>200</v>
      </c>
      <c r="AE227">
        <v>189</v>
      </c>
      <c r="AJ227" t="s">
        <v>416</v>
      </c>
      <c r="AK227">
        <v>11</v>
      </c>
      <c r="AL227" s="1">
        <v>0</v>
      </c>
      <c r="AM227" s="1">
        <v>23.34</v>
      </c>
      <c r="AN227" s="1">
        <v>1323.42</v>
      </c>
      <c r="AO227" s="1">
        <v>407.05</v>
      </c>
      <c r="AP227" s="1">
        <v>99.42</v>
      </c>
      <c r="AR227" s="1">
        <v>263.88</v>
      </c>
      <c r="AS227" s="1">
        <v>713.75</v>
      </c>
      <c r="AT227" s="1">
        <v>16783.29</v>
      </c>
      <c r="AU227" s="1">
        <v>3232.75</v>
      </c>
      <c r="AV227" s="1">
        <v>1150.29</v>
      </c>
    </row>
    <row r="228" spans="1:48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67</v>
      </c>
      <c r="T228" s="67">
        <f>AVERAGE(T25,T35,T45,T55,T65,T75,T85,T95,T105,T115,T125,T135,T145,T155,T165,T175,T185,T195,T205,T215)</f>
        <v>0</v>
      </c>
      <c r="U228" s="67">
        <f t="shared" si="36"/>
        <v>292.35524454073391</v>
      </c>
      <c r="V228" s="67">
        <f t="shared" si="36"/>
        <v>343.54785445000959</v>
      </c>
      <c r="W228" s="67">
        <f t="shared" si="36"/>
        <v>348.63312977248779</v>
      </c>
      <c r="X228" s="67">
        <f t="shared" si="36"/>
        <v>331.579795220542</v>
      </c>
      <c r="AB228">
        <v>7</v>
      </c>
      <c r="AC228">
        <v>234</v>
      </c>
      <c r="AD228">
        <v>229</v>
      </c>
      <c r="AE228">
        <v>218</v>
      </c>
      <c r="AJ228" t="s">
        <v>416</v>
      </c>
      <c r="AK228">
        <v>12</v>
      </c>
      <c r="AL228" s="1">
        <v>0</v>
      </c>
      <c r="AM228" s="1">
        <v>22.32</v>
      </c>
      <c r="AN228" s="1">
        <v>1316.02</v>
      </c>
      <c r="AO228" s="1">
        <v>411.5</v>
      </c>
      <c r="AP228" s="1">
        <v>103.39</v>
      </c>
      <c r="AR228" s="1">
        <v>265.32</v>
      </c>
      <c r="AS228" s="1">
        <v>726.53</v>
      </c>
      <c r="AT228" s="1">
        <v>16738.82</v>
      </c>
      <c r="AU228" s="1">
        <v>3293.06</v>
      </c>
      <c r="AV228" s="1">
        <v>1120.22</v>
      </c>
    </row>
    <row r="229" spans="1:48" x14ac:dyDescent="0.3">
      <c r="A229" t="s">
        <v>3</v>
      </c>
      <c r="B229" s="13">
        <v>0</v>
      </c>
      <c r="C229" s="29">
        <f>(C218/$L229)*$O229</f>
        <v>1.478568489535909</v>
      </c>
      <c r="D229" s="31">
        <f>(D218/$L229)*$O229</f>
        <v>0</v>
      </c>
      <c r="E229" s="31">
        <f>(E218/$L229)*$O229</f>
        <v>0</v>
      </c>
      <c r="F229" s="31">
        <f>(F218/$L229)*$O229</f>
        <v>0</v>
      </c>
      <c r="G229" s="32">
        <f>(G218/$L229)*$O229</f>
        <v>0</v>
      </c>
      <c r="H229" s="17">
        <f>SUM(C229:G229)</f>
        <v>1.478568489535909</v>
      </c>
      <c r="I229" s="17">
        <f>C229/H229*100</f>
        <v>100</v>
      </c>
      <c r="J229" s="17">
        <f>SQRT(I229*(100-I229)/(L229-1))</f>
        <v>0</v>
      </c>
      <c r="K229" s="18">
        <f>100-I229</f>
        <v>0</v>
      </c>
      <c r="L229" s="1">
        <f>H218</f>
        <v>259</v>
      </c>
      <c r="M229">
        <v>0</v>
      </c>
      <c r="N229" s="1">
        <v>2929.36</v>
      </c>
      <c r="O229" s="17">
        <f>N229/N234*100</f>
        <v>1.478568489535909</v>
      </c>
      <c r="P229" s="52">
        <f>((O229*O229*(I229/100)*(K229/100))/(L229-1))</f>
        <v>0</v>
      </c>
      <c r="AB229">
        <v>8</v>
      </c>
      <c r="AC229">
        <v>263</v>
      </c>
      <c r="AD229">
        <v>258</v>
      </c>
      <c r="AE229">
        <v>247</v>
      </c>
      <c r="AJ229" t="s">
        <v>416</v>
      </c>
      <c r="AK229">
        <v>13</v>
      </c>
      <c r="AL229" s="1">
        <v>0</v>
      </c>
      <c r="AM229" s="1">
        <v>24.72</v>
      </c>
      <c r="AN229" s="1">
        <v>1319.38</v>
      </c>
      <c r="AO229" s="1">
        <v>407.59</v>
      </c>
      <c r="AP229" s="1">
        <v>101.53</v>
      </c>
      <c r="AR229" s="1">
        <v>263.88</v>
      </c>
      <c r="AS229" s="1">
        <v>741.02</v>
      </c>
      <c r="AT229" s="1">
        <v>16762.05</v>
      </c>
      <c r="AU229" s="1">
        <v>3241.66</v>
      </c>
      <c r="AV229" s="1">
        <v>1135.3399999999999</v>
      </c>
    </row>
    <row r="230" spans="1:48" x14ac:dyDescent="0.3">
      <c r="A230" t="s">
        <v>4</v>
      </c>
      <c r="B230" s="13">
        <v>1</v>
      </c>
      <c r="C230" s="33">
        <f t="shared" ref="C230:G233" si="37">(C219/$L230)*$O230</f>
        <v>0</v>
      </c>
      <c r="D230" s="34">
        <f t="shared" si="37"/>
        <v>4.0306299528006715</v>
      </c>
      <c r="E230" s="19">
        <f t="shared" si="37"/>
        <v>0.59971310716411375</v>
      </c>
      <c r="F230" s="18">
        <f t="shared" si="37"/>
        <v>0</v>
      </c>
      <c r="G230" s="20">
        <f t="shared" si="37"/>
        <v>9.7627715119739444E-2</v>
      </c>
      <c r="H230" s="17">
        <f>SUM(C230:G230)</f>
        <v>4.7279707750845246</v>
      </c>
      <c r="I230" s="17">
        <f>D230/H230*100</f>
        <v>85.250737463126853</v>
      </c>
      <c r="J230" s="17">
        <f>SQRT(I230*(100-I230)/(L230-1))</f>
        <v>1.9287497163603353</v>
      </c>
      <c r="K230" s="18">
        <f>100-I230</f>
        <v>14.749262536873147</v>
      </c>
      <c r="L230" s="1">
        <f>H219</f>
        <v>339</v>
      </c>
      <c r="M230">
        <v>1</v>
      </c>
      <c r="N230" s="1">
        <v>9367.1200000000008</v>
      </c>
      <c r="O230" s="17">
        <f>N230/N234*100</f>
        <v>4.7279707750845246</v>
      </c>
      <c r="P230" s="52">
        <f>((O230*O230*(I230/100)*(K230/100))/(L230-1))</f>
        <v>8.3157479455856428E-3</v>
      </c>
      <c r="S230" t="s">
        <v>69</v>
      </c>
      <c r="T230" s="1" t="s">
        <v>418</v>
      </c>
      <c r="U230" s="1" t="s">
        <v>419</v>
      </c>
      <c r="V230" s="1" t="s">
        <v>420</v>
      </c>
      <c r="W230" s="1" t="s">
        <v>421</v>
      </c>
      <c r="X230" s="1" t="s">
        <v>422</v>
      </c>
      <c r="AB230">
        <v>9</v>
      </c>
      <c r="AC230">
        <v>292</v>
      </c>
      <c r="AD230">
        <v>287</v>
      </c>
      <c r="AE230">
        <v>276</v>
      </c>
      <c r="AJ230" t="s">
        <v>416</v>
      </c>
      <c r="AK230">
        <v>14</v>
      </c>
      <c r="AL230" s="1">
        <v>0</v>
      </c>
      <c r="AM230" s="1">
        <v>22.95</v>
      </c>
      <c r="AN230" s="1">
        <v>1318.35</v>
      </c>
      <c r="AO230" s="1">
        <v>413.02</v>
      </c>
      <c r="AP230" s="1">
        <v>98.91</v>
      </c>
      <c r="AR230" s="1">
        <v>265.32</v>
      </c>
      <c r="AS230" s="1">
        <v>741.47</v>
      </c>
      <c r="AT230" s="1">
        <v>16723.150000000001</v>
      </c>
      <c r="AU230" s="1">
        <v>3274.79</v>
      </c>
      <c r="AV230" s="1">
        <v>1139.22</v>
      </c>
    </row>
    <row r="231" spans="1:48" x14ac:dyDescent="0.3">
      <c r="A231" t="s">
        <v>5</v>
      </c>
      <c r="B231" s="13">
        <v>2</v>
      </c>
      <c r="C231" s="33">
        <f t="shared" si="37"/>
        <v>0</v>
      </c>
      <c r="D231" s="19">
        <f t="shared" si="37"/>
        <v>1.3874327659343362</v>
      </c>
      <c r="E231" s="34">
        <f t="shared" si="37"/>
        <v>55.403775844164386</v>
      </c>
      <c r="F231" s="19">
        <f t="shared" si="37"/>
        <v>0.69371638296716809</v>
      </c>
      <c r="G231" s="20">
        <f t="shared" si="37"/>
        <v>0.18706958641811272</v>
      </c>
      <c r="H231" s="17">
        <f>SUM(C231:G231)</f>
        <v>57.671994579484</v>
      </c>
      <c r="I231" s="17">
        <f>E231/H231*100</f>
        <v>96.067036085957568</v>
      </c>
      <c r="J231" s="17">
        <f>SQRT(I231*(100-I231)/(L231-1))</f>
        <v>0.22599041165602582</v>
      </c>
      <c r="K231" s="18">
        <f>100-I231</f>
        <v>3.932963914042432</v>
      </c>
      <c r="L231" s="1">
        <f>H220</f>
        <v>7399</v>
      </c>
      <c r="M231">
        <v>2</v>
      </c>
      <c r="N231" s="1">
        <v>114260.54</v>
      </c>
      <c r="O231" s="17">
        <f>N231/N234*100</f>
        <v>57.671994579484007</v>
      </c>
      <c r="P231" s="52">
        <f>((O231*O231*(I231/100)*(K231/100))/(L231-1))</f>
        <v>1.6986737277261681E-2</v>
      </c>
      <c r="T231" s="57">
        <f>T24</f>
        <v>2921.16</v>
      </c>
      <c r="U231" s="57">
        <f>U24</f>
        <v>11589.091565306313</v>
      </c>
      <c r="V231" s="57">
        <f>V24</f>
        <v>112821.50167716421</v>
      </c>
      <c r="W231" s="57">
        <f>W24</f>
        <v>54319.617863163054</v>
      </c>
      <c r="X231" s="57">
        <f>X24</f>
        <v>16469.998894366439</v>
      </c>
      <c r="AB231">
        <v>10</v>
      </c>
      <c r="AC231">
        <v>321</v>
      </c>
      <c r="AD231">
        <v>316</v>
      </c>
      <c r="AE231">
        <v>305</v>
      </c>
      <c r="AJ231" t="s">
        <v>416</v>
      </c>
      <c r="AK231">
        <v>15</v>
      </c>
      <c r="AL231" s="1">
        <v>0.09</v>
      </c>
      <c r="AM231" s="1">
        <v>20.53</v>
      </c>
      <c r="AN231" s="1">
        <v>1325.85</v>
      </c>
      <c r="AO231" s="1">
        <v>407.29</v>
      </c>
      <c r="AP231" s="1">
        <v>99.46</v>
      </c>
      <c r="AR231" s="1">
        <v>266.58</v>
      </c>
      <c r="AS231" s="1">
        <v>711.31</v>
      </c>
      <c r="AT231" s="1">
        <v>16789.86</v>
      </c>
      <c r="AU231" s="1">
        <v>3248.86</v>
      </c>
      <c r="AV231" s="1">
        <v>1127.33</v>
      </c>
    </row>
    <row r="232" spans="1:48" x14ac:dyDescent="0.3">
      <c r="A232" t="s">
        <v>6</v>
      </c>
      <c r="B232" s="13">
        <v>3</v>
      </c>
      <c r="C232" s="33">
        <f t="shared" si="37"/>
        <v>0</v>
      </c>
      <c r="D232" s="19">
        <f t="shared" si="37"/>
        <v>4.0013689860906108E-2</v>
      </c>
      <c r="E232" s="19">
        <f t="shared" si="37"/>
        <v>0.27009240656111627</v>
      </c>
      <c r="F232" s="34">
        <f t="shared" si="37"/>
        <v>25.02856300799677</v>
      </c>
      <c r="G232" s="20">
        <f t="shared" si="37"/>
        <v>0.70023957256585689</v>
      </c>
      <c r="H232" s="17">
        <f>SUM(C232:G232)</f>
        <v>26.038908676984647</v>
      </c>
      <c r="I232" s="17">
        <f>F232/H232*100</f>
        <v>96.119861698040737</v>
      </c>
      <c r="J232" s="17">
        <f>SQRT(I232*(100-I232)/(L232-1))</f>
        <v>0.37859643951024774</v>
      </c>
      <c r="K232" s="18">
        <f>100-I232</f>
        <v>3.8801383019592635</v>
      </c>
      <c r="L232" s="1">
        <f>H221</f>
        <v>2603</v>
      </c>
      <c r="M232">
        <v>3</v>
      </c>
      <c r="N232" s="1">
        <v>51588.639999999999</v>
      </c>
      <c r="O232" s="17">
        <f>N232/N234*100</f>
        <v>26.038908676984651</v>
      </c>
      <c r="P232" s="52">
        <f>((O232*O232*(I232/100)*(K232/100))/(L232-1))</f>
        <v>9.7184858709145634E-3</v>
      </c>
      <c r="T232" s="57">
        <f>T34</f>
        <v>2912.25</v>
      </c>
      <c r="U232" s="57">
        <f>U34</f>
        <v>11074.400848914382</v>
      </c>
      <c r="V232" s="57">
        <f>V34</f>
        <v>112151.48614858827</v>
      </c>
      <c r="W232" s="57">
        <f>W34</f>
        <v>54551.893443920118</v>
      </c>
      <c r="X232" s="57">
        <f>X34</f>
        <v>17431.339558577238</v>
      </c>
      <c r="AB232">
        <v>11</v>
      </c>
      <c r="AC232">
        <v>350</v>
      </c>
      <c r="AD232">
        <v>345</v>
      </c>
      <c r="AE232">
        <v>334</v>
      </c>
      <c r="AJ232" t="s">
        <v>416</v>
      </c>
      <c r="AK232">
        <v>16</v>
      </c>
      <c r="AL232" s="1">
        <v>0</v>
      </c>
      <c r="AM232" s="1">
        <v>21.86</v>
      </c>
      <c r="AN232" s="1">
        <v>1323.93</v>
      </c>
      <c r="AO232" s="1">
        <v>411.77</v>
      </c>
      <c r="AP232" s="1">
        <v>95.65</v>
      </c>
      <c r="AR232" s="1">
        <v>263.7</v>
      </c>
      <c r="AS232" s="1">
        <v>692.23</v>
      </c>
      <c r="AT232" s="1">
        <v>16780.32</v>
      </c>
      <c r="AU232" s="1">
        <v>3285.32</v>
      </c>
      <c r="AV232" s="1">
        <v>1122.3800000000001</v>
      </c>
    </row>
    <row r="233" spans="1:48" x14ac:dyDescent="0.3">
      <c r="A233" t="s">
        <v>7</v>
      </c>
      <c r="B233" s="13">
        <v>4</v>
      </c>
      <c r="C233" s="35">
        <f t="shared" si="37"/>
        <v>0</v>
      </c>
      <c r="D233" s="36">
        <f t="shared" si="37"/>
        <v>0.1890479527295795</v>
      </c>
      <c r="E233" s="21">
        <f t="shared" si="37"/>
        <v>0.28357192909436929</v>
      </c>
      <c r="F233" s="21">
        <f t="shared" si="37"/>
        <v>1.9114848553768593</v>
      </c>
      <c r="G233" s="37">
        <f t="shared" si="37"/>
        <v>7.6984527417100992</v>
      </c>
      <c r="H233" s="17">
        <f>SUM(C233:G233)</f>
        <v>10.082557478910907</v>
      </c>
      <c r="I233" s="17">
        <f>G233/H233*100</f>
        <v>76.354166666666671</v>
      </c>
      <c r="J233" s="17">
        <f>SQRT(I233*(100-I233)/(L233-1))</f>
        <v>1.3720956241379361</v>
      </c>
      <c r="K233" s="18">
        <f>100-I233</f>
        <v>23.645833333333329</v>
      </c>
      <c r="L233" s="1">
        <f>H222</f>
        <v>960</v>
      </c>
      <c r="M233">
        <v>4</v>
      </c>
      <c r="N233" s="1">
        <v>19975.7</v>
      </c>
      <c r="O233" s="17">
        <f>N233/N234*100</f>
        <v>10.082557478910907</v>
      </c>
      <c r="P233" s="52">
        <f>((O233*O233*(I233/100)*(K233/100))/(L233-1))</f>
        <v>1.9138600261342641E-2</v>
      </c>
      <c r="T233" s="57">
        <f>T44</f>
        <v>2915.58</v>
      </c>
      <c r="U233" s="57">
        <f>U44</f>
        <v>11751.597269617423</v>
      </c>
      <c r="V233" s="57">
        <f>V44</f>
        <v>112192.82441024524</v>
      </c>
      <c r="W233" s="57">
        <f>W44</f>
        <v>54311.510455593845</v>
      </c>
      <c r="X233" s="57">
        <f>X44</f>
        <v>16949.847864543459</v>
      </c>
      <c r="AB233">
        <v>12</v>
      </c>
      <c r="AC233">
        <v>379</v>
      </c>
      <c r="AD233">
        <v>374</v>
      </c>
      <c r="AE233">
        <v>363</v>
      </c>
      <c r="AJ233" t="s">
        <v>416</v>
      </c>
      <c r="AK233">
        <v>17</v>
      </c>
      <c r="AL233" s="1">
        <v>0.09</v>
      </c>
      <c r="AM233" s="1">
        <v>22.45</v>
      </c>
      <c r="AN233" s="1">
        <v>1319.85</v>
      </c>
      <c r="AO233" s="1">
        <v>411.54</v>
      </c>
      <c r="AP233" s="1">
        <v>99.29</v>
      </c>
      <c r="AR233" s="1">
        <v>265.58999999999997</v>
      </c>
      <c r="AS233" s="1">
        <v>724.37</v>
      </c>
      <c r="AT233" s="1">
        <v>16739.810000000001</v>
      </c>
      <c r="AU233" s="1">
        <v>3278.39</v>
      </c>
      <c r="AV233" s="1">
        <v>1135.79</v>
      </c>
    </row>
    <row r="234" spans="1:48" x14ac:dyDescent="0.3">
      <c r="B234" t="s">
        <v>28</v>
      </c>
      <c r="C234" s="17">
        <f>SUM(C229:C233)</f>
        <v>1.478568489535909</v>
      </c>
      <c r="D234" s="17">
        <f>SUM(D229:D233)</f>
        <v>5.6471243613254929</v>
      </c>
      <c r="E234" s="17">
        <f>SUM(E229:E233)</f>
        <v>56.55715328698399</v>
      </c>
      <c r="F234" s="17">
        <f>SUM(F229:F233)</f>
        <v>27.633764246340796</v>
      </c>
      <c r="G234" s="17">
        <f>SUM(G229:G233)</f>
        <v>8.6833896158138089</v>
      </c>
      <c r="H234" s="1">
        <f>SUM(H228:H233)</f>
        <v>99.999999999999972</v>
      </c>
      <c r="I234" s="13" t="s">
        <v>24</v>
      </c>
      <c r="J234" s="12" t="s">
        <v>29</v>
      </c>
      <c r="N234" s="1">
        <f>SUM(N229:N233)</f>
        <v>198121.36</v>
      </c>
      <c r="O234" s="17">
        <f>SUM(O229:O233)</f>
        <v>100</v>
      </c>
      <c r="T234" s="57">
        <f>T54</f>
        <v>2920.44</v>
      </c>
      <c r="U234" s="57">
        <f>U54</f>
        <v>11928.434173979662</v>
      </c>
      <c r="V234" s="57">
        <f>V54</f>
        <v>111893.4070721223</v>
      </c>
      <c r="W234" s="57">
        <f>W54</f>
        <v>54574.021080157763</v>
      </c>
      <c r="X234" s="57">
        <f>X54</f>
        <v>16805.057673740281</v>
      </c>
      <c r="AB234">
        <v>13</v>
      </c>
      <c r="AC234">
        <v>408</v>
      </c>
      <c r="AD234">
        <v>403</v>
      </c>
      <c r="AE234">
        <v>392</v>
      </c>
      <c r="AJ234" t="s">
        <v>416</v>
      </c>
      <c r="AK234">
        <v>18</v>
      </c>
      <c r="AL234" s="1">
        <v>0</v>
      </c>
      <c r="AM234" s="1">
        <v>24.14</v>
      </c>
      <c r="AN234" s="1">
        <v>1317.66</v>
      </c>
      <c r="AO234" s="1">
        <v>410.4</v>
      </c>
      <c r="AP234" s="1">
        <v>101.01</v>
      </c>
      <c r="AR234" s="1">
        <v>264.14999999999998</v>
      </c>
      <c r="AS234" s="1">
        <v>708.16</v>
      </c>
      <c r="AT234" s="1">
        <v>16736.57</v>
      </c>
      <c r="AU234" s="1">
        <v>3288.65</v>
      </c>
      <c r="AV234" s="1">
        <v>1146.42</v>
      </c>
    </row>
    <row r="235" spans="1:48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0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0.14557961927696403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0.17278865338861793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0.17699321246108882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0.16947554430513806</v>
      </c>
      <c r="H235" s="1"/>
      <c r="I235" s="14">
        <f>(C229+D230+E231+F232+G233)/H234</f>
        <v>0.93639990036207865</v>
      </c>
      <c r="J235" s="53">
        <f>SQRT(SUM(P229:P233))/100</f>
        <v>2.3272209038916899E-3</v>
      </c>
      <c r="M235" s="1"/>
      <c r="N235" s="9"/>
      <c r="T235" s="57">
        <f>T64</f>
        <v>2917.11</v>
      </c>
      <c r="U235" s="57">
        <f>U64</f>
        <v>11449.448406019686</v>
      </c>
      <c r="V235" s="57">
        <f>V64</f>
        <v>111992.82472388282</v>
      </c>
      <c r="W235" s="57">
        <f>W64</f>
        <v>54755.078340973327</v>
      </c>
      <c r="X235" s="57">
        <f>X64</f>
        <v>17006.898529124166</v>
      </c>
      <c r="AB235">
        <v>14</v>
      </c>
      <c r="AC235">
        <v>437</v>
      </c>
      <c r="AD235">
        <v>432</v>
      </c>
      <c r="AE235">
        <v>421</v>
      </c>
      <c r="AJ235" t="s">
        <v>416</v>
      </c>
      <c r="AK235">
        <v>19</v>
      </c>
      <c r="AL235" s="1">
        <v>0</v>
      </c>
      <c r="AM235" s="1">
        <v>23.03</v>
      </c>
      <c r="AN235" s="1">
        <v>1321.29</v>
      </c>
      <c r="AO235" s="1">
        <v>405.44</v>
      </c>
      <c r="AP235" s="1">
        <v>103.46</v>
      </c>
      <c r="AR235" s="1">
        <v>263.79000000000002</v>
      </c>
      <c r="AS235" s="1">
        <v>717.44</v>
      </c>
      <c r="AT235" s="1">
        <v>16721.8</v>
      </c>
      <c r="AU235" s="1">
        <v>3251.74</v>
      </c>
      <c r="AV235" s="1">
        <v>1189.18</v>
      </c>
    </row>
    <row r="236" spans="1:48" x14ac:dyDescent="0.3">
      <c r="B236" s="1" t="s">
        <v>30</v>
      </c>
      <c r="C236" s="17">
        <f>C229/C234*100</f>
        <v>100</v>
      </c>
      <c r="D236" s="17">
        <f>D230/D234*100</f>
        <v>71.374910395183903</v>
      </c>
      <c r="E236" s="17">
        <f>E231/E234*100</f>
        <v>97.960686887886482</v>
      </c>
      <c r="F236" s="17">
        <f>F232/F234*100</f>
        <v>90.572398262068106</v>
      </c>
      <c r="G236" s="17">
        <f>G233/G234*100</f>
        <v>88.657230440172981</v>
      </c>
      <c r="H236" s="1"/>
      <c r="T236" s="57">
        <f>T74</f>
        <v>2909.82</v>
      </c>
      <c r="U236" s="57">
        <f>U74</f>
        <v>11658.501627763464</v>
      </c>
      <c r="V236" s="57">
        <f>V74</f>
        <v>112081.52271017776</v>
      </c>
      <c r="W236" s="57">
        <f>W74</f>
        <v>54116.270401452202</v>
      </c>
      <c r="X236" s="57">
        <f>X74</f>
        <v>17355.245260606582</v>
      </c>
      <c r="AB236">
        <v>15</v>
      </c>
      <c r="AC236">
        <v>466</v>
      </c>
      <c r="AD236">
        <v>461</v>
      </c>
      <c r="AE236">
        <v>450</v>
      </c>
    </row>
    <row r="237" spans="1:48" x14ac:dyDescent="0.3">
      <c r="B237" s="16" t="s">
        <v>39</v>
      </c>
      <c r="C237" s="18">
        <f>SQRT((C240+C241)/(C234*C234))</f>
        <v>0</v>
      </c>
      <c r="D237" s="18">
        <f>SQRT((D240+D241)/(D234*D234))</f>
        <v>4.8403021544200362</v>
      </c>
      <c r="E237" s="18">
        <f>SQRT((E240+E241)/(E234*E234))</f>
        <v>0.2022388886663824</v>
      </c>
      <c r="F237" s="18">
        <f>SQRT((F240+F241)/(F234*F234))</f>
        <v>0.58777020057779239</v>
      </c>
      <c r="G237" s="18">
        <f>SQRT((G240+G241)/(G234*G234))</f>
        <v>2.0657780830519421</v>
      </c>
      <c r="H237" s="1"/>
      <c r="T237" s="57">
        <f>T84</f>
        <v>2923.32</v>
      </c>
      <c r="U237" s="57">
        <f>U84</f>
        <v>11153.576637228507</v>
      </c>
      <c r="V237" s="57">
        <f>V84</f>
        <v>112435.83413169727</v>
      </c>
      <c r="W237" s="57">
        <f>W84</f>
        <v>55532.099804458398</v>
      </c>
      <c r="X237" s="57">
        <f>X84</f>
        <v>16076.539426615847</v>
      </c>
      <c r="AB237">
        <v>16</v>
      </c>
      <c r="AC237">
        <v>495</v>
      </c>
      <c r="AD237">
        <v>490</v>
      </c>
      <c r="AE237">
        <v>479</v>
      </c>
      <c r="AN237" s="78"/>
      <c r="AO237" s="78"/>
    </row>
    <row r="238" spans="1:48" x14ac:dyDescent="0.3">
      <c r="B238" s="1" t="s">
        <v>37</v>
      </c>
      <c r="C238" s="18">
        <f>100-C236</f>
        <v>0</v>
      </c>
      <c r="D238" s="18">
        <f>100-D236</f>
        <v>28.625089604816097</v>
      </c>
      <c r="E238" s="18">
        <f>100-E236</f>
        <v>2.0393131121135184</v>
      </c>
      <c r="F238" s="18">
        <f>100-F236</f>
        <v>9.4276017379318944</v>
      </c>
      <c r="G238" s="18">
        <f>100-G236</f>
        <v>11.342769559827019</v>
      </c>
      <c r="T238" s="57">
        <f>T94</f>
        <v>2929.3600000000006</v>
      </c>
      <c r="U238" s="57">
        <f>U94</f>
        <v>11188.15958554938</v>
      </c>
      <c r="V238" s="57">
        <f>V94</f>
        <v>112051.80126945738</v>
      </c>
      <c r="W238" s="57">
        <f>W94</f>
        <v>54748.389544044127</v>
      </c>
      <c r="X238" s="57">
        <f>X94</f>
        <v>17203.649600949091</v>
      </c>
      <c r="AB238">
        <v>17</v>
      </c>
      <c r="AC238">
        <v>524</v>
      </c>
      <c r="AD238">
        <v>519</v>
      </c>
      <c r="AE238">
        <v>508</v>
      </c>
    </row>
    <row r="239" spans="1:48" ht="15.6" x14ac:dyDescent="0.35">
      <c r="B239" s="1" t="s">
        <v>25</v>
      </c>
      <c r="C239" s="1">
        <f>C223</f>
        <v>259</v>
      </c>
      <c r="D239" s="1">
        <f>D223</f>
        <v>489</v>
      </c>
      <c r="E239" s="1">
        <f>E223</f>
        <v>7205</v>
      </c>
      <c r="F239" s="1">
        <f>F223</f>
        <v>2773</v>
      </c>
      <c r="G239" s="1">
        <f>G223</f>
        <v>834</v>
      </c>
      <c r="T239" s="57">
        <f>T104</f>
        <v>2912.34</v>
      </c>
      <c r="U239" s="57">
        <f>U104</f>
        <v>11951.888029864309</v>
      </c>
      <c r="V239" s="57">
        <f>V104</f>
        <v>112297.62595926618</v>
      </c>
      <c r="W239" s="57">
        <f>W104</f>
        <v>55070.526722403796</v>
      </c>
      <c r="X239" s="57">
        <f>X104</f>
        <v>15888.979288465698</v>
      </c>
      <c r="AB239">
        <v>18</v>
      </c>
      <c r="AC239">
        <v>553</v>
      </c>
      <c r="AD239">
        <v>548</v>
      </c>
      <c r="AE239">
        <v>537</v>
      </c>
      <c r="AN239" s="78"/>
      <c r="AO239" s="78"/>
    </row>
    <row r="240" spans="1:48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681.38885652961437</v>
      </c>
      <c r="E240" s="18">
        <f>(O231*O231*(100-E236)*(100-E236)*(I231)*(100-I231))/((L231-1)*100)</f>
        <v>7.0644408492657407</v>
      </c>
      <c r="F240" s="18">
        <f>(O232*O232*(100-F236)*(100-F236)*(I232)*(100-I232))/((L232-1)*100)</f>
        <v>86.377586112212043</v>
      </c>
      <c r="G240" s="18">
        <f>(O233*O233*(100-G236)*(100-G236)*(I233)*(100-I233))/((L233-1)*100)</f>
        <v>246.23420952737871</v>
      </c>
      <c r="T240" s="57">
        <f>T114</f>
        <v>2911.8899999999994</v>
      </c>
      <c r="U240" s="57">
        <f>U114</f>
        <v>11477.506994850321</v>
      </c>
      <c r="V240" s="57">
        <f>V114</f>
        <v>112662.45257101122</v>
      </c>
      <c r="W240" s="57">
        <f>W114</f>
        <v>54178.453831156818</v>
      </c>
      <c r="X240" s="57">
        <f>X114</f>
        <v>16891.056602981636</v>
      </c>
      <c r="AB240">
        <v>19</v>
      </c>
      <c r="AC240">
        <v>582</v>
      </c>
      <c r="AD240">
        <v>577</v>
      </c>
      <c r="AE240">
        <v>566</v>
      </c>
    </row>
    <row r="241" spans="1:41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65.747121510813315</v>
      </c>
      <c r="E241" s="18">
        <f>E236*E236*(SUM((H229*E229*(1-E218/H218))/(H218-1),(H230*E230*(1-E219/H219))/(H219-1), (H232*E232*(1-E221/H221))/(H221-1),(H233*E233*(1-E222/H222))/(H222-1)))</f>
        <v>123.76468024987524</v>
      </c>
      <c r="F241" s="18">
        <f>F236*F236*(SUM((H229*F229*(1-F218/H218))/(H218-1),(H230*F230*(1-F219/H219))/(H219-1), (H231*F231*(1-F220/H220))/(H220-1),(H233*F233*(1-F222/H222))/(H222-1)))</f>
        <v>177.43482562744219</v>
      </c>
      <c r="G241" s="18">
        <f>G236*G236*(SUM((H229*G229*(1-G218/H218))/(H218-1),(H230*G230*(1-G219/H219))/(H219-1), (H231*G231*(1-G220/H220))/(H220-1),(H232*G232*(1-G221/H221))/(H221-1)))</f>
        <v>75.536054314311173</v>
      </c>
      <c r="T241" s="57">
        <f>T124</f>
        <v>2906.94</v>
      </c>
      <c r="U241" s="57">
        <f>U124</f>
        <v>11506.849226229389</v>
      </c>
      <c r="V241" s="57">
        <f>V124</f>
        <v>112627.46195419543</v>
      </c>
      <c r="W241" s="57">
        <f>W124</f>
        <v>54415.329470418881</v>
      </c>
      <c r="X241" s="57">
        <f>X124</f>
        <v>16664.799349156267</v>
      </c>
      <c r="AB241">
        <v>20</v>
      </c>
      <c r="AC241">
        <v>611</v>
      </c>
      <c r="AD241">
        <v>606</v>
      </c>
      <c r="AE241">
        <v>595</v>
      </c>
      <c r="AN241" s="78"/>
      <c r="AO241" s="78"/>
    </row>
    <row r="242" spans="1:41" x14ac:dyDescent="0.3">
      <c r="T242" s="57">
        <f>T134</f>
        <v>2919.6300000000006</v>
      </c>
      <c r="U242" s="57">
        <f>U134</f>
        <v>11324.447713409332</v>
      </c>
      <c r="V242" s="57">
        <f>V134</f>
        <v>112128.73739657951</v>
      </c>
      <c r="W242" s="57">
        <f>W134</f>
        <v>54717.880012017464</v>
      </c>
      <c r="X242" s="57">
        <f>X134</f>
        <v>17030.674877993708</v>
      </c>
      <c r="AB242">
        <v>21</v>
      </c>
      <c r="AC242">
        <v>640</v>
      </c>
      <c r="AD242">
        <v>635</v>
      </c>
      <c r="AE242">
        <v>624</v>
      </c>
    </row>
    <row r="243" spans="1:41" x14ac:dyDescent="0.3">
      <c r="T243" s="57">
        <f>T144</f>
        <v>2926.39</v>
      </c>
      <c r="U243" s="57">
        <f>U144</f>
        <v>12097.510934188878</v>
      </c>
      <c r="V243" s="57">
        <f>V144</f>
        <v>111339.83557337747</v>
      </c>
      <c r="W243" s="57">
        <f>W144</f>
        <v>55393.168461544941</v>
      </c>
      <c r="X243" s="57">
        <f>X144</f>
        <v>16364.465030888699</v>
      </c>
      <c r="AB243">
        <v>22</v>
      </c>
      <c r="AC243">
        <v>669</v>
      </c>
      <c r="AD243">
        <v>664</v>
      </c>
      <c r="AE243">
        <v>653</v>
      </c>
      <c r="AN243" s="78"/>
      <c r="AO243" s="78"/>
    </row>
    <row r="244" spans="1:41" x14ac:dyDescent="0.3">
      <c r="A244" s="361" t="s">
        <v>441</v>
      </c>
      <c r="B244" s="361"/>
      <c r="C244" s="361"/>
      <c r="D244" s="361"/>
      <c r="E244" s="361"/>
      <c r="F244" s="361"/>
      <c r="G244" s="361"/>
      <c r="H244" s="361"/>
      <c r="I244" s="361"/>
      <c r="J244" s="361"/>
      <c r="K244" s="361"/>
      <c r="L244" s="361" t="s">
        <v>86</v>
      </c>
      <c r="M244" s="361"/>
      <c r="N244" s="361"/>
      <c r="O244" s="361"/>
      <c r="P244" s="361"/>
      <c r="T244" s="57">
        <f>T154</f>
        <v>2924.14</v>
      </c>
      <c r="U244" s="57">
        <f>U154</f>
        <v>11884.946522434942</v>
      </c>
      <c r="V244" s="57">
        <f>V154</f>
        <v>111976.47205871582</v>
      </c>
      <c r="W244" s="57">
        <f>W154</f>
        <v>54915.70222069844</v>
      </c>
      <c r="X244" s="57">
        <f>X154</f>
        <v>16420.09919815079</v>
      </c>
      <c r="AB244">
        <v>23</v>
      </c>
      <c r="AC244">
        <v>698</v>
      </c>
      <c r="AD244">
        <v>693</v>
      </c>
      <c r="AE244">
        <v>682</v>
      </c>
    </row>
    <row r="245" spans="1:41" x14ac:dyDescent="0.3">
      <c r="A245" t="s">
        <v>320</v>
      </c>
      <c r="B245" t="s">
        <v>21</v>
      </c>
      <c r="I245" s="1" t="s">
        <v>58</v>
      </c>
      <c r="O245" s="143"/>
      <c r="P245" s="143"/>
      <c r="T245" s="57">
        <f>T164</f>
        <v>2899.19</v>
      </c>
      <c r="U245" s="57">
        <f>U164</f>
        <v>12048.437957038426</v>
      </c>
      <c r="V245" s="57">
        <f>V164</f>
        <v>111364.3297483916</v>
      </c>
      <c r="W245" s="57">
        <f>W164</f>
        <v>55292.337604120832</v>
      </c>
      <c r="X245" s="57">
        <f>X164</f>
        <v>16517.064690449162</v>
      </c>
      <c r="AB245">
        <v>24</v>
      </c>
      <c r="AC245">
        <v>727</v>
      </c>
      <c r="AD245">
        <v>722</v>
      </c>
      <c r="AE245">
        <v>711</v>
      </c>
      <c r="AN245" s="78"/>
      <c r="AO245" s="78"/>
    </row>
    <row r="246" spans="1:41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56</v>
      </c>
      <c r="O246" s="13"/>
      <c r="P246" s="13"/>
      <c r="T246" s="57">
        <f>T174</f>
        <v>2930.98</v>
      </c>
      <c r="U246" s="57">
        <f>U174</f>
        <v>11713.177232355451</v>
      </c>
      <c r="V246" s="57">
        <f>V174</f>
        <v>112389.81511750745</v>
      </c>
      <c r="W246" s="57">
        <f>W174</f>
        <v>54177.582078870684</v>
      </c>
      <c r="X246" s="57">
        <f>X174</f>
        <v>16909.81557126643</v>
      </c>
      <c r="AB246">
        <v>25</v>
      </c>
      <c r="AC246">
        <v>756</v>
      </c>
      <c r="AD246">
        <v>751</v>
      </c>
      <c r="AE246">
        <v>740</v>
      </c>
    </row>
    <row r="247" spans="1:41" x14ac:dyDescent="0.3">
      <c r="A247" t="s">
        <v>3</v>
      </c>
      <c r="B247" s="13">
        <v>0</v>
      </c>
      <c r="C247" s="26">
        <v>259</v>
      </c>
      <c r="D247" s="3">
        <v>0</v>
      </c>
      <c r="E247" s="3">
        <v>0</v>
      </c>
      <c r="F247" s="3">
        <v>0</v>
      </c>
      <c r="G247" s="4">
        <v>0</v>
      </c>
      <c r="H247" s="1">
        <f>SUM(C247:G247)</f>
        <v>259</v>
      </c>
      <c r="I247" s="10">
        <f>C247/H247</f>
        <v>1</v>
      </c>
      <c r="J247" s="11">
        <f>1-I247</f>
        <v>0</v>
      </c>
      <c r="K247">
        <f>H247-C252</f>
        <v>0</v>
      </c>
      <c r="N247" s="10">
        <f>2*(C253*I247)/(C253+I247)</f>
        <v>1</v>
      </c>
      <c r="O247" s="1"/>
      <c r="P247" s="1"/>
      <c r="T247" s="57">
        <f>T184</f>
        <v>2911.62</v>
      </c>
      <c r="U247" s="57">
        <f>U184</f>
        <v>11077.658661174059</v>
      </c>
      <c r="V247" s="57">
        <f>V184</f>
        <v>112893.15379555765</v>
      </c>
      <c r="W247" s="57">
        <f>W184</f>
        <v>55122.111383776755</v>
      </c>
      <c r="X247" s="57">
        <f>X184</f>
        <v>16116.816159491529</v>
      </c>
      <c r="AB247">
        <v>26</v>
      </c>
      <c r="AC247">
        <v>785</v>
      </c>
      <c r="AD247">
        <v>780</v>
      </c>
      <c r="AE247">
        <v>769</v>
      </c>
      <c r="AN247" s="78"/>
      <c r="AO247" s="78"/>
    </row>
    <row r="248" spans="1:41" x14ac:dyDescent="0.3">
      <c r="A248" t="s">
        <v>4</v>
      </c>
      <c r="B248" s="13">
        <v>1</v>
      </c>
      <c r="C248" s="5">
        <v>0</v>
      </c>
      <c r="D248" s="27">
        <v>289</v>
      </c>
      <c r="E248" s="1">
        <v>41</v>
      </c>
      <c r="F248" s="1">
        <v>0</v>
      </c>
      <c r="G248" s="6">
        <v>9</v>
      </c>
      <c r="H248" s="1">
        <f>SUM(C248:G248)</f>
        <v>339</v>
      </c>
      <c r="I248" s="10">
        <f>D248/H248</f>
        <v>0.85250737463126847</v>
      </c>
      <c r="J248" s="11">
        <f>1-I248</f>
        <v>0.14749262536873153</v>
      </c>
      <c r="K248">
        <f>H248-D252</f>
        <v>-171</v>
      </c>
      <c r="N248" s="10">
        <f>2*(D253*I248)/(D253+I248)</f>
        <v>0.68080094228504118</v>
      </c>
      <c r="O248" s="1"/>
      <c r="P248" s="1"/>
      <c r="T248" s="57">
        <f>T194</f>
        <v>2935.21</v>
      </c>
      <c r="U248" s="57">
        <f>U194</f>
        <v>11327.979014584585</v>
      </c>
      <c r="V248" s="57">
        <f>V194</f>
        <v>111851.01130609731</v>
      </c>
      <c r="W248" s="57">
        <f>W194</f>
        <v>54876.87975975233</v>
      </c>
      <c r="X248" s="57">
        <f>X194</f>
        <v>17130.279919565779</v>
      </c>
      <c r="AB248">
        <v>27</v>
      </c>
      <c r="AC248">
        <v>814</v>
      </c>
      <c r="AD248">
        <v>809</v>
      </c>
      <c r="AE248">
        <v>798</v>
      </c>
    </row>
    <row r="249" spans="1:41" x14ac:dyDescent="0.3">
      <c r="A249" t="s">
        <v>5</v>
      </c>
      <c r="B249" s="13">
        <v>2</v>
      </c>
      <c r="C249" s="5">
        <v>0</v>
      </c>
      <c r="D249" s="1">
        <v>196</v>
      </c>
      <c r="E249" s="27">
        <v>7086</v>
      </c>
      <c r="F249" s="1">
        <v>92</v>
      </c>
      <c r="G249" s="6">
        <v>25</v>
      </c>
      <c r="H249" s="1">
        <f>SUM(C249:G249)</f>
        <v>7399</v>
      </c>
      <c r="I249" s="10">
        <f>E249/H249</f>
        <v>0.95769698607919984</v>
      </c>
      <c r="J249" s="11">
        <f>1-I249</f>
        <v>4.2303013920800159E-2</v>
      </c>
      <c r="K249">
        <f>H249-E252</f>
        <v>205</v>
      </c>
      <c r="N249" s="10">
        <f>2*(E253*I249)/(E253+I249)</f>
        <v>0.97115055163434505</v>
      </c>
      <c r="O249" s="1"/>
      <c r="P249" s="1"/>
      <c r="T249" s="57">
        <f>T204</f>
        <v>2899.82</v>
      </c>
      <c r="U249" s="57">
        <f>U204</f>
        <v>11749.098671390982</v>
      </c>
      <c r="V249" s="57">
        <f>V204</f>
        <v>111928.5753699434</v>
      </c>
      <c r="W249" s="57">
        <f>W204</f>
        <v>54851.627815254535</v>
      </c>
      <c r="X249" s="57">
        <f>X204</f>
        <v>16692.248143411078</v>
      </c>
      <c r="AB249">
        <v>28</v>
      </c>
      <c r="AC249">
        <v>843</v>
      </c>
      <c r="AD249">
        <v>838</v>
      </c>
      <c r="AE249">
        <v>827</v>
      </c>
      <c r="AN249" s="78"/>
      <c r="AO249" s="78"/>
    </row>
    <row r="250" spans="1:41" x14ac:dyDescent="0.3">
      <c r="A250" t="s">
        <v>6</v>
      </c>
      <c r="B250" s="13">
        <v>3</v>
      </c>
      <c r="C250" s="5">
        <v>0</v>
      </c>
      <c r="D250" s="1">
        <v>4</v>
      </c>
      <c r="E250" s="1">
        <v>31</v>
      </c>
      <c r="F250" s="27">
        <v>2503</v>
      </c>
      <c r="G250" s="6">
        <v>65</v>
      </c>
      <c r="H250" s="1">
        <f>SUM(C250:G250)</f>
        <v>2603</v>
      </c>
      <c r="I250" s="10">
        <f>F250/H250</f>
        <v>0.96158278908951211</v>
      </c>
      <c r="J250" s="11">
        <f>1-I250</f>
        <v>3.8417210910487887E-2</v>
      </c>
      <c r="K250">
        <f>H250-F252</f>
        <v>-201</v>
      </c>
      <c r="N250" s="10">
        <f>2*(F253*I250)/(F253+I250)</f>
        <v>0.92583687812095428</v>
      </c>
      <c r="O250" s="1"/>
      <c r="P250" s="1"/>
      <c r="T250" s="57">
        <f>T214</f>
        <v>2903.87</v>
      </c>
      <c r="U250" s="57">
        <f>U214</f>
        <v>11792.455134601734</v>
      </c>
      <c r="V250" s="57">
        <f>V214</f>
        <v>111204.30825137069</v>
      </c>
      <c r="W250" s="57">
        <f>W214</f>
        <v>54893.440934574362</v>
      </c>
      <c r="X250" s="57">
        <f>X214</f>
        <v>17327.285679453209</v>
      </c>
      <c r="AB250">
        <v>29</v>
      </c>
      <c r="AC250">
        <v>872</v>
      </c>
      <c r="AD250">
        <v>867</v>
      </c>
      <c r="AE250">
        <v>856</v>
      </c>
    </row>
    <row r="251" spans="1:41" x14ac:dyDescent="0.3">
      <c r="A251" t="s">
        <v>7</v>
      </c>
      <c r="B251" s="13">
        <v>4</v>
      </c>
      <c r="C251" s="7">
        <v>0</v>
      </c>
      <c r="D251" s="8">
        <v>21</v>
      </c>
      <c r="E251" s="8">
        <v>36</v>
      </c>
      <c r="F251" s="8">
        <v>209</v>
      </c>
      <c r="G251" s="28">
        <v>694</v>
      </c>
      <c r="H251" s="1">
        <f>SUM(C251:G251)</f>
        <v>960</v>
      </c>
      <c r="I251" s="10">
        <f>G251/H251</f>
        <v>0.72291666666666665</v>
      </c>
      <c r="J251" s="11">
        <f>1-I251</f>
        <v>0.27708333333333335</v>
      </c>
      <c r="K251">
        <f>H251-G252</f>
        <v>167</v>
      </c>
      <c r="N251" s="10">
        <f>2*(G253*I251)/(G253+I251)</f>
        <v>0.79178551055333712</v>
      </c>
      <c r="O251" s="1"/>
      <c r="P251" s="1"/>
      <c r="AN251" s="78"/>
      <c r="AO251" s="78"/>
    </row>
    <row r="252" spans="1:41" ht="15.6" x14ac:dyDescent="0.35">
      <c r="B252" s="1" t="s">
        <v>19</v>
      </c>
      <c r="C252" s="1">
        <f>SUM(C247:C251)</f>
        <v>259</v>
      </c>
      <c r="D252" s="1">
        <f>SUM(D247:D251)</f>
        <v>510</v>
      </c>
      <c r="E252" s="1">
        <f>SUM(E247:E251)</f>
        <v>7194</v>
      </c>
      <c r="F252" s="1">
        <f>SUM(F247:F251)</f>
        <v>2804</v>
      </c>
      <c r="G252" s="1">
        <f>SUM(G247:G251)</f>
        <v>793</v>
      </c>
      <c r="H252" s="1">
        <f>SUM(H246:H251)</f>
        <v>11560</v>
      </c>
      <c r="I252" s="13" t="s">
        <v>12</v>
      </c>
      <c r="N252" s="16"/>
      <c r="O252" s="1"/>
      <c r="P252" s="1"/>
    </row>
    <row r="253" spans="1:41" x14ac:dyDescent="0.3">
      <c r="A253" s="1" t="s">
        <v>321</v>
      </c>
      <c r="B253" s="1" t="s">
        <v>2</v>
      </c>
      <c r="C253" s="10">
        <f>C247/C252</f>
        <v>1</v>
      </c>
      <c r="D253" s="10">
        <f>D248/D252</f>
        <v>0.56666666666666665</v>
      </c>
      <c r="E253" s="10">
        <f>E249/E252</f>
        <v>0.98498748957464555</v>
      </c>
      <c r="F253" s="10">
        <f>F250/F252</f>
        <v>0.89265335235378029</v>
      </c>
      <c r="G253" s="10">
        <f>G251/G252</f>
        <v>0.87515762925598994</v>
      </c>
      <c r="H253" s="10"/>
      <c r="I253" s="14">
        <f>(C247+D248+E249+F250+G251)/H252</f>
        <v>0.93693771626297573</v>
      </c>
      <c r="AN253" s="78"/>
      <c r="AO253" s="78"/>
    </row>
    <row r="254" spans="1:41" x14ac:dyDescent="0.3">
      <c r="B254" s="1" t="s">
        <v>14</v>
      </c>
      <c r="C254" s="11">
        <f>1-C253</f>
        <v>0</v>
      </c>
      <c r="D254" s="11">
        <f>1-D253</f>
        <v>0.43333333333333335</v>
      </c>
      <c r="E254" s="11">
        <f>1-E253</f>
        <v>1.5012510425354453E-2</v>
      </c>
      <c r="F254" s="11">
        <f>1-F253</f>
        <v>0.10734664764621971</v>
      </c>
      <c r="G254" s="11">
        <f>1-G253</f>
        <v>0.12484237074401006</v>
      </c>
    </row>
    <row r="255" spans="1:41" x14ac:dyDescent="0.3">
      <c r="C255" s="2"/>
      <c r="AN255" s="78"/>
      <c r="AO255" s="78"/>
    </row>
    <row r="256" spans="1:41" ht="15.6" x14ac:dyDescent="0.35">
      <c r="A256" t="s">
        <v>322</v>
      </c>
      <c r="B256" s="15" t="s">
        <v>23</v>
      </c>
      <c r="N256" s="12" t="s">
        <v>17</v>
      </c>
      <c r="O256" s="1" t="s">
        <v>27</v>
      </c>
      <c r="P256" s="1" t="s">
        <v>33</v>
      </c>
    </row>
    <row r="257" spans="1:41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N257" s="78"/>
      <c r="AO257" s="78"/>
    </row>
    <row r="258" spans="1:41" x14ac:dyDescent="0.3">
      <c r="A258" t="s">
        <v>3</v>
      </c>
      <c r="B258" s="13">
        <v>0</v>
      </c>
      <c r="C258" s="29">
        <f>(C247/$L258)*$O258</f>
        <v>1.4699777954280144</v>
      </c>
      <c r="D258" s="31">
        <f>(D247/$L258)*$O258</f>
        <v>0</v>
      </c>
      <c r="E258" s="31">
        <f>(E247/$L258)*$O258</f>
        <v>0</v>
      </c>
      <c r="F258" s="31">
        <f>(F247/$L258)*$O258</f>
        <v>0</v>
      </c>
      <c r="G258" s="32">
        <f>(G247/$L258)*$O258</f>
        <v>0</v>
      </c>
      <c r="H258" s="17">
        <f>SUM(C258:G258)</f>
        <v>1.4699777954280144</v>
      </c>
      <c r="I258" s="17">
        <f>C258/H258*100</f>
        <v>100</v>
      </c>
      <c r="J258" s="17">
        <f>SQRT(I258*(100-I258)/(L258-1))</f>
        <v>0</v>
      </c>
      <c r="K258" s="18">
        <f>100-I258</f>
        <v>0</v>
      </c>
      <c r="L258" s="1">
        <f>H247</f>
        <v>259</v>
      </c>
      <c r="M258">
        <v>0</v>
      </c>
      <c r="N258" s="1">
        <v>2912.34</v>
      </c>
      <c r="O258" s="17">
        <f>N258/N263*100</f>
        <v>1.4699777954280144</v>
      </c>
      <c r="P258" s="52">
        <f>((O258*O258*(I258/100)*(K258/100))/(L258-1))</f>
        <v>0</v>
      </c>
    </row>
    <row r="259" spans="1:41" x14ac:dyDescent="0.3">
      <c r="A259" t="s">
        <v>4</v>
      </c>
      <c r="B259" s="13">
        <v>1</v>
      </c>
      <c r="C259" s="33">
        <f t="shared" ref="C259:G262" si="38">(C248/$L259)*$O259</f>
        <v>0</v>
      </c>
      <c r="D259" s="34">
        <f t="shared" si="38"/>
        <v>4.2470901238838179</v>
      </c>
      <c r="E259" s="19">
        <f t="shared" si="38"/>
        <v>0.60252835667555893</v>
      </c>
      <c r="F259" s="18">
        <f t="shared" si="38"/>
        <v>0</v>
      </c>
      <c r="G259" s="20">
        <f t="shared" si="38"/>
        <v>0.13226232219707393</v>
      </c>
      <c r="H259" s="17">
        <f>SUM(C259:G259)</f>
        <v>4.981880802756451</v>
      </c>
      <c r="I259" s="17">
        <f>D259/H259*100</f>
        <v>85.250737463126839</v>
      </c>
      <c r="J259" s="17">
        <f>SQRT(I259*(100-I259)/(L259-1))</f>
        <v>1.9287497163603362</v>
      </c>
      <c r="K259" s="18">
        <f>100-I259</f>
        <v>14.749262536873161</v>
      </c>
      <c r="L259" s="1">
        <f>H248</f>
        <v>339</v>
      </c>
      <c r="M259">
        <v>1</v>
      </c>
      <c r="N259" s="1">
        <v>9870.17</v>
      </c>
      <c r="O259" s="17">
        <f>N259/N263*100</f>
        <v>4.981880802756451</v>
      </c>
      <c r="P259" s="52">
        <f>((O259*O259*(I259/100)*(K259/100))/(L259-1))</f>
        <v>9.2329060217806094E-3</v>
      </c>
      <c r="AN259" s="78"/>
      <c r="AO259" s="78"/>
    </row>
    <row r="260" spans="1:41" x14ac:dyDescent="0.3">
      <c r="A260" t="s">
        <v>5</v>
      </c>
      <c r="B260" s="13">
        <v>2</v>
      </c>
      <c r="C260" s="33">
        <f t="shared" si="38"/>
        <v>0</v>
      </c>
      <c r="D260" s="19">
        <f t="shared" si="38"/>
        <v>1.5324906200311494</v>
      </c>
      <c r="E260" s="34">
        <f t="shared" si="38"/>
        <v>55.404227211942469</v>
      </c>
      <c r="F260" s="19">
        <f t="shared" si="38"/>
        <v>0.71933233185135592</v>
      </c>
      <c r="G260" s="20">
        <f t="shared" si="38"/>
        <v>0.19547074235091194</v>
      </c>
      <c r="H260" s="17">
        <f>SUM(C260:G260)</f>
        <v>57.851520906175885</v>
      </c>
      <c r="I260" s="17">
        <f>E260/H260*100</f>
        <v>95.769698607919992</v>
      </c>
      <c r="J260" s="17">
        <f>SQRT(I260*(100-I260)/(L260-1))</f>
        <v>0.23401438359686333</v>
      </c>
      <c r="K260" s="18">
        <f>100-I260</f>
        <v>4.2303013920800083</v>
      </c>
      <c r="L260" s="1">
        <f>H249</f>
        <v>7399</v>
      </c>
      <c r="M260">
        <v>2</v>
      </c>
      <c r="N260" s="1">
        <v>114616.22</v>
      </c>
      <c r="O260" s="17">
        <f>N260/N263*100</f>
        <v>57.851520906175892</v>
      </c>
      <c r="P260" s="52">
        <f>((O260*O260*(I260/100)*(K260/100))/(L260-1))</f>
        <v>1.8327982683111955E-2</v>
      </c>
    </row>
    <row r="261" spans="1:41" x14ac:dyDescent="0.3">
      <c r="A261" t="s">
        <v>6</v>
      </c>
      <c r="B261" s="13">
        <v>3</v>
      </c>
      <c r="C261" s="33">
        <f t="shared" si="38"/>
        <v>0</v>
      </c>
      <c r="D261" s="19">
        <f t="shared" si="38"/>
        <v>3.9881266574113658E-2</v>
      </c>
      <c r="E261" s="19">
        <f t="shared" si="38"/>
        <v>0.30907981594938083</v>
      </c>
      <c r="F261" s="34">
        <f t="shared" si="38"/>
        <v>24.955702558751618</v>
      </c>
      <c r="G261" s="20">
        <f t="shared" si="38"/>
        <v>0.64807058182934685</v>
      </c>
      <c r="H261" s="17">
        <f>SUM(C261:G261)</f>
        <v>25.952734223104461</v>
      </c>
      <c r="I261" s="17">
        <f>F261/H261*100</f>
        <v>96.158278908951203</v>
      </c>
      <c r="J261" s="17">
        <f>SQRT(I261*(100-I261)/(L261-1))</f>
        <v>0.37679281315383073</v>
      </c>
      <c r="K261" s="18">
        <f>100-I261</f>
        <v>3.8417210910487967</v>
      </c>
      <c r="L261" s="1">
        <f>H250</f>
        <v>2603</v>
      </c>
      <c r="M261">
        <v>3</v>
      </c>
      <c r="N261" s="1">
        <v>51417.91</v>
      </c>
      <c r="O261" s="17">
        <f>N261/N263*100</f>
        <v>25.952734223104461</v>
      </c>
      <c r="P261" s="52">
        <f>((O261*O261*(I261/100)*(K261/100))/(L261-1))</f>
        <v>9.5625002525928631E-3</v>
      </c>
      <c r="AN261" s="78"/>
      <c r="AO261" s="78"/>
    </row>
    <row r="262" spans="1:41" x14ac:dyDescent="0.3">
      <c r="A262" t="s">
        <v>7</v>
      </c>
      <c r="B262" s="13">
        <v>4</v>
      </c>
      <c r="C262" s="35">
        <f t="shared" si="38"/>
        <v>0</v>
      </c>
      <c r="D262" s="36">
        <f t="shared" si="38"/>
        <v>0.21314751221170697</v>
      </c>
      <c r="E262" s="21">
        <f t="shared" si="38"/>
        <v>0.36539573522006913</v>
      </c>
      <c r="F262" s="21">
        <f t="shared" si="38"/>
        <v>2.1213252405831793</v>
      </c>
      <c r="G262" s="37">
        <f t="shared" si="38"/>
        <v>7.0440177845202214</v>
      </c>
      <c r="H262" s="17">
        <f>SUM(C262:G262)</f>
        <v>9.7438862725351765</v>
      </c>
      <c r="I262" s="17">
        <f>G262/H262*100</f>
        <v>72.291666666666671</v>
      </c>
      <c r="J262" s="17">
        <f>SQRT(I262*(100-I262)/(L262-1))</f>
        <v>1.4452401459553152</v>
      </c>
      <c r="K262" s="18">
        <f>100-I262</f>
        <v>27.708333333333329</v>
      </c>
      <c r="L262" s="1">
        <f>H251</f>
        <v>960</v>
      </c>
      <c r="M262">
        <v>4</v>
      </c>
      <c r="N262" s="1">
        <v>19304.72</v>
      </c>
      <c r="O262" s="17">
        <f>N262/N263*100</f>
        <v>9.7438862725351765</v>
      </c>
      <c r="P262" s="52">
        <f>((O262*O262*(I262/100)*(K262/100))/(L262-1))</f>
        <v>1.9830992331014666E-2</v>
      </c>
    </row>
    <row r="263" spans="1:41" x14ac:dyDescent="0.3">
      <c r="B263" t="s">
        <v>28</v>
      </c>
      <c r="C263" s="17">
        <f>SUM(C258:C262)</f>
        <v>1.4699777954280144</v>
      </c>
      <c r="D263" s="17">
        <f>SUM(D258:D262)</f>
        <v>6.0326095227007874</v>
      </c>
      <c r="E263" s="17">
        <f>SUM(E258:E262)</f>
        <v>56.681231119787476</v>
      </c>
      <c r="F263" s="17">
        <f>SUM(F258:F262)</f>
        <v>27.796360131186152</v>
      </c>
      <c r="G263" s="17">
        <f>SUM(G258:G262)</f>
        <v>8.0198214308975544</v>
      </c>
      <c r="H263" s="1">
        <f>SUM(H257:H262)</f>
        <v>99.999999999999986</v>
      </c>
      <c r="I263" s="13" t="s">
        <v>24</v>
      </c>
      <c r="J263" s="12" t="s">
        <v>29</v>
      </c>
      <c r="N263" s="1">
        <f>SUM(N258:N262)</f>
        <v>198121.36000000002</v>
      </c>
      <c r="O263" s="17">
        <f>SUM(O258:O262)</f>
        <v>99.999999999999986</v>
      </c>
      <c r="AM263" s="78"/>
      <c r="AN263" s="78"/>
      <c r="AO263" s="78"/>
    </row>
    <row r="264" spans="1:41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0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0.15291715720660931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0.18089721983655249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0.17876495240243334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0.1718305604698617</v>
      </c>
      <c r="H264" s="1"/>
      <c r="I264" s="56">
        <f>(C258+D259+E260+F261+G262)/H263</f>
        <v>0.93121015474526159</v>
      </c>
      <c r="J264" s="53">
        <f>SQRT(SUM(P258:P262))/100</f>
        <v>2.3865117072518227E-3</v>
      </c>
      <c r="M264" s="1"/>
      <c r="N264" s="9"/>
    </row>
    <row r="265" spans="1:41" x14ac:dyDescent="0.3">
      <c r="B265" s="1" t="s">
        <v>30</v>
      </c>
      <c r="C265" s="17">
        <f>C258/C263*100</f>
        <v>100</v>
      </c>
      <c r="D265" s="17">
        <f>D259/D263*100</f>
        <v>70.402205014297095</v>
      </c>
      <c r="E265" s="17">
        <f>E260/E263*100</f>
        <v>97.747042746572944</v>
      </c>
      <c r="F265" s="17">
        <f>F261/F263*100</f>
        <v>89.780469244793466</v>
      </c>
      <c r="G265" s="17">
        <f>G262/G263*100</f>
        <v>87.832601326783859</v>
      </c>
      <c r="H265" s="1"/>
      <c r="AM265" s="78"/>
      <c r="AN265" s="78"/>
      <c r="AO265" s="78"/>
    </row>
    <row r="266" spans="1:41" x14ac:dyDescent="0.3">
      <c r="B266" s="16" t="s">
        <v>39</v>
      </c>
      <c r="C266" s="18">
        <f>SQRT((C269+C270)/(C263*C263))</f>
        <v>0</v>
      </c>
      <c r="D266" s="18">
        <f>SQRT((D269+D270)/(D263*D263))</f>
        <v>4.9149530384958027</v>
      </c>
      <c r="E266" s="18">
        <f>SQRT((E269+E270)/(E263*E263))</f>
        <v>0.21400464875913924</v>
      </c>
      <c r="F266" s="18">
        <f>SQRT((F269+F270)/(F263*F263))</f>
        <v>0.60259173687859924</v>
      </c>
      <c r="G266" s="18">
        <f>SQRT((G269+G270)/(G263*G263))</f>
        <v>2.3939471221523152</v>
      </c>
      <c r="H266" s="1"/>
    </row>
    <row r="267" spans="1:41" x14ac:dyDescent="0.3">
      <c r="B267" s="1" t="s">
        <v>37</v>
      </c>
      <c r="C267" s="18">
        <f>100-C265</f>
        <v>0</v>
      </c>
      <c r="D267" s="18">
        <f>100-D265</f>
        <v>29.597794985702905</v>
      </c>
      <c r="E267" s="18">
        <f>100-E265</f>
        <v>2.2529572534270557</v>
      </c>
      <c r="F267" s="18">
        <f>100-F265</f>
        <v>10.219530755206534</v>
      </c>
      <c r="G267" s="18">
        <f>100-G265</f>
        <v>12.167398673216141</v>
      </c>
      <c r="AM267" s="78"/>
      <c r="AN267" s="78"/>
      <c r="AO267" s="78"/>
    </row>
    <row r="268" spans="1:41" ht="15.6" x14ac:dyDescent="0.35">
      <c r="B268" s="1" t="s">
        <v>25</v>
      </c>
      <c r="C268" s="1">
        <f>C252</f>
        <v>259</v>
      </c>
      <c r="D268" s="1">
        <f>D252</f>
        <v>510</v>
      </c>
      <c r="E268" s="1">
        <f>E252</f>
        <v>7194</v>
      </c>
      <c r="F268" s="1">
        <f>F252</f>
        <v>2804</v>
      </c>
      <c r="G268" s="1">
        <f>G252</f>
        <v>793</v>
      </c>
    </row>
    <row r="269" spans="1:41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808.82977504994199</v>
      </c>
      <c r="E269" s="18">
        <f>(O260*O260*(100-E265)*(100-E265)*(I260)*(100-I260))/((L260-1)*100)</f>
        <v>9.3029474821040807</v>
      </c>
      <c r="F269" s="18">
        <f>(O261*O261*(100-F265)*(100-F265)*(I261)*(100-I261))/((L261-1)*100)</f>
        <v>99.869613607185244</v>
      </c>
      <c r="G269" s="18">
        <f>(O262*O262*(100-G265)*(100-G265)*(I262)*(100-I262))/((L262-1)*100)</f>
        <v>293.58909693102413</v>
      </c>
      <c r="AM269" s="78"/>
      <c r="AN269" s="78"/>
      <c r="AO269" s="78"/>
    </row>
    <row r="270" spans="1:41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70.292280416971352</v>
      </c>
      <c r="E270" s="18">
        <f>E265*E265*(SUM((H258*E258*(1-E247/H247))/(H247-1),(H259*E259*(1-E248/H248))/(H248-1), (H261*E261*(1-E250/H250))/(H250-1),(H262*E262*(1-E251/H251))/(H251-1)))</f>
        <v>137.83509169754461</v>
      </c>
      <c r="F270" s="18">
        <f>F265*F265*(SUM((H258*F258*(1-F247/H247))/(H247-1),(H259*F259*(1-F248/H248))/(H248-1), (H260*F260*(1-F249/H249))/(H249-1),(H262*F262*(1-F251/H251))/(H251-1)))</f>
        <v>180.68809358015983</v>
      </c>
      <c r="G270" s="18">
        <f>G265*G265*(SUM((H258*G258*(1-G247/H247))/(H247-1),(H259*G259*(1-G248/H248))/(H248-1), (H260*G260*(1-G249/H249))/(H249-1),(H261*G261*(1-G250/H250))/(H250-1)))</f>
        <v>75.013595904345294</v>
      </c>
    </row>
    <row r="271" spans="1:41" x14ac:dyDescent="0.3">
      <c r="AM271" s="78"/>
      <c r="AN271" s="78"/>
      <c r="AO271" s="78"/>
    </row>
    <row r="272" spans="1:41" x14ac:dyDescent="0.3">
      <c r="T272" s="2"/>
    </row>
    <row r="273" spans="1:41" x14ac:dyDescent="0.3">
      <c r="A273" s="361" t="s">
        <v>441</v>
      </c>
      <c r="B273" s="361"/>
      <c r="C273" s="361"/>
      <c r="D273" s="361"/>
      <c r="E273" s="361"/>
      <c r="F273" s="361"/>
      <c r="G273" s="361"/>
      <c r="H273" s="361"/>
      <c r="I273" s="361"/>
      <c r="J273" s="361"/>
      <c r="K273" s="361"/>
      <c r="L273" s="361" t="s">
        <v>87</v>
      </c>
      <c r="M273" s="361"/>
      <c r="N273" s="361"/>
      <c r="O273" s="361"/>
      <c r="P273" s="361"/>
      <c r="AM273" s="78"/>
      <c r="AN273" s="78"/>
      <c r="AO273" s="78"/>
    </row>
    <row r="274" spans="1:41" ht="15" thickBot="1" x14ac:dyDescent="0.35">
      <c r="A274" t="s">
        <v>320</v>
      </c>
      <c r="B274" t="s">
        <v>21</v>
      </c>
      <c r="I274" s="1" t="s">
        <v>58</v>
      </c>
      <c r="O274" s="143"/>
      <c r="P274" s="143"/>
      <c r="R274" s="59" t="s">
        <v>78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77</v>
      </c>
      <c r="AA274" s="12" t="s">
        <v>29</v>
      </c>
    </row>
    <row r="275" spans="1:41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56</v>
      </c>
      <c r="O275" s="13"/>
      <c r="P275" s="13"/>
      <c r="S275" t="s">
        <v>28</v>
      </c>
      <c r="T275" s="57">
        <f t="shared" ref="T275:X276" si="39">AVERAGE(T16,T26,T36,T46,T56)</f>
        <v>1.4724853196610215</v>
      </c>
      <c r="U275" s="57">
        <f t="shared" si="39"/>
        <v>5.8340979609586601</v>
      </c>
      <c r="V275" s="57">
        <f t="shared" si="39"/>
        <v>56.637207888810302</v>
      </c>
      <c r="W275" s="57">
        <f t="shared" si="39"/>
        <v>27.509614883384142</v>
      </c>
      <c r="X275" s="57">
        <f t="shared" si="39"/>
        <v>8.5465939471858725</v>
      </c>
      <c r="Z275" s="14">
        <f>AVERAGE(AE16,AE17,AE18,AE19,AE20)</f>
        <v>0.9360587230697256</v>
      </c>
      <c r="AA275" s="72">
        <f>AVERAGE(AF16,AF17,AF18,AF19,AF20)</f>
        <v>2.3290574671345965E-3</v>
      </c>
      <c r="AM275" s="78"/>
      <c r="AN275" s="78"/>
      <c r="AO275" s="78"/>
    </row>
    <row r="276" spans="1:41" x14ac:dyDescent="0.3">
      <c r="A276" t="s">
        <v>3</v>
      </c>
      <c r="B276" s="13">
        <v>0</v>
      </c>
      <c r="C276" s="26">
        <v>259</v>
      </c>
      <c r="D276" s="3">
        <v>0</v>
      </c>
      <c r="E276" s="3">
        <v>0</v>
      </c>
      <c r="F276" s="3">
        <v>0</v>
      </c>
      <c r="G276" s="4">
        <v>0</v>
      </c>
      <c r="H276" s="1">
        <f>SUM(C276:G276)</f>
        <v>259</v>
      </c>
      <c r="I276" s="10">
        <f>C276/H276</f>
        <v>1</v>
      </c>
      <c r="J276" s="11">
        <f>1-I276</f>
        <v>0</v>
      </c>
      <c r="K276">
        <f>H276-C281</f>
        <v>0</v>
      </c>
      <c r="N276" s="10">
        <f>2*(C282*I276)/(C282+I276)</f>
        <v>1</v>
      </c>
      <c r="O276" s="1"/>
      <c r="P276" s="1"/>
      <c r="S276" t="s">
        <v>39</v>
      </c>
      <c r="T276" s="57">
        <f t="shared" si="39"/>
        <v>0</v>
      </c>
      <c r="U276" s="57">
        <f t="shared" si="39"/>
        <v>0.14758593314036492</v>
      </c>
      <c r="V276" s="57">
        <f t="shared" si="39"/>
        <v>0.17252211290666689</v>
      </c>
      <c r="W276" s="57">
        <f t="shared" si="39"/>
        <v>0.17685770180138211</v>
      </c>
      <c r="X276" s="57">
        <f t="shared" si="39"/>
        <v>0.16831495919000333</v>
      </c>
    </row>
    <row r="277" spans="1:41" x14ac:dyDescent="0.3">
      <c r="A277" t="s">
        <v>4</v>
      </c>
      <c r="B277" s="13">
        <v>1</v>
      </c>
      <c r="C277" s="5">
        <v>0</v>
      </c>
      <c r="D277" s="27">
        <v>292</v>
      </c>
      <c r="E277" s="1">
        <v>38</v>
      </c>
      <c r="F277" s="1">
        <v>0</v>
      </c>
      <c r="G277" s="6">
        <v>9</v>
      </c>
      <c r="H277" s="1">
        <f>SUM(C277:G277)</f>
        <v>339</v>
      </c>
      <c r="I277" s="10">
        <f>D277/H277</f>
        <v>0.86135693215339237</v>
      </c>
      <c r="J277" s="11">
        <f>1-I277</f>
        <v>0.13864306784660763</v>
      </c>
      <c r="K277">
        <f>H277-D281</f>
        <v>-154</v>
      </c>
      <c r="N277" s="10">
        <f>2*(D282*I277)/(D282+I277)</f>
        <v>0.70192307692307709</v>
      </c>
      <c r="O277" s="1"/>
      <c r="P277" s="1"/>
      <c r="S277" s="66" t="s">
        <v>65</v>
      </c>
      <c r="T277" s="67">
        <f>1.96*T276</f>
        <v>0</v>
      </c>
      <c r="U277" s="67">
        <f>1.96*U276</f>
        <v>0.28926842895511523</v>
      </c>
      <c r="V277" s="67">
        <f>1.96*V276</f>
        <v>0.33814334129706708</v>
      </c>
      <c r="W277" s="67">
        <f>1.96*W276</f>
        <v>0.34664109553070893</v>
      </c>
      <c r="X277" s="67">
        <f>1.96*X276</f>
        <v>0.32989732001240651</v>
      </c>
      <c r="AM277" s="78"/>
      <c r="AN277" s="78"/>
      <c r="AO277" s="78"/>
    </row>
    <row r="278" spans="1:41" x14ac:dyDescent="0.3">
      <c r="A278" t="s">
        <v>5</v>
      </c>
      <c r="B278" s="13">
        <v>2</v>
      </c>
      <c r="C278" s="5">
        <v>0</v>
      </c>
      <c r="D278" s="1">
        <v>178</v>
      </c>
      <c r="E278" s="27">
        <v>7105</v>
      </c>
      <c r="F278" s="1">
        <v>90</v>
      </c>
      <c r="G278" s="6">
        <v>26</v>
      </c>
      <c r="H278" s="1">
        <f>SUM(C278:G278)</f>
        <v>7399</v>
      </c>
      <c r="I278" s="10">
        <f>E278/H278</f>
        <v>0.96026490066225167</v>
      </c>
      <c r="J278" s="11">
        <f>1-I278</f>
        <v>3.9735099337748325E-2</v>
      </c>
      <c r="K278">
        <f>H278-E281</f>
        <v>188</v>
      </c>
      <c r="N278" s="10">
        <f>2*(E282*I278)/(E282+I278)</f>
        <v>0.97262149212867899</v>
      </c>
      <c r="O278" s="1"/>
      <c r="P278" s="1"/>
      <c r="S278" t="s">
        <v>30</v>
      </c>
      <c r="T278" s="57">
        <f t="shared" ref="T278:X279" si="40">AVERAGE(T18,T28,T38,T48,T58)</f>
        <v>100</v>
      </c>
      <c r="U278" s="57">
        <f t="shared" si="40"/>
        <v>71.380467571803337</v>
      </c>
      <c r="V278" s="57">
        <f t="shared" si="40"/>
        <v>98.072252768661002</v>
      </c>
      <c r="W278" s="57">
        <f t="shared" si="40"/>
        <v>90.604552106847905</v>
      </c>
      <c r="X278" s="57">
        <f t="shared" si="40"/>
        <v>87.753678888589221</v>
      </c>
    </row>
    <row r="279" spans="1:41" x14ac:dyDescent="0.3">
      <c r="A279" t="s">
        <v>6</v>
      </c>
      <c r="B279" s="13">
        <v>3</v>
      </c>
      <c r="C279" s="5">
        <v>0</v>
      </c>
      <c r="D279" s="1">
        <v>4</v>
      </c>
      <c r="E279" s="1">
        <v>38</v>
      </c>
      <c r="F279" s="27">
        <v>2495</v>
      </c>
      <c r="G279" s="6">
        <v>66</v>
      </c>
      <c r="H279" s="1">
        <f>SUM(C279:G279)</f>
        <v>2603</v>
      </c>
      <c r="I279" s="10">
        <f>F279/H279</f>
        <v>0.95850941221667307</v>
      </c>
      <c r="J279" s="11">
        <f>1-I279</f>
        <v>4.1490587783326927E-2</v>
      </c>
      <c r="K279">
        <f>H279-F281</f>
        <v>-165</v>
      </c>
      <c r="N279" s="10">
        <f>2*(F282*I279)/(F282+I279)</f>
        <v>0.92906348910817349</v>
      </c>
      <c r="O279" s="1"/>
      <c r="P279" s="1"/>
      <c r="S279" t="s">
        <v>39</v>
      </c>
      <c r="T279" s="57">
        <f t="shared" si="40"/>
        <v>0</v>
      </c>
      <c r="U279" s="57">
        <f t="shared" si="40"/>
        <v>4.7268436841661767</v>
      </c>
      <c r="V279" s="57">
        <f t="shared" si="40"/>
        <v>0.19784851244211304</v>
      </c>
      <c r="W279" s="57">
        <f t="shared" si="40"/>
        <v>0.58982845951871976</v>
      </c>
      <c r="X279" s="57">
        <f t="shared" si="40"/>
        <v>2.1915956049690495</v>
      </c>
      <c r="AM279" s="78"/>
      <c r="AN279" s="78"/>
      <c r="AO279" s="78"/>
    </row>
    <row r="280" spans="1:41" x14ac:dyDescent="0.3">
      <c r="A280" t="s">
        <v>7</v>
      </c>
      <c r="B280" s="13">
        <v>4</v>
      </c>
      <c r="C280" s="7">
        <v>0</v>
      </c>
      <c r="D280" s="8">
        <v>19</v>
      </c>
      <c r="E280" s="8">
        <v>30</v>
      </c>
      <c r="F280" s="8">
        <v>183</v>
      </c>
      <c r="G280" s="28">
        <v>728</v>
      </c>
      <c r="H280" s="1">
        <f>SUM(C280:G280)</f>
        <v>960</v>
      </c>
      <c r="I280" s="10">
        <f>G280/H280</f>
        <v>0.7583333333333333</v>
      </c>
      <c r="J280" s="11">
        <f>1-I280</f>
        <v>0.2416666666666667</v>
      </c>
      <c r="K280">
        <f>H280-G281</f>
        <v>131</v>
      </c>
      <c r="N280" s="10">
        <f>2*(G282*I280)/(G282+I280)</f>
        <v>0.81386249301285629</v>
      </c>
      <c r="O280" s="1"/>
      <c r="P280" s="1"/>
      <c r="S280" s="66" t="s">
        <v>65</v>
      </c>
      <c r="T280" s="67">
        <f>1.96*T279</f>
        <v>0</v>
      </c>
      <c r="U280" s="67">
        <f>1.96*U279</f>
        <v>9.2646136209657062</v>
      </c>
      <c r="V280" s="67">
        <f>1.96*V279</f>
        <v>0.38778308438654158</v>
      </c>
      <c r="W280" s="67">
        <f>1.96*W279</f>
        <v>1.1560637806566907</v>
      </c>
      <c r="X280" s="67">
        <f>1.96*X279</f>
        <v>4.2955273857393372</v>
      </c>
    </row>
    <row r="281" spans="1:41" ht="15.6" x14ac:dyDescent="0.35">
      <c r="B281" s="1" t="s">
        <v>19</v>
      </c>
      <c r="C281" s="1">
        <f>SUM(C276:C280)</f>
        <v>259</v>
      </c>
      <c r="D281" s="1">
        <f>SUM(D276:D280)</f>
        <v>493</v>
      </c>
      <c r="E281" s="1">
        <f>SUM(E276:E280)</f>
        <v>7211</v>
      </c>
      <c r="F281" s="1">
        <f>SUM(F276:F280)</f>
        <v>2768</v>
      </c>
      <c r="G281" s="1">
        <f>SUM(G276:G280)</f>
        <v>829</v>
      </c>
      <c r="H281" s="1">
        <f>SUM(H275:H280)</f>
        <v>11560</v>
      </c>
      <c r="I281" s="13" t="s">
        <v>12</v>
      </c>
      <c r="N281" s="16"/>
      <c r="O281" s="1"/>
      <c r="P281" s="1"/>
      <c r="S281" t="s">
        <v>31</v>
      </c>
      <c r="T281" s="57">
        <f t="shared" ref="T281:X282" si="41">AVERAGE(T20,T30,T40,T50,T60)</f>
        <v>100</v>
      </c>
      <c r="U281" s="57">
        <f t="shared" si="41"/>
        <v>85.840707964601776</v>
      </c>
      <c r="V281" s="57">
        <f t="shared" si="41"/>
        <v>95.994053250439237</v>
      </c>
      <c r="W281" s="57">
        <f t="shared" si="41"/>
        <v>95.873991548213596</v>
      </c>
      <c r="X281" s="57">
        <f t="shared" si="41"/>
        <v>76.395833333333329</v>
      </c>
      <c r="AM281" s="78"/>
      <c r="AN281" s="78"/>
      <c r="AO281" s="78"/>
    </row>
    <row r="282" spans="1:41" x14ac:dyDescent="0.3">
      <c r="A282" s="1" t="s">
        <v>321</v>
      </c>
      <c r="B282" s="1" t="s">
        <v>2</v>
      </c>
      <c r="C282" s="10">
        <f>C276/C281</f>
        <v>1</v>
      </c>
      <c r="D282" s="10">
        <f>D277/D281</f>
        <v>0.59229208924949295</v>
      </c>
      <c r="E282" s="10">
        <f>E278/E281</f>
        <v>0.98530023575093606</v>
      </c>
      <c r="F282" s="10">
        <f>F279/F281</f>
        <v>0.90137283236994215</v>
      </c>
      <c r="G282" s="10">
        <f>G280/G281</f>
        <v>0.87816646562123035</v>
      </c>
      <c r="H282" s="10"/>
      <c r="I282" s="14">
        <f>(C276+D277+E278+F279+G280)/H281</f>
        <v>0.94108996539792389</v>
      </c>
      <c r="S282" t="s">
        <v>39</v>
      </c>
      <c r="T282" s="57">
        <f t="shared" si="41"/>
        <v>0</v>
      </c>
      <c r="U282" s="57">
        <f t="shared" si="41"/>
        <v>1.895866099784363</v>
      </c>
      <c r="V282" s="57">
        <f t="shared" si="41"/>
        <v>0.227936692056735</v>
      </c>
      <c r="W282" s="57">
        <f t="shared" si="41"/>
        <v>0.38978029851954499</v>
      </c>
      <c r="X282" s="57">
        <f t="shared" si="41"/>
        <v>1.3710027928235724</v>
      </c>
    </row>
    <row r="283" spans="1:41" x14ac:dyDescent="0.3">
      <c r="B283" s="1" t="s">
        <v>14</v>
      </c>
      <c r="C283" s="11">
        <f>1-C282</f>
        <v>0</v>
      </c>
      <c r="D283" s="11">
        <f>1-D282</f>
        <v>0.40770791075050705</v>
      </c>
      <c r="E283" s="11">
        <f>1-E282</f>
        <v>1.469976424906394E-2</v>
      </c>
      <c r="F283" s="11">
        <f>1-F282</f>
        <v>9.8627167630057855E-2</v>
      </c>
      <c r="G283" s="11">
        <f>1-G282</f>
        <v>0.12183353437876965</v>
      </c>
      <c r="S283" s="66" t="s">
        <v>65</v>
      </c>
      <c r="T283" s="67">
        <f>1.96*T282</f>
        <v>0</v>
      </c>
      <c r="U283" s="67">
        <f>1.96*U282</f>
        <v>3.7158975555773517</v>
      </c>
      <c r="V283" s="67">
        <f>1.96*V282</f>
        <v>0.44675591643120061</v>
      </c>
      <c r="W283" s="67">
        <f>1.96*W282</f>
        <v>0.76396938509830814</v>
      </c>
      <c r="X283" s="67">
        <f>1.96*X282</f>
        <v>2.6871654739342019</v>
      </c>
      <c r="AM283" s="78"/>
      <c r="AN283" s="78"/>
      <c r="AO283" s="78"/>
    </row>
    <row r="284" spans="1:41" x14ac:dyDescent="0.3">
      <c r="C284" s="2"/>
      <c r="S284" t="s">
        <v>56</v>
      </c>
      <c r="T284" s="57">
        <f>AVERAGE(T22,T32,T42,T52,T62)</f>
        <v>100</v>
      </c>
      <c r="U284" s="57">
        <f>AVERAGE(U22,U32,U42,U52,U62)</f>
        <v>69.629425758354984</v>
      </c>
      <c r="V284" s="57">
        <f>AVERAGE(V22,V32,V42,V52,V62)</f>
        <v>97.343861064632648</v>
      </c>
      <c r="W284" s="57">
        <f>AVERAGE(W22,W32,W42,W52,W62)</f>
        <v>92.894007569042884</v>
      </c>
      <c r="X284" s="57">
        <f>AVERAGE(X22,X32,X42,X52,X62)</f>
        <v>81.478792770157682</v>
      </c>
    </row>
    <row r="285" spans="1:41" ht="15.6" x14ac:dyDescent="0.35">
      <c r="A285" t="s">
        <v>322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</v>
      </c>
      <c r="U285" s="57">
        <f>_xlfn.STDEV.S(U22,U32,U42,U52,U62)</f>
        <v>1.0419354093181594</v>
      </c>
      <c r="V285" s="57">
        <f>_xlfn.STDEV.S(V22,V32,V42,V52,V62)</f>
        <v>0.13124109418439894</v>
      </c>
      <c r="W285" s="57">
        <f>_xlfn.STDEV.S(W22,W32,W42,W52,W62)</f>
        <v>0.1258756041309978</v>
      </c>
      <c r="X285" s="57">
        <f>_xlfn.STDEV.S(X22,X32,X42,X52,X62)</f>
        <v>0.5835109000674924</v>
      </c>
      <c r="AM285" s="78"/>
      <c r="AN285" s="78"/>
      <c r="AO285" s="78"/>
    </row>
    <row r="286" spans="1:41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65</v>
      </c>
      <c r="T286" s="67">
        <f>1.96*T285</f>
        <v>0</v>
      </c>
      <c r="U286" s="67">
        <f>1.96*U285</f>
        <v>2.0421934022635924</v>
      </c>
      <c r="V286" s="67">
        <f>1.96*V285</f>
        <v>0.25723254460142192</v>
      </c>
      <c r="W286" s="67">
        <f>1.96*W285</f>
        <v>0.24671618409675569</v>
      </c>
      <c r="X286" s="67">
        <f>1.96*X285</f>
        <v>1.1436813641322852</v>
      </c>
    </row>
    <row r="287" spans="1:41" x14ac:dyDescent="0.3">
      <c r="A287" t="s">
        <v>3</v>
      </c>
      <c r="B287" s="13">
        <v>0</v>
      </c>
      <c r="C287" s="29">
        <f>(C276/$L287)*$O287</f>
        <v>1.4697506619175233</v>
      </c>
      <c r="D287" s="31">
        <f>(D276/$L287)*$O287</f>
        <v>0</v>
      </c>
      <c r="E287" s="31">
        <f>(E276/$L287)*$O287</f>
        <v>0</v>
      </c>
      <c r="F287" s="31">
        <f>(F276/$L287)*$O287</f>
        <v>0</v>
      </c>
      <c r="G287" s="32">
        <f>(G276/$L287)*$O287</f>
        <v>0</v>
      </c>
      <c r="H287" s="17">
        <f>SUM(C287:G287)</f>
        <v>1.4697506619175233</v>
      </c>
      <c r="I287" s="17">
        <f>C287/H287*100</f>
        <v>100</v>
      </c>
      <c r="J287" s="17">
        <f>SQRT(I287*(100-I287)/(L287-1))</f>
        <v>0</v>
      </c>
      <c r="K287" s="18">
        <f>100-I287</f>
        <v>0</v>
      </c>
      <c r="L287" s="1">
        <f>H276</f>
        <v>259</v>
      </c>
      <c r="M287">
        <v>0</v>
      </c>
      <c r="N287" s="1">
        <v>2911.89</v>
      </c>
      <c r="O287" s="17">
        <f>N287/N292*100</f>
        <v>1.4697506619175233</v>
      </c>
      <c r="P287" s="52">
        <f>((O287*O287*(I287/100)*(K287/100))/(L287-1))</f>
        <v>0</v>
      </c>
      <c r="R287" s="16" t="s">
        <v>75</v>
      </c>
      <c r="S287" t="s">
        <v>9</v>
      </c>
      <c r="T287" s="57">
        <f>AVERAGE(T23,T33,T43,T53,T63)</f>
        <v>2917.308</v>
      </c>
      <c r="U287" s="57">
        <f>AVERAGE(U23,U33,U43,U53,U63)</f>
        <v>9608.4320000000007</v>
      </c>
      <c r="V287" s="57">
        <f>AVERAGE(V23,V33,V43,V53,V63)</f>
        <v>114639.53800000002</v>
      </c>
      <c r="W287" s="57">
        <f>AVERAGE(W23,W33,W43,W53,W63)</f>
        <v>51507.060000000005</v>
      </c>
      <c r="X287" s="57">
        <f>AVERAGE(X23,X33,X43,X53,X63)</f>
        <v>19449.025999999998</v>
      </c>
      <c r="Z287" t="s">
        <v>36</v>
      </c>
      <c r="AA287" s="57">
        <f>AVERAGE(AA23,AA33,AA43,AA53,AA63)</f>
        <v>198121.364</v>
      </c>
      <c r="AM287" s="78"/>
      <c r="AN287" s="78"/>
      <c r="AO287" s="78"/>
    </row>
    <row r="288" spans="1:41" x14ac:dyDescent="0.3">
      <c r="A288" t="s">
        <v>4</v>
      </c>
      <c r="B288" s="13">
        <v>1</v>
      </c>
      <c r="C288" s="33">
        <f t="shared" ref="C288:G291" si="42">(C277/$L288)*$O288</f>
        <v>0</v>
      </c>
      <c r="D288" s="34">
        <f t="shared" si="42"/>
        <v>4.1628966077313772</v>
      </c>
      <c r="E288" s="19">
        <f t="shared" si="42"/>
        <v>0.54174681881435727</v>
      </c>
      <c r="F288" s="18">
        <f t="shared" si="42"/>
        <v>0</v>
      </c>
      <c r="G288" s="20">
        <f t="shared" si="42"/>
        <v>0.12830845708761093</v>
      </c>
      <c r="H288" s="17">
        <f>SUM(C288:G288)</f>
        <v>4.8329518836333456</v>
      </c>
      <c r="I288" s="17">
        <f>D288/H288*100</f>
        <v>86.135693215339231</v>
      </c>
      <c r="J288" s="17">
        <f>SQRT(I288*(100-I288)/(L288-1))</f>
        <v>1.8796730137447457</v>
      </c>
      <c r="K288" s="18">
        <f>100-I288</f>
        <v>13.864306784660769</v>
      </c>
      <c r="L288" s="1">
        <f>H277</f>
        <v>339</v>
      </c>
      <c r="M288">
        <v>1</v>
      </c>
      <c r="N288" s="1">
        <v>9575.11</v>
      </c>
      <c r="O288" s="17">
        <f>N288/N292*100</f>
        <v>4.8329518836333447</v>
      </c>
      <c r="P288" s="52">
        <f>((O288*O288*(I288/100)*(K288/100))/(L288-1))</f>
        <v>8.2525764350438301E-3</v>
      </c>
      <c r="S288" t="s">
        <v>29</v>
      </c>
      <c r="T288" s="57">
        <f>_xlfn.STDEV.S(T23,T33,T43,T53,T63)</f>
        <v>3.6488313197515527</v>
      </c>
      <c r="U288" s="57">
        <f>_xlfn.STDEV.S(U23,U33,U43,U53,U63)</f>
        <v>122.74536883320671</v>
      </c>
      <c r="V288" s="57">
        <f>_xlfn.STDEV.S(V23,V33,V43,V53,V63)</f>
        <v>307.7448203788349</v>
      </c>
      <c r="W288" s="57">
        <f>_xlfn.STDEV.S(W23,W33,W43,W53,W63)</f>
        <v>229.91879349022309</v>
      </c>
      <c r="X288" s="57">
        <f>_xlfn.STDEV.S(X23,X33,X43,X53,X63)</f>
        <v>289.74007563676753</v>
      </c>
      <c r="Z288" t="s">
        <v>29</v>
      </c>
      <c r="AA288" s="57">
        <f>_xlfn.STDEV.S(AA23,AA33,AA43,AA53,AA63)</f>
        <v>5.4772255748391169E-3</v>
      </c>
    </row>
    <row r="289" spans="1:41" x14ac:dyDescent="0.3">
      <c r="A289" t="s">
        <v>5</v>
      </c>
      <c r="B289" s="13">
        <v>2</v>
      </c>
      <c r="C289" s="33">
        <f t="shared" si="42"/>
        <v>0</v>
      </c>
      <c r="D289" s="19">
        <f t="shared" si="42"/>
        <v>1.3938378033634875</v>
      </c>
      <c r="E289" s="34">
        <f t="shared" si="42"/>
        <v>55.636053892683023</v>
      </c>
      <c r="F289" s="19">
        <f t="shared" si="42"/>
        <v>0.70474945113884191</v>
      </c>
      <c r="G289" s="20">
        <f t="shared" si="42"/>
        <v>0.20359428588455433</v>
      </c>
      <c r="H289" s="17">
        <f>SUM(C289:G289)</f>
        <v>57.938235433069913</v>
      </c>
      <c r="I289" s="17">
        <f>E289/H289*100</f>
        <v>96.026490066225151</v>
      </c>
      <c r="J289" s="17">
        <f>SQRT(I289*(100-I289)/(L289-1))</f>
        <v>0.22710438277068104</v>
      </c>
      <c r="K289" s="18">
        <f>100-I289</f>
        <v>3.9735099337748494</v>
      </c>
      <c r="L289" s="1">
        <f>H278</f>
        <v>7399</v>
      </c>
      <c r="M289">
        <v>2</v>
      </c>
      <c r="N289" s="1">
        <v>114788.02</v>
      </c>
      <c r="O289" s="17">
        <f>N289/N292*100</f>
        <v>57.938235433069906</v>
      </c>
      <c r="P289" s="52">
        <f>((O289*O289*(I289/100)*(K289/100))/(L289-1))</f>
        <v>1.7313367971303749E-2</v>
      </c>
      <c r="S289" t="s">
        <v>65</v>
      </c>
      <c r="T289" s="57">
        <f>1.96*T288</f>
        <v>7.1517093867130432</v>
      </c>
      <c r="U289" s="57">
        <f>1.96*U288</f>
        <v>240.58092291308515</v>
      </c>
      <c r="V289" s="57">
        <f>1.96*V288</f>
        <v>603.1798479425164</v>
      </c>
      <c r="W289" s="57">
        <f>1.96*W288</f>
        <v>450.64083524083725</v>
      </c>
      <c r="X289" s="57">
        <f>1.96*X288</f>
        <v>567.89054824806431</v>
      </c>
      <c r="AM289" s="78"/>
      <c r="AN289" s="78"/>
      <c r="AO289" s="78"/>
    </row>
    <row r="290" spans="1:41" x14ac:dyDescent="0.3">
      <c r="A290" t="s">
        <v>6</v>
      </c>
      <c r="B290" s="13">
        <v>3</v>
      </c>
      <c r="C290" s="33">
        <f t="shared" si="42"/>
        <v>0</v>
      </c>
      <c r="D290" s="19">
        <f t="shared" si="42"/>
        <v>3.9673289182205217E-2</v>
      </c>
      <c r="E290" s="19">
        <f t="shared" si="42"/>
        <v>0.37689624723094955</v>
      </c>
      <c r="F290" s="34">
        <f t="shared" si="42"/>
        <v>24.746214127400503</v>
      </c>
      <c r="G290" s="20">
        <f t="shared" si="42"/>
        <v>0.65460927150638604</v>
      </c>
      <c r="H290" s="17">
        <f>SUM(C290:G290)</f>
        <v>25.817392935320044</v>
      </c>
      <c r="I290" s="17">
        <f>F290/H290*100</f>
        <v>95.850941221667313</v>
      </c>
      <c r="J290" s="17">
        <f>SQRT(I290*(100-I290)/(L290-1))</f>
        <v>0.39094830856780166</v>
      </c>
      <c r="K290" s="18">
        <f>100-I290</f>
        <v>4.1490587783326873</v>
      </c>
      <c r="L290" s="1">
        <f>H279</f>
        <v>2603</v>
      </c>
      <c r="M290">
        <v>3</v>
      </c>
      <c r="N290" s="1">
        <v>51149.77</v>
      </c>
      <c r="O290" s="17">
        <f>N290/N292*100</f>
        <v>25.817392935320044</v>
      </c>
      <c r="P290" s="52">
        <f>((O290*O290*(I290/100)*(K290/100))/(L290-1))</f>
        <v>1.018740205592257E-2</v>
      </c>
      <c r="R290" s="16" t="s">
        <v>74</v>
      </c>
      <c r="S290" t="s">
        <v>9</v>
      </c>
      <c r="T290" s="57">
        <f>AVERAGE(T24,T34,T44,T54,T64)</f>
        <v>2917.308</v>
      </c>
      <c r="U290" s="57">
        <f>AVERAGE(U24,U34,U44,U54,U64)</f>
        <v>11558.594452767493</v>
      </c>
      <c r="V290" s="57">
        <f>AVERAGE(V24,V34,V44,V54,V64)</f>
        <v>112210.40880640056</v>
      </c>
      <c r="W290" s="57">
        <f>AVERAGE(W24,W34,W44,W54,W64)</f>
        <v>54502.424236761617</v>
      </c>
      <c r="X290" s="57">
        <f>AVERAGE(X24,X34,X44,X54,X64)</f>
        <v>16932.628504070315</v>
      </c>
      <c r="Z290" t="s">
        <v>36</v>
      </c>
      <c r="AA290" s="24">
        <f>SUM(T290:X290)</f>
        <v>198121.36399999997</v>
      </c>
    </row>
    <row r="291" spans="1:41" x14ac:dyDescent="0.3">
      <c r="A291" t="s">
        <v>7</v>
      </c>
      <c r="B291" s="13">
        <v>4</v>
      </c>
      <c r="C291" s="35">
        <f t="shared" si="42"/>
        <v>0</v>
      </c>
      <c r="D291" s="36">
        <f t="shared" si="42"/>
        <v>0.19676220066158773</v>
      </c>
      <c r="E291" s="21">
        <f t="shared" si="42"/>
        <v>0.31067715893934905</v>
      </c>
      <c r="F291" s="21">
        <f t="shared" si="42"/>
        <v>1.8951306695300292</v>
      </c>
      <c r="G291" s="37">
        <f t="shared" si="42"/>
        <v>7.5390990569282037</v>
      </c>
      <c r="H291" s="17">
        <f>SUM(C291:G291)</f>
        <v>9.9416690860591697</v>
      </c>
      <c r="I291" s="17">
        <f>G291/H291*100</f>
        <v>75.833333333333329</v>
      </c>
      <c r="J291" s="17">
        <f>SQRT(I291*(100-I291)/(L291-1))</f>
        <v>1.382385422597437</v>
      </c>
      <c r="K291" s="18">
        <f>100-I291</f>
        <v>24.166666666666671</v>
      </c>
      <c r="L291" s="1">
        <f>H280</f>
        <v>960</v>
      </c>
      <c r="M291">
        <v>4</v>
      </c>
      <c r="N291" s="1">
        <v>19696.57</v>
      </c>
      <c r="O291" s="17">
        <f>N291/N292*100</f>
        <v>9.9416690860591697</v>
      </c>
      <c r="P291" s="52">
        <f>((O291*O291*(I291/100)*(K291/100))/(L291-1))</f>
        <v>1.8887605256334972E-2</v>
      </c>
      <c r="S291" t="s">
        <v>29</v>
      </c>
      <c r="T291" s="57">
        <f>_xlfn.STDEV.S(T24,T34,T44,T54,T64)</f>
        <v>3.6488313197515527</v>
      </c>
      <c r="U291" s="57">
        <f>_xlfn.STDEV.S(U24,U34,U44,U54,U64)</f>
        <v>324.54502234067849</v>
      </c>
      <c r="V291" s="57">
        <f>_xlfn.STDEV.S(V24,V34,V44,V54,V64)</f>
        <v>362.30115918614098</v>
      </c>
      <c r="W291" s="57">
        <f>_xlfn.STDEV.S(W24,W34,W44,W54,W64)</f>
        <v>187.93193507506774</v>
      </c>
      <c r="X291" s="57">
        <f>_xlfn.STDEV.S(X24,X34,X44,X54,X64)</f>
        <v>348.14714253095104</v>
      </c>
      <c r="AM291" s="78"/>
      <c r="AN291" s="78"/>
      <c r="AO291" s="78"/>
    </row>
    <row r="292" spans="1:41" x14ac:dyDescent="0.3">
      <c r="B292" t="s">
        <v>28</v>
      </c>
      <c r="C292" s="17">
        <f>SUM(C287:C291)</f>
        <v>1.4697506619175233</v>
      </c>
      <c r="D292" s="17">
        <f>SUM(D287:D291)</f>
        <v>5.7931699009386568</v>
      </c>
      <c r="E292" s="17">
        <f>SUM(E287:E291)</f>
        <v>56.865374117667685</v>
      </c>
      <c r="F292" s="17">
        <f>SUM(F287:F291)</f>
        <v>27.346094248069374</v>
      </c>
      <c r="G292" s="17">
        <f>SUM(G287:G291)</f>
        <v>8.5256110714067557</v>
      </c>
      <c r="H292" s="1">
        <f>SUM(H286:H291)</f>
        <v>99.999999999999986</v>
      </c>
      <c r="I292" s="13" t="s">
        <v>24</v>
      </c>
      <c r="J292" s="12" t="s">
        <v>29</v>
      </c>
      <c r="N292" s="1">
        <f>SUM(N287:N291)</f>
        <v>198121.36000000002</v>
      </c>
      <c r="O292" s="17">
        <f>SUM(O287:O291)</f>
        <v>99.999999999999986</v>
      </c>
      <c r="S292" s="66" t="s">
        <v>65</v>
      </c>
      <c r="T292" s="67">
        <f>1.96*T291</f>
        <v>7.1517093867130432</v>
      </c>
      <c r="U292" s="67">
        <f>1.96*U291</f>
        <v>636.10824378772986</v>
      </c>
      <c r="V292" s="67">
        <f>1.96*V291</f>
        <v>710.11027200483636</v>
      </c>
      <c r="W292" s="67">
        <f>1.96*W291</f>
        <v>368.34659274713277</v>
      </c>
      <c r="X292" s="67">
        <f>1.96*X291</f>
        <v>682.36839936066406</v>
      </c>
    </row>
    <row r="293" spans="1:41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0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0.14584369912580983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0.175980384234391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0.17753749942129099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0.16901257876441947</v>
      </c>
      <c r="H293" s="1"/>
      <c r="I293" s="56">
        <f>(C287+D288+E289+F290+G291)/H292</f>
        <v>0.93554014346660652</v>
      </c>
      <c r="J293" s="53">
        <f>SQRT(SUM(P287:P291))/100</f>
        <v>2.3375404107438469E-3</v>
      </c>
      <c r="M293" s="1"/>
      <c r="N293" s="9"/>
      <c r="AM293" s="78"/>
      <c r="AN293" s="78"/>
      <c r="AO293" s="78"/>
    </row>
    <row r="294" spans="1:41" x14ac:dyDescent="0.3">
      <c r="B294" s="1" t="s">
        <v>30</v>
      </c>
      <c r="C294" s="17">
        <f>C287/C292*100</f>
        <v>100</v>
      </c>
      <c r="D294" s="17">
        <f>D288/D292*100</f>
        <v>71.858700485495348</v>
      </c>
      <c r="E294" s="17">
        <f>E289/E292*100</f>
        <v>97.838191968207383</v>
      </c>
      <c r="F294" s="17">
        <f>F290/F292*100</f>
        <v>90.492682073410094</v>
      </c>
      <c r="G294" s="17">
        <f>G291/G292*100</f>
        <v>88.428840980242214</v>
      </c>
      <c r="H294" s="1"/>
    </row>
    <row r="295" spans="1:41" x14ac:dyDescent="0.3">
      <c r="B295" s="16" t="s">
        <v>39</v>
      </c>
      <c r="C295" s="18">
        <f>SQRT((C298+C299)/(C292*C292))</f>
        <v>0</v>
      </c>
      <c r="D295" s="18">
        <f>SQRT((D298+D299)/(D292*D292))</f>
        <v>4.6347374703584947</v>
      </c>
      <c r="E295" s="18">
        <f>SQRT((E298+E299)/(E292*E292))</f>
        <v>0.20738049391975494</v>
      </c>
      <c r="F295" s="18">
        <f>SQRT((F298+F299)/(F292*F292))</f>
        <v>0.59746840787665356</v>
      </c>
      <c r="G295" s="18">
        <f>SQRT((G298+G299)/(G292*G292))</f>
        <v>2.1268059549056129</v>
      </c>
      <c r="H295" s="1"/>
      <c r="AM295" s="78"/>
      <c r="AN295" s="78"/>
      <c r="AO295" s="78"/>
    </row>
    <row r="296" spans="1:41" x14ac:dyDescent="0.3">
      <c r="B296" s="1" t="s">
        <v>37</v>
      </c>
      <c r="C296" s="18">
        <f>100-C294</f>
        <v>0</v>
      </c>
      <c r="D296" s="18">
        <f>100-D294</f>
        <v>28.141299514504652</v>
      </c>
      <c r="E296" s="18">
        <f>100-E294</f>
        <v>2.1618080317926172</v>
      </c>
      <c r="F296" s="18">
        <f>100-F294</f>
        <v>9.5073179265899057</v>
      </c>
      <c r="G296" s="18">
        <f>100-G294</f>
        <v>11.571159019757786</v>
      </c>
    </row>
    <row r="297" spans="1:41" ht="15.6" x14ac:dyDescent="0.35">
      <c r="B297" s="1" t="s">
        <v>25</v>
      </c>
      <c r="C297" s="1">
        <f>C281</f>
        <v>259</v>
      </c>
      <c r="D297" s="1">
        <f>D281</f>
        <v>493</v>
      </c>
      <c r="E297" s="1">
        <f>E281</f>
        <v>7211</v>
      </c>
      <c r="F297" s="1">
        <f>F281</f>
        <v>2768</v>
      </c>
      <c r="G297" s="1">
        <f>G281</f>
        <v>829</v>
      </c>
      <c r="AM297" s="78"/>
      <c r="AN297" s="78"/>
      <c r="AO297" s="78"/>
    </row>
    <row r="298" spans="1:41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653.54854547712262</v>
      </c>
      <c r="E298" s="18">
        <f>(O289*O289*(100-E294)*(100-E294)*(I289)*(100-I289))/((L289-1)*100)</f>
        <v>8.0912535681181446</v>
      </c>
      <c r="F298" s="18">
        <f>(O290*O290*(100-F294)*(100-F294)*(I290)*(100-I290))/((L290-1)*100)</f>
        <v>92.083004365062678</v>
      </c>
      <c r="G298" s="18">
        <f>(O291*O291*(100-G294)*(100-G294)*(I291)*(100-I291))/((L291-1)*100)</f>
        <v>252.88939744824503</v>
      </c>
    </row>
    <row r="299" spans="1:41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67.364375120893186</v>
      </c>
      <c r="E299" s="18">
        <f>E294*E294*(SUM((H287*E287*(1-E276/H276))/(H276-1),(H288*E288*(1-E277/H277))/(H277-1), (H290*E290*(1-E279/H279))/(H279-1),(H291*E291*(1-E280/H280))/(H280-1)))</f>
        <v>130.97815588017536</v>
      </c>
      <c r="F299" s="18">
        <f>F294*F294*(SUM((H287*F287*(1-F276/H276))/(H276-1),(H288*F288*(1-F277/H277))/(H277-1), (H289*F289*(1-F278/H278))/(H278-1),(H291*F291*(1-F280/H280))/(H280-1)))</f>
        <v>174.86120527986515</v>
      </c>
      <c r="G299" s="18">
        <f>G294*G294*(SUM((H287*G287*(1-G276/H276))/(H276-1),(H288*G288*(1-G277/H277))/(H277-1), (H289*G289*(1-G278/H278))/(H278-1),(H290*G290*(1-G279/H279))/(H279-1)))</f>
        <v>75.891645490495961</v>
      </c>
      <c r="AM299" s="78"/>
      <c r="AN299" s="78"/>
      <c r="AO299" s="78"/>
    </row>
    <row r="301" spans="1:41" x14ac:dyDescent="0.3">
      <c r="AM301" s="78"/>
      <c r="AN301" s="78"/>
      <c r="AO301" s="78"/>
    </row>
    <row r="302" spans="1:41" x14ac:dyDescent="0.3">
      <c r="A302" s="361" t="s">
        <v>441</v>
      </c>
      <c r="B302" s="361"/>
      <c r="C302" s="361"/>
      <c r="D302" s="361"/>
      <c r="E302" s="361"/>
      <c r="F302" s="361"/>
      <c r="G302" s="361"/>
      <c r="H302" s="361"/>
      <c r="I302" s="361"/>
      <c r="J302" s="361"/>
      <c r="K302" s="361"/>
      <c r="L302" s="361" t="s">
        <v>88</v>
      </c>
      <c r="M302" s="361"/>
      <c r="N302" s="361"/>
      <c r="O302" s="361"/>
      <c r="P302" s="361"/>
    </row>
    <row r="303" spans="1:41" x14ac:dyDescent="0.3">
      <c r="A303" t="s">
        <v>320</v>
      </c>
      <c r="B303" t="s">
        <v>21</v>
      </c>
      <c r="I303" s="1" t="s">
        <v>58</v>
      </c>
      <c r="O303" s="143"/>
      <c r="P303" s="143"/>
      <c r="AM303" s="78"/>
      <c r="AN303" s="78"/>
      <c r="AO303" s="78"/>
    </row>
    <row r="304" spans="1:41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56</v>
      </c>
      <c r="O304" s="13"/>
      <c r="P304" s="13"/>
    </row>
    <row r="305" spans="1:41" x14ac:dyDescent="0.3">
      <c r="A305" t="s">
        <v>3</v>
      </c>
      <c r="B305" s="13">
        <v>0</v>
      </c>
      <c r="C305" s="26">
        <v>259</v>
      </c>
      <c r="D305" s="3">
        <v>0</v>
      </c>
      <c r="E305" s="3">
        <v>0</v>
      </c>
      <c r="F305" s="3">
        <v>0</v>
      </c>
      <c r="G305" s="4">
        <v>0</v>
      </c>
      <c r="H305" s="1">
        <f>SUM(C305:G305)</f>
        <v>259</v>
      </c>
      <c r="I305" s="10">
        <f>C305/H305</f>
        <v>1</v>
      </c>
      <c r="J305" s="11">
        <f>1-I305</f>
        <v>0</v>
      </c>
      <c r="K305">
        <f>H305-C310</f>
        <v>0</v>
      </c>
      <c r="N305" s="10">
        <f>2*(C311*I305)/(C311+I305)</f>
        <v>1</v>
      </c>
      <c r="O305" s="1"/>
      <c r="P305" s="1"/>
      <c r="AM305" s="78"/>
      <c r="AN305" s="78"/>
      <c r="AO305" s="78"/>
    </row>
    <row r="306" spans="1:41" x14ac:dyDescent="0.3">
      <c r="A306" t="s">
        <v>4</v>
      </c>
      <c r="B306" s="13">
        <v>1</v>
      </c>
      <c r="C306" s="5">
        <v>0</v>
      </c>
      <c r="D306" s="27">
        <v>290</v>
      </c>
      <c r="E306" s="1">
        <v>42</v>
      </c>
      <c r="F306" s="1">
        <v>0</v>
      </c>
      <c r="G306" s="6">
        <v>7</v>
      </c>
      <c r="H306" s="1">
        <f>SUM(C306:G306)</f>
        <v>339</v>
      </c>
      <c r="I306" s="10">
        <f>D306/H306</f>
        <v>0.85545722713864303</v>
      </c>
      <c r="J306" s="11">
        <f>1-I306</f>
        <v>0.14454277286135697</v>
      </c>
      <c r="K306">
        <f>H306-D310</f>
        <v>-154</v>
      </c>
      <c r="N306" s="10">
        <f>2*(D311*I306)/(D311+I306)</f>
        <v>0.69711538461538469</v>
      </c>
      <c r="O306" s="1"/>
      <c r="P306" s="1"/>
    </row>
    <row r="307" spans="1:41" x14ac:dyDescent="0.3">
      <c r="A307" t="s">
        <v>5</v>
      </c>
      <c r="B307" s="13">
        <v>2</v>
      </c>
      <c r="C307" s="5">
        <v>0</v>
      </c>
      <c r="D307" s="1">
        <v>171</v>
      </c>
      <c r="E307" s="27">
        <v>7119</v>
      </c>
      <c r="F307" s="1">
        <v>91</v>
      </c>
      <c r="G307" s="6">
        <v>18</v>
      </c>
      <c r="H307" s="1">
        <f>SUM(C307:G307)</f>
        <v>7399</v>
      </c>
      <c r="I307" s="10">
        <f>E307/H307</f>
        <v>0.96215704824976345</v>
      </c>
      <c r="J307" s="11">
        <f>1-I307</f>
        <v>3.7842951750236553E-2</v>
      </c>
      <c r="K307">
        <f>H307-E310</f>
        <v>196</v>
      </c>
      <c r="N307" s="10">
        <f>2*(E311*I307)/(E311+I307)</f>
        <v>0.97507190795781407</v>
      </c>
      <c r="O307" s="1"/>
      <c r="P307" s="1"/>
      <c r="AM307" s="78"/>
      <c r="AN307" s="78"/>
      <c r="AO307" s="78"/>
    </row>
    <row r="308" spans="1:41" x14ac:dyDescent="0.3">
      <c r="A308" t="s">
        <v>6</v>
      </c>
      <c r="B308" s="13">
        <v>3</v>
      </c>
      <c r="C308" s="5">
        <v>0</v>
      </c>
      <c r="D308" s="1">
        <v>8</v>
      </c>
      <c r="E308" s="1">
        <v>25</v>
      </c>
      <c r="F308" s="27">
        <v>2497</v>
      </c>
      <c r="G308" s="6">
        <v>73</v>
      </c>
      <c r="H308" s="1">
        <f>SUM(C308:G308)</f>
        <v>2603</v>
      </c>
      <c r="I308" s="10">
        <f>F308/H308</f>
        <v>0.95927775643488278</v>
      </c>
      <c r="J308" s="11">
        <f>1-I308</f>
        <v>4.0722243565117222E-2</v>
      </c>
      <c r="K308">
        <f>H308-F310</f>
        <v>-166</v>
      </c>
      <c r="N308" s="10">
        <f>2*(F311*I308)/(F311+I308)</f>
        <v>0.92963514519731938</v>
      </c>
      <c r="O308" s="1"/>
      <c r="P308" s="1"/>
    </row>
    <row r="309" spans="1:41" x14ac:dyDescent="0.3">
      <c r="A309" t="s">
        <v>7</v>
      </c>
      <c r="B309" s="13">
        <v>4</v>
      </c>
      <c r="C309" s="7">
        <v>0</v>
      </c>
      <c r="D309" s="8">
        <v>24</v>
      </c>
      <c r="E309" s="8">
        <v>17</v>
      </c>
      <c r="F309" s="8">
        <v>181</v>
      </c>
      <c r="G309" s="28">
        <v>738</v>
      </c>
      <c r="H309" s="1">
        <f>SUM(C309:G309)</f>
        <v>960</v>
      </c>
      <c r="I309" s="10">
        <f>G309/H309</f>
        <v>0.76875000000000004</v>
      </c>
      <c r="J309" s="11">
        <f>1-I309</f>
        <v>0.23124999999999996</v>
      </c>
      <c r="K309">
        <f>H309-G310</f>
        <v>124</v>
      </c>
      <c r="N309" s="10">
        <f>2*(G311*I309)/(G311+I309)</f>
        <v>0.82182628062360807</v>
      </c>
      <c r="O309" s="1"/>
      <c r="P309" s="1"/>
      <c r="AM309" s="78"/>
      <c r="AN309" s="78"/>
      <c r="AO309" s="78"/>
    </row>
    <row r="310" spans="1:41" ht="15.6" x14ac:dyDescent="0.35">
      <c r="B310" s="1" t="s">
        <v>19</v>
      </c>
      <c r="C310" s="1">
        <f>SUM(C305:C309)</f>
        <v>259</v>
      </c>
      <c r="D310" s="1">
        <f>SUM(D305:D309)</f>
        <v>493</v>
      </c>
      <c r="E310" s="1">
        <f>SUM(E305:E309)</f>
        <v>7203</v>
      </c>
      <c r="F310" s="1">
        <f>SUM(F305:F309)</f>
        <v>2769</v>
      </c>
      <c r="G310" s="1">
        <f>SUM(G305:G309)</f>
        <v>836</v>
      </c>
      <c r="H310" s="1">
        <f>SUM(H304:H309)</f>
        <v>11560</v>
      </c>
      <c r="I310" s="13" t="s">
        <v>12</v>
      </c>
      <c r="N310" s="16" t="s">
        <v>36</v>
      </c>
      <c r="O310" s="1"/>
      <c r="P310" s="1"/>
    </row>
    <row r="311" spans="1:41" x14ac:dyDescent="0.3">
      <c r="A311" s="1" t="s">
        <v>321</v>
      </c>
      <c r="B311" s="1" t="s">
        <v>2</v>
      </c>
      <c r="C311" s="10">
        <f>C305/C310</f>
        <v>1</v>
      </c>
      <c r="D311" s="10">
        <f>D306/D310</f>
        <v>0.58823529411764708</v>
      </c>
      <c r="E311" s="10">
        <f>E307/E310</f>
        <v>0.98833819241982512</v>
      </c>
      <c r="F311" s="10">
        <f>F308/F310</f>
        <v>0.90176959191043693</v>
      </c>
      <c r="G311" s="10">
        <f>G309/G310</f>
        <v>0.88277511961722488</v>
      </c>
      <c r="H311" s="10"/>
      <c r="I311" s="14">
        <f>(C305+D306+E307+F308+G309)/H310</f>
        <v>0.94316608996539797</v>
      </c>
      <c r="AM311" s="78"/>
      <c r="AN311" s="78"/>
      <c r="AO311" s="78"/>
    </row>
    <row r="312" spans="1:41" x14ac:dyDescent="0.3">
      <c r="B312" s="1" t="s">
        <v>14</v>
      </c>
      <c r="C312" s="11">
        <f>1-C311</f>
        <v>0</v>
      </c>
      <c r="D312" s="11">
        <f>1-D311</f>
        <v>0.41176470588235292</v>
      </c>
      <c r="E312" s="11">
        <f>1-E311</f>
        <v>1.1661807580174877E-2</v>
      </c>
      <c r="F312" s="11">
        <f>1-F311</f>
        <v>9.823040808956307E-2</v>
      </c>
      <c r="G312" s="11">
        <f>1-G311</f>
        <v>0.11722488038277512</v>
      </c>
      <c r="Q312" s="25"/>
    </row>
    <row r="313" spans="1:41" x14ac:dyDescent="0.3">
      <c r="C313" s="2"/>
      <c r="Q313" s="25"/>
      <c r="AM313" s="78"/>
      <c r="AN313" s="78"/>
      <c r="AO313" s="78"/>
    </row>
    <row r="314" spans="1:41" ht="15.6" x14ac:dyDescent="0.35">
      <c r="A314" t="s">
        <v>322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1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  <c r="AO315" s="78"/>
    </row>
    <row r="316" spans="1:41" x14ac:dyDescent="0.3">
      <c r="A316" t="s">
        <v>3</v>
      </c>
      <c r="B316" s="13">
        <v>0</v>
      </c>
      <c r="C316" s="29">
        <f>(C305/$L316)*$O316</f>
        <v>1.4672520451856332</v>
      </c>
      <c r="D316" s="31">
        <f>(D305/$L316)*$O316</f>
        <v>0</v>
      </c>
      <c r="E316" s="31">
        <f>(E305/$L316)*$O316</f>
        <v>0</v>
      </c>
      <c r="F316" s="31">
        <f>(F305/$L316)*$O316</f>
        <v>0</v>
      </c>
      <c r="G316" s="32">
        <f>(G305/$L316)*$O316</f>
        <v>0</v>
      </c>
      <c r="H316" s="17">
        <f>SUM(C316:G316)</f>
        <v>1.4672520451856332</v>
      </c>
      <c r="I316" s="17">
        <f>C316/H316*100</f>
        <v>100</v>
      </c>
      <c r="J316" s="17">
        <f>SQRT(I316*(100-I316)/(L316-1))</f>
        <v>0</v>
      </c>
      <c r="K316" s="18">
        <f>100-I316</f>
        <v>0</v>
      </c>
      <c r="L316" s="1">
        <f>H305</f>
        <v>259</v>
      </c>
      <c r="M316">
        <v>0</v>
      </c>
      <c r="N316" s="1">
        <v>2906.94</v>
      </c>
      <c r="O316" s="17">
        <f>N316/N321*100</f>
        <v>1.4672520451856332</v>
      </c>
      <c r="P316" s="52">
        <f>((O316*O316*(I316/100)*(K316/100))/(L316-1))</f>
        <v>0</v>
      </c>
    </row>
    <row r="317" spans="1:41" x14ac:dyDescent="0.3">
      <c r="A317" t="s">
        <v>4</v>
      </c>
      <c r="B317" s="13">
        <v>1</v>
      </c>
      <c r="C317" s="33">
        <f t="shared" ref="C317:G320" si="43">(C306/$L317)*$O317</f>
        <v>0</v>
      </c>
      <c r="D317" s="34">
        <f t="shared" si="43"/>
        <v>4.1451562208806543</v>
      </c>
      <c r="E317" s="19">
        <f t="shared" si="43"/>
        <v>0.60033296992064655</v>
      </c>
      <c r="F317" s="18">
        <f t="shared" si="43"/>
        <v>0</v>
      </c>
      <c r="G317" s="20">
        <f t="shared" si="43"/>
        <v>0.10005549498677442</v>
      </c>
      <c r="H317" s="17">
        <f>SUM(C317:G317)</f>
        <v>4.8455446857880755</v>
      </c>
      <c r="I317" s="17">
        <f>D317/H317*100</f>
        <v>85.545722713864308</v>
      </c>
      <c r="J317" s="17">
        <f>SQRT(I317*(100-I317)/(L317-1))</f>
        <v>1.9126653517482657</v>
      </c>
      <c r="K317" s="18">
        <f>100-I317</f>
        <v>14.454277286135692</v>
      </c>
      <c r="L317" s="1">
        <f>H306</f>
        <v>339</v>
      </c>
      <c r="M317">
        <v>1</v>
      </c>
      <c r="N317" s="1">
        <v>9600.06</v>
      </c>
      <c r="O317" s="17">
        <f>N317/N321*100</f>
        <v>4.8455446857880755</v>
      </c>
      <c r="P317" s="52">
        <f>((O317*O317*(I317/100)*(K317/100))/(L317-1))</f>
        <v>8.589407107526769E-3</v>
      </c>
      <c r="AM317" s="78"/>
      <c r="AN317" s="78"/>
      <c r="AO317" s="78"/>
    </row>
    <row r="318" spans="1:41" x14ac:dyDescent="0.3">
      <c r="A318" t="s">
        <v>5</v>
      </c>
      <c r="B318" s="13">
        <v>2</v>
      </c>
      <c r="C318" s="33">
        <f t="shared" si="43"/>
        <v>0</v>
      </c>
      <c r="D318" s="19">
        <f t="shared" si="43"/>
        <v>1.340962576220732</v>
      </c>
      <c r="E318" s="34">
        <f t="shared" si="43"/>
        <v>55.826389357399947</v>
      </c>
      <c r="F318" s="19">
        <f t="shared" si="43"/>
        <v>0.71361166336892767</v>
      </c>
      <c r="G318" s="20">
        <f t="shared" si="43"/>
        <v>0.14115395539165601</v>
      </c>
      <c r="H318" s="17">
        <f>SUM(C318:G318)</f>
        <v>58.022117552381268</v>
      </c>
      <c r="I318" s="17">
        <f>E318/H318*100</f>
        <v>96.215704824976342</v>
      </c>
      <c r="J318" s="17">
        <f>SQRT(I318*(100-I318)/(L318-1))</f>
        <v>0.22184943210024982</v>
      </c>
      <c r="K318" s="18">
        <f>100-I318</f>
        <v>3.784295175023658</v>
      </c>
      <c r="L318" s="1">
        <f>H307</f>
        <v>7399</v>
      </c>
      <c r="M318">
        <v>2</v>
      </c>
      <c r="N318" s="1">
        <v>114954.22</v>
      </c>
      <c r="O318" s="17">
        <f>N318/N321*100</f>
        <v>58.022117552381268</v>
      </c>
      <c r="P318" s="52">
        <f>((O318*O318*(I318/100)*(K318/100))/(L318-1))</f>
        <v>1.6569285906467713E-2</v>
      </c>
    </row>
    <row r="319" spans="1:41" x14ac:dyDescent="0.3">
      <c r="A319" t="s">
        <v>6</v>
      </c>
      <c r="B319" s="13">
        <v>3</v>
      </c>
      <c r="C319" s="33">
        <f t="shared" si="43"/>
        <v>0</v>
      </c>
      <c r="D319" s="19">
        <f t="shared" si="43"/>
        <v>7.9862131473505682E-2</v>
      </c>
      <c r="E319" s="19">
        <f t="shared" si="43"/>
        <v>0.24956916085470526</v>
      </c>
      <c r="F319" s="34">
        <f t="shared" si="43"/>
        <v>24.92696778616796</v>
      </c>
      <c r="G319" s="20">
        <f t="shared" si="43"/>
        <v>0.72874194969573935</v>
      </c>
      <c r="H319" s="17">
        <f>SUM(C319:G319)</f>
        <v>25.985141028191908</v>
      </c>
      <c r="I319" s="17">
        <f>F319/H319*100</f>
        <v>95.927775643488289</v>
      </c>
      <c r="J319" s="17">
        <f>SQRT(I319*(100-I319)/(L319-1))</f>
        <v>0.38746670504423208</v>
      </c>
      <c r="K319" s="18">
        <f>100-I319</f>
        <v>4.0722243565117111</v>
      </c>
      <c r="L319" s="1">
        <f>H308</f>
        <v>2603</v>
      </c>
      <c r="M319">
        <v>3</v>
      </c>
      <c r="N319" s="1">
        <v>51482.12</v>
      </c>
      <c r="O319" s="17">
        <f>N319/N321*100</f>
        <v>25.985141028191912</v>
      </c>
      <c r="P319" s="52">
        <f>((O319*O319*(I319/100)*(K319/100))/(L319-1))</f>
        <v>1.0137221489667904E-2</v>
      </c>
      <c r="AM319" s="78"/>
      <c r="AN319" s="78"/>
      <c r="AO319" s="78"/>
    </row>
    <row r="320" spans="1:41" x14ac:dyDescent="0.3">
      <c r="A320" t="s">
        <v>7</v>
      </c>
      <c r="B320" s="13">
        <v>4</v>
      </c>
      <c r="C320" s="35">
        <f t="shared" si="43"/>
        <v>0</v>
      </c>
      <c r="D320" s="36">
        <f t="shared" si="43"/>
        <v>0.24199861721132773</v>
      </c>
      <c r="E320" s="21">
        <f t="shared" si="43"/>
        <v>0.17141568719135714</v>
      </c>
      <c r="F320" s="21">
        <f t="shared" si="43"/>
        <v>1.8250729048020964</v>
      </c>
      <c r="G320" s="37">
        <f t="shared" si="43"/>
        <v>7.4414574792483279</v>
      </c>
      <c r="H320" s="17">
        <f>SUM(C320:G320)</f>
        <v>9.6799446884531086</v>
      </c>
      <c r="I320" s="17">
        <f>G320/H320*100</f>
        <v>76.875</v>
      </c>
      <c r="J320" s="17">
        <f>SQRT(I320*(100-I320)/(L320-1))</f>
        <v>1.3615203330504093</v>
      </c>
      <c r="K320" s="18">
        <f>100-I320</f>
        <v>23.125</v>
      </c>
      <c r="L320" s="1">
        <f>H309</f>
        <v>960</v>
      </c>
      <c r="M320">
        <v>4</v>
      </c>
      <c r="N320" s="1">
        <v>19178.04</v>
      </c>
      <c r="O320" s="17">
        <f>N320/N321*100</f>
        <v>9.6799446884531086</v>
      </c>
      <c r="P320" s="52">
        <f>((O320*O320*(I320/100)*(K320/100))/(L320-1))</f>
        <v>1.736976786771495E-2</v>
      </c>
    </row>
    <row r="321" spans="1:41" x14ac:dyDescent="0.3">
      <c r="B321" t="s">
        <v>28</v>
      </c>
      <c r="C321" s="17">
        <f t="shared" ref="C321:H321" si="44">SUM(C316:C320)</f>
        <v>1.4672520451856332</v>
      </c>
      <c r="D321" s="17">
        <f t="shared" si="44"/>
        <v>5.8079795457862193</v>
      </c>
      <c r="E321" s="17">
        <f t="shared" si="44"/>
        <v>56.847707175366651</v>
      </c>
      <c r="F321" s="17">
        <f t="shared" si="44"/>
        <v>27.465652354338982</v>
      </c>
      <c r="G321" s="17">
        <f t="shared" si="44"/>
        <v>8.4114088793224973</v>
      </c>
      <c r="H321" s="18">
        <f t="shared" si="44"/>
        <v>99.999999999999986</v>
      </c>
      <c r="I321" s="13" t="s">
        <v>24</v>
      </c>
      <c r="J321" s="12" t="s">
        <v>29</v>
      </c>
      <c r="N321" s="1">
        <f>SUM(N316:N320)</f>
        <v>198121.38</v>
      </c>
      <c r="O321" s="17">
        <f>SUM(O316:O320)</f>
        <v>100</v>
      </c>
      <c r="AM321" s="78"/>
      <c r="AN321" s="78"/>
      <c r="AO321" s="78"/>
    </row>
    <row r="322" spans="1:41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0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0.14835985199739901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0.16807781480321701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0.17491025695765111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0.16409558596300183</v>
      </c>
      <c r="H322" s="1"/>
      <c r="I322" s="14">
        <f>(C316+D317+E318+F319+G320)/H321</f>
        <v>0.93807222888882535</v>
      </c>
      <c r="J322" s="53">
        <f>SQRT(SUM(P316:P320))/100</f>
        <v>2.2949004852362846E-3</v>
      </c>
      <c r="M322" s="1"/>
      <c r="N322" s="9"/>
    </row>
    <row r="323" spans="1:41" x14ac:dyDescent="0.3">
      <c r="B323" s="1" t="s">
        <v>30</v>
      </c>
      <c r="C323" s="17">
        <f>C316/C321*100</f>
        <v>100</v>
      </c>
      <c r="D323" s="17">
        <f>D317/D321*100</f>
        <v>71.37002098927897</v>
      </c>
      <c r="E323" s="17">
        <f>E318/E321*100</f>
        <v>98.203414229502542</v>
      </c>
      <c r="F323" s="17">
        <f>F319/F321*100</f>
        <v>90.756875040071776</v>
      </c>
      <c r="G323" s="17">
        <f>G320/G321*100</f>
        <v>88.468621440356202</v>
      </c>
      <c r="H323" s="1"/>
      <c r="AM323" s="78"/>
      <c r="AN323" s="78"/>
      <c r="AO323" s="78"/>
    </row>
    <row r="324" spans="1:41" x14ac:dyDescent="0.3">
      <c r="B324" s="16" t="s">
        <v>39</v>
      </c>
      <c r="C324" s="18">
        <f>SQRT((C327+C328)/(C321*C321))</f>
        <v>0</v>
      </c>
      <c r="D324" s="18">
        <f>SQRT((D327+D328)/(D321*D321))</f>
        <v>4.7856716633275695</v>
      </c>
      <c r="E324" s="18">
        <f>SQRT((E327+E328)/(E321*E321))</f>
        <v>0.19129575445538705</v>
      </c>
      <c r="F324" s="18">
        <f>SQRT((F327+F328)/(F321*F321))</f>
        <v>0.58171403981048297</v>
      </c>
      <c r="G324" s="18">
        <f>SQRT((G327+G328)/(G321*G321))</f>
        <v>2.0795608638107077</v>
      </c>
      <c r="H324" s="1"/>
    </row>
    <row r="325" spans="1:41" x14ac:dyDescent="0.3">
      <c r="B325" s="1" t="s">
        <v>37</v>
      </c>
      <c r="C325" s="18">
        <f>100-C323</f>
        <v>0</v>
      </c>
      <c r="D325" s="18">
        <f>100-D323</f>
        <v>28.62997901072103</v>
      </c>
      <c r="E325" s="18">
        <f>100-E323</f>
        <v>1.7965857704974582</v>
      </c>
      <c r="F325" s="18">
        <f>100-F323</f>
        <v>9.2431249599282239</v>
      </c>
      <c r="G325" s="18">
        <f>100-G323</f>
        <v>11.531378559643798</v>
      </c>
      <c r="AM325" s="78"/>
      <c r="AN325" s="78"/>
      <c r="AO325" s="78"/>
    </row>
    <row r="326" spans="1:41" ht="15.6" x14ac:dyDescent="0.35">
      <c r="B326" s="1" t="s">
        <v>25</v>
      </c>
      <c r="C326" s="1">
        <f>C310</f>
        <v>259</v>
      </c>
      <c r="D326" s="1">
        <f>D310</f>
        <v>493</v>
      </c>
      <c r="E326" s="1">
        <f>E310</f>
        <v>7203</v>
      </c>
      <c r="F326" s="1">
        <f>F310</f>
        <v>2769</v>
      </c>
      <c r="G326" s="1">
        <f>G310</f>
        <v>836</v>
      </c>
    </row>
    <row r="327" spans="1:41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704.05282675937417</v>
      </c>
      <c r="E327" s="18">
        <f>(O318*O318*(100-E323)*(100-E323)*(I318)*(100-I318))/((L318-1)*100)</f>
        <v>5.3481022643309233</v>
      </c>
      <c r="F327" s="18">
        <f>(O319*O319*(100-F323)*(100-F323)*(I319)*(100-I319))/((L319-1)*100)</f>
        <v>86.607715748418315</v>
      </c>
      <c r="G327" s="18">
        <f>(O320*O320*(100-G323)*(100-G323)*(I320)*(100-I320))/((L320-1)*100)</f>
        <v>230.97047838538418</v>
      </c>
      <c r="AM327" s="78"/>
    </row>
    <row r="328" spans="1:41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68.513819636313798</v>
      </c>
      <c r="E328" s="18">
        <f>E323*E323*(SUM((H316*E316*(1-E305/H305))/(H305-1),(H317*E317*(1-E306/H306))/(H306-1), (H319*E319*(1-E308/H308))/(H308-1),(H320*E320*(1-E309/H309))/(H309-1)))</f>
        <v>112.9115422827382</v>
      </c>
      <c r="F328" s="18">
        <f>F323*F323*(SUM((H316*F316*(1-F305/H305))/(H305-1),(H317*F317*(1-F306/H306))/(H306-1), (H318*F318*(1-F307/H307))/(H307-1),(H320*F320*(1-F309/H309))/(H309-1)))</f>
        <v>168.66178490511425</v>
      </c>
      <c r="G328" s="18">
        <f>G323*G323*(SUM((H316*G316*(1-G305/H305))/(H305-1),(H317*G317*(1-G306/H306))/(H306-1), (H318*G318*(1-G307/H307))/(H307-1),(H319*G319*(1-G308/H308))/(H308-1)))</f>
        <v>75.000870051737834</v>
      </c>
    </row>
    <row r="329" spans="1:41" x14ac:dyDescent="0.3">
      <c r="AM329" s="78"/>
    </row>
    <row r="331" spans="1:41" x14ac:dyDescent="0.3">
      <c r="A331" s="361" t="s">
        <v>441</v>
      </c>
      <c r="B331" s="361"/>
      <c r="C331" s="361"/>
      <c r="D331" s="361"/>
      <c r="E331" s="361"/>
      <c r="F331" s="361"/>
      <c r="G331" s="361"/>
      <c r="H331" s="361"/>
      <c r="I331" s="361"/>
      <c r="J331" s="361"/>
      <c r="K331" s="361"/>
      <c r="L331" s="361" t="s">
        <v>89</v>
      </c>
      <c r="M331" s="361"/>
      <c r="N331" s="361"/>
      <c r="O331" s="361"/>
      <c r="P331" s="361"/>
      <c r="AM331" s="78"/>
    </row>
    <row r="332" spans="1:41" x14ac:dyDescent="0.3">
      <c r="A332" t="s">
        <v>320</v>
      </c>
      <c r="B332" t="s">
        <v>21</v>
      </c>
      <c r="I332" s="1" t="s">
        <v>58</v>
      </c>
      <c r="O332" s="143"/>
      <c r="P332" s="143"/>
    </row>
    <row r="333" spans="1:41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56</v>
      </c>
      <c r="O333" s="13"/>
      <c r="P333" s="13"/>
      <c r="AM333" s="78"/>
    </row>
    <row r="334" spans="1:41" x14ac:dyDescent="0.3">
      <c r="A334" t="s">
        <v>3</v>
      </c>
      <c r="B334" s="13">
        <v>0</v>
      </c>
      <c r="C334" s="26">
        <v>259</v>
      </c>
      <c r="D334" s="3">
        <v>0</v>
      </c>
      <c r="E334" s="3">
        <v>0</v>
      </c>
      <c r="F334" s="3">
        <v>0</v>
      </c>
      <c r="G334" s="4">
        <v>0</v>
      </c>
      <c r="H334" s="1">
        <f>SUM(C334:G334)</f>
        <v>259</v>
      </c>
      <c r="I334" s="10">
        <f>C334/H334</f>
        <v>1</v>
      </c>
      <c r="J334" s="11">
        <f>1-I334</f>
        <v>0</v>
      </c>
      <c r="K334">
        <f>H334-C339</f>
        <v>0</v>
      </c>
      <c r="N334" s="10">
        <f>2*(C340*I334)/(C340+I334)</f>
        <v>1</v>
      </c>
      <c r="O334" s="1"/>
      <c r="P334" s="1"/>
    </row>
    <row r="335" spans="1:41" x14ac:dyDescent="0.3">
      <c r="A335" t="s">
        <v>4</v>
      </c>
      <c r="B335" s="13">
        <v>1</v>
      </c>
      <c r="C335" s="5">
        <v>0</v>
      </c>
      <c r="D335" s="27">
        <v>284</v>
      </c>
      <c r="E335" s="1">
        <v>47</v>
      </c>
      <c r="F335" s="1">
        <v>0</v>
      </c>
      <c r="G335" s="6">
        <v>8</v>
      </c>
      <c r="H335" s="1">
        <f>SUM(C335:G335)</f>
        <v>339</v>
      </c>
      <c r="I335" s="10">
        <f>D335/H335</f>
        <v>0.83775811209439532</v>
      </c>
      <c r="J335" s="11">
        <f>1-I335</f>
        <v>0.16224188790560468</v>
      </c>
      <c r="K335">
        <f>H335-D339</f>
        <v>-152</v>
      </c>
      <c r="N335" s="10">
        <f>2*(D340*I335)/(D340+I335)</f>
        <v>0.68433734939759028</v>
      </c>
      <c r="O335" s="1"/>
      <c r="P335" s="1"/>
      <c r="AM335" s="78"/>
    </row>
    <row r="336" spans="1:41" x14ac:dyDescent="0.3">
      <c r="A336" t="s">
        <v>5</v>
      </c>
      <c r="B336" s="13">
        <v>2</v>
      </c>
      <c r="C336" s="5">
        <v>0</v>
      </c>
      <c r="D336" s="1">
        <v>187</v>
      </c>
      <c r="E336" s="27">
        <v>7098</v>
      </c>
      <c r="F336" s="1">
        <v>92</v>
      </c>
      <c r="G336" s="6">
        <v>22</v>
      </c>
      <c r="H336" s="1">
        <f>SUM(C336:G336)</f>
        <v>7399</v>
      </c>
      <c r="I336" s="10">
        <f>E336/H336</f>
        <v>0.95931882686849579</v>
      </c>
      <c r="J336" s="11">
        <f>1-I336</f>
        <v>4.0681173131504211E-2</v>
      </c>
      <c r="K336">
        <f>H336-E339</f>
        <v>207</v>
      </c>
      <c r="N336" s="10">
        <f>2*(E340*I336)/(E340+I336)</f>
        <v>0.97292851757932985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3</v>
      </c>
      <c r="E337" s="1">
        <v>25</v>
      </c>
      <c r="F337" s="27">
        <v>2500</v>
      </c>
      <c r="G337" s="6">
        <v>75</v>
      </c>
      <c r="H337" s="1">
        <f>SUM(C337:G337)</f>
        <v>2603</v>
      </c>
      <c r="I337" s="10">
        <f>F337/H337</f>
        <v>0.9604302727621975</v>
      </c>
      <c r="J337" s="11">
        <f>1-I337</f>
        <v>3.9569727237802499E-2</v>
      </c>
      <c r="K337">
        <f>H337-F339</f>
        <v>-176</v>
      </c>
      <c r="N337" s="10">
        <f>2*(F340*I337)/(F340+I337)</f>
        <v>0.92902266815310297</v>
      </c>
      <c r="O337" s="1"/>
      <c r="P337" s="1"/>
      <c r="AM337" s="78"/>
    </row>
    <row r="338" spans="1:40" x14ac:dyDescent="0.3">
      <c r="A338" t="s">
        <v>7</v>
      </c>
      <c r="B338" s="13">
        <v>4</v>
      </c>
      <c r="C338" s="7">
        <v>0</v>
      </c>
      <c r="D338" s="8">
        <v>17</v>
      </c>
      <c r="E338" s="8">
        <v>22</v>
      </c>
      <c r="F338" s="8">
        <v>187</v>
      </c>
      <c r="G338" s="28">
        <v>734</v>
      </c>
      <c r="H338" s="1">
        <f>SUM(C338:G338)</f>
        <v>960</v>
      </c>
      <c r="I338" s="10">
        <f>G338/H338</f>
        <v>0.76458333333333328</v>
      </c>
      <c r="J338" s="11">
        <f>1-I338</f>
        <v>0.23541666666666672</v>
      </c>
      <c r="K338">
        <f>H338-G339</f>
        <v>121</v>
      </c>
      <c r="N338" s="10">
        <f>2*(G340*I338)/(G340+I338)</f>
        <v>0.81600889382990549</v>
      </c>
      <c r="O338" s="1"/>
      <c r="P338" s="1"/>
    </row>
    <row r="339" spans="1:40" ht="15.6" x14ac:dyDescent="0.35">
      <c r="B339" s="1" t="s">
        <v>19</v>
      </c>
      <c r="C339" s="1">
        <f>SUM(C334:C338)</f>
        <v>259</v>
      </c>
      <c r="D339" s="1">
        <f>SUM(D334:D338)</f>
        <v>491</v>
      </c>
      <c r="E339" s="1">
        <f>SUM(E334:E338)</f>
        <v>7192</v>
      </c>
      <c r="F339" s="1">
        <f>SUM(F334:F338)</f>
        <v>2779</v>
      </c>
      <c r="G339" s="1">
        <f>SUM(G334:G338)</f>
        <v>839</v>
      </c>
      <c r="H339" s="1">
        <f>SUM(H333:H338)</f>
        <v>11560</v>
      </c>
      <c r="I339" s="13" t="s">
        <v>12</v>
      </c>
      <c r="N339" s="16"/>
      <c r="O339" s="1"/>
      <c r="P339" s="1"/>
      <c r="AM339" s="78"/>
    </row>
    <row r="340" spans="1:40" x14ac:dyDescent="0.3">
      <c r="A340" s="1" t="s">
        <v>321</v>
      </c>
      <c r="B340" s="1" t="s">
        <v>2</v>
      </c>
      <c r="C340" s="10">
        <f>C334/C339</f>
        <v>1</v>
      </c>
      <c r="D340" s="10">
        <f>D335/D339</f>
        <v>0.57841140529531565</v>
      </c>
      <c r="E340" s="10">
        <f>E336/E339</f>
        <v>0.98692992213570629</v>
      </c>
      <c r="F340" s="10">
        <f>F337/F339</f>
        <v>0.89960417416336813</v>
      </c>
      <c r="G340" s="10">
        <f>G338/G339</f>
        <v>0.87485101311084623</v>
      </c>
      <c r="H340" s="10"/>
      <c r="I340" s="14">
        <f>(C334+D335+E336+F337+G338)/H339</f>
        <v>0.94074394463667821</v>
      </c>
    </row>
    <row r="341" spans="1:40" x14ac:dyDescent="0.3">
      <c r="B341" s="1" t="s">
        <v>14</v>
      </c>
      <c r="C341" s="11">
        <f>1-C340</f>
        <v>0</v>
      </c>
      <c r="D341" s="11">
        <f>1-D340</f>
        <v>0.42158859470468435</v>
      </c>
      <c r="E341" s="11">
        <f>1-E340</f>
        <v>1.3070077864293705E-2</v>
      </c>
      <c r="F341" s="11">
        <f>1-F340</f>
        <v>0.10039582583663187</v>
      </c>
      <c r="G341" s="11">
        <f>1-G340</f>
        <v>0.12514898688915377</v>
      </c>
      <c r="AM341" s="78"/>
      <c r="AN341" s="78"/>
    </row>
    <row r="342" spans="1:40" x14ac:dyDescent="0.3">
      <c r="C342" s="2"/>
    </row>
    <row r="343" spans="1:40" ht="15.6" x14ac:dyDescent="0.35">
      <c r="A343" t="s">
        <v>322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1.4736572839164197</v>
      </c>
      <c r="D345" s="31">
        <f>(D334/$L345)*$O345</f>
        <v>0</v>
      </c>
      <c r="E345" s="31">
        <f>(E334/$L345)*$O345</f>
        <v>0</v>
      </c>
      <c r="F345" s="31">
        <f>(F334/$L345)*$O345</f>
        <v>0</v>
      </c>
      <c r="G345" s="32">
        <f>(G334/$L345)*$O345</f>
        <v>0</v>
      </c>
      <c r="H345" s="17">
        <f>SUM(C345:G345)</f>
        <v>1.4736572839164197</v>
      </c>
      <c r="I345" s="17">
        <f>C345/H345*100</f>
        <v>100</v>
      </c>
      <c r="J345" s="17">
        <f>SQRT(I345*(100-I345)/(L345-1))</f>
        <v>0</v>
      </c>
      <c r="K345" s="18">
        <f>100-I345</f>
        <v>0</v>
      </c>
      <c r="L345" s="1">
        <f>H334</f>
        <v>259</v>
      </c>
      <c r="M345">
        <v>0</v>
      </c>
      <c r="N345" s="1">
        <v>2919.63</v>
      </c>
      <c r="O345" s="17">
        <f>N345/N350*100</f>
        <v>1.4736572839164197</v>
      </c>
      <c r="P345" s="52">
        <f>((O345*O345*(I345/100)*(K345/100))/(L345-1))</f>
        <v>0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45">(C335/$L346)*$O346</f>
        <v>0</v>
      </c>
      <c r="D346" s="34">
        <f t="shared" si="45"/>
        <v>4.0499903676115006</v>
      </c>
      <c r="E346" s="19">
        <f t="shared" si="45"/>
        <v>0.6702448847807766</v>
      </c>
      <c r="F346" s="18">
        <f t="shared" si="45"/>
        <v>0</v>
      </c>
      <c r="G346" s="20">
        <f t="shared" si="45"/>
        <v>0.11408423570736621</v>
      </c>
      <c r="H346" s="17">
        <f>SUM(C346:G346)</f>
        <v>4.8343194880996441</v>
      </c>
      <c r="I346" s="17">
        <f>D346/H346*100</f>
        <v>83.77581120943951</v>
      </c>
      <c r="J346" s="17">
        <f>SQRT(I346*(100-I346)/(L346-1))</f>
        <v>2.0053143721611719</v>
      </c>
      <c r="K346" s="18">
        <f>100-I346</f>
        <v>16.22418879056049</v>
      </c>
      <c r="L346" s="1">
        <f>H335</f>
        <v>339</v>
      </c>
      <c r="M346">
        <v>1</v>
      </c>
      <c r="N346" s="1">
        <v>9577.82</v>
      </c>
      <c r="O346" s="17">
        <f>N346/N350*100</f>
        <v>4.8343194880996432</v>
      </c>
      <c r="P346" s="52">
        <f>((O346*O346*(I346/100)*(K346/100))/(L346-1))</f>
        <v>9.3980040917579308E-3</v>
      </c>
    </row>
    <row r="347" spans="1:40" x14ac:dyDescent="0.3">
      <c r="A347" t="s">
        <v>5</v>
      </c>
      <c r="B347" s="13">
        <v>2</v>
      </c>
      <c r="C347" s="33">
        <f t="shared" si="45"/>
        <v>0</v>
      </c>
      <c r="D347" s="19">
        <f t="shared" si="45"/>
        <v>1.4608389062734493</v>
      </c>
      <c r="E347" s="34">
        <f t="shared" si="45"/>
        <v>55.449382656304508</v>
      </c>
      <c r="F347" s="19">
        <f t="shared" si="45"/>
        <v>0.71870149399549377</v>
      </c>
      <c r="G347" s="20">
        <f t="shared" si="45"/>
        <v>0.17186340073805284</v>
      </c>
      <c r="H347" s="17">
        <f>SUM(C347:G347)</f>
        <v>57.80078645731151</v>
      </c>
      <c r="I347" s="17">
        <f>E347/H347*100</f>
        <v>95.931882686849562</v>
      </c>
      <c r="J347" s="17">
        <f>SQRT(I347*(100-I347)/(L347-1))</f>
        <v>0.22967887618157093</v>
      </c>
      <c r="K347" s="18">
        <f>100-I347</f>
        <v>4.068117313150438</v>
      </c>
      <c r="L347" s="1">
        <f>H336</f>
        <v>7399</v>
      </c>
      <c r="M347">
        <v>2</v>
      </c>
      <c r="N347" s="1">
        <v>114515.71</v>
      </c>
      <c r="O347" s="17">
        <f>N347/N350*100</f>
        <v>57.800786457311503</v>
      </c>
      <c r="P347" s="52">
        <f>((O347*O347*(I347/100)*(K347/100))/(L347-1))</f>
        <v>1.7624207777984072E-2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45"/>
        <v>0</v>
      </c>
      <c r="D348" s="19">
        <f t="shared" si="45"/>
        <v>2.9968050288610337E-2</v>
      </c>
      <c r="E348" s="19">
        <f t="shared" si="45"/>
        <v>0.24973375240508616</v>
      </c>
      <c r="F348" s="34">
        <f t="shared" si="45"/>
        <v>24.973375240508613</v>
      </c>
      <c r="G348" s="20">
        <f t="shared" si="45"/>
        <v>0.74920125721525843</v>
      </c>
      <c r="H348" s="17">
        <f>SUM(C348:G348)</f>
        <v>26.002278300417569</v>
      </c>
      <c r="I348" s="17">
        <f>F348/H348*100</f>
        <v>96.043027276219732</v>
      </c>
      <c r="J348" s="17">
        <f>SQRT(I348*(100-I348)/(L348-1))</f>
        <v>0.38217370484754298</v>
      </c>
      <c r="K348" s="18">
        <f>100-I348</f>
        <v>3.9569727237802681</v>
      </c>
      <c r="L348" s="1">
        <f>H337</f>
        <v>2603</v>
      </c>
      <c r="M348">
        <v>3</v>
      </c>
      <c r="N348" s="1">
        <v>51516.07</v>
      </c>
      <c r="O348" s="17">
        <f>N348/N350*100</f>
        <v>26.002278300417569</v>
      </c>
      <c r="P348" s="52">
        <f>((O348*O348*(I348/100)*(K348/100))/(L348-1))</f>
        <v>9.8751661034642314E-3</v>
      </c>
    </row>
    <row r="349" spans="1:40" x14ac:dyDescent="0.3">
      <c r="A349" t="s">
        <v>7</v>
      </c>
      <c r="B349" s="13">
        <v>4</v>
      </c>
      <c r="C349" s="35">
        <f t="shared" si="45"/>
        <v>0</v>
      </c>
      <c r="D349" s="36">
        <f t="shared" si="45"/>
        <v>0.17511697291076339</v>
      </c>
      <c r="E349" s="21">
        <f t="shared" si="45"/>
        <v>0.22662196494334083</v>
      </c>
      <c r="F349" s="21">
        <f t="shared" si="45"/>
        <v>1.9262867020183974</v>
      </c>
      <c r="G349" s="37">
        <f t="shared" si="45"/>
        <v>7.560932830382372</v>
      </c>
      <c r="H349" s="17">
        <f>SUM(C349:G349)</f>
        <v>9.8889584702548738</v>
      </c>
      <c r="I349" s="17">
        <f>G349/H349*100</f>
        <v>76.458333333333329</v>
      </c>
      <c r="J349" s="17">
        <f>SQRT(I349*(100-I349)/(L349-1))</f>
        <v>1.3700036143221326</v>
      </c>
      <c r="K349" s="18">
        <f>100-I349</f>
        <v>23.541666666666671</v>
      </c>
      <c r="L349" s="1">
        <f>H338</f>
        <v>960</v>
      </c>
      <c r="M349">
        <v>4</v>
      </c>
      <c r="N349" s="1">
        <v>19592.14</v>
      </c>
      <c r="O349" s="17">
        <f>N349/N350*100</f>
        <v>9.8889584702548738</v>
      </c>
      <c r="P349" s="52">
        <f>((O349*O349*(I349/100)*(K349/100))/(L349-1))</f>
        <v>1.8354583410306498E-2</v>
      </c>
      <c r="AM349" s="78"/>
      <c r="AN349" s="78"/>
    </row>
    <row r="350" spans="1:40" x14ac:dyDescent="0.3">
      <c r="B350" t="s">
        <v>28</v>
      </c>
      <c r="C350" s="17">
        <f t="shared" ref="C350:H350" si="46">SUM(C345:C349)</f>
        <v>1.4736572839164197</v>
      </c>
      <c r="D350" s="17">
        <f t="shared" si="46"/>
        <v>5.7159142970843231</v>
      </c>
      <c r="E350" s="17">
        <f t="shared" si="46"/>
        <v>56.595983258433712</v>
      </c>
      <c r="F350" s="17">
        <f t="shared" si="46"/>
        <v>27.618363436522504</v>
      </c>
      <c r="G350" s="17">
        <f t="shared" si="46"/>
        <v>8.5960817240430494</v>
      </c>
      <c r="H350" s="18">
        <f t="shared" si="46"/>
        <v>100.00000000000003</v>
      </c>
      <c r="I350" s="13" t="s">
        <v>24</v>
      </c>
      <c r="J350" s="12" t="s">
        <v>29</v>
      </c>
      <c r="N350" s="1">
        <f>SUM(N345:N349)</f>
        <v>198121.37</v>
      </c>
      <c r="O350" s="17">
        <f>SUM(O345:O349)</f>
        <v>100.00000000000001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0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0.15021598863008062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0.17494676080237118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0.17718218327828086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0.16891112974208522</v>
      </c>
      <c r="H351" s="1"/>
      <c r="I351" s="14">
        <f>(C345+D346+E347+F348+G349)/H350</f>
        <v>0.93507338378723392</v>
      </c>
      <c r="J351" s="53">
        <f>SQRT(SUM(P345:P349))/100</f>
        <v>2.350573576459855E-3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70.854637720467451</v>
      </c>
      <c r="E352" s="17">
        <f>E347/E350*100</f>
        <v>97.974060107952383</v>
      </c>
      <c r="F352" s="17">
        <f>F348/F350*100</f>
        <v>90.423081360004986</v>
      </c>
      <c r="G352" s="17">
        <f>G349/G350*100</f>
        <v>87.957898413583152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5.1441725011007566</v>
      </c>
      <c r="E353" s="18">
        <f>SQRT((E356+E357)/(E350*E350))</f>
        <v>0.20310783205812202</v>
      </c>
      <c r="F353" s="18">
        <f>SQRT((F356+F357)/(F350*F350))</f>
        <v>0.59129343003975265</v>
      </c>
      <c r="G353" s="18">
        <f>SQRT((G356+G357)/(G350*G350))</f>
        <v>2.1610908247046821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29.145362279532549</v>
      </c>
      <c r="E354" s="18">
        <f>100-E352</f>
        <v>2.0259398920476173</v>
      </c>
      <c r="F354" s="18">
        <f>100-F352</f>
        <v>9.5769186399950144</v>
      </c>
      <c r="G354" s="18">
        <f>100-G352</f>
        <v>12.042101586416848</v>
      </c>
    </row>
    <row r="355" spans="1:40" ht="15.6" x14ac:dyDescent="0.35">
      <c r="B355" s="1" t="s">
        <v>25</v>
      </c>
      <c r="C355" s="1">
        <f>C339</f>
        <v>259</v>
      </c>
      <c r="D355" s="1">
        <f>D339</f>
        <v>491</v>
      </c>
      <c r="E355" s="1">
        <f>E339</f>
        <v>7192</v>
      </c>
      <c r="F355" s="1">
        <f>F339</f>
        <v>2779</v>
      </c>
      <c r="G355" s="1">
        <f>G339</f>
        <v>839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798.31547100765999</v>
      </c>
      <c r="E356" s="18">
        <f>(O347*O347*(100-E352)*(100-E352)*(I347)*(100-I347))/((L347-1)*100)</f>
        <v>7.2337370242350429</v>
      </c>
      <c r="F356" s="18">
        <f>(O348*O348*(100-F352)*(100-F352)*(I348)*(100-I348))/((L348-1)*100)</f>
        <v>90.572426961419723</v>
      </c>
      <c r="G356" s="18">
        <f>(O349*O349*(100-G352)*(100-G352)*(I349)*(100-I349))/((L349-1)*100)</f>
        <v>266.16387152933635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66.259112076342774</v>
      </c>
      <c r="E357" s="18">
        <f>E352*E352*(SUM((H345*E345*(1-E334/H334))/(H334-1),(H346*E346*(1-E335/H335))/(H335-1), (H348*E348*(1-E337/H337))/(H337-1),(H349*E349*(1-E338/H338))/(H338-1)))</f>
        <v>124.90329875360604</v>
      </c>
      <c r="F357" s="18">
        <f>F352*F352*(SUM((H345*F345*(1-F334/H334))/(H334-1),(H346*F346*(1-F335/H335))/(H335-1), (H347*F347*(1-F336/H336))/(H336-1),(H349*F349*(1-F338/H338))/(H338-1)))</f>
        <v>176.11466001955623</v>
      </c>
      <c r="G357" s="18">
        <f>G352*G352*(SUM((H345*G345*(1-G334/H334))/(H334-1),(H346*G346*(1-G335/H335))/(H335-1), (H347*G347*(1-G336/H336))/(H336-1),(H348*G348*(1-G337/H337))/(H337-1)))</f>
        <v>78.937837795796668</v>
      </c>
      <c r="AM357" s="78"/>
      <c r="AN357" s="78"/>
    </row>
    <row r="359" spans="1:40" x14ac:dyDescent="0.3">
      <c r="AM359" s="78"/>
      <c r="AN359" s="78"/>
    </row>
    <row r="360" spans="1:40" x14ac:dyDescent="0.3">
      <c r="A360" s="361" t="s">
        <v>441</v>
      </c>
      <c r="B360" s="361"/>
      <c r="C360" s="361"/>
      <c r="D360" s="361"/>
      <c r="E360" s="361"/>
      <c r="F360" s="361"/>
      <c r="G360" s="361"/>
      <c r="H360" s="361"/>
      <c r="I360" s="361"/>
      <c r="J360" s="361"/>
      <c r="K360" s="361"/>
      <c r="L360" s="361" t="s">
        <v>90</v>
      </c>
      <c r="M360" s="361"/>
      <c r="N360" s="361"/>
      <c r="O360" s="361"/>
      <c r="P360" s="361"/>
    </row>
    <row r="361" spans="1:40" x14ac:dyDescent="0.3">
      <c r="A361" t="s">
        <v>15</v>
      </c>
      <c r="B361" t="s">
        <v>21</v>
      </c>
      <c r="I361" s="1" t="s">
        <v>58</v>
      </c>
      <c r="O361" s="143"/>
      <c r="P361" s="143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56</v>
      </c>
      <c r="O362" s="13"/>
      <c r="P362" s="13"/>
    </row>
    <row r="363" spans="1:40" x14ac:dyDescent="0.3">
      <c r="A363" t="s">
        <v>3</v>
      </c>
      <c r="B363" s="13">
        <v>0</v>
      </c>
      <c r="C363" s="26">
        <v>259</v>
      </c>
      <c r="D363" s="3">
        <v>0</v>
      </c>
      <c r="E363" s="3">
        <v>0</v>
      </c>
      <c r="F363" s="3">
        <v>0</v>
      </c>
      <c r="G363" s="4">
        <v>0</v>
      </c>
      <c r="H363" s="1">
        <f>SUM(C363:G363)</f>
        <v>259</v>
      </c>
      <c r="I363" s="10">
        <f>C363/H363</f>
        <v>1</v>
      </c>
      <c r="J363" s="11">
        <f>1-I363</f>
        <v>0</v>
      </c>
      <c r="K363">
        <f>H363-C368</f>
        <v>0</v>
      </c>
      <c r="N363" s="10">
        <f>2*(C369*I363)/(C369+I363)</f>
        <v>1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294</v>
      </c>
      <c r="E364" s="1">
        <v>37</v>
      </c>
      <c r="F364" s="1">
        <v>0</v>
      </c>
      <c r="G364" s="6">
        <v>8</v>
      </c>
      <c r="H364" s="1">
        <f>SUM(C364:G364)</f>
        <v>339</v>
      </c>
      <c r="I364" s="10">
        <f>D364/H364</f>
        <v>0.86725663716814161</v>
      </c>
      <c r="J364" s="11">
        <f>1-I364</f>
        <v>0.13274336283185839</v>
      </c>
      <c r="K364">
        <f>H364-D368</f>
        <v>-176</v>
      </c>
      <c r="N364" s="10">
        <f>2*(D369*I364)/(D369+I364)</f>
        <v>0.68852459016393441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194</v>
      </c>
      <c r="E365" s="27">
        <v>7084</v>
      </c>
      <c r="F365" s="1">
        <v>96</v>
      </c>
      <c r="G365" s="6">
        <v>25</v>
      </c>
      <c r="H365" s="1">
        <f>SUM(C365:G365)</f>
        <v>7399</v>
      </c>
      <c r="I365" s="10">
        <f>E365/H365</f>
        <v>0.95742667928098391</v>
      </c>
      <c r="J365" s="11">
        <f>1-I365</f>
        <v>4.2573320719016094E-2</v>
      </c>
      <c r="K365">
        <f>H365-E368</f>
        <v>219</v>
      </c>
      <c r="N365" s="10">
        <f>2*(E369*I365)/(E369+I365)</f>
        <v>0.97180876603333566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5</v>
      </c>
      <c r="E366" s="1">
        <v>32</v>
      </c>
      <c r="F366" s="27">
        <v>2504</v>
      </c>
      <c r="G366" s="6">
        <v>62</v>
      </c>
      <c r="H366" s="1">
        <f>SUM(C366:G366)</f>
        <v>2603</v>
      </c>
      <c r="I366" s="10">
        <f>F366/H366</f>
        <v>0.96196696119861702</v>
      </c>
      <c r="J366" s="11">
        <f>1-I366</f>
        <v>3.8033038801382979E-2</v>
      </c>
      <c r="K366">
        <f>H366-F368</f>
        <v>-186</v>
      </c>
      <c r="N366" s="10">
        <f>2*(F369*I366)/(F369+I366)</f>
        <v>0.92878338278931749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22</v>
      </c>
      <c r="E367" s="8">
        <v>27</v>
      </c>
      <c r="F367" s="8">
        <v>189</v>
      </c>
      <c r="G367" s="28">
        <v>722</v>
      </c>
      <c r="H367" s="1">
        <f>SUM(C367:G367)</f>
        <v>960</v>
      </c>
      <c r="I367" s="10">
        <f>G367/H367</f>
        <v>0.75208333333333333</v>
      </c>
      <c r="J367" s="11">
        <f>1-I367</f>
        <v>0.24791666666666667</v>
      </c>
      <c r="K367">
        <f>H367-G368</f>
        <v>143</v>
      </c>
      <c r="N367" s="10">
        <f>2*(G369*I367)/(G369+I367)</f>
        <v>0.81260551491277433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259</v>
      </c>
      <c r="D368" s="1">
        <f>SUM(D363:D367)</f>
        <v>515</v>
      </c>
      <c r="E368" s="1">
        <f>SUM(E363:E367)</f>
        <v>7180</v>
      </c>
      <c r="F368" s="1">
        <f>SUM(F363:F367)</f>
        <v>2789</v>
      </c>
      <c r="G368" s="1">
        <f>SUM(G363:G367)</f>
        <v>817</v>
      </c>
      <c r="H368" s="1">
        <f>SUM(H362:H367)</f>
        <v>11560</v>
      </c>
      <c r="I368" s="13" t="s">
        <v>12</v>
      </c>
      <c r="N368" s="16"/>
      <c r="O368" s="1"/>
      <c r="P368" s="1"/>
    </row>
    <row r="369" spans="1:40" x14ac:dyDescent="0.3">
      <c r="A369" s="1" t="s">
        <v>57</v>
      </c>
      <c r="B369" s="1" t="s">
        <v>2</v>
      </c>
      <c r="C369" s="10">
        <f>C363/C368</f>
        <v>1</v>
      </c>
      <c r="D369" s="10">
        <f>D364/D368</f>
        <v>0.57087378640776698</v>
      </c>
      <c r="E369" s="10">
        <f>E365/E368</f>
        <v>0.98662952646239555</v>
      </c>
      <c r="F369" s="10">
        <f>F366/F368</f>
        <v>0.89781283614198637</v>
      </c>
      <c r="G369" s="10">
        <f>G367/G368</f>
        <v>0.88372093023255816</v>
      </c>
      <c r="H369" s="10"/>
      <c r="I369" s="14">
        <f>(C363+D364+E365+F366+G367)/H368</f>
        <v>0.93970588235294117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0.42912621359223302</v>
      </c>
      <c r="E370" s="11">
        <f>1-E369</f>
        <v>1.3370473537604455E-2</v>
      </c>
      <c r="F370" s="11">
        <f>1-F369</f>
        <v>0.10218716385801363</v>
      </c>
      <c r="G370" s="11">
        <f>1-G369</f>
        <v>0.11627906976744184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1.4770693338129046</v>
      </c>
      <c r="D374" s="31">
        <f>(D363/$L374)*$O374</f>
        <v>0</v>
      </c>
      <c r="E374" s="31">
        <f>(E363/$L374)*$O374</f>
        <v>0</v>
      </c>
      <c r="F374" s="31">
        <f>(F363/$L374)*$O374</f>
        <v>0</v>
      </c>
      <c r="G374" s="32">
        <f>(G363/$L374)*$O374</f>
        <v>0</v>
      </c>
      <c r="H374" s="17">
        <f>SUM(C374:G374)</f>
        <v>1.4770693338129046</v>
      </c>
      <c r="I374" s="17">
        <f>C374/H374*100</f>
        <v>100</v>
      </c>
      <c r="J374" s="17">
        <f>SQRT(I374*(100-I374)/(L374-1))</f>
        <v>0</v>
      </c>
      <c r="K374" s="18">
        <f>100-I374</f>
        <v>0</v>
      </c>
      <c r="L374" s="1">
        <f>H363</f>
        <v>259</v>
      </c>
      <c r="M374">
        <v>0</v>
      </c>
      <c r="N374" s="1">
        <v>2926.39</v>
      </c>
      <c r="O374" s="17">
        <f>N374/N379*100</f>
        <v>1.4770693338129046</v>
      </c>
      <c r="P374" s="52">
        <f>((O374*O374*(I374/100)*(K374/100))/(L374-1))</f>
        <v>0</v>
      </c>
    </row>
    <row r="375" spans="1:40" x14ac:dyDescent="0.3">
      <c r="A375" t="s">
        <v>4</v>
      </c>
      <c r="B375" s="13">
        <v>1</v>
      </c>
      <c r="C375" s="33">
        <f t="shared" ref="C375:G378" si="47">(C364/$L375)*$O375</f>
        <v>0</v>
      </c>
      <c r="D375" s="34">
        <f t="shared" si="47"/>
        <v>4.3247493914275035</v>
      </c>
      <c r="E375" s="19">
        <f t="shared" si="47"/>
        <v>0.54427118191434565</v>
      </c>
      <c r="F375" s="18">
        <f t="shared" si="47"/>
        <v>0</v>
      </c>
      <c r="G375" s="20">
        <f t="shared" si="47"/>
        <v>0.11768025554904769</v>
      </c>
      <c r="H375" s="17">
        <f>SUM(C375:G375)</f>
        <v>4.9867008288908972</v>
      </c>
      <c r="I375" s="17">
        <f>D375/H375*100</f>
        <v>86.725663716814154</v>
      </c>
      <c r="J375" s="17">
        <f>SQRT(I375*(100-I375)/(L375-1))</f>
        <v>1.8455332487033302</v>
      </c>
      <c r="K375" s="18">
        <f>100-I375</f>
        <v>13.274336283185846</v>
      </c>
      <c r="L375" s="1">
        <f>H364</f>
        <v>339</v>
      </c>
      <c r="M375">
        <v>1</v>
      </c>
      <c r="N375" s="1">
        <v>9879.7199999999993</v>
      </c>
      <c r="O375" s="17">
        <f>N375/N379*100</f>
        <v>4.9867008288908963</v>
      </c>
      <c r="P375" s="52">
        <f>((O375*O375*(I375/100)*(K375/100))/(L375-1))</f>
        <v>8.4697457879419295E-3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47"/>
        <v>0</v>
      </c>
      <c r="D376" s="19">
        <f t="shared" si="47"/>
        <v>1.5077570249853336</v>
      </c>
      <c r="E376" s="34">
        <f t="shared" si="47"/>
        <v>55.056447242247948</v>
      </c>
      <c r="F376" s="19">
        <f t="shared" si="47"/>
        <v>0.74610656906490724</v>
      </c>
      <c r="G376" s="20">
        <f t="shared" si="47"/>
        <v>0.19429858569398628</v>
      </c>
      <c r="H376" s="17">
        <f>SUM(C376:G376)</f>
        <v>57.504609421992171</v>
      </c>
      <c r="I376" s="17">
        <f>E376/H376*100</f>
        <v>95.742667928098399</v>
      </c>
      <c r="J376" s="17">
        <f>SQRT(I376*(100-I376)/(L376-1))</f>
        <v>0.23472771028383144</v>
      </c>
      <c r="K376" s="18">
        <f>100-I376</f>
        <v>4.257332071901601</v>
      </c>
      <c r="L376" s="1">
        <f>H365</f>
        <v>7399</v>
      </c>
      <c r="M376">
        <v>2</v>
      </c>
      <c r="N376" s="1">
        <v>113928.92</v>
      </c>
      <c r="O376" s="17">
        <f>N376/N379*100</f>
        <v>57.504609421992178</v>
      </c>
      <c r="P376" s="52">
        <f>((O376*O376*(I376/100)*(K376/100))/(L376-1))</f>
        <v>1.8219398741491564E-2</v>
      </c>
    </row>
    <row r="377" spans="1:40" x14ac:dyDescent="0.3">
      <c r="A377" t="s">
        <v>6</v>
      </c>
      <c r="B377" s="13">
        <v>3</v>
      </c>
      <c r="C377" s="33">
        <f t="shared" si="47"/>
        <v>0</v>
      </c>
      <c r="D377" s="19">
        <f t="shared" si="47"/>
        <v>5.0512252491420238E-2</v>
      </c>
      <c r="E377" s="19">
        <f t="shared" si="47"/>
        <v>0.32327841594508955</v>
      </c>
      <c r="F377" s="34">
        <f t="shared" si="47"/>
        <v>25.29653604770326</v>
      </c>
      <c r="G377" s="20">
        <f t="shared" si="47"/>
        <v>0.62635193089361096</v>
      </c>
      <c r="H377" s="17">
        <f>SUM(C377:G377)</f>
        <v>26.296678647033382</v>
      </c>
      <c r="I377" s="17">
        <f>F377/H377*100</f>
        <v>96.196696119861684</v>
      </c>
      <c r="J377" s="17">
        <f>SQRT(I377*(100-I377)/(L377-1))</f>
        <v>0.37497899895544978</v>
      </c>
      <c r="K377" s="18">
        <f>100-I377</f>
        <v>3.8033038801383157</v>
      </c>
      <c r="L377" s="1">
        <f>H366</f>
        <v>2603</v>
      </c>
      <c r="M377">
        <v>3</v>
      </c>
      <c r="N377" s="1">
        <v>52099.34</v>
      </c>
      <c r="O377" s="17">
        <f>N377/N379*100</f>
        <v>26.296678647033378</v>
      </c>
      <c r="P377" s="52">
        <f>((O377*O377*(I377/100)*(K377/100))/(L377-1))</f>
        <v>9.7233448565711474E-3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47"/>
        <v>0</v>
      </c>
      <c r="D378" s="36">
        <f t="shared" si="47"/>
        <v>0.22309241552286863</v>
      </c>
      <c r="E378" s="21">
        <f t="shared" si="47"/>
        <v>0.27379523723261151</v>
      </c>
      <c r="F378" s="21">
        <f t="shared" si="47"/>
        <v>1.9165666606282807</v>
      </c>
      <c r="G378" s="37">
        <f t="shared" si="47"/>
        <v>7.3214874548868707</v>
      </c>
      <c r="H378" s="17">
        <f>SUM(C378:G378)</f>
        <v>9.7349417682706321</v>
      </c>
      <c r="I378" s="17">
        <f>G378/H378*100</f>
        <v>75.208333333333329</v>
      </c>
      <c r="J378" s="17">
        <f>SQRT(I378*(100-I378)/(L378-1))</f>
        <v>1.394365217325179</v>
      </c>
      <c r="K378" s="18">
        <f>100-I378</f>
        <v>24.791666666666671</v>
      </c>
      <c r="L378" s="1">
        <f>H367</f>
        <v>960</v>
      </c>
      <c r="M378">
        <v>4</v>
      </c>
      <c r="N378" s="1">
        <v>19287</v>
      </c>
      <c r="O378" s="17">
        <f>N378/N379*100</f>
        <v>9.7349417682706321</v>
      </c>
      <c r="P378" s="52">
        <f>((O378*O378*(I378/100)*(K378/100))/(L378-1))</f>
        <v>1.8425521875267796E-2</v>
      </c>
    </row>
    <row r="379" spans="1:40" x14ac:dyDescent="0.3">
      <c r="B379" t="s">
        <v>28</v>
      </c>
      <c r="C379" s="17">
        <f t="shared" ref="C379:H379" si="48">SUM(C374:C378)</f>
        <v>1.4770693338129046</v>
      </c>
      <c r="D379" s="17">
        <f t="shared" si="48"/>
        <v>6.106111084427126</v>
      </c>
      <c r="E379" s="17">
        <f t="shared" si="48"/>
        <v>56.197792077339997</v>
      </c>
      <c r="F379" s="17">
        <f t="shared" si="48"/>
        <v>27.959209277396447</v>
      </c>
      <c r="G379" s="17">
        <f t="shared" si="48"/>
        <v>8.2598182270235156</v>
      </c>
      <c r="H379" s="18">
        <f t="shared" si="48"/>
        <v>99.999999999999986</v>
      </c>
      <c r="I379" s="13" t="s">
        <v>24</v>
      </c>
      <c r="J379" s="12" t="s">
        <v>29</v>
      </c>
      <c r="N379" s="1">
        <f>SUM(N374:N378)</f>
        <v>198121.37</v>
      </c>
      <c r="O379" s="17">
        <f>SUM(O374:O378)</f>
        <v>99.999999999999986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0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0.15025136096332539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0.17684301049402543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0.17621537833186035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0.16666884840328755</v>
      </c>
      <c r="H380" s="1"/>
      <c r="I380" s="14">
        <f>(C374+D375+E376+F377+G378)/H379</f>
        <v>0.934762894700785</v>
      </c>
      <c r="J380" s="53">
        <f>SQRT(SUM(P374:P378))/100</f>
        <v>2.341751721709038E-3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70.826575730946601</v>
      </c>
      <c r="E381" s="17">
        <f>E376/E379*100</f>
        <v>97.969057514712816</v>
      </c>
      <c r="F381" s="17">
        <f>F377/F379*100</f>
        <v>90.476578921544032</v>
      </c>
      <c r="G381" s="17">
        <f>G378/G379*100</f>
        <v>88.639813294356486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4.6081967241679269</v>
      </c>
      <c r="E382" s="18">
        <f>SQRT((E385+E386)/(E379*E379))</f>
        <v>0.20526936662106018</v>
      </c>
      <c r="F382" s="18">
        <f>SQRT((F385+F386)/(F379*F379))</f>
        <v>0.57998047280545673</v>
      </c>
      <c r="G382" s="18">
        <f>SQRT((G385+G386)/(G379*G379))</f>
        <v>2.1367233936225949</v>
      </c>
      <c r="H382" s="1"/>
    </row>
    <row r="383" spans="1:40" x14ac:dyDescent="0.3">
      <c r="B383" s="1" t="s">
        <v>37</v>
      </c>
      <c r="C383" s="18">
        <f>100-C381</f>
        <v>0</v>
      </c>
      <c r="D383" s="18">
        <f>100-D381</f>
        <v>29.173424269053399</v>
      </c>
      <c r="E383" s="18">
        <f>100-E381</f>
        <v>2.0309424852871842</v>
      </c>
      <c r="F383" s="18">
        <f>100-F381</f>
        <v>9.5234210784559679</v>
      </c>
      <c r="G383" s="18">
        <f>100-G381</f>
        <v>11.360186705643514</v>
      </c>
      <c r="AM383" s="78"/>
      <c r="AN383" s="78"/>
    </row>
    <row r="384" spans="1:40" ht="15.6" x14ac:dyDescent="0.35">
      <c r="B384" s="1" t="s">
        <v>25</v>
      </c>
      <c r="C384" s="1">
        <f>C368</f>
        <v>259</v>
      </c>
      <c r="D384" s="1">
        <f>D368</f>
        <v>515</v>
      </c>
      <c r="E384" s="1">
        <f>E368</f>
        <v>7180</v>
      </c>
      <c r="F384" s="1">
        <f>F368</f>
        <v>2789</v>
      </c>
      <c r="G384" s="1">
        <f>G368</f>
        <v>817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720.85047929353277</v>
      </c>
      <c r="E385" s="18">
        <f>(O376*O376*(100-E381)*(100-E381)*(I376)*(100-I376))/((L376-1)*100)</f>
        <v>7.5150052809649157</v>
      </c>
      <c r="F385" s="18">
        <f>(O377*O377*(100-F381)*(100-F381)*(I377)*(100-I377))/((L377-1)*100)</f>
        <v>88.18641002484442</v>
      </c>
      <c r="G385" s="18">
        <f>(O378*O378*(100-G381)*(100-G381)*(I378)*(100-I378))/((L378-1)*100)</f>
        <v>237.7884388620289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70.905630608200894</v>
      </c>
      <c r="E386" s="18">
        <f>E381*E381*(SUM((H374*E374*(1-E363/H363))/(H363-1),(H375*E375*(1-E364/H364))/(H364-1), (H377*E377*(1-E366/H366))/(H366-1),(H378*E378*(1-E367/H367))/(H367-1)))</f>
        <v>125.55702741148424</v>
      </c>
      <c r="F386" s="18">
        <f>F381*F381*(SUM((H374*F374*(1-F363/H363))/(H363-1),(H375*F375*(1-F364/H364))/(H364-1), (H376*F376*(1-F365/H365))/(H365-1),(H378*F378*(1-F367/H367))/(H367-1)))</f>
        <v>174.76561094778509</v>
      </c>
      <c r="G386" s="18">
        <f>G381*G381*(SUM((H374*G374*(1-G363/H363))/(H363-1),(H375*G375*(1-G364/H364))/(H364-1), (H376*G376*(1-G365/H365))/(H365-1),(H377*G377*(1-G366/H366))/(H366-1)))</f>
        <v>73.696885443258623</v>
      </c>
    </row>
    <row r="387" spans="1:40" x14ac:dyDescent="0.3">
      <c r="AM387" s="78"/>
      <c r="AN387" s="78"/>
    </row>
    <row r="389" spans="1:40" x14ac:dyDescent="0.3">
      <c r="A389" s="361" t="s">
        <v>441</v>
      </c>
      <c r="B389" s="361"/>
      <c r="C389" s="361"/>
      <c r="D389" s="361"/>
      <c r="E389" s="361"/>
      <c r="F389" s="361"/>
      <c r="G389" s="361"/>
      <c r="H389" s="361"/>
      <c r="I389" s="361"/>
      <c r="J389" s="361"/>
      <c r="K389" s="361"/>
      <c r="L389" s="361" t="s">
        <v>91</v>
      </c>
      <c r="M389" s="361"/>
      <c r="N389" s="361"/>
      <c r="O389" s="361"/>
      <c r="P389" s="361"/>
      <c r="AM389" s="78"/>
      <c r="AN389" s="78"/>
    </row>
    <row r="390" spans="1:40" x14ac:dyDescent="0.3">
      <c r="A390" t="s">
        <v>15</v>
      </c>
      <c r="B390" t="s">
        <v>21</v>
      </c>
      <c r="I390" s="1" t="s">
        <v>58</v>
      </c>
      <c r="O390" s="143"/>
      <c r="P390" s="143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56</v>
      </c>
      <c r="O391" s="13"/>
      <c r="P391" s="13"/>
      <c r="AM391" s="78"/>
      <c r="AN391" s="78"/>
    </row>
    <row r="392" spans="1:40" x14ac:dyDescent="0.3">
      <c r="A392" t="s">
        <v>3</v>
      </c>
      <c r="B392" s="13">
        <v>0</v>
      </c>
      <c r="C392" s="26">
        <v>259</v>
      </c>
      <c r="D392" s="3">
        <v>0</v>
      </c>
      <c r="E392" s="3">
        <v>0</v>
      </c>
      <c r="F392" s="3">
        <v>0</v>
      </c>
      <c r="G392" s="4">
        <v>0</v>
      </c>
      <c r="H392" s="1">
        <f>SUM(C392:G392)</f>
        <v>259</v>
      </c>
      <c r="I392" s="10">
        <f>C392/H392</f>
        <v>1</v>
      </c>
      <c r="J392" s="11">
        <f>1-I392</f>
        <v>0</v>
      </c>
      <c r="K392">
        <f>H392-C397</f>
        <v>0</v>
      </c>
      <c r="N392" s="10">
        <f>2*(C398*I392)/(C398+I392)</f>
        <v>1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294</v>
      </c>
      <c r="E393" s="1">
        <v>38</v>
      </c>
      <c r="F393" s="1">
        <v>0</v>
      </c>
      <c r="G393" s="6">
        <v>7</v>
      </c>
      <c r="H393" s="1">
        <f>SUM(C393:G393)</f>
        <v>339</v>
      </c>
      <c r="I393" s="10">
        <f>D393/H393</f>
        <v>0.86725663716814161</v>
      </c>
      <c r="J393" s="11">
        <f>1-I393</f>
        <v>0.13274336283185839</v>
      </c>
      <c r="K393">
        <f>H393-D397</f>
        <v>-159</v>
      </c>
      <c r="N393" s="10">
        <f>2*(D398*I393)/(D398+I393)</f>
        <v>0.70250896057347667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182</v>
      </c>
      <c r="E394" s="27">
        <v>7099</v>
      </c>
      <c r="F394" s="1">
        <v>95</v>
      </c>
      <c r="G394" s="6">
        <v>23</v>
      </c>
      <c r="H394" s="1">
        <f>SUM(C394:G394)</f>
        <v>7399</v>
      </c>
      <c r="I394" s="10">
        <f>E394/H394</f>
        <v>0.95945398026760376</v>
      </c>
      <c r="J394" s="11">
        <f>1-I394</f>
        <v>4.0546019732396243E-2</v>
      </c>
      <c r="K394">
        <f>H394-E397</f>
        <v>201</v>
      </c>
      <c r="N394" s="10">
        <f>2*(E398*I394)/(E398+I394)</f>
        <v>0.97266561622251146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4</v>
      </c>
      <c r="E395" s="1">
        <v>26</v>
      </c>
      <c r="F395" s="27">
        <v>2504</v>
      </c>
      <c r="G395" s="6">
        <v>69</v>
      </c>
      <c r="H395" s="1">
        <f>SUM(C395:G395)</f>
        <v>2603</v>
      </c>
      <c r="I395" s="10">
        <f>F395/H395</f>
        <v>0.96196696119861702</v>
      </c>
      <c r="J395" s="11">
        <f>1-I395</f>
        <v>3.8033038801382979E-2</v>
      </c>
      <c r="K395">
        <f>H395-F397</f>
        <v>-184</v>
      </c>
      <c r="N395" s="10">
        <f>2*(F398*I395)/(F398+I395)</f>
        <v>0.92912801484230056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18</v>
      </c>
      <c r="E396" s="8">
        <v>35</v>
      </c>
      <c r="F396" s="8">
        <v>188</v>
      </c>
      <c r="G396" s="28">
        <v>719</v>
      </c>
      <c r="H396" s="1">
        <f>SUM(C396:G396)</f>
        <v>960</v>
      </c>
      <c r="I396" s="10">
        <f>G396/H396</f>
        <v>0.74895833333333328</v>
      </c>
      <c r="J396" s="11">
        <f>1-I396</f>
        <v>0.25104166666666672</v>
      </c>
      <c r="K396">
        <f>H396-G397</f>
        <v>142</v>
      </c>
      <c r="N396" s="10">
        <f>2*(G398*I396)/(G398+I396)</f>
        <v>0.8087739032620922</v>
      </c>
      <c r="O396" s="1"/>
      <c r="P396" s="1"/>
    </row>
    <row r="397" spans="1:40" ht="15.6" x14ac:dyDescent="0.35">
      <c r="B397" s="1" t="s">
        <v>19</v>
      </c>
      <c r="C397" s="1">
        <f>SUM(C392:C396)</f>
        <v>259</v>
      </c>
      <c r="D397" s="1">
        <f>SUM(D392:D396)</f>
        <v>498</v>
      </c>
      <c r="E397" s="1">
        <f>SUM(E392:E396)</f>
        <v>7198</v>
      </c>
      <c r="F397" s="1">
        <f>SUM(F392:F396)</f>
        <v>2787</v>
      </c>
      <c r="G397" s="1">
        <f>SUM(G392:G396)</f>
        <v>818</v>
      </c>
      <c r="H397" s="1">
        <f>SUM(H391:H396)</f>
        <v>11560</v>
      </c>
      <c r="I397" s="13" t="s">
        <v>12</v>
      </c>
      <c r="N397" s="16"/>
      <c r="O397" s="1"/>
      <c r="P397" s="1"/>
      <c r="AM397" s="78"/>
      <c r="AN397" s="78"/>
    </row>
    <row r="398" spans="1:40" x14ac:dyDescent="0.3">
      <c r="A398" s="1" t="s">
        <v>57</v>
      </c>
      <c r="B398" s="1" t="s">
        <v>2</v>
      </c>
      <c r="C398" s="10">
        <f>C392/C397</f>
        <v>1</v>
      </c>
      <c r="D398" s="10">
        <f>D393/D397</f>
        <v>0.59036144578313254</v>
      </c>
      <c r="E398" s="10">
        <f>E394/E397</f>
        <v>0.98624617949430393</v>
      </c>
      <c r="F398" s="10">
        <f>F395/F397</f>
        <v>0.89845712235378539</v>
      </c>
      <c r="G398" s="10">
        <f>G396/G397</f>
        <v>0.87897310513447435</v>
      </c>
      <c r="H398" s="10"/>
      <c r="I398" s="14">
        <f>(C392+D393+E394+F395+G396)/H397</f>
        <v>0.94074394463667821</v>
      </c>
    </row>
    <row r="399" spans="1:40" x14ac:dyDescent="0.3">
      <c r="B399" s="1" t="s">
        <v>14</v>
      </c>
      <c r="C399" s="11">
        <f>1-C398</f>
        <v>0</v>
      </c>
      <c r="D399" s="11">
        <f>1-D398</f>
        <v>0.40963855421686746</v>
      </c>
      <c r="E399" s="11">
        <f>1-E398</f>
        <v>1.3753820505696068E-2</v>
      </c>
      <c r="F399" s="11">
        <f>1-F398</f>
        <v>0.10154287764621461</v>
      </c>
      <c r="G399" s="11">
        <f>1-G398</f>
        <v>0.12102689486552565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1.4759337408142159</v>
      </c>
      <c r="D403" s="31">
        <f>(D392/$L403)*$O403</f>
        <v>0</v>
      </c>
      <c r="E403" s="31">
        <f>(E392/$L403)*$O403</f>
        <v>0</v>
      </c>
      <c r="F403" s="31">
        <f>(F392/$L403)*$O403</f>
        <v>0</v>
      </c>
      <c r="G403" s="32">
        <f>(G392/$L403)*$O403</f>
        <v>0</v>
      </c>
      <c r="H403" s="17">
        <f>SUM(C403:G403)</f>
        <v>1.4759337408142159</v>
      </c>
      <c r="I403" s="17">
        <f>C403/H403*100</f>
        <v>100</v>
      </c>
      <c r="J403" s="17">
        <f>SQRT(I403*(100-I403)/(L403-1))</f>
        <v>0</v>
      </c>
      <c r="K403" s="18">
        <f>100-I403</f>
        <v>0</v>
      </c>
      <c r="L403" s="1">
        <f>H392</f>
        <v>259</v>
      </c>
      <c r="M403">
        <v>0</v>
      </c>
      <c r="N403" s="1">
        <v>2924.14</v>
      </c>
      <c r="O403" s="17">
        <f>N403/N408*100</f>
        <v>1.4759337408142159</v>
      </c>
      <c r="P403" s="52">
        <f>((O403*O403*(I403/100)*(K403/100))/(L403-1))</f>
        <v>0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49">(C393/$L404)*$O404</f>
        <v>0</v>
      </c>
      <c r="D404" s="34">
        <f t="shared" si="49"/>
        <v>4.356905997379183</v>
      </c>
      <c r="E404" s="19">
        <f t="shared" si="49"/>
        <v>0.56313750986533662</v>
      </c>
      <c r="F404" s="18">
        <f t="shared" si="49"/>
        <v>0</v>
      </c>
      <c r="G404" s="20">
        <f t="shared" si="49"/>
        <v>0.10373585708045674</v>
      </c>
      <c r="H404" s="17">
        <f>SUM(C404:G404)</f>
        <v>5.0237793643249766</v>
      </c>
      <c r="I404" s="17">
        <f>D404/H404*100</f>
        <v>86.725663716814154</v>
      </c>
      <c r="J404" s="17">
        <f>SQRT(I404*(100-I404)/(L404-1))</f>
        <v>1.8455332487033302</v>
      </c>
      <c r="K404" s="18">
        <f>100-I404</f>
        <v>13.274336283185846</v>
      </c>
      <c r="L404" s="1">
        <f>H393</f>
        <v>339</v>
      </c>
      <c r="M404">
        <v>1</v>
      </c>
      <c r="N404" s="1">
        <v>9953.18</v>
      </c>
      <c r="O404" s="17">
        <f>N404/N408*100</f>
        <v>5.0237793643249766</v>
      </c>
      <c r="P404" s="52">
        <f>((O404*O404*(I404/100)*(K404/100))/(L404-1))</f>
        <v>8.5961673725993403E-3</v>
      </c>
    </row>
    <row r="405" spans="1:40" x14ac:dyDescent="0.3">
      <c r="A405" t="s">
        <v>5</v>
      </c>
      <c r="B405" s="13">
        <v>2</v>
      </c>
      <c r="C405" s="33">
        <f t="shared" si="49"/>
        <v>0</v>
      </c>
      <c r="D405" s="19">
        <f t="shared" si="49"/>
        <v>1.4187664734159526</v>
      </c>
      <c r="E405" s="34">
        <f t="shared" si="49"/>
        <v>55.339687883405752</v>
      </c>
      <c r="F405" s="19">
        <f t="shared" si="49"/>
        <v>0.74056491744239283</v>
      </c>
      <c r="G405" s="20">
        <f t="shared" si="49"/>
        <v>0.17929466422289511</v>
      </c>
      <c r="H405" s="17">
        <f>SUM(C405:G405)</f>
        <v>57.678313938486987</v>
      </c>
      <c r="I405" s="17">
        <f>E405/H405*100</f>
        <v>95.945398026760387</v>
      </c>
      <c r="J405" s="17">
        <f>SQRT(I405*(100-I405)/(L405-1))</f>
        <v>0.22931318405872911</v>
      </c>
      <c r="K405" s="18">
        <f>100-I405</f>
        <v>4.0546019732396132</v>
      </c>
      <c r="L405" s="1">
        <f>H394</f>
        <v>7399</v>
      </c>
      <c r="M405">
        <v>2</v>
      </c>
      <c r="N405" s="1">
        <v>114273.06</v>
      </c>
      <c r="O405" s="17">
        <f>N405/N408*100</f>
        <v>57.678313938486994</v>
      </c>
      <c r="P405" s="52">
        <f>((O405*O405*(I405/100)*(K405/100))/(L405-1))</f>
        <v>1.7493759930277897E-2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49"/>
        <v>0</v>
      </c>
      <c r="D406" s="19">
        <f t="shared" si="49"/>
        <v>4.0040224158575936E-2</v>
      </c>
      <c r="E406" s="19">
        <f t="shared" si="49"/>
        <v>0.26026145703074355</v>
      </c>
      <c r="F406" s="34">
        <f t="shared" si="49"/>
        <v>25.065180323268535</v>
      </c>
      <c r="G406" s="20">
        <f t="shared" si="49"/>
        <v>0.69069386673543487</v>
      </c>
      <c r="H406" s="17">
        <f>SUM(C406:G406)</f>
        <v>26.05617587119329</v>
      </c>
      <c r="I406" s="17">
        <f>F406/H406*100</f>
        <v>96.196696119861699</v>
      </c>
      <c r="J406" s="17">
        <f>SQRT(I406*(100-I406)/(L406-1))</f>
        <v>0.37497899895544912</v>
      </c>
      <c r="K406" s="18">
        <f>100-I406</f>
        <v>3.8033038801383015</v>
      </c>
      <c r="L406" s="1">
        <f>H395</f>
        <v>2603</v>
      </c>
      <c r="M406">
        <v>3</v>
      </c>
      <c r="N406" s="1">
        <v>51622.85</v>
      </c>
      <c r="O406" s="17">
        <f>N406/N408*100</f>
        <v>26.05617587119329</v>
      </c>
      <c r="P406" s="52">
        <f>((O406*O406*(I406/100)*(K406/100))/(L406-1))</f>
        <v>9.5463036542237784E-3</v>
      </c>
    </row>
    <row r="407" spans="1:40" x14ac:dyDescent="0.3">
      <c r="A407" t="s">
        <v>7</v>
      </c>
      <c r="B407" s="13">
        <v>4</v>
      </c>
      <c r="C407" s="35">
        <f t="shared" si="49"/>
        <v>0</v>
      </c>
      <c r="D407" s="36">
        <f t="shared" si="49"/>
        <v>0.1831086953471347</v>
      </c>
      <c r="E407" s="21">
        <f t="shared" si="49"/>
        <v>0.35604468539720641</v>
      </c>
      <c r="F407" s="21">
        <f t="shared" si="49"/>
        <v>1.9124685958478513</v>
      </c>
      <c r="G407" s="37">
        <f t="shared" si="49"/>
        <v>7.3141751085883246</v>
      </c>
      <c r="H407" s="17">
        <f>SUM(C407:G407)</f>
        <v>9.765797085180516</v>
      </c>
      <c r="I407" s="17">
        <f>G407/H407*100</f>
        <v>74.895833333333343</v>
      </c>
      <c r="J407" s="17">
        <f>SQRT(I407*(100-I407)/(L407-1))</f>
        <v>1.4002075976869721</v>
      </c>
      <c r="K407" s="18">
        <f>100-I407</f>
        <v>25.104166666666657</v>
      </c>
      <c r="L407" s="1">
        <f>H396</f>
        <v>960</v>
      </c>
      <c r="M407">
        <v>4</v>
      </c>
      <c r="N407" s="1">
        <v>19348.13</v>
      </c>
      <c r="O407" s="17">
        <f>N407/N408*100</f>
        <v>9.7657970851805178</v>
      </c>
      <c r="P407" s="52">
        <f>((O407*O407*(I407/100)*(K407/100))/(L407-1))</f>
        <v>1.8698219433637867E-2</v>
      </c>
      <c r="AM407" s="78"/>
      <c r="AN407" s="78"/>
    </row>
    <row r="408" spans="1:40" x14ac:dyDescent="0.3">
      <c r="B408" t="s">
        <v>28</v>
      </c>
      <c r="C408" s="17">
        <f t="shared" ref="C408:H408" si="50">SUM(C403:C407)</f>
        <v>1.4759337408142159</v>
      </c>
      <c r="D408" s="17">
        <f t="shared" si="50"/>
        <v>5.9988213903008454</v>
      </c>
      <c r="E408" s="17">
        <f t="shared" si="50"/>
        <v>56.519131535699039</v>
      </c>
      <c r="F408" s="17">
        <f t="shared" si="50"/>
        <v>27.718213836558778</v>
      </c>
      <c r="G408" s="17">
        <f t="shared" si="50"/>
        <v>8.2878994966271122</v>
      </c>
      <c r="H408" s="18">
        <f t="shared" si="50"/>
        <v>99.999999999999972</v>
      </c>
      <c r="I408" s="13" t="s">
        <v>24</v>
      </c>
      <c r="J408" s="12" t="s">
        <v>29</v>
      </c>
      <c r="N408" s="1">
        <f>SUM(N403:N407)</f>
        <v>198121.36000000002</v>
      </c>
      <c r="O408" s="17">
        <f>SUM(O403:O407)</f>
        <v>100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0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0.14692383960542804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0.17598405871153117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0.17574576478157883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0.16825054781542667</v>
      </c>
      <c r="H409" s="1"/>
      <c r="I409" s="56">
        <f>(C403+D404+E405+F406+G407)/H408</f>
        <v>0.93551883053456031</v>
      </c>
      <c r="J409" s="53">
        <f>SQRT(SUM(P403:P407))/100</f>
        <v>2.3309751262237631E-3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72.629366902365476</v>
      </c>
      <c r="E410" s="17">
        <f>E405/E408*100</f>
        <v>97.913195726391649</v>
      </c>
      <c r="F410" s="17">
        <f>F406/F408*100</f>
        <v>90.428555285221734</v>
      </c>
      <c r="G410" s="17">
        <f>G407/G408*100</f>
        <v>88.251252462278771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4.450157716771983</v>
      </c>
      <c r="E411" s="18">
        <f>SQRT((E414+E415)/(E408*E408))</f>
        <v>0.20716501743386698</v>
      </c>
      <c r="F411" s="18">
        <f>SQRT((F414+F415)/(F408*F408))</f>
        <v>0.58411031310642103</v>
      </c>
      <c r="G411" s="18">
        <f>SQRT((G414+G415)/(G408*G408))</f>
        <v>2.2022975994976099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27.370633097634524</v>
      </c>
      <c r="E412" s="18">
        <f>100-E410</f>
        <v>2.086804273608351</v>
      </c>
      <c r="F412" s="18">
        <f>100-F410</f>
        <v>9.5714447147782664</v>
      </c>
      <c r="G412" s="18">
        <f>100-G410</f>
        <v>11.748747537721229</v>
      </c>
    </row>
    <row r="413" spans="1:40" ht="15.6" x14ac:dyDescent="0.35">
      <c r="B413" s="1" t="s">
        <v>25</v>
      </c>
      <c r="C413" s="1">
        <f>C397</f>
        <v>259</v>
      </c>
      <c r="D413" s="1">
        <f>D397</f>
        <v>498</v>
      </c>
      <c r="E413" s="1">
        <f>E397</f>
        <v>7198</v>
      </c>
      <c r="F413" s="1">
        <f>F397</f>
        <v>2787</v>
      </c>
      <c r="G413" s="1">
        <f>G397</f>
        <v>818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643.98321642404005</v>
      </c>
      <c r="E414" s="18">
        <f>(O405*O405*(100-E410)*(100-E410)*(I405)*(100-I405))/((L405-1)*100)</f>
        <v>7.618098737954746</v>
      </c>
      <c r="F414" s="18">
        <f>(O406*O406*(100-F410)*(100-F410)*(I406)*(100-I406))/((L406-1)*100)</f>
        <v>87.456125833618174</v>
      </c>
      <c r="G414" s="18">
        <f>(O407*O407*(100-G410)*(100-G410)*(I407)*(100-I407))/((L407-1)*100)</f>
        <v>258.09726077465717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68.677251559361395</v>
      </c>
      <c r="E415" s="18">
        <f>E410*E410*(SUM((H403*E403*(1-E392/H392))/(H392-1),(H404*E404*(1-E393/H393))/(H393-1), (H406*E406*(1-E395/H395))/(H395-1),(H407*E407*(1-E396/H396))/(H396-1)))</f>
        <v>129.4775912277272</v>
      </c>
      <c r="F415" s="18">
        <f>F410*F410*(SUM((H403*F403*(1-F392/H392))/(H392-1),(H404*F404*(1-F393/H393))/(H393-1), (H405*F405*(1-F394/H394))/(H394-1),(H407*F407*(1-F396/H396))/(H396-1)))</f>
        <v>174.67598835518561</v>
      </c>
      <c r="G415" s="18">
        <f>G410*G410*(SUM((H403*G403*(1-G392/H392))/(H392-1),(H404*G404*(1-G393/H393))/(H393-1), (H405*G405*(1-G394/H394))/(H394-1),(H406*G406*(1-G395/H395))/(H395-1)))</f>
        <v>75.053617657315044</v>
      </c>
      <c r="AM415" s="78"/>
      <c r="AN415" s="78"/>
    </row>
    <row r="417" spans="1:40" x14ac:dyDescent="0.3">
      <c r="AM417" s="78"/>
      <c r="AN417" s="78"/>
    </row>
    <row r="418" spans="1:40" x14ac:dyDescent="0.3">
      <c r="A418" s="361" t="s">
        <v>441</v>
      </c>
      <c r="B418" s="361"/>
      <c r="C418" s="361"/>
      <c r="D418" s="361"/>
      <c r="E418" s="361"/>
      <c r="F418" s="361"/>
      <c r="G418" s="361"/>
      <c r="H418" s="361"/>
      <c r="I418" s="361"/>
      <c r="J418" s="361"/>
      <c r="K418" s="361"/>
      <c r="L418" s="361" t="s">
        <v>92</v>
      </c>
      <c r="M418" s="361"/>
      <c r="N418" s="361"/>
      <c r="O418" s="361"/>
      <c r="P418" s="361"/>
    </row>
    <row r="419" spans="1:40" x14ac:dyDescent="0.3">
      <c r="A419" t="s">
        <v>15</v>
      </c>
      <c r="B419" t="s">
        <v>21</v>
      </c>
      <c r="I419" s="1" t="s">
        <v>58</v>
      </c>
      <c r="O419" s="143"/>
      <c r="P419" s="143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56</v>
      </c>
      <c r="O420" s="13"/>
      <c r="P420" s="13"/>
    </row>
    <row r="421" spans="1:40" x14ac:dyDescent="0.3">
      <c r="A421" t="s">
        <v>3</v>
      </c>
      <c r="B421" s="13">
        <v>0</v>
      </c>
      <c r="C421" s="26">
        <v>259</v>
      </c>
      <c r="D421" s="3">
        <v>0</v>
      </c>
      <c r="E421" s="3">
        <v>0</v>
      </c>
      <c r="F421" s="3">
        <v>0</v>
      </c>
      <c r="G421" s="4">
        <v>0</v>
      </c>
      <c r="H421" s="1">
        <f>SUM(C421:G421)</f>
        <v>259</v>
      </c>
      <c r="I421" s="10">
        <f>C421/H421</f>
        <v>1</v>
      </c>
      <c r="J421" s="11">
        <f>1-I421</f>
        <v>0</v>
      </c>
      <c r="K421">
        <f>H421-C426</f>
        <v>0</v>
      </c>
      <c r="N421" s="10">
        <f>2*(C427*I421)/(C427+I421)</f>
        <v>1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291</v>
      </c>
      <c r="E422" s="1">
        <v>41</v>
      </c>
      <c r="F422" s="1">
        <v>0</v>
      </c>
      <c r="G422" s="6">
        <v>7</v>
      </c>
      <c r="H422" s="1">
        <f>SUM(C422:G422)</f>
        <v>339</v>
      </c>
      <c r="I422" s="10">
        <f>D422/H422</f>
        <v>0.8584070796460177</v>
      </c>
      <c r="J422" s="11">
        <f>1-I422</f>
        <v>0.1415929203539823</v>
      </c>
      <c r="K422">
        <f>H422-D426</f>
        <v>-166</v>
      </c>
      <c r="N422" s="10">
        <f>2*(D427*I422)/(D427+I422)</f>
        <v>0.68957345971563988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190</v>
      </c>
      <c r="E423" s="27">
        <v>7088</v>
      </c>
      <c r="F423" s="1">
        <v>98</v>
      </c>
      <c r="G423" s="6">
        <v>23</v>
      </c>
      <c r="H423" s="1">
        <f>SUM(C423:G423)</f>
        <v>7399</v>
      </c>
      <c r="I423" s="10">
        <f>E423/H423</f>
        <v>0.95796729287741589</v>
      </c>
      <c r="J423" s="11">
        <f>1-I423</f>
        <v>4.2032707122584112E-2</v>
      </c>
      <c r="K423">
        <f>H423-E426</f>
        <v>215</v>
      </c>
      <c r="N423" s="10">
        <f>2*(E427*I423)/(E427+I423)</f>
        <v>0.97209079064664328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7</v>
      </c>
      <c r="E424" s="1">
        <v>24</v>
      </c>
      <c r="F424" s="27">
        <v>2506</v>
      </c>
      <c r="G424" s="6">
        <v>66</v>
      </c>
      <c r="H424" s="1">
        <f>SUM(C424:G424)</f>
        <v>2603</v>
      </c>
      <c r="I424" s="10">
        <f>F424/H424</f>
        <v>0.96273530541682673</v>
      </c>
      <c r="J424" s="11">
        <f>1-I424</f>
        <v>3.7264694583173275E-2</v>
      </c>
      <c r="K424">
        <f>H424-F426</f>
        <v>-185</v>
      </c>
      <c r="N424" s="10">
        <f>2*(F427*I424)/(F427+I424)</f>
        <v>0.92969764422185119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17</v>
      </c>
      <c r="E425" s="8">
        <v>31</v>
      </c>
      <c r="F425" s="8">
        <v>184</v>
      </c>
      <c r="G425" s="28">
        <v>728</v>
      </c>
      <c r="H425" s="1">
        <f>SUM(C425:G425)</f>
        <v>960</v>
      </c>
      <c r="I425" s="10">
        <f>G425/H425</f>
        <v>0.7583333333333333</v>
      </c>
      <c r="J425" s="11">
        <f>1-I425</f>
        <v>0.2416666666666667</v>
      </c>
      <c r="K425">
        <f>H425-G426</f>
        <v>136</v>
      </c>
      <c r="N425" s="10">
        <f>2*(G427*I425)/(G427+I425)</f>
        <v>0.81614349775784745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259</v>
      </c>
      <c r="D426" s="1">
        <f>SUM(D421:D425)</f>
        <v>505</v>
      </c>
      <c r="E426" s="1">
        <f>SUM(E421:E425)</f>
        <v>7184</v>
      </c>
      <c r="F426" s="1">
        <f>SUM(F421:F425)</f>
        <v>2788</v>
      </c>
      <c r="G426" s="1">
        <f>SUM(G421:G425)</f>
        <v>824</v>
      </c>
      <c r="H426" s="1">
        <f>SUM(H420:H425)</f>
        <v>11560</v>
      </c>
      <c r="I426" s="13" t="s">
        <v>12</v>
      </c>
      <c r="N426" s="16"/>
      <c r="O426" s="1"/>
      <c r="P426" s="1"/>
    </row>
    <row r="427" spans="1:40" x14ac:dyDescent="0.3">
      <c r="A427" s="1" t="s">
        <v>57</v>
      </c>
      <c r="B427" s="1" t="s">
        <v>2</v>
      </c>
      <c r="C427" s="10">
        <f>C421/C426</f>
        <v>1</v>
      </c>
      <c r="D427" s="10">
        <f>D422/D426</f>
        <v>0.57623762376237619</v>
      </c>
      <c r="E427" s="10">
        <f>E423/E426</f>
        <v>0.98663697104677062</v>
      </c>
      <c r="F427" s="10">
        <f>F424/F426</f>
        <v>0.89885222381635577</v>
      </c>
      <c r="G427" s="10">
        <f>G425/G426</f>
        <v>0.88349514563106801</v>
      </c>
      <c r="H427" s="10"/>
      <c r="I427" s="14">
        <f>(C421+D422+E423+F424+G425)/H426</f>
        <v>0.94048442906574392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0.42376237623762381</v>
      </c>
      <c r="E428" s="11">
        <f>1-E427</f>
        <v>1.3363028953229383E-2</v>
      </c>
      <c r="F428" s="11">
        <f>1-F427</f>
        <v>0.10114777618364423</v>
      </c>
      <c r="G428" s="11">
        <f>1-G427</f>
        <v>0.11650485436893199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1.4633404495103404</v>
      </c>
      <c r="D432" s="31">
        <f>(D421/$L432)*$O432</f>
        <v>0</v>
      </c>
      <c r="E432" s="31">
        <f>(E421/$L432)*$O432</f>
        <v>0</v>
      </c>
      <c r="F432" s="31">
        <f>(F421/$L432)*$O432</f>
        <v>0</v>
      </c>
      <c r="G432" s="32">
        <f>(G421/$L432)*$O432</f>
        <v>0</v>
      </c>
      <c r="H432" s="17">
        <f>SUM(C432:G432)</f>
        <v>1.4633404495103404</v>
      </c>
      <c r="I432" s="17">
        <f>C432/H432*100</f>
        <v>100</v>
      </c>
      <c r="J432" s="17">
        <f>SQRT(I432*(100-I432)/(L432-1))</f>
        <v>0</v>
      </c>
      <c r="K432" s="18">
        <f>100-I432</f>
        <v>0</v>
      </c>
      <c r="L432" s="1">
        <f>H421</f>
        <v>259</v>
      </c>
      <c r="M432">
        <v>0</v>
      </c>
      <c r="N432" s="1">
        <v>2899.19</v>
      </c>
      <c r="O432" s="17">
        <f>N432/N437*100</f>
        <v>1.4633404495103404</v>
      </c>
      <c r="P432" s="52">
        <f>((O432*O432*(I432/100)*(K432/100))/(L432-1))</f>
        <v>0</v>
      </c>
    </row>
    <row r="433" spans="1:40" x14ac:dyDescent="0.3">
      <c r="A433" t="s">
        <v>4</v>
      </c>
      <c r="B433" s="13">
        <v>1</v>
      </c>
      <c r="C433" s="33">
        <f t="shared" ref="C433:G436" si="51">(C422/$L433)*$O433</f>
        <v>0</v>
      </c>
      <c r="D433" s="34">
        <f t="shared" si="51"/>
        <v>4.3628547959882606</v>
      </c>
      <c r="E433" s="19">
        <f t="shared" si="51"/>
        <v>0.61469775476123256</v>
      </c>
      <c r="F433" s="18">
        <f t="shared" si="51"/>
        <v>0</v>
      </c>
      <c r="G433" s="20">
        <f t="shared" si="51"/>
        <v>0.10494839715435679</v>
      </c>
      <c r="H433" s="17">
        <f>SUM(C433:G433)</f>
        <v>5.0825009479038501</v>
      </c>
      <c r="I433" s="17">
        <f>D433/H433*100</f>
        <v>85.840707964601776</v>
      </c>
      <c r="J433" s="17">
        <f>SQRT(I433*(100-I433)/(L433-1))</f>
        <v>1.8963088192217994</v>
      </c>
      <c r="K433" s="18">
        <f>100-I433</f>
        <v>14.159292035398224</v>
      </c>
      <c r="L433" s="1">
        <f>H422</f>
        <v>339</v>
      </c>
      <c r="M433">
        <v>1</v>
      </c>
      <c r="N433" s="1">
        <v>10069.52</v>
      </c>
      <c r="O433" s="17">
        <f>N433/N437*100</f>
        <v>5.0825009479038501</v>
      </c>
      <c r="P433" s="52">
        <f>((O433*O433*(I433/100)*(K433/100))/(L433-1))</f>
        <v>9.2890877671580607E-3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51"/>
        <v>0</v>
      </c>
      <c r="D434" s="19">
        <f t="shared" si="51"/>
        <v>1.4753621765650962</v>
      </c>
      <c r="E434" s="34">
        <f t="shared" si="51"/>
        <v>55.038774249965272</v>
      </c>
      <c r="F434" s="19">
        <f t="shared" si="51"/>
        <v>0.76097628054410216</v>
      </c>
      <c r="G434" s="20">
        <f t="shared" si="51"/>
        <v>0.17859647400524847</v>
      </c>
      <c r="H434" s="17">
        <f>SUM(C434:G434)</f>
        <v>57.453709181079716</v>
      </c>
      <c r="I434" s="17">
        <f>E434/H434*100</f>
        <v>95.796729287741584</v>
      </c>
      <c r="J434" s="17">
        <f>SQRT(I434*(100-I434)/(L434-1))</f>
        <v>0.23329845253863651</v>
      </c>
      <c r="K434" s="18">
        <f>100-I434</f>
        <v>4.2032707122584156</v>
      </c>
      <c r="L434" s="1">
        <f>H423</f>
        <v>7399</v>
      </c>
      <c r="M434">
        <v>2</v>
      </c>
      <c r="N434" s="1">
        <v>113828.07</v>
      </c>
      <c r="O434" s="17">
        <f>N434/N437*100</f>
        <v>57.453709181079716</v>
      </c>
      <c r="P434" s="52">
        <f>((O434*O434*(I434/100)*(K434/100))/(L434-1))</f>
        <v>1.7966350162471414E-2</v>
      </c>
    </row>
    <row r="435" spans="1:40" x14ac:dyDescent="0.3">
      <c r="A435" t="s">
        <v>6</v>
      </c>
      <c r="B435" s="13">
        <v>3</v>
      </c>
      <c r="C435" s="33">
        <f t="shared" si="51"/>
        <v>0</v>
      </c>
      <c r="D435" s="19">
        <f t="shared" si="51"/>
        <v>7.0615002726049675E-2</v>
      </c>
      <c r="E435" s="19">
        <f t="shared" si="51"/>
        <v>0.24210858077502742</v>
      </c>
      <c r="F435" s="34">
        <f t="shared" si="51"/>
        <v>25.280170975925781</v>
      </c>
      <c r="G435" s="20">
        <f t="shared" si="51"/>
        <v>0.6657985971313255</v>
      </c>
      <c r="H435" s="17">
        <f>SUM(C435:G435)</f>
        <v>26.258693156558184</v>
      </c>
      <c r="I435" s="17">
        <f>F435/H435*100</f>
        <v>96.273530541682675</v>
      </c>
      <c r="J435" s="17">
        <f>SQRT(I435*(100-I435)/(L435-1))</f>
        <v>0.37132020901140972</v>
      </c>
      <c r="K435" s="18">
        <f>100-I435</f>
        <v>3.7264694583173252</v>
      </c>
      <c r="L435" s="1">
        <f>H424</f>
        <v>2603</v>
      </c>
      <c r="M435">
        <v>3</v>
      </c>
      <c r="N435" s="1">
        <v>52024.08</v>
      </c>
      <c r="O435" s="17">
        <f>N435/N437*100</f>
        <v>26.258693156558184</v>
      </c>
      <c r="P435" s="52">
        <f>((O435*O435*(I435/100)*(K435/100))/(L435-1))</f>
        <v>9.5069977056582884E-3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51"/>
        <v>0</v>
      </c>
      <c r="D436" s="36">
        <f t="shared" si="51"/>
        <v>0.17251026719178586</v>
      </c>
      <c r="E436" s="21">
        <f t="shared" si="51"/>
        <v>0.31457754605560956</v>
      </c>
      <c r="F436" s="21">
        <f t="shared" si="51"/>
        <v>1.8671699507816824</v>
      </c>
      <c r="G436" s="37">
        <f t="shared" si="51"/>
        <v>7.3874985009188299</v>
      </c>
      <c r="H436" s="17">
        <f>SUM(C436:G436)</f>
        <v>9.7417562649479077</v>
      </c>
      <c r="I436" s="17">
        <f>G436/H436*100</f>
        <v>75.833333333333329</v>
      </c>
      <c r="J436" s="17">
        <f>SQRT(I436*(100-I436)/(L436-1))</f>
        <v>1.382385422597437</v>
      </c>
      <c r="K436" s="18">
        <f>100-I436</f>
        <v>24.166666666666671</v>
      </c>
      <c r="L436" s="1">
        <f>H425</f>
        <v>960</v>
      </c>
      <c r="M436">
        <v>4</v>
      </c>
      <c r="N436" s="1">
        <v>19300.5</v>
      </c>
      <c r="O436" s="17">
        <f>N436/N437*100</f>
        <v>9.7417562649479077</v>
      </c>
      <c r="P436" s="52">
        <f>((O436*O436*(I436/100)*(K436/100))/(L436-1))</f>
        <v>1.8135636811826204E-2</v>
      </c>
    </row>
    <row r="437" spans="1:40" x14ac:dyDescent="0.3">
      <c r="B437" t="s">
        <v>28</v>
      </c>
      <c r="C437" s="17">
        <f t="shared" ref="C437:H437" si="52">SUM(C432:C436)</f>
        <v>1.4633404495103404</v>
      </c>
      <c r="D437" s="17">
        <f t="shared" si="52"/>
        <v>6.0813422424711927</v>
      </c>
      <c r="E437" s="17">
        <f t="shared" si="52"/>
        <v>56.210158131557137</v>
      </c>
      <c r="F437" s="17">
        <f t="shared" si="52"/>
        <v>27.908317207251567</v>
      </c>
      <c r="G437" s="17">
        <f t="shared" si="52"/>
        <v>8.3368419692097611</v>
      </c>
      <c r="H437" s="18">
        <f t="shared" si="52"/>
        <v>100</v>
      </c>
      <c r="I437" s="13" t="s">
        <v>24</v>
      </c>
      <c r="J437" s="12" t="s">
        <v>29</v>
      </c>
      <c r="N437" s="1">
        <f>SUM(N432:N436)</f>
        <v>198121.36000000002</v>
      </c>
      <c r="O437" s="17">
        <f>SUM(O432:O436)</f>
        <v>100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0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0.15117471780407865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0.17769138352116909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0.17507122428746727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0.16609151804594932</v>
      </c>
      <c r="H438" s="1"/>
      <c r="I438" s="56">
        <f>(C432+D433+E434+F435+G436)/H437</f>
        <v>0.93532638972308479</v>
      </c>
      <c r="J438" s="53">
        <f>SQRT(SUM(P432:P436))/100</f>
        <v>2.3430337694347035E-3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71.741642256519128</v>
      </c>
      <c r="E439" s="17">
        <f>E434/E437*100</f>
        <v>97.916063714230631</v>
      </c>
      <c r="F439" s="17">
        <f>F435/F437*100</f>
        <v>90.582928337066122</v>
      </c>
      <c r="G439" s="17">
        <f>G436/G437*100</f>
        <v>88.612672858654193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4.6849970418025357</v>
      </c>
      <c r="E440" s="18">
        <f>SQRT((E443+E444)/(E437*E437))</f>
        <v>0.2094144241240983</v>
      </c>
      <c r="F440" s="18">
        <f>SQRT((F443+F444)/(F437*F437))</f>
        <v>0.57549645743648636</v>
      </c>
      <c r="G440" s="18">
        <f>SQRT((G443+G444)/(G437*G437))</f>
        <v>2.1105033048801327</v>
      </c>
      <c r="H440" s="1"/>
    </row>
    <row r="441" spans="1:40" x14ac:dyDescent="0.3">
      <c r="B441" s="1" t="s">
        <v>37</v>
      </c>
      <c r="C441" s="18">
        <f>100-C439</f>
        <v>0</v>
      </c>
      <c r="D441" s="18">
        <f>100-D439</f>
        <v>28.258357743480872</v>
      </c>
      <c r="E441" s="18">
        <f>100-E439</f>
        <v>2.0839362857693686</v>
      </c>
      <c r="F441" s="18">
        <f>100-F439</f>
        <v>9.4170716629338784</v>
      </c>
      <c r="G441" s="18">
        <f>100-G439</f>
        <v>11.387327141345807</v>
      </c>
      <c r="AM441" s="78"/>
      <c r="AN441" s="78"/>
    </row>
    <row r="442" spans="1:40" ht="15.6" x14ac:dyDescent="0.35">
      <c r="B442" s="1" t="s">
        <v>25</v>
      </c>
      <c r="C442" s="1">
        <f>C426</f>
        <v>259</v>
      </c>
      <c r="D442" s="1">
        <f>D426</f>
        <v>505</v>
      </c>
      <c r="E442" s="1">
        <f>E426</f>
        <v>7184</v>
      </c>
      <c r="F442" s="1">
        <f>F426</f>
        <v>2788</v>
      </c>
      <c r="G442" s="1">
        <f>G426</f>
        <v>824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741.76596784569881</v>
      </c>
      <c r="E443" s="18">
        <f>(O434*O434*(100-E439)*(100-E439)*(I434)*(100-I434))/((L434-1)*100)</f>
        <v>7.8024093783799602</v>
      </c>
      <c r="F443" s="18">
        <f>(O435*O435*(100-F439)*(100-F439)*(I435)*(100-I435))/((L435-1)*100)</f>
        <v>84.309233290177502</v>
      </c>
      <c r="G443" s="18">
        <f>(O436*O436*(100-G439)*(100-G439)*(I436)*(100-I436))/((L436-1)*100)</f>
        <v>235.1670140420847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69.975125613249773</v>
      </c>
      <c r="E444" s="18">
        <f>E439*E439*(SUM((H432*E432*(1-E421/H421))/(H421-1),(H433*E433*(1-E422/H422))/(H422-1), (H435*E435*(1-E424/H424))/(H424-1),(H436*E436*(1-E425/H425))/(H425-1)))</f>
        <v>130.75916135423685</v>
      </c>
      <c r="F444" s="18">
        <f>F439*F439*(SUM((H432*F432*(1-F421/H421))/(H421-1),(H433*F433*(1-F422/H422))/(H422-1), (H434*F434*(1-F423/H423))/(H423-1),(H436*F436*(1-F425/H425))/(H425-1)))</f>
        <v>173.65091047163028</v>
      </c>
      <c r="G444" s="18">
        <f>G439*G439*(SUM((H432*G432*(1-G421/H421))/(H421-1),(H433*G433*(1-G422/H422))/(H422-1), (H434*G434*(1-G423/H423))/(H423-1),(H435*G435*(1-G424/H424))/(H424-1)))</f>
        <v>74.414636632661853</v>
      </c>
    </row>
    <row r="445" spans="1:40" x14ac:dyDescent="0.3">
      <c r="AM445" s="78"/>
      <c r="AN445" s="78"/>
    </row>
    <row r="447" spans="1:40" x14ac:dyDescent="0.3">
      <c r="A447" s="361" t="s">
        <v>441</v>
      </c>
      <c r="B447" s="361"/>
      <c r="C447" s="361"/>
      <c r="D447" s="361"/>
      <c r="E447" s="361"/>
      <c r="F447" s="361"/>
      <c r="G447" s="361"/>
      <c r="H447" s="361"/>
      <c r="I447" s="361"/>
      <c r="J447" s="361"/>
      <c r="K447" s="361"/>
      <c r="L447" s="361" t="s">
        <v>93</v>
      </c>
      <c r="M447" s="361"/>
      <c r="N447" s="361"/>
      <c r="O447" s="361"/>
      <c r="P447" s="361"/>
      <c r="AM447" s="78"/>
      <c r="AN447" s="78"/>
    </row>
    <row r="448" spans="1:40" x14ac:dyDescent="0.3">
      <c r="A448" t="s">
        <v>15</v>
      </c>
      <c r="B448" t="s">
        <v>21</v>
      </c>
      <c r="I448" s="1" t="s">
        <v>58</v>
      </c>
      <c r="O448" s="143"/>
      <c r="P448" s="143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56</v>
      </c>
      <c r="O449" s="13"/>
      <c r="P449" s="13"/>
      <c r="AM449" s="78"/>
      <c r="AN449" s="78"/>
    </row>
    <row r="450" spans="1:40" x14ac:dyDescent="0.3">
      <c r="A450" t="s">
        <v>3</v>
      </c>
      <c r="B450" s="13">
        <v>0</v>
      </c>
      <c r="C450" s="26">
        <v>259</v>
      </c>
      <c r="D450" s="3">
        <v>0</v>
      </c>
      <c r="E450" s="3">
        <v>0</v>
      </c>
      <c r="F450" s="3">
        <v>0</v>
      </c>
      <c r="G450" s="4">
        <v>0</v>
      </c>
      <c r="H450" s="1">
        <f>SUM(C450:G450)</f>
        <v>259</v>
      </c>
      <c r="I450" s="10">
        <f>C450/H450</f>
        <v>1</v>
      </c>
      <c r="J450" s="11">
        <f>1-I450</f>
        <v>0</v>
      </c>
      <c r="K450">
        <f>H450-C455</f>
        <v>0</v>
      </c>
      <c r="N450" s="10">
        <f>2*(C456*I450)/(C456+I450)</f>
        <v>1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291</v>
      </c>
      <c r="E451" s="1">
        <v>41</v>
      </c>
      <c r="F451" s="1">
        <v>0</v>
      </c>
      <c r="G451" s="6">
        <v>7</v>
      </c>
      <c r="H451" s="1">
        <f>SUM(C451:G451)</f>
        <v>339</v>
      </c>
      <c r="I451" s="10">
        <f>D451/H451</f>
        <v>0.8584070796460177</v>
      </c>
      <c r="J451" s="11">
        <f>1-I451</f>
        <v>0.1415929203539823</v>
      </c>
      <c r="K451">
        <f>H451-D455</f>
        <v>-157</v>
      </c>
      <c r="N451" s="10">
        <f>2*(D456*I451)/(D456+I451)</f>
        <v>0.69700598802395208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178</v>
      </c>
      <c r="E452" s="27">
        <v>7107</v>
      </c>
      <c r="F452" s="1">
        <v>93</v>
      </c>
      <c r="G452" s="6">
        <v>21</v>
      </c>
      <c r="H452" s="1">
        <f>SUM(C452:G452)</f>
        <v>7399</v>
      </c>
      <c r="I452" s="10">
        <f>E452/H452</f>
        <v>0.96053520746046761</v>
      </c>
      <c r="J452" s="11">
        <f>1-I452</f>
        <v>3.946479253953239E-2</v>
      </c>
      <c r="K452">
        <f>H452-E455</f>
        <v>206</v>
      </c>
      <c r="N452" s="10">
        <f>2*(E456*I452)/(E456+I452)</f>
        <v>0.97409539473684215</v>
      </c>
      <c r="O452" s="1"/>
      <c r="P452" s="1"/>
    </row>
    <row r="453" spans="1:40" x14ac:dyDescent="0.3">
      <c r="A453" t="s">
        <v>6</v>
      </c>
      <c r="B453" s="13">
        <v>3</v>
      </c>
      <c r="C453" s="5">
        <v>0</v>
      </c>
      <c r="D453" s="1">
        <v>7</v>
      </c>
      <c r="E453" s="1">
        <v>25</v>
      </c>
      <c r="F453" s="27">
        <v>2499</v>
      </c>
      <c r="G453" s="6">
        <v>72</v>
      </c>
      <c r="H453" s="1">
        <f>SUM(C453:G453)</f>
        <v>2603</v>
      </c>
      <c r="I453" s="10">
        <f>F453/H453</f>
        <v>0.96004610065309259</v>
      </c>
      <c r="J453" s="11">
        <f>1-I453</f>
        <v>3.9953899346907407E-2</v>
      </c>
      <c r="K453">
        <f>H453-F455</f>
        <v>-164</v>
      </c>
      <c r="N453" s="10">
        <f>2*(F456*I453)/(F456+I453)</f>
        <v>0.9307262569832403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20</v>
      </c>
      <c r="E454" s="8">
        <v>20</v>
      </c>
      <c r="F454" s="8">
        <v>175</v>
      </c>
      <c r="G454" s="28">
        <v>745</v>
      </c>
      <c r="H454" s="1">
        <f>SUM(C454:G454)</f>
        <v>960</v>
      </c>
      <c r="I454" s="10">
        <f>G454/H454</f>
        <v>0.77604166666666663</v>
      </c>
      <c r="J454" s="11">
        <f>1-I454</f>
        <v>0.22395833333333337</v>
      </c>
      <c r="K454">
        <f>H454-G455</f>
        <v>115</v>
      </c>
      <c r="N454" s="10">
        <f>2*(G456*I454)/(G456+I454)</f>
        <v>0.82548476454293618</v>
      </c>
      <c r="O454" s="1"/>
      <c r="P454" s="1"/>
    </row>
    <row r="455" spans="1:40" ht="15.6" x14ac:dyDescent="0.35">
      <c r="B455" s="1" t="s">
        <v>19</v>
      </c>
      <c r="C455" s="1">
        <f>SUM(C450:C454)</f>
        <v>259</v>
      </c>
      <c r="D455" s="1">
        <f>SUM(D450:D454)</f>
        <v>496</v>
      </c>
      <c r="E455" s="1">
        <f>SUM(E450:E454)</f>
        <v>7193</v>
      </c>
      <c r="F455" s="1">
        <f>SUM(F450:F454)</f>
        <v>2767</v>
      </c>
      <c r="G455" s="1">
        <f>SUM(G450:G454)</f>
        <v>845</v>
      </c>
      <c r="H455" s="1">
        <f>SUM(H449:H454)</f>
        <v>11560</v>
      </c>
      <c r="I455" s="13" t="s">
        <v>12</v>
      </c>
      <c r="N455" s="16"/>
      <c r="O455" s="1"/>
      <c r="P455" s="1"/>
      <c r="AM455" s="78"/>
      <c r="AN455" s="78"/>
    </row>
    <row r="456" spans="1:40" x14ac:dyDescent="0.3">
      <c r="A456" s="1" t="s">
        <v>57</v>
      </c>
      <c r="B456" s="1" t="s">
        <v>2</v>
      </c>
      <c r="C456" s="10">
        <f>C450/C455</f>
        <v>1</v>
      </c>
      <c r="D456" s="10">
        <f>D451/D455</f>
        <v>0.58669354838709675</v>
      </c>
      <c r="E456" s="10">
        <f>E452/E455</f>
        <v>0.98804393160016679</v>
      </c>
      <c r="F456" s="10">
        <f>F453/F455</f>
        <v>0.9031441994940369</v>
      </c>
      <c r="G456" s="10">
        <f>G454/G455</f>
        <v>0.88165680473372776</v>
      </c>
      <c r="H456" s="10"/>
      <c r="I456" s="14">
        <f>(C450+D451+E452+F453+G454)/H455</f>
        <v>0.94299307958477507</v>
      </c>
    </row>
    <row r="457" spans="1:40" x14ac:dyDescent="0.3">
      <c r="B457" s="1" t="s">
        <v>14</v>
      </c>
      <c r="C457" s="11">
        <f>1-C456</f>
        <v>0</v>
      </c>
      <c r="D457" s="11">
        <f>1-D456</f>
        <v>0.41330645161290325</v>
      </c>
      <c r="E457" s="11">
        <f>1-E456</f>
        <v>1.1956068399833208E-2</v>
      </c>
      <c r="F457" s="11">
        <f>1-F456</f>
        <v>9.6855800505963097E-2</v>
      </c>
      <c r="G457" s="11">
        <f>1-G456</f>
        <v>0.11834319526627224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1.4793860955029738</v>
      </c>
      <c r="D461" s="31">
        <f>(D450/$L461)*$O461</f>
        <v>0</v>
      </c>
      <c r="E461" s="31">
        <f>(E450/$L461)*$O461</f>
        <v>0</v>
      </c>
      <c r="F461" s="31">
        <f>(F450/$L461)*$O461</f>
        <v>0</v>
      </c>
      <c r="G461" s="32">
        <f>(G450/$L461)*$O461</f>
        <v>0</v>
      </c>
      <c r="H461" s="17">
        <f>SUM(C461:G461)</f>
        <v>1.4793860955029738</v>
      </c>
      <c r="I461" s="17">
        <f>C461/H461*100</f>
        <v>100</v>
      </c>
      <c r="J461" s="17">
        <f>SQRT(I461*(100-I461)/(L461-1))</f>
        <v>0</v>
      </c>
      <c r="K461" s="18">
        <f>100-I461</f>
        <v>0</v>
      </c>
      <c r="L461" s="1">
        <f>H450</f>
        <v>259</v>
      </c>
      <c r="M461">
        <v>0</v>
      </c>
      <c r="N461" s="1">
        <v>2930.98</v>
      </c>
      <c r="O461" s="17">
        <f>N461/N466*100</f>
        <v>1.4793860955029738</v>
      </c>
      <c r="P461" s="52">
        <f>((O461*O461*(I461/100)*(K461/100))/(L461-1))</f>
        <v>0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53">(C451/$L462)*$O462</f>
        <v>0</v>
      </c>
      <c r="D462" s="34">
        <f t="shared" si="53"/>
        <v>4.2452728564126287</v>
      </c>
      <c r="E462" s="19">
        <f t="shared" si="53"/>
        <v>0.59813122719215728</v>
      </c>
      <c r="F462" s="18">
        <f t="shared" si="53"/>
        <v>0</v>
      </c>
      <c r="G462" s="20">
        <f t="shared" si="53"/>
        <v>0.10211996561817319</v>
      </c>
      <c r="H462" s="17">
        <f>SUM(C462:G462)</f>
        <v>4.9455240492229589</v>
      </c>
      <c r="I462" s="17">
        <f>D462/H462*100</f>
        <v>85.840707964601776</v>
      </c>
      <c r="J462" s="17">
        <f>SQRT(I462*(100-I462)/(L462-1))</f>
        <v>1.8963088192217994</v>
      </c>
      <c r="K462" s="18">
        <f>100-I462</f>
        <v>14.159292035398224</v>
      </c>
      <c r="L462" s="1">
        <f>H451</f>
        <v>339</v>
      </c>
      <c r="M462">
        <v>1</v>
      </c>
      <c r="N462" s="1">
        <v>9798.14</v>
      </c>
      <c r="O462" s="17">
        <f>N462/N466*100</f>
        <v>4.9455240492229589</v>
      </c>
      <c r="P462" s="52">
        <f>((O462*O462*(I462/100)*(K462/100))/(L462-1))</f>
        <v>8.7951401819771034E-3</v>
      </c>
    </row>
    <row r="463" spans="1:40" x14ac:dyDescent="0.3">
      <c r="A463" t="s">
        <v>5</v>
      </c>
      <c r="B463" s="13">
        <v>2</v>
      </c>
      <c r="C463" s="33">
        <f t="shared" si="53"/>
        <v>0</v>
      </c>
      <c r="D463" s="19">
        <f t="shared" si="53"/>
        <v>1.3945047321163697</v>
      </c>
      <c r="E463" s="34">
        <f t="shared" si="53"/>
        <v>55.678343433432808</v>
      </c>
      <c r="F463" s="19">
        <f t="shared" si="53"/>
        <v>0.72858955104956391</v>
      </c>
      <c r="G463" s="20">
        <f t="shared" si="53"/>
        <v>0.16452022120474025</v>
      </c>
      <c r="H463" s="17">
        <f>SUM(C463:G463)</f>
        <v>57.965957937803481</v>
      </c>
      <c r="I463" s="17">
        <f>E463/H463*100</f>
        <v>96.053520746046757</v>
      </c>
      <c r="J463" s="17">
        <f>SQRT(I463*(100-I463)/(L463-1))</f>
        <v>0.22636245355689513</v>
      </c>
      <c r="K463" s="18">
        <f>100-I463</f>
        <v>3.9464792539532425</v>
      </c>
      <c r="L463" s="1">
        <f>H452</f>
        <v>7399</v>
      </c>
      <c r="M463">
        <v>2</v>
      </c>
      <c r="N463" s="1">
        <v>114842.95</v>
      </c>
      <c r="O463" s="17">
        <f>N463/N466*100</f>
        <v>57.965957937803481</v>
      </c>
      <c r="P463" s="52">
        <f>((O463*O463*(I463/100)*(K463/100))/(L463-1))</f>
        <v>1.7216894568485096E-2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53"/>
        <v>0</v>
      </c>
      <c r="D464" s="19">
        <f t="shared" si="53"/>
        <v>6.9588080785447815E-2</v>
      </c>
      <c r="E464" s="19">
        <f t="shared" si="53"/>
        <v>0.24852885994802792</v>
      </c>
      <c r="F464" s="34">
        <f t="shared" si="53"/>
        <v>24.842944840404869</v>
      </c>
      <c r="G464" s="20">
        <f t="shared" si="53"/>
        <v>0.71576311665032033</v>
      </c>
      <c r="H464" s="17">
        <f>SUM(C464:G464)</f>
        <v>25.876824897788662</v>
      </c>
      <c r="I464" s="17">
        <f>F464/H464*100</f>
        <v>96.004610065309265</v>
      </c>
      <c r="J464" s="17">
        <f>SQRT(I464*(100-I464)/(L464-1))</f>
        <v>0.38394762322287601</v>
      </c>
      <c r="K464" s="18">
        <f>100-I464</f>
        <v>3.9953899346907349</v>
      </c>
      <c r="L464" s="1">
        <f>H453</f>
        <v>2603</v>
      </c>
      <c r="M464">
        <v>3</v>
      </c>
      <c r="N464" s="1">
        <v>51267.519999999997</v>
      </c>
      <c r="O464" s="17">
        <f>N464/N466*100</f>
        <v>25.876824897788666</v>
      </c>
      <c r="P464" s="52">
        <f>((O464*O464*(I464/100)*(K464/100))/(L464-1))</f>
        <v>9.8711088536434389E-3</v>
      </c>
    </row>
    <row r="465" spans="1:40" x14ac:dyDescent="0.3">
      <c r="A465" t="s">
        <v>7</v>
      </c>
      <c r="B465" s="13">
        <v>4</v>
      </c>
      <c r="C465" s="35">
        <f t="shared" si="53"/>
        <v>0</v>
      </c>
      <c r="D465" s="36">
        <f t="shared" si="53"/>
        <v>0.20275639624337344</v>
      </c>
      <c r="E465" s="21">
        <f t="shared" si="53"/>
        <v>0.20275639624337344</v>
      </c>
      <c r="F465" s="21">
        <f t="shared" si="53"/>
        <v>1.7741184671295176</v>
      </c>
      <c r="G465" s="37">
        <f t="shared" si="53"/>
        <v>7.5526757600656609</v>
      </c>
      <c r="H465" s="17">
        <f>SUM(C465:G465)</f>
        <v>9.7323070196819259</v>
      </c>
      <c r="I465" s="17">
        <f>G465/H465*100</f>
        <v>77.604166666666657</v>
      </c>
      <c r="J465" s="17">
        <f>SQRT(I465*(100-I465)/(L465-1))</f>
        <v>1.3462224531119136</v>
      </c>
      <c r="K465" s="18">
        <f>100-I465</f>
        <v>22.395833333333343</v>
      </c>
      <c r="L465" s="1">
        <f>H454</f>
        <v>960</v>
      </c>
      <c r="M465">
        <v>4</v>
      </c>
      <c r="N465" s="1">
        <v>19281.78</v>
      </c>
      <c r="O465" s="17">
        <f>N465/N466*100</f>
        <v>9.7323070196819259</v>
      </c>
      <c r="P465" s="52">
        <f>((O465*O465*(I465/100)*(K465/100))/(L465-1))</f>
        <v>1.716584794617847E-2</v>
      </c>
      <c r="AM465" s="78"/>
      <c r="AN465" s="78"/>
    </row>
    <row r="466" spans="1:40" x14ac:dyDescent="0.3">
      <c r="B466" t="s">
        <v>28</v>
      </c>
      <c r="C466" s="17">
        <f t="shared" ref="C466:H466" si="54">SUM(C461:C465)</f>
        <v>1.4793860955029738</v>
      </c>
      <c r="D466" s="17">
        <f t="shared" si="54"/>
        <v>5.9121220655578197</v>
      </c>
      <c r="E466" s="17">
        <f t="shared" si="54"/>
        <v>56.727759916816368</v>
      </c>
      <c r="F466" s="17">
        <f t="shared" si="54"/>
        <v>27.34565285858395</v>
      </c>
      <c r="G466" s="17">
        <f t="shared" si="54"/>
        <v>8.5350790635388947</v>
      </c>
      <c r="H466" s="18">
        <f t="shared" si="54"/>
        <v>100</v>
      </c>
      <c r="I466" s="13" t="s">
        <v>24</v>
      </c>
      <c r="J466" s="12" t="s">
        <v>29</v>
      </c>
      <c r="N466" s="1">
        <f>SUM(N461:N465)</f>
        <v>198121.37</v>
      </c>
      <c r="O466" s="17">
        <f>SUM(O461:O465)</f>
        <v>100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0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0.14877480992108744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0.17130301298779257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0.17381199372946662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0.16374041666030359</v>
      </c>
      <c r="H467" s="1"/>
      <c r="I467" s="14">
        <f>(C461+D462+E463+F464+G465)/H466</f>
        <v>0.93798622985818925</v>
      </c>
      <c r="J467" s="53">
        <f>SQRT(SUM(P461:P465))/100</f>
        <v>2.3032366693478139E-3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100</v>
      </c>
      <c r="D468" s="17">
        <f>D462/D466*100</f>
        <v>71.806245022312126</v>
      </c>
      <c r="E468" s="17">
        <f>E463/E466*100</f>
        <v>98.150082984199656</v>
      </c>
      <c r="F468" s="17">
        <f>F464/F466*100</f>
        <v>90.847876146451313</v>
      </c>
      <c r="G468" s="17">
        <f>G465/G466*100</f>
        <v>88.489816015062189</v>
      </c>
      <c r="H468" s="1"/>
    </row>
    <row r="469" spans="1:40" x14ac:dyDescent="0.3">
      <c r="B469" s="16" t="s">
        <v>39</v>
      </c>
      <c r="C469" s="18">
        <f>SQRT((C472+C473)/(C466*C466))</f>
        <v>0</v>
      </c>
      <c r="D469" s="18">
        <f>SQRT((D472+D473)/(D466*D466))</f>
        <v>4.6875936887687324</v>
      </c>
      <c r="E469" s="18">
        <f>SQRT((E472+E473)/(E466*E466))</f>
        <v>0.19550056246394926</v>
      </c>
      <c r="F469" s="18">
        <f>SQRT((F472+F473)/(F466*F466))</f>
        <v>0.57903067196065106</v>
      </c>
      <c r="G469" s="18">
        <f>SQRT((G472+G473)/(G466*G466))</f>
        <v>2.0399306593604187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0</v>
      </c>
      <c r="D470" s="18">
        <f>100-D468</f>
        <v>28.193754977687874</v>
      </c>
      <c r="E470" s="18">
        <f>100-E468</f>
        <v>1.8499170158003437</v>
      </c>
      <c r="F470" s="18">
        <f>100-F468</f>
        <v>9.1521238535486873</v>
      </c>
      <c r="G470" s="18">
        <f>100-G468</f>
        <v>11.510183984937811</v>
      </c>
    </row>
    <row r="471" spans="1:40" ht="15.6" x14ac:dyDescent="0.35">
      <c r="B471" s="1" t="s">
        <v>25</v>
      </c>
      <c r="C471" s="1">
        <f>C455</f>
        <v>259</v>
      </c>
      <c r="D471" s="1">
        <f>D455</f>
        <v>496</v>
      </c>
      <c r="E471" s="1">
        <f>E455</f>
        <v>7193</v>
      </c>
      <c r="F471" s="1">
        <f>F455</f>
        <v>2767</v>
      </c>
      <c r="G471" s="1">
        <f>G455</f>
        <v>845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699.11498035761542</v>
      </c>
      <c r="E472" s="18">
        <f>(O463*O463*(100-E468)*(100-E468)*(I463)*(100-I463))/((L463-1)*100)</f>
        <v>5.8919535477401839</v>
      </c>
      <c r="F472" s="18">
        <f>(O464*O464*(100-F468)*(100-F468)*(I464)*(100-I464))/((L464-1)*100)</f>
        <v>82.681761117440516</v>
      </c>
      <c r="G472" s="18">
        <f>(O465*O465*(100-G468)*(100-G468)*(I465)*(100-I465))/((L465-1)*100)</f>
        <v>227.42059561624771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68.930090240839618</v>
      </c>
      <c r="E473" s="18">
        <f>E468*E468*(SUM((H461*E461*(1-E450/H450))/(H450-1),(H462*E462*(1-E451/H451))/(H451-1), (H464*E464*(1-E453/H453))/(H453-1),(H465*E465*(1-E454/H454))/(H454-1)))</f>
        <v>117.10299952577773</v>
      </c>
      <c r="F473" s="18">
        <f>F468*F468*(SUM((H461*F461*(1-F450/H450))/(H450-1),(H462*F462*(1-F451/H451))/(H451-1), (H463*F463*(1-F452/H452))/(H452-1),(H465*F465*(1-F454/H454))/(H454-1)))</f>
        <v>168.03290025946197</v>
      </c>
      <c r="G473" s="18">
        <f>G468*G468*(SUM((H461*G461*(1-G450/H450))/(H450-1),(H462*G462*(1-G451/H451))/(H451-1), (H463*G463*(1-G452/H452))/(H452-1),(H464*G464*(1-G453/H453))/(H453-1)))</f>
        <v>75.721261982725466</v>
      </c>
      <c r="AM473" s="78"/>
      <c r="AN473" s="78"/>
    </row>
    <row r="475" spans="1:40" x14ac:dyDescent="0.3">
      <c r="AM475" s="78"/>
      <c r="AN475" s="78"/>
    </row>
    <row r="476" spans="1:40" x14ac:dyDescent="0.3">
      <c r="A476" s="361" t="s">
        <v>441</v>
      </c>
      <c r="B476" s="361"/>
      <c r="C476" s="361"/>
      <c r="D476" s="361"/>
      <c r="E476" s="361"/>
      <c r="F476" s="361"/>
      <c r="G476" s="361"/>
      <c r="H476" s="361"/>
      <c r="I476" s="361"/>
      <c r="J476" s="361"/>
      <c r="K476" s="361"/>
      <c r="L476" s="361" t="s">
        <v>94</v>
      </c>
      <c r="M476" s="361"/>
      <c r="N476" s="361"/>
      <c r="O476" s="361"/>
      <c r="P476" s="361"/>
    </row>
    <row r="477" spans="1:40" x14ac:dyDescent="0.3">
      <c r="A477" t="s">
        <v>15</v>
      </c>
      <c r="B477" t="s">
        <v>21</v>
      </c>
      <c r="I477" s="1" t="s">
        <v>58</v>
      </c>
      <c r="O477" s="143"/>
      <c r="P477" s="143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56</v>
      </c>
      <c r="O478" s="13"/>
      <c r="P478" s="13"/>
    </row>
    <row r="479" spans="1:40" x14ac:dyDescent="0.3">
      <c r="A479" t="s">
        <v>3</v>
      </c>
      <c r="B479" s="13">
        <v>0</v>
      </c>
      <c r="C479" s="26">
        <v>259</v>
      </c>
      <c r="D479" s="3">
        <v>0</v>
      </c>
      <c r="E479" s="3">
        <v>0</v>
      </c>
      <c r="F479" s="3">
        <v>0</v>
      </c>
      <c r="G479" s="4">
        <v>0</v>
      </c>
      <c r="H479" s="1">
        <f>SUM(C479:G479)</f>
        <v>259</v>
      </c>
      <c r="I479" s="10">
        <f>C479/H479</f>
        <v>1</v>
      </c>
      <c r="J479" s="11">
        <f>1-I479</f>
        <v>0</v>
      </c>
      <c r="K479">
        <f>H479-C484</f>
        <v>0</v>
      </c>
      <c r="N479" s="10">
        <f>2*(C485*I479)/(C485+I479)</f>
        <v>1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293</v>
      </c>
      <c r="E480" s="1">
        <v>38</v>
      </c>
      <c r="F480" s="1">
        <v>0</v>
      </c>
      <c r="G480" s="6">
        <v>8</v>
      </c>
      <c r="H480" s="1">
        <f>SUM(C480:G480)</f>
        <v>339</v>
      </c>
      <c r="I480" s="10">
        <f>D480/H480</f>
        <v>0.86430678466076694</v>
      </c>
      <c r="J480" s="11">
        <f>1-I480</f>
        <v>0.13569321533923306</v>
      </c>
      <c r="K480">
        <f>H480-D484</f>
        <v>-138</v>
      </c>
      <c r="N480" s="10">
        <f>2*(D485*I480)/(D485+I480)</f>
        <v>0.71813725490196079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165</v>
      </c>
      <c r="E481" s="27">
        <v>7117</v>
      </c>
      <c r="F481" s="1">
        <v>95</v>
      </c>
      <c r="G481" s="6">
        <v>22</v>
      </c>
      <c r="H481" s="1">
        <f>SUM(C481:G481)</f>
        <v>7399</v>
      </c>
      <c r="I481" s="10">
        <f>E481/H481</f>
        <v>0.96188674145154751</v>
      </c>
      <c r="J481" s="11">
        <f>1-I481</f>
        <v>3.8113258548452489E-2</v>
      </c>
      <c r="K481">
        <f>H481-E484</f>
        <v>177</v>
      </c>
      <c r="N481" s="10">
        <f>2*(E485*I481)/(E485+I481)</f>
        <v>0.97353122221462285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6</v>
      </c>
      <c r="E482" s="1">
        <v>26</v>
      </c>
      <c r="F482" s="27">
        <v>2511</v>
      </c>
      <c r="G482" s="6">
        <v>60</v>
      </c>
      <c r="H482" s="1">
        <f>SUM(C482:G482)</f>
        <v>2603</v>
      </c>
      <c r="I482" s="10">
        <f>F482/H482</f>
        <v>0.96465616596235115</v>
      </c>
      <c r="J482" s="11">
        <f>1-I482</f>
        <v>3.5343834037648847E-2</v>
      </c>
      <c r="K482">
        <f>H482-F484</f>
        <v>-185</v>
      </c>
      <c r="N482" s="10">
        <f>2*(F485*I482)/(F485+I482)</f>
        <v>0.93155258764607685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13</v>
      </c>
      <c r="E483" s="8">
        <v>41</v>
      </c>
      <c r="F483" s="8">
        <v>182</v>
      </c>
      <c r="G483" s="28">
        <v>724</v>
      </c>
      <c r="H483" s="1">
        <f>SUM(C483:G483)</f>
        <v>960</v>
      </c>
      <c r="I483" s="10">
        <f>G483/H483</f>
        <v>0.75416666666666665</v>
      </c>
      <c r="J483" s="11">
        <f>1-I483</f>
        <v>0.24583333333333335</v>
      </c>
      <c r="K483">
        <f>H483-G484</f>
        <v>146</v>
      </c>
      <c r="N483" s="10">
        <f>2*(G485*I483)/(G485+I483)</f>
        <v>0.81623449830890638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259</v>
      </c>
      <c r="D484" s="1">
        <f>SUM(D479:D483)</f>
        <v>477</v>
      </c>
      <c r="E484" s="1">
        <f>SUM(E479:E483)</f>
        <v>7222</v>
      </c>
      <c r="F484" s="1">
        <f>SUM(F479:F483)</f>
        <v>2788</v>
      </c>
      <c r="G484" s="1">
        <f>SUM(G479:G483)</f>
        <v>814</v>
      </c>
      <c r="H484" s="1">
        <f>SUM(H478:H483)</f>
        <v>11560</v>
      </c>
      <c r="I484" s="13" t="s">
        <v>12</v>
      </c>
      <c r="N484" s="16"/>
      <c r="O484" s="1"/>
      <c r="P484" s="1"/>
    </row>
    <row r="485" spans="1:40" x14ac:dyDescent="0.3">
      <c r="A485" s="1" t="s">
        <v>57</v>
      </c>
      <c r="B485" s="1" t="s">
        <v>2</v>
      </c>
      <c r="C485" s="10">
        <f>C479/C484</f>
        <v>1</v>
      </c>
      <c r="D485" s="10">
        <f>D480/D484</f>
        <v>0.61425576519916147</v>
      </c>
      <c r="E485" s="10">
        <f>E481/E484</f>
        <v>0.98546109111049573</v>
      </c>
      <c r="F485" s="10">
        <f>F482/F484</f>
        <v>0.90064562410329985</v>
      </c>
      <c r="G485" s="10">
        <f>G483/G484</f>
        <v>0.88943488943488946</v>
      </c>
      <c r="H485" s="10"/>
      <c r="I485" s="14">
        <f>(C479+D480+E481+F482+G483)/H484</f>
        <v>0.94325259515570936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0.38574423480083853</v>
      </c>
      <c r="E486" s="11">
        <f>1-E485</f>
        <v>1.4538908889504265E-2</v>
      </c>
      <c r="F486" s="11">
        <f>1-F485</f>
        <v>9.9354375896700153E-2</v>
      </c>
      <c r="G486" s="11">
        <f>1-G485</f>
        <v>0.11056511056511054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1.4696143818112293</v>
      </c>
      <c r="D490" s="31">
        <f>(D479/$L490)*$O490</f>
        <v>0</v>
      </c>
      <c r="E490" s="31">
        <f>(E479/$L490)*$O490</f>
        <v>0</v>
      </c>
      <c r="F490" s="31">
        <f>(F479/$L490)*$O490</f>
        <v>0</v>
      </c>
      <c r="G490" s="32">
        <f>(G479/$L490)*$O490</f>
        <v>0</v>
      </c>
      <c r="H490" s="17">
        <f>SUM(C490:G490)</f>
        <v>1.4696143818112293</v>
      </c>
      <c r="I490" s="17">
        <f>C490/H490*100</f>
        <v>100</v>
      </c>
      <c r="J490" s="17">
        <f>SQRT(I490*(100-I490)/(L490-1))</f>
        <v>0</v>
      </c>
      <c r="K490" s="18">
        <f>100-I490</f>
        <v>0</v>
      </c>
      <c r="L490" s="1">
        <f>H479</f>
        <v>259</v>
      </c>
      <c r="M490">
        <v>0</v>
      </c>
      <c r="N490" s="1">
        <v>2911.62</v>
      </c>
      <c r="O490" s="17">
        <f>N490/N495*100</f>
        <v>1.4696143818112293</v>
      </c>
      <c r="P490" s="52">
        <f>((O490*O490*(I490/100)*(K490/100))/(L490-1))</f>
        <v>0</v>
      </c>
    </row>
    <row r="491" spans="1:40" x14ac:dyDescent="0.3">
      <c r="A491" t="s">
        <v>4</v>
      </c>
      <c r="B491" s="13">
        <v>1</v>
      </c>
      <c r="C491" s="33">
        <f t="shared" ref="C491:G494" si="55">(C480/$L491)*$O491</f>
        <v>0</v>
      </c>
      <c r="D491" s="34">
        <f t="shared" si="55"/>
        <v>4.1077455391148279</v>
      </c>
      <c r="E491" s="19">
        <f t="shared" si="55"/>
        <v>0.53274515524356125</v>
      </c>
      <c r="F491" s="18">
        <f t="shared" si="55"/>
        <v>0</v>
      </c>
      <c r="G491" s="20">
        <f t="shared" si="55"/>
        <v>0.11215687478811817</v>
      </c>
      <c r="H491" s="17">
        <f>SUM(C491:G491)</f>
        <v>4.7526475691465073</v>
      </c>
      <c r="I491" s="17">
        <f>D491/H491*100</f>
        <v>86.430678466076699</v>
      </c>
      <c r="J491" s="17">
        <f>SQRT(I491*(100-I491)/(L491-1))</f>
        <v>1.8627504529603398</v>
      </c>
      <c r="K491" s="18">
        <f>100-I491</f>
        <v>13.569321533923301</v>
      </c>
      <c r="L491" s="1">
        <f>H480</f>
        <v>339</v>
      </c>
      <c r="M491">
        <v>1</v>
      </c>
      <c r="N491" s="1">
        <v>9416.01</v>
      </c>
      <c r="O491" s="17">
        <f>N491/N495*100</f>
        <v>4.7526475691465073</v>
      </c>
      <c r="P491" s="52">
        <f>((O491*O491*(I491/100)*(K491/100))/(L491-1))</f>
        <v>7.8375545474222708E-3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55"/>
        <v>0</v>
      </c>
      <c r="D492" s="19">
        <f t="shared" si="55"/>
        <v>1.2931339444533483</v>
      </c>
      <c r="E492" s="34">
        <f t="shared" si="55"/>
        <v>55.777177470754424</v>
      </c>
      <c r="F492" s="19">
        <f t="shared" si="55"/>
        <v>0.74453166498829149</v>
      </c>
      <c r="G492" s="20">
        <f t="shared" si="55"/>
        <v>0.17241785926044645</v>
      </c>
      <c r="H492" s="17">
        <f>SUM(C492:G492)</f>
        <v>57.987260939456512</v>
      </c>
      <c r="I492" s="17">
        <f>E492/H492*100</f>
        <v>96.188674145154749</v>
      </c>
      <c r="J492" s="17">
        <f>SQRT(I492*(100-I492)/(L492-1))</f>
        <v>0.22260906537497507</v>
      </c>
      <c r="K492" s="18">
        <f>100-I492</f>
        <v>3.8113258548452507</v>
      </c>
      <c r="L492" s="1">
        <f>H481</f>
        <v>7399</v>
      </c>
      <c r="M492">
        <v>2</v>
      </c>
      <c r="N492" s="1">
        <v>114885.15</v>
      </c>
      <c r="O492" s="17">
        <f>N492/N495*100</f>
        <v>57.987260939456512</v>
      </c>
      <c r="P492" s="52">
        <f>((O492*O492*(I492/100)*(K492/100))/(L492-1))</f>
        <v>1.6662911308323446E-2</v>
      </c>
    </row>
    <row r="493" spans="1:40" x14ac:dyDescent="0.3">
      <c r="A493" t="s">
        <v>6</v>
      </c>
      <c r="B493" s="13">
        <v>3</v>
      </c>
      <c r="C493" s="33">
        <f t="shared" si="55"/>
        <v>0</v>
      </c>
      <c r="D493" s="19">
        <f t="shared" si="55"/>
        <v>6.0349266118746331E-2</v>
      </c>
      <c r="E493" s="19">
        <f t="shared" si="55"/>
        <v>0.26151348651456746</v>
      </c>
      <c r="F493" s="34">
        <f t="shared" si="55"/>
        <v>25.256167870695339</v>
      </c>
      <c r="G493" s="20">
        <f t="shared" si="55"/>
        <v>0.60349266118746336</v>
      </c>
      <c r="H493" s="17">
        <f>SUM(C493:G493)</f>
        <v>26.181523284516118</v>
      </c>
      <c r="I493" s="17">
        <f>F493/H493*100</f>
        <v>96.465616596235108</v>
      </c>
      <c r="J493" s="17">
        <f>SQRT(I493*(100-I493)/(L493-1))</f>
        <v>0.36198406754216922</v>
      </c>
      <c r="K493" s="18">
        <f>100-I493</f>
        <v>3.5343834037648918</v>
      </c>
      <c r="L493" s="1">
        <f>H482</f>
        <v>2603</v>
      </c>
      <c r="M493">
        <v>3</v>
      </c>
      <c r="N493" s="1">
        <v>51871.19</v>
      </c>
      <c r="O493" s="17">
        <f>N493/N495*100</f>
        <v>26.181523284516118</v>
      </c>
      <c r="P493" s="52">
        <f>((O493*O493*(I493/100)*(K493/100))/(L493-1))</f>
        <v>8.9819107115735319E-3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55"/>
        <v>0</v>
      </c>
      <c r="D494" s="36">
        <f t="shared" si="55"/>
        <v>0.1301212497144848</v>
      </c>
      <c r="E494" s="21">
        <f t="shared" si="55"/>
        <v>0.41038240294568279</v>
      </c>
      <c r="F494" s="21">
        <f t="shared" si="55"/>
        <v>1.821697496002787</v>
      </c>
      <c r="G494" s="37">
        <f t="shared" si="55"/>
        <v>7.2467526764066914</v>
      </c>
      <c r="H494" s="17">
        <f>SUM(C494:G494)</f>
        <v>9.608953825069646</v>
      </c>
      <c r="I494" s="17">
        <f>G494/H494*100</f>
        <v>75.416666666666671</v>
      </c>
      <c r="J494" s="17">
        <f>SQRT(I494*(100-I494)/(L494-1))</f>
        <v>1.3904159719796578</v>
      </c>
      <c r="K494" s="18">
        <f>100-I494</f>
        <v>24.583333333333329</v>
      </c>
      <c r="L494" s="1">
        <f>H483</f>
        <v>960</v>
      </c>
      <c r="M494">
        <v>4</v>
      </c>
      <c r="N494" s="1">
        <v>19037.39</v>
      </c>
      <c r="O494" s="17">
        <f>N494/N495*100</f>
        <v>9.608953825069646</v>
      </c>
      <c r="P494" s="52">
        <f>((O494*O494*(I494/100)*(K494/100))/(L494-1))</f>
        <v>1.7850143374644658E-2</v>
      </c>
    </row>
    <row r="495" spans="1:40" x14ac:dyDescent="0.3">
      <c r="B495" t="s">
        <v>28</v>
      </c>
      <c r="C495" s="17">
        <f t="shared" ref="C495:H495" si="56">SUM(C490:C494)</f>
        <v>1.4696143818112293</v>
      </c>
      <c r="D495" s="17">
        <f t="shared" si="56"/>
        <v>5.5913499994014071</v>
      </c>
      <c r="E495" s="17">
        <f t="shared" si="56"/>
        <v>56.981818515458237</v>
      </c>
      <c r="F495" s="17">
        <f t="shared" si="56"/>
        <v>27.822397031686418</v>
      </c>
      <c r="G495" s="17">
        <f t="shared" si="56"/>
        <v>8.1348200716427197</v>
      </c>
      <c r="H495" s="18">
        <f t="shared" si="56"/>
        <v>100.00000000000001</v>
      </c>
      <c r="I495" s="13" t="s">
        <v>24</v>
      </c>
      <c r="J495" s="12" t="s">
        <v>29</v>
      </c>
      <c r="N495" s="1">
        <f>SUM(N490:N494)</f>
        <v>198121.36</v>
      </c>
      <c r="O495" s="17">
        <f>SUM(O490:O494)</f>
        <v>100.00000000000001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0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0.14004765325153862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0.17270965227026233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0.17180126859191361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0.16323060158810354</v>
      </c>
      <c r="H496" s="1"/>
      <c r="I496" s="14">
        <f>(C490+D491+E492+F493+G494)/H495</f>
        <v>0.93857457938782485</v>
      </c>
      <c r="J496" s="53">
        <f>SQRT(SUM(P490:P494))/100</f>
        <v>2.2656681121021212E-3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73.466077772891893</v>
      </c>
      <c r="E497" s="17">
        <f>E492/E495*100</f>
        <v>97.885920323204473</v>
      </c>
      <c r="F497" s="17">
        <f>F493/F495*100</f>
        <v>90.776390840557525</v>
      </c>
      <c r="G497" s="17">
        <f>G494/G495*100</f>
        <v>89.083134139232484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4.4370802929228956</v>
      </c>
      <c r="E498" s="18">
        <f>SQRT((E501+E502)/(E495*E495))</f>
        <v>0.20303968101507971</v>
      </c>
      <c r="F498" s="18">
        <f>SQRT((F501+F502)/(F495*F495))</f>
        <v>0.56348128953839705</v>
      </c>
      <c r="G498" s="18">
        <f>SQRT((G501+G502)/(G495*G495))</f>
        <v>2.0669722970997015</v>
      </c>
      <c r="H498" s="1"/>
    </row>
    <row r="499" spans="1:40" x14ac:dyDescent="0.3">
      <c r="B499" s="1" t="s">
        <v>37</v>
      </c>
      <c r="C499" s="18">
        <f>100-C497</f>
        <v>0</v>
      </c>
      <c r="D499" s="18">
        <f>100-D497</f>
        <v>26.533922227108107</v>
      </c>
      <c r="E499" s="18">
        <f>100-E497</f>
        <v>2.1140796767955266</v>
      </c>
      <c r="F499" s="18">
        <f>100-F497</f>
        <v>9.2236091594424749</v>
      </c>
      <c r="G499" s="18">
        <f>100-G497</f>
        <v>10.916865860767516</v>
      </c>
      <c r="AM499" s="78"/>
      <c r="AN499" s="78"/>
    </row>
    <row r="500" spans="1:40" ht="15.6" x14ac:dyDescent="0.35">
      <c r="B500" s="1" t="s">
        <v>25</v>
      </c>
      <c r="C500" s="1">
        <f>C484</f>
        <v>259</v>
      </c>
      <c r="D500" s="1">
        <f>D484</f>
        <v>477</v>
      </c>
      <c r="E500" s="1">
        <f>E484</f>
        <v>7222</v>
      </c>
      <c r="F500" s="1">
        <f>F484</f>
        <v>2788</v>
      </c>
      <c r="G500" s="1">
        <f>G484</f>
        <v>814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551.80226669208821</v>
      </c>
      <c r="E501" s="18">
        <f>(O492*O492*(100-E497)*(100-E497)*(I492)*(100-I492))/((L492-1)*100)</f>
        <v>7.4472097384145703</v>
      </c>
      <c r="F501" s="18">
        <f>(O493*O493*(100-F497)*(100-F497)*(I493)*(100-I493))/((L493-1)*100)</f>
        <v>76.413574773885017</v>
      </c>
      <c r="G501" s="18">
        <f>(O494*O494*(100-G497)*(100-G497)*(I494)*(100-I494))/((L494-1)*100)</f>
        <v>212.73436770602419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63.697556321942507</v>
      </c>
      <c r="E502" s="18">
        <f>E497*E497*(SUM((H490*E490*(1-E479/H479))/(H479-1),(H491*E491*(1-E480/H480))/(H480-1), (H493*E493*(1-E482/H482))/(H482-1),(H494*E494*(1-E483/H483))/(H483-1)))</f>
        <v>126.40774614784095</v>
      </c>
      <c r="F502" s="18">
        <f>F497*F497*(SUM((H490*F490*(1-F479/H479))/(H479-1),(H491*F491*(1-F480/H480))/(H480-1), (H492*F492*(1-F481/H481))/(H481-1),(H494*F494*(1-F483/H483))/(H483-1)))</f>
        <v>169.36730092336509</v>
      </c>
      <c r="G502" s="18">
        <f>G497*G497*(SUM((H490*G490*(1-G479/H479))/(H479-1),(H491*G491*(1-G480/H480))/(H480-1), (H492*G492*(1-G481/H481))/(H481-1),(H493*G493*(1-G482/H482))/(H482-1)))</f>
        <v>69.991284758074684</v>
      </c>
    </row>
    <row r="503" spans="1:40" x14ac:dyDescent="0.3">
      <c r="AM503" s="78"/>
      <c r="AN503" s="78"/>
    </row>
    <row r="505" spans="1:40" x14ac:dyDescent="0.3">
      <c r="A505" s="361" t="s">
        <v>441</v>
      </c>
      <c r="B505" s="361"/>
      <c r="C505" s="361"/>
      <c r="D505" s="361"/>
      <c r="E505" s="361"/>
      <c r="F505" s="361"/>
      <c r="G505" s="361"/>
      <c r="H505" s="361"/>
      <c r="I505" s="361"/>
      <c r="J505" s="361"/>
      <c r="K505" s="361"/>
      <c r="L505" s="361" t="s">
        <v>95</v>
      </c>
      <c r="M505" s="361"/>
      <c r="N505" s="361"/>
      <c r="O505" s="361"/>
      <c r="P505" s="361"/>
      <c r="AM505" s="78"/>
      <c r="AN505" s="78"/>
    </row>
    <row r="506" spans="1:40" x14ac:dyDescent="0.3">
      <c r="A506" t="s">
        <v>15</v>
      </c>
      <c r="B506" t="s">
        <v>21</v>
      </c>
      <c r="I506" s="1" t="s">
        <v>58</v>
      </c>
      <c r="O506" s="143"/>
      <c r="P506" s="143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56</v>
      </c>
      <c r="O507" s="13"/>
      <c r="P507" s="13"/>
      <c r="AM507" s="78"/>
      <c r="AN507" s="78"/>
    </row>
    <row r="508" spans="1:40" x14ac:dyDescent="0.3">
      <c r="A508" t="s">
        <v>3</v>
      </c>
      <c r="B508" s="13">
        <v>0</v>
      </c>
      <c r="C508" s="26">
        <v>259</v>
      </c>
      <c r="D508" s="3">
        <v>0</v>
      </c>
      <c r="E508" s="3">
        <v>0</v>
      </c>
      <c r="F508" s="3">
        <v>0</v>
      </c>
      <c r="G508" s="4">
        <v>0</v>
      </c>
      <c r="H508" s="1">
        <f>SUM(C508:G508)</f>
        <v>259</v>
      </c>
      <c r="I508" s="10">
        <f>C508/H508</f>
        <v>1</v>
      </c>
      <c r="J508" s="11">
        <f>1-I508</f>
        <v>0</v>
      </c>
      <c r="K508">
        <f>H508-C513</f>
        <v>0</v>
      </c>
      <c r="N508" s="10">
        <f>2*(C514*I508)/(C514+I508)</f>
        <v>1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289</v>
      </c>
      <c r="E509" s="1">
        <v>42</v>
      </c>
      <c r="F509" s="1">
        <v>0</v>
      </c>
      <c r="G509" s="6">
        <v>8</v>
      </c>
      <c r="H509" s="1">
        <f>SUM(C509:G509)</f>
        <v>339</v>
      </c>
      <c r="I509" s="10">
        <f>D509/H509</f>
        <v>0.85250737463126847</v>
      </c>
      <c r="J509" s="11">
        <f>1-I509</f>
        <v>0.14749262536873153</v>
      </c>
      <c r="K509">
        <f>H509-D513</f>
        <v>-145</v>
      </c>
      <c r="N509" s="10">
        <f>2*(D514*I509)/(D514+I509)</f>
        <v>0.70230862697448349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174</v>
      </c>
      <c r="E510" s="27">
        <v>7108</v>
      </c>
      <c r="F510" s="1">
        <v>91</v>
      </c>
      <c r="G510" s="6">
        <v>26</v>
      </c>
      <c r="H510" s="1">
        <f>SUM(C510:G510)</f>
        <v>7399</v>
      </c>
      <c r="I510" s="10">
        <f>E510/H510</f>
        <v>0.96067036085957558</v>
      </c>
      <c r="J510" s="11">
        <f>1-I510</f>
        <v>3.9329639140424422E-2</v>
      </c>
      <c r="K510">
        <f>H510-E513</f>
        <v>208</v>
      </c>
      <c r="N510" s="10">
        <f>2*(E514*I510)/(E514+I510)</f>
        <v>0.9743660041124057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6</v>
      </c>
      <c r="E511" s="1">
        <v>22</v>
      </c>
      <c r="F511" s="27">
        <v>2495</v>
      </c>
      <c r="G511" s="6">
        <v>80</v>
      </c>
      <c r="H511" s="1">
        <f>SUM(C511:G511)</f>
        <v>2603</v>
      </c>
      <c r="I511" s="10">
        <f>F511/H511</f>
        <v>0.95850941221667307</v>
      </c>
      <c r="J511" s="11">
        <f>1-I511</f>
        <v>4.1490587783326927E-2</v>
      </c>
      <c r="K511">
        <f>H511-F513</f>
        <v>-171</v>
      </c>
      <c r="N511" s="10">
        <f>2*(F514*I511)/(F514+I511)</f>
        <v>0.92802678073275069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15</v>
      </c>
      <c r="E512" s="8">
        <v>19</v>
      </c>
      <c r="F512" s="8">
        <v>188</v>
      </c>
      <c r="G512" s="28">
        <v>738</v>
      </c>
      <c r="H512" s="1">
        <f>SUM(C512:G512)</f>
        <v>960</v>
      </c>
      <c r="I512" s="10">
        <f>G512/H512</f>
        <v>0.76875000000000004</v>
      </c>
      <c r="J512" s="11">
        <f>1-I512</f>
        <v>0.23124999999999996</v>
      </c>
      <c r="K512">
        <f>H512-G513</f>
        <v>108</v>
      </c>
      <c r="N512" s="10">
        <f>2*(G514*I512)/(G514+I512)</f>
        <v>0.814569536423841</v>
      </c>
      <c r="O512" s="1"/>
      <c r="P512" s="1"/>
    </row>
    <row r="513" spans="1:40" ht="15.6" x14ac:dyDescent="0.35">
      <c r="B513" s="1" t="s">
        <v>19</v>
      </c>
      <c r="C513" s="1">
        <f>SUM(C508:C512)</f>
        <v>259</v>
      </c>
      <c r="D513" s="1">
        <f>SUM(D508:D512)</f>
        <v>484</v>
      </c>
      <c r="E513" s="1">
        <f>SUM(E508:E512)</f>
        <v>7191</v>
      </c>
      <c r="F513" s="1">
        <f>SUM(F508:F512)</f>
        <v>2774</v>
      </c>
      <c r="G513" s="1">
        <f>SUM(G508:G512)</f>
        <v>852</v>
      </c>
      <c r="H513" s="1">
        <f>SUM(H507:H512)</f>
        <v>11560</v>
      </c>
      <c r="I513" s="13" t="s">
        <v>12</v>
      </c>
      <c r="N513" s="16"/>
      <c r="O513" s="1"/>
      <c r="P513" s="1"/>
      <c r="AM513" s="78"/>
      <c r="AN513" s="78"/>
    </row>
    <row r="514" spans="1:40" x14ac:dyDescent="0.3">
      <c r="A514" s="1" t="s">
        <v>57</v>
      </c>
      <c r="B514" s="1" t="s">
        <v>2</v>
      </c>
      <c r="C514" s="10">
        <f>C508/C513</f>
        <v>1</v>
      </c>
      <c r="D514" s="10">
        <f>D509/D513</f>
        <v>0.59710743801652888</v>
      </c>
      <c r="E514" s="10">
        <f>E510/E513</f>
        <v>0.98845779446530391</v>
      </c>
      <c r="F514" s="10">
        <f>F511/F513</f>
        <v>0.8994232155731795</v>
      </c>
      <c r="G514" s="10">
        <f>G512/G513</f>
        <v>0.86619718309859151</v>
      </c>
      <c r="H514" s="10"/>
      <c r="I514" s="14">
        <f>(C508+D509+E510+F511+G512)/H513</f>
        <v>0.94195501730103803</v>
      </c>
    </row>
    <row r="515" spans="1:40" x14ac:dyDescent="0.3">
      <c r="B515" s="1" t="s">
        <v>14</v>
      </c>
      <c r="C515" s="11">
        <f>1-C514</f>
        <v>0</v>
      </c>
      <c r="D515" s="11">
        <f>1-D514</f>
        <v>0.40289256198347112</v>
      </c>
      <c r="E515" s="11">
        <f>1-E514</f>
        <v>1.1542205534696093E-2</v>
      </c>
      <c r="F515" s="11">
        <f>1-F514</f>
        <v>0.1005767844268205</v>
      </c>
      <c r="G515" s="11">
        <f>1-G514</f>
        <v>0.13380281690140849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1.4815212251722885</v>
      </c>
      <c r="D519" s="31">
        <f>(D508/$L519)*$O519</f>
        <v>0</v>
      </c>
      <c r="E519" s="31">
        <f>(E508/$L519)*$O519</f>
        <v>0</v>
      </c>
      <c r="F519" s="31">
        <f>(F508/$L519)*$O519</f>
        <v>0</v>
      </c>
      <c r="G519" s="32">
        <f>(G508/$L519)*$O519</f>
        <v>0</v>
      </c>
      <c r="H519" s="17">
        <f>SUM(C519:G519)</f>
        <v>1.4815212251722885</v>
      </c>
      <c r="I519" s="17">
        <f>C519/H519*100</f>
        <v>100</v>
      </c>
      <c r="J519" s="17">
        <f>SQRT(I519*(100-I519)/(L519-1))</f>
        <v>0</v>
      </c>
      <c r="K519" s="18">
        <f>100-I519</f>
        <v>0</v>
      </c>
      <c r="L519" s="1">
        <f>H508</f>
        <v>259</v>
      </c>
      <c r="M519">
        <v>0</v>
      </c>
      <c r="N519" s="1">
        <v>2935.21</v>
      </c>
      <c r="O519" s="17">
        <f>N519/N524*100</f>
        <v>1.4815212251722885</v>
      </c>
      <c r="P519" s="52">
        <f>((O519*O519*(I519/100)*(K519/100))/(L519-1))</f>
        <v>0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57">(C509/$L520)*$O520</f>
        <v>0</v>
      </c>
      <c r="D520" s="34">
        <f t="shared" si="57"/>
        <v>4.1473605267226201</v>
      </c>
      <c r="E520" s="19">
        <f t="shared" si="57"/>
        <v>0.60273059557906583</v>
      </c>
      <c r="F520" s="18">
        <f t="shared" si="57"/>
        <v>0</v>
      </c>
      <c r="G520" s="20">
        <f t="shared" si="57"/>
        <v>0.11480582772934587</v>
      </c>
      <c r="H520" s="17">
        <f>SUM(C520:G520)</f>
        <v>4.8648969500310324</v>
      </c>
      <c r="I520" s="17">
        <f>D520/H520*100</f>
        <v>85.250737463126839</v>
      </c>
      <c r="J520" s="17">
        <f>SQRT(I520*(100-I520)/(L520-1))</f>
        <v>1.9287497163603362</v>
      </c>
      <c r="K520" s="18">
        <f>100-I520</f>
        <v>14.749262536873161</v>
      </c>
      <c r="L520" s="1">
        <f>H509</f>
        <v>339</v>
      </c>
      <c r="M520">
        <v>1</v>
      </c>
      <c r="N520" s="1">
        <v>9638.4</v>
      </c>
      <c r="O520" s="17">
        <f>N520/N524*100</f>
        <v>4.8648969500310315</v>
      </c>
      <c r="P520" s="52">
        <f>((O520*O520*(I520/100)*(K520/100))/(L520-1))</f>
        <v>8.8043853210504133E-3</v>
      </c>
    </row>
    <row r="521" spans="1:40" x14ac:dyDescent="0.3">
      <c r="A521" t="s">
        <v>5</v>
      </c>
      <c r="B521" s="13">
        <v>2</v>
      </c>
      <c r="C521" s="33">
        <f t="shared" si="57"/>
        <v>0</v>
      </c>
      <c r="D521" s="19">
        <f t="shared" si="57"/>
        <v>1.3570989220568894</v>
      </c>
      <c r="E521" s="34">
        <f t="shared" si="57"/>
        <v>55.438270907933159</v>
      </c>
      <c r="F521" s="19">
        <f t="shared" si="57"/>
        <v>0.70974713739756867</v>
      </c>
      <c r="G521" s="20">
        <f t="shared" si="57"/>
        <v>0.2027848963993053</v>
      </c>
      <c r="H521" s="17">
        <f>SUM(C521:G521)</f>
        <v>57.70790186378693</v>
      </c>
      <c r="I521" s="17">
        <f>E521/H521*100</f>
        <v>96.06703608595754</v>
      </c>
      <c r="J521" s="17">
        <f>SQRT(I521*(100-I521)/(L521-1))</f>
        <v>0.22599041165602662</v>
      </c>
      <c r="K521" s="18">
        <f>100-I521</f>
        <v>3.9329639140424604</v>
      </c>
      <c r="L521" s="1">
        <f>H510</f>
        <v>7399</v>
      </c>
      <c r="M521">
        <v>2</v>
      </c>
      <c r="N521" s="1">
        <v>114331.68</v>
      </c>
      <c r="O521" s="17">
        <f>N521/N524*100</f>
        <v>57.707901863786923</v>
      </c>
      <c r="P521" s="52">
        <f>((O521*O521*(I521/100)*(K521/100))/(L521-1))</f>
        <v>1.7007896159996337E-2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57"/>
        <v>0</v>
      </c>
      <c r="D522" s="19">
        <f t="shared" si="57"/>
        <v>6.029331605845948E-2</v>
      </c>
      <c r="E522" s="19">
        <f t="shared" si="57"/>
        <v>0.22107549221435144</v>
      </c>
      <c r="F522" s="34">
        <f t="shared" si="57"/>
        <v>25.071970594309402</v>
      </c>
      <c r="G522" s="20">
        <f t="shared" si="57"/>
        <v>0.80391088077945982</v>
      </c>
      <c r="H522" s="17">
        <f>SUM(C522:G522)</f>
        <v>26.15725028336167</v>
      </c>
      <c r="I522" s="17">
        <f>F522/H522*100</f>
        <v>95.850941221667313</v>
      </c>
      <c r="J522" s="17">
        <f>SQRT(I522*(100-I522)/(L522-1))</f>
        <v>0.39094830856780166</v>
      </c>
      <c r="K522" s="18">
        <f>100-I522</f>
        <v>4.1490587783326873</v>
      </c>
      <c r="L522" s="1">
        <f>H511</f>
        <v>2603</v>
      </c>
      <c r="M522">
        <v>3</v>
      </c>
      <c r="N522" s="1">
        <v>51823.1</v>
      </c>
      <c r="O522" s="17">
        <f>N522/N524*100</f>
        <v>26.157250283361673</v>
      </c>
      <c r="P522" s="52">
        <f>((O522*O522*(I522/100)*(K522/100))/(L522-1))</f>
        <v>1.0457379112421117E-2</v>
      </c>
    </row>
    <row r="523" spans="1:40" x14ac:dyDescent="0.3">
      <c r="A523" t="s">
        <v>7</v>
      </c>
      <c r="B523" s="13">
        <v>4</v>
      </c>
      <c r="C523" s="35">
        <f t="shared" si="57"/>
        <v>0</v>
      </c>
      <c r="D523" s="36">
        <f t="shared" si="57"/>
        <v>0.15294421371325131</v>
      </c>
      <c r="E523" s="21">
        <f t="shared" si="57"/>
        <v>0.19372933737011833</v>
      </c>
      <c r="F523" s="21">
        <f t="shared" si="57"/>
        <v>1.9169008118727497</v>
      </c>
      <c r="G523" s="37">
        <f t="shared" si="57"/>
        <v>7.5248553146919654</v>
      </c>
      <c r="H523" s="17">
        <f>SUM(C523:G523)</f>
        <v>9.7884296776480859</v>
      </c>
      <c r="I523" s="17">
        <f>G523/H523*100</f>
        <v>76.875</v>
      </c>
      <c r="J523" s="17">
        <f>SQRT(I523*(100-I523)/(L523-1))</f>
        <v>1.3615203330504093</v>
      </c>
      <c r="K523" s="18">
        <f>100-I523</f>
        <v>23.125</v>
      </c>
      <c r="L523" s="1">
        <f>H512</f>
        <v>960</v>
      </c>
      <c r="M523">
        <v>4</v>
      </c>
      <c r="N523" s="1">
        <v>19392.97</v>
      </c>
      <c r="O523" s="17">
        <f>N523/N524*100</f>
        <v>9.7884296776480841</v>
      </c>
      <c r="P523" s="52">
        <f>((O523*O523*(I523/100)*(K523/100))/(L523-1))</f>
        <v>1.776128214316041E-2</v>
      </c>
      <c r="AM523" s="78"/>
      <c r="AN523" s="78"/>
    </row>
    <row r="524" spans="1:40" x14ac:dyDescent="0.3">
      <c r="B524" t="s">
        <v>28</v>
      </c>
      <c r="C524" s="17">
        <f>SUM(C519:C523)</f>
        <v>1.4815212251722885</v>
      </c>
      <c r="D524" s="17">
        <f>SUM(D519:D523)</f>
        <v>5.7176969785512197</v>
      </c>
      <c r="E524" s="17">
        <f>SUM(E519:E523)</f>
        <v>56.455806333096696</v>
      </c>
      <c r="F524" s="17">
        <f>SUM(F519:F523)</f>
        <v>27.69861854357972</v>
      </c>
      <c r="G524" s="17">
        <f>SUM(G519:G523)</f>
        <v>8.6463569196000769</v>
      </c>
      <c r="H524" s="1">
        <f>SUM(H518:H523)</f>
        <v>100</v>
      </c>
      <c r="I524" s="13" t="s">
        <v>24</v>
      </c>
      <c r="J524" s="12" t="s">
        <v>29</v>
      </c>
      <c r="N524" s="1">
        <f>SUM(N519:N523)</f>
        <v>198121.36</v>
      </c>
      <c r="O524" s="17">
        <f>SUM(O519:O523)</f>
        <v>100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0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0.1457863580858052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0.16947742039252131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0.17787225937377371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0.16958072828182896</v>
      </c>
      <c r="H525" s="1"/>
      <c r="I525" s="14">
        <f>(C519+D520+E521+F522+G523)/H524</f>
        <v>0.93663978568829431</v>
      </c>
      <c r="J525" s="53">
        <f>SQRT(SUM(P519:P523))/100</f>
        <v>2.3244556940631989E-3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100</v>
      </c>
      <c r="D526" s="17">
        <f>D520/D524*100</f>
        <v>72.535507605257891</v>
      </c>
      <c r="E526" s="17">
        <f>E521/E524*100</f>
        <v>98.197642561050429</v>
      </c>
      <c r="F526" s="17">
        <f>F522/F524*100</f>
        <v>90.517043493928512</v>
      </c>
      <c r="G526" s="17">
        <f>G523/G524*100</f>
        <v>87.029200675653058</v>
      </c>
      <c r="H526" s="1"/>
    </row>
    <row r="527" spans="1:40" x14ac:dyDescent="0.3">
      <c r="B527" s="16" t="s">
        <v>39</v>
      </c>
      <c r="C527" s="18">
        <f>SQRT((C530+C531)/(C524*C524))</f>
        <v>0</v>
      </c>
      <c r="D527" s="18">
        <f>SQRT((D530+D531)/(D524*D524))</f>
        <v>4.7246664199699264</v>
      </c>
      <c r="E527" s="18">
        <f>SQRT((E530+E531)/(E524*E524))</f>
        <v>0.19302523996114399</v>
      </c>
      <c r="F527" s="18">
        <f>SQRT((F530+F531)/(F524*F524))</f>
        <v>0.5907618055866759</v>
      </c>
      <c r="G527" s="18">
        <f>SQRT((G530+G531)/(G524*G524))</f>
        <v>2.2613754583827248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0</v>
      </c>
      <c r="D528" s="18">
        <f>100-D526</f>
        <v>27.464492394742109</v>
      </c>
      <c r="E528" s="18">
        <f>100-E526</f>
        <v>1.8023574389495707</v>
      </c>
      <c r="F528" s="18">
        <f>100-F526</f>
        <v>9.4829565060714884</v>
      </c>
      <c r="G528" s="18">
        <f>100-G526</f>
        <v>12.970799324346942</v>
      </c>
    </row>
    <row r="529" spans="1:40" ht="15.6" x14ac:dyDescent="0.35">
      <c r="B529" s="1" t="s">
        <v>25</v>
      </c>
      <c r="C529" s="1">
        <f>C513</f>
        <v>259</v>
      </c>
      <c r="D529" s="1">
        <f>D513</f>
        <v>484</v>
      </c>
      <c r="E529" s="1">
        <f>E513</f>
        <v>7191</v>
      </c>
      <c r="F529" s="1">
        <f>F513</f>
        <v>2774</v>
      </c>
      <c r="G529" s="1">
        <f>G513</f>
        <v>852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664.11332544071161</v>
      </c>
      <c r="E530" s="18">
        <f>(O521*O521*(100-E526)*(100-E526)*(I521)*(100-I521))/((L521-1)*100)</f>
        <v>5.5250020356772174</v>
      </c>
      <c r="F530" s="18">
        <f>(O522*O522*(100-F526)*(100-F526)*(I522)*(100-I522))/((L522-1)*100)</f>
        <v>94.039512729185375</v>
      </c>
      <c r="G530" s="18">
        <f>(O523*O523*(100-G526)*(100-G526)*(I523)*(100-I523))/((L523-1)*100)</f>
        <v>298.81871494593844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65.654265872089411</v>
      </c>
      <c r="E531" s="18">
        <f>E526*E526*(SUM((H519*E519*(1-E508/H508))/(H508-1),(H520*E520*(1-E509/H509))/(H509-1), (H522*E522*(1-E511/H511))/(H511-1),(H523*E523*(1-E512/H512))/(H512-1)))</f>
        <v>113.22822805668608</v>
      </c>
      <c r="F531" s="18">
        <f>F526*F526*(SUM((H519*F519*(1-F508/H508))/(H508-1),(H520*F520*(1-F509/H509))/(H509-1), (H521*F521*(1-F510/H510))/(H510-1),(H523*F523*(1-F512/H512))/(H512-1)))</f>
        <v>173.71761281615372</v>
      </c>
      <c r="G531" s="18">
        <f>G526*G526*(SUM((H519*G519*(1-G508/H508))/(H508-1),(H520*G520*(1-G509/H509))/(H509-1), (H521*G521*(1-G510/H510))/(H510-1),(H522*G522*(1-G511/H511))/(H511-1)))</f>
        <v>83.487772414053183</v>
      </c>
      <c r="AM531" s="78"/>
      <c r="AN531" s="78"/>
    </row>
    <row r="533" spans="1:40" x14ac:dyDescent="0.3">
      <c r="AM533" s="78"/>
      <c r="AN533" s="78"/>
    </row>
    <row r="534" spans="1:40" x14ac:dyDescent="0.3">
      <c r="A534" s="361" t="s">
        <v>441</v>
      </c>
      <c r="B534" s="361"/>
      <c r="C534" s="361"/>
      <c r="D534" s="361"/>
      <c r="E534" s="361"/>
      <c r="F534" s="361"/>
      <c r="G534" s="361"/>
      <c r="H534" s="361"/>
      <c r="I534" s="361"/>
      <c r="J534" s="361"/>
      <c r="K534" s="361"/>
      <c r="L534" s="361" t="s">
        <v>96</v>
      </c>
      <c r="M534" s="361"/>
      <c r="N534" s="361"/>
      <c r="O534" s="361"/>
      <c r="P534" s="361"/>
    </row>
    <row r="535" spans="1:40" x14ac:dyDescent="0.3">
      <c r="A535" t="s">
        <v>15</v>
      </c>
      <c r="B535" t="s">
        <v>21</v>
      </c>
      <c r="I535" s="1" t="s">
        <v>58</v>
      </c>
      <c r="O535" s="143"/>
      <c r="P535" s="143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56</v>
      </c>
      <c r="O536" s="13"/>
      <c r="P536" s="13"/>
    </row>
    <row r="537" spans="1:40" x14ac:dyDescent="0.3">
      <c r="A537" t="s">
        <v>3</v>
      </c>
      <c r="B537" s="13">
        <v>0</v>
      </c>
      <c r="C537" s="26">
        <v>259</v>
      </c>
      <c r="D537" s="3">
        <v>0</v>
      </c>
      <c r="E537" s="3">
        <v>0</v>
      </c>
      <c r="F537" s="3">
        <v>0</v>
      </c>
      <c r="G537" s="4">
        <v>0</v>
      </c>
      <c r="H537" s="1">
        <f>SUM(C537:G537)</f>
        <v>259</v>
      </c>
      <c r="I537" s="10">
        <f>C537/H537</f>
        <v>1</v>
      </c>
      <c r="J537" s="11">
        <f>1-I537</f>
        <v>0</v>
      </c>
      <c r="K537">
        <f>H537-C542</f>
        <v>0</v>
      </c>
      <c r="N537" s="10">
        <f>2*(C543*I537)/(C543+I537)</f>
        <v>1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293</v>
      </c>
      <c r="E538" s="1">
        <v>39</v>
      </c>
      <c r="F538" s="1">
        <v>0</v>
      </c>
      <c r="G538" s="6">
        <v>7</v>
      </c>
      <c r="H538" s="1">
        <f>SUM(C538:G538)</f>
        <v>339</v>
      </c>
      <c r="I538" s="10">
        <f>D538/H538</f>
        <v>0.86430678466076694</v>
      </c>
      <c r="J538" s="11">
        <f>1-I538</f>
        <v>0.13569321533923306</v>
      </c>
      <c r="K538">
        <f>H538-D542</f>
        <v>-169</v>
      </c>
      <c r="N538" s="10">
        <f>2*(D543*I538)/(D543+I538)</f>
        <v>0.69185360094450998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190</v>
      </c>
      <c r="E539" s="27">
        <v>7097</v>
      </c>
      <c r="F539" s="1">
        <v>91</v>
      </c>
      <c r="G539" s="6">
        <v>21</v>
      </c>
      <c r="H539" s="1">
        <f>SUM(C539:G539)</f>
        <v>7399</v>
      </c>
      <c r="I539" s="10">
        <f>E539/H539</f>
        <v>0.95918367346938771</v>
      </c>
      <c r="J539" s="11">
        <f>1-I539</f>
        <v>4.081632653061229E-2</v>
      </c>
      <c r="K539">
        <f>H539-E542</f>
        <v>207</v>
      </c>
      <c r="N539" s="10">
        <f>2*(E543*I539)/(E543+I539)</f>
        <v>0.97279144678226304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0</v>
      </c>
      <c r="D540" s="1">
        <v>4</v>
      </c>
      <c r="E540" s="1">
        <v>26</v>
      </c>
      <c r="F540" s="27">
        <v>2510</v>
      </c>
      <c r="G540" s="6">
        <v>63</v>
      </c>
      <c r="H540" s="1">
        <f>SUM(C540:G540)</f>
        <v>2603</v>
      </c>
      <c r="I540" s="10">
        <f>F540/H540</f>
        <v>0.96427199385324625</v>
      </c>
      <c r="J540" s="11">
        <f>1-I540</f>
        <v>3.5728006146753755E-2</v>
      </c>
      <c r="K540">
        <f>H540-F542</f>
        <v>-173</v>
      </c>
      <c r="N540" s="10">
        <f>2*(F543*I540)/(F543+I540)</f>
        <v>0.93325897006878611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21</v>
      </c>
      <c r="E541" s="8">
        <v>30</v>
      </c>
      <c r="F541" s="8">
        <v>175</v>
      </c>
      <c r="G541" s="28">
        <v>734</v>
      </c>
      <c r="H541" s="1">
        <f>SUM(C541:G541)</f>
        <v>960</v>
      </c>
      <c r="I541" s="10">
        <f>G541/H541</f>
        <v>0.76458333333333328</v>
      </c>
      <c r="J541" s="11">
        <f>1-I541</f>
        <v>0.23541666666666672</v>
      </c>
      <c r="K541">
        <f>H541-G542</f>
        <v>135</v>
      </c>
      <c r="N541" s="10">
        <f>2*(G543*I541)/(G543+I541)</f>
        <v>0.82240896358543414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259</v>
      </c>
      <c r="D542" s="1">
        <f>SUM(D537:D541)</f>
        <v>508</v>
      </c>
      <c r="E542" s="1">
        <f>SUM(E537:E541)</f>
        <v>7192</v>
      </c>
      <c r="F542" s="1">
        <f>SUM(F537:F541)</f>
        <v>2776</v>
      </c>
      <c r="G542" s="1">
        <f>SUM(G537:G541)</f>
        <v>825</v>
      </c>
      <c r="H542" s="1">
        <f>SUM(H536:H541)</f>
        <v>11560</v>
      </c>
      <c r="I542" s="13" t="s">
        <v>12</v>
      </c>
      <c r="N542" s="16"/>
      <c r="O542" s="1"/>
      <c r="P542" s="1"/>
    </row>
    <row r="543" spans="1:40" x14ac:dyDescent="0.3">
      <c r="A543" s="1" t="s">
        <v>57</v>
      </c>
      <c r="B543" s="1" t="s">
        <v>2</v>
      </c>
      <c r="C543" s="10">
        <f>C537/C542</f>
        <v>1</v>
      </c>
      <c r="D543" s="10">
        <f>D538/D542</f>
        <v>0.57677165354330706</v>
      </c>
      <c r="E543" s="10">
        <f>E539/E542</f>
        <v>0.98679087875417126</v>
      </c>
      <c r="F543" s="10">
        <f>F540/F542</f>
        <v>0.90417867435158505</v>
      </c>
      <c r="G543" s="10">
        <f>G541/G542</f>
        <v>0.88969696969696965</v>
      </c>
      <c r="H543" s="10"/>
      <c r="I543" s="14">
        <f>(C537+D538+E539+F540+G541)/H542</f>
        <v>0.94230103806228371</v>
      </c>
    </row>
    <row r="544" spans="1:40" x14ac:dyDescent="0.3">
      <c r="B544" s="1" t="s">
        <v>14</v>
      </c>
      <c r="C544" s="11">
        <f>1-C543</f>
        <v>0</v>
      </c>
      <c r="D544" s="11">
        <f>1-D543</f>
        <v>0.42322834645669294</v>
      </c>
      <c r="E544" s="11">
        <f>1-E543</f>
        <v>1.3209121245828737E-2</v>
      </c>
      <c r="F544" s="11">
        <f>1-F543</f>
        <v>9.5821325648414946E-2</v>
      </c>
      <c r="G544" s="11">
        <f>1-G543</f>
        <v>0.11030303030303035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1.4636583625481694</v>
      </c>
      <c r="D548" s="31">
        <f>(D537/$L548)*$O548</f>
        <v>0</v>
      </c>
      <c r="E548" s="31">
        <f>(E537/$L548)*$O548</f>
        <v>0</v>
      </c>
      <c r="F548" s="31">
        <f>(F537/$L548)*$O548</f>
        <v>0</v>
      </c>
      <c r="G548" s="32">
        <f>(G537/$L548)*$O548</f>
        <v>0</v>
      </c>
      <c r="H548" s="17">
        <f>SUM(C548:G548)</f>
        <v>1.4636583625481694</v>
      </c>
      <c r="I548" s="17">
        <f>C548/H548*100</f>
        <v>100</v>
      </c>
      <c r="J548" s="17">
        <f>SQRT(I548*(100-I548)/(L548-1))</f>
        <v>0</v>
      </c>
      <c r="K548" s="18">
        <f>100-I548</f>
        <v>0</v>
      </c>
      <c r="L548" s="1">
        <f>H537</f>
        <v>259</v>
      </c>
      <c r="M548">
        <v>0</v>
      </c>
      <c r="N548" s="1">
        <v>2899.82</v>
      </c>
      <c r="O548" s="17">
        <f>N548/N553*100</f>
        <v>1.4636583625481694</v>
      </c>
      <c r="P548" s="52">
        <f>((O548*O548*(I548/100)*(K548/100))/(L548-1))</f>
        <v>0</v>
      </c>
    </row>
    <row r="549" spans="1:16" x14ac:dyDescent="0.3">
      <c r="A549" t="s">
        <v>4</v>
      </c>
      <c r="B549" s="13">
        <v>1</v>
      </c>
      <c r="C549" s="33">
        <f t="shared" ref="C549:G552" si="58">(C538/$L549)*$O549</f>
        <v>0</v>
      </c>
      <c r="D549" s="34">
        <f t="shared" si="58"/>
        <v>4.1923955078289659</v>
      </c>
      <c r="E549" s="19">
        <f t="shared" si="58"/>
        <v>0.558032166571091</v>
      </c>
      <c r="F549" s="18">
        <f t="shared" si="58"/>
        <v>0</v>
      </c>
      <c r="G549" s="20">
        <f t="shared" si="58"/>
        <v>0.10015961964096505</v>
      </c>
      <c r="H549" s="17">
        <f>SUM(C549:G549)</f>
        <v>4.8505872940410217</v>
      </c>
      <c r="I549" s="17">
        <f>D549/H549*100</f>
        <v>86.430678466076699</v>
      </c>
      <c r="J549" s="17">
        <f>SQRT(I549*(100-I549)/(L549-1))</f>
        <v>1.8627504529603398</v>
      </c>
      <c r="K549" s="18">
        <f>100-I549</f>
        <v>13.569321533923301</v>
      </c>
      <c r="L549" s="1">
        <f>H538</f>
        <v>339</v>
      </c>
      <c r="M549">
        <v>1</v>
      </c>
      <c r="N549" s="1">
        <v>9610.0499999999993</v>
      </c>
      <c r="O549" s="17">
        <f>N549/N553*100</f>
        <v>4.8505872940410217</v>
      </c>
      <c r="P549" s="52">
        <f>((O549*O549*(I549/100)*(K549/100))/(L549-1))</f>
        <v>8.1639061769388944E-3</v>
      </c>
    </row>
    <row r="550" spans="1:16" x14ac:dyDescent="0.3">
      <c r="A550" t="s">
        <v>5</v>
      </c>
      <c r="B550" s="13">
        <v>2</v>
      </c>
      <c r="C550" s="33">
        <f t="shared" si="58"/>
        <v>0</v>
      </c>
      <c r="D550" s="19">
        <f t="shared" si="58"/>
        <v>1.4823145544369389</v>
      </c>
      <c r="E550" s="34">
        <f t="shared" si="58"/>
        <v>55.368349435994503</v>
      </c>
      <c r="F550" s="19">
        <f t="shared" si="58"/>
        <v>0.70995065501979715</v>
      </c>
      <c r="G550" s="20">
        <f t="shared" si="58"/>
        <v>0.16383476654303009</v>
      </c>
      <c r="H550" s="17">
        <f>SUM(C550:G550)</f>
        <v>57.724449411994271</v>
      </c>
      <c r="I550" s="17">
        <f>E550/H550*100</f>
        <v>95.918367346938766</v>
      </c>
      <c r="J550" s="17">
        <f>SQRT(I550*(100-I550)/(L550-1))</f>
        <v>0.23004387964646897</v>
      </c>
      <c r="K550" s="18">
        <f>100-I550</f>
        <v>4.0816326530612344</v>
      </c>
      <c r="L550" s="1">
        <f>H539</f>
        <v>7399</v>
      </c>
      <c r="M550">
        <v>2</v>
      </c>
      <c r="N550" s="1">
        <v>114364.47</v>
      </c>
      <c r="O550" s="17">
        <f>N550/N553*100</f>
        <v>57.724449411994271</v>
      </c>
      <c r="P550" s="52">
        <f>((O550*O550*(I550/100)*(K550/100))/(L550-1))</f>
        <v>1.7633599185900736E-2</v>
      </c>
    </row>
    <row r="551" spans="1:16" x14ac:dyDescent="0.3">
      <c r="A551" t="s">
        <v>6</v>
      </c>
      <c r="B551" s="13">
        <v>3</v>
      </c>
      <c r="C551" s="33">
        <f t="shared" si="58"/>
        <v>0</v>
      </c>
      <c r="D551" s="19">
        <f t="shared" si="58"/>
        <v>4.012876803846091E-2</v>
      </c>
      <c r="E551" s="19">
        <f t="shared" si="58"/>
        <v>0.2608369922499959</v>
      </c>
      <c r="F551" s="34">
        <f t="shared" si="58"/>
        <v>25.180801944134217</v>
      </c>
      <c r="G551" s="20">
        <f t="shared" si="58"/>
        <v>0.63202809660575932</v>
      </c>
      <c r="H551" s="17">
        <f>SUM(C551:G551)</f>
        <v>26.113795801028431</v>
      </c>
      <c r="I551" s="17">
        <f>F551/H551*100</f>
        <v>96.427199385324641</v>
      </c>
      <c r="J551" s="17">
        <f>SQRT(I551*(100-I551)/(L551-1))</f>
        <v>0.36387357762020495</v>
      </c>
      <c r="K551" s="18">
        <f>100-I551</f>
        <v>3.5728006146753586</v>
      </c>
      <c r="L551" s="1">
        <f>H540</f>
        <v>2603</v>
      </c>
      <c r="M551">
        <v>3</v>
      </c>
      <c r="N551" s="1">
        <v>51737.01</v>
      </c>
      <c r="O551" s="17">
        <f>N551/N553*100</f>
        <v>26.113795801028434</v>
      </c>
      <c r="P551" s="52">
        <f>((O551*O551*(I551/100)*(K551/100))/(L551-1))</f>
        <v>9.0290290259596694E-3</v>
      </c>
    </row>
    <row r="552" spans="1:16" x14ac:dyDescent="0.3">
      <c r="A552" t="s">
        <v>7</v>
      </c>
      <c r="B552" s="13">
        <v>4</v>
      </c>
      <c r="C552" s="35">
        <f t="shared" si="58"/>
        <v>0</v>
      </c>
      <c r="D552" s="36">
        <f t="shared" si="58"/>
        <v>0.21541426222723981</v>
      </c>
      <c r="E552" s="21">
        <f t="shared" si="58"/>
        <v>0.30773466032462832</v>
      </c>
      <c r="F552" s="21">
        <f t="shared" si="58"/>
        <v>1.7951188518936652</v>
      </c>
      <c r="G552" s="37">
        <f t="shared" si="58"/>
        <v>7.5292413559425722</v>
      </c>
      <c r="H552" s="17">
        <f>SUM(C552:G552)</f>
        <v>9.8475091303881044</v>
      </c>
      <c r="I552" s="17">
        <f>G552/H552*100</f>
        <v>76.458333333333343</v>
      </c>
      <c r="J552" s="17">
        <f>SQRT(I552*(100-I552)/(L552-1))</f>
        <v>1.3700036143221324</v>
      </c>
      <c r="K552" s="18">
        <f>100-I552</f>
        <v>23.541666666666657</v>
      </c>
      <c r="L552" s="1">
        <f>H541</f>
        <v>960</v>
      </c>
      <c r="M552">
        <v>4</v>
      </c>
      <c r="N552" s="1">
        <v>19510.02</v>
      </c>
      <c r="O552" s="17">
        <f>N552/N553*100</f>
        <v>9.8475091303881062</v>
      </c>
      <c r="P552" s="52">
        <f>((O552*O552*(I552/100)*(K552/100))/(L552-1))</f>
        <v>1.8201040251829254E-2</v>
      </c>
    </row>
    <row r="553" spans="1:16" x14ac:dyDescent="0.3">
      <c r="B553" t="s">
        <v>28</v>
      </c>
      <c r="C553" s="17">
        <f>SUM(C548:C552)</f>
        <v>1.4636583625481694</v>
      </c>
      <c r="D553" s="17">
        <f>SUM(D548:D552)</f>
        <v>5.930253092531605</v>
      </c>
      <c r="E553" s="17">
        <f>SUM(E548:E552)</f>
        <v>56.494953255140217</v>
      </c>
      <c r="F553" s="17">
        <f>SUM(F548:F552)</f>
        <v>27.685871451047678</v>
      </c>
      <c r="G553" s="17">
        <f>SUM(G548:G552)</f>
        <v>8.4252638387323273</v>
      </c>
      <c r="H553" s="1">
        <f>SUM(H547:H552)</f>
        <v>100</v>
      </c>
      <c r="I553" s="13" t="s">
        <v>24</v>
      </c>
      <c r="J553" s="12" t="s">
        <v>29</v>
      </c>
      <c r="N553" s="1">
        <f>SUM(N548:N552)</f>
        <v>198121.37</v>
      </c>
      <c r="O553" s="17">
        <f>SUM(O548:O552)</f>
        <v>100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0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0.14822506536815719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0.17420078971529374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0.17191136841982277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0.16446076845422578</v>
      </c>
      <c r="H554" s="1"/>
      <c r="I554" s="56">
        <f>(C548+D549+E550+F551+G552)/H553</f>
        <v>0.93734446606448429</v>
      </c>
      <c r="J554" s="53">
        <f>SQRT(SUM(P548:P552))/100</f>
        <v>2.3027716916930465E-3</v>
      </c>
      <c r="M554" s="1"/>
      <c r="N554" s="9"/>
    </row>
    <row r="555" spans="1:16" x14ac:dyDescent="0.3">
      <c r="B555" s="1" t="s">
        <v>30</v>
      </c>
      <c r="C555" s="17">
        <f>C548/C553*100</f>
        <v>100</v>
      </c>
      <c r="D555" s="17">
        <f>D549/D553*100</f>
        <v>70.695052005600772</v>
      </c>
      <c r="E555" s="17">
        <f>E550/E553*100</f>
        <v>98.005832814733395</v>
      </c>
      <c r="F555" s="17">
        <f>F551/F553*100</f>
        <v>90.951812691383921</v>
      </c>
      <c r="G555" s="17">
        <f>G552/G553*100</f>
        <v>89.36505135102604</v>
      </c>
      <c r="H555" s="1"/>
    </row>
    <row r="556" spans="1:16" x14ac:dyDescent="0.3">
      <c r="B556" s="16" t="s">
        <v>39</v>
      </c>
      <c r="C556" s="18">
        <f>SQRT((C559+C560)/(C553*C553))</f>
        <v>0</v>
      </c>
      <c r="D556" s="18">
        <f>SQRT((D559+D560)/(D553*D553))</f>
        <v>4.6799446554502264</v>
      </c>
      <c r="E556" s="18">
        <f>SQRT((E559+E560)/(E553*E553))</f>
        <v>0.20133704008218378</v>
      </c>
      <c r="F556" s="18">
        <f>SQRT((F559+F560)/(F553*F553))</f>
        <v>0.56405257436991363</v>
      </c>
      <c r="G556" s="18">
        <f>SQRT((G559+G560)/(G553*G553))</f>
        <v>1.9743722925668152</v>
      </c>
      <c r="H556" s="1"/>
    </row>
    <row r="557" spans="1:16" x14ac:dyDescent="0.3">
      <c r="B557" s="1" t="s">
        <v>37</v>
      </c>
      <c r="C557" s="18">
        <f>100-C555</f>
        <v>0</v>
      </c>
      <c r="D557" s="18">
        <f>100-D555</f>
        <v>29.304947994399228</v>
      </c>
      <c r="E557" s="18">
        <f>100-E555</f>
        <v>1.9941671852666047</v>
      </c>
      <c r="F557" s="18">
        <f>100-F555</f>
        <v>9.0481873086160789</v>
      </c>
      <c r="G557" s="18">
        <f>100-G555</f>
        <v>10.63494864897396</v>
      </c>
    </row>
    <row r="558" spans="1:16" ht="15.6" x14ac:dyDescent="0.35">
      <c r="B558" s="1" t="s">
        <v>25</v>
      </c>
      <c r="C558" s="1">
        <f>C542</f>
        <v>259</v>
      </c>
      <c r="D558" s="1">
        <f>D542</f>
        <v>508</v>
      </c>
      <c r="E558" s="1">
        <f>E542</f>
        <v>7192</v>
      </c>
      <c r="F558" s="1">
        <f>F542</f>
        <v>2776</v>
      </c>
      <c r="G558" s="1">
        <f>G542</f>
        <v>825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701.09991584898205</v>
      </c>
      <c r="E559" s="18">
        <f>(O550*O550*(100-E555)*(100-E555)*(I550)*(100-I550))/((L550-1)*100)</f>
        <v>7.0123582600575824</v>
      </c>
      <c r="F559" s="18">
        <f>(O551*O551*(100-F555)*(100-F555)*(I551)*(100-I551))/((L551-1)*100)</f>
        <v>73.920383960621564</v>
      </c>
      <c r="G559" s="18">
        <f>(O552*O552*(100-G555)*(100-G555)*(I552)*(100-I552))/((L552-1)*100)</f>
        <v>205.85764710474001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69.143317509540879</v>
      </c>
      <c r="E560" s="18">
        <f>E555*E555*(SUM((H548*E548*(1-E537/H537))/(H537-1),(H549*E549*(1-E538/H538))/(H538-1), (H551*E551*(1-E540/H540))/(H540-1),(H552*E552*(1-E541/H541))/(H541-1)))</f>
        <v>122.36749866033192</v>
      </c>
      <c r="F560" s="18">
        <f>F555*F555*(SUM((H548*F548*(1-F537/H537))/(H537-1),(H549*F549*(1-F538/H538))/(H538-1), (H550*F550*(1-F539/H539))/(H539-1),(H552*F552*(1-F541/H541))/(H541-1)))</f>
        <v>169.94803775578924</v>
      </c>
      <c r="G560" s="18">
        <f>G555*G555*(SUM((H548*G548*(1-G537/H537))/(H537-1),(H549*G549*(1-G538/H538))/(H538-1), (H550*G550*(1-G539/H539))/(H539-1),(H551*G551*(1-G540/H540))/(H540-1)))</f>
        <v>70.852518934157729</v>
      </c>
    </row>
    <row r="563" spans="1:16" x14ac:dyDescent="0.3">
      <c r="A563" s="361" t="s">
        <v>441</v>
      </c>
      <c r="B563" s="361"/>
      <c r="C563" s="361"/>
      <c r="D563" s="361"/>
      <c r="E563" s="361"/>
      <c r="F563" s="361"/>
      <c r="G563" s="361"/>
      <c r="H563" s="361"/>
      <c r="I563" s="361"/>
      <c r="J563" s="361"/>
      <c r="K563" s="361"/>
      <c r="L563" s="361" t="s">
        <v>97</v>
      </c>
      <c r="M563" s="361"/>
      <c r="N563" s="361"/>
      <c r="O563" s="361"/>
      <c r="P563" s="361"/>
    </row>
    <row r="564" spans="1:16" x14ac:dyDescent="0.3">
      <c r="A564" t="s">
        <v>15</v>
      </c>
      <c r="B564" t="s">
        <v>21</v>
      </c>
      <c r="I564" s="1" t="s">
        <v>58</v>
      </c>
      <c r="O564" s="143"/>
      <c r="P564" s="143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56</v>
      </c>
      <c r="O565" s="13"/>
      <c r="P565" s="13"/>
    </row>
    <row r="566" spans="1:16" x14ac:dyDescent="0.3">
      <c r="A566" t="s">
        <v>3</v>
      </c>
      <c r="B566" s="13">
        <v>0</v>
      </c>
      <c r="C566" s="26">
        <v>259</v>
      </c>
      <c r="D566" s="3">
        <v>0</v>
      </c>
      <c r="E566" s="3">
        <v>0</v>
      </c>
      <c r="F566" s="3">
        <v>0</v>
      </c>
      <c r="G566" s="4">
        <v>0</v>
      </c>
      <c r="H566" s="1">
        <f>SUM(C566:G566)</f>
        <v>259</v>
      </c>
      <c r="I566" s="10">
        <f>C566/H566</f>
        <v>1</v>
      </c>
      <c r="J566" s="11">
        <f>1-I566</f>
        <v>0</v>
      </c>
      <c r="K566">
        <f>H566-C571</f>
        <v>0</v>
      </c>
      <c r="N566" s="10">
        <f>2*(C572*I566)/(C572+I566)</f>
        <v>1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295</v>
      </c>
      <c r="E567" s="1">
        <v>37</v>
      </c>
      <c r="F567" s="1">
        <v>0</v>
      </c>
      <c r="G567" s="6">
        <v>7</v>
      </c>
      <c r="H567" s="1">
        <f>SUM(C567:G567)</f>
        <v>339</v>
      </c>
      <c r="I567" s="10">
        <f>D567/H567</f>
        <v>0.87020648967551617</v>
      </c>
      <c r="J567" s="11">
        <f>1-I567</f>
        <v>0.12979351032448383</v>
      </c>
      <c r="K567">
        <f>H567-D571</f>
        <v>-160</v>
      </c>
      <c r="N567" s="10">
        <f>2*(D572*I567)/(D572+I567)</f>
        <v>0.70405727923627681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179</v>
      </c>
      <c r="E568" s="27">
        <v>7101</v>
      </c>
      <c r="F568" s="1">
        <v>96</v>
      </c>
      <c r="G568" s="6">
        <v>23</v>
      </c>
      <c r="H568" s="1">
        <f>SUM(C568:G568)</f>
        <v>7399</v>
      </c>
      <c r="I568" s="10">
        <f>E568/H568</f>
        <v>0.95972428706581969</v>
      </c>
      <c r="J568" s="11">
        <f>1-I568</f>
        <v>4.0275712934180308E-2</v>
      </c>
      <c r="K568">
        <f>H568-E571</f>
        <v>215</v>
      </c>
      <c r="N568" s="10">
        <f>2*(E572*I568)/(E572+I568)</f>
        <v>0.9738736885414524</v>
      </c>
      <c r="O568" s="1"/>
      <c r="P568" s="1"/>
    </row>
    <row r="569" spans="1:16" x14ac:dyDescent="0.3">
      <c r="A569" t="s">
        <v>6</v>
      </c>
      <c r="B569" s="13">
        <v>3</v>
      </c>
      <c r="C569" s="5">
        <v>0</v>
      </c>
      <c r="D569" s="1">
        <v>4</v>
      </c>
      <c r="E569" s="1">
        <v>23</v>
      </c>
      <c r="F569" s="27">
        <v>2498</v>
      </c>
      <c r="G569" s="6">
        <v>78</v>
      </c>
      <c r="H569" s="1">
        <f>SUM(C569:G569)</f>
        <v>2603</v>
      </c>
      <c r="I569" s="10">
        <f>F569/H569</f>
        <v>0.95966192854398769</v>
      </c>
      <c r="J569" s="11">
        <f>1-I569</f>
        <v>4.0338071456012314E-2</v>
      </c>
      <c r="K569">
        <f>H569-F571</f>
        <v>-168</v>
      </c>
      <c r="N569" s="10">
        <f>2*(F572*I569)/(F572+I569)</f>
        <v>0.92966133234090065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21</v>
      </c>
      <c r="E570" s="8">
        <v>23</v>
      </c>
      <c r="F570" s="8">
        <v>177</v>
      </c>
      <c r="G570" s="28">
        <v>739</v>
      </c>
      <c r="H570" s="1">
        <f>SUM(C570:G570)</f>
        <v>960</v>
      </c>
      <c r="I570" s="10">
        <f>G570/H570</f>
        <v>0.76979166666666665</v>
      </c>
      <c r="J570" s="11">
        <f>1-I570</f>
        <v>0.23020833333333335</v>
      </c>
      <c r="K570">
        <f>H570-G571</f>
        <v>113</v>
      </c>
      <c r="N570" s="10">
        <f>2*(G572*I570)/(G572+I570)</f>
        <v>0.81793027116768113</v>
      </c>
      <c r="O570" s="1"/>
      <c r="P570" s="1"/>
    </row>
    <row r="571" spans="1:16" ht="15.6" x14ac:dyDescent="0.35">
      <c r="B571" s="1" t="s">
        <v>19</v>
      </c>
      <c r="C571" s="1">
        <f>SUM(C566:C570)</f>
        <v>259</v>
      </c>
      <c r="D571" s="1">
        <f>SUM(D566:D570)</f>
        <v>499</v>
      </c>
      <c r="E571" s="1">
        <f>SUM(E566:E570)</f>
        <v>7184</v>
      </c>
      <c r="F571" s="1">
        <f>SUM(F566:F570)</f>
        <v>2771</v>
      </c>
      <c r="G571" s="1">
        <f>SUM(G566:G570)</f>
        <v>847</v>
      </c>
      <c r="H571" s="1">
        <f>SUM(H565:H570)</f>
        <v>11560</v>
      </c>
      <c r="I571" s="13" t="s">
        <v>12</v>
      </c>
      <c r="N571" s="16"/>
      <c r="O571" s="1"/>
      <c r="P571" s="1"/>
    </row>
    <row r="572" spans="1:16" x14ac:dyDescent="0.3">
      <c r="A572" s="1" t="s">
        <v>57</v>
      </c>
      <c r="B572" s="1" t="s">
        <v>2</v>
      </c>
      <c r="C572" s="10">
        <f>C566/C571</f>
        <v>1</v>
      </c>
      <c r="D572" s="10">
        <f>D567/D571</f>
        <v>0.59118236472945895</v>
      </c>
      <c r="E572" s="10">
        <f>E568/E571</f>
        <v>0.98844654788418707</v>
      </c>
      <c r="F572" s="10">
        <f>F569/F571</f>
        <v>0.90147961024900758</v>
      </c>
      <c r="G572" s="10">
        <f>G570/G571</f>
        <v>0.87249114521841797</v>
      </c>
      <c r="H572" s="10"/>
      <c r="I572" s="14">
        <f>(C566+D567+E568+F569+G570)/H571</f>
        <v>0.94221453287197232</v>
      </c>
    </row>
    <row r="573" spans="1:16" x14ac:dyDescent="0.3">
      <c r="B573" s="1" t="s">
        <v>14</v>
      </c>
      <c r="C573" s="11">
        <f>1-C572</f>
        <v>0</v>
      </c>
      <c r="D573" s="11">
        <f>1-D572</f>
        <v>0.40881763527054105</v>
      </c>
      <c r="E573" s="11">
        <f>1-E572</f>
        <v>1.1553452115812934E-2</v>
      </c>
      <c r="F573" s="11">
        <f>1-F572</f>
        <v>9.8520389750992421E-2</v>
      </c>
      <c r="G573" s="11">
        <f>1-G572</f>
        <v>0.12750885478158203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1.4657026380194444</v>
      </c>
      <c r="D577" s="31">
        <f>(D566/$L577)*$O577</f>
        <v>0</v>
      </c>
      <c r="E577" s="31">
        <f>(E566/$L577)*$O577</f>
        <v>0</v>
      </c>
      <c r="F577" s="31">
        <f>(F566/$L577)*$O577</f>
        <v>0</v>
      </c>
      <c r="G577" s="32">
        <f>(G566/$L577)*$O577</f>
        <v>0</v>
      </c>
      <c r="H577" s="17">
        <f>SUM(C577:G577)</f>
        <v>1.4657026380194444</v>
      </c>
      <c r="I577" s="17">
        <f>C577/H577*100</f>
        <v>100</v>
      </c>
      <c r="J577" s="17">
        <f>SQRT(I577*(100-I577)/(L577-1))</f>
        <v>0</v>
      </c>
      <c r="K577" s="18">
        <f>100-I577</f>
        <v>0</v>
      </c>
      <c r="L577" s="1">
        <f>H566</f>
        <v>259</v>
      </c>
      <c r="M577">
        <v>0</v>
      </c>
      <c r="N577" s="1">
        <v>2903.87</v>
      </c>
      <c r="O577" s="17">
        <f>N577/N582*100</f>
        <v>1.4657026380194444</v>
      </c>
      <c r="P577" s="52">
        <f>((O577*O577*(I577/100)*(K577/100))/(L577-1))</f>
        <v>0</v>
      </c>
    </row>
    <row r="578" spans="1:16" x14ac:dyDescent="0.3">
      <c r="A578" t="s">
        <v>4</v>
      </c>
      <c r="B578" s="13">
        <v>1</v>
      </c>
      <c r="C578" s="33">
        <f t="shared" ref="C578:G581" si="59">(C567/$L578)*$O578</f>
        <v>0</v>
      </c>
      <c r="D578" s="34">
        <f t="shared" si="59"/>
        <v>4.3042202988664746</v>
      </c>
      <c r="E578" s="19">
        <f t="shared" si="59"/>
        <v>0.539851359518846</v>
      </c>
      <c r="F578" s="18">
        <f t="shared" si="59"/>
        <v>0</v>
      </c>
      <c r="G578" s="20">
        <f t="shared" si="59"/>
        <v>0.10213404099005194</v>
      </c>
      <c r="H578" s="17">
        <f>SUM(C578:G578)</f>
        <v>4.9462056993753727</v>
      </c>
      <c r="I578" s="17">
        <f>D578/H578*100</f>
        <v>87.020648967551622</v>
      </c>
      <c r="J578" s="17">
        <f>SQRT(I578*(100-I578)/(L578-1))</f>
        <v>1.8280130756635198</v>
      </c>
      <c r="K578" s="18">
        <f>100-I578</f>
        <v>12.979351032448378</v>
      </c>
      <c r="L578" s="1">
        <f>H567</f>
        <v>339</v>
      </c>
      <c r="M578">
        <v>1</v>
      </c>
      <c r="N578" s="1">
        <v>9799.49</v>
      </c>
      <c r="O578" s="17">
        <f>N578/N582*100</f>
        <v>4.9462056993753727</v>
      </c>
      <c r="P578" s="52">
        <f>((O578*O578*(I578/100)*(K578/100))/(L578-1))</f>
        <v>8.1752857764684078E-3</v>
      </c>
    </row>
    <row r="579" spans="1:16" x14ac:dyDescent="0.3">
      <c r="A579" t="s">
        <v>5</v>
      </c>
      <c r="B579" s="13">
        <v>2</v>
      </c>
      <c r="C579" s="33">
        <f t="shared" si="59"/>
        <v>0</v>
      </c>
      <c r="D579" s="19">
        <f t="shared" si="59"/>
        <v>1.3894287282199549</v>
      </c>
      <c r="E579" s="34">
        <f t="shared" si="59"/>
        <v>55.119181000502238</v>
      </c>
      <c r="F579" s="19">
        <f t="shared" si="59"/>
        <v>0.74516847993919366</v>
      </c>
      <c r="G579" s="20">
        <f t="shared" si="59"/>
        <v>0.17852994831876517</v>
      </c>
      <c r="H579" s="17">
        <f>SUM(C579:G579)</f>
        <v>57.432308156980156</v>
      </c>
      <c r="I579" s="17">
        <f>E579/H579*100</f>
        <v>95.972428706581951</v>
      </c>
      <c r="J579" s="17">
        <f>SQRT(I579*(100-I579)/(L579-1))</f>
        <v>0.22857972061204318</v>
      </c>
      <c r="K579" s="18">
        <f>100-I579</f>
        <v>4.027571293418049</v>
      </c>
      <c r="L579" s="1">
        <f>H568</f>
        <v>7399</v>
      </c>
      <c r="M579">
        <v>2</v>
      </c>
      <c r="N579" s="1">
        <v>113785.67</v>
      </c>
      <c r="O579" s="17">
        <f>N579/N582*100</f>
        <v>57.432308156980149</v>
      </c>
      <c r="P579" s="52">
        <f>((O579*O579*(I579/100)*(K579/100))/(L579-1))</f>
        <v>1.7234073319151631E-2</v>
      </c>
    </row>
    <row r="580" spans="1:16" x14ac:dyDescent="0.3">
      <c r="A580" t="s">
        <v>6</v>
      </c>
      <c r="B580" s="13">
        <v>3</v>
      </c>
      <c r="C580" s="33">
        <f t="shared" si="59"/>
        <v>0</v>
      </c>
      <c r="D580" s="19">
        <f t="shared" si="59"/>
        <v>4.0227678384265622E-2</v>
      </c>
      <c r="E580" s="19">
        <f t="shared" si="59"/>
        <v>0.23130915070952734</v>
      </c>
      <c r="F580" s="34">
        <f t="shared" si="59"/>
        <v>25.12218515097388</v>
      </c>
      <c r="G580" s="20">
        <f t="shared" si="59"/>
        <v>0.78443972849317967</v>
      </c>
      <c r="H580" s="17">
        <f>SUM(C580:G580)</f>
        <v>26.178161708560854</v>
      </c>
      <c r="I580" s="17">
        <f>F580/H580*100</f>
        <v>95.96619285439877</v>
      </c>
      <c r="J580" s="17">
        <f>SQRT(I580*(100-I580)/(L580-1))</f>
        <v>0.3857119127779286</v>
      </c>
      <c r="K580" s="18">
        <f>100-I580</f>
        <v>4.0338071456012301</v>
      </c>
      <c r="L580" s="1">
        <f>H569</f>
        <v>2603</v>
      </c>
      <c r="M580">
        <v>3</v>
      </c>
      <c r="N580" s="1">
        <v>51864.53</v>
      </c>
      <c r="O580" s="17">
        <f>N580/N582*100</f>
        <v>26.178161708560854</v>
      </c>
      <c r="P580" s="52">
        <f>((O580*O580*(I580/100)*(K580/100))/(L580-1))</f>
        <v>1.0195402995690992E-2</v>
      </c>
    </row>
    <row r="581" spans="1:16" x14ac:dyDescent="0.3">
      <c r="A581" t="s">
        <v>7</v>
      </c>
      <c r="B581" s="13">
        <v>4</v>
      </c>
      <c r="C581" s="35">
        <f t="shared" si="59"/>
        <v>0</v>
      </c>
      <c r="D581" s="36">
        <f t="shared" si="59"/>
        <v>0.21826047681077898</v>
      </c>
      <c r="E581" s="21">
        <f t="shared" si="59"/>
        <v>0.23904718888799606</v>
      </c>
      <c r="F581" s="21">
        <f t="shared" si="59"/>
        <v>1.8396240188337087</v>
      </c>
      <c r="G581" s="37">
        <f t="shared" si="59"/>
        <v>7.6806901125316989</v>
      </c>
      <c r="H581" s="17">
        <f>SUM(C581:G581)</f>
        <v>9.9776217970641827</v>
      </c>
      <c r="I581" s="17">
        <f>G581/H581*100</f>
        <v>76.979166666666671</v>
      </c>
      <c r="J581" s="17">
        <f>SQRT(I581*(100-I581)/(L581-1))</f>
        <v>1.3593704325383349</v>
      </c>
      <c r="K581" s="18">
        <f>100-I581</f>
        <v>23.020833333333329</v>
      </c>
      <c r="L581" s="1">
        <f>H570</f>
        <v>960</v>
      </c>
      <c r="M581">
        <v>4</v>
      </c>
      <c r="N581" s="1">
        <v>19767.8</v>
      </c>
      <c r="O581" s="17">
        <f>N581/N582*100</f>
        <v>9.9776217970641827</v>
      </c>
      <c r="P581" s="52">
        <f>((O581*O581*(I581/100)*(K581/100))/(L581-1))</f>
        <v>1.8396267443742884E-2</v>
      </c>
    </row>
    <row r="582" spans="1:16" x14ac:dyDescent="0.3">
      <c r="B582" t="s">
        <v>28</v>
      </c>
      <c r="C582" s="17">
        <f t="shared" ref="C582:H582" si="60">SUM(C577:C581)</f>
        <v>1.4657026380194444</v>
      </c>
      <c r="D582" s="17">
        <f t="shared" si="60"/>
        <v>5.9521371822814748</v>
      </c>
      <c r="E582" s="17">
        <f t="shared" si="60"/>
        <v>56.129388699618609</v>
      </c>
      <c r="F582" s="17">
        <f t="shared" si="60"/>
        <v>27.706977649746783</v>
      </c>
      <c r="G582" s="17">
        <f t="shared" si="60"/>
        <v>8.745793830333696</v>
      </c>
      <c r="H582" s="18">
        <f t="shared" si="60"/>
        <v>100.00000000000001</v>
      </c>
      <c r="I582" s="13" t="s">
        <v>24</v>
      </c>
      <c r="J582" s="12" t="s">
        <v>29</v>
      </c>
      <c r="N582" s="1">
        <f>SUM(N577:N581)</f>
        <v>198121.36</v>
      </c>
      <c r="O582" s="17">
        <f>SUM(O577:O581)</f>
        <v>100.00000000000001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0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0.14593841184741113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0.17023355828608905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0.17746888818137363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0.16991365248234538</v>
      </c>
      <c r="H583" s="1"/>
      <c r="I583" s="56">
        <f>(C577+D578+E579+F580+G581)/H582</f>
        <v>0.93691979200893716</v>
      </c>
      <c r="J583" s="53">
        <f>SQRT(SUM(P577:P581))/100</f>
        <v>2.3238121596861894E-3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72.31386251780998</v>
      </c>
      <c r="E584" s="17">
        <f>E579/E582*100</f>
        <v>98.200216103327648</v>
      </c>
      <c r="F584" s="17">
        <f>F580/F582*100</f>
        <v>90.670969127531222</v>
      </c>
      <c r="G584" s="17">
        <f>G581/G582*100</f>
        <v>87.821531830446105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4.4304880184081741</v>
      </c>
      <c r="E585" s="18">
        <f>SQRT((E588+E589)/(E582*E582))</f>
        <v>0.19443283228986533</v>
      </c>
      <c r="F585" s="18">
        <f>SQRT((F588+F589)/(F582*F582))</f>
        <v>0.58644113822341293</v>
      </c>
      <c r="G585" s="18">
        <f>SQRT((G588+G589)/(G582*G582))</f>
        <v>2.1508042771579197</v>
      </c>
      <c r="H585" s="1"/>
    </row>
    <row r="586" spans="1:16" x14ac:dyDescent="0.3">
      <c r="B586" s="1" t="s">
        <v>37</v>
      </c>
      <c r="C586" s="18">
        <f>100-C584</f>
        <v>0</v>
      </c>
      <c r="D586" s="18">
        <f>100-D584</f>
        <v>27.68613748219002</v>
      </c>
      <c r="E586" s="18">
        <f>100-E584</f>
        <v>1.7997838966723521</v>
      </c>
      <c r="F586" s="18">
        <f>100-F584</f>
        <v>9.3290308724687776</v>
      </c>
      <c r="G586" s="18">
        <f>100-G584</f>
        <v>12.178468169553895</v>
      </c>
    </row>
    <row r="587" spans="1:16" ht="15.6" x14ac:dyDescent="0.35">
      <c r="B587" s="1" t="s">
        <v>25</v>
      </c>
      <c r="C587" s="1">
        <f>C571</f>
        <v>259</v>
      </c>
      <c r="D587" s="1">
        <f>D571</f>
        <v>499</v>
      </c>
      <c r="E587" s="1">
        <f>E571</f>
        <v>7184</v>
      </c>
      <c r="F587" s="1">
        <f>F571</f>
        <v>2771</v>
      </c>
      <c r="G587" s="1">
        <f>G571</f>
        <v>847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626.65381099910485</v>
      </c>
      <c r="E588" s="18">
        <f>(O579*O579*(100-E584)*(100-E584)*(I579)*(100-I579))/((L579-1)*100)</f>
        <v>5.5824990732758177</v>
      </c>
      <c r="F588" s="18">
        <f>(O580*O580*(100-F584)*(100-F584)*(I580)*(100-I580))/((L580-1)*100)</f>
        <v>88.731425255779598</v>
      </c>
      <c r="G588" s="18">
        <f>(O581*O581*(100-G584)*(100-G584)*(I581)*(100-I581))/((L581-1)*100)</f>
        <v>272.84440055999625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68.769103830946776</v>
      </c>
      <c r="E589" s="18">
        <f>E584*E584*(SUM((H577*E577*(1-E566/H566))/(H566-1),(H578*E578*(1-E567/H567))/(H567-1), (H580*E580*(1-E569/H569))/(H569-1),(H581*E581*(1-E570/H570))/(H570-1)))</f>
        <v>113.51971360659462</v>
      </c>
      <c r="F589" s="18">
        <f>F584*F584*(SUM((H577*F577*(1-F566/H566))/(H566-1),(H578*F578*(1-F567/H567))/(H567-1), (H579*F579*(1-F568/H568))/(H568-1),(H581*F581*(1-F570/H570))/(H570-1)))</f>
        <v>175.28270102338928</v>
      </c>
      <c r="G589" s="18">
        <f>G584*G584*(SUM((H577*G577*(1-G566/H566))/(H566-1),(H578*G578*(1-G567/H567))/(H567-1), (H579*G579*(1-G568/H568))/(H568-1),(H580*G580*(1-G569/H569))/(H569-1)))</f>
        <v>80.990162727521621</v>
      </c>
    </row>
    <row r="592" spans="1:16" x14ac:dyDescent="0.3">
      <c r="A592" s="361"/>
      <c r="B592" s="361"/>
      <c r="C592" s="361"/>
      <c r="D592" s="361"/>
      <c r="E592" s="361"/>
      <c r="F592" s="361"/>
      <c r="G592" s="361"/>
      <c r="H592" s="361"/>
      <c r="I592" s="361"/>
      <c r="J592" s="361"/>
      <c r="K592" s="361"/>
      <c r="L592" s="361"/>
      <c r="M592" s="361"/>
      <c r="N592" s="361"/>
      <c r="O592" s="361"/>
      <c r="P592" s="361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61"/>
      <c r="B621" s="361"/>
      <c r="C621" s="361"/>
      <c r="D621" s="361"/>
      <c r="E621" s="361"/>
      <c r="F621" s="361"/>
      <c r="G621" s="361"/>
      <c r="H621" s="361"/>
      <c r="I621" s="361"/>
      <c r="J621" s="361"/>
      <c r="K621" s="361"/>
      <c r="L621" s="361"/>
      <c r="M621" s="361"/>
      <c r="N621" s="361"/>
      <c r="O621" s="361"/>
      <c r="P621" s="361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61"/>
      <c r="B650" s="361"/>
      <c r="C650" s="361"/>
      <c r="D650" s="361"/>
      <c r="E650" s="361"/>
      <c r="F650" s="361"/>
      <c r="G650" s="361"/>
      <c r="H650" s="361"/>
      <c r="I650" s="361"/>
      <c r="J650" s="361"/>
      <c r="K650" s="361"/>
      <c r="L650" s="361"/>
      <c r="M650" s="361"/>
      <c r="N650" s="361"/>
      <c r="O650" s="361"/>
      <c r="P650" s="361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61"/>
      <c r="B679" s="361"/>
      <c r="C679" s="361"/>
      <c r="D679" s="361"/>
      <c r="E679" s="361"/>
      <c r="F679" s="361"/>
      <c r="G679" s="361"/>
      <c r="H679" s="361"/>
      <c r="I679" s="361"/>
      <c r="J679" s="361"/>
      <c r="K679" s="361"/>
      <c r="L679" s="361"/>
      <c r="M679" s="361"/>
      <c r="N679" s="361"/>
      <c r="O679" s="361"/>
      <c r="P679" s="361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61"/>
      <c r="B708" s="361"/>
      <c r="C708" s="361"/>
      <c r="D708" s="361"/>
      <c r="E708" s="361"/>
      <c r="F708" s="361"/>
      <c r="G708" s="361"/>
      <c r="H708" s="361"/>
      <c r="I708" s="361"/>
      <c r="J708" s="361"/>
      <c r="K708" s="361"/>
      <c r="L708" s="361"/>
      <c r="M708" s="361"/>
      <c r="N708" s="361"/>
      <c r="O708" s="361"/>
      <c r="P708" s="361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61"/>
      <c r="B737" s="361"/>
      <c r="C737" s="361"/>
      <c r="D737" s="361"/>
      <c r="E737" s="361"/>
      <c r="F737" s="361"/>
      <c r="G737" s="361"/>
      <c r="H737" s="361"/>
      <c r="I737" s="361"/>
      <c r="J737" s="361"/>
      <c r="K737" s="361"/>
      <c r="L737" s="361"/>
      <c r="M737" s="361"/>
      <c r="N737" s="361"/>
      <c r="O737" s="361"/>
      <c r="P737" s="361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61"/>
      <c r="B766" s="361"/>
      <c r="C766" s="361"/>
      <c r="D766" s="361"/>
      <c r="E766" s="361"/>
      <c r="F766" s="361"/>
      <c r="G766" s="361"/>
      <c r="H766" s="361"/>
      <c r="I766" s="361"/>
      <c r="J766" s="361"/>
      <c r="K766" s="361"/>
      <c r="L766" s="361"/>
      <c r="M766" s="361"/>
      <c r="N766" s="361"/>
      <c r="O766" s="361"/>
      <c r="P766" s="361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61"/>
      <c r="B795" s="361"/>
      <c r="C795" s="361"/>
      <c r="D795" s="361"/>
      <c r="E795" s="361"/>
      <c r="F795" s="361"/>
      <c r="G795" s="361"/>
      <c r="H795" s="361"/>
      <c r="I795" s="361"/>
      <c r="J795" s="361"/>
      <c r="K795" s="361"/>
      <c r="L795" s="361"/>
      <c r="M795" s="361"/>
      <c r="N795" s="361"/>
      <c r="O795" s="361"/>
      <c r="P795" s="361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61"/>
      <c r="B824" s="361"/>
      <c r="C824" s="361"/>
      <c r="D824" s="361"/>
      <c r="E824" s="361"/>
      <c r="F824" s="361"/>
      <c r="G824" s="361"/>
      <c r="H824" s="361"/>
      <c r="I824" s="361"/>
      <c r="J824" s="361"/>
      <c r="K824" s="361"/>
      <c r="L824" s="361"/>
      <c r="M824" s="361"/>
      <c r="N824" s="361"/>
      <c r="O824" s="361"/>
      <c r="P824" s="361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61"/>
      <c r="B853" s="361"/>
      <c r="C853" s="361"/>
      <c r="D853" s="361"/>
      <c r="E853" s="361"/>
      <c r="F853" s="361"/>
      <c r="G853" s="361"/>
      <c r="H853" s="361"/>
      <c r="I853" s="361"/>
      <c r="J853" s="361"/>
      <c r="K853" s="361"/>
      <c r="L853" s="361"/>
      <c r="M853" s="361"/>
      <c r="N853" s="361"/>
      <c r="O853" s="361"/>
      <c r="P853" s="361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61"/>
      <c r="B882" s="361"/>
      <c r="C882" s="361"/>
      <c r="D882" s="361"/>
      <c r="E882" s="361"/>
      <c r="F882" s="361"/>
      <c r="G882" s="361"/>
      <c r="H882" s="361"/>
      <c r="I882" s="361"/>
      <c r="J882" s="361"/>
      <c r="K882" s="361"/>
      <c r="L882" s="361"/>
      <c r="M882" s="361"/>
      <c r="N882" s="361"/>
      <c r="O882" s="361"/>
      <c r="P882" s="361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61"/>
      <c r="B911" s="361"/>
      <c r="C911" s="361"/>
      <c r="D911" s="361"/>
      <c r="E911" s="361"/>
      <c r="F911" s="361"/>
      <c r="G911" s="361"/>
      <c r="H911" s="361"/>
      <c r="I911" s="361"/>
      <c r="J911" s="361"/>
      <c r="K911" s="361"/>
      <c r="L911" s="361"/>
      <c r="M911" s="361"/>
      <c r="N911" s="361"/>
      <c r="O911" s="361"/>
      <c r="P911" s="361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61"/>
      <c r="B940" s="361"/>
      <c r="C940" s="361"/>
      <c r="D940" s="361"/>
      <c r="E940" s="361"/>
      <c r="F940" s="361"/>
      <c r="G940" s="361"/>
      <c r="H940" s="361"/>
      <c r="I940" s="361"/>
      <c r="J940" s="361"/>
      <c r="K940" s="361"/>
      <c r="L940" s="361"/>
      <c r="M940" s="361"/>
      <c r="N940" s="361"/>
      <c r="O940" s="361"/>
      <c r="P940" s="361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61"/>
      <c r="B969" s="361"/>
      <c r="C969" s="361"/>
      <c r="D969" s="361"/>
      <c r="E969" s="361"/>
      <c r="F969" s="361"/>
      <c r="G969" s="361"/>
      <c r="H969" s="361"/>
      <c r="I969" s="361"/>
      <c r="J969" s="361"/>
      <c r="K969" s="361"/>
      <c r="L969" s="361"/>
      <c r="M969" s="361"/>
      <c r="N969" s="361"/>
      <c r="O969" s="361"/>
      <c r="P969" s="361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61"/>
      <c r="B998" s="361"/>
      <c r="C998" s="361"/>
      <c r="D998" s="361"/>
      <c r="E998" s="361"/>
      <c r="F998" s="361"/>
      <c r="G998" s="361"/>
      <c r="H998" s="361"/>
      <c r="I998" s="361"/>
      <c r="J998" s="361"/>
      <c r="K998" s="361"/>
      <c r="L998" s="361"/>
      <c r="M998" s="361"/>
      <c r="N998" s="361"/>
      <c r="O998" s="361"/>
      <c r="P998" s="361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61"/>
      <c r="B1027" s="361"/>
      <c r="C1027" s="361"/>
      <c r="D1027" s="361"/>
      <c r="E1027" s="361"/>
      <c r="F1027" s="361"/>
      <c r="G1027" s="361"/>
      <c r="H1027" s="361"/>
      <c r="I1027" s="361"/>
      <c r="J1027" s="361"/>
      <c r="K1027" s="361"/>
      <c r="L1027" s="361"/>
      <c r="M1027" s="361"/>
      <c r="N1027" s="361"/>
      <c r="O1027" s="361"/>
      <c r="P1027" s="361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61"/>
      <c r="B1056" s="361"/>
      <c r="C1056" s="361"/>
      <c r="D1056" s="361"/>
      <c r="E1056" s="361"/>
      <c r="F1056" s="361"/>
      <c r="G1056" s="361"/>
      <c r="H1056" s="361"/>
      <c r="I1056" s="361"/>
      <c r="J1056" s="361"/>
      <c r="K1056" s="361"/>
      <c r="L1056" s="361"/>
      <c r="M1056" s="361"/>
      <c r="N1056" s="361"/>
      <c r="O1056" s="361"/>
      <c r="P1056" s="361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61"/>
      <c r="B1085" s="361"/>
      <c r="C1085" s="361"/>
      <c r="D1085" s="361"/>
      <c r="E1085" s="361"/>
      <c r="F1085" s="361"/>
      <c r="G1085" s="361"/>
      <c r="H1085" s="361"/>
      <c r="I1085" s="361"/>
      <c r="J1085" s="361"/>
      <c r="K1085" s="361"/>
      <c r="L1085" s="361"/>
      <c r="M1085" s="361"/>
      <c r="N1085" s="361"/>
      <c r="O1085" s="361"/>
      <c r="P1085" s="361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61"/>
      <c r="B1114" s="361"/>
      <c r="C1114" s="361"/>
      <c r="D1114" s="361"/>
      <c r="E1114" s="361"/>
      <c r="F1114" s="361"/>
      <c r="G1114" s="361"/>
      <c r="H1114" s="361"/>
      <c r="I1114" s="361"/>
      <c r="J1114" s="361"/>
      <c r="K1114" s="361"/>
      <c r="L1114" s="361"/>
      <c r="M1114" s="361"/>
      <c r="N1114" s="361"/>
      <c r="O1114" s="361"/>
      <c r="P1114" s="361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61"/>
      <c r="B1143" s="361"/>
      <c r="C1143" s="361"/>
      <c r="D1143" s="361"/>
      <c r="E1143" s="361"/>
      <c r="F1143" s="361"/>
      <c r="G1143" s="361"/>
      <c r="H1143" s="361"/>
      <c r="I1143" s="361"/>
      <c r="J1143" s="361"/>
      <c r="K1143" s="361"/>
      <c r="L1143" s="361"/>
      <c r="M1143" s="361"/>
      <c r="N1143" s="361"/>
      <c r="O1143" s="361"/>
      <c r="P1143" s="361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61"/>
      <c r="B1172" s="361"/>
      <c r="C1172" s="361"/>
      <c r="D1172" s="361"/>
      <c r="E1172" s="361"/>
      <c r="F1172" s="361"/>
      <c r="G1172" s="361"/>
      <c r="H1172" s="361"/>
      <c r="I1172" s="361"/>
      <c r="J1172" s="361"/>
      <c r="K1172" s="361"/>
      <c r="L1172" s="361"/>
      <c r="M1172" s="361"/>
      <c r="N1172" s="361"/>
      <c r="O1172" s="361"/>
      <c r="P1172" s="361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61"/>
      <c r="B1201" s="361"/>
      <c r="C1201" s="361"/>
      <c r="D1201" s="361"/>
      <c r="E1201" s="361"/>
      <c r="F1201" s="361"/>
      <c r="G1201" s="361"/>
      <c r="H1201" s="361"/>
      <c r="I1201" s="361"/>
      <c r="J1201" s="361"/>
      <c r="K1201" s="361"/>
      <c r="L1201" s="361"/>
      <c r="M1201" s="361"/>
      <c r="N1201" s="361"/>
      <c r="O1201" s="361"/>
      <c r="P1201" s="361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61"/>
      <c r="B1230" s="361"/>
      <c r="C1230" s="361"/>
      <c r="D1230" s="361"/>
      <c r="E1230" s="361"/>
      <c r="F1230" s="361"/>
      <c r="G1230" s="361"/>
      <c r="H1230" s="361"/>
      <c r="I1230" s="361"/>
      <c r="J1230" s="361"/>
      <c r="K1230" s="361"/>
      <c r="L1230" s="361"/>
      <c r="M1230" s="361"/>
      <c r="N1230" s="361"/>
      <c r="O1230" s="361"/>
      <c r="P1230" s="361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61"/>
      <c r="B1259" s="361"/>
      <c r="C1259" s="361"/>
      <c r="D1259" s="361"/>
      <c r="E1259" s="361"/>
      <c r="F1259" s="361"/>
      <c r="G1259" s="361"/>
      <c r="H1259" s="361"/>
      <c r="I1259" s="361"/>
      <c r="J1259" s="361"/>
      <c r="K1259" s="361"/>
      <c r="L1259" s="361"/>
      <c r="M1259" s="361"/>
      <c r="N1259" s="361"/>
      <c r="O1259" s="361"/>
      <c r="P1259" s="361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61"/>
      <c r="B1288" s="361"/>
      <c r="C1288" s="361"/>
      <c r="D1288" s="361"/>
      <c r="E1288" s="361"/>
      <c r="F1288" s="361"/>
      <c r="G1288" s="361"/>
      <c r="H1288" s="361"/>
      <c r="I1288" s="361"/>
      <c r="J1288" s="361"/>
      <c r="K1288" s="361"/>
      <c r="L1288" s="361"/>
      <c r="M1288" s="361"/>
      <c r="N1288" s="361"/>
      <c r="O1288" s="361"/>
      <c r="P1288" s="361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61"/>
      <c r="B1317" s="361"/>
      <c r="C1317" s="361"/>
      <c r="D1317" s="361"/>
      <c r="E1317" s="361"/>
      <c r="F1317" s="361"/>
      <c r="G1317" s="361"/>
      <c r="H1317" s="361"/>
      <c r="I1317" s="361"/>
      <c r="J1317" s="361"/>
      <c r="K1317" s="361"/>
      <c r="L1317" s="361"/>
      <c r="M1317" s="361"/>
      <c r="N1317" s="361"/>
      <c r="O1317" s="361"/>
      <c r="P1317" s="361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61"/>
      <c r="B1346" s="361"/>
      <c r="C1346" s="361"/>
      <c r="D1346" s="361"/>
      <c r="E1346" s="361"/>
      <c r="F1346" s="361"/>
      <c r="G1346" s="361"/>
      <c r="H1346" s="361"/>
      <c r="I1346" s="361"/>
      <c r="J1346" s="361"/>
      <c r="K1346" s="361"/>
      <c r="L1346" s="361"/>
      <c r="M1346" s="361"/>
      <c r="N1346" s="361"/>
      <c r="O1346" s="361"/>
      <c r="P1346" s="361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61"/>
      <c r="B1375" s="361"/>
      <c r="C1375" s="361"/>
      <c r="D1375" s="361"/>
      <c r="E1375" s="361"/>
      <c r="F1375" s="361"/>
      <c r="G1375" s="361"/>
      <c r="H1375" s="361"/>
      <c r="I1375" s="361"/>
      <c r="J1375" s="361"/>
      <c r="K1375" s="361"/>
      <c r="L1375" s="361"/>
      <c r="M1375" s="361"/>
      <c r="N1375" s="361"/>
      <c r="O1375" s="361"/>
      <c r="P1375" s="361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61"/>
      <c r="B1404" s="361"/>
      <c r="C1404" s="361"/>
      <c r="D1404" s="361"/>
      <c r="E1404" s="361"/>
      <c r="F1404" s="361"/>
      <c r="G1404" s="361"/>
      <c r="H1404" s="361"/>
      <c r="I1404" s="361"/>
      <c r="J1404" s="361"/>
      <c r="K1404" s="361"/>
      <c r="L1404" s="361"/>
      <c r="M1404" s="361"/>
      <c r="N1404" s="361"/>
      <c r="O1404" s="361"/>
      <c r="P1404" s="361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61"/>
      <c r="B1433" s="361"/>
      <c r="C1433" s="361"/>
      <c r="D1433" s="361"/>
      <c r="E1433" s="361"/>
      <c r="F1433" s="361"/>
      <c r="G1433" s="361"/>
      <c r="H1433" s="361"/>
      <c r="I1433" s="361"/>
      <c r="J1433" s="361"/>
      <c r="K1433" s="361"/>
      <c r="L1433" s="361"/>
      <c r="M1433" s="361"/>
      <c r="N1433" s="361"/>
      <c r="O1433" s="361"/>
      <c r="P1433" s="361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mergeCells count="102">
    <mergeCell ref="A12:K12"/>
    <mergeCell ref="L12:P12"/>
    <mergeCell ref="A41:K41"/>
    <mergeCell ref="L41:P41"/>
    <mergeCell ref="A70:K70"/>
    <mergeCell ref="L70:P70"/>
    <mergeCell ref="A157:K157"/>
    <mergeCell ref="L157:P157"/>
    <mergeCell ref="A186:K186"/>
    <mergeCell ref="L186:P186"/>
    <mergeCell ref="A215:K215"/>
    <mergeCell ref="L215:P215"/>
    <mergeCell ref="AJ80:AT80"/>
    <mergeCell ref="AU80:AY80"/>
    <mergeCell ref="A99:K99"/>
    <mergeCell ref="L99:P99"/>
    <mergeCell ref="A128:K128"/>
    <mergeCell ref="L128:P128"/>
    <mergeCell ref="A331:K331"/>
    <mergeCell ref="L331:P331"/>
    <mergeCell ref="A360:K360"/>
    <mergeCell ref="L360:P360"/>
    <mergeCell ref="A389:K389"/>
    <mergeCell ref="L389:P389"/>
    <mergeCell ref="A244:K244"/>
    <mergeCell ref="L244:P244"/>
    <mergeCell ref="A273:K273"/>
    <mergeCell ref="L273:P273"/>
    <mergeCell ref="A302:K302"/>
    <mergeCell ref="L302:P302"/>
    <mergeCell ref="A505:K505"/>
    <mergeCell ref="L505:P505"/>
    <mergeCell ref="A534:K534"/>
    <mergeCell ref="L534:P534"/>
    <mergeCell ref="A563:K563"/>
    <mergeCell ref="L563:P563"/>
    <mergeCell ref="A418:K418"/>
    <mergeCell ref="L418:P418"/>
    <mergeCell ref="A447:K447"/>
    <mergeCell ref="L447:P447"/>
    <mergeCell ref="A476:K476"/>
    <mergeCell ref="L476:P476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5DA8B-3E49-4A28-8642-29DC7DDC0866}">
  <dimension ref="A1:BE1459"/>
  <sheetViews>
    <sheetView topLeftCell="X107" zoomScale="80" zoomScaleNormal="80" workbookViewId="0">
      <selection activeCell="AL109" sqref="AL109:AS135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</cols>
  <sheetData>
    <row r="1" spans="1:57" x14ac:dyDescent="0.3">
      <c r="A1" s="12"/>
      <c r="B1" s="12" t="s">
        <v>10</v>
      </c>
      <c r="C1" s="12"/>
      <c r="D1" s="12"/>
      <c r="E1" s="12"/>
      <c r="F1" s="12"/>
      <c r="G1" t="s">
        <v>47</v>
      </c>
    </row>
    <row r="2" spans="1:57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G2" t="s">
        <v>46</v>
      </c>
      <c r="AG2" s="51" t="s">
        <v>127</v>
      </c>
      <c r="AH2" s="51" t="s">
        <v>131</v>
      </c>
    </row>
    <row r="3" spans="1:57" x14ac:dyDescent="0.3">
      <c r="A3" s="12" t="s">
        <v>3</v>
      </c>
      <c r="B3" s="103">
        <v>175.36</v>
      </c>
      <c r="C3" s="22">
        <f>B3/$B$8</f>
        <v>5.8291477331276827E-2</v>
      </c>
      <c r="D3" s="85">
        <v>0.02</v>
      </c>
      <c r="E3" s="86">
        <f>D3-C3</f>
        <v>-3.829147733127683E-2</v>
      </c>
      <c r="F3" s="12" t="s">
        <v>49</v>
      </c>
      <c r="G3" t="s">
        <v>50</v>
      </c>
      <c r="AG3" s="51" t="s">
        <v>128</v>
      </c>
      <c r="AH3" s="51" t="s">
        <v>134</v>
      </c>
    </row>
    <row r="4" spans="1:57" x14ac:dyDescent="0.3">
      <c r="A4" s="12" t="s">
        <v>4</v>
      </c>
      <c r="B4" s="103">
        <v>249.32</v>
      </c>
      <c r="C4" s="22">
        <f>B4/$B$8</f>
        <v>8.2876546123596809E-2</v>
      </c>
      <c r="D4" s="85">
        <v>7.0000000000000007E-2</v>
      </c>
      <c r="E4" s="86">
        <f>D4-C4</f>
        <v>-1.2876546123596802E-2</v>
      </c>
      <c r="F4" s="12" t="s">
        <v>49</v>
      </c>
      <c r="G4" t="s">
        <v>55</v>
      </c>
      <c r="AG4" s="51" t="s">
        <v>129</v>
      </c>
      <c r="AH4" s="51" t="s">
        <v>132</v>
      </c>
    </row>
    <row r="5" spans="1:57" x14ac:dyDescent="0.3">
      <c r="A5" s="12" t="s">
        <v>5</v>
      </c>
      <c r="B5" s="103">
        <v>1402.65</v>
      </c>
      <c r="C5" s="22">
        <f>B5/$B$8</f>
        <v>0.46625536427187181</v>
      </c>
      <c r="D5" s="85">
        <v>0.48</v>
      </c>
      <c r="E5" s="86">
        <f>D5-C5</f>
        <v>1.3744635728128174E-2</v>
      </c>
      <c r="F5" s="12"/>
      <c r="AG5" s="51" t="s">
        <v>130</v>
      </c>
      <c r="AH5" s="51" t="s">
        <v>133</v>
      </c>
    </row>
    <row r="6" spans="1:57" x14ac:dyDescent="0.3">
      <c r="A6" s="12" t="s">
        <v>6</v>
      </c>
      <c r="B6" s="103">
        <v>728.96</v>
      </c>
      <c r="C6" s="22">
        <f>B6/$B$8</f>
        <v>0.2423138418989938</v>
      </c>
      <c r="D6" s="85">
        <v>0.28000000000000003</v>
      </c>
      <c r="E6" s="86">
        <f>D6-C6</f>
        <v>3.7686158101006229E-2</v>
      </c>
      <c r="F6" s="12"/>
      <c r="I6" s="12"/>
      <c r="J6" s="12" t="s">
        <v>54</v>
      </c>
      <c r="K6" s="12"/>
      <c r="AG6" s="51" t="s">
        <v>155</v>
      </c>
      <c r="AH6" s="51" t="s">
        <v>157</v>
      </c>
    </row>
    <row r="7" spans="1:57" x14ac:dyDescent="0.3">
      <c r="A7" s="12" t="s">
        <v>7</v>
      </c>
      <c r="B7" s="103">
        <v>452.04</v>
      </c>
      <c r="C7" s="22">
        <f>B7/$B$8</f>
        <v>0.15026277037426081</v>
      </c>
      <c r="D7" s="85">
        <v>0.15</v>
      </c>
      <c r="E7" s="86">
        <f>D7-C7</f>
        <v>-2.6277037426081229E-4</v>
      </c>
      <c r="F7" s="12"/>
      <c r="I7" s="12"/>
      <c r="J7" s="12">
        <v>21292</v>
      </c>
      <c r="K7" s="12"/>
      <c r="AG7" s="51" t="s">
        <v>156</v>
      </c>
      <c r="AH7" s="51" t="s">
        <v>158</v>
      </c>
    </row>
    <row r="8" spans="1:57" x14ac:dyDescent="0.3">
      <c r="A8" s="12"/>
      <c r="B8" s="103">
        <f>SUM(B3:B7)</f>
        <v>3008.33</v>
      </c>
      <c r="C8" s="61">
        <f>SUM(C3:C7)</f>
        <v>1</v>
      </c>
      <c r="D8" s="12"/>
      <c r="E8" s="12" t="s">
        <v>16</v>
      </c>
      <c r="F8" s="12">
        <v>184382.41</v>
      </c>
      <c r="I8" s="12" t="s">
        <v>60</v>
      </c>
      <c r="J8" s="12" t="s">
        <v>54</v>
      </c>
      <c r="K8" s="12" t="s">
        <v>59</v>
      </c>
      <c r="AG8" s="51" t="s">
        <v>210</v>
      </c>
      <c r="AH8" s="51" t="s">
        <v>215</v>
      </c>
    </row>
    <row r="9" spans="1:57" x14ac:dyDescent="0.3">
      <c r="A9" s="12"/>
      <c r="B9" s="87">
        <f>B8/0.09</f>
        <v>33425.888888888891</v>
      </c>
      <c r="C9" s="12" t="s">
        <v>48</v>
      </c>
      <c r="D9" s="12"/>
      <c r="E9" s="12" t="s">
        <v>51</v>
      </c>
      <c r="F9" s="88">
        <f>B8/F8</f>
        <v>1.6315710376060274E-2</v>
      </c>
      <c r="I9" s="12">
        <v>11470</v>
      </c>
      <c r="J9" s="12">
        <v>19498</v>
      </c>
      <c r="K9" s="89">
        <f>(J7-J9)/J7</f>
        <v>8.4256997933496156E-2</v>
      </c>
      <c r="AG9" s="51" t="s">
        <v>211</v>
      </c>
      <c r="AH9" s="51" t="s">
        <v>216</v>
      </c>
    </row>
    <row r="10" spans="1:57" x14ac:dyDescent="0.3">
      <c r="A10" s="130" t="s">
        <v>417</v>
      </c>
      <c r="B10" s="131">
        <v>43418</v>
      </c>
      <c r="F10" s="46"/>
      <c r="I10" s="89">
        <f>I9/(I9+J9)</f>
        <v>0.37038233014724875</v>
      </c>
      <c r="J10" s="89">
        <f>J9/(J9+I9)</f>
        <v>0.62961766985275125</v>
      </c>
      <c r="K10" s="12"/>
      <c r="AG10" s="51" t="s">
        <v>212</v>
      </c>
      <c r="AH10" s="51" t="s">
        <v>217</v>
      </c>
    </row>
    <row r="11" spans="1:57" x14ac:dyDescent="0.3">
      <c r="B11" s="18"/>
      <c r="F11" s="46"/>
      <c r="I11" s="45"/>
      <c r="J11" s="45"/>
      <c r="AG11" s="51" t="s">
        <v>213</v>
      </c>
      <c r="AH11" s="51" t="s">
        <v>218</v>
      </c>
    </row>
    <row r="12" spans="1:57" x14ac:dyDescent="0.3">
      <c r="A12" s="361" t="s">
        <v>449</v>
      </c>
      <c r="B12" s="361"/>
      <c r="C12" s="361"/>
      <c r="D12" s="361"/>
      <c r="E12" s="361"/>
      <c r="F12" s="361"/>
      <c r="G12" s="361"/>
      <c r="H12" s="361"/>
      <c r="I12" s="361"/>
      <c r="J12" s="361"/>
      <c r="K12" s="361"/>
      <c r="L12" s="361" t="s">
        <v>52</v>
      </c>
      <c r="M12" s="361"/>
      <c r="N12" s="361"/>
      <c r="O12" s="361"/>
      <c r="P12" s="361"/>
      <c r="R12" s="47" t="s">
        <v>449</v>
      </c>
      <c r="S12" s="47" t="s">
        <v>41</v>
      </c>
      <c r="T12" s="47"/>
      <c r="U12" s="47"/>
      <c r="V12" s="47"/>
      <c r="W12" s="47"/>
      <c r="X12" s="47"/>
      <c r="Y12" s="47"/>
      <c r="Z12" s="47"/>
      <c r="AA12" s="47"/>
      <c r="AB12" s="47" t="s">
        <v>63</v>
      </c>
      <c r="AC12" s="47"/>
      <c r="AD12" s="47"/>
      <c r="AE12" s="47"/>
      <c r="AF12" s="47"/>
      <c r="AG12" s="51" t="s">
        <v>214</v>
      </c>
      <c r="AH12" s="51" t="s">
        <v>219</v>
      </c>
      <c r="AW12" s="66"/>
      <c r="AX12" s="77" t="s">
        <v>328</v>
      </c>
      <c r="AY12" s="77" t="s">
        <v>331</v>
      </c>
      <c r="AZ12" s="77" t="s">
        <v>329</v>
      </c>
      <c r="BA12" s="77" t="s">
        <v>330</v>
      </c>
      <c r="BB12" s="77" t="s">
        <v>332</v>
      </c>
      <c r="BC12" s="77" t="s">
        <v>333</v>
      </c>
      <c r="BD12" s="77" t="s">
        <v>372</v>
      </c>
      <c r="BE12" s="13"/>
    </row>
    <row r="13" spans="1:57" x14ac:dyDescent="0.3">
      <c r="A13" t="s">
        <v>320</v>
      </c>
      <c r="B13" t="s">
        <v>21</v>
      </c>
      <c r="I13" s="1" t="s">
        <v>58</v>
      </c>
      <c r="AG13" s="51" t="s">
        <v>324</v>
      </c>
      <c r="AH13" s="51" t="s">
        <v>326</v>
      </c>
      <c r="AW13" s="51" t="s">
        <v>131</v>
      </c>
      <c r="AX13" s="80">
        <f>MIN($AE$16:$AE$20)</f>
        <v>0.94351063903734411</v>
      </c>
      <c r="AY13" s="80">
        <f>_xlfn.QUARTILE.EXC($AE$16:$AE$20,1)</f>
        <v>0.9437456808317044</v>
      </c>
      <c r="AZ13" s="80">
        <f>MEDIAN($AE$16:$AE$20)</f>
        <v>0.94555134868432522</v>
      </c>
      <c r="BA13" s="80">
        <f>AVERAGE($AE$16:$AE$20)</f>
        <v>0.94485110457549248</v>
      </c>
      <c r="BB13" s="80">
        <f>_xlfn.QUARTILE.EXC(AE16:AE20,3)</f>
        <v>0.94560640626486447</v>
      </c>
      <c r="BC13" s="80">
        <f>MAX(AE16:AE20)</f>
        <v>0.94564648576393595</v>
      </c>
      <c r="BD13" s="80">
        <f>(BB13-AY13)/AZ13</f>
        <v>1.9678734906878959E-3</v>
      </c>
      <c r="BE13" s="80"/>
    </row>
    <row r="14" spans="1:57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56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325</v>
      </c>
      <c r="AH14" s="51" t="s">
        <v>327</v>
      </c>
      <c r="AW14" s="51" t="s">
        <v>134</v>
      </c>
      <c r="AX14" s="80">
        <f>MIN($AE$16:$AE$25)</f>
        <v>0.94249864946583795</v>
      </c>
      <c r="AY14" s="80">
        <f>_xlfn.QUARTILE.EXC($AE$16:$AE$25,1)</f>
        <v>0.9438158388089205</v>
      </c>
      <c r="AZ14" s="80">
        <f>MEDIAN($AE$16:$AE$25)</f>
        <v>0.94440531981467291</v>
      </c>
      <c r="BA14" s="80">
        <f>AVERAGE($AE$16:$AE$25)</f>
        <v>0.9444057443730991</v>
      </c>
      <c r="BB14" s="80">
        <f>_xlfn.QUARTILE.EXC($AE$16:$AE$25,3)</f>
        <v>0.94555509320469211</v>
      </c>
      <c r="BC14" s="80">
        <f>MAX($AE$16:$AE$25)</f>
        <v>0.94564648576393595</v>
      </c>
      <c r="BD14" s="80">
        <f t="shared" ref="BD14:BD23" si="0">(BB14-AY14)/AZ14</f>
        <v>1.84163976978964E-3</v>
      </c>
      <c r="BE14" s="80"/>
    </row>
    <row r="15" spans="1:57" x14ac:dyDescent="0.3">
      <c r="A15" t="s">
        <v>3</v>
      </c>
      <c r="B15" s="13">
        <v>0</v>
      </c>
      <c r="C15" s="26">
        <v>169</v>
      </c>
      <c r="D15" s="3">
        <v>0</v>
      </c>
      <c r="E15" s="3">
        <v>0</v>
      </c>
      <c r="F15" s="3">
        <v>0</v>
      </c>
      <c r="G15" s="4">
        <v>0</v>
      </c>
      <c r="H15" s="1">
        <f>SUM(C15:G15)</f>
        <v>169</v>
      </c>
      <c r="I15" s="10">
        <f>C15/H15</f>
        <v>1</v>
      </c>
      <c r="J15" s="11">
        <f>1-I15</f>
        <v>0</v>
      </c>
      <c r="K15">
        <f>H15-C20</f>
        <v>0</v>
      </c>
      <c r="N15" s="10">
        <f>2*(C21*I15)/(C21+I15)</f>
        <v>1</v>
      </c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77</v>
      </c>
      <c r="AF15" s="12" t="s">
        <v>29</v>
      </c>
      <c r="AH15" t="s">
        <v>125</v>
      </c>
      <c r="AI15" t="s">
        <v>126</v>
      </c>
      <c r="AW15" s="51" t="s">
        <v>132</v>
      </c>
      <c r="AX15" s="80">
        <f>MIN($AE$16:$AE$35)</f>
        <v>0.94197711594378153</v>
      </c>
      <c r="AY15" s="80">
        <f>_xlfn.QUARTILE.EXC($AE$16:$AE$35,1)</f>
        <v>0.94358214482031355</v>
      </c>
      <c r="AZ15" s="126">
        <f>MEDIAN($AE$16:$AE$35)</f>
        <v>0.94426350101159851</v>
      </c>
      <c r="BA15" s="126">
        <f>AVERAGE($AE$16:$AE$35)</f>
        <v>0.94417069732473835</v>
      </c>
      <c r="BB15" s="80">
        <f>_xlfn.QUARTILE.EXC($AE$16:$AE$35,3)</f>
        <v>0.94522802107489645</v>
      </c>
      <c r="BC15" s="80">
        <f>MAX($AE$16:$AE$35)</f>
        <v>0.94564648576393595</v>
      </c>
      <c r="BD15" s="80">
        <f t="shared" si="0"/>
        <v>1.7430264463464467E-3</v>
      </c>
      <c r="BE15" s="80"/>
    </row>
    <row r="16" spans="1:57" x14ac:dyDescent="0.3">
      <c r="A16" t="s">
        <v>4</v>
      </c>
      <c r="B16" s="13">
        <v>1</v>
      </c>
      <c r="C16" s="5">
        <v>0</v>
      </c>
      <c r="D16" s="27">
        <v>305</v>
      </c>
      <c r="E16" s="1">
        <v>32</v>
      </c>
      <c r="F16" s="1">
        <v>0</v>
      </c>
      <c r="G16" s="6">
        <v>2</v>
      </c>
      <c r="H16" s="1">
        <f>SUM(C16:G16)</f>
        <v>339</v>
      </c>
      <c r="I16" s="10">
        <f>D16/H16</f>
        <v>0.89970501474926257</v>
      </c>
      <c r="J16" s="11">
        <f>1-I16</f>
        <v>0.10029498525073743</v>
      </c>
      <c r="K16">
        <f>H16-D20</f>
        <v>-108</v>
      </c>
      <c r="N16" s="10">
        <f>2*(D21*I16)/(D21+I16)</f>
        <v>0.77608142493638677</v>
      </c>
      <c r="R16" t="s">
        <v>70</v>
      </c>
      <c r="S16" t="s">
        <v>28</v>
      </c>
      <c r="T16" s="57">
        <f t="shared" ref="T16:X19" si="1">C31</f>
        <v>1.4151033447719741</v>
      </c>
      <c r="U16" s="57">
        <f t="shared" si="1"/>
        <v>4.7943113219651234</v>
      </c>
      <c r="V16" s="57">
        <f t="shared" si="1"/>
        <v>58.184992194764348</v>
      </c>
      <c r="W16" s="57">
        <f t="shared" si="1"/>
        <v>25.9391145184231</v>
      </c>
      <c r="X16" s="57">
        <f t="shared" si="1"/>
        <v>9.666478620075452</v>
      </c>
      <c r="AC16" t="s">
        <v>70</v>
      </c>
      <c r="AD16" s="51">
        <f>I21</f>
        <v>0.94786399302528335</v>
      </c>
      <c r="AE16" s="55">
        <f>I32</f>
        <v>0.94351063903734411</v>
      </c>
      <c r="AF16" s="55">
        <f>J32</f>
        <v>2.2101458109296339E-3</v>
      </c>
      <c r="AH16">
        <v>21</v>
      </c>
      <c r="AI16">
        <v>32</v>
      </c>
      <c r="AW16" s="51" t="s">
        <v>133</v>
      </c>
      <c r="AX16" s="80">
        <f>MIN($AE$16:$AE$45)</f>
        <v>0.94197711594378153</v>
      </c>
      <c r="AY16" s="80">
        <f>_xlfn.QUARTILE.EXC($AE$16:$AE$45,1)</f>
        <v>0.94358214482031355</v>
      </c>
      <c r="AZ16" s="80">
        <f>MEDIAN($AE$16:$AE$45)</f>
        <v>0.94426350101159851</v>
      </c>
      <c r="BA16" s="80">
        <f>AVERAGE($AE$16:$AE$45)</f>
        <v>0.94417069732473835</v>
      </c>
      <c r="BB16" s="80">
        <f>_xlfn.QUARTILE.EXC($AE$16:$AE$45,3)</f>
        <v>0.94522802107489645</v>
      </c>
      <c r="BC16" s="80">
        <f>MAX($AE$16:$AE$45)</f>
        <v>0.94564648576393595</v>
      </c>
      <c r="BD16" s="80">
        <f t="shared" si="0"/>
        <v>1.7430264463464467E-3</v>
      </c>
      <c r="BE16" s="80"/>
    </row>
    <row r="17" spans="1:57" x14ac:dyDescent="0.3">
      <c r="A17" t="s">
        <v>5</v>
      </c>
      <c r="B17" s="13">
        <v>2</v>
      </c>
      <c r="C17" s="5">
        <v>0</v>
      </c>
      <c r="D17" s="1">
        <v>140</v>
      </c>
      <c r="E17" s="27">
        <v>7156</v>
      </c>
      <c r="F17" s="1">
        <v>87</v>
      </c>
      <c r="G17" s="6">
        <v>16</v>
      </c>
      <c r="H17" s="1">
        <f>SUM(C17:G17)</f>
        <v>7399</v>
      </c>
      <c r="I17" s="10">
        <f>E17/H17</f>
        <v>0.96715772401675904</v>
      </c>
      <c r="J17" s="11">
        <f>1-I17</f>
        <v>3.2842275983240965E-2</v>
      </c>
      <c r="K17">
        <f>H17-E20</f>
        <v>157</v>
      </c>
      <c r="N17" s="10">
        <f>2*(E21*I17)/(E21+I17)</f>
        <v>0.97752885731848915</v>
      </c>
      <c r="S17" s="66" t="s">
        <v>39</v>
      </c>
      <c r="T17" s="67">
        <f t="shared" si="1"/>
        <v>0</v>
      </c>
      <c r="U17" s="67">
        <f t="shared" si="1"/>
        <v>0.11562229408638684</v>
      </c>
      <c r="V17" s="67">
        <f t="shared" si="1"/>
        <v>0.15712630109114767</v>
      </c>
      <c r="W17" s="67">
        <f t="shared" si="1"/>
        <v>0.18156138507102645</v>
      </c>
      <c r="X17" s="67">
        <f t="shared" si="1"/>
        <v>0.16766573501335572</v>
      </c>
      <c r="AC17" t="s">
        <v>71</v>
      </c>
      <c r="AD17" s="51">
        <f>I50</f>
        <v>0.949433304272014</v>
      </c>
      <c r="AE17" s="55">
        <f>I61</f>
        <v>0.94564648576393595</v>
      </c>
      <c r="AF17" s="55">
        <f>J61</f>
        <v>2.1650824209556276E-3</v>
      </c>
      <c r="AH17">
        <v>50</v>
      </c>
      <c r="AI17">
        <v>61</v>
      </c>
      <c r="AW17" s="51" t="s">
        <v>157</v>
      </c>
      <c r="AX17" s="80">
        <f>MIN($AE$16:$AE$55)</f>
        <v>0.94197711594378153</v>
      </c>
      <c r="AY17" s="80">
        <f>_xlfn.QUARTILE.EXC($AE$16:$AE$55,1)</f>
        <v>0.94358214482031355</v>
      </c>
      <c r="AZ17" s="80">
        <f>MEDIAN($AE$16:$AE$55)</f>
        <v>0.94426350101159851</v>
      </c>
      <c r="BA17" s="80">
        <f>AVERAGE($AE$16:$AE$55)</f>
        <v>0.94417069732473835</v>
      </c>
      <c r="BB17" s="80">
        <f>_xlfn.QUARTILE.EXC($AE$16:$AE$55,3)</f>
        <v>0.94522802107489645</v>
      </c>
      <c r="BC17" s="80">
        <f>MAX($AE$16:$AE$55)</f>
        <v>0.94564648576393595</v>
      </c>
      <c r="BD17" s="80">
        <f t="shared" si="0"/>
        <v>1.7430264463464467E-3</v>
      </c>
      <c r="BE17" s="80"/>
    </row>
    <row r="18" spans="1:57" x14ac:dyDescent="0.3">
      <c r="A18" t="s">
        <v>6</v>
      </c>
      <c r="B18" s="13">
        <v>3</v>
      </c>
      <c r="C18" s="5">
        <v>0</v>
      </c>
      <c r="D18" s="1">
        <v>2</v>
      </c>
      <c r="E18" s="1">
        <v>29</v>
      </c>
      <c r="F18" s="27">
        <v>2461</v>
      </c>
      <c r="G18" s="6">
        <v>111</v>
      </c>
      <c r="H18" s="1">
        <f>SUM(C18:G18)</f>
        <v>2603</v>
      </c>
      <c r="I18" s="10">
        <f>F18/H18</f>
        <v>0.94544756050710721</v>
      </c>
      <c r="J18" s="11">
        <f>1-I18</f>
        <v>5.455243949289279E-2</v>
      </c>
      <c r="K18">
        <f>H18-F20</f>
        <v>-99</v>
      </c>
      <c r="N18" s="10">
        <f>2*(F21*I18)/(F21+I18)</f>
        <v>0.927803958529689</v>
      </c>
      <c r="S18" s="70" t="s">
        <v>30</v>
      </c>
      <c r="T18" s="64">
        <f t="shared" si="1"/>
        <v>100</v>
      </c>
      <c r="U18" s="64">
        <f t="shared" si="1"/>
        <v>76.237227645254279</v>
      </c>
      <c r="V18" s="64">
        <f t="shared" si="1"/>
        <v>98.398511946103724</v>
      </c>
      <c r="W18" s="64">
        <f t="shared" si="1"/>
        <v>90.892216199645532</v>
      </c>
      <c r="X18" s="64">
        <f t="shared" si="1"/>
        <v>87.426955674415225</v>
      </c>
      <c r="AC18" t="s">
        <v>72</v>
      </c>
      <c r="AD18" s="51">
        <f>I79</f>
        <v>0.94969485614646909</v>
      </c>
      <c r="AE18" s="55">
        <f>I90</f>
        <v>0.945566326765793</v>
      </c>
      <c r="AF18" s="55">
        <f>J90</f>
        <v>2.1717031517142537E-3</v>
      </c>
      <c r="AH18">
        <v>79</v>
      </c>
      <c r="AI18">
        <v>90</v>
      </c>
      <c r="AW18" s="51" t="s">
        <v>158</v>
      </c>
      <c r="AX18" s="80">
        <f>MIN($AE$16:$AE$65)</f>
        <v>0.94197711594378153</v>
      </c>
      <c r="AY18" s="80">
        <f>_xlfn.QUARTILE.EXC($AE$16:$AE$65,1)</f>
        <v>0.94358214482031355</v>
      </c>
      <c r="AZ18" s="80">
        <f>MEDIAN($AE$16:$AE$65)</f>
        <v>0.94426350101159851</v>
      </c>
      <c r="BA18" s="80">
        <f>AVERAGE($AE$16:$AE$65)</f>
        <v>0.94417069732473835</v>
      </c>
      <c r="BB18" s="80">
        <f>_xlfn.QUARTILE.EXC($AE$16:$AE$65,3)</f>
        <v>0.94522802107489645</v>
      </c>
      <c r="BC18" s="80">
        <f>MAX($AE$16:$AE$65)</f>
        <v>0.94564648576393595</v>
      </c>
      <c r="BD18" s="80">
        <f t="shared" si="0"/>
        <v>1.7430264463464467E-3</v>
      </c>
      <c r="BE18" s="80"/>
    </row>
    <row r="19" spans="1:57" x14ac:dyDescent="0.3">
      <c r="A19" t="s">
        <v>7</v>
      </c>
      <c r="B19" s="13">
        <v>4</v>
      </c>
      <c r="C19" s="7">
        <v>0</v>
      </c>
      <c r="D19" s="8">
        <v>0</v>
      </c>
      <c r="E19" s="8">
        <v>25</v>
      </c>
      <c r="F19" s="8">
        <v>154</v>
      </c>
      <c r="G19" s="28">
        <v>781</v>
      </c>
      <c r="H19" s="1">
        <f>SUM(C19:G19)</f>
        <v>960</v>
      </c>
      <c r="I19" s="10">
        <f>G19/H19</f>
        <v>0.81354166666666672</v>
      </c>
      <c r="J19" s="11">
        <f>1-I19</f>
        <v>0.18645833333333328</v>
      </c>
      <c r="K19">
        <f>H19-G20</f>
        <v>50</v>
      </c>
      <c r="N19" s="10">
        <f>2*(G21*I19)/(G21+I19)</f>
        <v>0.83529411764705885</v>
      </c>
      <c r="S19" s="66" t="s">
        <v>39</v>
      </c>
      <c r="T19" s="67">
        <f t="shared" si="1"/>
        <v>0</v>
      </c>
      <c r="U19" s="67">
        <f t="shared" si="1"/>
        <v>3.6185546468995224</v>
      </c>
      <c r="V19" s="67">
        <f t="shared" si="1"/>
        <v>0.16961623471775161</v>
      </c>
      <c r="W19" s="67">
        <f t="shared" si="1"/>
        <v>0.63689316761834036</v>
      </c>
      <c r="X19" s="67">
        <f t="shared" si="1"/>
        <v>1.9475253806881494</v>
      </c>
      <c r="AC19" t="s">
        <v>73</v>
      </c>
      <c r="AD19" s="51">
        <f>I108</f>
        <v>0.95004359197907584</v>
      </c>
      <c r="AE19" s="73">
        <f>I119</f>
        <v>0.94555134868432522</v>
      </c>
      <c r="AF19" s="73">
        <f>J119</f>
        <v>2.1818303556887793E-3</v>
      </c>
      <c r="AH19">
        <v>108</v>
      </c>
      <c r="AI19">
        <v>119</v>
      </c>
      <c r="AW19" s="51" t="s">
        <v>215</v>
      </c>
      <c r="AX19" s="80">
        <f>MIN($AE$16:$AE$75)</f>
        <v>0.94197711594378153</v>
      </c>
      <c r="AY19" s="80">
        <f>_xlfn.QUARTILE.EXC($AE$16:$AE$75,1)</f>
        <v>0.94358214482031355</v>
      </c>
      <c r="AZ19" s="80">
        <f>MEDIAN($AE$16:$AE$75)</f>
        <v>0.94426350101159851</v>
      </c>
      <c r="BA19" s="80">
        <f>AVERAGE($AE$16:$AE$75)</f>
        <v>0.94417069732473835</v>
      </c>
      <c r="BB19" s="80">
        <f>_xlfn.QUARTILE.EXC($AE$16:$AE$75,3)</f>
        <v>0.94522802107489645</v>
      </c>
      <c r="BC19" s="80">
        <f>MAX($AE$16:$AE$75)</f>
        <v>0.94564648576393595</v>
      </c>
      <c r="BD19" s="80">
        <f t="shared" si="0"/>
        <v>1.7430264463464467E-3</v>
      </c>
      <c r="BE19" s="80"/>
    </row>
    <row r="20" spans="1:57" ht="15.6" x14ac:dyDescent="0.35">
      <c r="B20" s="1" t="s">
        <v>19</v>
      </c>
      <c r="C20" s="1">
        <f>SUM(C15:C19)</f>
        <v>169</v>
      </c>
      <c r="D20" s="1">
        <f>SUM(D15:D19)</f>
        <v>447</v>
      </c>
      <c r="E20" s="1">
        <f>SUM(E15:E19)</f>
        <v>7242</v>
      </c>
      <c r="F20" s="1">
        <f>SUM(F15:F19)</f>
        <v>2702</v>
      </c>
      <c r="G20" s="1">
        <f>SUM(G15:G19)</f>
        <v>910</v>
      </c>
      <c r="H20" s="1">
        <f>SUM(H14:H19)</f>
        <v>11470</v>
      </c>
      <c r="I20" s="13" t="s">
        <v>12</v>
      </c>
      <c r="N20" s="16"/>
      <c r="S20" s="70" t="s">
        <v>31</v>
      </c>
      <c r="T20" s="64">
        <f>I26</f>
        <v>100</v>
      </c>
      <c r="U20" s="64">
        <f>I27</f>
        <v>89.970501474926252</v>
      </c>
      <c r="V20" s="64">
        <f>I28</f>
        <v>96.715772401675892</v>
      </c>
      <c r="W20" s="64">
        <f>I29</f>
        <v>94.544756050710717</v>
      </c>
      <c r="X20" s="64">
        <f>I30</f>
        <v>81.354166666666657</v>
      </c>
      <c r="AC20" t="s">
        <v>76</v>
      </c>
      <c r="AD20" s="51">
        <f>I137</f>
        <v>0.9484742807323453</v>
      </c>
      <c r="AE20" s="73">
        <f>I148</f>
        <v>0.94398072262606481</v>
      </c>
      <c r="AF20" s="73">
        <f>J148</f>
        <v>2.20682360251339E-3</v>
      </c>
      <c r="AH20">
        <v>137</v>
      </c>
      <c r="AI20">
        <v>148</v>
      </c>
      <c r="AW20" s="51" t="s">
        <v>216</v>
      </c>
      <c r="AX20" s="80">
        <f>MIN($AE$16:$AE$85)</f>
        <v>0.94197711594378153</v>
      </c>
      <c r="AY20" s="80">
        <f>_xlfn.QUARTILE.EXC($AE$16:$AE$85,1)</f>
        <v>0.94358214482031355</v>
      </c>
      <c r="AZ20" s="80">
        <f>MEDIAN($AE$16:$AE$85)</f>
        <v>0.94426350101159851</v>
      </c>
      <c r="BA20" s="80">
        <f>AVERAGE($AE$16:$AE$85)</f>
        <v>0.94417069732473835</v>
      </c>
      <c r="BB20" s="80">
        <f>_xlfn.QUARTILE.EXC($AE$16:$AE$85,3)</f>
        <v>0.94522802107489645</v>
      </c>
      <c r="BC20" s="80">
        <f>MAX($AE$16:$AE$85)</f>
        <v>0.94564648576393595</v>
      </c>
      <c r="BD20" s="80">
        <f t="shared" si="0"/>
        <v>1.7430264463464467E-3</v>
      </c>
      <c r="BE20" s="80"/>
    </row>
    <row r="21" spans="1:57" x14ac:dyDescent="0.3">
      <c r="A21" s="1" t="s">
        <v>321</v>
      </c>
      <c r="B21" s="1" t="s">
        <v>2</v>
      </c>
      <c r="C21" s="10">
        <f>C15/C20</f>
        <v>1</v>
      </c>
      <c r="D21" s="10">
        <f>D16/D20</f>
        <v>0.68232662192393734</v>
      </c>
      <c r="E21" s="10">
        <f>E17/E20</f>
        <v>0.98812482739574703</v>
      </c>
      <c r="F21" s="10">
        <f>F18/F20</f>
        <v>0.91080680977054029</v>
      </c>
      <c r="G21" s="10">
        <f>G19/G20</f>
        <v>0.85824175824175819</v>
      </c>
      <c r="H21" s="10"/>
      <c r="I21" s="14">
        <f>(C15+D16+E17+F18+G19)/H20</f>
        <v>0.94786399302528335</v>
      </c>
      <c r="S21" s="66" t="s">
        <v>39</v>
      </c>
      <c r="T21" s="67">
        <f>J26</f>
        <v>0</v>
      </c>
      <c r="U21" s="67">
        <f>J27</f>
        <v>1.6339220356155837</v>
      </c>
      <c r="V21" s="67">
        <f>J28</f>
        <v>0.2072087600723452</v>
      </c>
      <c r="W21" s="67">
        <f>J29</f>
        <v>0.44521743661467927</v>
      </c>
      <c r="X21" s="67">
        <f>J30</f>
        <v>1.2576838837515047</v>
      </c>
      <c r="AC21" t="s">
        <v>98</v>
      </c>
      <c r="AD21" s="51">
        <f>I166</f>
        <v>0.9472537053182214</v>
      </c>
      <c r="AE21" s="55">
        <f>I177</f>
        <v>0.94249864946583795</v>
      </c>
      <c r="AF21" s="55">
        <f>J177</f>
        <v>2.2302060031430633E-3</v>
      </c>
      <c r="AH21">
        <v>166</v>
      </c>
      <c r="AI21">
        <v>177</v>
      </c>
      <c r="AW21" s="51" t="s">
        <v>217</v>
      </c>
      <c r="AX21" s="80">
        <f>MIN($AE$16:$AE$95)</f>
        <v>0.94197711594378153</v>
      </c>
      <c r="AY21" s="80">
        <f>_xlfn.QUARTILE.EXC($AE$16:$AE$95,1)</f>
        <v>0.94358214482031355</v>
      </c>
      <c r="AZ21" s="80">
        <f>MEDIAN($AE$16:$AE$95)</f>
        <v>0.94426350101159851</v>
      </c>
      <c r="BA21" s="80">
        <f>AVERAGE($AE$16:$AE$95)</f>
        <v>0.94417069732473835</v>
      </c>
      <c r="BB21" s="80">
        <f>_xlfn.QUARTILE.EXC($AE$16:$AE$95,3)</f>
        <v>0.94522802107489645</v>
      </c>
      <c r="BC21" s="80">
        <f>MAX($AE$16:$AE$95)</f>
        <v>0.94564648576393595</v>
      </c>
      <c r="BD21" s="80">
        <f t="shared" si="0"/>
        <v>1.7430264463464467E-3</v>
      </c>
      <c r="BE21" s="80"/>
    </row>
    <row r="22" spans="1:57" x14ac:dyDescent="0.3">
      <c r="B22" s="1" t="s">
        <v>14</v>
      </c>
      <c r="C22" s="11">
        <f>1-C21</f>
        <v>0</v>
      </c>
      <c r="D22" s="11">
        <f>1-D21</f>
        <v>0.31767337807606266</v>
      </c>
      <c r="E22" s="11">
        <f>1-E21</f>
        <v>1.187517260425297E-2</v>
      </c>
      <c r="F22" s="11">
        <f>1-F21</f>
        <v>8.9193190229459707E-2</v>
      </c>
      <c r="G22" s="11">
        <f>1-G21</f>
        <v>0.14175824175824181</v>
      </c>
      <c r="S22" s="68" t="s">
        <v>56</v>
      </c>
      <c r="T22" s="65">
        <f>N15*100</f>
        <v>100</v>
      </c>
      <c r="U22" s="65">
        <f>N16*100</f>
        <v>77.608142493638681</v>
      </c>
      <c r="V22" s="65">
        <f>N17*100</f>
        <v>97.75288573184892</v>
      </c>
      <c r="W22" s="65">
        <f>N18*100</f>
        <v>92.780395852968894</v>
      </c>
      <c r="X22" s="65">
        <f>N19*100</f>
        <v>83.529411764705884</v>
      </c>
      <c r="Y22" s="46"/>
      <c r="Z22" s="46"/>
      <c r="AA22" s="46"/>
      <c r="AC22" t="s">
        <v>99</v>
      </c>
      <c r="AD22" s="51">
        <f>I195</f>
        <v>0.94803836094158678</v>
      </c>
      <c r="AE22" s="55">
        <f>I206</f>
        <v>0.9439175720661126</v>
      </c>
      <c r="AF22" s="55">
        <f>J206</f>
        <v>2.1951808855144661E-3</v>
      </c>
      <c r="AH22">
        <v>195</v>
      </c>
      <c r="AI22">
        <v>206</v>
      </c>
      <c r="AW22" s="51" t="s">
        <v>218</v>
      </c>
      <c r="AX22" s="80">
        <f>MIN($AE$16:$AE$105)</f>
        <v>0.94197711594378153</v>
      </c>
      <c r="AY22" s="80">
        <f>_xlfn.QUARTILE.EXC($AE$16:$AE$105,1)</f>
        <v>0.94358214482031355</v>
      </c>
      <c r="AZ22" s="80">
        <f>MEDIAN($AE$16:$AE$105)</f>
        <v>0.94426350101159851</v>
      </c>
      <c r="BA22" s="80">
        <f>AVERAGE($AE$16:$AE$105)</f>
        <v>0.94417069732473835</v>
      </c>
      <c r="BB22" s="80">
        <f>_xlfn.QUARTILE.EXC($AE$16:$AE$105,3)</f>
        <v>0.94522802107489645</v>
      </c>
      <c r="BC22" s="80">
        <f>MAX($AE$16:$AE$105)</f>
        <v>0.94564648576393595</v>
      </c>
      <c r="BD22" s="80">
        <f t="shared" si="0"/>
        <v>1.7430264463464467E-3</v>
      </c>
      <c r="BE22" s="80"/>
    </row>
    <row r="23" spans="1:57" x14ac:dyDescent="0.3">
      <c r="C23" s="2"/>
      <c r="R23" s="16" t="s">
        <v>66</v>
      </c>
      <c r="S23" t="s">
        <v>9</v>
      </c>
      <c r="T23" s="30">
        <f>N26</f>
        <v>2609.1799999999998</v>
      </c>
      <c r="U23" s="30">
        <f>N27</f>
        <v>7490.47</v>
      </c>
      <c r="V23" s="30">
        <f>N28</f>
        <v>109148.58</v>
      </c>
      <c r="W23" s="30">
        <f>N29</f>
        <v>45979.08</v>
      </c>
      <c r="X23" s="30">
        <f>N30</f>
        <v>19153.57</v>
      </c>
      <c r="Z23" t="s">
        <v>36</v>
      </c>
      <c r="AA23" s="1">
        <f>N31</f>
        <v>184380.88</v>
      </c>
      <c r="AC23" t="s">
        <v>100</v>
      </c>
      <c r="AD23" s="51">
        <f>I224</f>
        <v>0.94899738448125548</v>
      </c>
      <c r="AE23" s="55">
        <f>I235</f>
        <v>0.94457505969223265</v>
      </c>
      <c r="AF23" s="55">
        <f>J235</f>
        <v>2.202409535219644E-3</v>
      </c>
      <c r="AH23">
        <v>224</v>
      </c>
      <c r="AI23">
        <v>235</v>
      </c>
      <c r="AW23" s="51" t="s">
        <v>219</v>
      </c>
      <c r="AX23" s="80">
        <f>MIN($AE$16:$AE$115)</f>
        <v>0.94197711594378153</v>
      </c>
      <c r="AY23" s="80">
        <f>_xlfn.QUARTILE.EXC($AE$16:$AE$115,1)</f>
        <v>0.94358214482031355</v>
      </c>
      <c r="AZ23" s="126">
        <f>MEDIAN($AE$16:$AE$115)</f>
        <v>0.94426350101159851</v>
      </c>
      <c r="BA23" s="126">
        <f>AVERAGE($AE$16:$AE$115)</f>
        <v>0.94417069732473835</v>
      </c>
      <c r="BB23" s="80">
        <f>_xlfn.QUARTILE.EXC($AE$16:$AE$115,3)</f>
        <v>0.94522802107489645</v>
      </c>
      <c r="BC23" s="80">
        <f>MAX($AE$16:$AE$115)</f>
        <v>0.94564648576393595</v>
      </c>
      <c r="BD23" s="80">
        <f t="shared" si="0"/>
        <v>1.7430264463464467E-3</v>
      </c>
      <c r="BE23" s="80"/>
    </row>
    <row r="24" spans="1:57" ht="15.6" x14ac:dyDescent="0.35">
      <c r="A24" t="s">
        <v>322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323</v>
      </c>
      <c r="S24" t="s">
        <v>68</v>
      </c>
      <c r="T24" s="57">
        <f>$AA23*T16/100</f>
        <v>2609.1799999999998</v>
      </c>
      <c r="U24" s="57">
        <f>$AA23*U16/100</f>
        <v>8839.7934053789286</v>
      </c>
      <c r="V24" s="57">
        <f>$AA23*V16/100</f>
        <v>107282.00063663782</v>
      </c>
      <c r="W24" s="57">
        <f>$AA23*W16/100</f>
        <v>47826.767613276272</v>
      </c>
      <c r="X24" s="57">
        <f>$AA23*X16/100</f>
        <v>17823.138344706975</v>
      </c>
      <c r="Z24" t="s">
        <v>36</v>
      </c>
      <c r="AA24" s="25">
        <f>SUM(T24:X24)</f>
        <v>184380.88</v>
      </c>
      <c r="AC24" t="s">
        <v>101</v>
      </c>
      <c r="AD24" s="51">
        <f>I253</f>
        <v>0.94864864864864862</v>
      </c>
      <c r="AE24" s="55">
        <f>I264</f>
        <v>0.94434084708057719</v>
      </c>
      <c r="AF24" s="55">
        <f>J264</f>
        <v>2.2034610594506569E-3</v>
      </c>
      <c r="AH24">
        <v>253</v>
      </c>
      <c r="AI24">
        <v>264</v>
      </c>
      <c r="BE24" s="80"/>
    </row>
    <row r="25" spans="1:57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67</v>
      </c>
      <c r="T25" s="67">
        <f>$AA23*T17/100</f>
        <v>0</v>
      </c>
      <c r="U25" s="67">
        <f>$AA23*U17/100</f>
        <v>213.18540331266803</v>
      </c>
      <c r="V25" s="67">
        <f>$AA23*V17/100</f>
        <v>289.71085666330765</v>
      </c>
      <c r="W25" s="67">
        <f>$AA23*W17/100</f>
        <v>334.7644795341472</v>
      </c>
      <c r="X25" s="67">
        <f>$AA23*X17/100</f>
        <v>309.14355767609339</v>
      </c>
      <c r="AA25" s="1"/>
      <c r="AC25" t="s">
        <v>102</v>
      </c>
      <c r="AD25" s="51">
        <f>I282</f>
        <v>0.94838709677419353</v>
      </c>
      <c r="AE25" s="55">
        <f>I293</f>
        <v>0.94446979254876862</v>
      </c>
      <c r="AF25" s="55">
        <f>J293</f>
        <v>2.188873608182834E-3</v>
      </c>
      <c r="AH25">
        <v>282</v>
      </c>
      <c r="AI25">
        <v>293</v>
      </c>
      <c r="BE25" s="80"/>
    </row>
    <row r="26" spans="1:57" x14ac:dyDescent="0.3">
      <c r="A26" t="s">
        <v>3</v>
      </c>
      <c r="B26" s="13">
        <v>0</v>
      </c>
      <c r="C26" s="29">
        <f>(C15/$L26)*$O26</f>
        <v>1.4151033447719741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0</v>
      </c>
      <c r="G26" s="32">
        <f t="shared" si="2"/>
        <v>0</v>
      </c>
      <c r="H26" s="17">
        <f>SUM(C26:G26)</f>
        <v>1.4151033447719741</v>
      </c>
      <c r="I26" s="17">
        <f>C26/H26*100</f>
        <v>100</v>
      </c>
      <c r="J26" s="17">
        <f>SQRT(I26*(100-I26)/(L26-1))</f>
        <v>0</v>
      </c>
      <c r="K26" s="18">
        <f>100-I26</f>
        <v>0</v>
      </c>
      <c r="L26" s="1">
        <f>H15</f>
        <v>169</v>
      </c>
      <c r="M26">
        <v>0</v>
      </c>
      <c r="N26" s="1">
        <v>2609.1799999999998</v>
      </c>
      <c r="O26" s="17">
        <f>N26/N31*100</f>
        <v>1.4151033447719741</v>
      </c>
      <c r="P26" s="52">
        <f>((O26*O26*(I26/100)*(K26/100))/(L26-1))</f>
        <v>0</v>
      </c>
      <c r="R26" t="s">
        <v>71</v>
      </c>
      <c r="S26" s="70" t="s">
        <v>28</v>
      </c>
      <c r="T26" s="64">
        <f t="shared" ref="T26:X29" si="3">C60</f>
        <v>1.4213079697476207</v>
      </c>
      <c r="U26" s="64">
        <f t="shared" si="3"/>
        <v>4.9318533117170169</v>
      </c>
      <c r="V26" s="64">
        <f t="shared" si="3"/>
        <v>57.993808668412328</v>
      </c>
      <c r="W26" s="64">
        <f t="shared" si="3"/>
        <v>26.185213544034038</v>
      </c>
      <c r="X26" s="64">
        <f t="shared" si="3"/>
        <v>9.4678165060889938</v>
      </c>
      <c r="Y26" s="13"/>
      <c r="Z26" s="74"/>
      <c r="AA26" s="12"/>
      <c r="AC26" t="s">
        <v>103</v>
      </c>
      <c r="AD26" s="51">
        <f>I311</f>
        <v>0.94908456843940714</v>
      </c>
      <c r="AE26" s="55">
        <f>I322</f>
        <v>0.94464481385700483</v>
      </c>
      <c r="AF26" s="55">
        <f>J322</f>
        <v>2.192697888859839E-3</v>
      </c>
      <c r="AH26">
        <v>311</v>
      </c>
      <c r="AI26">
        <v>322</v>
      </c>
    </row>
    <row r="27" spans="1:57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3.6550500365487508</v>
      </c>
      <c r="E27" s="19">
        <f t="shared" si="2"/>
        <v>0.38348065957232796</v>
      </c>
      <c r="F27" s="18">
        <f t="shared" si="2"/>
        <v>0</v>
      </c>
      <c r="G27" s="20">
        <f t="shared" si="2"/>
        <v>2.3967541223270498E-2</v>
      </c>
      <c r="H27" s="17">
        <f>SUM(C27:G27)</f>
        <v>4.0624982373443492</v>
      </c>
      <c r="I27" s="17">
        <f>D27/H27*100</f>
        <v>89.970501474926252</v>
      </c>
      <c r="J27" s="17">
        <f>SQRT(I27*(100-I27)/(L27-1))</f>
        <v>1.6339220356155837</v>
      </c>
      <c r="K27" s="18">
        <f>100-I27</f>
        <v>10.029498525073748</v>
      </c>
      <c r="L27" s="1">
        <f>H16</f>
        <v>339</v>
      </c>
      <c r="M27">
        <v>1</v>
      </c>
      <c r="N27" s="1">
        <v>7490.47</v>
      </c>
      <c r="O27" s="17">
        <f>N27/N31*100</f>
        <v>4.0624982373443492</v>
      </c>
      <c r="P27" s="52">
        <f>((O27*O27*(I27/100)*(K27/100))/(L27-1))</f>
        <v>4.4060460390818795E-3</v>
      </c>
      <c r="S27" s="66" t="s">
        <v>39</v>
      </c>
      <c r="T27" s="67">
        <f t="shared" si="3"/>
        <v>0</v>
      </c>
      <c r="U27" s="67">
        <f t="shared" si="3"/>
        <v>0.11266820769759817</v>
      </c>
      <c r="V27" s="67">
        <f t="shared" si="3"/>
        <v>0.15366347798730837</v>
      </c>
      <c r="W27" s="67">
        <f t="shared" si="3"/>
        <v>0.17926840448096806</v>
      </c>
      <c r="X27" s="67">
        <f t="shared" si="3"/>
        <v>0.16284371363003494</v>
      </c>
      <c r="AC27" t="s">
        <v>104</v>
      </c>
      <c r="AD27" s="51">
        <f>I340</f>
        <v>0.94707933740191808</v>
      </c>
      <c r="AE27" s="55">
        <f>I351</f>
        <v>0.94251484095810245</v>
      </c>
      <c r="AF27" s="55">
        <f>J351</f>
        <v>2.2318100601156406E-3</v>
      </c>
      <c r="AH27">
        <v>340</v>
      </c>
      <c r="AI27">
        <v>351</v>
      </c>
    </row>
    <row r="28" spans="1:57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1.1201010773315623</v>
      </c>
      <c r="E28" s="34">
        <f t="shared" si="2"/>
        <v>57.253166495604717</v>
      </c>
      <c r="F28" s="19">
        <f t="shared" si="2"/>
        <v>0.6960628123417566</v>
      </c>
      <c r="G28" s="20">
        <f t="shared" si="2"/>
        <v>0.1280115516950357</v>
      </c>
      <c r="H28" s="17">
        <f>SUM(C28:G28)</f>
        <v>59.197341936973075</v>
      </c>
      <c r="I28" s="17">
        <f>E28/H28*100</f>
        <v>96.715772401675892</v>
      </c>
      <c r="J28" s="17">
        <f>SQRT(I28*(100-I28)/(L28-1))</f>
        <v>0.2072087600723452</v>
      </c>
      <c r="K28" s="18">
        <f>100-I28</f>
        <v>3.284227598324108</v>
      </c>
      <c r="L28" s="1">
        <f>H17</f>
        <v>7399</v>
      </c>
      <c r="M28">
        <v>2</v>
      </c>
      <c r="N28" s="1">
        <v>109148.58</v>
      </c>
      <c r="O28" s="17">
        <f>N28/N31*100</f>
        <v>59.197341936973068</v>
      </c>
      <c r="P28" s="52">
        <f>((O28*O28*(I28/100)*(K28/100))/(L28-1))</f>
        <v>1.5045985434080632E-2</v>
      </c>
      <c r="S28" t="s">
        <v>30</v>
      </c>
      <c r="T28" s="57">
        <f t="shared" si="3"/>
        <v>100</v>
      </c>
      <c r="U28" s="57">
        <f t="shared" si="3"/>
        <v>77.137803782631352</v>
      </c>
      <c r="V28" s="57">
        <f t="shared" si="3"/>
        <v>98.552435966491515</v>
      </c>
      <c r="W28" s="57">
        <f t="shared" si="3"/>
        <v>91.117740690537886</v>
      </c>
      <c r="X28" s="57">
        <f t="shared" si="3"/>
        <v>87.93295837608423</v>
      </c>
      <c r="AC28" t="s">
        <v>105</v>
      </c>
      <c r="AD28" s="51">
        <f>I369</f>
        <v>0.9482127288578901</v>
      </c>
      <c r="AE28" s="55">
        <f>I380</f>
        <v>0.94381155358953528</v>
      </c>
      <c r="AF28" s="55">
        <f>J380</f>
        <v>2.1965533860661348E-3</v>
      </c>
      <c r="AH28">
        <v>369</v>
      </c>
      <c r="AI28">
        <v>380</v>
      </c>
    </row>
    <row r="29" spans="1:57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1.9160208084810049E-2</v>
      </c>
      <c r="E29" s="19">
        <f t="shared" si="2"/>
        <v>0.27782301722974573</v>
      </c>
      <c r="F29" s="34">
        <f t="shared" si="2"/>
        <v>23.576636048358768</v>
      </c>
      <c r="G29" s="20">
        <f t="shared" si="2"/>
        <v>1.0633915487069578</v>
      </c>
      <c r="H29" s="17">
        <f>SUM(C29:G29)</f>
        <v>24.93701082238028</v>
      </c>
      <c r="I29" s="17">
        <f>F29/H29*100</f>
        <v>94.544756050710717</v>
      </c>
      <c r="J29" s="17">
        <f>SQRT(I29*(100-I29)/(L29-1))</f>
        <v>0.44521743661467927</v>
      </c>
      <c r="K29" s="18">
        <f>100-I29</f>
        <v>5.455243949289283</v>
      </c>
      <c r="L29" s="1">
        <f>H18</f>
        <v>2603</v>
      </c>
      <c r="M29">
        <v>3</v>
      </c>
      <c r="N29" s="1">
        <v>45979.08</v>
      </c>
      <c r="O29" s="17">
        <f>N29/N31*100</f>
        <v>24.93701082238028</v>
      </c>
      <c r="P29" s="52">
        <f>((O29*O29*(I29/100)*(K29/100))/(L29-1))</f>
        <v>1.2326310890266541E-2</v>
      </c>
      <c r="S29" s="66" t="s">
        <v>39</v>
      </c>
      <c r="T29" s="67">
        <f t="shared" si="3"/>
        <v>0</v>
      </c>
      <c r="U29" s="67">
        <f t="shared" si="3"/>
        <v>3.2325854252149879</v>
      </c>
      <c r="V29" s="67">
        <f t="shared" si="3"/>
        <v>0.16195508691224356</v>
      </c>
      <c r="W29" s="67">
        <f t="shared" si="3"/>
        <v>0.6181128715709886</v>
      </c>
      <c r="X29" s="67">
        <f t="shared" si="3"/>
        <v>1.8730135596041817</v>
      </c>
      <c r="AC29" t="s">
        <v>106</v>
      </c>
      <c r="AD29" s="51">
        <f>I398</f>
        <v>0.94760244115082826</v>
      </c>
      <c r="AE29" s="55">
        <f>I409</f>
        <v>0.9431576365888189</v>
      </c>
      <c r="AF29" s="55">
        <f>J409</f>
        <v>2.2175551749122864E-3</v>
      </c>
      <c r="AH29">
        <v>398</v>
      </c>
      <c r="AI29">
        <v>409</v>
      </c>
    </row>
    <row r="30" spans="1:57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0</v>
      </c>
      <c r="E30" s="21">
        <f t="shared" si="2"/>
        <v>0.27052202235756045</v>
      </c>
      <c r="F30" s="21">
        <f t="shared" si="2"/>
        <v>1.6664156577225724</v>
      </c>
      <c r="G30" s="37">
        <f t="shared" si="2"/>
        <v>8.4511079784501888</v>
      </c>
      <c r="H30" s="17">
        <f>SUM(C30:G30)</f>
        <v>10.388045658530322</v>
      </c>
      <c r="I30" s="17">
        <f>G30/H30*100</f>
        <v>81.354166666666657</v>
      </c>
      <c r="J30" s="17">
        <f>SQRT(I30*(100-I30)/(L30-1))</f>
        <v>1.2576838837515047</v>
      </c>
      <c r="K30" s="18">
        <f>100-I30</f>
        <v>18.645833333333343</v>
      </c>
      <c r="L30" s="1">
        <f>H19</f>
        <v>960</v>
      </c>
      <c r="M30">
        <v>4</v>
      </c>
      <c r="N30" s="1">
        <v>19153.57</v>
      </c>
      <c r="O30" s="17">
        <f>N30/N31*100</f>
        <v>10.38804565853032</v>
      </c>
      <c r="P30" s="52">
        <f>((O30*O30*(I30/100)*(K30/100))/(L30-1))</f>
        <v>1.7069102692269043E-2</v>
      </c>
      <c r="S30" t="s">
        <v>31</v>
      </c>
      <c r="T30" s="57">
        <f>I55</f>
        <v>100</v>
      </c>
      <c r="U30" s="57">
        <f>I56</f>
        <v>91.740412979351049</v>
      </c>
      <c r="V30" s="57">
        <f>I57</f>
        <v>96.742803081497513</v>
      </c>
      <c r="W30" s="57">
        <f>I58</f>
        <v>94.736842105263165</v>
      </c>
      <c r="X30" s="57">
        <f>I59</f>
        <v>81.874999999999986</v>
      </c>
      <c r="AC30" t="s">
        <v>107</v>
      </c>
      <c r="AD30" s="51">
        <f>I427</f>
        <v>0.94838709677419353</v>
      </c>
      <c r="AE30" s="55">
        <f>I438</f>
        <v>0.94418615494261982</v>
      </c>
      <c r="AF30" s="55">
        <f>J438</f>
        <v>2.2014229098473084E-3</v>
      </c>
      <c r="AH30">
        <v>427</v>
      </c>
      <c r="AI30">
        <v>438</v>
      </c>
    </row>
    <row r="31" spans="1:57" x14ac:dyDescent="0.3">
      <c r="B31" t="s">
        <v>28</v>
      </c>
      <c r="C31" s="17">
        <f>SUM(C26:C30)</f>
        <v>1.4151033447719741</v>
      </c>
      <c r="D31" s="17">
        <f>SUM(D26:D30)</f>
        <v>4.7943113219651234</v>
      </c>
      <c r="E31" s="17">
        <f>SUM(E26:E30)</f>
        <v>58.184992194764348</v>
      </c>
      <c r="F31" s="17">
        <f>SUM(F26:F30)</f>
        <v>25.9391145184231</v>
      </c>
      <c r="G31" s="17">
        <f>SUM(G26:G30)</f>
        <v>9.666478620075452</v>
      </c>
      <c r="H31" s="1">
        <f>SUM(H25:H30)</f>
        <v>99.999999999999986</v>
      </c>
      <c r="I31" s="13" t="s">
        <v>24</v>
      </c>
      <c r="J31" s="12" t="s">
        <v>29</v>
      </c>
      <c r="N31" s="1">
        <f>SUM(N26:N30)</f>
        <v>184380.88</v>
      </c>
      <c r="O31" s="17">
        <f>SUM(O26:O30)</f>
        <v>99.999999999999986</v>
      </c>
      <c r="S31" s="66" t="s">
        <v>39</v>
      </c>
      <c r="T31" s="67">
        <f>J55</f>
        <v>0</v>
      </c>
      <c r="U31" s="67">
        <f>J56</f>
        <v>1.4972735816949041</v>
      </c>
      <c r="V31" s="67">
        <f>J57</f>
        <v>0.2063831218449671</v>
      </c>
      <c r="W31" s="67">
        <f>J58</f>
        <v>0.43775287342217944</v>
      </c>
      <c r="X31" s="67">
        <f>J59</f>
        <v>1.2439569777371313</v>
      </c>
      <c r="AC31" t="s">
        <v>108</v>
      </c>
      <c r="AD31" s="51">
        <f>I456</f>
        <v>0.94803836094158678</v>
      </c>
      <c r="AE31" s="55">
        <f>I467</f>
        <v>0.94379666216922198</v>
      </c>
      <c r="AF31" s="55">
        <f>J467</f>
        <v>2.2146506529679634E-3</v>
      </c>
      <c r="AH31">
        <v>456</v>
      </c>
      <c r="AI31">
        <v>467</v>
      </c>
    </row>
    <row r="32" spans="1:57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0</v>
      </c>
      <c r="D32" s="18">
        <f>SQRT(SUM((O26*O26*(D26/O26)*(1-D26/O26))/L26,(O27*O27*(D27/O27)*(1-D27/O27))/L27,(O28*O28*(D28/O28)*(1-D28/O28))/L28,(O29*O29*(D29/O29)*(1-D29/O29))/L29,(O30*O30*(D30/O30)*(1-D30/O30))/L30))</f>
        <v>0.11562229408638684</v>
      </c>
      <c r="E32" s="18">
        <f>SQRT(SUM((O26*O26*(E26/O26)*(1-E26/O26))/L26,(O27*O27*(E27/O27)*(1-E27/O27))/L27,(O28*O28*(E28/O28)*(1-E28/O28))/L28,(O29*O29*(E29/O29)*(1-E29/O29))/L29,(O30*O30*(E30/O30)*(1-E30/O30))/L30))</f>
        <v>0.15712630109114767</v>
      </c>
      <c r="F32" s="18">
        <f>SQRT(SUM((O26*O26*(F26/O26)*(1-F26/O26))/L26,(O27*O27*(F27/O27)*(1-F27/O27))/L27,(O28*O28*(F28/O28)*(1-F28/O28))/L28,(O29*O29*(F29/O29)*(1-F29/O29))/L29,(O30*O30*(F30/O30)*(1-F30/O30))/L30))</f>
        <v>0.18156138507102645</v>
      </c>
      <c r="G32" s="18">
        <f>SQRT(SUM((O26*O26*(G26/O26)*(1-G26/O26))/L26,(O27*O27*(G27/O27)*(1-G27/O27))/L27,(O28*O28*(G28/O28)*(1-G28/O28))/L28,(O29*O29*(G29/O29)*(1-G29/O29))/L29,(O30*O30*(G30/O30)*(1-G30/O30))/L30))</f>
        <v>0.16766573501335572</v>
      </c>
      <c r="H32" s="1"/>
      <c r="I32" s="14">
        <f>(C26+D27+E28+F29+G30)/H31</f>
        <v>0.94351063903734411</v>
      </c>
      <c r="J32" s="53">
        <f>SQRT(SUM(P26:P30))/100</f>
        <v>2.2101458109296339E-3</v>
      </c>
      <c r="M32" s="1"/>
      <c r="N32" s="9"/>
      <c r="S32" s="66" t="s">
        <v>56</v>
      </c>
      <c r="T32" s="67">
        <f>N44*100</f>
        <v>100</v>
      </c>
      <c r="U32" s="67">
        <f>N45*100</f>
        <v>78.634639696586589</v>
      </c>
      <c r="V32" s="67">
        <f>N46*100</f>
        <v>97.820293816194052</v>
      </c>
      <c r="W32" s="67">
        <f>N47*100</f>
        <v>92.881355932203377</v>
      </c>
      <c r="X32" s="67">
        <f>N48*100</f>
        <v>84.244372990353696</v>
      </c>
      <c r="AC32" t="s">
        <v>109</v>
      </c>
      <c r="AD32" s="51">
        <f>I485</f>
        <v>0.9484742807323453</v>
      </c>
      <c r="AE32" s="55">
        <f>I496</f>
        <v>0.94440661824485916</v>
      </c>
      <c r="AF32" s="55">
        <f>J496</f>
        <v>2.1790256097836821E-3</v>
      </c>
      <c r="AH32">
        <v>485</v>
      </c>
      <c r="AI32">
        <v>496</v>
      </c>
    </row>
    <row r="33" spans="1:35" x14ac:dyDescent="0.3">
      <c r="B33" s="1" t="s">
        <v>30</v>
      </c>
      <c r="C33" s="17">
        <f>C26/C31*100</f>
        <v>100</v>
      </c>
      <c r="D33" s="17">
        <f>D27/D31*100</f>
        <v>76.237227645254279</v>
      </c>
      <c r="E33" s="17">
        <f>E28/E31*100</f>
        <v>98.398511946103724</v>
      </c>
      <c r="F33" s="17">
        <f>F29/F31*100</f>
        <v>90.892216199645532</v>
      </c>
      <c r="G33" s="17">
        <f>G30/G31*100</f>
        <v>87.426955674415225</v>
      </c>
      <c r="H33" s="1"/>
      <c r="R33" s="16" t="s">
        <v>66</v>
      </c>
      <c r="S33" t="s">
        <v>9</v>
      </c>
      <c r="T33" s="30">
        <f>N55</f>
        <v>2620.62</v>
      </c>
      <c r="U33" s="30">
        <f>N56</f>
        <v>7645.97</v>
      </c>
      <c r="V33" s="30">
        <f>N57</f>
        <v>108929.67</v>
      </c>
      <c r="W33" s="30">
        <f>N58</f>
        <v>46436.13</v>
      </c>
      <c r="X33" s="30">
        <f>N59</f>
        <v>18748.48</v>
      </c>
      <c r="Z33" t="s">
        <v>36</v>
      </c>
      <c r="AA33" s="1">
        <f>N60</f>
        <v>184380.87</v>
      </c>
      <c r="AC33" t="s">
        <v>110</v>
      </c>
      <c r="AD33" s="51">
        <f>I514</f>
        <v>0.9460331299040976</v>
      </c>
      <c r="AE33" s="55">
        <f>I525</f>
        <v>0.94197711594378153</v>
      </c>
      <c r="AF33" s="55">
        <f>J525</f>
        <v>2.2294896420630862E-3</v>
      </c>
      <c r="AH33">
        <v>514</v>
      </c>
      <c r="AI33">
        <v>525</v>
      </c>
    </row>
    <row r="34" spans="1:35" ht="15.6" x14ac:dyDescent="0.35">
      <c r="B34" s="16" t="s">
        <v>39</v>
      </c>
      <c r="C34" s="18">
        <f>SQRT((C37+C38)/(C31*C31))</f>
        <v>0</v>
      </c>
      <c r="D34" s="18">
        <f>SQRT((D37+D38)/(D31*D31))</f>
        <v>3.6185546468995224</v>
      </c>
      <c r="E34" s="18">
        <f>SQRT((E37+E38)/(E31*E31))</f>
        <v>0.16961623471775161</v>
      </c>
      <c r="F34" s="18">
        <f>SQRT((F37+F38)/(F31*F31))</f>
        <v>0.63689316761834036</v>
      </c>
      <c r="G34" s="18">
        <f>SQRT((G37+G38)/(G31*G31))</f>
        <v>1.9475253806881494</v>
      </c>
      <c r="H34" s="1"/>
      <c r="R34" s="16" t="s">
        <v>323</v>
      </c>
      <c r="S34" t="s">
        <v>68</v>
      </c>
      <c r="T34" s="57">
        <f>$AA33*T26/100</f>
        <v>2620.62</v>
      </c>
      <c r="U34" s="57">
        <f>$AA33*U26/100</f>
        <v>9093.3940432676482</v>
      </c>
      <c r="V34" s="57">
        <f>$AA33*V26/100</f>
        <v>106929.48896895407</v>
      </c>
      <c r="W34" s="57">
        <f>$AA33*W26/100</f>
        <v>48280.524543847794</v>
      </c>
      <c r="X34" s="57">
        <f>$AA33*X26/100</f>
        <v>17456.842443930491</v>
      </c>
      <c r="Z34" t="s">
        <v>36</v>
      </c>
      <c r="AA34" s="25">
        <f>SUM(T34:X34)</f>
        <v>184380.87</v>
      </c>
      <c r="AB34" s="25"/>
      <c r="AC34" t="s">
        <v>111</v>
      </c>
      <c r="AD34" s="51">
        <f>I543</f>
        <v>0.94978204010462075</v>
      </c>
      <c r="AE34" s="55">
        <f>I554</f>
        <v>0.94542242348086036</v>
      </c>
      <c r="AF34" s="55">
        <f>J554</f>
        <v>2.1838760491211936E-3</v>
      </c>
      <c r="AH34">
        <v>543</v>
      </c>
      <c r="AI34">
        <v>554</v>
      </c>
    </row>
    <row r="35" spans="1:35" x14ac:dyDescent="0.3">
      <c r="B35" s="1" t="s">
        <v>37</v>
      </c>
      <c r="C35" s="18">
        <f>100-C33</f>
        <v>0</v>
      </c>
      <c r="D35" s="18">
        <f>100-D33</f>
        <v>23.762772354745721</v>
      </c>
      <c r="E35" s="18">
        <f>100-E33</f>
        <v>1.6014880538962757</v>
      </c>
      <c r="F35" s="18">
        <f>100-F33</f>
        <v>9.1077838003544684</v>
      </c>
      <c r="G35" s="18">
        <f>100-G33</f>
        <v>12.573044325584775</v>
      </c>
      <c r="R35" s="66"/>
      <c r="S35" s="66" t="s">
        <v>67</v>
      </c>
      <c r="T35" s="67">
        <f>$AA33*T27/100</f>
        <v>0</v>
      </c>
      <c r="U35" s="67">
        <f>$AA33*U27/100</f>
        <v>207.73862156623846</v>
      </c>
      <c r="V35" s="67">
        <f>$AA33*V27/100</f>
        <v>283.32605758525767</v>
      </c>
      <c r="W35" s="67">
        <f>$AA33*W27/100</f>
        <v>330.53664381712792</v>
      </c>
      <c r="X35" s="67">
        <f>$AA33*X27/100</f>
        <v>300.25265593136703</v>
      </c>
      <c r="AA35" s="1"/>
      <c r="AB35" s="25"/>
      <c r="AC35" s="58" t="s">
        <v>112</v>
      </c>
      <c r="AD35" s="120">
        <f>I572</f>
        <v>0.94969485614646909</v>
      </c>
      <c r="AE35" s="121">
        <f>I583</f>
        <v>0.94543868298897238</v>
      </c>
      <c r="AF35" s="121">
        <f>J583</f>
        <v>2.1748304716079146E-3</v>
      </c>
      <c r="AH35">
        <v>572</v>
      </c>
      <c r="AI35">
        <v>583</v>
      </c>
    </row>
    <row r="36" spans="1:35" ht="15.6" x14ac:dyDescent="0.35">
      <c r="B36" s="1" t="s">
        <v>25</v>
      </c>
      <c r="C36" s="1">
        <f>C20</f>
        <v>169</v>
      </c>
      <c r="D36" s="1">
        <f>D20</f>
        <v>447</v>
      </c>
      <c r="E36" s="1">
        <f>E20</f>
        <v>7242</v>
      </c>
      <c r="F36" s="1">
        <f>F20</f>
        <v>2702</v>
      </c>
      <c r="G36" s="1">
        <f>G20</f>
        <v>910</v>
      </c>
      <c r="R36" t="s">
        <v>72</v>
      </c>
      <c r="S36" t="s">
        <v>28</v>
      </c>
      <c r="T36" s="57">
        <f t="shared" ref="T36:X39" si="4">C89</f>
        <v>1.4144199767351147</v>
      </c>
      <c r="U36" s="57">
        <f t="shared" si="4"/>
        <v>4.9896244028234493</v>
      </c>
      <c r="V36" s="57">
        <f t="shared" si="4"/>
        <v>57.771057066226149</v>
      </c>
      <c r="W36" s="57">
        <f t="shared" si="4"/>
        <v>26.203924686166413</v>
      </c>
      <c r="X36" s="57">
        <f t="shared" si="4"/>
        <v>9.6209738680488712</v>
      </c>
      <c r="Y36" s="13"/>
      <c r="Z36" s="74"/>
      <c r="AA36" s="12"/>
      <c r="AC36" t="s">
        <v>113</v>
      </c>
      <c r="AD36" s="51"/>
      <c r="AE36" s="51"/>
      <c r="AH36">
        <v>601</v>
      </c>
      <c r="AI36">
        <v>612</v>
      </c>
    </row>
    <row r="37" spans="1:3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248.79591528855963</v>
      </c>
      <c r="E37" s="18">
        <f>(O28*O28*(100-E33)*(100-E33)*(I28)*(100-I28))/((L28-1)*100)</f>
        <v>3.8589401586833314</v>
      </c>
      <c r="F37" s="18">
        <f>(O29*O29*(100-F33)*(100-F33)*(I29)*(100-I29))/((L29-1)*100)</f>
        <v>102.24887605279247</v>
      </c>
      <c r="G37" s="18">
        <f>(O30*O30*(100-G33)*(100-G33)*(I30)*(100-I30))/((L30-1)*100)</f>
        <v>269.83083947744751</v>
      </c>
      <c r="S37" s="66" t="s">
        <v>39</v>
      </c>
      <c r="T37" s="67">
        <f t="shared" si="4"/>
        <v>0</v>
      </c>
      <c r="U37" s="67">
        <f t="shared" si="4"/>
        <v>0.10926841080810219</v>
      </c>
      <c r="V37" s="67">
        <f t="shared" si="4"/>
        <v>0.15051758630845127</v>
      </c>
      <c r="W37" s="67">
        <f t="shared" si="4"/>
        <v>0.18220834240075759</v>
      </c>
      <c r="X37" s="67">
        <f t="shared" si="4"/>
        <v>0.16665832436106229</v>
      </c>
      <c r="AC37" t="s">
        <v>114</v>
      </c>
      <c r="AD37" s="51"/>
      <c r="AE37" s="51"/>
      <c r="AH37">
        <v>630</v>
      </c>
      <c r="AI37">
        <v>641</v>
      </c>
    </row>
    <row r="38" spans="1:35" x14ac:dyDescent="0.3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52.173756722869904</v>
      </c>
      <c r="E38" s="18">
        <f>E33*E33*(SUM((H26*E26*(1-E15/H15))/(H15-1),(H27*E27*(1-E16/H16))/(H16-1), (H29*E29*(1-E18/H18))/(H18-1),(H30*E30*(1-E19/H19))/(H19-1)))</f>
        <v>93.5405754638941</v>
      </c>
      <c r="F38" s="18">
        <f>F33*F33*(SUM((H26*F26*(1-F15/H15))/(H15-1),(H27*F27*(1-F16/H16))/(H16-1), (H28*F28*(1-F17/H17))/(H17-1),(H30*F30*(1-F19/H19))/(H19-1)))</f>
        <v>170.67622069565951</v>
      </c>
      <c r="G38" s="18">
        <f>G33*G33*(SUM((H26*G26*(1-G15/H15))/(H15-1),(H27*G27*(1-G16/H16))/(H16-1), (H28*G28*(1-G17/H17))/(H17-1),(H29*G29*(1-G18/H18))/(H18-1)))</f>
        <v>84.576609941176699</v>
      </c>
      <c r="S38" t="s">
        <v>30</v>
      </c>
      <c r="T38" s="57">
        <f t="shared" si="4"/>
        <v>100</v>
      </c>
      <c r="U38" s="57">
        <f t="shared" si="4"/>
        <v>78.739654372012467</v>
      </c>
      <c r="V38" s="57">
        <f t="shared" si="4"/>
        <v>98.699226248485473</v>
      </c>
      <c r="W38" s="57">
        <f t="shared" si="4"/>
        <v>90.569671959364513</v>
      </c>
      <c r="X38" s="57">
        <f t="shared" si="4"/>
        <v>87.943329417224959</v>
      </c>
      <c r="Z38" s="50"/>
      <c r="AA38" s="54"/>
      <c r="AC38" t="s">
        <v>115</v>
      </c>
      <c r="AD38" s="51"/>
      <c r="AE38" s="51"/>
      <c r="AH38">
        <v>659</v>
      </c>
      <c r="AI38">
        <v>670</v>
      </c>
    </row>
    <row r="39" spans="1:35" x14ac:dyDescent="0.3">
      <c r="S39" s="66" t="s">
        <v>39</v>
      </c>
      <c r="T39" s="67">
        <f t="shared" si="4"/>
        <v>0</v>
      </c>
      <c r="U39" s="67">
        <f t="shared" si="4"/>
        <v>2.9448239881145315</v>
      </c>
      <c r="V39" s="67">
        <f t="shared" si="4"/>
        <v>0.15523060046685197</v>
      </c>
      <c r="W39" s="67">
        <f t="shared" si="4"/>
        <v>0.63928279036763935</v>
      </c>
      <c r="X39" s="67">
        <f t="shared" si="4"/>
        <v>1.8920749710360867</v>
      </c>
      <c r="AC39" t="s">
        <v>116</v>
      </c>
      <c r="AD39" s="51"/>
      <c r="AE39" s="51"/>
      <c r="AH39">
        <v>688</v>
      </c>
      <c r="AI39">
        <v>699</v>
      </c>
    </row>
    <row r="40" spans="1:35" x14ac:dyDescent="0.3">
      <c r="S40" t="s">
        <v>31</v>
      </c>
      <c r="T40" s="57">
        <f>I84</f>
        <v>100</v>
      </c>
      <c r="U40" s="57">
        <f>I85</f>
        <v>92.625368731563427</v>
      </c>
      <c r="V40" s="57">
        <f>I86</f>
        <v>96.769833761319092</v>
      </c>
      <c r="W40" s="57">
        <f>I87</f>
        <v>94.852093737994622</v>
      </c>
      <c r="X40" s="57">
        <f>I88</f>
        <v>81.354166666666657</v>
      </c>
      <c r="AC40" t="s">
        <v>117</v>
      </c>
      <c r="AD40" s="51"/>
      <c r="AE40" s="51"/>
      <c r="AH40">
        <v>717</v>
      </c>
      <c r="AI40">
        <v>728</v>
      </c>
    </row>
    <row r="41" spans="1:35" x14ac:dyDescent="0.3">
      <c r="A41" s="361" t="s">
        <v>449</v>
      </c>
      <c r="B41" s="361"/>
      <c r="C41" s="361"/>
      <c r="D41" s="361"/>
      <c r="E41" s="361"/>
      <c r="F41" s="361"/>
      <c r="G41" s="361"/>
      <c r="H41" s="361"/>
      <c r="I41" s="361"/>
      <c r="J41" s="361"/>
      <c r="K41" s="361"/>
      <c r="L41" s="361" t="s">
        <v>53</v>
      </c>
      <c r="M41" s="361"/>
      <c r="N41" s="361"/>
      <c r="O41" s="361"/>
      <c r="P41" s="361"/>
      <c r="S41" s="66" t="s">
        <v>39</v>
      </c>
      <c r="T41" s="67">
        <f>J84</f>
        <v>0</v>
      </c>
      <c r="U41" s="67">
        <f>J85</f>
        <v>1.4215979221853488</v>
      </c>
      <c r="V41" s="67">
        <f>J86</f>
        <v>0.2055536868698877</v>
      </c>
      <c r="W41" s="67">
        <f>J87</f>
        <v>0.4331966903475955</v>
      </c>
      <c r="X41" s="67">
        <f>J88</f>
        <v>1.2576838837515047</v>
      </c>
      <c r="AC41" t="s">
        <v>118</v>
      </c>
      <c r="AD41" s="51"/>
      <c r="AE41" s="51"/>
      <c r="AH41">
        <v>746</v>
      </c>
      <c r="AI41">
        <v>757</v>
      </c>
    </row>
    <row r="42" spans="1:35" x14ac:dyDescent="0.3">
      <c r="A42" t="s">
        <v>320</v>
      </c>
      <c r="B42" t="s">
        <v>21</v>
      </c>
      <c r="I42" s="1" t="s">
        <v>58</v>
      </c>
      <c r="S42" s="66" t="s">
        <v>56</v>
      </c>
      <c r="T42" s="67">
        <f>N73*100</f>
        <v>100</v>
      </c>
      <c r="U42" s="67">
        <f>N74*100</f>
        <v>79.898218829516537</v>
      </c>
      <c r="V42" s="67">
        <f>N75*100</f>
        <v>97.894449001914126</v>
      </c>
      <c r="W42" s="67">
        <f>N76*100</f>
        <v>92.732394366197184</v>
      </c>
      <c r="X42" s="67">
        <f>N77*100</f>
        <v>83.843263553408491</v>
      </c>
      <c r="AC42" t="s">
        <v>119</v>
      </c>
      <c r="AD42" s="51"/>
      <c r="AE42" s="51"/>
      <c r="AH42">
        <v>775</v>
      </c>
      <c r="AI42">
        <v>786</v>
      </c>
    </row>
    <row r="43" spans="1:3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56</v>
      </c>
      <c r="R43" s="16" t="s">
        <v>66</v>
      </c>
      <c r="S43" t="s">
        <v>9</v>
      </c>
      <c r="T43" s="30">
        <f>N84</f>
        <v>2607.92</v>
      </c>
      <c r="U43" s="30">
        <f>N85</f>
        <v>7820.73</v>
      </c>
      <c r="V43" s="30">
        <f>N86</f>
        <v>108642.55</v>
      </c>
      <c r="W43" s="30">
        <f>N87</f>
        <v>46133.68</v>
      </c>
      <c r="X43" s="30">
        <f>N88</f>
        <v>19176</v>
      </c>
      <c r="Z43" t="s">
        <v>36</v>
      </c>
      <c r="AA43" s="1">
        <f>N89</f>
        <v>184380.88</v>
      </c>
      <c r="AC43" t="s">
        <v>120</v>
      </c>
      <c r="AD43" s="51"/>
      <c r="AE43" s="51"/>
      <c r="AH43">
        <v>804</v>
      </c>
      <c r="AI43">
        <v>815</v>
      </c>
    </row>
    <row r="44" spans="1:35" ht="15.6" x14ac:dyDescent="0.35">
      <c r="A44" t="s">
        <v>3</v>
      </c>
      <c r="B44" s="13">
        <v>0</v>
      </c>
      <c r="C44" s="26">
        <v>169</v>
      </c>
      <c r="D44" s="3">
        <v>0</v>
      </c>
      <c r="E44" s="3">
        <v>0</v>
      </c>
      <c r="F44" s="3">
        <v>0</v>
      </c>
      <c r="G44" s="4">
        <v>0</v>
      </c>
      <c r="H44" s="1">
        <f>SUM(C44:G44)</f>
        <v>169</v>
      </c>
      <c r="I44" s="10">
        <f>C44/H44</f>
        <v>1</v>
      </c>
      <c r="J44" s="11">
        <f>1-I44</f>
        <v>0</v>
      </c>
      <c r="K44">
        <f>H44-C49</f>
        <v>0</v>
      </c>
      <c r="N44" s="10">
        <f>2*(C50*I44)/(C50+I44)</f>
        <v>1</v>
      </c>
      <c r="R44" s="16" t="s">
        <v>323</v>
      </c>
      <c r="S44" t="s">
        <v>68</v>
      </c>
      <c r="T44" s="57">
        <f>$AA43*T36/100</f>
        <v>2607.9199999999996</v>
      </c>
      <c r="U44" s="57">
        <f>$AA43*U36/100</f>
        <v>9199.9133826206198</v>
      </c>
      <c r="V44" s="57">
        <f>$AA43*V36/100</f>
        <v>106518.78340400996</v>
      </c>
      <c r="W44" s="57">
        <f>$AA43*W36/100</f>
        <v>48315.026930890876</v>
      </c>
      <c r="X44" s="57">
        <f>$AA43*X36/100</f>
        <v>17739.236282478549</v>
      </c>
      <c r="Z44" t="s">
        <v>36</v>
      </c>
      <c r="AA44" s="25">
        <f>SUM(T44:X44)</f>
        <v>184380.88</v>
      </c>
      <c r="AC44" t="s">
        <v>121</v>
      </c>
      <c r="AD44" s="51"/>
      <c r="AE44" s="51"/>
      <c r="AH44">
        <v>833</v>
      </c>
      <c r="AI44">
        <v>844</v>
      </c>
    </row>
    <row r="45" spans="1:35" x14ac:dyDescent="0.3">
      <c r="A45" t="s">
        <v>4</v>
      </c>
      <c r="B45" s="13">
        <v>1</v>
      </c>
      <c r="C45" s="5">
        <v>0</v>
      </c>
      <c r="D45" s="27">
        <v>311</v>
      </c>
      <c r="E45" s="1">
        <v>26</v>
      </c>
      <c r="F45" s="1">
        <v>0</v>
      </c>
      <c r="G45" s="6">
        <v>2</v>
      </c>
      <c r="H45" s="1">
        <f>SUM(C45:G45)</f>
        <v>339</v>
      </c>
      <c r="I45" s="10">
        <f>D45/H45</f>
        <v>0.91740412979351027</v>
      </c>
      <c r="J45" s="11">
        <f>1-I45</f>
        <v>8.259587020648973E-2</v>
      </c>
      <c r="K45">
        <f>H45-D49</f>
        <v>-113</v>
      </c>
      <c r="N45" s="10">
        <f>2*(D50*I45)/(D50+I45)</f>
        <v>0.78634639696586595</v>
      </c>
      <c r="R45" s="66"/>
      <c r="S45" s="66" t="s">
        <v>67</v>
      </c>
      <c r="T45" s="67">
        <f>$AA43*T37/100</f>
        <v>0</v>
      </c>
      <c r="U45" s="67">
        <f>$AA43*U37/100</f>
        <v>201.47005740999393</v>
      </c>
      <c r="V45" s="67">
        <f>$AA43*V37/100</f>
        <v>277.52565019028202</v>
      </c>
      <c r="W45" s="67">
        <f>$AA43*W37/100</f>
        <v>335.95734515192999</v>
      </c>
      <c r="X45" s="67">
        <f>$AA43*X37/100</f>
        <v>307.28608505018104</v>
      </c>
      <c r="AA45" s="1"/>
      <c r="AC45" t="s">
        <v>122</v>
      </c>
      <c r="AD45" s="51"/>
      <c r="AE45" s="51"/>
      <c r="AH45">
        <v>862</v>
      </c>
      <c r="AI45">
        <v>873</v>
      </c>
    </row>
    <row r="46" spans="1:35" x14ac:dyDescent="0.3">
      <c r="A46" t="s">
        <v>5</v>
      </c>
      <c r="B46" s="13">
        <v>2</v>
      </c>
      <c r="C46" s="5">
        <v>0</v>
      </c>
      <c r="D46" s="1">
        <v>140</v>
      </c>
      <c r="E46" s="27">
        <v>7158</v>
      </c>
      <c r="F46" s="1">
        <v>87</v>
      </c>
      <c r="G46" s="6">
        <v>14</v>
      </c>
      <c r="H46" s="1">
        <f>SUM(C46:G46)</f>
        <v>7399</v>
      </c>
      <c r="I46" s="10">
        <f>E46/H46</f>
        <v>0.96742803081497497</v>
      </c>
      <c r="J46" s="11">
        <f>1-I46</f>
        <v>3.2571969185025029E-2</v>
      </c>
      <c r="K46">
        <f>H46-E49</f>
        <v>163</v>
      </c>
      <c r="N46" s="10">
        <f>2*(E50*I46)/(E50+I46)</f>
        <v>0.97820293816194048</v>
      </c>
      <c r="R46" t="s">
        <v>73</v>
      </c>
      <c r="S46" t="s">
        <v>28</v>
      </c>
      <c r="T46" s="57">
        <f t="shared" ref="T46:X49" si="5">C118</f>
        <v>1.4150057975103383</v>
      </c>
      <c r="U46" s="57">
        <f t="shared" si="5"/>
        <v>4.8433992350962844</v>
      </c>
      <c r="V46" s="57">
        <f t="shared" si="5"/>
        <v>57.953274275767122</v>
      </c>
      <c r="W46" s="57">
        <f t="shared" si="5"/>
        <v>25.851106480263038</v>
      </c>
      <c r="X46" s="57">
        <f t="shared" si="5"/>
        <v>9.9372142113632194</v>
      </c>
      <c r="Y46" s="60"/>
      <c r="Z46" s="74"/>
      <c r="AA46" s="12"/>
      <c r="AC46" t="s">
        <v>135</v>
      </c>
      <c r="AD46" s="51"/>
      <c r="AE46" s="51"/>
      <c r="AH46">
        <v>891</v>
      </c>
      <c r="AI46">
        <v>902</v>
      </c>
    </row>
    <row r="47" spans="1:35" x14ac:dyDescent="0.3">
      <c r="A47" t="s">
        <v>6</v>
      </c>
      <c r="B47" s="13">
        <v>3</v>
      </c>
      <c r="C47" s="5">
        <v>0</v>
      </c>
      <c r="D47" s="1">
        <v>1</v>
      </c>
      <c r="E47" s="1">
        <v>32</v>
      </c>
      <c r="F47" s="27">
        <v>2466</v>
      </c>
      <c r="G47" s="6">
        <v>104</v>
      </c>
      <c r="H47" s="1">
        <f>SUM(C47:G47)</f>
        <v>2603</v>
      </c>
      <c r="I47" s="10">
        <f>F47/H47</f>
        <v>0.94736842105263153</v>
      </c>
      <c r="J47" s="11">
        <f>1-I47</f>
        <v>5.2631578947368474E-2</v>
      </c>
      <c r="K47">
        <f>H47-F49</f>
        <v>-104</v>
      </c>
      <c r="N47" s="10">
        <f>2*(F50*I47)/(F50+I47)</f>
        <v>0.9288135593220338</v>
      </c>
      <c r="S47" s="66" t="s">
        <v>39</v>
      </c>
      <c r="T47" s="67">
        <f t="shared" si="5"/>
        <v>0</v>
      </c>
      <c r="U47" s="67">
        <f t="shared" si="5"/>
        <v>0.10683677318942861</v>
      </c>
      <c r="V47" s="67">
        <f t="shared" si="5"/>
        <v>0.14919922680044267</v>
      </c>
      <c r="W47" s="67">
        <f t="shared" si="5"/>
        <v>0.18492204499282763</v>
      </c>
      <c r="X47" s="67">
        <f t="shared" si="5"/>
        <v>0.16920425490607677</v>
      </c>
      <c r="AC47" t="s">
        <v>136</v>
      </c>
      <c r="AD47" s="51"/>
      <c r="AE47" s="51"/>
      <c r="AH47">
        <v>920</v>
      </c>
      <c r="AI47">
        <v>931</v>
      </c>
    </row>
    <row r="48" spans="1:35" x14ac:dyDescent="0.3">
      <c r="A48" t="s">
        <v>7</v>
      </c>
      <c r="B48" s="13">
        <v>4</v>
      </c>
      <c r="C48" s="7">
        <v>0</v>
      </c>
      <c r="D48" s="8">
        <v>0</v>
      </c>
      <c r="E48" s="8">
        <v>20</v>
      </c>
      <c r="F48" s="8">
        <v>154</v>
      </c>
      <c r="G48" s="28">
        <v>786</v>
      </c>
      <c r="H48" s="1">
        <f>SUM(C48:G48)</f>
        <v>960</v>
      </c>
      <c r="I48" s="10">
        <f>G48/H48</f>
        <v>0.81874999999999998</v>
      </c>
      <c r="J48" s="11">
        <f>1-I48</f>
        <v>0.18125000000000002</v>
      </c>
      <c r="K48">
        <f>H48-G49</f>
        <v>54</v>
      </c>
      <c r="N48" s="10">
        <f>2*(G50*I48)/(G50+I48)</f>
        <v>0.842443729903537</v>
      </c>
      <c r="S48" t="s">
        <v>30</v>
      </c>
      <c r="T48" s="57">
        <f t="shared" si="5"/>
        <v>100</v>
      </c>
      <c r="U48" s="57">
        <f t="shared" si="5"/>
        <v>79.060394153594274</v>
      </c>
      <c r="V48" s="57">
        <f t="shared" si="5"/>
        <v>98.577298543130581</v>
      </c>
      <c r="W48" s="57">
        <f t="shared" si="5"/>
        <v>90.904142970105511</v>
      </c>
      <c r="X48" s="57">
        <f t="shared" si="5"/>
        <v>87.372772368937717</v>
      </c>
      <c r="AC48" t="s">
        <v>137</v>
      </c>
      <c r="AD48" s="51"/>
      <c r="AE48" s="51"/>
      <c r="AH48">
        <v>949</v>
      </c>
      <c r="AI48">
        <v>960</v>
      </c>
    </row>
    <row r="49" spans="1:35" ht="15.6" x14ac:dyDescent="0.35">
      <c r="B49" s="1" t="s">
        <v>19</v>
      </c>
      <c r="C49" s="1">
        <f>SUM(C44:C48)</f>
        <v>169</v>
      </c>
      <c r="D49" s="1">
        <f>SUM(D44:D48)</f>
        <v>452</v>
      </c>
      <c r="E49" s="1">
        <f>SUM(E44:E48)</f>
        <v>7236</v>
      </c>
      <c r="F49" s="1">
        <f>SUM(F44:F48)</f>
        <v>2707</v>
      </c>
      <c r="G49" s="1">
        <f>SUM(G44:G48)</f>
        <v>906</v>
      </c>
      <c r="H49" s="1">
        <f>SUM(H43:H48)</f>
        <v>11470</v>
      </c>
      <c r="I49" s="13" t="s">
        <v>12</v>
      </c>
      <c r="S49" s="66" t="s">
        <v>39</v>
      </c>
      <c r="T49" s="67">
        <f t="shared" si="5"/>
        <v>0</v>
      </c>
      <c r="U49" s="67">
        <f t="shared" si="5"/>
        <v>2.9291278369331955</v>
      </c>
      <c r="V49" s="67">
        <f t="shared" si="5"/>
        <v>0.16058933566012709</v>
      </c>
      <c r="W49" s="67">
        <f t="shared" si="5"/>
        <v>0.65063073619197176</v>
      </c>
      <c r="X49" s="67">
        <f t="shared" si="5"/>
        <v>1.9128882536111307</v>
      </c>
      <c r="AC49" t="s">
        <v>138</v>
      </c>
      <c r="AD49" s="51"/>
      <c r="AE49" s="51"/>
      <c r="AH49">
        <v>978</v>
      </c>
      <c r="AI49">
        <v>989</v>
      </c>
    </row>
    <row r="50" spans="1:35" x14ac:dyDescent="0.3">
      <c r="A50" s="1" t="s">
        <v>321</v>
      </c>
      <c r="B50" s="1" t="s">
        <v>2</v>
      </c>
      <c r="C50" s="10">
        <f>C44/C49</f>
        <v>1</v>
      </c>
      <c r="D50" s="10">
        <f>D45/D49</f>
        <v>0.68805309734513276</v>
      </c>
      <c r="E50" s="10">
        <f>E46/E49</f>
        <v>0.98922056384742951</v>
      </c>
      <c r="F50" s="10">
        <f>F47/F49</f>
        <v>0.91097155522718876</v>
      </c>
      <c r="G50" s="10">
        <f>G48/G49</f>
        <v>0.86754966887417218</v>
      </c>
      <c r="H50" s="10"/>
      <c r="I50" s="14">
        <f>(C44+D45+E46+F47+G48)/H49</f>
        <v>0.949433304272014</v>
      </c>
      <c r="S50" s="15" t="s">
        <v>31</v>
      </c>
      <c r="T50" s="71">
        <f>I113</f>
        <v>100</v>
      </c>
      <c r="U50" s="71">
        <f>I114</f>
        <v>92.625368731563412</v>
      </c>
      <c r="V50" s="71">
        <f>I115</f>
        <v>96.999594539802686</v>
      </c>
      <c r="W50" s="71">
        <f>I116</f>
        <v>94.08374951978486</v>
      </c>
      <c r="X50" s="71">
        <f>I117</f>
        <v>82.083333333333343</v>
      </c>
      <c r="AC50" t="s">
        <v>139</v>
      </c>
      <c r="AD50" s="51"/>
      <c r="AE50" s="51"/>
      <c r="AH50">
        <v>1007</v>
      </c>
      <c r="AI50">
        <v>1018</v>
      </c>
    </row>
    <row r="51" spans="1:35" x14ac:dyDescent="0.3">
      <c r="B51" s="1" t="s">
        <v>14</v>
      </c>
      <c r="C51" s="11">
        <f>1-C50</f>
        <v>0</v>
      </c>
      <c r="D51" s="11">
        <f>1-D50</f>
        <v>0.31194690265486724</v>
      </c>
      <c r="E51" s="11">
        <f>1-E50</f>
        <v>1.0779436152570487E-2</v>
      </c>
      <c r="F51" s="11">
        <f>1-F50</f>
        <v>8.9028444772811244E-2</v>
      </c>
      <c r="G51" s="11">
        <f>1-G50</f>
        <v>0.13245033112582782</v>
      </c>
      <c r="S51" s="75" t="s">
        <v>39</v>
      </c>
      <c r="T51" s="76">
        <f>J113</f>
        <v>0</v>
      </c>
      <c r="U51" s="76">
        <f>J114</f>
        <v>1.4215979221853501</v>
      </c>
      <c r="V51" s="76">
        <f>J115</f>
        <v>0.19834340726088953</v>
      </c>
      <c r="W51" s="76">
        <f>J116</f>
        <v>0.46251618924939458</v>
      </c>
      <c r="X51" s="76">
        <f>J117</f>
        <v>1.2383596580022658</v>
      </c>
      <c r="AC51" t="s">
        <v>140</v>
      </c>
      <c r="AD51" s="51"/>
      <c r="AE51" s="51"/>
      <c r="AH51">
        <v>1036</v>
      </c>
      <c r="AI51">
        <v>1047</v>
      </c>
    </row>
    <row r="52" spans="1:35" x14ac:dyDescent="0.3">
      <c r="C52" s="2"/>
      <c r="S52" s="66" t="s">
        <v>56</v>
      </c>
      <c r="T52" s="67">
        <f>N102*100</f>
        <v>100</v>
      </c>
      <c r="U52" s="67">
        <f>N103*100</f>
        <v>80.512820512820511</v>
      </c>
      <c r="V52" s="67">
        <f>N104*100</f>
        <v>97.959462226165286</v>
      </c>
      <c r="W52" s="67">
        <f>N105*100</f>
        <v>92.607298166004909</v>
      </c>
      <c r="X52" s="67">
        <f>N106*100</f>
        <v>83.829787234042556</v>
      </c>
      <c r="AC52" t="s">
        <v>141</v>
      </c>
      <c r="AD52" s="51"/>
      <c r="AE52" s="51"/>
      <c r="AH52">
        <v>1065</v>
      </c>
      <c r="AI52">
        <v>1076</v>
      </c>
    </row>
    <row r="53" spans="1:35" ht="15.6" x14ac:dyDescent="0.35">
      <c r="A53" t="s">
        <v>322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66</v>
      </c>
      <c r="S53" t="s">
        <v>9</v>
      </c>
      <c r="T53" s="30">
        <f>N113</f>
        <v>2609</v>
      </c>
      <c r="U53" s="30">
        <f>N114</f>
        <v>7622.46</v>
      </c>
      <c r="V53" s="30">
        <f>N115</f>
        <v>108592.75</v>
      </c>
      <c r="W53" s="30">
        <f>N116</f>
        <v>46053.65</v>
      </c>
      <c r="X53" s="30">
        <f>N117</f>
        <v>19503.009999999998</v>
      </c>
      <c r="Z53" t="s">
        <v>36</v>
      </c>
      <c r="AA53" s="1">
        <f>N118</f>
        <v>184380.87</v>
      </c>
      <c r="AC53" t="s">
        <v>142</v>
      </c>
      <c r="AD53" s="51"/>
      <c r="AE53" s="51"/>
      <c r="AH53">
        <v>1094</v>
      </c>
      <c r="AI53">
        <v>1105</v>
      </c>
    </row>
    <row r="54" spans="1:35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323</v>
      </c>
      <c r="S54" t="s">
        <v>68</v>
      </c>
      <c r="T54" s="57">
        <f>$AA53*T46/100</f>
        <v>2609</v>
      </c>
      <c r="U54" s="57">
        <f>$AA53*U46/100</f>
        <v>8930.301647243874</v>
      </c>
      <c r="V54" s="57">
        <f>$AA53*V46/100</f>
        <v>106854.7513031456</v>
      </c>
      <c r="W54" s="57">
        <f>$AA53*W46/100</f>
        <v>47664.495032935367</v>
      </c>
      <c r="X54" s="57">
        <f>$AA53*X46/100</f>
        <v>18322.322016675142</v>
      </c>
      <c r="Z54" t="s">
        <v>36</v>
      </c>
      <c r="AA54" s="25">
        <f>SUM(T54:X54)</f>
        <v>184380.87</v>
      </c>
      <c r="AC54" t="s">
        <v>143</v>
      </c>
      <c r="AD54" s="51"/>
      <c r="AE54" s="51"/>
      <c r="AH54">
        <v>1123</v>
      </c>
      <c r="AI54">
        <v>1134</v>
      </c>
    </row>
    <row r="55" spans="1:35" x14ac:dyDescent="0.3">
      <c r="A55" t="s">
        <v>3</v>
      </c>
      <c r="B55" s="13">
        <v>0</v>
      </c>
      <c r="C55" s="29">
        <f>(C44/$L55)*$O55</f>
        <v>1.4213079697476207</v>
      </c>
      <c r="D55" s="31">
        <f>(D44/$L55)*$O55</f>
        <v>0</v>
      </c>
      <c r="E55" s="31">
        <f>(E44/$L55)*$O55</f>
        <v>0</v>
      </c>
      <c r="F55" s="31">
        <f>(F44/$L55)*$O55</f>
        <v>0</v>
      </c>
      <c r="G55" s="32">
        <f>(G44/$L55)*$O55</f>
        <v>0</v>
      </c>
      <c r="H55" s="17">
        <f>SUM(C55:G55)</f>
        <v>1.4213079697476207</v>
      </c>
      <c r="I55" s="17">
        <f>C55/H55*100</f>
        <v>100</v>
      </c>
      <c r="J55" s="17">
        <f>SQRT(I55*(100-I55)/(L55-1))</f>
        <v>0</v>
      </c>
      <c r="K55" s="18">
        <f>100-I55</f>
        <v>0</v>
      </c>
      <c r="L55" s="1">
        <f>H44</f>
        <v>169</v>
      </c>
      <c r="M55">
        <v>0</v>
      </c>
      <c r="N55" s="1">
        <v>2620.62</v>
      </c>
      <c r="O55" s="17">
        <f>N55/N60*100</f>
        <v>1.4213079697476207</v>
      </c>
      <c r="P55" s="52">
        <f>((O55*O55*(I55/100)*(K55/100))/(L55-1))</f>
        <v>0</v>
      </c>
      <c r="R55" s="66"/>
      <c r="S55" s="66" t="s">
        <v>67</v>
      </c>
      <c r="T55" s="67">
        <f>$AA53*T47/100</f>
        <v>0</v>
      </c>
      <c r="U55" s="67">
        <f>$AA53*U47/100</f>
        <v>196.98657188659519</v>
      </c>
      <c r="V55" s="67">
        <f>$AA53*V47/100</f>
        <v>275.09483240792935</v>
      </c>
      <c r="W55" s="67">
        <f>$AA53*W47/100</f>
        <v>340.96087537956703</v>
      </c>
      <c r="X55" s="67">
        <f>$AA53*X47/100</f>
        <v>311.98027727284205</v>
      </c>
      <c r="AA55" s="1"/>
      <c r="AC55" t="s">
        <v>144</v>
      </c>
      <c r="AD55" s="51"/>
      <c r="AE55" s="51"/>
      <c r="AH55">
        <v>1152</v>
      </c>
      <c r="AI55">
        <v>1163</v>
      </c>
    </row>
    <row r="56" spans="1:35" x14ac:dyDescent="0.3">
      <c r="A56" t="s">
        <v>4</v>
      </c>
      <c r="B56" s="13">
        <v>1</v>
      </c>
      <c r="C56" s="33">
        <f t="shared" ref="C56:G59" si="6">(C45/$L56)*$O56</f>
        <v>0</v>
      </c>
      <c r="D56" s="34">
        <f t="shared" si="6"/>
        <v>3.8043233304394786</v>
      </c>
      <c r="E56" s="19">
        <f t="shared" si="6"/>
        <v>0.31804632344510109</v>
      </c>
      <c r="F56" s="18">
        <f t="shared" si="6"/>
        <v>0</v>
      </c>
      <c r="G56" s="20">
        <f t="shared" si="6"/>
        <v>2.4465101803469315E-2</v>
      </c>
      <c r="H56" s="17">
        <f>SUM(C56:G56)</f>
        <v>4.1468347556880483</v>
      </c>
      <c r="I56" s="17">
        <f>D56/H56*100</f>
        <v>91.740412979351049</v>
      </c>
      <c r="J56" s="17">
        <f>SQRT(I56*(100-I56)/(L56-1))</f>
        <v>1.4972735816949041</v>
      </c>
      <c r="K56" s="18">
        <f>100-I56</f>
        <v>8.2595870206489508</v>
      </c>
      <c r="L56" s="1">
        <f>H45</f>
        <v>339</v>
      </c>
      <c r="M56">
        <v>1</v>
      </c>
      <c r="N56" s="1">
        <v>7645.97</v>
      </c>
      <c r="O56" s="17">
        <f>N56/N60*100</f>
        <v>4.1468347556880492</v>
      </c>
      <c r="P56" s="52">
        <f>((O56*O56*(I56/100)*(K56/100))/(L56-1))</f>
        <v>3.8551012012284364E-3</v>
      </c>
      <c r="R56" t="s">
        <v>76</v>
      </c>
      <c r="S56" t="s">
        <v>28</v>
      </c>
      <c r="T56" s="57">
        <f t="shared" ref="T56:X59" si="7">C147</f>
        <v>1.3995269682803861</v>
      </c>
      <c r="U56" s="57">
        <f t="shared" si="7"/>
        <v>4.8997212436020323</v>
      </c>
      <c r="V56" s="57">
        <f t="shared" si="7"/>
        <v>57.589867070091316</v>
      </c>
      <c r="W56" s="57">
        <f t="shared" si="7"/>
        <v>26.364764765981665</v>
      </c>
      <c r="X56" s="57">
        <f t="shared" si="7"/>
        <v>9.7461199520446176</v>
      </c>
      <c r="Y56" s="13"/>
      <c r="Z56" s="74"/>
      <c r="AA56" s="12"/>
      <c r="AC56" t="s">
        <v>145</v>
      </c>
      <c r="AD56" s="51"/>
      <c r="AE56" s="51"/>
      <c r="AH56">
        <v>1181</v>
      </c>
      <c r="AI56">
        <v>1192</v>
      </c>
    </row>
    <row r="57" spans="1:35" x14ac:dyDescent="0.3">
      <c r="A57" t="s">
        <v>5</v>
      </c>
      <c r="B57" s="13">
        <v>2</v>
      </c>
      <c r="C57" s="33">
        <f t="shared" si="6"/>
        <v>0</v>
      </c>
      <c r="D57" s="19">
        <f t="shared" si="6"/>
        <v>1.1178546467372636</v>
      </c>
      <c r="E57" s="34">
        <f t="shared" si="6"/>
        <v>57.154311152466661</v>
      </c>
      <c r="F57" s="19">
        <f t="shared" si="6"/>
        <v>0.6946668161867281</v>
      </c>
      <c r="G57" s="20">
        <f t="shared" si="6"/>
        <v>0.11178546467372635</v>
      </c>
      <c r="H57" s="17">
        <f>SUM(C57:G57)</f>
        <v>59.078618080064373</v>
      </c>
      <c r="I57" s="17">
        <f>E57/H57*100</f>
        <v>96.742803081497513</v>
      </c>
      <c r="J57" s="17">
        <f>SQRT(I57*(100-I57)/(L57-1))</f>
        <v>0.2063831218449671</v>
      </c>
      <c r="K57" s="18">
        <f>100-I57</f>
        <v>3.2571969185024869</v>
      </c>
      <c r="L57" s="1">
        <f>H46</f>
        <v>7399</v>
      </c>
      <c r="M57">
        <v>2</v>
      </c>
      <c r="N57" s="1">
        <v>108929.67</v>
      </c>
      <c r="O57" s="17">
        <f>N57/N60*100</f>
        <v>59.078618080064381</v>
      </c>
      <c r="P57" s="52">
        <f>((O57*O57*(I57/100)*(K57/100))/(L57-1))</f>
        <v>1.4866509447521853E-2</v>
      </c>
      <c r="S57" s="66" t="s">
        <v>39</v>
      </c>
      <c r="T57" s="67">
        <f t="shared" si="7"/>
        <v>0</v>
      </c>
      <c r="U57" s="67">
        <f t="shared" si="7"/>
        <v>0.11374719778281615</v>
      </c>
      <c r="V57" s="67">
        <f t="shared" si="7"/>
        <v>0.15232656413315471</v>
      </c>
      <c r="W57" s="67">
        <f t="shared" si="7"/>
        <v>0.18397815861602021</v>
      </c>
      <c r="X57" s="67">
        <f t="shared" si="7"/>
        <v>0.16933439334833908</v>
      </c>
      <c r="AC57" t="s">
        <v>146</v>
      </c>
      <c r="AD57" s="51"/>
      <c r="AE57" s="51"/>
      <c r="AH57">
        <v>1210</v>
      </c>
      <c r="AI57">
        <v>1221</v>
      </c>
    </row>
    <row r="58" spans="1:35" x14ac:dyDescent="0.3">
      <c r="A58" t="s">
        <v>6</v>
      </c>
      <c r="B58" s="13">
        <v>3</v>
      </c>
      <c r="C58" s="33">
        <f t="shared" si="6"/>
        <v>0</v>
      </c>
      <c r="D58" s="19">
        <f t="shared" si="6"/>
        <v>9.6753345402743485E-3</v>
      </c>
      <c r="E58" s="19">
        <f t="shared" si="6"/>
        <v>0.30961070528877915</v>
      </c>
      <c r="F58" s="34">
        <f t="shared" si="6"/>
        <v>23.859374976316541</v>
      </c>
      <c r="G58" s="20">
        <f t="shared" si="6"/>
        <v>1.0062347921885322</v>
      </c>
      <c r="H58" s="17">
        <f>SUM(C58:G58)</f>
        <v>25.184895808334126</v>
      </c>
      <c r="I58" s="17">
        <f>F58/H58*100</f>
        <v>94.736842105263165</v>
      </c>
      <c r="J58" s="17">
        <f>SQRT(I58*(100-I58)/(L58-1))</f>
        <v>0.43775287342217944</v>
      </c>
      <c r="K58" s="18">
        <f>100-I58</f>
        <v>5.2631578947368354</v>
      </c>
      <c r="L58" s="1">
        <f>H47</f>
        <v>2603</v>
      </c>
      <c r="M58">
        <v>3</v>
      </c>
      <c r="N58" s="1">
        <v>46436.13</v>
      </c>
      <c r="O58" s="17">
        <f>N58/N60*100</f>
        <v>25.184895808334129</v>
      </c>
      <c r="P58" s="52">
        <f>((O58*O58*(I58/100)*(K58/100))/(L58-1))</f>
        <v>1.2154534423530605E-2</v>
      </c>
      <c r="S58" t="s">
        <v>30</v>
      </c>
      <c r="T58" s="57">
        <f t="shared" si="7"/>
        <v>100</v>
      </c>
      <c r="U58" s="57">
        <f t="shared" si="7"/>
        <v>76.889995109361237</v>
      </c>
      <c r="V58" s="57">
        <f t="shared" si="7"/>
        <v>98.623180327346788</v>
      </c>
      <c r="W58" s="57">
        <f t="shared" si="7"/>
        <v>90.650500692198136</v>
      </c>
      <c r="X58" s="57">
        <f t="shared" si="7"/>
        <v>87.567156922377649</v>
      </c>
      <c r="AC58" t="s">
        <v>147</v>
      </c>
      <c r="AD58" s="51"/>
      <c r="AE58" s="51"/>
      <c r="AH58">
        <v>1239</v>
      </c>
      <c r="AI58">
        <v>1250</v>
      </c>
    </row>
    <row r="59" spans="1:35" x14ac:dyDescent="0.3">
      <c r="A59" t="s">
        <v>7</v>
      </c>
      <c r="B59" s="13">
        <v>4</v>
      </c>
      <c r="C59" s="35">
        <f t="shared" si="6"/>
        <v>0</v>
      </c>
      <c r="D59" s="36">
        <f t="shared" si="6"/>
        <v>0</v>
      </c>
      <c r="E59" s="21">
        <f t="shared" si="6"/>
        <v>0.21184048721178794</v>
      </c>
      <c r="F59" s="21">
        <f t="shared" si="6"/>
        <v>1.6311717515307673</v>
      </c>
      <c r="G59" s="37">
        <f t="shared" si="6"/>
        <v>8.3253311474232667</v>
      </c>
      <c r="H59" s="17">
        <f>SUM(C59:G59)</f>
        <v>10.168343386165823</v>
      </c>
      <c r="I59" s="17">
        <f>G59/H59*100</f>
        <v>81.874999999999986</v>
      </c>
      <c r="J59" s="17">
        <f>SQRT(I59*(100-I59)/(L59-1))</f>
        <v>1.2439569777371313</v>
      </c>
      <c r="K59" s="18">
        <f>100-I59</f>
        <v>18.125000000000014</v>
      </c>
      <c r="L59" s="1">
        <f>H48</f>
        <v>960</v>
      </c>
      <c r="M59">
        <v>4</v>
      </c>
      <c r="N59" s="1">
        <v>18748.48</v>
      </c>
      <c r="O59" s="17">
        <f>N59/N60*100</f>
        <v>10.168343386165821</v>
      </c>
      <c r="P59" s="52">
        <f>((O59*O59*(I59/100)*(K59/100))/(L59-1))</f>
        <v>1.5999673823029914E-2</v>
      </c>
      <c r="S59" s="66" t="s">
        <v>39</v>
      </c>
      <c r="T59" s="67">
        <f t="shared" si="7"/>
        <v>0</v>
      </c>
      <c r="U59" s="67">
        <f t="shared" si="7"/>
        <v>3.3548597515515119</v>
      </c>
      <c r="V59" s="67">
        <f t="shared" si="7"/>
        <v>0.15974512905263327</v>
      </c>
      <c r="W59" s="67">
        <f t="shared" si="7"/>
        <v>0.64005839971903111</v>
      </c>
      <c r="X59" s="67">
        <f t="shared" si="7"/>
        <v>1.9375150567461197</v>
      </c>
      <c r="AC59" t="s">
        <v>148</v>
      </c>
      <c r="AD59" s="51"/>
      <c r="AE59" s="51"/>
      <c r="AH59">
        <v>1268</v>
      </c>
      <c r="AI59">
        <v>1279</v>
      </c>
    </row>
    <row r="60" spans="1:35" x14ac:dyDescent="0.3">
      <c r="B60" t="s">
        <v>28</v>
      </c>
      <c r="C60" s="17">
        <f>SUM(C55:C59)</f>
        <v>1.4213079697476207</v>
      </c>
      <c r="D60" s="17">
        <f>SUM(D55:D59)</f>
        <v>4.9318533117170169</v>
      </c>
      <c r="E60" s="17">
        <f>SUM(E55:E59)</f>
        <v>57.993808668412328</v>
      </c>
      <c r="F60" s="17">
        <f>SUM(F55:F59)</f>
        <v>26.185213544034038</v>
      </c>
      <c r="G60" s="17">
        <f>SUM(G55:G59)</f>
        <v>9.4678165060889938</v>
      </c>
      <c r="H60" s="1">
        <f>SUM(H54:H59)</f>
        <v>99.999999999999972</v>
      </c>
      <c r="I60" s="13" t="s">
        <v>24</v>
      </c>
      <c r="J60" s="12" t="s">
        <v>29</v>
      </c>
      <c r="N60" s="1">
        <f>SUM(N55:N59)</f>
        <v>184380.87</v>
      </c>
      <c r="O60" s="17">
        <f>SUM(O55:O59)</f>
        <v>100</v>
      </c>
      <c r="S60" s="15" t="s">
        <v>31</v>
      </c>
      <c r="T60" s="71">
        <f>I142</f>
        <v>100</v>
      </c>
      <c r="U60" s="71">
        <f>I143</f>
        <v>91.150442477876098</v>
      </c>
      <c r="V60" s="71">
        <f>I144</f>
        <v>96.715772401675906</v>
      </c>
      <c r="W60" s="71">
        <f>I145</f>
        <v>94.698424894352669</v>
      </c>
      <c r="X60" s="71">
        <f>I146</f>
        <v>81.250000000000014</v>
      </c>
      <c r="AC60" t="s">
        <v>149</v>
      </c>
      <c r="AD60" s="51"/>
      <c r="AE60" s="51"/>
      <c r="AH60">
        <v>1297</v>
      </c>
      <c r="AI60">
        <v>1308</v>
      </c>
    </row>
    <row r="61" spans="1:35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0</v>
      </c>
      <c r="D61" s="18">
        <f>SQRT(SUM((O55*O55*(D55/O55)*(1-D55/O55))/L55,(O56*O56*(D56/O56)*(1-D56/O56))/L56,(O57*O57*(D57/O57)*(1-D57/O57))/L57,(O58*O58*(D58/O58)*(1-D58/O58))/L58,(O59*O59*(D59/O59)*(1-D59/O59))/L59))</f>
        <v>0.11266820769759817</v>
      </c>
      <c r="E61" s="18">
        <f>SQRT(SUM((O55*O55*(E55/O55)*(1-E55/O55))/L55,(O56*O56*(E56/O56)*(1-E56/O56))/L56,(O57*O57*(E57/O57)*(1-E57/O57))/L57,(O58*O58*(E58/O58)*(1-E58/O58))/L58,(O59*O59*(E59/O59)*(1-E59/O59))/L59))</f>
        <v>0.15366347798730837</v>
      </c>
      <c r="F61" s="18">
        <f>SQRT(SUM((O55*O55*(F55/O55)*(1-F55/O55))/L55,(O56*O56*(F56/O56)*(1-F56/O56))/L56,(O57*O57*(F57/O57)*(1-F57/O57))/L57,(O58*O58*(F58/O58)*(1-F58/O58))/L58,(O59*O59*(F59/O59)*(1-F59/O59))/L59))</f>
        <v>0.17926840448096806</v>
      </c>
      <c r="G61" s="18">
        <f>SQRT(SUM((O55*O55*(G55/O55)*(1-G55/O55))/L55,(O56*O56*(G56/O56)*(1-G56/O56))/L56,(O57*O57*(G57/O57)*(1-G57/O57))/L57,(O58*O58*(G58/O58)*(1-G58/O58))/L58,(O59*O59*(G59/O59)*(1-G59/O59))/L59))</f>
        <v>0.16284371363003494</v>
      </c>
      <c r="H61" s="1"/>
      <c r="I61" s="14">
        <f>(C55+D56+E57+F58+G59)/H60</f>
        <v>0.94564648576393595</v>
      </c>
      <c r="J61" s="53">
        <f>SQRT(SUM(P55:P59))/100</f>
        <v>2.1650824209556276E-3</v>
      </c>
      <c r="M61" s="1"/>
      <c r="N61" s="9"/>
      <c r="S61" s="75" t="s">
        <v>39</v>
      </c>
      <c r="T61" s="76">
        <f>J142</f>
        <v>0</v>
      </c>
      <c r="U61" s="76">
        <f>J143</f>
        <v>1.5448339983540125</v>
      </c>
      <c r="V61" s="76">
        <f>J144</f>
        <v>0.20720876007234476</v>
      </c>
      <c r="W61" s="76">
        <f>J145</f>
        <v>0.43925851678393524</v>
      </c>
      <c r="X61" s="76">
        <f>J146</f>
        <v>1.2603843944167425</v>
      </c>
      <c r="AC61" t="s">
        <v>150</v>
      </c>
      <c r="AD61" s="51"/>
      <c r="AE61" s="51"/>
      <c r="AH61">
        <v>1326</v>
      </c>
      <c r="AI61">
        <v>1337</v>
      </c>
    </row>
    <row r="62" spans="1:35" x14ac:dyDescent="0.3">
      <c r="B62" s="1" t="s">
        <v>30</v>
      </c>
      <c r="C62" s="17">
        <f>C55/C60*100</f>
        <v>100</v>
      </c>
      <c r="D62" s="17">
        <f>D56/D60*100</f>
        <v>77.137803782631352</v>
      </c>
      <c r="E62" s="17">
        <f>E57/E60*100</f>
        <v>98.552435966491515</v>
      </c>
      <c r="F62" s="17">
        <f>F58/F60*100</f>
        <v>91.117740690537886</v>
      </c>
      <c r="G62" s="17">
        <f>G59/G60*100</f>
        <v>87.93295837608423</v>
      </c>
      <c r="H62" s="1"/>
      <c r="S62" s="66" t="s">
        <v>56</v>
      </c>
      <c r="T62" s="67">
        <f>N131*100</f>
        <v>100</v>
      </c>
      <c r="U62" s="67">
        <f>N132*100</f>
        <v>78.227848101265835</v>
      </c>
      <c r="V62" s="67">
        <f>N133*100</f>
        <v>97.846448348943738</v>
      </c>
      <c r="W62" s="67">
        <f>N134*100</f>
        <v>92.704024069198951</v>
      </c>
      <c r="X62" s="67">
        <f>N135*100</f>
        <v>83.556507766470261</v>
      </c>
      <c r="AC62" t="s">
        <v>151</v>
      </c>
      <c r="AD62" s="51"/>
      <c r="AE62" s="51"/>
      <c r="AH62">
        <v>1355</v>
      </c>
      <c r="AI62">
        <v>1366</v>
      </c>
    </row>
    <row r="63" spans="1:35" x14ac:dyDescent="0.3">
      <c r="B63" s="16" t="s">
        <v>39</v>
      </c>
      <c r="C63" s="18">
        <f>SQRT((C66+C67)/(C60*C60))</f>
        <v>0</v>
      </c>
      <c r="D63" s="18">
        <f>SQRT((D66+D67)/(D60*D60))</f>
        <v>3.2325854252149879</v>
      </c>
      <c r="E63" s="18">
        <f>SQRT((E66+E67)/(E60*E60))</f>
        <v>0.16195508691224356</v>
      </c>
      <c r="F63" s="18">
        <f>SQRT((F66+F67)/(F60*F60))</f>
        <v>0.6181128715709886</v>
      </c>
      <c r="G63" s="18">
        <f>SQRT((G66+G67)/(G60*G60))</f>
        <v>1.8730135596041817</v>
      </c>
      <c r="H63" s="1"/>
      <c r="R63" s="16" t="s">
        <v>66</v>
      </c>
      <c r="S63" t="s">
        <v>9</v>
      </c>
      <c r="T63" s="30">
        <f>N142</f>
        <v>2580.46</v>
      </c>
      <c r="U63" s="30">
        <f>N143</f>
        <v>7620.76</v>
      </c>
      <c r="V63" s="30">
        <f>N144</f>
        <v>108278.85</v>
      </c>
      <c r="W63" s="30">
        <f>N145</f>
        <v>46533.66</v>
      </c>
      <c r="X63" s="30">
        <f>N146</f>
        <v>19367.14</v>
      </c>
      <c r="Z63" t="s">
        <v>36</v>
      </c>
      <c r="AA63" s="1">
        <f>N147</f>
        <v>184380.87</v>
      </c>
      <c r="AC63" t="s">
        <v>152</v>
      </c>
      <c r="AD63" s="51"/>
      <c r="AE63" s="51"/>
      <c r="AH63">
        <v>1384</v>
      </c>
      <c r="AI63">
        <v>1395</v>
      </c>
    </row>
    <row r="64" spans="1:35" ht="15.6" x14ac:dyDescent="0.35">
      <c r="B64" s="1" t="s">
        <v>37</v>
      </c>
      <c r="C64" s="18">
        <f>100-C62</f>
        <v>0</v>
      </c>
      <c r="D64" s="18">
        <f>100-D62</f>
        <v>22.862196217368648</v>
      </c>
      <c r="E64" s="18">
        <f>100-E62</f>
        <v>1.4475640335084847</v>
      </c>
      <c r="F64" s="18">
        <f>100-F62</f>
        <v>8.8822593094621141</v>
      </c>
      <c r="G64" s="18">
        <f>100-G62</f>
        <v>12.06704162391577</v>
      </c>
      <c r="R64" s="16" t="s">
        <v>323</v>
      </c>
      <c r="S64" t="s">
        <v>68</v>
      </c>
      <c r="T64" s="57">
        <f>$AA63*T56/100</f>
        <v>2580.46</v>
      </c>
      <c r="U64" s="57">
        <f>$AA63*U56/100</f>
        <v>9034.1486565282466</v>
      </c>
      <c r="V64" s="57">
        <f>$AA63*V56/100</f>
        <v>106184.69793567788</v>
      </c>
      <c r="W64" s="57">
        <f>$AA63*W56/100</f>
        <v>48611.582648970456</v>
      </c>
      <c r="X64" s="57">
        <f>$AA63*X56/100</f>
        <v>17969.980758823447</v>
      </c>
      <c r="Z64" t="s">
        <v>36</v>
      </c>
      <c r="AA64" s="25">
        <f>SUM(T64:X64)</f>
        <v>184380.87000000002</v>
      </c>
      <c r="AC64" t="s">
        <v>153</v>
      </c>
      <c r="AD64" s="51"/>
      <c r="AE64" s="51"/>
      <c r="AH64">
        <v>1413</v>
      </c>
      <c r="AI64">
        <v>1424</v>
      </c>
    </row>
    <row r="65" spans="1:51" ht="15.6" x14ac:dyDescent="0.35">
      <c r="B65" s="1" t="s">
        <v>25</v>
      </c>
      <c r="C65" s="1">
        <f>C49</f>
        <v>169</v>
      </c>
      <c r="D65" s="1">
        <f>D49</f>
        <v>452</v>
      </c>
      <c r="E65" s="1">
        <f>E49</f>
        <v>7236</v>
      </c>
      <c r="F65" s="1">
        <f>F49</f>
        <v>2707</v>
      </c>
      <c r="G65" s="1">
        <f>G49</f>
        <v>906</v>
      </c>
      <c r="R65" s="66"/>
      <c r="S65" s="66" t="s">
        <v>67</v>
      </c>
      <c r="T65" s="67">
        <f>$AA63*T57/100</f>
        <v>0</v>
      </c>
      <c r="U65" s="67">
        <f>$AA63*U57/100</f>
        <v>209.72807287257714</v>
      </c>
      <c r="V65" s="67">
        <f>$AA63*V57/100</f>
        <v>280.86104418981859</v>
      </c>
      <c r="W65" s="67">
        <f>$AA63*W57/100</f>
        <v>339.220529466198</v>
      </c>
      <c r="X65" s="67">
        <f>$AA63*X57/100</f>
        <v>312.22022766488971</v>
      </c>
      <c r="AA65" s="1"/>
      <c r="AC65" t="s">
        <v>154</v>
      </c>
      <c r="AD65" s="51"/>
      <c r="AE65" s="51"/>
      <c r="AH65">
        <v>1442</v>
      </c>
      <c r="AI65">
        <v>1453</v>
      </c>
    </row>
    <row r="66" spans="1:51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201.49843570827355</v>
      </c>
      <c r="E66" s="18">
        <f>(O57*O57*(100-E62)*(100-E62)*(I57)*(100-I57))/((L57-1)*100)</f>
        <v>3.1151902805588074</v>
      </c>
      <c r="F66" s="18">
        <f>(O58*O58*(100-F62)*(100-F62)*(I58)*(100-I58))/((L58-1)*100)</f>
        <v>95.89262860676611</v>
      </c>
      <c r="G66" s="18">
        <f>(O59*O59*(100-G62)*(100-G62)*(I59)*(100-I59))/((L59-1)*100)</f>
        <v>232.9768401084921</v>
      </c>
      <c r="R66" t="s">
        <v>98</v>
      </c>
      <c r="S66" t="s">
        <v>28</v>
      </c>
      <c r="T66" s="57">
        <f>C176</f>
        <v>1.4343461209209978</v>
      </c>
      <c r="U66" s="57">
        <f t="shared" ref="U66:X69" si="8">D176</f>
        <v>4.8788011917311396</v>
      </c>
      <c r="V66" s="57">
        <f t="shared" si="8"/>
        <v>57.670474360110283</v>
      </c>
      <c r="W66" s="57">
        <f t="shared" si="8"/>
        <v>26.425670813344421</v>
      </c>
      <c r="X66" s="57">
        <f t="shared" si="8"/>
        <v>9.5907075138931539</v>
      </c>
      <c r="Y66" s="13"/>
      <c r="Z66" s="74"/>
      <c r="AA66" s="12"/>
      <c r="AC66" t="s">
        <v>163</v>
      </c>
      <c r="AD66" s="51"/>
      <c r="AE66" s="51"/>
      <c r="AH66" s="78"/>
    </row>
    <row r="67" spans="1:51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52.669243102185973</v>
      </c>
      <c r="E67" s="18">
        <f>E62*E62*(SUM((H55*E55*(1-E44/H44))/(H44-1),(H56*E56*(1-E45/H45))/(H45-1), (H58*E58*(1-E47/H47))/(H47-1),(H59*E59*(1-E48/H48))/(H48-1)))</f>
        <v>85.101843273563659</v>
      </c>
      <c r="F67" s="18">
        <f>F62*F62*(SUM((H55*F55*(1-F44/H44))/(H44-1),(H56*F56*(1-F45/H45))/(H45-1), (H57*F57*(1-F46/H46))/(H46-1),(H59*F59*(1-F48/H48))/(H48-1)))</f>
        <v>166.07511222091699</v>
      </c>
      <c r="G67" s="18">
        <f>G62*G62*(SUM((H55*G55*(1-G44/H44))/(H44-1),(H56*G56*(1-G45/H45))/(H45-1), (H57*G57*(1-G46/H46))/(H46-1),(H58*G58*(1-G47/H47))/(H47-1)))</f>
        <v>81.494815856529684</v>
      </c>
      <c r="S67" s="66" t="s">
        <v>39</v>
      </c>
      <c r="T67" s="67">
        <f>C177</f>
        <v>0</v>
      </c>
      <c r="U67" s="67">
        <f t="shared" si="8"/>
        <v>0.11556803599448938</v>
      </c>
      <c r="V67" s="67">
        <f t="shared" si="8"/>
        <v>0.15272439015384243</v>
      </c>
      <c r="W67" s="67">
        <f t="shared" si="8"/>
        <v>0.18622055988418559</v>
      </c>
      <c r="X67" s="67">
        <f t="shared" si="8"/>
        <v>0.17158962627168881</v>
      </c>
      <c r="AC67" t="s">
        <v>164</v>
      </c>
      <c r="AD67" s="51"/>
      <c r="AE67" s="51"/>
      <c r="AI67" s="78"/>
    </row>
    <row r="68" spans="1:51" x14ac:dyDescent="0.3">
      <c r="S68" t="s">
        <v>30</v>
      </c>
      <c r="T68" s="57">
        <f>C178</f>
        <v>100</v>
      </c>
      <c r="U68" s="57">
        <f t="shared" si="8"/>
        <v>76.880193090063344</v>
      </c>
      <c r="V68" s="57">
        <f t="shared" si="8"/>
        <v>98.55069979956987</v>
      </c>
      <c r="W68" s="57">
        <f t="shared" si="8"/>
        <v>90.409276639614546</v>
      </c>
      <c r="X68" s="57">
        <f t="shared" si="8"/>
        <v>86.946381669646087</v>
      </c>
      <c r="AC68" t="s">
        <v>165</v>
      </c>
      <c r="AD68" s="51"/>
      <c r="AE68" s="51"/>
      <c r="AH68" s="2"/>
      <c r="AI68" s="2"/>
    </row>
    <row r="69" spans="1:51" x14ac:dyDescent="0.3">
      <c r="S69" s="66" t="s">
        <v>39</v>
      </c>
      <c r="T69" s="67">
        <f>C179</f>
        <v>0</v>
      </c>
      <c r="U69" s="67">
        <f t="shared" si="8"/>
        <v>3.5051043363912067</v>
      </c>
      <c r="V69" s="67">
        <f t="shared" si="8"/>
        <v>0.16341142601699263</v>
      </c>
      <c r="W69" s="67">
        <f t="shared" si="8"/>
        <v>0.65193634786098476</v>
      </c>
      <c r="X69" s="67">
        <f t="shared" si="8"/>
        <v>2.0653757460294737</v>
      </c>
      <c r="AC69" t="s">
        <v>166</v>
      </c>
      <c r="AD69" s="51"/>
      <c r="AE69" s="51"/>
    </row>
    <row r="70" spans="1:51" x14ac:dyDescent="0.3">
      <c r="A70" s="361" t="s">
        <v>449</v>
      </c>
      <c r="B70" s="361"/>
      <c r="C70" s="361"/>
      <c r="D70" s="361"/>
      <c r="E70" s="361"/>
      <c r="F70" s="361"/>
      <c r="G70" s="361"/>
      <c r="H70" s="361"/>
      <c r="I70" s="361"/>
      <c r="J70" s="361"/>
      <c r="K70" s="361"/>
      <c r="L70" s="361" t="s">
        <v>61</v>
      </c>
      <c r="M70" s="361"/>
      <c r="N70" s="361"/>
      <c r="O70" s="361"/>
      <c r="P70" s="361"/>
      <c r="S70" s="15" t="s">
        <v>31</v>
      </c>
      <c r="T70" s="71">
        <f>I171</f>
        <v>100</v>
      </c>
      <c r="U70" s="71">
        <f>I172</f>
        <v>90.265486725663735</v>
      </c>
      <c r="V70" s="71">
        <f>I173</f>
        <v>96.783349101229888</v>
      </c>
      <c r="W70" s="71">
        <f>I174</f>
        <v>94.467921628889741</v>
      </c>
      <c r="X70" s="71">
        <f>I175</f>
        <v>80.208333333333329</v>
      </c>
      <c r="AC70" t="s">
        <v>167</v>
      </c>
      <c r="AD70" s="51"/>
      <c r="AE70" s="51"/>
      <c r="AH70" s="2"/>
      <c r="AI70" s="2"/>
    </row>
    <row r="71" spans="1:51" x14ac:dyDescent="0.3">
      <c r="A71" t="s">
        <v>320</v>
      </c>
      <c r="B71" t="s">
        <v>21</v>
      </c>
      <c r="I71" s="1" t="s">
        <v>58</v>
      </c>
      <c r="O71" s="143"/>
      <c r="P71" s="143"/>
      <c r="S71" s="75" t="s">
        <v>39</v>
      </c>
      <c r="T71" s="76">
        <f>J171</f>
        <v>0</v>
      </c>
      <c r="U71" s="76">
        <f>J172</f>
        <v>1.6123511616510555</v>
      </c>
      <c r="V71" s="76">
        <f>J173</f>
        <v>0.20513753121822509</v>
      </c>
      <c r="W71" s="76">
        <f>J174</f>
        <v>0.4481595920955912</v>
      </c>
      <c r="X71" s="76">
        <f>J175</f>
        <v>1.2865943101448098</v>
      </c>
      <c r="AC71" t="s">
        <v>168</v>
      </c>
      <c r="AD71" s="51"/>
      <c r="AE71" s="51"/>
    </row>
    <row r="72" spans="1:51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56</v>
      </c>
      <c r="O72" s="13"/>
      <c r="P72" s="13"/>
      <c r="S72" s="66" t="s">
        <v>56</v>
      </c>
      <c r="T72" s="67">
        <f>N160*100</f>
        <v>100</v>
      </c>
      <c r="U72" s="67">
        <f>N161*100</f>
        <v>77.862595419847324</v>
      </c>
      <c r="V72" s="67">
        <f>N162*100</f>
        <v>97.85460508335612</v>
      </c>
      <c r="W72" s="67">
        <f>N163*100</f>
        <v>92.460988907689412</v>
      </c>
      <c r="X72" s="67">
        <f>N164*100</f>
        <v>82.751209027404627</v>
      </c>
      <c r="AC72" t="s">
        <v>159</v>
      </c>
      <c r="AD72" s="51"/>
      <c r="AE72" s="51"/>
      <c r="AH72" s="2"/>
      <c r="AI72" s="2"/>
    </row>
    <row r="73" spans="1:51" x14ac:dyDescent="0.3">
      <c r="A73" t="s">
        <v>3</v>
      </c>
      <c r="B73" s="13">
        <v>0</v>
      </c>
      <c r="C73" s="26">
        <v>169</v>
      </c>
      <c r="D73" s="3">
        <v>0</v>
      </c>
      <c r="E73" s="3">
        <v>0</v>
      </c>
      <c r="F73" s="3">
        <v>0</v>
      </c>
      <c r="G73" s="4">
        <v>0</v>
      </c>
      <c r="H73" s="1">
        <f>SUM(C73:G73)</f>
        <v>169</v>
      </c>
      <c r="I73" s="10">
        <f>C73/H73</f>
        <v>1</v>
      </c>
      <c r="J73" s="11">
        <f>1-I73</f>
        <v>0</v>
      </c>
      <c r="K73">
        <f>H73-C78</f>
        <v>0</v>
      </c>
      <c r="N73" s="10">
        <f>2*(C79*I73)/(C79+I73)</f>
        <v>1</v>
      </c>
      <c r="O73" s="1"/>
      <c r="P73" s="1"/>
      <c r="R73" s="16" t="s">
        <v>66</v>
      </c>
      <c r="S73" t="s">
        <v>9</v>
      </c>
      <c r="T73" s="1">
        <f>N171</f>
        <v>2644.66</v>
      </c>
      <c r="U73" s="1">
        <f>N172</f>
        <v>7661.64</v>
      </c>
      <c r="V73" s="1">
        <f>N173</f>
        <v>108275.07</v>
      </c>
      <c r="W73" s="1">
        <f>N174</f>
        <v>46630.55</v>
      </c>
      <c r="X73" s="1">
        <f>N175</f>
        <v>19168.96</v>
      </c>
      <c r="Z73" t="s">
        <v>36</v>
      </c>
      <c r="AA73" s="1">
        <f>N176</f>
        <v>184380.88</v>
      </c>
      <c r="AC73" t="s">
        <v>169</v>
      </c>
      <c r="AD73" s="51"/>
      <c r="AE73" s="51"/>
    </row>
    <row r="74" spans="1:51" ht="15.6" x14ac:dyDescent="0.35">
      <c r="A74" t="s">
        <v>4</v>
      </c>
      <c r="B74" s="13">
        <v>1</v>
      </c>
      <c r="C74" s="5">
        <v>0</v>
      </c>
      <c r="D74" s="27">
        <v>314</v>
      </c>
      <c r="E74" s="1">
        <v>22</v>
      </c>
      <c r="F74" s="1">
        <v>0</v>
      </c>
      <c r="G74" s="6">
        <v>3</v>
      </c>
      <c r="H74" s="1">
        <f>SUM(C74:G74)</f>
        <v>339</v>
      </c>
      <c r="I74" s="10">
        <f>D74/H74</f>
        <v>0.92625368731563418</v>
      </c>
      <c r="J74" s="11">
        <f>1-I74</f>
        <v>7.3746312684365822E-2</v>
      </c>
      <c r="K74">
        <f>H74-D78</f>
        <v>-108</v>
      </c>
      <c r="N74" s="10">
        <f>2*(D79*I74)/(D79+I74)</f>
        <v>0.79898218829516532</v>
      </c>
      <c r="O74" s="1"/>
      <c r="P74" s="1"/>
      <c r="R74" s="16" t="s">
        <v>323</v>
      </c>
      <c r="S74" t="s">
        <v>68</v>
      </c>
      <c r="T74" s="57">
        <f>$AA73*T66/100</f>
        <v>2644.66</v>
      </c>
      <c r="U74" s="57">
        <f>$AA73*U66/100</f>
        <v>8995.5765707643623</v>
      </c>
      <c r="V74" s="57">
        <f>$AA73*V66/100</f>
        <v>106333.32812534571</v>
      </c>
      <c r="W74" s="57">
        <f>$AA73*W66/100</f>
        <v>48723.884391547603</v>
      </c>
      <c r="X74" s="57">
        <f>$AA73*X66/100</f>
        <v>17683.430912342319</v>
      </c>
      <c r="Z74" t="s">
        <v>36</v>
      </c>
      <c r="AA74" s="25">
        <f>SUM(T74:X74)</f>
        <v>184380.88</v>
      </c>
      <c r="AC74" t="s">
        <v>170</v>
      </c>
      <c r="AD74" s="51"/>
      <c r="AE74" s="51"/>
      <c r="AH74" s="2"/>
      <c r="AI74" s="2"/>
    </row>
    <row r="75" spans="1:51" x14ac:dyDescent="0.3">
      <c r="A75" t="s">
        <v>5</v>
      </c>
      <c r="B75" s="13">
        <v>2</v>
      </c>
      <c r="C75" s="5">
        <v>0</v>
      </c>
      <c r="D75" s="1">
        <v>132</v>
      </c>
      <c r="E75" s="27">
        <v>7160</v>
      </c>
      <c r="F75" s="1">
        <v>94</v>
      </c>
      <c r="G75" s="6">
        <v>13</v>
      </c>
      <c r="H75" s="1">
        <f>SUM(C75:G75)</f>
        <v>7399</v>
      </c>
      <c r="I75" s="10">
        <f>E75/H75</f>
        <v>0.96769833761319102</v>
      </c>
      <c r="J75" s="11">
        <f>1-I75</f>
        <v>3.2301662386808982E-2</v>
      </c>
      <c r="K75">
        <f>H75-E78</f>
        <v>170</v>
      </c>
      <c r="N75" s="10">
        <f>2*(E79*I75)/(E79+I75)</f>
        <v>0.9789444900191413</v>
      </c>
      <c r="O75" s="1"/>
      <c r="P75" s="1"/>
      <c r="R75" s="66"/>
      <c r="S75" s="66" t="s">
        <v>67</v>
      </c>
      <c r="T75" s="67">
        <f>$AA73*T67/100</f>
        <v>0</v>
      </c>
      <c r="U75" s="67">
        <f>$AA73*U67/100</f>
        <v>213.08536176535628</v>
      </c>
      <c r="V75" s="67">
        <f>$AA73*V67/100</f>
        <v>281.59457454028802</v>
      </c>
      <c r="W75" s="67">
        <f>$AA73*W67/100</f>
        <v>343.35510705538837</v>
      </c>
      <c r="X75" s="67">
        <f>$AA73*X67/100</f>
        <v>316.37846290845101</v>
      </c>
      <c r="AA75" s="1"/>
      <c r="AC75" t="s">
        <v>171</v>
      </c>
      <c r="AD75" s="51"/>
      <c r="AE75" s="51"/>
    </row>
    <row r="76" spans="1:51" x14ac:dyDescent="0.3">
      <c r="A76" t="s">
        <v>6</v>
      </c>
      <c r="B76" s="13">
        <v>3</v>
      </c>
      <c r="C76" s="5">
        <v>0</v>
      </c>
      <c r="D76" s="1">
        <v>1</v>
      </c>
      <c r="E76" s="1">
        <v>27</v>
      </c>
      <c r="F76" s="27">
        <v>2469</v>
      </c>
      <c r="G76" s="6">
        <v>106</v>
      </c>
      <c r="H76" s="1">
        <f>SUM(C76:G76)</f>
        <v>2603</v>
      </c>
      <c r="I76" s="10">
        <f>F76/H76</f>
        <v>0.94852093737994625</v>
      </c>
      <c r="J76" s="11">
        <f>1-I76</f>
        <v>5.147906262005375E-2</v>
      </c>
      <c r="K76">
        <f>H76-F78</f>
        <v>-119</v>
      </c>
      <c r="N76" s="10">
        <f>2*(F79*I76)/(F79+I76)</f>
        <v>0.92732394366197179</v>
      </c>
      <c r="O76" s="1"/>
      <c r="P76" s="1"/>
      <c r="R76" t="s">
        <v>99</v>
      </c>
      <c r="S76" t="s">
        <v>28</v>
      </c>
      <c r="T76" s="57">
        <f>C205</f>
        <v>1.4446508770323687</v>
      </c>
      <c r="U76" s="57">
        <f t="shared" ref="U76:X79" si="9">D205</f>
        <v>4.8977311682366453</v>
      </c>
      <c r="V76" s="57">
        <f t="shared" si="9"/>
        <v>57.755698095831747</v>
      </c>
      <c r="W76" s="57">
        <f t="shared" si="9"/>
        <v>26.532862431786587</v>
      </c>
      <c r="X76" s="57">
        <f t="shared" si="9"/>
        <v>9.3690574271126312</v>
      </c>
      <c r="AC76" t="s">
        <v>172</v>
      </c>
      <c r="AD76" s="51"/>
      <c r="AE76" s="51"/>
      <c r="AH76" s="78"/>
      <c r="AI76" s="78"/>
    </row>
    <row r="77" spans="1:51" x14ac:dyDescent="0.3">
      <c r="A77" t="s">
        <v>7</v>
      </c>
      <c r="B77" s="13">
        <v>4</v>
      </c>
      <c r="C77" s="7">
        <v>0</v>
      </c>
      <c r="D77" s="8">
        <v>0</v>
      </c>
      <c r="E77" s="8">
        <v>20</v>
      </c>
      <c r="F77" s="8">
        <v>159</v>
      </c>
      <c r="G77" s="28">
        <v>781</v>
      </c>
      <c r="H77" s="1">
        <f>SUM(C77:G77)</f>
        <v>960</v>
      </c>
      <c r="I77" s="10">
        <f>G77/H77</f>
        <v>0.81354166666666672</v>
      </c>
      <c r="J77" s="11">
        <f>1-I77</f>
        <v>0.18645833333333328</v>
      </c>
      <c r="K77">
        <f>H77-G78</f>
        <v>57</v>
      </c>
      <c r="N77" s="10">
        <f>2*(G79*I77)/(G79+I77)</f>
        <v>0.83843263553408487</v>
      </c>
      <c r="O77" s="1"/>
      <c r="P77" s="1"/>
      <c r="S77" s="66" t="s">
        <v>39</v>
      </c>
      <c r="T77" s="67">
        <f>C206</f>
        <v>0</v>
      </c>
      <c r="U77" s="67">
        <f t="shared" si="9"/>
        <v>0.11579659653664175</v>
      </c>
      <c r="V77" s="67">
        <f t="shared" si="9"/>
        <v>0.15404506754599234</v>
      </c>
      <c r="W77" s="67">
        <f t="shared" si="9"/>
        <v>0.18116520925714921</v>
      </c>
      <c r="X77" s="67">
        <f t="shared" si="9"/>
        <v>0.16641306852784574</v>
      </c>
      <c r="AC77" t="s">
        <v>173</v>
      </c>
      <c r="AD77" s="51"/>
      <c r="AE77" s="51"/>
    </row>
    <row r="78" spans="1:51" ht="15.6" x14ac:dyDescent="0.35">
      <c r="B78" s="1" t="s">
        <v>19</v>
      </c>
      <c r="C78" s="1">
        <f>SUM(C73:C77)</f>
        <v>169</v>
      </c>
      <c r="D78" s="1">
        <f>SUM(D73:D77)</f>
        <v>447</v>
      </c>
      <c r="E78" s="1">
        <f>SUM(E73:E77)</f>
        <v>7229</v>
      </c>
      <c r="F78" s="1">
        <f>SUM(F73:F77)</f>
        <v>2722</v>
      </c>
      <c r="G78" s="1">
        <f>SUM(G73:G77)</f>
        <v>903</v>
      </c>
      <c r="H78" s="1">
        <f>SUM(H72:H77)</f>
        <v>11470</v>
      </c>
      <c r="I78" s="13" t="s">
        <v>12</v>
      </c>
      <c r="N78" s="16"/>
      <c r="O78" s="1"/>
      <c r="P78" s="1"/>
      <c r="S78" s="70" t="s">
        <v>30</v>
      </c>
      <c r="T78" s="64">
        <f>C207</f>
        <v>100</v>
      </c>
      <c r="U78" s="64">
        <f t="shared" si="9"/>
        <v>76.213970117934352</v>
      </c>
      <c r="V78" s="64">
        <f t="shared" si="9"/>
        <v>98.543855931992269</v>
      </c>
      <c r="W78" s="64">
        <f t="shared" si="9"/>
        <v>90.834509144272232</v>
      </c>
      <c r="X78" s="64">
        <f t="shared" si="9"/>
        <v>87.507881645866973</v>
      </c>
      <c r="AC78" t="s">
        <v>174</v>
      </c>
      <c r="AD78" s="51"/>
      <c r="AE78" s="51"/>
      <c r="AH78" s="78"/>
      <c r="AI78" s="78"/>
    </row>
    <row r="79" spans="1:51" x14ac:dyDescent="0.3">
      <c r="A79" s="1" t="s">
        <v>321</v>
      </c>
      <c r="B79" s="1" t="s">
        <v>2</v>
      </c>
      <c r="C79" s="10">
        <f>C73/C78</f>
        <v>1</v>
      </c>
      <c r="D79" s="10">
        <f>D74/D78</f>
        <v>0.70246085011185677</v>
      </c>
      <c r="E79" s="10">
        <f>E75/E78</f>
        <v>0.99045511135703412</v>
      </c>
      <c r="F79" s="10">
        <f>F76/F78</f>
        <v>0.90705363703159436</v>
      </c>
      <c r="G79" s="10">
        <f>G77/G78</f>
        <v>0.86489479512735323</v>
      </c>
      <c r="H79" s="10"/>
      <c r="I79" s="14">
        <f>(C73+D74+E75+F76+G77)/H78</f>
        <v>0.94969485614646909</v>
      </c>
      <c r="S79" s="66" t="s">
        <v>39</v>
      </c>
      <c r="T79" s="67">
        <f>C208</f>
        <v>0</v>
      </c>
      <c r="U79" s="67">
        <f t="shared" si="9"/>
        <v>3.5134665902875928</v>
      </c>
      <c r="V79" s="67">
        <f t="shared" si="9"/>
        <v>0.16313233442806205</v>
      </c>
      <c r="W79" s="67">
        <f t="shared" si="9"/>
        <v>0.6224888900815827</v>
      </c>
      <c r="X79" s="67">
        <f t="shared" si="9"/>
        <v>1.9856726281648043</v>
      </c>
      <c r="AC79" t="s">
        <v>175</v>
      </c>
      <c r="AD79" s="51"/>
      <c r="AE79" s="51"/>
    </row>
    <row r="80" spans="1:51" x14ac:dyDescent="0.3">
      <c r="B80" s="1" t="s">
        <v>14</v>
      </c>
      <c r="C80" s="11">
        <f>1-C79</f>
        <v>0</v>
      </c>
      <c r="D80" s="11">
        <f>1-D79</f>
        <v>0.29753914988814323</v>
      </c>
      <c r="E80" s="11">
        <f>1-E79</f>
        <v>9.5448886429658764E-3</v>
      </c>
      <c r="F80" s="11">
        <f>1-F79</f>
        <v>9.2946362968405638E-2</v>
      </c>
      <c r="G80" s="11">
        <f>1-G79</f>
        <v>0.13510520487264677</v>
      </c>
      <c r="S80" s="70" t="s">
        <v>31</v>
      </c>
      <c r="T80" s="64">
        <f>I200</f>
        <v>100</v>
      </c>
      <c r="U80" s="64">
        <f>I201</f>
        <v>90.560471976401189</v>
      </c>
      <c r="V80" s="64">
        <f>I202</f>
        <v>96.70225706176511</v>
      </c>
      <c r="W80" s="64">
        <f>I203</f>
        <v>94.852093737994622</v>
      </c>
      <c r="X80" s="64">
        <f>I204</f>
        <v>80.624999999999986</v>
      </c>
      <c r="AC80" t="s">
        <v>176</v>
      </c>
      <c r="AD80" s="51"/>
      <c r="AE80" s="51"/>
      <c r="AH80" s="78"/>
      <c r="AI80" s="78"/>
      <c r="AJ80" s="361" t="s">
        <v>450</v>
      </c>
      <c r="AK80" s="361"/>
      <c r="AL80" s="361"/>
      <c r="AM80" s="361"/>
      <c r="AN80" s="361"/>
      <c r="AO80" s="361"/>
      <c r="AP80" s="361"/>
      <c r="AQ80" s="361"/>
      <c r="AR80" s="361"/>
      <c r="AS80" s="361"/>
      <c r="AT80" s="361"/>
      <c r="AU80" s="361" t="s">
        <v>374</v>
      </c>
      <c r="AV80" s="361"/>
      <c r="AW80" s="361"/>
      <c r="AX80" s="361"/>
      <c r="AY80" s="361"/>
    </row>
    <row r="81" spans="1:51" x14ac:dyDescent="0.3">
      <c r="C81" s="2"/>
      <c r="S81" s="66" t="s">
        <v>39</v>
      </c>
      <c r="T81" s="67">
        <f>J200</f>
        <v>0</v>
      </c>
      <c r="U81" s="67">
        <f>J201</f>
        <v>1.5903258877181961</v>
      </c>
      <c r="V81" s="67">
        <f>J202</f>
        <v>0.20762016956856652</v>
      </c>
      <c r="W81" s="67">
        <f>J203</f>
        <v>0.4331966903475955</v>
      </c>
      <c r="X81" s="67">
        <f>J204</f>
        <v>1.2762813287985664</v>
      </c>
      <c r="AC81" t="s">
        <v>177</v>
      </c>
      <c r="AD81" s="51"/>
      <c r="AE81" s="51"/>
      <c r="AJ81" t="s">
        <v>320</v>
      </c>
      <c r="AK81" t="s">
        <v>21</v>
      </c>
      <c r="AR81" s="1" t="s">
        <v>58</v>
      </c>
    </row>
    <row r="82" spans="1:51" ht="15.6" x14ac:dyDescent="0.35">
      <c r="A82" t="s">
        <v>322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56</v>
      </c>
      <c r="T82" s="65">
        <f>N189*100</f>
        <v>100</v>
      </c>
      <c r="U82" s="65">
        <f>N190*100</f>
        <v>77.525252525252526</v>
      </c>
      <c r="V82" s="65">
        <f>N191*100</f>
        <v>97.806028296083653</v>
      </c>
      <c r="W82" s="65">
        <f>N192*100</f>
        <v>92.767236520758971</v>
      </c>
      <c r="X82" s="65">
        <f>N193*100</f>
        <v>83.40517241379311</v>
      </c>
      <c r="Z82" s="46"/>
      <c r="AA82" s="46"/>
      <c r="AC82" t="s">
        <v>178</v>
      </c>
      <c r="AD82" s="51"/>
      <c r="AE82" s="51"/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56</v>
      </c>
    </row>
    <row r="83" spans="1:51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66</v>
      </c>
      <c r="S83" t="s">
        <v>9</v>
      </c>
      <c r="T83" s="30">
        <f>N200</f>
        <v>2663.66</v>
      </c>
      <c r="U83" s="30">
        <f>N201</f>
        <v>7599.88</v>
      </c>
      <c r="V83" s="30">
        <f>N202</f>
        <v>108518.47</v>
      </c>
      <c r="W83" s="30">
        <f>N203</f>
        <v>46849.39</v>
      </c>
      <c r="X83" s="30">
        <f>N204</f>
        <v>18749.48</v>
      </c>
      <c r="Z83" t="s">
        <v>36</v>
      </c>
      <c r="AA83" s="1">
        <f>N205</f>
        <v>184380.88000000003</v>
      </c>
      <c r="AC83" t="s">
        <v>179</v>
      </c>
      <c r="AD83" s="51"/>
      <c r="AE83" s="51"/>
      <c r="AJ83" t="s">
        <v>3</v>
      </c>
      <c r="AK83" s="13">
        <v>0</v>
      </c>
      <c r="AL83" s="26">
        <v>169</v>
      </c>
      <c r="AM83" s="3">
        <v>0</v>
      </c>
      <c r="AN83" s="3">
        <v>0</v>
      </c>
      <c r="AO83" s="3">
        <v>0</v>
      </c>
      <c r="AP83" s="4">
        <v>0</v>
      </c>
      <c r="AQ83" s="1">
        <f>SUM(AL83:AP83)</f>
        <v>169</v>
      </c>
      <c r="AR83" s="10">
        <f>AL83/AQ83</f>
        <v>1</v>
      </c>
      <c r="AS83" s="11">
        <f>1-AR83</f>
        <v>0</v>
      </c>
      <c r="AT83">
        <f>AQ83-AL88</f>
        <v>0</v>
      </c>
      <c r="AW83" s="10">
        <f>2*(AL89*AR83)/(AL89+AR83)</f>
        <v>1</v>
      </c>
    </row>
    <row r="84" spans="1:51" ht="15.6" x14ac:dyDescent="0.35">
      <c r="A84" t="s">
        <v>3</v>
      </c>
      <c r="B84" s="13">
        <v>0</v>
      </c>
      <c r="C84" s="29">
        <f>(C73/$L84)*$O84</f>
        <v>1.4144199767351147</v>
      </c>
      <c r="D84" s="31">
        <f>(D73/$L84)*$O84</f>
        <v>0</v>
      </c>
      <c r="E84" s="31">
        <f>(E73/$L84)*$O84</f>
        <v>0</v>
      </c>
      <c r="F84" s="31">
        <f>(F73/$L84)*$O84</f>
        <v>0</v>
      </c>
      <c r="G84" s="32">
        <f>(G73/$L84)*$O84</f>
        <v>0</v>
      </c>
      <c r="H84" s="17">
        <f>SUM(C84:G84)</f>
        <v>1.4144199767351147</v>
      </c>
      <c r="I84" s="17">
        <f>C84/H84*100</f>
        <v>100</v>
      </c>
      <c r="J84" s="17">
        <f>SQRT(I84*(100-I84)/(L84-1))</f>
        <v>0</v>
      </c>
      <c r="K84" s="18">
        <f>100-I84</f>
        <v>0</v>
      </c>
      <c r="L84" s="1">
        <f>H73</f>
        <v>169</v>
      </c>
      <c r="M84">
        <v>0</v>
      </c>
      <c r="N84" s="1">
        <v>2607.92</v>
      </c>
      <c r="O84" s="17">
        <f>N84/N89*100</f>
        <v>1.4144199767351147</v>
      </c>
      <c r="P84" s="52">
        <f>((O84*O84*(I84/100)*(K84/100))/(L84-1))</f>
        <v>0</v>
      </c>
      <c r="R84" s="16" t="s">
        <v>323</v>
      </c>
      <c r="S84" t="s">
        <v>68</v>
      </c>
      <c r="T84" s="57">
        <f>$AA83*T76/100</f>
        <v>2663.66</v>
      </c>
      <c r="U84" s="57">
        <f>$AA83*U76/100</f>
        <v>9030.4798280290088</v>
      </c>
      <c r="V84" s="57">
        <f>$AA83*V76/100</f>
        <v>106490.46439923784</v>
      </c>
      <c r="W84" s="57">
        <f>$AA83*W76/100</f>
        <v>48921.525240917515</v>
      </c>
      <c r="X84" s="57">
        <f>$AA83*X76/100</f>
        <v>17274.750531815629</v>
      </c>
      <c r="Z84" t="s">
        <v>36</v>
      </c>
      <c r="AA84" s="25">
        <f>SUM(T84:X84)</f>
        <v>184380.88</v>
      </c>
      <c r="AC84" t="s">
        <v>180</v>
      </c>
      <c r="AD84" s="51"/>
      <c r="AE84" s="51"/>
      <c r="AH84" s="78"/>
      <c r="AI84" s="78"/>
      <c r="AJ84" t="s">
        <v>4</v>
      </c>
      <c r="AK84" s="13">
        <v>1</v>
      </c>
      <c r="AL84" s="5">
        <v>0</v>
      </c>
      <c r="AM84" s="27">
        <v>310</v>
      </c>
      <c r="AN84" s="1">
        <v>26</v>
      </c>
      <c r="AO84" s="1">
        <v>0</v>
      </c>
      <c r="AP84" s="6">
        <v>3</v>
      </c>
      <c r="AQ84" s="1">
        <f>SUM(AL84:AP84)</f>
        <v>339</v>
      </c>
      <c r="AR84" s="10">
        <f>AM84/AQ84</f>
        <v>0.91445427728613571</v>
      </c>
      <c r="AS84" s="11">
        <f>1-AR84</f>
        <v>8.5545722713864292E-2</v>
      </c>
      <c r="AT84">
        <f>AQ84-AM88</f>
        <v>-107</v>
      </c>
      <c r="AW84" s="10">
        <f>2*(AM89*AR84)/(AM89+AR84)</f>
        <v>0.78980891719745216</v>
      </c>
    </row>
    <row r="85" spans="1:51" x14ac:dyDescent="0.3">
      <c r="A85" t="s">
        <v>4</v>
      </c>
      <c r="B85" s="13">
        <v>1</v>
      </c>
      <c r="C85" s="33">
        <f t="shared" ref="C85:G88" si="10">(C74/$L85)*$O85</f>
        <v>0</v>
      </c>
      <c r="D85" s="34">
        <f t="shared" si="10"/>
        <v>3.9288130092447751</v>
      </c>
      <c r="E85" s="19">
        <f t="shared" si="10"/>
        <v>0.27526715351396513</v>
      </c>
      <c r="F85" s="18">
        <f t="shared" si="10"/>
        <v>0</v>
      </c>
      <c r="G85" s="20">
        <f t="shared" si="10"/>
        <v>3.7536430024631612E-2</v>
      </c>
      <c r="H85" s="17">
        <f>SUM(C85:G85)</f>
        <v>4.2416165927833713</v>
      </c>
      <c r="I85" s="17">
        <f>D85/H85*100</f>
        <v>92.625368731563427</v>
      </c>
      <c r="J85" s="17">
        <f>SQRT(I85*(100-I85)/(L85-1))</f>
        <v>1.4215979221853488</v>
      </c>
      <c r="K85" s="18">
        <f>100-I85</f>
        <v>7.3746312684365734</v>
      </c>
      <c r="L85" s="1">
        <f>H74</f>
        <v>339</v>
      </c>
      <c r="M85">
        <v>1</v>
      </c>
      <c r="N85" s="1">
        <v>7820.73</v>
      </c>
      <c r="O85" s="17">
        <f>N85/N89*100</f>
        <v>4.2416165927833722</v>
      </c>
      <c r="P85" s="52">
        <f>((O85*O85*(I85/100)*(K85/100))/(L85-1))</f>
        <v>3.6359372436237376E-3</v>
      </c>
      <c r="R85" s="66"/>
      <c r="S85" s="66" t="s">
        <v>67</v>
      </c>
      <c r="T85" s="67">
        <f>$AA83*T77/100</f>
        <v>0</v>
      </c>
      <c r="U85" s="67">
        <f>$AA83*U77/100</f>
        <v>213.50678370430961</v>
      </c>
      <c r="V85" s="67">
        <f>$AA83*V77/100</f>
        <v>284.02965113789514</v>
      </c>
      <c r="W85" s="67">
        <f>$AA83*W77/100</f>
        <v>334.03400708217328</v>
      </c>
      <c r="X85" s="67">
        <f>$AA83*X77/100</f>
        <v>306.83388018664505</v>
      </c>
      <c r="AA85" s="1"/>
      <c r="AC85" t="s">
        <v>181</v>
      </c>
      <c r="AD85" s="51"/>
      <c r="AE85" s="51"/>
      <c r="AJ85" t="s">
        <v>5</v>
      </c>
      <c r="AK85" s="13">
        <v>2</v>
      </c>
      <c r="AL85" s="5">
        <v>0</v>
      </c>
      <c r="AM85" s="1">
        <v>134</v>
      </c>
      <c r="AN85" s="27">
        <v>7160</v>
      </c>
      <c r="AO85" s="1">
        <v>91</v>
      </c>
      <c r="AP85" s="6">
        <v>14</v>
      </c>
      <c r="AQ85" s="1">
        <f>SUM(AL85:AP85)</f>
        <v>7399</v>
      </c>
      <c r="AR85" s="10">
        <f>AN85/AQ85</f>
        <v>0.96769833761319102</v>
      </c>
      <c r="AS85" s="11">
        <f>1-AR85</f>
        <v>3.2301662386808982E-2</v>
      </c>
      <c r="AT85">
        <f>AQ85-AN88</f>
        <v>167</v>
      </c>
      <c r="AW85" s="10">
        <f>2*(AN89*AR85)/(AN89+AR85)</f>
        <v>0.9787437632424304</v>
      </c>
    </row>
    <row r="86" spans="1:51" x14ac:dyDescent="0.3">
      <c r="A86" t="s">
        <v>5</v>
      </c>
      <c r="B86" s="13">
        <v>2</v>
      </c>
      <c r="C86" s="33">
        <f t="shared" si="10"/>
        <v>0</v>
      </c>
      <c r="D86" s="19">
        <f t="shared" si="10"/>
        <v>1.0511990774066451</v>
      </c>
      <c r="E86" s="34">
        <f t="shared" si="10"/>
        <v>57.019586319936202</v>
      </c>
      <c r="F86" s="19">
        <f t="shared" si="10"/>
        <v>0.74858116118351992</v>
      </c>
      <c r="G86" s="20">
        <f t="shared" si="10"/>
        <v>0.10352718186580595</v>
      </c>
      <c r="H86" s="17">
        <f>SUM(C86:G86)</f>
        <v>58.922893740392176</v>
      </c>
      <c r="I86" s="17">
        <f>E86/H86*100</f>
        <v>96.769833761319092</v>
      </c>
      <c r="J86" s="17">
        <f>SQRT(I86*(100-I86)/(L86-1))</f>
        <v>0.2055536868698877</v>
      </c>
      <c r="K86" s="18">
        <f>100-I86</f>
        <v>3.2301662386809085</v>
      </c>
      <c r="L86" s="1">
        <f>H75</f>
        <v>7399</v>
      </c>
      <c r="M86">
        <v>2</v>
      </c>
      <c r="N86" s="1">
        <v>108642.55</v>
      </c>
      <c r="O86" s="17">
        <f>N86/N89*100</f>
        <v>58.922893740392169</v>
      </c>
      <c r="P86" s="52">
        <f>((O86*O86*(I86/100)*(K86/100))/(L86-1))</f>
        <v>1.4669613646129294E-2</v>
      </c>
      <c r="R86" t="s">
        <v>100</v>
      </c>
      <c r="S86" s="70" t="s">
        <v>28</v>
      </c>
      <c r="T86" s="64">
        <f>C234</f>
        <v>1.3969344326808721</v>
      </c>
      <c r="U86" s="64">
        <f t="shared" ref="U86:X89" si="11">D234</f>
        <v>4.7860301879965279</v>
      </c>
      <c r="V86" s="64">
        <f t="shared" si="11"/>
        <v>57.938002518362467</v>
      </c>
      <c r="W86" s="64">
        <f t="shared" si="11"/>
        <v>25.851389395587038</v>
      </c>
      <c r="X86" s="64">
        <f t="shared" si="11"/>
        <v>10.027643465373094</v>
      </c>
      <c r="AA86" s="12"/>
      <c r="AC86" t="s">
        <v>182</v>
      </c>
      <c r="AD86" s="51"/>
      <c r="AE86" s="51"/>
      <c r="AH86" s="78"/>
      <c r="AI86" s="78"/>
      <c r="AJ86" t="s">
        <v>6</v>
      </c>
      <c r="AK86" s="13">
        <v>3</v>
      </c>
      <c r="AL86" s="5">
        <v>0</v>
      </c>
      <c r="AM86" s="1">
        <v>2</v>
      </c>
      <c r="AN86" s="1">
        <v>27</v>
      </c>
      <c r="AO86" s="27">
        <v>2481</v>
      </c>
      <c r="AP86" s="6">
        <v>93</v>
      </c>
      <c r="AQ86" s="1">
        <f>SUM(AL86:AP86)</f>
        <v>2603</v>
      </c>
      <c r="AR86" s="10">
        <f>AO86/AQ86</f>
        <v>0.95313100268920481</v>
      </c>
      <c r="AS86" s="11">
        <f>1-AR86</f>
        <v>4.6868997310795191E-2</v>
      </c>
      <c r="AT86">
        <f>AQ86-AO88</f>
        <v>-134</v>
      </c>
      <c r="AW86" s="10">
        <f>2*(AO89*AR86)/(AO89+AR86)</f>
        <v>0.92921348314606744</v>
      </c>
    </row>
    <row r="87" spans="1:51" x14ac:dyDescent="0.3">
      <c r="A87" t="s">
        <v>6</v>
      </c>
      <c r="B87" s="13">
        <v>3</v>
      </c>
      <c r="C87" s="33">
        <f t="shared" si="10"/>
        <v>0</v>
      </c>
      <c r="D87" s="19">
        <f t="shared" si="10"/>
        <v>9.6123161720291037E-3</v>
      </c>
      <c r="E87" s="19">
        <f t="shared" si="10"/>
        <v>0.25953253664478582</v>
      </c>
      <c r="F87" s="34">
        <f t="shared" si="10"/>
        <v>23.732808628739857</v>
      </c>
      <c r="G87" s="20">
        <f t="shared" si="10"/>
        <v>1.0189055142350849</v>
      </c>
      <c r="H87" s="17">
        <f>SUM(C87:G87)</f>
        <v>25.020858995791755</v>
      </c>
      <c r="I87" s="17">
        <f>F87/H87*100</f>
        <v>94.852093737994622</v>
      </c>
      <c r="J87" s="17">
        <f>SQRT(I87*(100-I87)/(L87-1))</f>
        <v>0.4331966903475955</v>
      </c>
      <c r="K87" s="18">
        <f>100-I87</f>
        <v>5.1479062620053782</v>
      </c>
      <c r="L87" s="1">
        <f>H76</f>
        <v>2603</v>
      </c>
      <c r="M87">
        <v>3</v>
      </c>
      <c r="N87" s="1">
        <v>46133.68</v>
      </c>
      <c r="O87" s="17">
        <f>N87/N89*100</f>
        <v>25.020858995791755</v>
      </c>
      <c r="P87" s="52">
        <f>((O87*O87*(I87/100)*(K87/100))/(L87-1))</f>
        <v>1.1748290878332384E-2</v>
      </c>
      <c r="S87" s="66" t="s">
        <v>39</v>
      </c>
      <c r="T87" s="67">
        <f>C235</f>
        <v>0</v>
      </c>
      <c r="U87" s="67">
        <f t="shared" si="11"/>
        <v>0.11483596869519197</v>
      </c>
      <c r="V87" s="67">
        <f t="shared" si="11"/>
        <v>0.15307714692250279</v>
      </c>
      <c r="W87" s="67">
        <f t="shared" si="11"/>
        <v>0.18267773597013418</v>
      </c>
      <c r="X87" s="67">
        <f t="shared" si="11"/>
        <v>0.1679848128233821</v>
      </c>
      <c r="AC87" t="s">
        <v>183</v>
      </c>
      <c r="AD87" s="51"/>
      <c r="AE87" s="51"/>
      <c r="AJ87" t="s">
        <v>7</v>
      </c>
      <c r="AK87" s="13">
        <v>4</v>
      </c>
      <c r="AL87" s="7">
        <v>0</v>
      </c>
      <c r="AM87" s="8">
        <v>0</v>
      </c>
      <c r="AN87" s="8">
        <v>19</v>
      </c>
      <c r="AO87" s="8">
        <v>165</v>
      </c>
      <c r="AP87" s="28">
        <v>776</v>
      </c>
      <c r="AQ87" s="1">
        <f>SUM(AL87:AP87)</f>
        <v>960</v>
      </c>
      <c r="AR87" s="10">
        <f>AP87/AQ87</f>
        <v>0.80833333333333335</v>
      </c>
      <c r="AS87" s="11">
        <f>1-AR87</f>
        <v>0.19166666666666665</v>
      </c>
      <c r="AT87">
        <f>AQ87-AP88</f>
        <v>74</v>
      </c>
      <c r="AW87" s="10">
        <f>2*(AP89*AR87)/(AP89+AR87)</f>
        <v>0.84073672806067157</v>
      </c>
    </row>
    <row r="88" spans="1:51" ht="15.6" x14ac:dyDescent="0.35">
      <c r="A88" t="s">
        <v>7</v>
      </c>
      <c r="B88" s="13">
        <v>4</v>
      </c>
      <c r="C88" s="35">
        <f t="shared" si="10"/>
        <v>0</v>
      </c>
      <c r="D88" s="36">
        <f t="shared" si="10"/>
        <v>0</v>
      </c>
      <c r="E88" s="21">
        <f t="shared" si="10"/>
        <v>0.21667105613119969</v>
      </c>
      <c r="F88" s="21">
        <f t="shared" si="10"/>
        <v>1.7225348962430376</v>
      </c>
      <c r="G88" s="37">
        <f t="shared" si="10"/>
        <v>8.4610047419233485</v>
      </c>
      <c r="H88" s="17">
        <f>SUM(C88:G88)</f>
        <v>10.400210694297586</v>
      </c>
      <c r="I88" s="17">
        <f>G88/H88*100</f>
        <v>81.354166666666657</v>
      </c>
      <c r="J88" s="17">
        <f>SQRT(I88*(100-I88)/(L88-1))</f>
        <v>1.2576838837515047</v>
      </c>
      <c r="K88" s="18">
        <f>100-I88</f>
        <v>18.645833333333343</v>
      </c>
      <c r="L88" s="1">
        <f>H77</f>
        <v>960</v>
      </c>
      <c r="M88">
        <v>4</v>
      </c>
      <c r="N88" s="1">
        <v>19176</v>
      </c>
      <c r="O88" s="17">
        <f>N88/N89*100</f>
        <v>10.400210694297586</v>
      </c>
      <c r="P88" s="52">
        <f>((O88*O88*(I88/100)*(K88/100))/(L88-1))</f>
        <v>1.7109104023570815E-2</v>
      </c>
      <c r="S88" t="s">
        <v>30</v>
      </c>
      <c r="T88" s="57">
        <f>C236</f>
        <v>100</v>
      </c>
      <c r="U88" s="57">
        <f t="shared" si="11"/>
        <v>76.642786190668957</v>
      </c>
      <c r="V88" s="57">
        <f t="shared" si="11"/>
        <v>98.548554118932913</v>
      </c>
      <c r="W88" s="57">
        <f t="shared" si="11"/>
        <v>91.067621218478322</v>
      </c>
      <c r="X88" s="57">
        <f t="shared" si="11"/>
        <v>87.289855697770605</v>
      </c>
      <c r="AC88" t="s">
        <v>184</v>
      </c>
      <c r="AD88" s="51"/>
      <c r="AE88" s="51"/>
      <c r="AH88" s="78"/>
      <c r="AI88" s="78"/>
      <c r="AK88" s="1" t="s">
        <v>19</v>
      </c>
      <c r="AL88" s="1">
        <f>SUM(AL83:AL87)</f>
        <v>169</v>
      </c>
      <c r="AM88" s="1">
        <f>SUM(AM83:AM87)</f>
        <v>446</v>
      </c>
      <c r="AN88" s="1">
        <f>SUM(AN83:AN87)</f>
        <v>7232</v>
      </c>
      <c r="AO88" s="1">
        <f>SUM(AO83:AO87)</f>
        <v>2737</v>
      </c>
      <c r="AP88" s="1">
        <f>SUM(AP83:AP87)</f>
        <v>886</v>
      </c>
      <c r="AQ88" s="1">
        <f>SUM(AQ82:AQ87)</f>
        <v>11470</v>
      </c>
      <c r="AR88" s="13" t="s">
        <v>12</v>
      </c>
    </row>
    <row r="89" spans="1:51" x14ac:dyDescent="0.3">
      <c r="B89" t="s">
        <v>28</v>
      </c>
      <c r="C89" s="17">
        <f>SUM(C84:C88)</f>
        <v>1.4144199767351147</v>
      </c>
      <c r="D89" s="17">
        <f>SUM(D84:D88)</f>
        <v>4.9896244028234493</v>
      </c>
      <c r="E89" s="17">
        <f>SUM(E84:E88)</f>
        <v>57.771057066226149</v>
      </c>
      <c r="F89" s="17">
        <f>SUM(F84:F88)</f>
        <v>26.203924686166413</v>
      </c>
      <c r="G89" s="17">
        <f>SUM(G84:G88)</f>
        <v>9.6209738680488712</v>
      </c>
      <c r="H89" s="1">
        <f>SUM(H83:H88)</f>
        <v>100</v>
      </c>
      <c r="I89" s="13" t="s">
        <v>24</v>
      </c>
      <c r="J89" s="12" t="s">
        <v>29</v>
      </c>
      <c r="N89" s="1">
        <f>SUM(N84:N88)</f>
        <v>184380.88</v>
      </c>
      <c r="O89" s="17">
        <f>SUM(O84:O88)</f>
        <v>100</v>
      </c>
      <c r="S89" s="66" t="s">
        <v>39</v>
      </c>
      <c r="T89" s="67">
        <f>C237</f>
        <v>0</v>
      </c>
      <c r="U89" s="67">
        <f t="shared" si="11"/>
        <v>3.5800516021410025</v>
      </c>
      <c r="V89" s="67">
        <f t="shared" si="11"/>
        <v>0.16245209835274693</v>
      </c>
      <c r="W89" s="67">
        <f t="shared" si="11"/>
        <v>0.63901901797106686</v>
      </c>
      <c r="X89" s="67">
        <f t="shared" si="11"/>
        <v>1.8834822427794871</v>
      </c>
      <c r="AC89" t="s">
        <v>185</v>
      </c>
      <c r="AD89" s="51"/>
      <c r="AE89" s="51"/>
      <c r="AJ89" s="1" t="s">
        <v>321</v>
      </c>
      <c r="AK89" s="1" t="s">
        <v>2</v>
      </c>
      <c r="AL89" s="10">
        <f>AL83/AL88</f>
        <v>1</v>
      </c>
      <c r="AM89" s="10">
        <f>AM84/AM88</f>
        <v>0.69506726457399104</v>
      </c>
      <c r="AN89" s="10">
        <f>AN85/AN88</f>
        <v>0.99004424778761058</v>
      </c>
      <c r="AO89" s="10">
        <f>AO86/AO88</f>
        <v>0.90646693459992689</v>
      </c>
      <c r="AP89" s="10">
        <f>AP87/AP88</f>
        <v>0.87584650112866813</v>
      </c>
      <c r="AQ89" s="10"/>
      <c r="AR89" s="14">
        <f>(AL83+AM84+AN85+AO86+AP87)/AQ88</f>
        <v>0.94995640802092418</v>
      </c>
    </row>
    <row r="90" spans="1:51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0</v>
      </c>
      <c r="D90" s="18">
        <f>SQRT(SUM((O84*O84*(D84/O84)*(1-D84/O84))/L84,(O85*O85*(D85/O85)*(1-D85/O85))/L85,(O86*O86*(D86/O86)*(1-D86/O86))/L86,(O87*O87*(D87/O87)*(1-D87/O87))/L87,(O88*O88*(D88/O88)*(1-D88/O88))/L88))</f>
        <v>0.10926841080810219</v>
      </c>
      <c r="E90" s="18">
        <f>SQRT(SUM((O84*O84*(E84/O84)*(1-E84/O84))/L84,(O85*O85*(E85/O85)*(1-E85/O85))/L85,(O86*O86*(E86/O86)*(1-E86/O86))/L86,(O87*O87*(E87/O87)*(1-E87/O87))/L87,(O88*O88*(E88/O88)*(1-E88/O88))/L88))</f>
        <v>0.15051758630845127</v>
      </c>
      <c r="F90" s="18">
        <f>SQRT(SUM((O84*O84*(F84/O84)*(1-F84/O84))/L84,(O85*O85*(F85/O85)*(1-F85/O85))/L85,(O86*O86*(F86/O86)*(1-F86/O86))/L86,(O87*O87*(F87/O87)*(1-F87/O87))/L87,(O88*O88*(F88/O88)*(1-F88/O88))/L88))</f>
        <v>0.18220834240075759</v>
      </c>
      <c r="G90" s="18">
        <f>SQRT(SUM((O84*O84*(G84/O84)*(1-G84/O84))/L84,(O85*O85*(G85/O85)*(1-G85/O85))/L85,(O86*O86*(G86/O86)*(1-G86/O86))/L86,(O87*O87*(G87/O87)*(1-G87/O87))/L87,(O88*O88*(G88/O88)*(1-G88/O88))/L88))</f>
        <v>0.16665832436106229</v>
      </c>
      <c r="H90" s="1"/>
      <c r="I90" s="14">
        <f>(C84+D85+E86+F87+G88)/H89</f>
        <v>0.945566326765793</v>
      </c>
      <c r="J90" s="53">
        <f>SQRT(SUM(P84:P88))/100</f>
        <v>2.1717031517142537E-3</v>
      </c>
      <c r="M90" s="1"/>
      <c r="N90" s="9"/>
      <c r="S90" t="s">
        <v>31</v>
      </c>
      <c r="T90" s="57">
        <f>I229</f>
        <v>100</v>
      </c>
      <c r="U90" s="57">
        <f>I230</f>
        <v>89.970501474926252</v>
      </c>
      <c r="V90" s="57">
        <f>I231</f>
        <v>96.783349101229902</v>
      </c>
      <c r="W90" s="57">
        <f>I232</f>
        <v>94.314252785247788</v>
      </c>
      <c r="X90" s="57">
        <f>I233</f>
        <v>82.8125</v>
      </c>
      <c r="AC90" t="s">
        <v>186</v>
      </c>
      <c r="AD90" s="51"/>
      <c r="AE90" s="51"/>
      <c r="AH90" s="78"/>
      <c r="AI90" s="78"/>
      <c r="AK90" s="1" t="s">
        <v>14</v>
      </c>
      <c r="AL90" s="11">
        <f>1-AL89</f>
        <v>0</v>
      </c>
      <c r="AM90" s="11">
        <f>1-AM89</f>
        <v>0.30493273542600896</v>
      </c>
      <c r="AN90" s="11">
        <f>1-AN89</f>
        <v>9.9557522123894238E-3</v>
      </c>
      <c r="AO90" s="11">
        <f>1-AO89</f>
        <v>9.3533065400073112E-2</v>
      </c>
      <c r="AP90" s="11">
        <f>1-AP89</f>
        <v>0.12415349887133187</v>
      </c>
    </row>
    <row r="91" spans="1:51" x14ac:dyDescent="0.3">
      <c r="B91" s="1" t="s">
        <v>30</v>
      </c>
      <c r="C91" s="17">
        <f>C84/C89*100</f>
        <v>100</v>
      </c>
      <c r="D91" s="17">
        <f>D85/D89*100</f>
        <v>78.739654372012467</v>
      </c>
      <c r="E91" s="17">
        <f>E86/E89*100</f>
        <v>98.699226248485473</v>
      </c>
      <c r="F91" s="17">
        <f>F87/F89*100</f>
        <v>90.569671959364513</v>
      </c>
      <c r="G91" s="17">
        <f>G88/G89*100</f>
        <v>87.943329417224959</v>
      </c>
      <c r="H91" s="1"/>
      <c r="S91" s="66" t="s">
        <v>39</v>
      </c>
      <c r="T91" s="67">
        <f>J229</f>
        <v>0</v>
      </c>
      <c r="U91" s="67">
        <f>J230</f>
        <v>1.6339220356155837</v>
      </c>
      <c r="V91" s="67">
        <f>J231</f>
        <v>0.20513753121822467</v>
      </c>
      <c r="W91" s="67">
        <f>J232</f>
        <v>0.45397171186641844</v>
      </c>
      <c r="X91" s="67">
        <f>J233</f>
        <v>1.2182740675223689</v>
      </c>
      <c r="AC91" t="s">
        <v>187</v>
      </c>
      <c r="AD91" s="51"/>
      <c r="AE91" s="51"/>
      <c r="AL91" s="2"/>
    </row>
    <row r="92" spans="1:51" ht="15.6" x14ac:dyDescent="0.35">
      <c r="B92" s="16" t="s">
        <v>39</v>
      </c>
      <c r="C92" s="18">
        <f>SQRT((C95+C96)/(C89*C89))</f>
        <v>0</v>
      </c>
      <c r="D92" s="18">
        <f>SQRT((D95+D96)/(D89*D89))</f>
        <v>2.9448239881145315</v>
      </c>
      <c r="E92" s="18">
        <f>SQRT((E95+E96)/(E89*E89))</f>
        <v>0.15523060046685197</v>
      </c>
      <c r="F92" s="18">
        <f>SQRT((F95+F96)/(F89*F89))</f>
        <v>0.63928279036763935</v>
      </c>
      <c r="G92" s="18">
        <f>SQRT((G95+G96)/(G89*G89))</f>
        <v>1.8920749710360867</v>
      </c>
      <c r="H92" s="1"/>
      <c r="S92" s="66" t="s">
        <v>56</v>
      </c>
      <c r="T92" s="67">
        <f>N218*100</f>
        <v>100</v>
      </c>
      <c r="U92" s="67">
        <f>N219*100</f>
        <v>77.806122448979593</v>
      </c>
      <c r="V92" s="67">
        <f>N220*100</f>
        <v>97.847919655667141</v>
      </c>
      <c r="W92" s="67">
        <f>N221*100</f>
        <v>92.781557067271351</v>
      </c>
      <c r="X92" s="67">
        <f>N222*100</f>
        <v>84.171519322392783</v>
      </c>
      <c r="AC92" t="s">
        <v>188</v>
      </c>
      <c r="AD92" s="51"/>
      <c r="AE92" s="51"/>
      <c r="AH92" s="78"/>
      <c r="AI92" s="78"/>
      <c r="AJ92" t="s">
        <v>322</v>
      </c>
      <c r="AK92" s="15" t="s">
        <v>23</v>
      </c>
      <c r="AW92" s="12" t="s">
        <v>17</v>
      </c>
      <c r="AX92" s="1" t="s">
        <v>27</v>
      </c>
      <c r="AY92" s="1" t="s">
        <v>33</v>
      </c>
    </row>
    <row r="93" spans="1:51" ht="15.6" x14ac:dyDescent="0.35">
      <c r="B93" s="1" t="s">
        <v>37</v>
      </c>
      <c r="C93" s="18">
        <f>100-C91</f>
        <v>0</v>
      </c>
      <c r="D93" s="18">
        <f>100-D91</f>
        <v>21.260345627987533</v>
      </c>
      <c r="E93" s="18">
        <f>100-E91</f>
        <v>1.3007737515145266</v>
      </c>
      <c r="F93" s="18">
        <f>100-F91</f>
        <v>9.4303280406354872</v>
      </c>
      <c r="G93" s="18">
        <f>100-G91</f>
        <v>12.056670582775041</v>
      </c>
      <c r="R93" s="16" t="s">
        <v>66</v>
      </c>
      <c r="S93" t="s">
        <v>9</v>
      </c>
      <c r="T93" s="30">
        <f>N229</f>
        <v>2575.6799999999998</v>
      </c>
      <c r="U93" s="30">
        <f>N230</f>
        <v>7517.31</v>
      </c>
      <c r="V93" s="30">
        <f>N231</f>
        <v>108774.98</v>
      </c>
      <c r="W93" s="30">
        <f>N232</f>
        <v>46024.22</v>
      </c>
      <c r="X93" s="30">
        <f>N233</f>
        <v>19488.689999999999</v>
      </c>
      <c r="Z93" t="s">
        <v>36</v>
      </c>
      <c r="AA93" s="1">
        <f>N234</f>
        <v>184380.88</v>
      </c>
      <c r="AC93" t="s">
        <v>189</v>
      </c>
      <c r="AD93" s="51"/>
      <c r="AE93" s="51"/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</row>
    <row r="94" spans="1:51" ht="15.6" x14ac:dyDescent="0.35">
      <c r="B94" s="1" t="s">
        <v>25</v>
      </c>
      <c r="C94" s="1">
        <f>C78</f>
        <v>169</v>
      </c>
      <c r="D94" s="1">
        <f>D78</f>
        <v>447</v>
      </c>
      <c r="E94" s="1">
        <f>E78</f>
        <v>7229</v>
      </c>
      <c r="F94" s="1">
        <f>F78</f>
        <v>2722</v>
      </c>
      <c r="G94" s="1">
        <f>G78</f>
        <v>903</v>
      </c>
      <c r="R94" s="16" t="s">
        <v>323</v>
      </c>
      <c r="S94" t="s">
        <v>68</v>
      </c>
      <c r="T94" s="57">
        <f>$AA93*T86/100</f>
        <v>2575.6799999999998</v>
      </c>
      <c r="U94" s="57">
        <f>$AA93*U86/100</f>
        <v>8824.5245776936536</v>
      </c>
      <c r="V94" s="57">
        <f>$AA93*V86/100</f>
        <v>106826.59889777888</v>
      </c>
      <c r="W94" s="57">
        <f>$AA93*W86/100</f>
        <v>47665.019259810069</v>
      </c>
      <c r="X94" s="57">
        <f>$AA93*X86/100</f>
        <v>18489.057264717409</v>
      </c>
      <c r="Z94" t="s">
        <v>36</v>
      </c>
      <c r="AA94" s="25">
        <f>SUM(T94:X94)</f>
        <v>184380.88</v>
      </c>
      <c r="AC94" t="s">
        <v>190</v>
      </c>
      <c r="AD94" s="51"/>
      <c r="AE94" s="51"/>
      <c r="AH94" s="78"/>
      <c r="AI94" s="78"/>
      <c r="AJ94" t="s">
        <v>3</v>
      </c>
      <c r="AK94" s="13">
        <v>0</v>
      </c>
      <c r="AL94" s="29">
        <f>(AL83/$AU94)*$AX94</f>
        <v>1.4147128487509117</v>
      </c>
      <c r="AM94" s="31">
        <f t="shared" ref="AM94:AO95" si="12">(AM83/$AU94)*$AX94</f>
        <v>0</v>
      </c>
      <c r="AN94" s="31">
        <f t="shared" si="12"/>
        <v>0</v>
      </c>
      <c r="AO94" s="31">
        <f t="shared" si="12"/>
        <v>0</v>
      </c>
      <c r="AP94" s="32">
        <f>(AP83/$AU94)*$AX94</f>
        <v>0</v>
      </c>
      <c r="AQ94" s="17">
        <f>SUM(AL94:AP94)</f>
        <v>1.4147128487509117</v>
      </c>
      <c r="AR94" s="17">
        <f>AL94/AQ94*100</f>
        <v>100</v>
      </c>
      <c r="AS94" s="17">
        <f>SQRT(AR94*(100-AR94)/(AU94-1))</f>
        <v>0</v>
      </c>
      <c r="AT94" s="18">
        <f>100-AR94</f>
        <v>0</v>
      </c>
      <c r="AU94" s="1">
        <f>AQ83</f>
        <v>169</v>
      </c>
      <c r="AV94">
        <v>0</v>
      </c>
      <c r="AW94" s="1">
        <v>2608.46</v>
      </c>
      <c r="AX94" s="17">
        <f>AW94/AW99*100</f>
        <v>1.4147128487509117</v>
      </c>
      <c r="AY94" s="52">
        <f>((AX94*AX94*(AR94/100)*(AT94/100))/(AU94-1))</f>
        <v>0</v>
      </c>
    </row>
    <row r="95" spans="1:51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164.3451983035159</v>
      </c>
      <c r="E95" s="18">
        <f>(O86*O86*(100-E91)*(100-E91)*(I86)*(100-I86))/((L86-1)*100)</f>
        <v>2.482116749754828</v>
      </c>
      <c r="F95" s="18">
        <f>(O87*O87*(100-F91)*(100-F91)*(I87)*(100-I87))/((L87-1)*100)</f>
        <v>104.47882776618147</v>
      </c>
      <c r="G95" s="18">
        <f>(O88*O88*(100-G91)*(100-G91)*(I88)*(100-I88))/((L88-1)*100)</f>
        <v>248.70359157205385</v>
      </c>
      <c r="R95" s="66"/>
      <c r="S95" s="66" t="s">
        <v>67</v>
      </c>
      <c r="T95" s="67">
        <f>$AA93*T87/100</f>
        <v>0</v>
      </c>
      <c r="U95" s="67">
        <f>$AA93*U87/100</f>
        <v>211.73556963671948</v>
      </c>
      <c r="V95" s="67">
        <f>$AA93*V87/100</f>
        <v>282.24499057460361</v>
      </c>
      <c r="W95" s="67">
        <f>$AA93*W87/100</f>
        <v>336.82281714580995</v>
      </c>
      <c r="X95" s="67">
        <f>$AA93*X87/100</f>
        <v>309.73187615010477</v>
      </c>
      <c r="AA95" s="1"/>
      <c r="AC95" t="s">
        <v>191</v>
      </c>
      <c r="AD95" s="51"/>
      <c r="AE95" s="51"/>
      <c r="AJ95" t="s">
        <v>4</v>
      </c>
      <c r="AK95" s="13">
        <v>1</v>
      </c>
      <c r="AL95" s="33">
        <f t="shared" ref="AL95:AO98" si="13">(AL84/$AU95)*$AX95</f>
        <v>0</v>
      </c>
      <c r="AM95" s="34">
        <f>(AM84/$AU95)*$AX95</f>
        <v>3.8021387109982832</v>
      </c>
      <c r="AN95" s="19">
        <f t="shared" si="12"/>
        <v>0.31888905318050115</v>
      </c>
      <c r="AO95" s="18">
        <f t="shared" si="12"/>
        <v>0</v>
      </c>
      <c r="AP95" s="20">
        <f>(AP84/$AU95)*$AX95</f>
        <v>3.6794890751596289E-2</v>
      </c>
      <c r="AQ95" s="17">
        <f>SUM(AL95:AP95)</f>
        <v>4.1578226549303805</v>
      </c>
      <c r="AR95" s="17">
        <f>AM95/AQ95*100</f>
        <v>91.445427728613566</v>
      </c>
      <c r="AS95" s="17">
        <f>SQRT(AR95*(100-AR95)/(AU95-1))</f>
        <v>1.5213242833548206</v>
      </c>
      <c r="AT95" s="18">
        <f>100-AR95</f>
        <v>8.5545722713864336</v>
      </c>
      <c r="AU95" s="1">
        <f>AQ84</f>
        <v>339</v>
      </c>
      <c r="AV95">
        <v>1</v>
      </c>
      <c r="AW95" s="1">
        <v>7666.23</v>
      </c>
      <c r="AX95" s="17">
        <f>AW95/AW99*100</f>
        <v>4.1578226549303805</v>
      </c>
      <c r="AY95" s="52">
        <f>((AX95*AX95*(AR95/100)*(AT95/100))/(AU95-1))</f>
        <v>4.0010641778247666E-3</v>
      </c>
    </row>
    <row r="96" spans="1:51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51.555672711175767</v>
      </c>
      <c r="E96" s="18">
        <f>E91*E91*(SUM((H84*E84*(1-E73/H73))/(H73-1),(H85*E85*(1-E74/H74))/(H74-1), (H87*E87*(1-E76/H76))/(H76-1),(H88*E88*(1-E77/H77))/(H77-1)))</f>
        <v>77.939963584900553</v>
      </c>
      <c r="F96" s="18">
        <f>F91*F91*(SUM((H84*F84*(1-F73/H73))/(H73-1),(H85*F85*(1-F74/H74))/(H74-1), (H86*F86*(1-F75/H75))/(H75-1),(H88*F88*(1-F77/H77))/(H77-1)))</f>
        <v>176.14123126618227</v>
      </c>
      <c r="G96" s="18">
        <f>G91*G91*(SUM((H84*G84*(1-G73/H73))/(H73-1),(H85*G85*(1-G74/H74))/(H74-1), (H86*G86*(1-G75/H75))/(H75-1),(H87*G87*(1-G76/H76))/(H76-1)))</f>
        <v>82.667601654982192</v>
      </c>
      <c r="R96" t="s">
        <v>101</v>
      </c>
      <c r="S96" t="s">
        <v>28</v>
      </c>
      <c r="T96" s="57">
        <f>C263</f>
        <v>1.4289713770755406</v>
      </c>
      <c r="U96" s="57">
        <f t="shared" ref="U96:X99" si="14">D263</f>
        <v>4.8312443220935455</v>
      </c>
      <c r="V96" s="57">
        <f t="shared" si="14"/>
        <v>57.869665548854542</v>
      </c>
      <c r="W96" s="57">
        <f t="shared" si="14"/>
        <v>25.864258062456049</v>
      </c>
      <c r="X96" s="57">
        <f t="shared" si="14"/>
        <v>10.00586068952032</v>
      </c>
      <c r="Y96" s="13"/>
      <c r="Z96" s="74"/>
      <c r="AA96" s="12"/>
      <c r="AC96" t="s">
        <v>192</v>
      </c>
      <c r="AD96" s="51"/>
      <c r="AE96" s="51"/>
      <c r="AH96" s="78"/>
      <c r="AI96" s="78"/>
      <c r="AJ96" t="s">
        <v>5</v>
      </c>
      <c r="AK96" s="13">
        <v>2</v>
      </c>
      <c r="AL96" s="33">
        <f t="shared" si="13"/>
        <v>0</v>
      </c>
      <c r="AM96" s="19">
        <f t="shared" si="13"/>
        <v>1.0673367311258977</v>
      </c>
      <c r="AN96" s="34">
        <f t="shared" si="13"/>
        <v>57.030828319861392</v>
      </c>
      <c r="AO96" s="19">
        <f t="shared" si="13"/>
        <v>0.7248331532272887</v>
      </c>
      <c r="AP96" s="20">
        <f>(AP85/$AU96)*$AX96</f>
        <v>0.11151279280419825</v>
      </c>
      <c r="AQ96" s="17">
        <f>SUM(AL96:AP96)</f>
        <v>58.934510997018776</v>
      </c>
      <c r="AR96" s="17">
        <f>AN96/AQ96*100</f>
        <v>96.769833761319106</v>
      </c>
      <c r="AS96" s="17">
        <f>SQRT(AR96*(100-AR96)/(AU96-1))</f>
        <v>0.20555368686988729</v>
      </c>
      <c r="AT96" s="18">
        <f>100-AR96</f>
        <v>3.2301662386808943</v>
      </c>
      <c r="AU96" s="1">
        <f>AQ85</f>
        <v>7399</v>
      </c>
      <c r="AV96">
        <v>2</v>
      </c>
      <c r="AW96" s="1">
        <v>108663.97</v>
      </c>
      <c r="AX96" s="17">
        <f>AW96/AW99*100</f>
        <v>58.934510997018776</v>
      </c>
      <c r="AY96" s="52">
        <f>((AX96*AX96*(AR96/100)*(AT96/100))/(AU96-1))</f>
        <v>1.467539874783139E-2</v>
      </c>
    </row>
    <row r="97" spans="1:51" x14ac:dyDescent="0.3">
      <c r="S97" s="66" t="s">
        <v>39</v>
      </c>
      <c r="T97" s="67">
        <f>C264</f>
        <v>0</v>
      </c>
      <c r="U97" s="67">
        <f t="shared" si="14"/>
        <v>0.11342330300712884</v>
      </c>
      <c r="V97" s="67">
        <f t="shared" si="14"/>
        <v>0.15479301506536794</v>
      </c>
      <c r="W97" s="67">
        <f t="shared" si="14"/>
        <v>0.18239469204501696</v>
      </c>
      <c r="X97" s="67">
        <f t="shared" si="14"/>
        <v>0.16847968783397199</v>
      </c>
      <c r="AC97" t="s">
        <v>193</v>
      </c>
      <c r="AD97" s="51"/>
      <c r="AE97" s="51"/>
      <c r="AJ97" t="s">
        <v>6</v>
      </c>
      <c r="AK97" s="13">
        <v>3</v>
      </c>
      <c r="AL97" s="33">
        <f t="shared" si="13"/>
        <v>0</v>
      </c>
      <c r="AM97" s="19">
        <f t="shared" si="13"/>
        <v>1.9427514587638778E-2</v>
      </c>
      <c r="AN97" s="19">
        <f t="shared" si="13"/>
        <v>0.26227144693312349</v>
      </c>
      <c r="AO97" s="34">
        <f t="shared" si="13"/>
        <v>24.099831845965905</v>
      </c>
      <c r="AP97" s="20">
        <f>(AP86/$AU97)*$AX97</f>
        <v>0.90337942832520313</v>
      </c>
      <c r="AQ97" s="17">
        <f>SUM(AL97:AP97)</f>
        <v>25.284910235811871</v>
      </c>
      <c r="AR97" s="17">
        <f>AO97/AQ97*100</f>
        <v>95.313100268920465</v>
      </c>
      <c r="AS97" s="17">
        <f>SQRT(AR97*(100-AR97)/(AU97-1))</f>
        <v>0.41434822549063804</v>
      </c>
      <c r="AT97" s="18">
        <f>100-AR97</f>
        <v>4.6868997310795351</v>
      </c>
      <c r="AU97" s="1">
        <f>AQ86</f>
        <v>2603</v>
      </c>
      <c r="AV97">
        <v>3</v>
      </c>
      <c r="AW97" s="1">
        <v>46620.54</v>
      </c>
      <c r="AX97" s="17">
        <f>AW97/AW99*100</f>
        <v>25.284910235811868</v>
      </c>
      <c r="AY97" s="52">
        <f>((AX97*AX97*(AR97/100)*(AT97/100))/(AU97-1))</f>
        <v>1.0976245165094487E-2</v>
      </c>
    </row>
    <row r="98" spans="1:51" x14ac:dyDescent="0.3">
      <c r="S98" t="s">
        <v>30</v>
      </c>
      <c r="T98" s="57">
        <f>C265</f>
        <v>100</v>
      </c>
      <c r="U98" s="57">
        <f t="shared" si="14"/>
        <v>76.343524447385732</v>
      </c>
      <c r="V98" s="57">
        <f t="shared" si="14"/>
        <v>98.523698349605425</v>
      </c>
      <c r="W98" s="57">
        <f t="shared" si="14"/>
        <v>91.065229849977342</v>
      </c>
      <c r="X98" s="57">
        <f t="shared" si="14"/>
        <v>87.429663848390732</v>
      </c>
      <c r="AA98" s="54"/>
      <c r="AC98" t="s">
        <v>194</v>
      </c>
      <c r="AD98" s="51"/>
      <c r="AE98" s="51"/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13"/>
        <v>0</v>
      </c>
      <c r="AN98" s="21">
        <f t="shared" si="13"/>
        <v>0.2020341895898678</v>
      </c>
      <c r="AO98" s="21">
        <f t="shared" si="13"/>
        <v>1.7545074359120099</v>
      </c>
      <c r="AP98" s="37">
        <f>(AP87/$AU98)*$AX98</f>
        <v>8.2515016379861805</v>
      </c>
      <c r="AQ98" s="17">
        <f>SUM(AL98:AP98)</f>
        <v>10.208043263488058</v>
      </c>
      <c r="AR98" s="17">
        <f>AP98/AQ98*100</f>
        <v>80.833333333333329</v>
      </c>
      <c r="AS98" s="17">
        <f>SQRT(AR98*(100-AR98)/(AU98-1))</f>
        <v>1.2710400508238462</v>
      </c>
      <c r="AT98" s="18">
        <f>100-AR98</f>
        <v>19.166666666666671</v>
      </c>
      <c r="AU98" s="1">
        <f>AQ87</f>
        <v>960</v>
      </c>
      <c r="AV98">
        <v>4</v>
      </c>
      <c r="AW98" s="1">
        <v>18821.68</v>
      </c>
      <c r="AX98" s="17">
        <f>AW98/AW99*100</f>
        <v>10.208043263488058</v>
      </c>
      <c r="AY98" s="52">
        <f>((AX98*AX98*(AR98/100)*(AT98/100))/(AU98-1))</f>
        <v>1.6834626097619279E-2</v>
      </c>
    </row>
    <row r="99" spans="1:51" x14ac:dyDescent="0.3">
      <c r="A99" s="361" t="s">
        <v>449</v>
      </c>
      <c r="B99" s="361"/>
      <c r="C99" s="361"/>
      <c r="D99" s="361"/>
      <c r="E99" s="361"/>
      <c r="F99" s="361"/>
      <c r="G99" s="361"/>
      <c r="H99" s="361"/>
      <c r="I99" s="361"/>
      <c r="J99" s="361"/>
      <c r="K99" s="361"/>
      <c r="L99" s="361" t="s">
        <v>62</v>
      </c>
      <c r="M99" s="361"/>
      <c r="N99" s="361"/>
      <c r="O99" s="361"/>
      <c r="P99" s="361"/>
      <c r="S99" s="66" t="s">
        <v>39</v>
      </c>
      <c r="T99" s="67">
        <f>C266</f>
        <v>0</v>
      </c>
      <c r="U99" s="67">
        <f t="shared" si="14"/>
        <v>3.4071693897811608</v>
      </c>
      <c r="V99" s="67">
        <f t="shared" si="14"/>
        <v>0.16389146424569018</v>
      </c>
      <c r="W99" s="67">
        <f t="shared" si="14"/>
        <v>0.63781328268859239</v>
      </c>
      <c r="X99" s="67">
        <f t="shared" si="14"/>
        <v>1.8836651913108433</v>
      </c>
      <c r="AC99" t="s">
        <v>195</v>
      </c>
      <c r="AD99" s="51"/>
      <c r="AE99" s="51"/>
      <c r="AK99" t="s">
        <v>28</v>
      </c>
      <c r="AL99" s="17">
        <f t="shared" ref="AL99:AQ99" si="15">SUM(AL94:AL98)</f>
        <v>1.4147128487509117</v>
      </c>
      <c r="AM99" s="17">
        <f t="shared" si="15"/>
        <v>4.888902956711819</v>
      </c>
      <c r="AN99" s="17">
        <f t="shared" si="15"/>
        <v>57.814023009564877</v>
      </c>
      <c r="AO99" s="17">
        <f t="shared" si="15"/>
        <v>26.579172435105203</v>
      </c>
      <c r="AP99" s="17">
        <f t="shared" si="15"/>
        <v>9.3031887498671786</v>
      </c>
      <c r="AQ99" s="18">
        <f t="shared" si="15"/>
        <v>100</v>
      </c>
      <c r="AR99" s="13" t="s">
        <v>24</v>
      </c>
      <c r="AS99" s="12" t="s">
        <v>29</v>
      </c>
      <c r="AW99" s="1">
        <f>SUM(AW94:AW98)</f>
        <v>184380.88</v>
      </c>
      <c r="AX99" s="17">
        <f>SUM(AX94:AX98)</f>
        <v>100</v>
      </c>
    </row>
    <row r="100" spans="1:51" x14ac:dyDescent="0.3">
      <c r="A100" t="s">
        <v>320</v>
      </c>
      <c r="B100" t="s">
        <v>21</v>
      </c>
      <c r="I100" s="1" t="s">
        <v>58</v>
      </c>
      <c r="O100" s="143"/>
      <c r="P100" s="143"/>
      <c r="S100" t="s">
        <v>31</v>
      </c>
      <c r="T100" s="57">
        <f>I258</f>
        <v>100</v>
      </c>
      <c r="U100" s="57">
        <f>I259</f>
        <v>91.150442477876126</v>
      </c>
      <c r="V100" s="57">
        <f>I260</f>
        <v>96.688741721854313</v>
      </c>
      <c r="W100" s="57">
        <f>I261</f>
        <v>94.391087207068765</v>
      </c>
      <c r="X100" s="57">
        <f>I262</f>
        <v>82.5</v>
      </c>
      <c r="AC100" t="s">
        <v>196</v>
      </c>
      <c r="AD100" s="51"/>
      <c r="AE100" s="51"/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0</v>
      </c>
      <c r="AM100" s="18">
        <f>SQRT(SUM((AX94*AM94-AM94*AM94)/AU94,(AX95*AM95-AM95*AM95)/AU95,(AX96*AM96-AM96*AM96)/AU96,(AX97*AM97-AM97*AM97)/AU97,(AX98*AM98-AM98*AM98)/AU98))</f>
        <v>0.11191699148147786</v>
      </c>
      <c r="AN100" s="18">
        <f>SQRT(SUM((AX94*AN94-AN94*AN94)/AU94,(AX95*AN95-AN95*AN95)/AU95,(AX96*AN96-AN96*AN96)/AU96,(AX97*AN97-AN97*AN97)/AU97,(AX98*AN98-AN98*AN98)/AU98))</f>
        <v>0.15136581383273612</v>
      </c>
      <c r="AO100" s="18">
        <f>SQRT(SUM((AX94*AO94-AO94*AO94)/AU94,(AX95*AO95-AO95*AO95)/AU95,(AX96*AO96-AO96*AO96)/AU96,(AX97*AO97-AO97*AO97)/AU97,(AX98*AO98-AO98*AO98)/AU98))</f>
        <v>0.17923237577518963</v>
      </c>
      <c r="AP100" s="18">
        <f>SQRT(SUM((AX94*AP94-AP94*AP94)/AU94,(AX95*AP95-AP95*AP95)/AU95,(AX96*AP96-AP96*AP96)/AU96,(AX97*AP97-AP97*AP97)/AU97,(AX98*AP98-AP98*AP98)/AU98))</f>
        <v>0.16313372773798801</v>
      </c>
      <c r="AQ100" s="1"/>
      <c r="AR100" s="56">
        <f>(AL94+AM95+AN96+AO97+AP98)/AQ99</f>
        <v>0.94599013363562678</v>
      </c>
      <c r="AS100" s="53">
        <f>SQRT(SUM(AY94:AY98))/100</f>
        <v>2.156092163808633E-3</v>
      </c>
      <c r="AV100" s="1"/>
      <c r="AW100" s="9"/>
    </row>
    <row r="101" spans="1:51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56</v>
      </c>
      <c r="O101" s="13"/>
      <c r="P101" s="13"/>
      <c r="S101" s="66" t="s">
        <v>39</v>
      </c>
      <c r="T101" s="67">
        <f>J258</f>
        <v>0</v>
      </c>
      <c r="U101" s="67">
        <f>J259</f>
        <v>1.5448339983540103</v>
      </c>
      <c r="V101" s="67">
        <f>J260</f>
        <v>0.20803064675796046</v>
      </c>
      <c r="W101" s="67">
        <f>J261</f>
        <v>0.45107752817412683</v>
      </c>
      <c r="X101" s="67">
        <f>J262</f>
        <v>1.226977771825857</v>
      </c>
      <c r="AC101" t="s">
        <v>197</v>
      </c>
      <c r="AD101" s="51"/>
      <c r="AE101" s="51"/>
      <c r="AK101" s="1" t="s">
        <v>30</v>
      </c>
      <c r="AL101" s="17">
        <f>AL94/AL99*100</f>
        <v>100</v>
      </c>
      <c r="AM101" s="17">
        <f>AM95/AM99*100</f>
        <v>77.770795302419486</v>
      </c>
      <c r="AN101" s="17">
        <f>AN96/AN99*100</f>
        <v>98.645320548660123</v>
      </c>
      <c r="AO101" s="17">
        <f>AO97/AO99*100</f>
        <v>90.671866871729094</v>
      </c>
      <c r="AP101" s="17">
        <f>AP98/AP99*100</f>
        <v>88.695412506856712</v>
      </c>
      <c r="AQ101" s="1"/>
    </row>
    <row r="102" spans="1:51" x14ac:dyDescent="0.3">
      <c r="A102" t="s">
        <v>3</v>
      </c>
      <c r="B102" s="13">
        <v>0</v>
      </c>
      <c r="C102" s="26">
        <v>169</v>
      </c>
      <c r="D102" s="3">
        <v>0</v>
      </c>
      <c r="E102" s="3">
        <v>0</v>
      </c>
      <c r="F102" s="3">
        <v>0</v>
      </c>
      <c r="G102" s="4">
        <v>0</v>
      </c>
      <c r="H102" s="1">
        <f>SUM(C102:G102)</f>
        <v>169</v>
      </c>
      <c r="I102" s="10">
        <f>C102/H102</f>
        <v>1</v>
      </c>
      <c r="J102" s="11">
        <f>1-I102</f>
        <v>0</v>
      </c>
      <c r="K102">
        <f>H102-C107</f>
        <v>0</v>
      </c>
      <c r="N102" s="10">
        <f>2*(C108*I102)/(C108+I102)</f>
        <v>1</v>
      </c>
      <c r="O102" s="1"/>
      <c r="P102" s="1"/>
      <c r="S102" s="66" t="s">
        <v>56</v>
      </c>
      <c r="T102" s="67">
        <f>N247*100</f>
        <v>100</v>
      </c>
      <c r="U102" s="67">
        <f>N248*100</f>
        <v>78.128950695322388</v>
      </c>
      <c r="V102" s="67">
        <f>N249*100</f>
        <v>97.78567523236741</v>
      </c>
      <c r="W102" s="67">
        <f>N250*100</f>
        <v>92.822062712504732</v>
      </c>
      <c r="X102" s="67">
        <f>N251*100</f>
        <v>84.031830238726783</v>
      </c>
      <c r="AC102" t="s">
        <v>198</v>
      </c>
      <c r="AD102" s="51"/>
      <c r="AE102" s="51"/>
      <c r="AH102" s="78"/>
      <c r="AI102" s="78"/>
      <c r="AK102" s="16" t="s">
        <v>39</v>
      </c>
      <c r="AL102" s="18">
        <f>SQRT((AL105+AL106)/(AL99*AL99))</f>
        <v>0</v>
      </c>
      <c r="AM102" s="18">
        <f>SQRT((AM105+AM106)/(AM99*AM99))</f>
        <v>3.2298925818817095</v>
      </c>
      <c r="AN102" s="18">
        <f>SQRT((AN105+AN106)/(AN99*AN99))</f>
        <v>0.15757504827245009</v>
      </c>
      <c r="AO102" s="18">
        <f>SQRT((AO105+AO106)/(AO99*AO99))</f>
        <v>0.61769872118223768</v>
      </c>
      <c r="AP102" s="18">
        <f>SQRT((AP105+AP106)/(AP99*AP99))</f>
        <v>1.8375231045571487</v>
      </c>
      <c r="AQ102" s="1"/>
    </row>
    <row r="103" spans="1:51" x14ac:dyDescent="0.3">
      <c r="A103" t="s">
        <v>4</v>
      </c>
      <c r="B103" s="13">
        <v>1</v>
      </c>
      <c r="C103" s="5">
        <v>0</v>
      </c>
      <c r="D103" s="27">
        <v>314</v>
      </c>
      <c r="E103" s="1">
        <v>22</v>
      </c>
      <c r="F103" s="1">
        <v>0</v>
      </c>
      <c r="G103" s="6">
        <v>3</v>
      </c>
      <c r="H103" s="1">
        <f>SUM(C103:G103)</f>
        <v>339</v>
      </c>
      <c r="I103" s="10">
        <f>D103/H103</f>
        <v>0.92625368731563418</v>
      </c>
      <c r="J103" s="11">
        <f>1-I103</f>
        <v>7.3746312684365822E-2</v>
      </c>
      <c r="K103">
        <f>H103-D107</f>
        <v>-102</v>
      </c>
      <c r="N103" s="10">
        <f>2*(D108*I103)/(D108+I103)</f>
        <v>0.80512820512820504</v>
      </c>
      <c r="O103" s="1"/>
      <c r="P103" s="1"/>
      <c r="R103" s="16" t="s">
        <v>66</v>
      </c>
      <c r="S103" t="s">
        <v>9</v>
      </c>
      <c r="T103" s="30">
        <f>N258</f>
        <v>2634.75</v>
      </c>
      <c r="U103" s="30">
        <f>N259</f>
        <v>7460.85</v>
      </c>
      <c r="V103" s="30">
        <f>N260</f>
        <v>108725.56</v>
      </c>
      <c r="W103" s="30">
        <f>N261</f>
        <v>46008.44</v>
      </c>
      <c r="X103" s="30">
        <f>N262</f>
        <v>19551.28</v>
      </c>
      <c r="Z103" t="s">
        <v>36</v>
      </c>
      <c r="AA103" s="1">
        <f>N263</f>
        <v>184380.88</v>
      </c>
      <c r="AC103" t="s">
        <v>199</v>
      </c>
      <c r="AD103" s="51"/>
      <c r="AE103" s="51"/>
      <c r="AK103" s="1" t="s">
        <v>37</v>
      </c>
      <c r="AL103" s="18">
        <f>100-AL101</f>
        <v>0</v>
      </c>
      <c r="AM103" s="18">
        <f>100-AM101</f>
        <v>22.229204697580514</v>
      </c>
      <c r="AN103" s="18">
        <f>100-AN101</f>
        <v>1.3546794513398766</v>
      </c>
      <c r="AO103" s="18">
        <f>100-AO101</f>
        <v>9.3281331282709061</v>
      </c>
      <c r="AP103" s="18">
        <f>100-AP101</f>
        <v>11.304587493143288</v>
      </c>
    </row>
    <row r="104" spans="1:51" ht="15.6" x14ac:dyDescent="0.35">
      <c r="A104" t="s">
        <v>5</v>
      </c>
      <c r="B104" s="13">
        <v>2</v>
      </c>
      <c r="C104" s="5">
        <v>0</v>
      </c>
      <c r="D104" s="1">
        <v>125</v>
      </c>
      <c r="E104" s="27">
        <v>7177</v>
      </c>
      <c r="F104" s="1">
        <v>85</v>
      </c>
      <c r="G104" s="6">
        <v>12</v>
      </c>
      <c r="H104" s="1">
        <f>SUM(C104:G104)</f>
        <v>7399</v>
      </c>
      <c r="I104" s="10">
        <f>E104/H104</f>
        <v>0.9699959453980268</v>
      </c>
      <c r="J104" s="11">
        <f>1-I104</f>
        <v>3.0004054601973196E-2</v>
      </c>
      <c r="K104">
        <f>H104-E107</f>
        <v>145</v>
      </c>
      <c r="N104" s="10">
        <f>2*(E108*I104)/(E108+I104)</f>
        <v>0.97959462226165284</v>
      </c>
      <c r="O104" s="1"/>
      <c r="P104" s="1"/>
      <c r="R104" s="16" t="s">
        <v>323</v>
      </c>
      <c r="S104" t="s">
        <v>68</v>
      </c>
      <c r="T104" s="57">
        <f>$AA103*T96/100</f>
        <v>2634.75</v>
      </c>
      <c r="U104" s="57">
        <f>$AA103*U96/100</f>
        <v>8907.8907960261131</v>
      </c>
      <c r="V104" s="57">
        <f>$AA103*V96/100</f>
        <v>106700.59859203483</v>
      </c>
      <c r="W104" s="57">
        <f>$AA103*W96/100</f>
        <v>47688.746621027414</v>
      </c>
      <c r="X104" s="57">
        <f>$AA103*X96/100</f>
        <v>18448.893990911634</v>
      </c>
      <c r="Z104" t="s">
        <v>36</v>
      </c>
      <c r="AA104" s="25">
        <f>SUM(T104:X104)</f>
        <v>184380.87999999998</v>
      </c>
      <c r="AC104" t="s">
        <v>200</v>
      </c>
      <c r="AD104" s="51"/>
      <c r="AE104" s="51"/>
      <c r="AH104" s="78"/>
      <c r="AI104" s="78"/>
      <c r="AK104" s="1" t="s">
        <v>25</v>
      </c>
      <c r="AL104" s="1">
        <f>AL88</f>
        <v>169</v>
      </c>
      <c r="AM104" s="1">
        <f>AM88</f>
        <v>446</v>
      </c>
      <c r="AN104" s="1">
        <f>AN88</f>
        <v>7232</v>
      </c>
      <c r="AO104" s="1">
        <f>AO88</f>
        <v>2737</v>
      </c>
      <c r="AP104" s="1">
        <f>AP88</f>
        <v>886</v>
      </c>
    </row>
    <row r="105" spans="1:51" x14ac:dyDescent="0.3">
      <c r="A105" t="s">
        <v>6</v>
      </c>
      <c r="B105" s="13">
        <v>3</v>
      </c>
      <c r="C105" s="5">
        <v>0</v>
      </c>
      <c r="D105" s="1">
        <v>2</v>
      </c>
      <c r="E105" s="1">
        <v>35</v>
      </c>
      <c r="F105" s="27">
        <v>2449</v>
      </c>
      <c r="G105" s="6">
        <v>117</v>
      </c>
      <c r="H105" s="1">
        <f>SUM(C105:G105)</f>
        <v>2603</v>
      </c>
      <c r="I105" s="10">
        <f>F105/H105</f>
        <v>0.94083749519784865</v>
      </c>
      <c r="J105" s="11">
        <f>1-I105</f>
        <v>5.916250480215135E-2</v>
      </c>
      <c r="K105">
        <f>H105-F107</f>
        <v>-83</v>
      </c>
      <c r="N105" s="10">
        <f>2*(F108*I105)/(F108+I105)</f>
        <v>0.92607298166004914</v>
      </c>
      <c r="O105" s="1"/>
      <c r="P105" s="1"/>
      <c r="R105" s="66"/>
      <c r="S105" s="66" t="s">
        <v>67</v>
      </c>
      <c r="T105" s="67">
        <f>$AA103*T97/100</f>
        <v>0</v>
      </c>
      <c r="U105" s="67">
        <f>$AA103*U97/100</f>
        <v>209.13088420961063</v>
      </c>
      <c r="V105" s="67">
        <f>$AA103*V97/100</f>
        <v>285.40872335605798</v>
      </c>
      <c r="W105" s="67">
        <f>$AA103*W97/100</f>
        <v>336.30093826589223</v>
      </c>
      <c r="X105" s="67">
        <f>$AA103*X97/100</f>
        <v>310.64433104953054</v>
      </c>
      <c r="AA105" s="1"/>
      <c r="AC105" t="s">
        <v>201</v>
      </c>
      <c r="AD105" s="51"/>
      <c r="AE105" s="51"/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197.70760161617773</v>
      </c>
      <c r="AN105" s="18">
        <f>(AX96*AX96*(100-AN101)*(100-AN101)*(AR96)*(100-AR96))/((AU96-1)*100)</f>
        <v>2.6931652167716917</v>
      </c>
      <c r="AO105" s="18">
        <f>(AX97*AX97*(100-AO101)*(100-AO101)*(AR97)*(100-AR97))/((AU97-1)*100)</f>
        <v>95.508773943450635</v>
      </c>
      <c r="AP105" s="18">
        <f>(AX98*AX98*(100-AP101)*(100-AP101)*(AR98)*(100-AR98))/((AU98-1)*100)</f>
        <v>215.13591300297972</v>
      </c>
    </row>
    <row r="106" spans="1:51" x14ac:dyDescent="0.3">
      <c r="A106" t="s">
        <v>7</v>
      </c>
      <c r="B106" s="13">
        <v>4</v>
      </c>
      <c r="C106" s="7">
        <v>0</v>
      </c>
      <c r="D106" s="8">
        <v>0</v>
      </c>
      <c r="E106" s="8">
        <v>20</v>
      </c>
      <c r="F106" s="8">
        <v>152</v>
      </c>
      <c r="G106" s="28">
        <v>788</v>
      </c>
      <c r="H106" s="1">
        <f>SUM(C106:G106)</f>
        <v>960</v>
      </c>
      <c r="I106" s="10">
        <f>G106/H106</f>
        <v>0.8208333333333333</v>
      </c>
      <c r="J106" s="11">
        <f>1-I106</f>
        <v>0.1791666666666667</v>
      </c>
      <c r="K106">
        <f>H106-G107</f>
        <v>40</v>
      </c>
      <c r="N106" s="10">
        <f>2*(G108*I106)/(G108+I106)</f>
        <v>0.83829787234042552</v>
      </c>
      <c r="O106" s="1"/>
      <c r="P106" s="1"/>
      <c r="R106" t="s">
        <v>102</v>
      </c>
      <c r="S106" t="s">
        <v>28</v>
      </c>
      <c r="T106" s="57">
        <f>C292</f>
        <v>1.4160308496212215</v>
      </c>
      <c r="U106" s="57">
        <f t="shared" ref="U106:X109" si="16">D292</f>
        <v>5.0115373868381363</v>
      </c>
      <c r="V106" s="57">
        <f t="shared" si="16"/>
        <v>57.6807401648039</v>
      </c>
      <c r="W106" s="57">
        <f t="shared" si="16"/>
        <v>26.365819228706453</v>
      </c>
      <c r="X106" s="57">
        <f t="shared" si="16"/>
        <v>9.5258723700302923</v>
      </c>
      <c r="Y106" s="60"/>
      <c r="Z106" s="74"/>
      <c r="AA106" s="12"/>
      <c r="AC106" t="s">
        <v>202</v>
      </c>
      <c r="AD106" s="51"/>
      <c r="AE106" s="51"/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51.636438186780175</v>
      </c>
      <c r="AN106" s="18">
        <f>AN101*AN101*(SUM((AQ94*AN94*(1-AN83/AQ83))/(AQ83-1),(AQ95*AN95*(1-AN84/AQ84))/(AQ84-1), (AQ97*AN97*(1-AN86/AQ86))/(AQ86-1),(AQ98*AN98*(1-AN87/AQ87))/(AQ87-1)))</f>
        <v>80.299799626144932</v>
      </c>
      <c r="AO106" s="18">
        <f>AO101*AO101*(SUM((AQ94*AO94*(1-AO83/AQ83))/(AQ83-1),(AQ95*AO95*(1-AO84/AQ84))/(AQ84-1), (AQ96*AO96*(1-AO85/AQ85))/(AQ85-1),(AQ98*AO98*(1-AO87/AQ87))/(AQ87-1)))</f>
        <v>174.03935021494587</v>
      </c>
      <c r="AP106" s="18">
        <f>AP101*AP101*(SUM((AQ94*AP94*(1-AP83/AQ83))/(AQ83-1),(AQ95*AP95*(1-AP84/AQ84))/(AQ84-1), (AQ96*AP96*(1-AP85/AQ85))/(AQ85-1),(AQ97*AP97*(1-AP86/AQ86))/(AQ86-1)))</f>
        <v>77.09710395380867</v>
      </c>
    </row>
    <row r="107" spans="1:51" ht="15.6" x14ac:dyDescent="0.35">
      <c r="B107" s="1" t="s">
        <v>19</v>
      </c>
      <c r="C107" s="1">
        <f>SUM(C102:C106)</f>
        <v>169</v>
      </c>
      <c r="D107" s="1">
        <f>SUM(D102:D106)</f>
        <v>441</v>
      </c>
      <c r="E107" s="1">
        <f>SUM(E102:E106)</f>
        <v>7254</v>
      </c>
      <c r="F107" s="1">
        <f>SUM(F102:F106)</f>
        <v>2686</v>
      </c>
      <c r="G107" s="1">
        <f>SUM(G102:G106)</f>
        <v>920</v>
      </c>
      <c r="H107" s="1">
        <f>SUM(H101:H106)</f>
        <v>11470</v>
      </c>
      <c r="I107" s="13" t="s">
        <v>12</v>
      </c>
      <c r="N107" s="16"/>
      <c r="O107" s="1"/>
      <c r="P107" s="1"/>
      <c r="S107" s="66" t="s">
        <v>39</v>
      </c>
      <c r="T107" s="67">
        <f>C293</f>
        <v>0</v>
      </c>
      <c r="U107" s="67">
        <f t="shared" si="16"/>
        <v>0.11370616738260693</v>
      </c>
      <c r="V107" s="67">
        <f t="shared" si="16"/>
        <v>0.15416447218302004</v>
      </c>
      <c r="W107" s="67">
        <f t="shared" si="16"/>
        <v>0.1813542691599018</v>
      </c>
      <c r="X107" s="67">
        <f t="shared" si="16"/>
        <v>0.16590335050429922</v>
      </c>
      <c r="AC107" t="s">
        <v>203</v>
      </c>
      <c r="AD107" s="51"/>
      <c r="AE107" s="51"/>
    </row>
    <row r="108" spans="1:51" x14ac:dyDescent="0.3">
      <c r="A108" s="1" t="s">
        <v>321</v>
      </c>
      <c r="B108" s="1" t="s">
        <v>2</v>
      </c>
      <c r="C108" s="10">
        <f>C102/C107</f>
        <v>1</v>
      </c>
      <c r="D108" s="10">
        <f>D103/D107</f>
        <v>0.71201814058956914</v>
      </c>
      <c r="E108" s="10">
        <f>E104/E107</f>
        <v>0.9893851668045216</v>
      </c>
      <c r="F108" s="10">
        <f>F105/F107</f>
        <v>0.91176470588235292</v>
      </c>
      <c r="G108" s="10">
        <f>G106/G107</f>
        <v>0.85652173913043483</v>
      </c>
      <c r="H108" s="10"/>
      <c r="I108" s="14">
        <f>(C102+D103+E104+F105+G106)/H107</f>
        <v>0.95004359197907584</v>
      </c>
      <c r="S108" t="s">
        <v>30</v>
      </c>
      <c r="T108" s="57">
        <f>C294</f>
        <v>100</v>
      </c>
      <c r="U108" s="57">
        <f t="shared" si="16"/>
        <v>77.115404348868793</v>
      </c>
      <c r="V108" s="57">
        <f t="shared" si="16"/>
        <v>98.585316673738404</v>
      </c>
      <c r="W108" s="57">
        <f t="shared" si="16"/>
        <v>90.971247899729761</v>
      </c>
      <c r="X108" s="57">
        <f t="shared" si="16"/>
        <v>87.301463211866846</v>
      </c>
      <c r="AC108" t="s">
        <v>204</v>
      </c>
      <c r="AD108" s="51"/>
      <c r="AE108" s="51"/>
      <c r="AH108" s="78"/>
      <c r="AI108" s="78"/>
      <c r="AJ108" s="118" t="s">
        <v>375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</row>
    <row r="109" spans="1:51" x14ac:dyDescent="0.3">
      <c r="B109" s="1" t="s">
        <v>14</v>
      </c>
      <c r="C109" s="11">
        <f>1-C108</f>
        <v>0</v>
      </c>
      <c r="D109" s="11">
        <f>1-D108</f>
        <v>0.28798185941043086</v>
      </c>
      <c r="E109" s="11">
        <f>1-E108</f>
        <v>1.0614833195478401E-2</v>
      </c>
      <c r="F109" s="11">
        <f>1-F108</f>
        <v>8.8235294117647078E-2</v>
      </c>
      <c r="G109" s="11">
        <f>1-G108</f>
        <v>0.14347826086956517</v>
      </c>
      <c r="S109" s="66" t="s">
        <v>39</v>
      </c>
      <c r="T109" s="67">
        <f>C295</f>
        <v>0</v>
      </c>
      <c r="U109" s="67">
        <f t="shared" si="16"/>
        <v>3.2276983715525027</v>
      </c>
      <c r="V109" s="67">
        <f t="shared" si="16"/>
        <v>0.16157071657070068</v>
      </c>
      <c r="W109" s="67">
        <f t="shared" si="16"/>
        <v>0.62415561210396953</v>
      </c>
      <c r="X109" s="67">
        <f t="shared" si="16"/>
        <v>1.9599395246537838</v>
      </c>
      <c r="AC109" t="s">
        <v>205</v>
      </c>
      <c r="AD109" s="51"/>
      <c r="AE109" s="51"/>
      <c r="AJ109" s="106" t="s">
        <v>451</v>
      </c>
      <c r="AK109" s="107" t="s">
        <v>28</v>
      </c>
      <c r="AL109" s="108">
        <f t="shared" ref="AL109:AP112" si="17">AL99</f>
        <v>1.4147128487509117</v>
      </c>
      <c r="AM109" s="108">
        <f t="shared" si="17"/>
        <v>4.888902956711819</v>
      </c>
      <c r="AN109" s="108">
        <f t="shared" si="17"/>
        <v>57.814023009564877</v>
      </c>
      <c r="AO109" s="108">
        <f t="shared" si="17"/>
        <v>26.579172435105203</v>
      </c>
      <c r="AP109" s="108">
        <f t="shared" si="17"/>
        <v>9.3031887498671786</v>
      </c>
      <c r="AQ109" s="107"/>
      <c r="AR109" s="232" t="s">
        <v>77</v>
      </c>
      <c r="AS109" s="233">
        <f>AR100</f>
        <v>0.94599013363562678</v>
      </c>
    </row>
    <row r="110" spans="1:51" x14ac:dyDescent="0.3">
      <c r="C110" s="2"/>
      <c r="S110" s="15" t="s">
        <v>31</v>
      </c>
      <c r="T110" s="71">
        <f>I287</f>
        <v>100</v>
      </c>
      <c r="U110" s="71">
        <f>I288</f>
        <v>91.740412979351021</v>
      </c>
      <c r="V110" s="71">
        <f>I289</f>
        <v>96.64819570212191</v>
      </c>
      <c r="W110" s="71">
        <f>I290</f>
        <v>94.660007683442188</v>
      </c>
      <c r="X110" s="71">
        <f>I291</f>
        <v>81.5625</v>
      </c>
      <c r="AC110" t="s">
        <v>206</v>
      </c>
      <c r="AD110" s="51"/>
      <c r="AE110" s="51"/>
      <c r="AH110" s="78"/>
      <c r="AI110" s="78"/>
      <c r="AJ110" s="107"/>
      <c r="AK110" s="109" t="s">
        <v>39</v>
      </c>
      <c r="AL110" s="110">
        <f t="shared" si="17"/>
        <v>0</v>
      </c>
      <c r="AM110" s="110">
        <f t="shared" si="17"/>
        <v>0.11191699148147786</v>
      </c>
      <c r="AN110" s="110">
        <f t="shared" si="17"/>
        <v>0.15136581383273612</v>
      </c>
      <c r="AO110" s="110">
        <f t="shared" si="17"/>
        <v>0.17923237577518963</v>
      </c>
      <c r="AP110" s="110">
        <f t="shared" si="17"/>
        <v>0.16313372773798801</v>
      </c>
      <c r="AQ110" s="107"/>
      <c r="AR110" s="232" t="s">
        <v>29</v>
      </c>
      <c r="AS110" s="234">
        <f>AS100</f>
        <v>2.156092163808633E-3</v>
      </c>
      <c r="AX110" s="103" t="s">
        <v>386</v>
      </c>
    </row>
    <row r="111" spans="1:51" ht="15.6" x14ac:dyDescent="0.35">
      <c r="A111" t="s">
        <v>322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</v>
      </c>
      <c r="U111" s="76">
        <f>J288</f>
        <v>1.4972735816949063</v>
      </c>
      <c r="V111" s="76">
        <f>J289</f>
        <v>0.20925653928721077</v>
      </c>
      <c r="W111" s="76">
        <f>J290</f>
        <v>0.44075772996486801</v>
      </c>
      <c r="X111" s="76">
        <f>J291</f>
        <v>1.2522382853953165</v>
      </c>
      <c r="AC111" t="s">
        <v>160</v>
      </c>
      <c r="AD111" s="51"/>
      <c r="AE111" s="51"/>
      <c r="AJ111" s="107"/>
      <c r="AK111" s="107" t="s">
        <v>30</v>
      </c>
      <c r="AL111" s="108">
        <f t="shared" si="17"/>
        <v>100</v>
      </c>
      <c r="AM111" s="108">
        <f t="shared" si="17"/>
        <v>77.770795302419486</v>
      </c>
      <c r="AN111" s="108">
        <f t="shared" si="17"/>
        <v>98.645320548660123</v>
      </c>
      <c r="AO111" s="108">
        <f t="shared" si="17"/>
        <v>90.671866871729094</v>
      </c>
      <c r="AP111" s="108">
        <f t="shared" si="17"/>
        <v>88.695412506856712</v>
      </c>
      <c r="AQ111" s="107"/>
      <c r="AR111" s="107"/>
      <c r="AS111" s="107"/>
      <c r="AU111" s="103" t="s">
        <v>386</v>
      </c>
      <c r="AW111" s="101"/>
      <c r="AX111" s="1" t="s">
        <v>380</v>
      </c>
      <c r="AY111" s="96"/>
    </row>
    <row r="112" spans="1:51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56</v>
      </c>
      <c r="T112" s="67">
        <f>N276*100</f>
        <v>100</v>
      </c>
      <c r="U112" s="67">
        <f>N277*100</f>
        <v>78.337531486146091</v>
      </c>
      <c r="V112" s="67">
        <f>N278*100</f>
        <v>97.791452991452985</v>
      </c>
      <c r="W112" s="67">
        <f>N279*100</f>
        <v>92.736168611215646</v>
      </c>
      <c r="X112" s="67">
        <f>N280*100</f>
        <v>83.788121990369177</v>
      </c>
      <c r="AC112" t="s">
        <v>207</v>
      </c>
      <c r="AD112" s="51"/>
      <c r="AE112" s="51"/>
      <c r="AH112" s="78"/>
      <c r="AI112" s="78"/>
      <c r="AJ112" s="107"/>
      <c r="AK112" s="109" t="s">
        <v>39</v>
      </c>
      <c r="AL112" s="110">
        <f t="shared" si="17"/>
        <v>0</v>
      </c>
      <c r="AM112" s="110">
        <f t="shared" si="17"/>
        <v>3.2298925818817095</v>
      </c>
      <c r="AN112" s="110">
        <f t="shared" si="17"/>
        <v>0.15757504827245009</v>
      </c>
      <c r="AO112" s="110">
        <f t="shared" si="17"/>
        <v>0.61769872118223768</v>
      </c>
      <c r="AP112" s="110">
        <f t="shared" si="17"/>
        <v>1.8375231045571487</v>
      </c>
      <c r="AQ112" s="107"/>
      <c r="AR112" s="107"/>
      <c r="AS112" s="107"/>
      <c r="AU112" s="93"/>
      <c r="AV112" s="1" t="s">
        <v>380</v>
      </c>
      <c r="AW112" s="97"/>
      <c r="AX112" s="71" t="s">
        <v>381</v>
      </c>
      <c r="AY112" s="95"/>
    </row>
    <row r="113" spans="1:51" x14ac:dyDescent="0.3">
      <c r="A113" t="s">
        <v>3</v>
      </c>
      <c r="B113" s="13">
        <v>0</v>
      </c>
      <c r="C113" s="29">
        <f>(C102/$L113)*$O113</f>
        <v>1.4150057975103383</v>
      </c>
      <c r="D113" s="31">
        <f>(D102/$L113)*$O113</f>
        <v>0</v>
      </c>
      <c r="E113" s="31">
        <f>(E102/$L113)*$O113</f>
        <v>0</v>
      </c>
      <c r="F113" s="31">
        <f>(F102/$L113)*$O113</f>
        <v>0</v>
      </c>
      <c r="G113" s="32">
        <f>(G102/$L113)*$O113</f>
        <v>0</v>
      </c>
      <c r="H113" s="17">
        <f>SUM(C113:G113)</f>
        <v>1.4150057975103383</v>
      </c>
      <c r="I113" s="17">
        <f>C113/H113*100</f>
        <v>100</v>
      </c>
      <c r="J113" s="17">
        <f>SQRT(I113*(100-I113)/(L113-1))</f>
        <v>0</v>
      </c>
      <c r="K113" s="18">
        <f>100-I113</f>
        <v>0</v>
      </c>
      <c r="L113" s="1">
        <f>H102</f>
        <v>169</v>
      </c>
      <c r="M113">
        <v>0</v>
      </c>
      <c r="N113" s="1">
        <v>2609</v>
      </c>
      <c r="O113" s="17">
        <f>N113/N118*100</f>
        <v>1.4150057975103383</v>
      </c>
      <c r="P113" s="52">
        <f>((O113*O113*(I113/100)*(K113/100))/(L113-1))</f>
        <v>0</v>
      </c>
      <c r="R113" s="16" t="s">
        <v>66</v>
      </c>
      <c r="S113" t="s">
        <v>9</v>
      </c>
      <c r="T113" s="30">
        <f>N287</f>
        <v>2610.89</v>
      </c>
      <c r="U113" s="30">
        <f>N288</f>
        <v>7767.25</v>
      </c>
      <c r="V113" s="30">
        <f>N289</f>
        <v>108483.87</v>
      </c>
      <c r="W113" s="30">
        <f>N290</f>
        <v>46719.13</v>
      </c>
      <c r="X113" s="30">
        <f>N291</f>
        <v>18799.73</v>
      </c>
      <c r="Z113" t="s">
        <v>36</v>
      </c>
      <c r="AA113" s="1">
        <f>N292</f>
        <v>184380.87</v>
      </c>
      <c r="AC113" t="s">
        <v>161</v>
      </c>
      <c r="AD113" s="51"/>
      <c r="AE113" s="51"/>
      <c r="AJ113" s="107"/>
      <c r="AK113" s="111" t="s">
        <v>31</v>
      </c>
      <c r="AL113" s="112">
        <f>AR94</f>
        <v>100</v>
      </c>
      <c r="AM113" s="112">
        <f>AR95</f>
        <v>91.445427728613566</v>
      </c>
      <c r="AN113" s="112">
        <f>AR96</f>
        <v>96.769833761319106</v>
      </c>
      <c r="AO113" s="112">
        <f>AR97</f>
        <v>95.313100268920465</v>
      </c>
      <c r="AP113" s="112">
        <f>AR98</f>
        <v>80.833333333333329</v>
      </c>
      <c r="AQ113" s="107"/>
      <c r="AR113" s="107"/>
      <c r="AS113" s="107"/>
      <c r="AU113" s="94"/>
      <c r="AV113" s="71" t="s">
        <v>383</v>
      </c>
      <c r="AW113" s="98"/>
      <c r="AX113" s="71" t="s">
        <v>382</v>
      </c>
      <c r="AY113" s="93"/>
    </row>
    <row r="114" spans="1:51" ht="15.6" x14ac:dyDescent="0.35">
      <c r="A114" t="s">
        <v>4</v>
      </c>
      <c r="B114" s="13">
        <v>1</v>
      </c>
      <c r="C114" s="33">
        <f t="shared" ref="C114:G117" si="18">(C103/$L114)*$O114</f>
        <v>0</v>
      </c>
      <c r="D114" s="34">
        <f t="shared" si="18"/>
        <v>3.8292105256992923</v>
      </c>
      <c r="E114" s="19">
        <f t="shared" si="18"/>
        <v>0.26828863555854915</v>
      </c>
      <c r="F114" s="18">
        <f t="shared" si="18"/>
        <v>0</v>
      </c>
      <c r="G114" s="20">
        <f t="shared" si="18"/>
        <v>3.658481393980216E-2</v>
      </c>
      <c r="H114" s="17">
        <f>SUM(C114:G114)</f>
        <v>4.1340839751976439</v>
      </c>
      <c r="I114" s="17">
        <f>D114/H114*100</f>
        <v>92.625368731563412</v>
      </c>
      <c r="J114" s="17">
        <f>SQRT(I114*(100-I114)/(L114-1))</f>
        <v>1.4215979221853501</v>
      </c>
      <c r="K114" s="18">
        <f>100-I114</f>
        <v>7.3746312684365876</v>
      </c>
      <c r="L114" s="1">
        <f>H103</f>
        <v>339</v>
      </c>
      <c r="M114">
        <v>1</v>
      </c>
      <c r="N114" s="1">
        <v>7622.46</v>
      </c>
      <c r="O114" s="17">
        <f>N114/N118*100</f>
        <v>4.1340839751976439</v>
      </c>
      <c r="P114" s="52">
        <f>((O114*O114*(I114/100)*(K114/100))/(L114-1))</f>
        <v>3.4539189994832547E-3</v>
      </c>
      <c r="R114" s="16" t="s">
        <v>323</v>
      </c>
      <c r="S114" t="s">
        <v>68</v>
      </c>
      <c r="T114" s="57">
        <f>$AA113*T106/100</f>
        <v>2610.89</v>
      </c>
      <c r="U114" s="57">
        <f>$AA113*U106/100</f>
        <v>9240.3162342274209</v>
      </c>
      <c r="V114" s="57">
        <f>$AA113*V106/100</f>
        <v>106352.25053830486</v>
      </c>
      <c r="W114" s="57">
        <f>$AA113*W106/100</f>
        <v>48613.526876516247</v>
      </c>
      <c r="X114" s="57">
        <f>$AA113*X106/100</f>
        <v>17563.88635095147</v>
      </c>
      <c r="Z114" t="s">
        <v>36</v>
      </c>
      <c r="AA114" s="25">
        <f>SUM(T114:X114)</f>
        <v>184380.87</v>
      </c>
      <c r="AC114" t="s">
        <v>208</v>
      </c>
      <c r="AD114" s="51"/>
      <c r="AE114" s="51"/>
      <c r="AH114" s="78"/>
      <c r="AI114" s="78"/>
      <c r="AJ114" s="107"/>
      <c r="AK114" s="113" t="s">
        <v>39</v>
      </c>
      <c r="AL114" s="114">
        <f>AS94</f>
        <v>0</v>
      </c>
      <c r="AM114" s="114">
        <f>AS95</f>
        <v>1.5213242833548206</v>
      </c>
      <c r="AN114" s="114">
        <f>AS96</f>
        <v>0.20555368686988729</v>
      </c>
      <c r="AO114" s="114">
        <f>AS97</f>
        <v>0.41434822549063804</v>
      </c>
      <c r="AP114" s="114">
        <f>AS98</f>
        <v>1.2710400508238462</v>
      </c>
      <c r="AQ114" s="107"/>
      <c r="AR114" s="107"/>
      <c r="AS114" s="107"/>
      <c r="AU114" s="95"/>
      <c r="AV114" s="1" t="s">
        <v>384</v>
      </c>
      <c r="AW114" s="99"/>
      <c r="AX114" s="1" t="s">
        <v>387</v>
      </c>
      <c r="AY114" s="99"/>
    </row>
    <row r="115" spans="1:51" x14ac:dyDescent="0.3">
      <c r="A115" t="s">
        <v>5</v>
      </c>
      <c r="B115" s="13">
        <v>2</v>
      </c>
      <c r="C115" s="33">
        <f t="shared" si="18"/>
        <v>0</v>
      </c>
      <c r="D115" s="19">
        <f t="shared" si="18"/>
        <v>0.99499742577578121</v>
      </c>
      <c r="E115" s="34">
        <f t="shared" si="18"/>
        <v>57.128772198342254</v>
      </c>
      <c r="F115" s="19">
        <f t="shared" si="18"/>
        <v>0.67659824952753111</v>
      </c>
      <c r="G115" s="20">
        <f t="shared" si="18"/>
        <v>9.5519752874474978E-2</v>
      </c>
      <c r="H115" s="17">
        <f>SUM(C115:G115)</f>
        <v>58.895887626520036</v>
      </c>
      <c r="I115" s="17">
        <f>E115/H115*100</f>
        <v>96.999594539802686</v>
      </c>
      <c r="J115" s="17">
        <f>SQRT(I115*(100-I115)/(L115-1))</f>
        <v>0.19834340726088953</v>
      </c>
      <c r="K115" s="18">
        <f>100-I115</f>
        <v>3.0004054601973138</v>
      </c>
      <c r="L115" s="1">
        <f>H104</f>
        <v>7399</v>
      </c>
      <c r="M115">
        <v>2</v>
      </c>
      <c r="N115" s="1">
        <v>108592.75</v>
      </c>
      <c r="O115" s="17">
        <f>N115/N118*100</f>
        <v>58.895887626520036</v>
      </c>
      <c r="P115" s="52">
        <f>((O115*O115*(I115/100)*(K115/100))/(L115-1))</f>
        <v>1.364600361510469E-2</v>
      </c>
      <c r="R115" s="66"/>
      <c r="S115" s="66" t="s">
        <v>67</v>
      </c>
      <c r="T115" s="67">
        <f>$AA113*T107/100</f>
        <v>0</v>
      </c>
      <c r="U115" s="67">
        <f>$AA113*U107/100</f>
        <v>209.65242066370686</v>
      </c>
      <c r="V115" s="67">
        <f>$AA113*V107/100</f>
        <v>284.24979504196034</v>
      </c>
      <c r="W115" s="67">
        <f>$AA113*W107/100</f>
        <v>334.38257925916861</v>
      </c>
      <c r="X115" s="67">
        <f>$AA113*X107/100</f>
        <v>305.89404101897628</v>
      </c>
      <c r="AA115" s="1"/>
      <c r="AC115" t="s">
        <v>209</v>
      </c>
      <c r="AD115" s="51"/>
      <c r="AE115" s="51"/>
      <c r="AJ115" s="107"/>
      <c r="AK115" s="109" t="s">
        <v>56</v>
      </c>
      <c r="AL115" s="110">
        <f>AW83*100</f>
        <v>100</v>
      </c>
      <c r="AM115" s="110">
        <f>AW84*100</f>
        <v>78.980891719745216</v>
      </c>
      <c r="AN115" s="110">
        <f>AW85*100</f>
        <v>97.874376324243045</v>
      </c>
      <c r="AO115" s="110">
        <f>AW86*100</f>
        <v>92.921348314606746</v>
      </c>
      <c r="AP115" s="110">
        <f>AW87*100</f>
        <v>84.073672806067151</v>
      </c>
      <c r="AQ115" s="107"/>
      <c r="AR115" s="107"/>
      <c r="AS115" s="107"/>
      <c r="AU115" s="96"/>
      <c r="AV115" s="1" t="s">
        <v>385</v>
      </c>
      <c r="AW115" s="100"/>
      <c r="AX115" s="71" t="s">
        <v>388</v>
      </c>
      <c r="AY115" s="102"/>
    </row>
    <row r="116" spans="1:51" x14ac:dyDescent="0.3">
      <c r="A116" t="s">
        <v>6</v>
      </c>
      <c r="B116" s="13">
        <v>3</v>
      </c>
      <c r="C116" s="33">
        <f t="shared" si="18"/>
        <v>0</v>
      </c>
      <c r="D116" s="19">
        <f t="shared" si="18"/>
        <v>1.9191283621210715E-2</v>
      </c>
      <c r="E116" s="19">
        <f t="shared" si="18"/>
        <v>0.33584746337118754</v>
      </c>
      <c r="F116" s="34">
        <f t="shared" si="18"/>
        <v>23.499726794172521</v>
      </c>
      <c r="G116" s="20">
        <f t="shared" si="18"/>
        <v>1.1226900918408269</v>
      </c>
      <c r="H116" s="17">
        <f>SUM(C116:G116)</f>
        <v>24.977455633005746</v>
      </c>
      <c r="I116" s="17">
        <f>F116/H116*100</f>
        <v>94.08374951978486</v>
      </c>
      <c r="J116" s="17">
        <f>SQRT(I116*(100-I116)/(L116-1))</f>
        <v>0.46251618924939458</v>
      </c>
      <c r="K116" s="18">
        <f>100-I116</f>
        <v>5.9162504802151403</v>
      </c>
      <c r="L116" s="1">
        <f>H105</f>
        <v>2603</v>
      </c>
      <c r="M116">
        <v>3</v>
      </c>
      <c r="N116" s="1">
        <v>46053.65</v>
      </c>
      <c r="O116" s="17">
        <f>N116/N118*100</f>
        <v>24.977455633005746</v>
      </c>
      <c r="P116" s="52">
        <f>((O116*O116*(I116/100)*(K116/100))/(L116-1))</f>
        <v>1.3345973861818069E-2</v>
      </c>
      <c r="R116" t="s">
        <v>103</v>
      </c>
      <c r="S116" t="s">
        <v>28</v>
      </c>
      <c r="T116" s="57">
        <f>C321</f>
        <v>1.4055795044703385</v>
      </c>
      <c r="U116" s="57">
        <f t="shared" ref="U116:X119" si="19">D321</f>
        <v>4.6251683683934521</v>
      </c>
      <c r="V116" s="57">
        <f t="shared" si="19"/>
        <v>58.306282477308919</v>
      </c>
      <c r="W116" s="57">
        <f t="shared" si="19"/>
        <v>25.767881934583087</v>
      </c>
      <c r="X116" s="57">
        <f t="shared" si="19"/>
        <v>9.8950877152442072</v>
      </c>
      <c r="Z116" s="74"/>
      <c r="AA116" s="12"/>
      <c r="AD116" s="51"/>
      <c r="AE116" s="51"/>
      <c r="AH116" s="78"/>
      <c r="AI116" s="78"/>
      <c r="AJ116" s="115" t="s">
        <v>379</v>
      </c>
      <c r="AK116" s="107" t="s">
        <v>9</v>
      </c>
      <c r="AL116" s="116">
        <f>AW94</f>
        <v>2608.46</v>
      </c>
      <c r="AM116" s="116">
        <f>AW95</f>
        <v>7666.23</v>
      </c>
      <c r="AN116" s="116">
        <f>AW96</f>
        <v>108663.97</v>
      </c>
      <c r="AO116" s="116">
        <f>AW97</f>
        <v>46620.54</v>
      </c>
      <c r="AP116" s="116">
        <f>AW98</f>
        <v>18821.68</v>
      </c>
      <c r="AQ116" s="107"/>
      <c r="AR116" s="115" t="s">
        <v>36</v>
      </c>
      <c r="AS116" s="137">
        <f>AW99</f>
        <v>184380.88</v>
      </c>
      <c r="AW116" s="102"/>
      <c r="AX116" s="1" t="s">
        <v>385</v>
      </c>
      <c r="AY116" s="104"/>
    </row>
    <row r="117" spans="1:51" ht="15.6" x14ac:dyDescent="0.35">
      <c r="A117" t="s">
        <v>7</v>
      </c>
      <c r="B117" s="13">
        <v>4</v>
      </c>
      <c r="C117" s="35">
        <f t="shared" si="18"/>
        <v>0</v>
      </c>
      <c r="D117" s="36">
        <f t="shared" si="18"/>
        <v>0</v>
      </c>
      <c r="E117" s="21">
        <f t="shared" si="18"/>
        <v>0.22036597849512984</v>
      </c>
      <c r="F117" s="21">
        <f t="shared" si="18"/>
        <v>1.6747814365629867</v>
      </c>
      <c r="G117" s="37">
        <f t="shared" si="18"/>
        <v>8.6824195527081152</v>
      </c>
      <c r="H117" s="17">
        <f>SUM(C117:G117)</f>
        <v>10.577566967766231</v>
      </c>
      <c r="I117" s="17">
        <f>G117/H117*100</f>
        <v>82.083333333333343</v>
      </c>
      <c r="J117" s="17">
        <f>SQRT(I117*(100-I117)/(L117-1))</f>
        <v>1.2383596580022658</v>
      </c>
      <c r="K117" s="18">
        <f>100-I117</f>
        <v>17.916666666666657</v>
      </c>
      <c r="L117" s="1">
        <f>H106</f>
        <v>960</v>
      </c>
      <c r="M117">
        <v>4</v>
      </c>
      <c r="N117" s="1">
        <v>19503.009999999998</v>
      </c>
      <c r="O117" s="17">
        <f>N117/N118*100</f>
        <v>10.577566967766233</v>
      </c>
      <c r="P117" s="52">
        <f>((O117*O117*(I117/100)*(K117/100))/(L117-1))</f>
        <v>1.7157940533644243E-2</v>
      </c>
      <c r="S117" s="66" t="s">
        <v>39</v>
      </c>
      <c r="T117" s="67">
        <f>C322</f>
        <v>0</v>
      </c>
      <c r="U117" s="67">
        <f t="shared" si="19"/>
        <v>0.10824344873191705</v>
      </c>
      <c r="V117" s="67">
        <f t="shared" si="19"/>
        <v>0.14965868505525021</v>
      </c>
      <c r="W117" s="67">
        <f t="shared" si="19"/>
        <v>0.18469503989562006</v>
      </c>
      <c r="X117" s="67">
        <f t="shared" si="19"/>
        <v>0.17063777336942684</v>
      </c>
      <c r="AD117" s="51"/>
      <c r="AE117" s="51"/>
      <c r="AJ117" s="115" t="s">
        <v>378</v>
      </c>
      <c r="AK117" s="107" t="s">
        <v>68</v>
      </c>
      <c r="AL117" s="108">
        <f>$AS116*AL109/100</f>
        <v>2608.4600000000005</v>
      </c>
      <c r="AM117" s="108">
        <f>$AS116*AM109/100</f>
        <v>9014.2022939312719</v>
      </c>
      <c r="AN117" s="108">
        <f>$AS116*AN109/100</f>
        <v>106598.0043884382</v>
      </c>
      <c r="AO117" s="108">
        <f>$AS116*AO109/100</f>
        <v>49006.912032564403</v>
      </c>
      <c r="AP117" s="108">
        <f>$AS116*AP109/100</f>
        <v>17153.301285066103</v>
      </c>
      <c r="AQ117" s="107"/>
      <c r="AR117" s="115" t="s">
        <v>36</v>
      </c>
      <c r="AS117" s="137">
        <f>SUM(AL117:AP117)</f>
        <v>184380.88</v>
      </c>
    </row>
    <row r="118" spans="1:51" x14ac:dyDescent="0.3">
      <c r="B118" t="s">
        <v>28</v>
      </c>
      <c r="C118" s="17">
        <f t="shared" ref="C118:H118" si="20">SUM(C113:C117)</f>
        <v>1.4150057975103383</v>
      </c>
      <c r="D118" s="17">
        <f t="shared" si="20"/>
        <v>4.8433992350962844</v>
      </c>
      <c r="E118" s="17">
        <f t="shared" si="20"/>
        <v>57.953274275767122</v>
      </c>
      <c r="F118" s="17">
        <f t="shared" si="20"/>
        <v>25.851106480263038</v>
      </c>
      <c r="G118" s="17">
        <f t="shared" si="20"/>
        <v>9.9372142113632194</v>
      </c>
      <c r="H118" s="18">
        <f t="shared" si="20"/>
        <v>100</v>
      </c>
      <c r="I118" s="13" t="s">
        <v>24</v>
      </c>
      <c r="J118" s="12" t="s">
        <v>29</v>
      </c>
      <c r="N118" s="1">
        <f>SUM(N113:N117)</f>
        <v>184380.87</v>
      </c>
      <c r="O118" s="17">
        <f>SUM(O113:O117)</f>
        <v>100</v>
      </c>
      <c r="S118" t="s">
        <v>30</v>
      </c>
      <c r="T118" s="57">
        <f>C323</f>
        <v>100</v>
      </c>
      <c r="U118" s="57">
        <f t="shared" si="19"/>
        <v>78.670657506732198</v>
      </c>
      <c r="V118" s="57">
        <f t="shared" si="19"/>
        <v>98.568331705132849</v>
      </c>
      <c r="W118" s="57">
        <f t="shared" si="19"/>
        <v>90.881193553354976</v>
      </c>
      <c r="X118" s="57">
        <f t="shared" si="19"/>
        <v>86.2100790591833</v>
      </c>
      <c r="AD118" s="51"/>
      <c r="AE118" s="51"/>
      <c r="AH118" s="78"/>
      <c r="AI118" s="78"/>
      <c r="AJ118" s="109"/>
      <c r="AK118" s="109" t="s">
        <v>377</v>
      </c>
      <c r="AL118" s="110">
        <f>$AS116*AL110/100</f>
        <v>0</v>
      </c>
      <c r="AM118" s="110">
        <f>$AS116*AM110/100</f>
        <v>206.35353376307393</v>
      </c>
      <c r="AN118" s="110">
        <f>$AS116*AN110/100</f>
        <v>279.08961956396058</v>
      </c>
      <c r="AO118" s="110">
        <f>$AS116*AO110/100</f>
        <v>330.47023169920146</v>
      </c>
      <c r="AP118" s="110">
        <f>$AS116*AP110/100</f>
        <v>300.78740278010639</v>
      </c>
      <c r="AQ118" s="107"/>
      <c r="AR118" s="107"/>
      <c r="AS118" s="107"/>
    </row>
    <row r="119" spans="1:51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0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0.10683677318942861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0.14919922680044267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0.18492204499282763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0.16920425490607677</v>
      </c>
      <c r="H119" s="1"/>
      <c r="I119" s="56">
        <f>(C113+D114+E115+F116+G117)/H118</f>
        <v>0.94555134868432522</v>
      </c>
      <c r="J119" s="53">
        <f>SQRT(SUM(P113:P117))/100</f>
        <v>2.1818303556887793E-3</v>
      </c>
      <c r="M119" s="1"/>
      <c r="N119" s="9"/>
      <c r="S119" s="66" t="s">
        <v>39</v>
      </c>
      <c r="T119" s="67">
        <f>C324</f>
        <v>0</v>
      </c>
      <c r="U119" s="67">
        <f t="shared" si="19"/>
        <v>3.2614866320096265</v>
      </c>
      <c r="V119" s="67">
        <f t="shared" si="19"/>
        <v>0.15943822996337564</v>
      </c>
      <c r="W119" s="67">
        <f t="shared" si="19"/>
        <v>0.65248658690277239</v>
      </c>
      <c r="X119" s="67">
        <f t="shared" si="19"/>
        <v>2.0492166140659505</v>
      </c>
      <c r="AD119" s="51"/>
      <c r="AE119" s="51"/>
      <c r="AJ119" s="115" t="s">
        <v>410</v>
      </c>
      <c r="AK119" s="122" t="s">
        <v>9</v>
      </c>
      <c r="AL119" s="136">
        <f>AVERAGE(AR195:AR214)</f>
        <v>2603.886</v>
      </c>
      <c r="AM119" s="136">
        <f>AVERAGE(AS195:AS214)</f>
        <v>7664.3229999999994</v>
      </c>
      <c r="AN119" s="136">
        <f>AVERAGE(AT195:AT214)</f>
        <v>108697.12749999999</v>
      </c>
      <c r="AO119" s="136">
        <f>AVERAGE(AU195:AU214)</f>
        <v>46315.805</v>
      </c>
      <c r="AP119" s="140">
        <f>AVERAGE(AV195:AV214)</f>
        <v>19099.737000000001</v>
      </c>
      <c r="AQ119" s="107"/>
      <c r="AR119" s="115" t="s">
        <v>36</v>
      </c>
      <c r="AS119" s="137">
        <f>SUM(AL119:AP119)</f>
        <v>184380.87849999999</v>
      </c>
    </row>
    <row r="120" spans="1:51" x14ac:dyDescent="0.3">
      <c r="B120" s="1" t="s">
        <v>30</v>
      </c>
      <c r="C120" s="17">
        <f>C113/C118*100</f>
        <v>100</v>
      </c>
      <c r="D120" s="17">
        <f>D114/D118*100</f>
        <v>79.060394153594274</v>
      </c>
      <c r="E120" s="17">
        <f>E115/E118*100</f>
        <v>98.577298543130581</v>
      </c>
      <c r="F120" s="17">
        <f>F116/F118*100</f>
        <v>90.904142970105511</v>
      </c>
      <c r="G120" s="17">
        <f>G117/G118*100</f>
        <v>87.372772368937717</v>
      </c>
      <c r="H120" s="1"/>
      <c r="S120" s="15" t="s">
        <v>31</v>
      </c>
      <c r="T120" s="71">
        <f>I316</f>
        <v>100</v>
      </c>
      <c r="U120" s="71">
        <f>I317</f>
        <v>90.855457227138629</v>
      </c>
      <c r="V120" s="71">
        <f>I318</f>
        <v>96.999594539802672</v>
      </c>
      <c r="W120" s="71">
        <f>I319</f>
        <v>93.968497887053417</v>
      </c>
      <c r="X120" s="71">
        <f>I320</f>
        <v>81.875</v>
      </c>
      <c r="AD120" s="51"/>
      <c r="AE120" s="51"/>
      <c r="AH120" s="78"/>
      <c r="AI120" s="78"/>
      <c r="AJ120" s="141"/>
      <c r="AK120" s="129" t="s">
        <v>394</v>
      </c>
      <c r="AL120" s="125">
        <f>_xlfn.STDEV.S(AR195:AR214)/SQRT($AK$108)</f>
        <v>6.127571700712144</v>
      </c>
      <c r="AM120" s="125">
        <f>_xlfn.STDEV.S(AS195:AS214)/SQRT($AK$108)</f>
        <v>38.168335630329416</v>
      </c>
      <c r="AN120" s="125">
        <f>_xlfn.STDEV.S(AT195:AT214)/SQRT($AK$108)</f>
        <v>65.235606804852495</v>
      </c>
      <c r="AO120" s="125">
        <f>_xlfn.STDEV.S(AU195:AU214)/SQRT($AK$108)</f>
        <v>77.193146667100038</v>
      </c>
      <c r="AP120" s="125">
        <f>_xlfn.STDEV.S(AV195:AV214)/SQRT($AK$108)</f>
        <v>64.652599321295625</v>
      </c>
      <c r="AQ120" s="107"/>
      <c r="AR120" s="107"/>
      <c r="AS120" s="107"/>
    </row>
    <row r="121" spans="1:51" x14ac:dyDescent="0.3">
      <c r="B121" s="16" t="s">
        <v>39</v>
      </c>
      <c r="C121" s="18">
        <f>SQRT((C124+C125)/(C118*C118))</f>
        <v>0</v>
      </c>
      <c r="D121" s="18">
        <f>SQRT((D124+D125)/(D118*D118))</f>
        <v>2.9291278369331955</v>
      </c>
      <c r="E121" s="18">
        <f>SQRT((E124+E125)/(E118*E118))</f>
        <v>0.16058933566012709</v>
      </c>
      <c r="F121" s="18">
        <f>SQRT((F124+F125)/(F118*F118))</f>
        <v>0.65063073619197176</v>
      </c>
      <c r="G121" s="18">
        <f>SQRT((G124+G125)/(G118*G118))</f>
        <v>1.9128882536111307</v>
      </c>
      <c r="H121" s="1"/>
      <c r="S121" s="75" t="s">
        <v>39</v>
      </c>
      <c r="T121" s="76">
        <f>J316</f>
        <v>0</v>
      </c>
      <c r="U121" s="76">
        <f>J317</f>
        <v>1.5678270633196925</v>
      </c>
      <c r="V121" s="76">
        <f>J318</f>
        <v>0.19834340726088998</v>
      </c>
      <c r="W121" s="76">
        <f>J319</f>
        <v>0.46671336567730387</v>
      </c>
      <c r="X121" s="76">
        <f>J320</f>
        <v>1.2439569777371309</v>
      </c>
      <c r="AD121" s="51"/>
      <c r="AE121" s="51"/>
      <c r="AJ121" s="119" t="s">
        <v>452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</row>
    <row r="122" spans="1:51" x14ac:dyDescent="0.3">
      <c r="B122" s="1" t="s">
        <v>37</v>
      </c>
      <c r="C122" s="18">
        <f>100-C120</f>
        <v>0</v>
      </c>
      <c r="D122" s="18">
        <f>100-D120</f>
        <v>20.939605846405726</v>
      </c>
      <c r="E122" s="18">
        <f>100-E120</f>
        <v>1.4227014568694187</v>
      </c>
      <c r="F122" s="18">
        <f>100-F120</f>
        <v>9.0958570298944892</v>
      </c>
      <c r="G122" s="18">
        <f>100-G120</f>
        <v>12.627227631062283</v>
      </c>
      <c r="S122" s="66" t="s">
        <v>56</v>
      </c>
      <c r="T122" s="67">
        <f>N305*100</f>
        <v>100</v>
      </c>
      <c r="U122" s="67">
        <f>N306*100</f>
        <v>80.000000000000014</v>
      </c>
      <c r="V122" s="67">
        <f>N307*100</f>
        <v>97.952777398662477</v>
      </c>
      <c r="W122" s="67">
        <f>N308*100</f>
        <v>92.528844335161722</v>
      </c>
      <c r="X122" s="67">
        <f>N309*100</f>
        <v>83.130618720253821</v>
      </c>
      <c r="AD122" s="51"/>
      <c r="AE122" s="51"/>
      <c r="AH122" s="78"/>
      <c r="AI122" s="78"/>
      <c r="AJ122" s="115" t="s">
        <v>409</v>
      </c>
      <c r="AK122" s="122" t="s">
        <v>9</v>
      </c>
      <c r="AL122" s="136">
        <v>204.01</v>
      </c>
      <c r="AM122" s="136">
        <v>703.48</v>
      </c>
      <c r="AN122" s="136">
        <v>16626.29</v>
      </c>
      <c r="AO122" s="136">
        <v>2870.38</v>
      </c>
      <c r="AP122" s="136">
        <v>1465.93</v>
      </c>
      <c r="AQ122" s="107"/>
      <c r="AR122" s="115" t="s">
        <v>36</v>
      </c>
      <c r="AS122" s="137">
        <f>SUM(AL122:AP122)</f>
        <v>21870.090000000004</v>
      </c>
      <c r="AU122">
        <v>1</v>
      </c>
      <c r="AV122">
        <v>68</v>
      </c>
    </row>
    <row r="123" spans="1:51" ht="15.6" x14ac:dyDescent="0.35">
      <c r="B123" s="1" t="s">
        <v>25</v>
      </c>
      <c r="C123" s="1">
        <f>C107</f>
        <v>169</v>
      </c>
      <c r="D123" s="1">
        <f>D107</f>
        <v>441</v>
      </c>
      <c r="E123" s="1">
        <f>E107</f>
        <v>7254</v>
      </c>
      <c r="F123" s="1">
        <f>F107</f>
        <v>2686</v>
      </c>
      <c r="G123" s="1">
        <f>G107</f>
        <v>920</v>
      </c>
      <c r="R123" s="16" t="s">
        <v>66</v>
      </c>
      <c r="S123" t="s">
        <v>9</v>
      </c>
      <c r="T123" s="30">
        <f>N316</f>
        <v>2591.62</v>
      </c>
      <c r="U123" s="30">
        <f>N317</f>
        <v>7384.23</v>
      </c>
      <c r="V123" s="30">
        <f>N318</f>
        <v>109244.29</v>
      </c>
      <c r="W123" s="30">
        <f>N319</f>
        <v>45950.09</v>
      </c>
      <c r="X123" s="30">
        <f>N320</f>
        <v>19210.66</v>
      </c>
      <c r="Z123" t="s">
        <v>36</v>
      </c>
      <c r="AA123" s="1">
        <f>N321</f>
        <v>184380.88999999998</v>
      </c>
      <c r="AD123" s="51"/>
      <c r="AE123" s="51"/>
      <c r="AJ123" s="107"/>
      <c r="AK123" s="107" t="s">
        <v>391</v>
      </c>
      <c r="AL123" s="108">
        <f>(AL122/$AS122)*100</f>
        <v>0.93282652243314934</v>
      </c>
      <c r="AM123" s="108">
        <f>(AM122/$AS122)*100</f>
        <v>3.2166305671352973</v>
      </c>
      <c r="AN123" s="108">
        <f>(AN122/$AS122)*100</f>
        <v>76.02296103948359</v>
      </c>
      <c r="AO123" s="108">
        <f>(AO122/$AS122)*100</f>
        <v>13.124683071720325</v>
      </c>
      <c r="AP123" s="108">
        <f>(AP122/$AS122)*100</f>
        <v>6.7028987992276203</v>
      </c>
      <c r="AQ123" s="107"/>
      <c r="AR123" s="107"/>
      <c r="AS123" s="107"/>
      <c r="AU123">
        <v>2</v>
      </c>
      <c r="AV123">
        <v>97</v>
      </c>
    </row>
    <row r="124" spans="1:51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151.4429823170662</v>
      </c>
      <c r="E124" s="18">
        <f>(O115*O115*(100-E120)*(100-E120)*(I115)*(100-I115))/((L115-1)*100)</f>
        <v>2.7620595292432251</v>
      </c>
      <c r="F124" s="18">
        <f>(O116*O116*(100-F120)*(100-F120)*(I116)*(100-I116))/((L116-1)*100)</f>
        <v>110.41740107026963</v>
      </c>
      <c r="G124" s="18">
        <f>(O117*O117*(100-G120)*(100-G120)*(I117)*(100-I117))/((L117-1)*100)</f>
        <v>273.57800449366897</v>
      </c>
      <c r="R124" s="16" t="s">
        <v>323</v>
      </c>
      <c r="S124" t="s">
        <v>68</v>
      </c>
      <c r="T124" s="57">
        <f>$AA123*T116/100</f>
        <v>2591.62</v>
      </c>
      <c r="U124" s="57">
        <f>$AA123*U116/100</f>
        <v>8527.9266016423244</v>
      </c>
      <c r="V124" s="57">
        <f>$AA123*V116/100</f>
        <v>107505.64255757623</v>
      </c>
      <c r="W124" s="57">
        <f>$AA123*W116/100</f>
        <v>47511.05004513351</v>
      </c>
      <c r="X124" s="57">
        <f>$AA123*X116/100</f>
        <v>18244.650795647933</v>
      </c>
      <c r="Z124" t="s">
        <v>36</v>
      </c>
      <c r="AA124" s="25">
        <f>SUM(T124:X124)</f>
        <v>184380.88999999998</v>
      </c>
      <c r="AD124" s="51"/>
      <c r="AE124" s="51"/>
      <c r="AH124" s="78"/>
      <c r="AI124" s="78"/>
      <c r="AJ124" s="115" t="s">
        <v>410</v>
      </c>
      <c r="AK124" s="122" t="s">
        <v>9</v>
      </c>
      <c r="AL124" s="136">
        <f>AVERAGE(AR216:AR235)</f>
        <v>203.60949999999997</v>
      </c>
      <c r="AM124" s="136">
        <f>AVERAGE(AS216:AS235)</f>
        <v>739.37099999999998</v>
      </c>
      <c r="AN124" s="136">
        <f>AVERAGE(AT216:AT235)</f>
        <v>16587.569500000001</v>
      </c>
      <c r="AO124" s="136">
        <f>AVERAGE(AU216:AU235)</f>
        <v>2849.1655000000001</v>
      </c>
      <c r="AP124" s="136">
        <f>AVERAGE(AV216:AV235)</f>
        <v>1490.3795</v>
      </c>
      <c r="AQ124" s="107"/>
      <c r="AR124" s="115" t="s">
        <v>36</v>
      </c>
      <c r="AS124" s="137">
        <f>SUM(AL124:AP124)</f>
        <v>21870.095000000001</v>
      </c>
      <c r="AU124">
        <v>3</v>
      </c>
      <c r="AV124">
        <v>126</v>
      </c>
    </row>
    <row r="125" spans="1:51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49.826157270645268</v>
      </c>
      <c r="E125" s="18">
        <f>E120*E120*(SUM((H113*E113*(1-E102/H102))/(H102-1),(H114*E114*(1-E103/H103))/(H103-1), (H116*E116*(1-E105/H105))/(H105-1),(H117*E117*(1-E106/H106))/(H106-1)))</f>
        <v>83.852192428080699</v>
      </c>
      <c r="F125" s="18">
        <f>F120*F120*(SUM((H113*F113*(1-F102/H102))/(H102-1),(H114*F114*(1-F103/H103))/(H103-1), (H115*F115*(1-F104/H104))/(H104-1),(H117*F117*(1-F106/H106))/(H106-1)))</f>
        <v>172.47900133870019</v>
      </c>
      <c r="G125" s="18">
        <f>G120*G120*(SUM((H113*G113*(1-G102/H102))/(H102-1),(H114*G114*(1-G103/H103))/(H103-1), (H115*G115*(1-G104/H104))/(H104-1),(H116*G116*(1-G105/H105))/(H105-1)))</f>
        <v>87.755725464979108</v>
      </c>
      <c r="R125" s="66"/>
      <c r="S125" s="66" t="s">
        <v>67</v>
      </c>
      <c r="T125" s="67">
        <f>$AA123*T117/100</f>
        <v>0</v>
      </c>
      <c r="U125" s="67">
        <f>$AA123*U117/100</f>
        <v>199.58023413860235</v>
      </c>
      <c r="V125" s="67">
        <f>$AA123*V117/100</f>
        <v>275.94201546716727</v>
      </c>
      <c r="W125" s="67">
        <f>$AA123*W117/100</f>
        <v>340.54235834539935</v>
      </c>
      <c r="X125" s="67">
        <f>$AA123*X117/100</f>
        <v>314.62344521473216</v>
      </c>
      <c r="AA125" s="1"/>
      <c r="AD125" s="51"/>
      <c r="AE125" s="51"/>
      <c r="AJ125" s="107"/>
      <c r="AK125" s="129" t="s">
        <v>394</v>
      </c>
      <c r="AL125" s="125">
        <f>_xlfn.STDEV.S(AR216:AR235)/SQRT($AK$108)</f>
        <v>0.50829874918304929</v>
      </c>
      <c r="AM125" s="125">
        <f>_xlfn.STDEV.S(AS216:AS235)/SQRT($AK$108)</f>
        <v>8.1511626842594183</v>
      </c>
      <c r="AN125" s="125">
        <f>_xlfn.STDEV.S(AT216:AT235)/SQRT($AK$108)</f>
        <v>7.7419285464553411</v>
      </c>
      <c r="AO125" s="125">
        <f>_xlfn.STDEV.S(AU216:AU235)/SQRT($AK$108)</f>
        <v>6.3297738578961376</v>
      </c>
      <c r="AP125" s="125">
        <f>_xlfn.STDEV.S(AV216:AV235)/SQRT($AK$108)</f>
        <v>6.5771418554598711</v>
      </c>
      <c r="AQ125" s="107"/>
      <c r="AR125" s="107"/>
      <c r="AS125" s="142"/>
      <c r="AU125">
        <v>4</v>
      </c>
      <c r="AV125">
        <v>155</v>
      </c>
    </row>
    <row r="126" spans="1:51" x14ac:dyDescent="0.3">
      <c r="R126" t="s">
        <v>104</v>
      </c>
      <c r="S126" t="s">
        <v>28</v>
      </c>
      <c r="T126" s="57">
        <f>C350</f>
        <v>1.4082643172255345</v>
      </c>
      <c r="U126" s="57">
        <f t="shared" ref="U126:X129" si="21">D350</f>
        <v>5.1402895488376386</v>
      </c>
      <c r="V126" s="57">
        <f t="shared" si="21"/>
        <v>57.657259888892803</v>
      </c>
      <c r="W126" s="57">
        <f t="shared" si="21"/>
        <v>26.195982553867374</v>
      </c>
      <c r="X126" s="57">
        <f t="shared" si="21"/>
        <v>9.5982036911766482</v>
      </c>
      <c r="Y126" s="13"/>
      <c r="Z126" s="74"/>
      <c r="AA126" s="12"/>
      <c r="AD126" s="51"/>
      <c r="AE126" s="51"/>
      <c r="AH126" s="78"/>
      <c r="AI126" s="78"/>
      <c r="AJ126" s="119" t="s">
        <v>453</v>
      </c>
      <c r="AK126" s="107"/>
      <c r="AL126" s="116"/>
      <c r="AM126" s="116"/>
      <c r="AN126" s="116"/>
      <c r="AO126" s="116"/>
      <c r="AP126" s="116"/>
      <c r="AQ126" s="107"/>
      <c r="AR126" s="107"/>
      <c r="AS126" s="142"/>
      <c r="AU126">
        <v>5</v>
      </c>
      <c r="AV126">
        <v>184</v>
      </c>
    </row>
    <row r="127" spans="1:51" x14ac:dyDescent="0.3">
      <c r="S127" s="66" t="s">
        <v>39</v>
      </c>
      <c r="T127" s="67">
        <f>C351</f>
        <v>0</v>
      </c>
      <c r="U127" s="67">
        <f t="shared" si="21"/>
        <v>0.11716913115386068</v>
      </c>
      <c r="V127" s="67">
        <f t="shared" si="21"/>
        <v>0.15758520146401317</v>
      </c>
      <c r="W127" s="67">
        <f t="shared" si="21"/>
        <v>0.18398369542246976</v>
      </c>
      <c r="X127" s="67">
        <f t="shared" si="21"/>
        <v>0.16936860951567606</v>
      </c>
      <c r="AD127" s="51"/>
      <c r="AE127" s="51"/>
      <c r="AJ127" s="115" t="s">
        <v>409</v>
      </c>
      <c r="AK127" s="122" t="s">
        <v>9</v>
      </c>
      <c r="AL127" s="136">
        <v>39.590000000000003</v>
      </c>
      <c r="AM127" s="136">
        <v>282.36</v>
      </c>
      <c r="AN127" s="136">
        <v>16312.26</v>
      </c>
      <c r="AO127" s="136">
        <v>15410.66</v>
      </c>
      <c r="AP127" s="136">
        <v>10202.450000000001</v>
      </c>
      <c r="AQ127" s="107"/>
      <c r="AR127" s="115" t="s">
        <v>36</v>
      </c>
      <c r="AS127" s="137">
        <f>SUM(AL127:AP127)</f>
        <v>42247.32</v>
      </c>
      <c r="AU127">
        <v>6</v>
      </c>
      <c r="AV127">
        <v>213</v>
      </c>
    </row>
    <row r="128" spans="1:51" x14ac:dyDescent="0.3">
      <c r="A128" s="361" t="s">
        <v>449</v>
      </c>
      <c r="B128" s="361"/>
      <c r="C128" s="361"/>
      <c r="D128" s="361"/>
      <c r="E128" s="361"/>
      <c r="F128" s="361"/>
      <c r="G128" s="361"/>
      <c r="H128" s="361"/>
      <c r="I128" s="361"/>
      <c r="J128" s="361"/>
      <c r="K128" s="361"/>
      <c r="L128" s="361" t="s">
        <v>64</v>
      </c>
      <c r="M128" s="361"/>
      <c r="N128" s="361"/>
      <c r="O128" s="361"/>
      <c r="P128" s="361"/>
      <c r="S128" t="s">
        <v>30</v>
      </c>
      <c r="T128" s="57">
        <f>C352</f>
        <v>100</v>
      </c>
      <c r="U128" s="57">
        <f t="shared" si="21"/>
        <v>76.935323007418887</v>
      </c>
      <c r="V128" s="57">
        <f t="shared" si="21"/>
        <v>98.480537303293431</v>
      </c>
      <c r="W128" s="57">
        <f t="shared" si="21"/>
        <v>90.395397647850515</v>
      </c>
      <c r="X128" s="57">
        <f t="shared" si="21"/>
        <v>87.801631967334004</v>
      </c>
      <c r="AD128" s="51"/>
      <c r="AE128" s="51"/>
      <c r="AH128" s="78"/>
      <c r="AI128" s="78"/>
      <c r="AJ128" s="107"/>
      <c r="AK128" s="107" t="s">
        <v>391</v>
      </c>
      <c r="AL128" s="108">
        <f>(AL127/$AS127)*100</f>
        <v>9.371008622558781E-2</v>
      </c>
      <c r="AM128" s="108">
        <f>(AM127/$AS127)*100</f>
        <v>0.66835008705877674</v>
      </c>
      <c r="AN128" s="108">
        <f>(AN127/$AS127)*100</f>
        <v>38.61134860152076</v>
      </c>
      <c r="AO128" s="108">
        <f>(AO127/$AS127)*100</f>
        <v>36.477248734357588</v>
      </c>
      <c r="AP128" s="108">
        <f>(AP127/$AS127)*100</f>
        <v>24.149342490837292</v>
      </c>
      <c r="AQ128" s="107"/>
      <c r="AR128" s="107"/>
      <c r="AS128" s="142"/>
      <c r="AU128">
        <v>7</v>
      </c>
      <c r="AV128">
        <v>242</v>
      </c>
    </row>
    <row r="129" spans="1:48" x14ac:dyDescent="0.3">
      <c r="A129" t="s">
        <v>320</v>
      </c>
      <c r="B129" t="s">
        <v>21</v>
      </c>
      <c r="I129" s="1" t="s">
        <v>58</v>
      </c>
      <c r="O129" s="143"/>
      <c r="P129" s="143"/>
      <c r="S129" s="66" t="s">
        <v>39</v>
      </c>
      <c r="T129" s="67">
        <f>C353</f>
        <v>0</v>
      </c>
      <c r="U129" s="67">
        <f t="shared" si="21"/>
        <v>3.3342128066011125</v>
      </c>
      <c r="V129" s="67">
        <f t="shared" si="21"/>
        <v>0.16899098990366043</v>
      </c>
      <c r="W129" s="67">
        <f t="shared" si="21"/>
        <v>0.64939620352437077</v>
      </c>
      <c r="X129" s="67">
        <f t="shared" si="21"/>
        <v>1.9485763466042381</v>
      </c>
      <c r="AD129" s="51"/>
      <c r="AE129" s="51"/>
      <c r="AJ129" s="115" t="s">
        <v>410</v>
      </c>
      <c r="AK129" s="122" t="s">
        <v>9</v>
      </c>
      <c r="AL129" s="140">
        <f>AVERAGE(AL195:AL214)</f>
        <v>40.092999999999996</v>
      </c>
      <c r="AM129" s="136">
        <f>AVERAGE(AM195:AM214)</f>
        <v>293.33799999999997</v>
      </c>
      <c r="AN129" s="136">
        <f>AVERAGE(AN195:AN214)</f>
        <v>16279.938</v>
      </c>
      <c r="AO129" s="136">
        <f>AVERAGE(AO195:AO214)</f>
        <v>15381.559500000003</v>
      </c>
      <c r="AP129" s="136">
        <f>AVERAGE(AP195:AP214)</f>
        <v>10252.395</v>
      </c>
      <c r="AQ129" s="107"/>
      <c r="AR129" s="115" t="s">
        <v>36</v>
      </c>
      <c r="AS129" s="137">
        <f>SUM(AL129:AP129)</f>
        <v>42247.323499999999</v>
      </c>
      <c r="AU129">
        <v>8</v>
      </c>
      <c r="AV129">
        <v>271</v>
      </c>
    </row>
    <row r="130" spans="1:48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56</v>
      </c>
      <c r="O130" s="13"/>
      <c r="P130" s="13"/>
      <c r="S130" s="15" t="s">
        <v>31</v>
      </c>
      <c r="T130" s="71">
        <f>I345</f>
        <v>100</v>
      </c>
      <c r="U130" s="71">
        <f>I346</f>
        <v>91.150442477876098</v>
      </c>
      <c r="V130" s="71">
        <f>I347</f>
        <v>96.5806190025679</v>
      </c>
      <c r="W130" s="71">
        <f>I348</f>
        <v>94.73684210526315</v>
      </c>
      <c r="X130" s="71">
        <f>I349</f>
        <v>80.520833333333329</v>
      </c>
      <c r="AD130" s="51"/>
      <c r="AE130" s="51"/>
      <c r="AH130" s="78"/>
      <c r="AI130" s="78"/>
      <c r="AJ130" s="107"/>
      <c r="AK130" s="129" t="s">
        <v>394</v>
      </c>
      <c r="AL130" s="125">
        <f>_xlfn.STDEV.S(AL195:AL214)/SQRT($AK$108)</f>
        <v>2.518593602954259</v>
      </c>
      <c r="AM130" s="125">
        <f>_xlfn.STDEV.S(AM195:AM214)/SQRT($AK$108)</f>
        <v>3.1162173932678794</v>
      </c>
      <c r="AN130" s="125">
        <f>_xlfn.STDEV.S(AN195:AN214)/SQRT($AK$108)</f>
        <v>15.627900397753535</v>
      </c>
      <c r="AO130" s="125">
        <f>_xlfn.STDEV.S(AO195:AO214)/SQRT($AK$108)</f>
        <v>28.264689971718578</v>
      </c>
      <c r="AP130" s="125">
        <f>_xlfn.STDEV.S(AP195:AP214)/SQRT($AK$108)</f>
        <v>23.216994745229169</v>
      </c>
      <c r="AQ130" s="107"/>
      <c r="AR130" s="107"/>
      <c r="AS130" s="142"/>
      <c r="AU130">
        <v>9</v>
      </c>
      <c r="AV130">
        <v>300</v>
      </c>
    </row>
    <row r="131" spans="1:48" x14ac:dyDescent="0.3">
      <c r="A131" t="s">
        <v>3</v>
      </c>
      <c r="B131" s="13">
        <v>0</v>
      </c>
      <c r="C131" s="26">
        <v>169</v>
      </c>
      <c r="D131" s="3">
        <v>0</v>
      </c>
      <c r="E131" s="3">
        <v>0</v>
      </c>
      <c r="F131" s="3">
        <v>0</v>
      </c>
      <c r="G131" s="4">
        <v>0</v>
      </c>
      <c r="H131" s="1">
        <f>SUM(C131:G131)</f>
        <v>169</v>
      </c>
      <c r="I131" s="10">
        <f>C131/H131</f>
        <v>1</v>
      </c>
      <c r="J131" s="11">
        <f>1-I131</f>
        <v>0</v>
      </c>
      <c r="K131">
        <f>H131-C136</f>
        <v>0</v>
      </c>
      <c r="N131" s="10">
        <f>2*(C137*I131)/(C137+I131)</f>
        <v>1</v>
      </c>
      <c r="O131" s="1"/>
      <c r="P131" s="1"/>
      <c r="S131" s="75" t="s">
        <v>39</v>
      </c>
      <c r="T131" s="76">
        <f>J345</f>
        <v>0</v>
      </c>
      <c r="U131" s="76">
        <f>J346</f>
        <v>1.5448339983540125</v>
      </c>
      <c r="V131" s="76">
        <f>J347</f>
        <v>0.21128155069842849</v>
      </c>
      <c r="W131" s="76">
        <f>J348</f>
        <v>0.43775287342218</v>
      </c>
      <c r="X131" s="76">
        <f>J349</f>
        <v>1.2788806418827232</v>
      </c>
      <c r="AD131" s="51"/>
      <c r="AE131" s="51"/>
      <c r="AJ131" s="119" t="s">
        <v>454</v>
      </c>
      <c r="AK131" s="107"/>
      <c r="AL131" s="116"/>
      <c r="AM131" s="116"/>
      <c r="AN131" s="116"/>
      <c r="AO131" s="116"/>
      <c r="AP131" s="116"/>
      <c r="AQ131" s="107"/>
      <c r="AR131" s="107"/>
      <c r="AS131" s="142"/>
      <c r="AU131">
        <v>10</v>
      </c>
      <c r="AV131">
        <v>329</v>
      </c>
    </row>
    <row r="132" spans="1:48" x14ac:dyDescent="0.3">
      <c r="A132" t="s">
        <v>4</v>
      </c>
      <c r="B132" s="13">
        <v>1</v>
      </c>
      <c r="C132" s="5">
        <v>0</v>
      </c>
      <c r="D132" s="27">
        <v>309</v>
      </c>
      <c r="E132" s="1">
        <v>28</v>
      </c>
      <c r="F132" s="1">
        <v>0</v>
      </c>
      <c r="G132" s="6">
        <v>2</v>
      </c>
      <c r="H132" s="1">
        <f>SUM(C132:G132)</f>
        <v>339</v>
      </c>
      <c r="I132" s="10">
        <f>D132/H132</f>
        <v>0.91150442477876104</v>
      </c>
      <c r="J132" s="11">
        <f>1-I132</f>
        <v>8.8495575221238965E-2</v>
      </c>
      <c r="K132">
        <f>H132-D136</f>
        <v>-112</v>
      </c>
      <c r="N132" s="10">
        <f>2*(D137*I132)/(D137+I132)</f>
        <v>0.78227848101265829</v>
      </c>
      <c r="O132" s="1"/>
      <c r="P132" s="1"/>
      <c r="S132" s="66" t="s">
        <v>56</v>
      </c>
      <c r="T132" s="67">
        <f>N334*100</f>
        <v>100</v>
      </c>
      <c r="U132" s="67">
        <f>N335*100</f>
        <v>77.540777917189459</v>
      </c>
      <c r="V132" s="67">
        <f>N336*100</f>
        <v>97.729759299781179</v>
      </c>
      <c r="W132" s="67">
        <f>N337*100</f>
        <v>92.619718309859152</v>
      </c>
      <c r="X132" s="67">
        <f>N338*100</f>
        <v>83.297413793103445</v>
      </c>
      <c r="AD132" s="51"/>
      <c r="AE132" s="51"/>
      <c r="AH132" s="78"/>
      <c r="AI132" s="78"/>
      <c r="AJ132" s="115" t="s">
        <v>409</v>
      </c>
      <c r="AK132" s="122" t="s">
        <v>9</v>
      </c>
      <c r="AL132" s="136">
        <v>0</v>
      </c>
      <c r="AM132" s="136">
        <v>18.16</v>
      </c>
      <c r="AN132" s="136">
        <v>1344.59</v>
      </c>
      <c r="AO132" s="136">
        <v>379.89</v>
      </c>
      <c r="AP132" s="136">
        <v>108.18</v>
      </c>
      <c r="AQ132" s="107"/>
      <c r="AR132" s="115" t="s">
        <v>36</v>
      </c>
      <c r="AS132" s="137">
        <f>SUM(AL132:AP132)</f>
        <v>1850.82</v>
      </c>
      <c r="AU132">
        <v>11</v>
      </c>
      <c r="AV132">
        <v>358</v>
      </c>
    </row>
    <row r="133" spans="1:48" x14ac:dyDescent="0.3">
      <c r="A133" t="s">
        <v>5</v>
      </c>
      <c r="B133" s="13">
        <v>2</v>
      </c>
      <c r="C133" s="5">
        <v>0</v>
      </c>
      <c r="D133" s="1">
        <v>139</v>
      </c>
      <c r="E133" s="27">
        <v>7156</v>
      </c>
      <c r="F133" s="1">
        <v>90</v>
      </c>
      <c r="G133" s="6">
        <v>14</v>
      </c>
      <c r="H133" s="1">
        <f>SUM(C133:G133)</f>
        <v>7399</v>
      </c>
      <c r="I133" s="10">
        <f>E133/H133</f>
        <v>0.96715772401675904</v>
      </c>
      <c r="J133" s="11">
        <f>1-I133</f>
        <v>3.2842275983240965E-2</v>
      </c>
      <c r="K133">
        <f>H133-E136</f>
        <v>171</v>
      </c>
      <c r="N133" s="10">
        <f>2*(E137*I133)/(E137+I133)</f>
        <v>0.97846448348943738</v>
      </c>
      <c r="O133" s="1"/>
      <c r="P133" s="1"/>
      <c r="R133" s="16" t="s">
        <v>66</v>
      </c>
      <c r="S133" t="s">
        <v>9</v>
      </c>
      <c r="T133" s="30">
        <f>N345</f>
        <v>2596.5700000000002</v>
      </c>
      <c r="U133" s="30">
        <f>N346</f>
        <v>7999.64</v>
      </c>
      <c r="V133" s="30">
        <f>N347</f>
        <v>108400.25</v>
      </c>
      <c r="W133" s="30">
        <f>N348</f>
        <v>46086.95</v>
      </c>
      <c r="X133" s="30">
        <f>N349</f>
        <v>19297.46</v>
      </c>
      <c r="Z133" t="s">
        <v>36</v>
      </c>
      <c r="AA133" s="1">
        <f>N350</f>
        <v>184380.87</v>
      </c>
      <c r="AD133" s="51"/>
      <c r="AE133" s="51"/>
      <c r="AJ133" s="107"/>
      <c r="AK133" s="107" t="s">
        <v>391</v>
      </c>
      <c r="AL133" s="108">
        <f>(AL132/$AS132)*100</f>
        <v>0</v>
      </c>
      <c r="AM133" s="108">
        <f>(AM132/$AS132)*100</f>
        <v>0.98118671723884565</v>
      </c>
      <c r="AN133" s="108">
        <f>(AN132/$AS132)*100</f>
        <v>72.64833965485569</v>
      </c>
      <c r="AO133" s="108">
        <f>(AO132/$AS132)*100</f>
        <v>20.525496806820762</v>
      </c>
      <c r="AP133" s="108">
        <f>(AP132/$AS132)*100</f>
        <v>5.8449768210847086</v>
      </c>
      <c r="AQ133" s="107"/>
      <c r="AR133" s="107"/>
      <c r="AS133" s="142"/>
      <c r="AU133">
        <v>12</v>
      </c>
      <c r="AV133">
        <v>387</v>
      </c>
    </row>
    <row r="134" spans="1:48" ht="15.6" x14ac:dyDescent="0.35">
      <c r="A134" t="s">
        <v>6</v>
      </c>
      <c r="B134" s="13">
        <v>3</v>
      </c>
      <c r="C134" s="5">
        <v>0</v>
      </c>
      <c r="D134" s="1">
        <v>3</v>
      </c>
      <c r="E134" s="1">
        <v>24</v>
      </c>
      <c r="F134" s="27">
        <v>2465</v>
      </c>
      <c r="G134" s="6">
        <v>111</v>
      </c>
      <c r="H134" s="1">
        <f>SUM(C134:G134)</f>
        <v>2603</v>
      </c>
      <c r="I134" s="10">
        <f>F134/H134</f>
        <v>0.94698424894352673</v>
      </c>
      <c r="J134" s="11">
        <f>1-I134</f>
        <v>5.301575105647327E-2</v>
      </c>
      <c r="K134">
        <f>H134-F136</f>
        <v>-112</v>
      </c>
      <c r="N134" s="10">
        <f>2*(F137*I134)/(F137+I134)</f>
        <v>0.92704024069198954</v>
      </c>
      <c r="O134" s="1"/>
      <c r="P134" s="1"/>
      <c r="R134" s="16" t="s">
        <v>323</v>
      </c>
      <c r="S134" t="s">
        <v>68</v>
      </c>
      <c r="T134" s="57">
        <f>$AA133*T126/100</f>
        <v>2596.5700000000002</v>
      </c>
      <c r="U134" s="57">
        <f>$AA133*U126/100</f>
        <v>9477.7105906659126</v>
      </c>
      <c r="V134" s="57">
        <f>$AA133*V126/100</f>
        <v>106308.95740130158</v>
      </c>
      <c r="W134" s="57">
        <f>$AA133*W126/100</f>
        <v>48300.380537868878</v>
      </c>
      <c r="X134" s="57">
        <f>$AA133*X126/100</f>
        <v>17697.251470163617</v>
      </c>
      <c r="Z134" t="s">
        <v>36</v>
      </c>
      <c r="AA134" s="25">
        <f>SUM(T134:X134)</f>
        <v>184380.87</v>
      </c>
      <c r="AD134" s="51"/>
      <c r="AE134" s="51"/>
      <c r="AH134" s="78"/>
      <c r="AI134" s="78"/>
      <c r="AJ134" s="115" t="s">
        <v>410</v>
      </c>
      <c r="AK134" s="122" t="s">
        <v>9</v>
      </c>
      <c r="AL134" s="140">
        <f>AVERAGE(AL216:AL235)</f>
        <v>1.3500000000000002E-2</v>
      </c>
      <c r="AM134" s="136">
        <f>AVERAGE(AM216:AM235)</f>
        <v>18.770499999999998</v>
      </c>
      <c r="AN134" s="136">
        <f>AVERAGE(AN216:AN235)</f>
        <v>1342.6389999999997</v>
      </c>
      <c r="AO134" s="136">
        <f>AVERAGE(AO216:AO235)</f>
        <v>378.70700000000005</v>
      </c>
      <c r="AP134" s="136">
        <f>AVERAGE(AP216:AP235)</f>
        <v>110.69899999999998</v>
      </c>
      <c r="AQ134" s="107"/>
      <c r="AR134" s="115" t="s">
        <v>36</v>
      </c>
      <c r="AS134" s="137">
        <f>SUM(AL134:AP134)</f>
        <v>1850.829</v>
      </c>
      <c r="AU134">
        <v>13</v>
      </c>
      <c r="AV134">
        <v>416</v>
      </c>
    </row>
    <row r="135" spans="1:48" x14ac:dyDescent="0.3">
      <c r="A135" t="s">
        <v>7</v>
      </c>
      <c r="B135" s="13">
        <v>4</v>
      </c>
      <c r="C135" s="7">
        <v>0</v>
      </c>
      <c r="D135" s="8">
        <v>0</v>
      </c>
      <c r="E135" s="8">
        <v>20</v>
      </c>
      <c r="F135" s="8">
        <v>160</v>
      </c>
      <c r="G135" s="28">
        <v>780</v>
      </c>
      <c r="H135" s="1">
        <f>SUM(C135:G135)</f>
        <v>960</v>
      </c>
      <c r="I135" s="10">
        <f>G135/H135</f>
        <v>0.8125</v>
      </c>
      <c r="J135" s="11">
        <f>1-I135</f>
        <v>0.1875</v>
      </c>
      <c r="K135">
        <f>H135-G136</f>
        <v>53</v>
      </c>
      <c r="N135" s="10">
        <f>2*(G137*I135)/(G137+I135)</f>
        <v>0.83556507766470267</v>
      </c>
      <c r="O135" s="1"/>
      <c r="P135" s="1"/>
      <c r="R135" s="66"/>
      <c r="S135" s="66" t="s">
        <v>67</v>
      </c>
      <c r="T135" s="67">
        <f>$AA133*T127/100</f>
        <v>0</v>
      </c>
      <c r="U135" s="67">
        <f>$AA133*U127/100</f>
        <v>216.03746339292934</v>
      </c>
      <c r="V135" s="67">
        <f>$AA133*V127/100</f>
        <v>290.55696545060022</v>
      </c>
      <c r="W135" s="67">
        <f>$AA133*W127/100</f>
        <v>339.23073827809986</v>
      </c>
      <c r="X135" s="67">
        <f>$AA133*X127/100</f>
        <v>312.28331573190627</v>
      </c>
      <c r="AA135" s="1"/>
      <c r="AD135" s="51"/>
      <c r="AE135" s="51"/>
      <c r="AJ135" s="107"/>
      <c r="AK135" s="129" t="s">
        <v>394</v>
      </c>
      <c r="AL135" s="125">
        <f>_xlfn.STDEV.S(AL216:AL235)/SQRT($AK$108)</f>
        <v>7.3726021971821272E-3</v>
      </c>
      <c r="AM135" s="125">
        <f>_xlfn.STDEV.S(AM216:AM235)/SQRT($AK$108)</f>
        <v>0.36293284502783707</v>
      </c>
      <c r="AN135" s="125">
        <f>_xlfn.STDEV.S(AN216:AN235)/SQRT($AK$108)</f>
        <v>0.67045581509895269</v>
      </c>
      <c r="AO135" s="125">
        <f>_xlfn.STDEV.S(AO216:AO235)/SQRT($AK$108)</f>
        <v>0.75327324321747191</v>
      </c>
      <c r="AP135" s="125">
        <f>_xlfn.STDEV.S(AP216:AP235)/SQRT($AK$108)</f>
        <v>0.75219394895339686</v>
      </c>
      <c r="AQ135" s="107"/>
      <c r="AR135" s="107"/>
      <c r="AS135" s="107"/>
      <c r="AU135">
        <v>14</v>
      </c>
      <c r="AV135">
        <v>445</v>
      </c>
    </row>
    <row r="136" spans="1:48" ht="15.6" x14ac:dyDescent="0.35">
      <c r="B136" s="1" t="s">
        <v>19</v>
      </c>
      <c r="C136" s="1">
        <f>SUM(C131:C135)</f>
        <v>169</v>
      </c>
      <c r="D136" s="1">
        <f>SUM(D131:D135)</f>
        <v>451</v>
      </c>
      <c r="E136" s="1">
        <f>SUM(E131:E135)</f>
        <v>7228</v>
      </c>
      <c r="F136" s="1">
        <f>SUM(F131:F135)</f>
        <v>2715</v>
      </c>
      <c r="G136" s="1">
        <f>SUM(G131:G135)</f>
        <v>907</v>
      </c>
      <c r="H136" s="1">
        <f>SUM(H130:H135)</f>
        <v>11470</v>
      </c>
      <c r="I136" s="13" t="s">
        <v>12</v>
      </c>
      <c r="N136" s="16"/>
      <c r="O136" s="1"/>
      <c r="P136" s="1"/>
      <c r="R136" t="s">
        <v>105</v>
      </c>
      <c r="S136" t="s">
        <v>28</v>
      </c>
      <c r="T136" s="57">
        <f>C379</f>
        <v>1.407239265114651</v>
      </c>
      <c r="U136" s="57">
        <f t="shared" ref="U136:X139" si="22">D379</f>
        <v>4.8846686213548853</v>
      </c>
      <c r="V136" s="57">
        <f t="shared" si="22"/>
        <v>58.10082270302965</v>
      </c>
      <c r="W136" s="57">
        <f t="shared" si="22"/>
        <v>26.336985370427417</v>
      </c>
      <c r="X136" s="57">
        <f t="shared" si="22"/>
        <v>9.2702840400734097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</row>
    <row r="137" spans="1:48" x14ac:dyDescent="0.3">
      <c r="A137" s="1" t="s">
        <v>321</v>
      </c>
      <c r="B137" s="1" t="s">
        <v>2</v>
      </c>
      <c r="C137" s="10">
        <f>C131/C136</f>
        <v>1</v>
      </c>
      <c r="D137" s="10">
        <f>D132/D136</f>
        <v>0.68514412416851445</v>
      </c>
      <c r="E137" s="10">
        <f>E133/E136</f>
        <v>0.99003873824017707</v>
      </c>
      <c r="F137" s="10">
        <f>F134/F136</f>
        <v>0.90791896869244937</v>
      </c>
      <c r="G137" s="10">
        <f>G135/G136</f>
        <v>0.85997794928335169</v>
      </c>
      <c r="H137" s="10"/>
      <c r="I137" s="14">
        <f>(C131+D132+E133+F134+G135)/H136</f>
        <v>0.9484742807323453</v>
      </c>
      <c r="S137" s="66" t="s">
        <v>39</v>
      </c>
      <c r="T137" s="67">
        <f>C380</f>
        <v>0</v>
      </c>
      <c r="U137" s="67">
        <f t="shared" si="22"/>
        <v>0.11429606075035792</v>
      </c>
      <c r="V137" s="67">
        <f t="shared" si="22"/>
        <v>0.15353437831392022</v>
      </c>
      <c r="W137" s="67">
        <f t="shared" si="22"/>
        <v>0.18244076241708287</v>
      </c>
      <c r="X137" s="67">
        <f t="shared" si="22"/>
        <v>0.16746800403007958</v>
      </c>
      <c r="AD137" s="51"/>
      <c r="AE137" s="51"/>
      <c r="AU137">
        <v>16</v>
      </c>
      <c r="AV137">
        <v>503</v>
      </c>
    </row>
    <row r="138" spans="1:48" x14ac:dyDescent="0.3">
      <c r="B138" s="1" t="s">
        <v>14</v>
      </c>
      <c r="C138" s="11">
        <f>1-C137</f>
        <v>0</v>
      </c>
      <c r="D138" s="11">
        <f>1-D137</f>
        <v>0.31485587583148555</v>
      </c>
      <c r="E138" s="11">
        <f>1-E137</f>
        <v>9.9612617598229258E-3</v>
      </c>
      <c r="F138" s="11">
        <f>1-F137</f>
        <v>9.2081031307550631E-2</v>
      </c>
      <c r="G138" s="11">
        <f>1-G137</f>
        <v>0.14002205071664831</v>
      </c>
      <c r="S138" t="s">
        <v>30</v>
      </c>
      <c r="T138" s="57">
        <f>C381</f>
        <v>100</v>
      </c>
      <c r="U138" s="57">
        <f t="shared" si="22"/>
        <v>77.52033019031056</v>
      </c>
      <c r="V138" s="57">
        <f t="shared" si="22"/>
        <v>98.445596865254743</v>
      </c>
      <c r="W138" s="57">
        <f t="shared" si="22"/>
        <v>90.683711776119907</v>
      </c>
      <c r="X138" s="57">
        <f t="shared" si="22"/>
        <v>87.443353594801707</v>
      </c>
      <c r="AA138" s="54"/>
      <c r="AD138" s="51"/>
      <c r="AE138" s="51"/>
      <c r="AH138" s="78"/>
      <c r="AI138" s="78"/>
      <c r="AU138">
        <v>17</v>
      </c>
      <c r="AV138">
        <v>532</v>
      </c>
    </row>
    <row r="139" spans="1:48" x14ac:dyDescent="0.3">
      <c r="C139" s="2"/>
      <c r="S139" s="66" t="s">
        <v>39</v>
      </c>
      <c r="T139" s="67">
        <f>C382</f>
        <v>0</v>
      </c>
      <c r="U139" s="67">
        <f t="shared" si="22"/>
        <v>3.3978075346966938</v>
      </c>
      <c r="V139" s="67">
        <f t="shared" si="22"/>
        <v>0.16789538604937881</v>
      </c>
      <c r="W139" s="67">
        <f t="shared" si="22"/>
        <v>0.63486740595652102</v>
      </c>
      <c r="X139" s="67">
        <f t="shared" si="22"/>
        <v>2.0314146545565639</v>
      </c>
      <c r="AD139" s="51"/>
      <c r="AE139" s="51"/>
      <c r="AU139">
        <v>18</v>
      </c>
      <c r="AV139">
        <v>561</v>
      </c>
    </row>
    <row r="140" spans="1:48" ht="15.6" x14ac:dyDescent="0.35">
      <c r="A140" t="s">
        <v>322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100</v>
      </c>
      <c r="U140" s="57">
        <f>I375</f>
        <v>90.560471976401175</v>
      </c>
      <c r="V140" s="57">
        <f>I376</f>
        <v>96.904987160427069</v>
      </c>
      <c r="W140" s="57">
        <f>I377</f>
        <v>94.621590472531693</v>
      </c>
      <c r="X140" s="57">
        <f>I378</f>
        <v>79.895833333333329</v>
      </c>
      <c r="AD140" s="51"/>
      <c r="AE140" s="51"/>
      <c r="AH140" s="78"/>
      <c r="AI140" s="78"/>
      <c r="AU140">
        <v>19</v>
      </c>
      <c r="AV140">
        <v>590</v>
      </c>
    </row>
    <row r="141" spans="1:48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</v>
      </c>
      <c r="U141" s="67">
        <f>J375</f>
        <v>1.5903258877181969</v>
      </c>
      <c r="V141" s="67">
        <f>J376</f>
        <v>0.20134791102974911</v>
      </c>
      <c r="W141" s="67">
        <f>J377</f>
        <v>0.4422505783592125</v>
      </c>
      <c r="X141" s="67">
        <f>J378</f>
        <v>1.2941833250904546</v>
      </c>
      <c r="AD141" s="51"/>
      <c r="AE141" s="51"/>
    </row>
    <row r="142" spans="1:48" x14ac:dyDescent="0.3">
      <c r="A142" t="s">
        <v>3</v>
      </c>
      <c r="B142" s="13">
        <v>0</v>
      </c>
      <c r="C142" s="29">
        <f>(C131/$L142)*$O142</f>
        <v>1.3995269682803861</v>
      </c>
      <c r="D142" s="31">
        <f>(D131/$L142)*$O142</f>
        <v>0</v>
      </c>
      <c r="E142" s="31">
        <f>(E131/$L142)*$O142</f>
        <v>0</v>
      </c>
      <c r="F142" s="31">
        <f>(F131/$L142)*$O142</f>
        <v>0</v>
      </c>
      <c r="G142" s="32">
        <f>(G131/$L142)*$O142</f>
        <v>0</v>
      </c>
      <c r="H142" s="17">
        <f>SUM(C142:G142)</f>
        <v>1.3995269682803861</v>
      </c>
      <c r="I142" s="17">
        <f>C142/H142*100</f>
        <v>100</v>
      </c>
      <c r="J142" s="17">
        <f>SQRT(I142*(100-I142)/(L142-1))</f>
        <v>0</v>
      </c>
      <c r="K142" s="18">
        <f>100-I142</f>
        <v>0</v>
      </c>
      <c r="L142" s="1">
        <f>H131</f>
        <v>169</v>
      </c>
      <c r="M142">
        <v>0</v>
      </c>
      <c r="N142" s="1">
        <v>2580.46</v>
      </c>
      <c r="O142" s="17">
        <f>N142/N147*100</f>
        <v>1.3995269682803861</v>
      </c>
      <c r="P142" s="52">
        <f>((O142*O142*(I142/100)*(K142/100))/(L142-1))</f>
        <v>0</v>
      </c>
      <c r="S142" s="66" t="s">
        <v>56</v>
      </c>
      <c r="T142" s="67">
        <f>N363*100</f>
        <v>100</v>
      </c>
      <c r="U142" s="67">
        <f>N364*100</f>
        <v>78.416347381864625</v>
      </c>
      <c r="V142" s="67">
        <f>N365*100</f>
        <v>97.870597870597862</v>
      </c>
      <c r="W142" s="67">
        <f>N366*100</f>
        <v>92.611393119007332</v>
      </c>
      <c r="X142" s="67">
        <f>N367*100</f>
        <v>83.008658008658017</v>
      </c>
      <c r="AD142" s="51"/>
      <c r="AE142" s="51"/>
      <c r="AH142" s="78"/>
      <c r="AI142" s="78"/>
    </row>
    <row r="143" spans="1:48" x14ac:dyDescent="0.3">
      <c r="A143" t="s">
        <v>4</v>
      </c>
      <c r="B143" s="13">
        <v>1</v>
      </c>
      <c r="C143" s="33">
        <f t="shared" ref="C143:G146" si="23">(C132/$L143)*$O143</f>
        <v>0</v>
      </c>
      <c r="D143" s="34">
        <f t="shared" si="23"/>
        <v>3.767395424577936</v>
      </c>
      <c r="E143" s="19">
        <f t="shared" si="23"/>
        <v>0.3413821096704926</v>
      </c>
      <c r="F143" s="18">
        <f t="shared" si="23"/>
        <v>0</v>
      </c>
      <c r="G143" s="20">
        <f t="shared" si="23"/>
        <v>2.4384436405035185E-2</v>
      </c>
      <c r="H143" s="17">
        <f>SUM(C143:G143)</f>
        <v>4.1331619706534637</v>
      </c>
      <c r="I143" s="17">
        <f>D143/H143*100</f>
        <v>91.150442477876098</v>
      </c>
      <c r="J143" s="17">
        <f>SQRT(I143*(100-I143)/(L143-1))</f>
        <v>1.5448339983540125</v>
      </c>
      <c r="K143" s="18">
        <f>100-I143</f>
        <v>8.8495575221239022</v>
      </c>
      <c r="L143" s="1">
        <f>H132</f>
        <v>339</v>
      </c>
      <c r="M143">
        <v>1</v>
      </c>
      <c r="N143" s="1">
        <v>7620.76</v>
      </c>
      <c r="O143" s="17">
        <f>N143/N147*100</f>
        <v>4.1331619706534637</v>
      </c>
      <c r="P143" s="52">
        <f>((O143*O143*(I143/100)*(K143/100))/(L143-1))</f>
        <v>4.076885243043251E-3</v>
      </c>
      <c r="R143" s="16" t="s">
        <v>66</v>
      </c>
      <c r="S143" t="s">
        <v>9</v>
      </c>
      <c r="T143" s="30">
        <f>N374</f>
        <v>2594.6799999999998</v>
      </c>
      <c r="U143" s="30">
        <f>N375</f>
        <v>7709.53</v>
      </c>
      <c r="V143" s="30">
        <f>N376</f>
        <v>108829.92</v>
      </c>
      <c r="W143" s="30">
        <f>N377</f>
        <v>46539.42</v>
      </c>
      <c r="X143" s="30">
        <f>N378</f>
        <v>18707.32</v>
      </c>
      <c r="Z143" t="s">
        <v>36</v>
      </c>
      <c r="AA143" s="1">
        <f>N379</f>
        <v>184380.87</v>
      </c>
      <c r="AD143" s="51"/>
      <c r="AE143" s="51"/>
    </row>
    <row r="144" spans="1:48" ht="15.6" x14ac:dyDescent="0.35">
      <c r="A144" t="s">
        <v>5</v>
      </c>
      <c r="B144" s="13">
        <v>2</v>
      </c>
      <c r="C144" s="33">
        <f t="shared" si="23"/>
        <v>0</v>
      </c>
      <c r="D144" s="19">
        <f t="shared" si="23"/>
        <v>1.1032388519652527</v>
      </c>
      <c r="E144" s="34">
        <f t="shared" si="23"/>
        <v>56.79695845081546</v>
      </c>
      <c r="F144" s="19">
        <f t="shared" si="23"/>
        <v>0.71432731422210605</v>
      </c>
      <c r="G144" s="20">
        <f t="shared" si="23"/>
        <v>0.11111758221232762</v>
      </c>
      <c r="H144" s="17">
        <f>SUM(C144:G144)</f>
        <v>58.725642199215145</v>
      </c>
      <c r="I144" s="17">
        <f>E144/H144*100</f>
        <v>96.715772401675906</v>
      </c>
      <c r="J144" s="17">
        <f>SQRT(I144*(100-I144)/(L144-1))</f>
        <v>0.20720876007234476</v>
      </c>
      <c r="K144" s="18">
        <f>100-I144</f>
        <v>3.2842275983240938</v>
      </c>
      <c r="L144" s="1">
        <f>H133</f>
        <v>7399</v>
      </c>
      <c r="M144">
        <v>2</v>
      </c>
      <c r="N144" s="1">
        <v>108278.85</v>
      </c>
      <c r="O144" s="17">
        <f>N144/N147*100</f>
        <v>58.725642199215145</v>
      </c>
      <c r="P144" s="52">
        <f>((O144*O144*(I144/100)*(K144/100))/(L144-1))</f>
        <v>1.4807160140932666E-2</v>
      </c>
      <c r="R144" s="16" t="s">
        <v>323</v>
      </c>
      <c r="S144" t="s">
        <v>68</v>
      </c>
      <c r="T144" s="57">
        <f>$AA143*T136/100</f>
        <v>2594.6799999999998</v>
      </c>
      <c r="U144" s="57">
        <f>$AA143*U136/100</f>
        <v>9006.3945006711438</v>
      </c>
      <c r="V144" s="57">
        <f>$AA143*V136/100</f>
        <v>107126.80237700358</v>
      </c>
      <c r="W144" s="57">
        <f>$AA143*W136/100</f>
        <v>48560.362757766794</v>
      </c>
      <c r="X144" s="57">
        <f>$AA143*X136/100</f>
        <v>17092.630364558499</v>
      </c>
      <c r="Z144" t="s">
        <v>36</v>
      </c>
      <c r="AA144" s="25">
        <f>SUM(T144:X144)</f>
        <v>184380.87</v>
      </c>
      <c r="AD144" s="51"/>
      <c r="AE144" s="51"/>
      <c r="AH144" s="78"/>
      <c r="AI144" s="78"/>
    </row>
    <row r="145" spans="1:35" x14ac:dyDescent="0.3">
      <c r="A145" t="s">
        <v>6</v>
      </c>
      <c r="B145" s="13">
        <v>3</v>
      </c>
      <c r="C145" s="33">
        <f t="shared" si="23"/>
        <v>0</v>
      </c>
      <c r="D145" s="19">
        <f t="shared" si="23"/>
        <v>2.9086967058842943E-2</v>
      </c>
      <c r="E145" s="19">
        <f t="shared" si="23"/>
        <v>0.23269573647074354</v>
      </c>
      <c r="F145" s="34">
        <f t="shared" si="23"/>
        <v>23.89979126668262</v>
      </c>
      <c r="G145" s="20">
        <f t="shared" si="23"/>
        <v>1.0762177811771889</v>
      </c>
      <c r="H145" s="17">
        <f>SUM(C145:G145)</f>
        <v>25.237791751389395</v>
      </c>
      <c r="I145" s="17">
        <f>F145/H145*100</f>
        <v>94.698424894352669</v>
      </c>
      <c r="J145" s="17">
        <f>SQRT(I145*(100-I145)/(L145-1))</f>
        <v>0.43925851678393524</v>
      </c>
      <c r="K145" s="18">
        <f>100-I145</f>
        <v>5.3015751056473306</v>
      </c>
      <c r="L145" s="1">
        <f>H134</f>
        <v>2603</v>
      </c>
      <c r="M145">
        <v>3</v>
      </c>
      <c r="N145" s="1">
        <v>46533.66</v>
      </c>
      <c r="O145" s="17">
        <f>N145/N147*100</f>
        <v>25.237791751389395</v>
      </c>
      <c r="P145" s="52">
        <f>((O145*O145*(I145/100)*(K145/100))/(L145-1))</f>
        <v>1.2289751075792507E-2</v>
      </c>
      <c r="R145" s="66"/>
      <c r="S145" s="66" t="s">
        <v>67</v>
      </c>
      <c r="T145" s="67">
        <f>$AA143*T137/100</f>
        <v>0</v>
      </c>
      <c r="U145" s="67">
        <f>$AA143*U137/100</f>
        <v>210.74007118723847</v>
      </c>
      <c r="V145" s="67">
        <f>$AA143*V137/100</f>
        <v>283.08802248429743</v>
      </c>
      <c r="W145" s="67">
        <f>$AA143*W137/100</f>
        <v>336.38586497925041</v>
      </c>
      <c r="X145" s="67">
        <f>$AA143*X137/100</f>
        <v>308.77896280229578</v>
      </c>
      <c r="AA145" s="1"/>
      <c r="AD145" s="51"/>
      <c r="AE145" s="51"/>
    </row>
    <row r="146" spans="1:35" x14ac:dyDescent="0.3">
      <c r="A146" t="s">
        <v>7</v>
      </c>
      <c r="B146" s="13">
        <v>4</v>
      </c>
      <c r="C146" s="35">
        <f t="shared" si="23"/>
        <v>0</v>
      </c>
      <c r="D146" s="36">
        <f t="shared" si="23"/>
        <v>0</v>
      </c>
      <c r="E146" s="21">
        <f t="shared" si="23"/>
        <v>0.2188307731346171</v>
      </c>
      <c r="F146" s="21">
        <f t="shared" si="23"/>
        <v>1.7506461850769368</v>
      </c>
      <c r="G146" s="37">
        <f t="shared" si="23"/>
        <v>8.5344001522500665</v>
      </c>
      <c r="H146" s="17">
        <f>SUM(C146:G146)</f>
        <v>10.50387711046162</v>
      </c>
      <c r="I146" s="17">
        <f>G146/H146*100</f>
        <v>81.250000000000014</v>
      </c>
      <c r="J146" s="17">
        <f>SQRT(I146*(100-I146)/(L146-1))</f>
        <v>1.2603843944167425</v>
      </c>
      <c r="K146" s="18">
        <f>100-I146</f>
        <v>18.749999999999986</v>
      </c>
      <c r="L146" s="1">
        <f>H135</f>
        <v>960</v>
      </c>
      <c r="M146">
        <v>4</v>
      </c>
      <c r="N146" s="1">
        <v>19367.14</v>
      </c>
      <c r="O146" s="17">
        <f>N146/N147*100</f>
        <v>10.503877110461621</v>
      </c>
      <c r="P146" s="52">
        <f>((O146*O146*(I146/100)*(K146/100))/(L146-1))</f>
        <v>1.7526907666333344E-2</v>
      </c>
      <c r="R146" t="s">
        <v>106</v>
      </c>
      <c r="S146" t="s">
        <v>28</v>
      </c>
      <c r="T146" s="57">
        <f>C408</f>
        <v>1.4111983845613492</v>
      </c>
      <c r="U146" s="57">
        <f t="shared" ref="U146:X149" si="24">D408</f>
        <v>4.7988930202181486</v>
      </c>
      <c r="V146" s="57">
        <f t="shared" si="24"/>
        <v>58.031183896828978</v>
      </c>
      <c r="W146" s="57">
        <f t="shared" si="24"/>
        <v>26.052090994389086</v>
      </c>
      <c r="X146" s="57">
        <f t="shared" si="24"/>
        <v>9.706633704002428</v>
      </c>
      <c r="Y146" s="60"/>
      <c r="Z146" s="74"/>
      <c r="AA146" s="12"/>
      <c r="AD146" s="51"/>
      <c r="AE146" s="51"/>
      <c r="AH146" s="78"/>
      <c r="AI146" s="78"/>
    </row>
    <row r="147" spans="1:35" x14ac:dyDescent="0.3">
      <c r="B147" t="s">
        <v>28</v>
      </c>
      <c r="C147" s="17">
        <f t="shared" ref="C147:H147" si="25">SUM(C142:C146)</f>
        <v>1.3995269682803861</v>
      </c>
      <c r="D147" s="17">
        <f t="shared" si="25"/>
        <v>4.8997212436020323</v>
      </c>
      <c r="E147" s="17">
        <f t="shared" si="25"/>
        <v>57.589867070091316</v>
      </c>
      <c r="F147" s="17">
        <f t="shared" si="25"/>
        <v>26.364764765981665</v>
      </c>
      <c r="G147" s="17">
        <f t="shared" si="25"/>
        <v>9.7461199520446176</v>
      </c>
      <c r="H147" s="18">
        <f t="shared" si="25"/>
        <v>100</v>
      </c>
      <c r="I147" s="13" t="s">
        <v>24</v>
      </c>
      <c r="J147" s="12" t="s">
        <v>29</v>
      </c>
      <c r="N147" s="1">
        <f>SUM(N142:N146)</f>
        <v>184380.87</v>
      </c>
      <c r="O147" s="17">
        <f>SUM(O142:O146)</f>
        <v>100</v>
      </c>
      <c r="S147" s="66" t="s">
        <v>39</v>
      </c>
      <c r="T147" s="67">
        <f>C409</f>
        <v>0</v>
      </c>
      <c r="U147" s="67">
        <f t="shared" si="24"/>
        <v>0.11218483844001621</v>
      </c>
      <c r="V147" s="67">
        <f t="shared" si="24"/>
        <v>0.1536244589043492</v>
      </c>
      <c r="W147" s="67">
        <f t="shared" si="24"/>
        <v>0.18578902962949717</v>
      </c>
      <c r="X147" s="67">
        <f t="shared" si="24"/>
        <v>0.17020152432359098</v>
      </c>
      <c r="AD147" s="51"/>
      <c r="AE147" s="51"/>
    </row>
    <row r="148" spans="1:35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0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0.11374719778281615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0.15232656413315471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0.18397815861602021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0.16933439334833908</v>
      </c>
      <c r="H148" s="1"/>
      <c r="I148" s="56">
        <f>(C142+D143+E144+F145+G146)/H147</f>
        <v>0.94398072262606481</v>
      </c>
      <c r="J148" s="53">
        <f>SQRT(SUM(P142:P146))/100</f>
        <v>2.20682360251339E-3</v>
      </c>
      <c r="M148" s="1"/>
      <c r="N148" s="9"/>
      <c r="S148" t="s">
        <v>30</v>
      </c>
      <c r="T148" s="57">
        <f>C410</f>
        <v>100</v>
      </c>
      <c r="U148" s="57">
        <f t="shared" si="24"/>
        <v>77.62364491636788</v>
      </c>
      <c r="V148" s="57">
        <f t="shared" si="24"/>
        <v>98.475509738252427</v>
      </c>
      <c r="W148" s="57">
        <f t="shared" si="24"/>
        <v>90.763178343094765</v>
      </c>
      <c r="X148" s="57">
        <f t="shared" si="24"/>
        <v>86.407707257397902</v>
      </c>
      <c r="AD148" s="51"/>
      <c r="AE148" s="51"/>
      <c r="AH148" s="78"/>
      <c r="AI148" s="78"/>
    </row>
    <row r="149" spans="1:35" x14ac:dyDescent="0.3">
      <c r="B149" s="1" t="s">
        <v>30</v>
      </c>
      <c r="C149" s="17">
        <f>C142/C147*100</f>
        <v>100</v>
      </c>
      <c r="D149" s="17">
        <f>D143/D147*100</f>
        <v>76.889995109361237</v>
      </c>
      <c r="E149" s="17">
        <f>E144/E147*100</f>
        <v>98.623180327346788</v>
      </c>
      <c r="F149" s="17">
        <f>F145/F147*100</f>
        <v>90.650500692198136</v>
      </c>
      <c r="G149" s="17">
        <f>G146/G147*100</f>
        <v>87.567156922377649</v>
      </c>
      <c r="H149" s="1"/>
      <c r="S149" s="66" t="s">
        <v>39</v>
      </c>
      <c r="T149" s="67">
        <f>C411</f>
        <v>0</v>
      </c>
      <c r="U149" s="67">
        <f t="shared" si="24"/>
        <v>3.3465030655746415</v>
      </c>
      <c r="V149" s="67">
        <f t="shared" si="24"/>
        <v>0.16579972943706478</v>
      </c>
      <c r="W149" s="67">
        <f t="shared" si="24"/>
        <v>0.652044690417382</v>
      </c>
      <c r="X149" s="67">
        <f t="shared" si="24"/>
        <v>2.0676761265919432</v>
      </c>
      <c r="AD149" s="51"/>
      <c r="AE149" s="51"/>
    </row>
    <row r="150" spans="1:35" x14ac:dyDescent="0.3">
      <c r="B150" s="16" t="s">
        <v>39</v>
      </c>
      <c r="C150" s="18">
        <f>SQRT((C153+C154)/(C147*C147))</f>
        <v>0</v>
      </c>
      <c r="D150" s="18">
        <f>SQRT((D153+D154)/(D147*D147))</f>
        <v>3.3548597515515119</v>
      </c>
      <c r="E150" s="18">
        <f>SQRT((E153+E154)/(E147*E147))</f>
        <v>0.15974512905263327</v>
      </c>
      <c r="F150" s="18">
        <f>SQRT((F153+F154)/(F147*F147))</f>
        <v>0.64005839971903111</v>
      </c>
      <c r="G150" s="18">
        <f>SQRT((G153+G154)/(G147*G147))</f>
        <v>1.9375150567461197</v>
      </c>
      <c r="H150" s="1"/>
      <c r="S150" s="15" t="s">
        <v>31</v>
      </c>
      <c r="T150" s="71">
        <f>I403</f>
        <v>100</v>
      </c>
      <c r="U150" s="71">
        <f>I404</f>
        <v>90.855457227138643</v>
      </c>
      <c r="V150" s="71">
        <f>I405</f>
        <v>96.837410460873102</v>
      </c>
      <c r="W150" s="71">
        <f>I406</f>
        <v>94.006915097963898</v>
      </c>
      <c r="X150" s="71">
        <f>I407</f>
        <v>81.25</v>
      </c>
      <c r="AD150" s="51"/>
      <c r="AE150" s="51"/>
      <c r="AH150" s="78"/>
      <c r="AI150" s="78"/>
    </row>
    <row r="151" spans="1:35" x14ac:dyDescent="0.3">
      <c r="B151" s="1" t="s">
        <v>37</v>
      </c>
      <c r="C151" s="18">
        <f>100-C149</f>
        <v>0</v>
      </c>
      <c r="D151" s="18">
        <f>100-D149</f>
        <v>23.110004890638763</v>
      </c>
      <c r="E151" s="18">
        <f>100-E149</f>
        <v>1.3768196726532125</v>
      </c>
      <c r="F151" s="18">
        <f>100-F149</f>
        <v>9.3494993078018638</v>
      </c>
      <c r="G151" s="18">
        <f>100-G149</f>
        <v>12.432843077622351</v>
      </c>
      <c r="S151" s="75" t="s">
        <v>39</v>
      </c>
      <c r="T151" s="76">
        <f>J403</f>
        <v>0</v>
      </c>
      <c r="U151" s="76">
        <f>J404</f>
        <v>1.5678270633196913</v>
      </c>
      <c r="V151" s="76">
        <f>J405</f>
        <v>0.20346318341964975</v>
      </c>
      <c r="W151" s="76">
        <f>J406</f>
        <v>0.46531973236521851</v>
      </c>
      <c r="X151" s="76">
        <f>J407</f>
        <v>1.260384394416743</v>
      </c>
      <c r="AD151" s="51"/>
      <c r="AE151" s="51"/>
    </row>
    <row r="152" spans="1:35" ht="15.6" x14ac:dyDescent="0.35">
      <c r="B152" s="1" t="s">
        <v>25</v>
      </c>
      <c r="C152" s="1">
        <f>C136</f>
        <v>169</v>
      </c>
      <c r="D152" s="1">
        <f>D136</f>
        <v>451</v>
      </c>
      <c r="E152" s="1">
        <f>E136</f>
        <v>7228</v>
      </c>
      <c r="F152" s="1">
        <f>F136</f>
        <v>2715</v>
      </c>
      <c r="G152" s="1">
        <f>G136</f>
        <v>907</v>
      </c>
      <c r="S152" s="66" t="s">
        <v>56</v>
      </c>
      <c r="T152" s="67">
        <f>N392*100</f>
        <v>100</v>
      </c>
      <c r="U152" s="67">
        <f>N393*100</f>
        <v>78.873239436619713</v>
      </c>
      <c r="V152" s="67">
        <f>N394*100</f>
        <v>97.842414311074705</v>
      </c>
      <c r="W152" s="67">
        <f>N395*100</f>
        <v>92.409365558912384</v>
      </c>
      <c r="X152" s="67">
        <f>N396*100</f>
        <v>83.022884513038861</v>
      </c>
      <c r="AD152" s="51"/>
      <c r="AE152" s="51"/>
      <c r="AH152" s="78"/>
      <c r="AI152" s="78"/>
    </row>
    <row r="153" spans="1:35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217.73515847720611</v>
      </c>
      <c r="E153" s="18">
        <f>(O144*O144*(100-E149)*(100-E149)*(I144)*(100-I144))/((L144-1)*100)</f>
        <v>2.8068932678091834</v>
      </c>
      <c r="F153" s="18">
        <f>(O145*O145*(100-F149)*(100-F149)*(I145)*(100-I145))/((L145-1)*100)</f>
        <v>107.42856982520324</v>
      </c>
      <c r="G153" s="18">
        <f>(O146*O146*(100-G149)*(100-G149)*(I146)*(100-I146))/((L146-1)*100)</f>
        <v>270.92320406917679</v>
      </c>
      <c r="R153" s="16" t="s">
        <v>66</v>
      </c>
      <c r="S153" t="s">
        <v>9</v>
      </c>
      <c r="T153" s="30">
        <f>N403</f>
        <v>2601.98</v>
      </c>
      <c r="U153" s="30">
        <f>N404</f>
        <v>7559.62</v>
      </c>
      <c r="V153" s="30">
        <f>N405</f>
        <v>108808.39</v>
      </c>
      <c r="W153" s="30">
        <f>N406</f>
        <v>46377.61</v>
      </c>
      <c r="X153" s="30">
        <f>N407</f>
        <v>19033.28</v>
      </c>
      <c r="Z153" t="s">
        <v>36</v>
      </c>
      <c r="AA153" s="1">
        <f>N408</f>
        <v>184380.88</v>
      </c>
      <c r="AD153" s="51"/>
      <c r="AE153" s="51"/>
    </row>
    <row r="154" spans="1:35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52.468661317541816</v>
      </c>
      <c r="E154" s="18">
        <f>E149*E149*(SUM((H142*E142*(1-E131/H131))/(H131-1),(H143*E143*(1-E132/H132))/(H132-1), (H145*E145*(1-E134/H134))/(H134-1),(H146*E146*(1-E135/H135))/(H135-1)))</f>
        <v>81.827600570880492</v>
      </c>
      <c r="F154" s="18">
        <f>F149*F149*(SUM((H142*F142*(1-F131/H131))/(H131-1),(H143*F143*(1-F132/H132))/(H132-1), (H144*F144*(1-F133/H133))/(H133-1),(H146*F146*(1-F135/H135))/(H135-1)))</f>
        <v>177.33668882146313</v>
      </c>
      <c r="G154" s="18">
        <f>G149*G149*(SUM((H142*G142*(1-G131/H131))/(H131-1),(H143*G143*(1-G132/H132))/(H132-1), (H144*G144*(1-G133/H133))/(H133-1),(H145*G145*(1-G134/H134))/(H134-1)))</f>
        <v>85.654083297590688</v>
      </c>
      <c r="R154" s="16" t="s">
        <v>323</v>
      </c>
      <c r="S154" t="s">
        <v>68</v>
      </c>
      <c r="T154" s="57">
        <f>$AA153*T146/100</f>
        <v>2601.9799999999996</v>
      </c>
      <c r="U154" s="57">
        <f>$AA153*U146/100</f>
        <v>8848.2411809368004</v>
      </c>
      <c r="V154" s="57">
        <f>$AA153*V146/100</f>
        <v>106998.40754339157</v>
      </c>
      <c r="W154" s="57">
        <f>$AA153*W146/100</f>
        <v>48035.074633855344</v>
      </c>
      <c r="X154" s="57">
        <f>$AA153*X146/100</f>
        <v>17897.176641816273</v>
      </c>
      <c r="Z154" t="s">
        <v>36</v>
      </c>
      <c r="AA154" s="25">
        <f>SUM(T154:X154)</f>
        <v>184380.88</v>
      </c>
      <c r="AD154" s="51"/>
      <c r="AE154" s="51"/>
      <c r="AH154" s="78"/>
      <c r="AI154" s="78"/>
    </row>
    <row r="155" spans="1:35" x14ac:dyDescent="0.3">
      <c r="R155" s="66"/>
      <c r="S155" s="66" t="s">
        <v>67</v>
      </c>
      <c r="T155" s="67">
        <f>$AA153*T147/100</f>
        <v>0</v>
      </c>
      <c r="U155" s="67">
        <f>$AA153*U147/100</f>
        <v>206.84739234228019</v>
      </c>
      <c r="V155" s="67">
        <f>$AA153*V147/100</f>
        <v>283.25412922307743</v>
      </c>
      <c r="W155" s="67">
        <f>$AA153*W147/100</f>
        <v>342.55944777432762</v>
      </c>
      <c r="X155" s="67">
        <f>$AA153*X147/100</f>
        <v>313.81906832125111</v>
      </c>
      <c r="AA155" s="1"/>
      <c r="AD155" s="51"/>
      <c r="AE155" s="51"/>
    </row>
    <row r="156" spans="1:35" x14ac:dyDescent="0.3">
      <c r="R156" t="s">
        <v>107</v>
      </c>
      <c r="S156" t="s">
        <v>28</v>
      </c>
      <c r="T156" s="57">
        <f>C437</f>
        <v>1.4043592806369076</v>
      </c>
      <c r="U156" s="57">
        <f t="shared" ref="U156:X159" si="26">D437</f>
        <v>5.1896624281581234</v>
      </c>
      <c r="V156" s="57">
        <f t="shared" si="26"/>
        <v>57.635830380617179</v>
      </c>
      <c r="W156" s="57">
        <f t="shared" si="26"/>
        <v>26.072241908654899</v>
      </c>
      <c r="X156" s="57">
        <f t="shared" si="26"/>
        <v>9.6979060019328891</v>
      </c>
      <c r="Z156" s="74"/>
      <c r="AA156" s="12"/>
      <c r="AD156" s="51"/>
      <c r="AE156" s="51"/>
      <c r="AH156" s="78"/>
      <c r="AI156" s="78"/>
    </row>
    <row r="157" spans="1:35" x14ac:dyDescent="0.3">
      <c r="A157" s="361" t="s">
        <v>449</v>
      </c>
      <c r="B157" s="361"/>
      <c r="C157" s="361"/>
      <c r="D157" s="361"/>
      <c r="E157" s="361"/>
      <c r="F157" s="361"/>
      <c r="G157" s="361"/>
      <c r="H157" s="361"/>
      <c r="I157" s="361"/>
      <c r="J157" s="361"/>
      <c r="K157" s="361"/>
      <c r="L157" s="361" t="s">
        <v>83</v>
      </c>
      <c r="M157" s="361"/>
      <c r="N157" s="361"/>
      <c r="O157" s="361"/>
      <c r="P157" s="361"/>
      <c r="S157" s="66" t="s">
        <v>39</v>
      </c>
      <c r="T157" s="67">
        <f>C438</f>
        <v>0</v>
      </c>
      <c r="U157" s="67">
        <f t="shared" si="26"/>
        <v>0.11696838544779181</v>
      </c>
      <c r="V157" s="67">
        <f t="shared" si="26"/>
        <v>0.15388130242035605</v>
      </c>
      <c r="W157" s="67">
        <f t="shared" si="26"/>
        <v>0.18095458821771021</v>
      </c>
      <c r="X157" s="67">
        <f t="shared" si="26"/>
        <v>0.16740622025260374</v>
      </c>
      <c r="AD157" s="51"/>
      <c r="AE157" s="51"/>
    </row>
    <row r="158" spans="1:35" x14ac:dyDescent="0.3">
      <c r="A158" t="s">
        <v>320</v>
      </c>
      <c r="B158" t="s">
        <v>21</v>
      </c>
      <c r="I158" s="1" t="s">
        <v>58</v>
      </c>
      <c r="O158" s="143"/>
      <c r="P158" s="143"/>
      <c r="S158" t="s">
        <v>30</v>
      </c>
      <c r="T158" s="57">
        <f>C439</f>
        <v>100</v>
      </c>
      <c r="U158" s="57">
        <f t="shared" si="26"/>
        <v>76.642244063589686</v>
      </c>
      <c r="V158" s="57">
        <f t="shared" si="26"/>
        <v>98.648973211112448</v>
      </c>
      <c r="W158" s="57">
        <f t="shared" si="26"/>
        <v>90.86806688818416</v>
      </c>
      <c r="X158" s="57">
        <f t="shared" si="26"/>
        <v>87.526991689597224</v>
      </c>
      <c r="AD158" s="51"/>
      <c r="AE158" s="51"/>
      <c r="AH158" s="78"/>
      <c r="AI158" s="78"/>
    </row>
    <row r="159" spans="1:35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56</v>
      </c>
      <c r="O159" s="13"/>
      <c r="P159" s="13"/>
      <c r="S159" s="66" t="s">
        <v>39</v>
      </c>
      <c r="T159" s="67">
        <f>C440</f>
        <v>0</v>
      </c>
      <c r="U159" s="67">
        <f t="shared" si="26"/>
        <v>3.2564382284331663</v>
      </c>
      <c r="V159" s="67">
        <f t="shared" si="26"/>
        <v>0.15966447570147685</v>
      </c>
      <c r="W159" s="67">
        <f t="shared" si="26"/>
        <v>0.63202508826239556</v>
      </c>
      <c r="X159" s="67">
        <f t="shared" si="26"/>
        <v>1.9263042577142555</v>
      </c>
      <c r="AD159" s="51"/>
      <c r="AE159" s="51"/>
    </row>
    <row r="160" spans="1:35" x14ac:dyDescent="0.3">
      <c r="A160" t="s">
        <v>3</v>
      </c>
      <c r="B160" s="13">
        <v>0</v>
      </c>
      <c r="C160" s="26">
        <v>169</v>
      </c>
      <c r="D160" s="3">
        <v>0</v>
      </c>
      <c r="E160" s="3">
        <v>0</v>
      </c>
      <c r="F160" s="3">
        <v>0</v>
      </c>
      <c r="G160" s="4">
        <v>0</v>
      </c>
      <c r="H160" s="1">
        <f>SUM(C160:G160)</f>
        <v>169</v>
      </c>
      <c r="I160" s="10">
        <f>C160/H160</f>
        <v>1</v>
      </c>
      <c r="J160" s="11">
        <f>1-I160</f>
        <v>0</v>
      </c>
      <c r="K160">
        <f>H160-C165</f>
        <v>0</v>
      </c>
      <c r="N160" s="10">
        <f>2*(C166*I160)/(C166+I160)</f>
        <v>1</v>
      </c>
      <c r="O160" s="1"/>
      <c r="P160" s="1"/>
      <c r="S160" s="15" t="s">
        <v>31</v>
      </c>
      <c r="T160" s="71">
        <f>I432</f>
        <v>100</v>
      </c>
      <c r="U160" s="71">
        <f>I433</f>
        <v>91.740412979351035</v>
      </c>
      <c r="V160" s="71">
        <f>I434</f>
        <v>96.621165022300318</v>
      </c>
      <c r="W160" s="71">
        <f>I435</f>
        <v>94.73684210526315</v>
      </c>
      <c r="X160" s="71">
        <f>I436</f>
        <v>81.5625</v>
      </c>
      <c r="AD160" s="51"/>
      <c r="AE160" s="51"/>
      <c r="AH160" s="78"/>
      <c r="AI160" s="78"/>
    </row>
    <row r="161" spans="1:35" x14ac:dyDescent="0.3">
      <c r="A161" t="s">
        <v>4</v>
      </c>
      <c r="B161" s="13">
        <v>1</v>
      </c>
      <c r="C161" s="5">
        <v>0</v>
      </c>
      <c r="D161" s="27">
        <v>306</v>
      </c>
      <c r="E161" s="1">
        <v>30</v>
      </c>
      <c r="F161" s="1">
        <v>0</v>
      </c>
      <c r="G161" s="6">
        <v>3</v>
      </c>
      <c r="H161" s="1">
        <f>SUM(C161:G161)</f>
        <v>339</v>
      </c>
      <c r="I161" s="10">
        <f>D161/H161</f>
        <v>0.90265486725663713</v>
      </c>
      <c r="J161" s="11">
        <f>1-I161</f>
        <v>9.7345132743362872E-2</v>
      </c>
      <c r="K161">
        <f>H161-D165</f>
        <v>-108</v>
      </c>
      <c r="N161" s="10">
        <f>2*(D166*I161)/(D166+I161)</f>
        <v>0.77862595419847325</v>
      </c>
      <c r="O161" s="1"/>
      <c r="P161" s="1"/>
      <c r="S161" s="75" t="s">
        <v>39</v>
      </c>
      <c r="T161" s="76">
        <f>J432</f>
        <v>0</v>
      </c>
      <c r="U161" s="76">
        <f>J433</f>
        <v>1.4972735816949052</v>
      </c>
      <c r="V161" s="76">
        <f>J434</f>
        <v>0.21006923895042123</v>
      </c>
      <c r="W161" s="76">
        <f>J435</f>
        <v>0.43775287342218</v>
      </c>
      <c r="X161" s="76">
        <f>J436</f>
        <v>1.2522382853953165</v>
      </c>
      <c r="AD161" s="51"/>
      <c r="AE161" s="51"/>
    </row>
    <row r="162" spans="1:35" x14ac:dyDescent="0.3">
      <c r="A162" t="s">
        <v>5</v>
      </c>
      <c r="B162" s="13">
        <v>2</v>
      </c>
      <c r="C162" s="5">
        <v>0</v>
      </c>
      <c r="D162" s="1">
        <v>136</v>
      </c>
      <c r="E162" s="27">
        <v>7161</v>
      </c>
      <c r="F162" s="1">
        <v>86</v>
      </c>
      <c r="G162" s="6">
        <v>16</v>
      </c>
      <c r="H162" s="1">
        <f>SUM(C162:G162)</f>
        <v>7399</v>
      </c>
      <c r="I162" s="10">
        <f>E162/H162</f>
        <v>0.96783349101229899</v>
      </c>
      <c r="J162" s="11">
        <f>1-I162</f>
        <v>3.2166508987701015E-2</v>
      </c>
      <c r="K162">
        <f>H162-E165</f>
        <v>162</v>
      </c>
      <c r="N162" s="10">
        <f>2*(E166*I162)/(E166+I162)</f>
        <v>0.97854605083356117</v>
      </c>
      <c r="O162" s="1"/>
      <c r="P162" s="1"/>
      <c r="S162" s="66" t="s">
        <v>56</v>
      </c>
      <c r="T162" s="67">
        <f>N421*100</f>
        <v>100</v>
      </c>
      <c r="U162" s="67">
        <f>N422*100</f>
        <v>77.556109725685772</v>
      </c>
      <c r="V162" s="67">
        <f>N423*100</f>
        <v>97.810918046244353</v>
      </c>
      <c r="W162" s="67">
        <f>N424*100</f>
        <v>92.863867444925617</v>
      </c>
      <c r="X162" s="67">
        <f>N425*100</f>
        <v>83.69855692143237</v>
      </c>
      <c r="AD162" s="51"/>
      <c r="AE162" s="51"/>
      <c r="AH162" s="78"/>
      <c r="AI162" s="78"/>
    </row>
    <row r="163" spans="1:35" x14ac:dyDescent="0.3">
      <c r="A163" t="s">
        <v>6</v>
      </c>
      <c r="B163" s="13">
        <v>3</v>
      </c>
      <c r="C163" s="5">
        <v>0</v>
      </c>
      <c r="D163" s="1">
        <v>5</v>
      </c>
      <c r="E163" s="1">
        <v>27</v>
      </c>
      <c r="F163" s="27">
        <v>2459</v>
      </c>
      <c r="G163" s="6">
        <v>112</v>
      </c>
      <c r="H163" s="1">
        <f>SUM(C163:G163)</f>
        <v>2603</v>
      </c>
      <c r="I163" s="10">
        <f>F163/H163</f>
        <v>0.94467921628889739</v>
      </c>
      <c r="J163" s="11">
        <f>1-I163</f>
        <v>5.5320783711102606E-2</v>
      </c>
      <c r="K163">
        <f>H163-F165</f>
        <v>-113</v>
      </c>
      <c r="N163" s="10">
        <f>2*(F166*I163)/(F166+I163)</f>
        <v>0.92460988907689412</v>
      </c>
      <c r="O163" s="1"/>
      <c r="P163" s="1"/>
      <c r="R163" s="16" t="s">
        <v>66</v>
      </c>
      <c r="S163" t="s">
        <v>9</v>
      </c>
      <c r="T163" s="30">
        <f>N432</f>
        <v>2589.37</v>
      </c>
      <c r="U163" s="30">
        <f>N433</f>
        <v>7993.97</v>
      </c>
      <c r="V163" s="30">
        <f>N434</f>
        <v>108499.75</v>
      </c>
      <c r="W163" s="30">
        <f>N435</f>
        <v>46109.1</v>
      </c>
      <c r="X163" s="30">
        <f>N436</f>
        <v>19188.689999999999</v>
      </c>
      <c r="Z163" t="s">
        <v>36</v>
      </c>
      <c r="AA163" s="1">
        <f>N437</f>
        <v>184380.88</v>
      </c>
      <c r="AD163" s="51"/>
      <c r="AE163" s="51"/>
    </row>
    <row r="164" spans="1:35" ht="15.6" x14ac:dyDescent="0.35">
      <c r="A164" t="s">
        <v>7</v>
      </c>
      <c r="B164" s="13">
        <v>4</v>
      </c>
      <c r="C164" s="7">
        <v>0</v>
      </c>
      <c r="D164" s="8">
        <v>0</v>
      </c>
      <c r="E164" s="8">
        <v>19</v>
      </c>
      <c r="F164" s="8">
        <v>171</v>
      </c>
      <c r="G164" s="28">
        <v>770</v>
      </c>
      <c r="H164" s="1">
        <f>SUM(C164:G164)</f>
        <v>960</v>
      </c>
      <c r="I164" s="10">
        <f>G164/H164</f>
        <v>0.80208333333333337</v>
      </c>
      <c r="J164" s="11">
        <f>1-I164</f>
        <v>0.19791666666666663</v>
      </c>
      <c r="K164">
        <f>H164-G165</f>
        <v>59</v>
      </c>
      <c r="N164" s="10">
        <f>2*(G166*I164)/(G166+I164)</f>
        <v>0.82751209027404626</v>
      </c>
      <c r="O164" s="1"/>
      <c r="P164" s="1"/>
      <c r="R164" s="16" t="s">
        <v>323</v>
      </c>
      <c r="S164" t="s">
        <v>68</v>
      </c>
      <c r="T164" s="57">
        <f>$AA163*T156/100</f>
        <v>2589.37</v>
      </c>
      <c r="U164" s="57">
        <f>$AA163*U156/100</f>
        <v>9568.7452540673166</v>
      </c>
      <c r="V164" s="57">
        <f>$AA163*V156/100</f>
        <v>106269.45125108931</v>
      </c>
      <c r="W164" s="57">
        <f>$AA163*W156/100</f>
        <v>48072.229066906701</v>
      </c>
      <c r="X164" s="57">
        <f>$AA163*X156/100</f>
        <v>17881.084427936679</v>
      </c>
      <c r="Z164" t="s">
        <v>36</v>
      </c>
      <c r="AA164" s="25">
        <f>SUM(T164:X164)</f>
        <v>184380.88</v>
      </c>
      <c r="AD164" s="51"/>
      <c r="AE164" s="51"/>
      <c r="AH164" s="78"/>
      <c r="AI164" s="78"/>
    </row>
    <row r="165" spans="1:35" ht="15.6" x14ac:dyDescent="0.35">
      <c r="B165" s="1" t="s">
        <v>19</v>
      </c>
      <c r="C165" s="1">
        <f>SUM(C160:C164)</f>
        <v>169</v>
      </c>
      <c r="D165" s="1">
        <f>SUM(D160:D164)</f>
        <v>447</v>
      </c>
      <c r="E165" s="1">
        <f>SUM(E160:E164)</f>
        <v>7237</v>
      </c>
      <c r="F165" s="1">
        <f>SUM(F160:F164)</f>
        <v>2716</v>
      </c>
      <c r="G165" s="1">
        <f>SUM(G160:G164)</f>
        <v>901</v>
      </c>
      <c r="H165" s="1">
        <f>SUM(H159:H164)</f>
        <v>11470</v>
      </c>
      <c r="I165" s="13" t="s">
        <v>12</v>
      </c>
      <c r="N165" s="16"/>
      <c r="O165" s="1"/>
      <c r="P165" s="1"/>
      <c r="R165" s="66"/>
      <c r="S165" s="66" t="s">
        <v>67</v>
      </c>
      <c r="T165" s="67">
        <f>$AA163*T157/100</f>
        <v>0</v>
      </c>
      <c r="U165" s="67">
        <f>$AA163*U157/100</f>
        <v>215.66733841043049</v>
      </c>
      <c r="V165" s="67">
        <f>$AA163*V157/100</f>
        <v>283.72769955811378</v>
      </c>
      <c r="W165" s="67">
        <f>$AA163*W157/100</f>
        <v>333.64566215619044</v>
      </c>
      <c r="X165" s="67">
        <f>$AA163*X157/100</f>
        <v>308.66506207648899</v>
      </c>
      <c r="AA165" s="1"/>
      <c r="AD165" s="51"/>
      <c r="AE165" s="51"/>
    </row>
    <row r="166" spans="1:35" x14ac:dyDescent="0.3">
      <c r="A166" s="1" t="s">
        <v>321</v>
      </c>
      <c r="B166" s="1" t="s">
        <v>2</v>
      </c>
      <c r="C166" s="10">
        <f>C160/C165</f>
        <v>1</v>
      </c>
      <c r="D166" s="10">
        <f>D161/D165</f>
        <v>0.68456375838926176</v>
      </c>
      <c r="E166" s="10">
        <f>E162/E165</f>
        <v>0.98949841094376123</v>
      </c>
      <c r="F166" s="10">
        <f>F163/F165</f>
        <v>0.90537555228276878</v>
      </c>
      <c r="G166" s="10">
        <f>G164/G165</f>
        <v>0.85460599334073251</v>
      </c>
      <c r="H166" s="10"/>
      <c r="I166" s="14">
        <f>(C160+D161+E162+F163+G164)/H165</f>
        <v>0.9472537053182214</v>
      </c>
      <c r="R166" t="s">
        <v>108</v>
      </c>
      <c r="S166" t="s">
        <v>28</v>
      </c>
      <c r="T166" s="57">
        <f>C466</f>
        <v>1.3815532282956888</v>
      </c>
      <c r="U166" s="57">
        <f t="shared" ref="U166:X169" si="27">D466</f>
        <v>5.0684434011191852</v>
      </c>
      <c r="V166" s="57">
        <f t="shared" si="27"/>
        <v>57.930565076525113</v>
      </c>
      <c r="W166" s="57">
        <f t="shared" si="27"/>
        <v>25.714402334261138</v>
      </c>
      <c r="X166" s="57">
        <f t="shared" si="27"/>
        <v>9.9050359597988731</v>
      </c>
      <c r="Z166" s="74"/>
      <c r="AA166" s="12"/>
      <c r="AD166" s="51"/>
      <c r="AE166" s="51"/>
      <c r="AH166" s="78"/>
      <c r="AI166" s="78"/>
    </row>
    <row r="167" spans="1:35" x14ac:dyDescent="0.3">
      <c r="B167" s="1" t="s">
        <v>14</v>
      </c>
      <c r="C167" s="11">
        <f>1-C166</f>
        <v>0</v>
      </c>
      <c r="D167" s="11">
        <f>1-D166</f>
        <v>0.31543624161073824</v>
      </c>
      <c r="E167" s="11">
        <f>1-E166</f>
        <v>1.0501589056238769E-2</v>
      </c>
      <c r="F167" s="11">
        <f>1-F166</f>
        <v>9.4624447717231219E-2</v>
      </c>
      <c r="G167" s="11">
        <f>1-G166</f>
        <v>0.14539400665926749</v>
      </c>
      <c r="S167" s="66" t="s">
        <v>39</v>
      </c>
      <c r="T167" s="67">
        <f>C467</f>
        <v>0</v>
      </c>
      <c r="U167" s="67">
        <f t="shared" si="27"/>
        <v>0.11881423899625955</v>
      </c>
      <c r="V167" s="67">
        <f t="shared" si="27"/>
        <v>0.15626032815200191</v>
      </c>
      <c r="W167" s="67">
        <f t="shared" si="27"/>
        <v>0.18132998502683095</v>
      </c>
      <c r="X167" s="67">
        <f t="shared" si="27"/>
        <v>0.16694855612098594</v>
      </c>
      <c r="AD167" s="51"/>
      <c r="AE167" s="51"/>
    </row>
    <row r="168" spans="1:35" x14ac:dyDescent="0.3">
      <c r="C168" s="2"/>
      <c r="S168" t="s">
        <v>30</v>
      </c>
      <c r="T168" s="57">
        <f>C468</f>
        <v>100</v>
      </c>
      <c r="U168" s="57">
        <f t="shared" si="27"/>
        <v>76.501242510552885</v>
      </c>
      <c r="V168" s="57">
        <f t="shared" si="27"/>
        <v>98.528839305204357</v>
      </c>
      <c r="W168" s="57">
        <f t="shared" si="27"/>
        <v>91.08057770841053</v>
      </c>
      <c r="X168" s="57">
        <f t="shared" si="27"/>
        <v>87.042099318587134</v>
      </c>
      <c r="AD168" s="51"/>
      <c r="AE168" s="51"/>
      <c r="AH168" s="78"/>
      <c r="AI168" s="78"/>
    </row>
    <row r="169" spans="1:35" ht="15.6" x14ac:dyDescent="0.35">
      <c r="A169" t="s">
        <v>322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0</v>
      </c>
      <c r="U169" s="67">
        <f t="shared" si="27"/>
        <v>3.5267266356865159</v>
      </c>
      <c r="V169" s="67">
        <f t="shared" si="27"/>
        <v>0.16525982544632081</v>
      </c>
      <c r="W169" s="67">
        <f t="shared" si="27"/>
        <v>0.63737021934649674</v>
      </c>
      <c r="X169" s="67">
        <f t="shared" si="27"/>
        <v>1.9172900176270797</v>
      </c>
      <c r="AD169" s="51"/>
      <c r="AE169" s="51"/>
    </row>
    <row r="170" spans="1:35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100</v>
      </c>
      <c r="U170" s="71">
        <f>I462</f>
        <v>90.265486725663706</v>
      </c>
      <c r="V170" s="71">
        <f>I463</f>
        <v>96.634680362211114</v>
      </c>
      <c r="W170" s="71">
        <f>I464</f>
        <v>94.314252785247803</v>
      </c>
      <c r="X170" s="71">
        <f>I465</f>
        <v>82.708333333333343</v>
      </c>
      <c r="AD170" s="51"/>
      <c r="AE170" s="51"/>
      <c r="AH170" s="78"/>
      <c r="AI170" s="78"/>
    </row>
    <row r="171" spans="1:35" x14ac:dyDescent="0.3">
      <c r="A171" t="s">
        <v>3</v>
      </c>
      <c r="B171" s="13">
        <v>0</v>
      </c>
      <c r="C171" s="29">
        <f>(C160/$L171)*$O171</f>
        <v>1.4343461209209978</v>
      </c>
      <c r="D171" s="31">
        <f>(D160/$L171)*$O171</f>
        <v>0</v>
      </c>
      <c r="E171" s="31">
        <f>(E160/$L171)*$O171</f>
        <v>0</v>
      </c>
      <c r="F171" s="31">
        <f>(F160/$L171)*$O171</f>
        <v>0</v>
      </c>
      <c r="G171" s="32">
        <f>(G160/$L171)*$O171</f>
        <v>0</v>
      </c>
      <c r="H171" s="17">
        <f>SUM(C171:G171)</f>
        <v>1.4343461209209978</v>
      </c>
      <c r="I171" s="17">
        <f>C171/H171*100</f>
        <v>100</v>
      </c>
      <c r="J171" s="17">
        <f>SQRT(I171*(100-I171)/(L171-1))</f>
        <v>0</v>
      </c>
      <c r="K171" s="18">
        <f>100-I171</f>
        <v>0</v>
      </c>
      <c r="L171" s="1">
        <f>H160</f>
        <v>169</v>
      </c>
      <c r="M171">
        <v>0</v>
      </c>
      <c r="N171" s="1">
        <v>2644.66</v>
      </c>
      <c r="O171" s="17">
        <f>N171/N176*100</f>
        <v>1.4343461209209978</v>
      </c>
      <c r="P171" s="52">
        <f>((O171*O171*(I171/100)*(K171/100))/(L171-1))</f>
        <v>0</v>
      </c>
      <c r="S171" s="75" t="s">
        <v>39</v>
      </c>
      <c r="T171" s="76">
        <f>J461</f>
        <v>0</v>
      </c>
      <c r="U171" s="76">
        <f>J462</f>
        <v>1.6123511616510575</v>
      </c>
      <c r="V171" s="76">
        <f>J463</f>
        <v>0.20966334177649643</v>
      </c>
      <c r="W171" s="76">
        <f>J464</f>
        <v>0.45397171186641794</v>
      </c>
      <c r="X171" s="76">
        <f>J465</f>
        <v>1.2211914601877163</v>
      </c>
      <c r="AD171" s="51"/>
      <c r="AE171" s="51"/>
    </row>
    <row r="172" spans="1:35" x14ac:dyDescent="0.3">
      <c r="A172" t="s">
        <v>4</v>
      </c>
      <c r="B172" s="13">
        <v>1</v>
      </c>
      <c r="C172" s="33">
        <f t="shared" ref="C172:G175" si="28">(C161/$L172)*$O172</f>
        <v>0</v>
      </c>
      <c r="D172" s="34">
        <f t="shared" si="28"/>
        <v>3.7508317766832118</v>
      </c>
      <c r="E172" s="19">
        <f t="shared" si="28"/>
        <v>0.36772860555717762</v>
      </c>
      <c r="F172" s="18">
        <f t="shared" si="28"/>
        <v>0</v>
      </c>
      <c r="G172" s="20">
        <f t="shared" si="28"/>
        <v>3.6772860555717761E-2</v>
      </c>
      <c r="H172" s="17">
        <f>SUM(C172:G172)</f>
        <v>4.1553332427961065</v>
      </c>
      <c r="I172" s="17">
        <f>D172/H172*100</f>
        <v>90.265486725663735</v>
      </c>
      <c r="J172" s="17">
        <f>SQRT(I172*(100-I172)/(L172-1))</f>
        <v>1.6123511616510555</v>
      </c>
      <c r="K172" s="18">
        <f>100-I172</f>
        <v>9.7345132743362655</v>
      </c>
      <c r="L172" s="1">
        <f>H161</f>
        <v>339</v>
      </c>
      <c r="M172">
        <v>1</v>
      </c>
      <c r="N172" s="1">
        <v>7661.64</v>
      </c>
      <c r="O172" s="17">
        <f>N172/N176*100</f>
        <v>4.1553332427961074</v>
      </c>
      <c r="P172" s="52">
        <f>((O172*O172*(I172/100)*(K172/100))/(L172-1))</f>
        <v>4.4888075526958379E-3</v>
      </c>
      <c r="S172" s="66" t="s">
        <v>56</v>
      </c>
      <c r="T172" s="67">
        <f>N450*100</f>
        <v>100</v>
      </c>
      <c r="U172" s="67">
        <f>N451*100</f>
        <v>77.07808564231739</v>
      </c>
      <c r="V172" s="67">
        <f>N452*100</f>
        <v>97.771092574866685</v>
      </c>
      <c r="W172" s="67">
        <f>N453*100</f>
        <v>92.781557067271351</v>
      </c>
      <c r="X172" s="67">
        <f>N454*100</f>
        <v>84.021164021164026</v>
      </c>
      <c r="AD172" s="51"/>
      <c r="AE172" s="51"/>
      <c r="AH172" s="78"/>
      <c r="AI172" s="78"/>
    </row>
    <row r="173" spans="1:35" x14ac:dyDescent="0.3">
      <c r="A173" t="s">
        <v>5</v>
      </c>
      <c r="B173" s="13">
        <v>2</v>
      </c>
      <c r="C173" s="33">
        <f t="shared" si="28"/>
        <v>0</v>
      </c>
      <c r="D173" s="19">
        <f t="shared" si="28"/>
        <v>1.0793902002664915</v>
      </c>
      <c r="E173" s="34">
        <f t="shared" si="28"/>
        <v>56.834656059620194</v>
      </c>
      <c r="F173" s="19">
        <f t="shared" si="28"/>
        <v>0.68255556781557558</v>
      </c>
      <c r="G173" s="20">
        <f t="shared" si="28"/>
        <v>0.12698708238429313</v>
      </c>
      <c r="H173" s="17">
        <f>SUM(C173:G173)</f>
        <v>58.723588910086562</v>
      </c>
      <c r="I173" s="17">
        <f>E173/H173*100</f>
        <v>96.783349101229888</v>
      </c>
      <c r="J173" s="17">
        <f>SQRT(I173*(100-I173)/(L173-1))</f>
        <v>0.20513753121822509</v>
      </c>
      <c r="K173" s="18">
        <f>100-I173</f>
        <v>3.2166508987701121</v>
      </c>
      <c r="L173" s="1">
        <f>H162</f>
        <v>7399</v>
      </c>
      <c r="M173">
        <v>2</v>
      </c>
      <c r="N173" s="1">
        <v>108275.07</v>
      </c>
      <c r="O173" s="17">
        <f>N173/N176*100</f>
        <v>58.723588910086555</v>
      </c>
      <c r="P173" s="52">
        <f>((O173*O173*(I173/100)*(K173/100))/(L173-1))</f>
        <v>1.4511604335762885E-2</v>
      </c>
      <c r="R173" s="16" t="s">
        <v>66</v>
      </c>
      <c r="S173" t="s">
        <v>9</v>
      </c>
      <c r="T173" s="1">
        <f>N461</f>
        <v>2547.3200000000002</v>
      </c>
      <c r="U173" s="1">
        <f>N462</f>
        <v>7920.22</v>
      </c>
      <c r="V173" s="1">
        <f>N463</f>
        <v>108906.55</v>
      </c>
      <c r="W173" s="1">
        <f>N464</f>
        <v>45786.85</v>
      </c>
      <c r="X173" s="1">
        <f>N465</f>
        <v>19219.939999999999</v>
      </c>
      <c r="Z173" t="s">
        <v>36</v>
      </c>
      <c r="AA173" s="1">
        <f>N466</f>
        <v>184380.88</v>
      </c>
      <c r="AD173" s="51"/>
      <c r="AE173" s="51"/>
    </row>
    <row r="174" spans="1:35" ht="15.6" x14ac:dyDescent="0.35">
      <c r="A174" t="s">
        <v>6</v>
      </c>
      <c r="B174" s="13">
        <v>3</v>
      </c>
      <c r="C174" s="33">
        <f t="shared" si="28"/>
        <v>0</v>
      </c>
      <c r="D174" s="19">
        <f t="shared" si="28"/>
        <v>4.8579214781436432E-2</v>
      </c>
      <c r="E174" s="19">
        <f t="shared" si="28"/>
        <v>0.26232775981975676</v>
      </c>
      <c r="F174" s="34">
        <f t="shared" si="28"/>
        <v>23.891257829510437</v>
      </c>
      <c r="G174" s="20">
        <f t="shared" si="28"/>
        <v>1.088174411104176</v>
      </c>
      <c r="H174" s="17">
        <f>SUM(C174:G174)</f>
        <v>25.290339215215806</v>
      </c>
      <c r="I174" s="17">
        <f>F174/H174*100</f>
        <v>94.467921628889741</v>
      </c>
      <c r="J174" s="17">
        <f>SQRT(I174*(100-I174)/(L174-1))</f>
        <v>0.4481595920955912</v>
      </c>
      <c r="K174" s="18">
        <f>100-I174</f>
        <v>5.5320783711102592</v>
      </c>
      <c r="L174" s="1">
        <f>H163</f>
        <v>2603</v>
      </c>
      <c r="M174">
        <v>3</v>
      </c>
      <c r="N174" s="1">
        <v>46630.55</v>
      </c>
      <c r="O174" s="17">
        <f>N174/N176*100</f>
        <v>25.290339215215806</v>
      </c>
      <c r="P174" s="52">
        <f>((O174*O174*(I174/100)*(K174/100))/(L174-1))</f>
        <v>1.2846200657323491E-2</v>
      </c>
      <c r="R174" s="16" t="s">
        <v>323</v>
      </c>
      <c r="S174" t="s">
        <v>68</v>
      </c>
      <c r="T174" s="57">
        <f>$AA173*T166/100</f>
        <v>2547.3200000000002</v>
      </c>
      <c r="U174" s="57">
        <f>$AA173*U166/100</f>
        <v>9345.2405452854837</v>
      </c>
      <c r="V174" s="57">
        <f>$AA173*V166/100</f>
        <v>106812.88567706969</v>
      </c>
      <c r="W174" s="57">
        <f>$AA173*W166/100</f>
        <v>47412.441310651229</v>
      </c>
      <c r="X174" s="57">
        <f>$AA173*X166/100</f>
        <v>18262.992466993608</v>
      </c>
      <c r="Z174" t="s">
        <v>36</v>
      </c>
      <c r="AA174" s="25">
        <f>SUM(T174:X174)</f>
        <v>184380.88</v>
      </c>
      <c r="AD174" s="51"/>
      <c r="AE174" s="51"/>
      <c r="AH174" s="78"/>
      <c r="AI174" s="78"/>
    </row>
    <row r="175" spans="1:35" x14ac:dyDescent="0.3">
      <c r="A175" t="s">
        <v>7</v>
      </c>
      <c r="B175" s="13">
        <v>4</v>
      </c>
      <c r="C175" s="35">
        <f t="shared" si="28"/>
        <v>0</v>
      </c>
      <c r="D175" s="36">
        <f t="shared" si="28"/>
        <v>0</v>
      </c>
      <c r="E175" s="21">
        <f t="shared" si="28"/>
        <v>0.2057619351131563</v>
      </c>
      <c r="F175" s="21">
        <f t="shared" si="28"/>
        <v>1.8518574160184069</v>
      </c>
      <c r="G175" s="37">
        <f t="shared" si="28"/>
        <v>8.3387731598489676</v>
      </c>
      <c r="H175" s="17">
        <f>SUM(C175:G175)</f>
        <v>10.396392510980531</v>
      </c>
      <c r="I175" s="17">
        <f>G175/H175*100</f>
        <v>80.208333333333329</v>
      </c>
      <c r="J175" s="17">
        <f>SQRT(I175*(100-I175)/(L175-1))</f>
        <v>1.2865943101448098</v>
      </c>
      <c r="K175" s="18">
        <f>100-I175</f>
        <v>19.791666666666671</v>
      </c>
      <c r="L175" s="1">
        <f>H164</f>
        <v>960</v>
      </c>
      <c r="M175">
        <v>4</v>
      </c>
      <c r="N175" s="1">
        <v>19168.96</v>
      </c>
      <c r="O175" s="17">
        <f>N175/N176*100</f>
        <v>10.39639251098053</v>
      </c>
      <c r="P175" s="52">
        <f>((O175*O175*(I175/100)*(K175/100))/(L175-1))</f>
        <v>1.789157561877135E-2</v>
      </c>
      <c r="R175" s="66"/>
      <c r="S175" s="66" t="s">
        <v>67</v>
      </c>
      <c r="T175" s="67">
        <f>$AA173*T167/100</f>
        <v>0</v>
      </c>
      <c r="U175" s="67">
        <f>$AA173*U167/100</f>
        <v>219.07073942660654</v>
      </c>
      <c r="V175" s="67">
        <f>$AA173*V167/100</f>
        <v>288.11416813754886</v>
      </c>
      <c r="W175" s="67">
        <f>$AA173*W167/100</f>
        <v>334.33782209633915</v>
      </c>
      <c r="X175" s="67">
        <f>$AA173*X167/100</f>
        <v>307.82121692316775</v>
      </c>
      <c r="AA175" s="1"/>
      <c r="AD175" s="51"/>
      <c r="AE175" s="51"/>
    </row>
    <row r="176" spans="1:35" x14ac:dyDescent="0.3">
      <c r="B176" t="s">
        <v>28</v>
      </c>
      <c r="C176" s="17">
        <f t="shared" ref="C176:H176" si="29">SUM(C171:C175)</f>
        <v>1.4343461209209978</v>
      </c>
      <c r="D176" s="17">
        <f t="shared" si="29"/>
        <v>4.8788011917311396</v>
      </c>
      <c r="E176" s="17">
        <f t="shared" si="29"/>
        <v>57.670474360110283</v>
      </c>
      <c r="F176" s="17">
        <f t="shared" si="29"/>
        <v>26.425670813344421</v>
      </c>
      <c r="G176" s="17">
        <f t="shared" si="29"/>
        <v>9.5907075138931539</v>
      </c>
      <c r="H176" s="18">
        <f t="shared" si="29"/>
        <v>100.00000000000001</v>
      </c>
      <c r="I176" s="13" t="s">
        <v>24</v>
      </c>
      <c r="J176" s="12" t="s">
        <v>29</v>
      </c>
      <c r="N176" s="1">
        <f>SUM(N171:N175)</f>
        <v>184380.88</v>
      </c>
      <c r="O176" s="17">
        <f>SUM(O171:O175)</f>
        <v>100</v>
      </c>
      <c r="R176" t="s">
        <v>109</v>
      </c>
      <c r="S176" t="s">
        <v>28</v>
      </c>
      <c r="T176" s="57">
        <f>C495</f>
        <v>1.40255316047124</v>
      </c>
      <c r="U176" s="57">
        <f t="shared" ref="U176:X179" si="30">D495</f>
        <v>4.9026219305089738</v>
      </c>
      <c r="V176" s="57">
        <f t="shared" si="30"/>
        <v>58.033640794509317</v>
      </c>
      <c r="W176" s="57">
        <f t="shared" si="30"/>
        <v>26.442682484100036</v>
      </c>
      <c r="X176" s="57">
        <f t="shared" si="30"/>
        <v>9.2185016304104384</v>
      </c>
      <c r="AD176" s="51"/>
      <c r="AE176" s="51"/>
      <c r="AH176" s="78"/>
      <c r="AI176" s="78"/>
    </row>
    <row r="177" spans="1:41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0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0.11556803599448938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0.15272439015384243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0.18622055988418559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0.17158962627168881</v>
      </c>
      <c r="H177" s="1"/>
      <c r="I177" s="14">
        <f>(C171+D172+E173+F174+G175)/H176</f>
        <v>0.94249864946583795</v>
      </c>
      <c r="J177" s="53">
        <f>SQRT(SUM(P171:P175))/100</f>
        <v>2.2302060031430633E-3</v>
      </c>
      <c r="M177" s="1"/>
      <c r="N177" s="9"/>
      <c r="S177" s="66" t="s">
        <v>39</v>
      </c>
      <c r="T177" s="67">
        <f>C496</f>
        <v>0</v>
      </c>
      <c r="U177" s="67">
        <f t="shared" si="30"/>
        <v>0.11305704070306027</v>
      </c>
      <c r="V177" s="67">
        <f t="shared" si="30"/>
        <v>0.15029117782191168</v>
      </c>
      <c r="W177" s="67">
        <f t="shared" si="30"/>
        <v>0.18231442087382388</v>
      </c>
      <c r="X177" s="67">
        <f t="shared" si="30"/>
        <v>0.16573096662243486</v>
      </c>
      <c r="AD177" s="51"/>
      <c r="AE177" s="51"/>
    </row>
    <row r="178" spans="1:41" x14ac:dyDescent="0.3">
      <c r="B178" s="1" t="s">
        <v>30</v>
      </c>
      <c r="C178" s="17">
        <f>C171/C176*100</f>
        <v>100</v>
      </c>
      <c r="D178" s="17">
        <f>D172/D176*100</f>
        <v>76.880193090063344</v>
      </c>
      <c r="E178" s="17">
        <f>E173/E176*100</f>
        <v>98.55069979956987</v>
      </c>
      <c r="F178" s="17">
        <f>F174/F176*100</f>
        <v>90.409276639614546</v>
      </c>
      <c r="G178" s="17">
        <f>G175/G176*100</f>
        <v>86.946381669646087</v>
      </c>
      <c r="H178" s="1"/>
      <c r="S178" s="70" t="s">
        <v>30</v>
      </c>
      <c r="T178" s="64">
        <f>C497</f>
        <v>100</v>
      </c>
      <c r="U178" s="64">
        <f t="shared" si="30"/>
        <v>76.60080112658288</v>
      </c>
      <c r="V178" s="64">
        <f t="shared" si="30"/>
        <v>98.700924187257399</v>
      </c>
      <c r="W178" s="64">
        <f t="shared" si="30"/>
        <v>90.349148009386766</v>
      </c>
      <c r="X178" s="64">
        <f t="shared" si="30"/>
        <v>87.998930578595719</v>
      </c>
      <c r="AD178" s="51"/>
      <c r="AE178" s="51"/>
      <c r="AH178" s="78"/>
      <c r="AI178" s="78"/>
    </row>
    <row r="179" spans="1:41" x14ac:dyDescent="0.3">
      <c r="B179" s="16" t="s">
        <v>39</v>
      </c>
      <c r="C179" s="18">
        <f>SQRT((C182+C183)/(C176*C176))</f>
        <v>0</v>
      </c>
      <c r="D179" s="18">
        <f>SQRT((D182+D183)/(D176*D176))</f>
        <v>3.5051043363912067</v>
      </c>
      <c r="E179" s="18">
        <f>SQRT((E182+E183)/(E176*E176))</f>
        <v>0.16341142601699263</v>
      </c>
      <c r="F179" s="18">
        <f>SQRT((F182+F183)/(F176*F176))</f>
        <v>0.65193634786098476</v>
      </c>
      <c r="G179" s="18">
        <f>SQRT((G182+G183)/(G176*G176))</f>
        <v>2.0653757460294737</v>
      </c>
      <c r="H179" s="1"/>
      <c r="S179" s="66" t="s">
        <v>39</v>
      </c>
      <c r="T179" s="67">
        <f>C498</f>
        <v>0</v>
      </c>
      <c r="U179" s="67">
        <f t="shared" si="30"/>
        <v>3.2808283251972852</v>
      </c>
      <c r="V179" s="67">
        <f t="shared" si="30"/>
        <v>0.15323945931387115</v>
      </c>
      <c r="W179" s="67">
        <f t="shared" si="30"/>
        <v>0.63842626565895078</v>
      </c>
      <c r="X179" s="67">
        <f t="shared" si="30"/>
        <v>1.964157558280899</v>
      </c>
      <c r="AD179" s="51"/>
      <c r="AE179" s="51"/>
    </row>
    <row r="180" spans="1:41" x14ac:dyDescent="0.3">
      <c r="B180" s="1" t="s">
        <v>37</v>
      </c>
      <c r="C180" s="18">
        <f>100-C178</f>
        <v>0</v>
      </c>
      <c r="D180" s="18">
        <f>100-D178</f>
        <v>23.119806909936656</v>
      </c>
      <c r="E180" s="18">
        <f>100-E178</f>
        <v>1.4493002004301303</v>
      </c>
      <c r="F180" s="18">
        <f>100-F178</f>
        <v>9.5907233603854536</v>
      </c>
      <c r="G180" s="18">
        <f>100-G178</f>
        <v>13.053618330353913</v>
      </c>
      <c r="S180" s="70" t="s">
        <v>31</v>
      </c>
      <c r="T180" s="64">
        <f>I490</f>
        <v>100</v>
      </c>
      <c r="U180" s="64">
        <f>I491</f>
        <v>91.740412979351021</v>
      </c>
      <c r="V180" s="64">
        <f>I492</f>
        <v>96.783349101229888</v>
      </c>
      <c r="W180" s="64">
        <f>I493</f>
        <v>94.928928159815598</v>
      </c>
      <c r="X180" s="64">
        <f>I494</f>
        <v>79.895833333333314</v>
      </c>
      <c r="AD180" s="51"/>
      <c r="AE180" s="51"/>
      <c r="AH180" s="78"/>
      <c r="AI180" s="78"/>
    </row>
    <row r="181" spans="1:41" ht="15.6" x14ac:dyDescent="0.35">
      <c r="B181" s="1" t="s">
        <v>25</v>
      </c>
      <c r="C181" s="1">
        <f>C165</f>
        <v>169</v>
      </c>
      <c r="D181" s="1">
        <f>D165</f>
        <v>447</v>
      </c>
      <c r="E181" s="1">
        <f>E165</f>
        <v>7237</v>
      </c>
      <c r="F181" s="1">
        <f>F165</f>
        <v>2716</v>
      </c>
      <c r="G181" s="1">
        <f>G165</f>
        <v>901</v>
      </c>
      <c r="S181" s="66" t="s">
        <v>39</v>
      </c>
      <c r="T181" s="67">
        <f>J490</f>
        <v>0</v>
      </c>
      <c r="U181" s="67">
        <f>J491</f>
        <v>1.4972735816949063</v>
      </c>
      <c r="V181" s="67">
        <f>J492</f>
        <v>0.20513753121822509</v>
      </c>
      <c r="W181" s="67">
        <f>J493</f>
        <v>0.43012583040411972</v>
      </c>
      <c r="X181" s="67">
        <f>J494</f>
        <v>1.2941833250904551</v>
      </c>
      <c r="AD181" s="51"/>
      <c r="AE181" s="51"/>
      <c r="AN181" s="2"/>
      <c r="AO181" s="2"/>
    </row>
    <row r="182" spans="1:41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239.93819738143094</v>
      </c>
      <c r="E182" s="18">
        <f>(O173*O173*(100-E178)*(100-E178)*(I173)*(100-I173))/((L173-1)*100)</f>
        <v>3.0481205100586561</v>
      </c>
      <c r="F182" s="18">
        <f>(O174*O174*(100-F178)*(100-F178)*(I174)*(100-I174))/((L174-1)*100)</f>
        <v>118.16189022529717</v>
      </c>
      <c r="G182" s="18">
        <f>(O175*O175*(100-G178)*(100-G178)*(I175)*(100-I175))/((L175-1)*100)</f>
        <v>304.86699432307171</v>
      </c>
      <c r="S182" s="68" t="s">
        <v>56</v>
      </c>
      <c r="T182" s="65">
        <f>N479*100</f>
        <v>100</v>
      </c>
      <c r="U182" s="65">
        <f>N480*100</f>
        <v>78.436317780580083</v>
      </c>
      <c r="V182" s="65">
        <f>N481*100</f>
        <v>97.894736842105274</v>
      </c>
      <c r="W182" s="65">
        <f>N482*100</f>
        <v>92.61619190404798</v>
      </c>
      <c r="X182" s="65">
        <f>N483*100</f>
        <v>83.233857840477469</v>
      </c>
      <c r="AD182" s="51"/>
      <c r="AE182" s="51"/>
      <c r="AH182" s="78"/>
      <c r="AI182" s="78"/>
    </row>
    <row r="183" spans="1:41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52.495989821357249</v>
      </c>
      <c r="E183" s="18">
        <f>E178*E178*(SUM((H171*E171*(1-E160/H160))/(H160-1),(H172*E172*(1-E161/H161))/(H161-1), (H174*E174*(1-E163/H163))/(H163-1),(H175*E175*(1-E164/H164))/(H164-1)))</f>
        <v>85.763927924081045</v>
      </c>
      <c r="F183" s="18">
        <f>F178*F178*(SUM((H171*F171*(1-F160/H160))/(H160-1),(H172*F172*(1-F161/H161))/(H161-1), (H173*F173*(1-F162/H162))/(H162-1),(H175*F175*(1-F164/H164))/(H164-1)))</f>
        <v>178.63710869564184</v>
      </c>
      <c r="G183" s="18">
        <f>G178*G178*(SUM((H171*G171*(1-G160/H160))/(H160-1),(H172*G172*(1-G161/H161))/(H161-1), (H173*G173*(1-G162/H162))/(H162-1),(H174*G174*(1-G163/H163))/(H163-1)))</f>
        <v>87.506298067595608</v>
      </c>
      <c r="R183" s="16" t="s">
        <v>66</v>
      </c>
      <c r="S183" t="s">
        <v>9</v>
      </c>
      <c r="T183" s="1">
        <f>N490</f>
        <v>2586.04</v>
      </c>
      <c r="U183" s="1">
        <f>N491</f>
        <v>7547.74</v>
      </c>
      <c r="V183" s="1">
        <f>N492</f>
        <v>109123</v>
      </c>
      <c r="W183" s="1">
        <f>N493</f>
        <v>46403.09</v>
      </c>
      <c r="X183" s="1">
        <f>N494</f>
        <v>18721.02</v>
      </c>
      <c r="Z183" t="s">
        <v>36</v>
      </c>
      <c r="AA183" s="1">
        <f>N495</f>
        <v>184380.88999999998</v>
      </c>
      <c r="AD183" s="51"/>
      <c r="AE183" s="51"/>
      <c r="AN183" s="78"/>
      <c r="AO183" s="78"/>
    </row>
    <row r="184" spans="1:41" ht="15.6" x14ac:dyDescent="0.35">
      <c r="R184" s="16" t="s">
        <v>323</v>
      </c>
      <c r="S184" t="s">
        <v>68</v>
      </c>
      <c r="T184" s="57">
        <f>$AA183*T176/100</f>
        <v>2586.0400000000004</v>
      </c>
      <c r="U184" s="57">
        <f>$AA183*U176/100</f>
        <v>9039.4979488076278</v>
      </c>
      <c r="V184" s="57">
        <f>$AA183*V176/100</f>
        <v>107002.94339631934</v>
      </c>
      <c r="W184" s="57">
        <f>$AA183*W176/100</f>
        <v>48755.253304057755</v>
      </c>
      <c r="X184" s="57">
        <f>$AA183*X176/100</f>
        <v>16997.155350815276</v>
      </c>
      <c r="Z184" t="s">
        <v>36</v>
      </c>
      <c r="AA184" s="25">
        <f>SUM(T184:X184)</f>
        <v>184380.89</v>
      </c>
      <c r="AD184" s="51"/>
      <c r="AE184" s="51"/>
      <c r="AH184" s="78"/>
      <c r="AI184" s="78"/>
    </row>
    <row r="185" spans="1:41" x14ac:dyDescent="0.3">
      <c r="R185" s="66"/>
      <c r="S185" s="66" t="s">
        <v>67</v>
      </c>
      <c r="T185" s="67">
        <f>$AA183*T177/100</f>
        <v>0</v>
      </c>
      <c r="U185" s="67">
        <f>$AA183*U177/100</f>
        <v>208.45557785596478</v>
      </c>
      <c r="V185" s="67">
        <f>$AA183*V177/100</f>
        <v>277.10821125952333</v>
      </c>
      <c r="W185" s="67">
        <f>$AA183*W177/100</f>
        <v>336.15295180550225</v>
      </c>
      <c r="X185" s="67">
        <f>$AA183*X177/100</f>
        <v>305.57623126404832</v>
      </c>
      <c r="AA185" s="1"/>
      <c r="AD185" s="51"/>
      <c r="AE185" s="51"/>
      <c r="AN185" s="78"/>
      <c r="AO185" s="78"/>
    </row>
    <row r="186" spans="1:41" x14ac:dyDescent="0.3">
      <c r="A186" s="361" t="s">
        <v>449</v>
      </c>
      <c r="B186" s="361"/>
      <c r="C186" s="361"/>
      <c r="D186" s="361"/>
      <c r="E186" s="361"/>
      <c r="F186" s="361"/>
      <c r="G186" s="361"/>
      <c r="H186" s="361"/>
      <c r="I186" s="361"/>
      <c r="J186" s="361"/>
      <c r="K186" s="361"/>
      <c r="L186" s="361" t="s">
        <v>84</v>
      </c>
      <c r="M186" s="361"/>
      <c r="N186" s="361"/>
      <c r="O186" s="361"/>
      <c r="P186" s="361"/>
      <c r="R186" t="s">
        <v>110</v>
      </c>
      <c r="S186" s="70" t="s">
        <v>28</v>
      </c>
      <c r="T186" s="64">
        <f>C524</f>
        <v>1.4210149435768533</v>
      </c>
      <c r="U186" s="64">
        <f t="shared" ref="U186:X189" si="31">D524</f>
        <v>5.0919388340074798</v>
      </c>
      <c r="V186" s="64">
        <f t="shared" si="31"/>
        <v>57.544001057958226</v>
      </c>
      <c r="W186" s="64">
        <f t="shared" si="31"/>
        <v>26.545414370462275</v>
      </c>
      <c r="X186" s="64">
        <f t="shared" si="31"/>
        <v>9.3976307939951607</v>
      </c>
      <c r="AA186" s="12"/>
      <c r="AD186" s="51"/>
      <c r="AE186" s="51"/>
    </row>
    <row r="187" spans="1:41" x14ac:dyDescent="0.3">
      <c r="A187" t="s">
        <v>320</v>
      </c>
      <c r="B187" t="s">
        <v>21</v>
      </c>
      <c r="I187" s="1" t="s">
        <v>58</v>
      </c>
      <c r="O187" s="143"/>
      <c r="P187" s="143"/>
      <c r="S187" s="66" t="s">
        <v>39</v>
      </c>
      <c r="T187" s="67">
        <f>C525</f>
        <v>0</v>
      </c>
      <c r="U187" s="67">
        <f t="shared" si="31"/>
        <v>0.11744268373959819</v>
      </c>
      <c r="V187" s="67">
        <f t="shared" si="31"/>
        <v>0.15752843859663934</v>
      </c>
      <c r="W187" s="67">
        <f t="shared" si="31"/>
        <v>0.18406740146462811</v>
      </c>
      <c r="X187" s="67">
        <f t="shared" si="31"/>
        <v>0.16826363516275544</v>
      </c>
      <c r="AD187" s="51"/>
      <c r="AE187" s="51"/>
      <c r="AN187" s="78"/>
      <c r="AO187" s="78"/>
    </row>
    <row r="188" spans="1:41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56</v>
      </c>
      <c r="O188" s="13"/>
      <c r="P188" s="13"/>
      <c r="S188" t="s">
        <v>30</v>
      </c>
      <c r="T188" s="57">
        <f>C526</f>
        <v>100</v>
      </c>
      <c r="U188" s="57">
        <f t="shared" si="31"/>
        <v>75.594094377186678</v>
      </c>
      <c r="V188" s="57">
        <f t="shared" si="31"/>
        <v>98.526056302460091</v>
      </c>
      <c r="W188" s="57">
        <f t="shared" si="31"/>
        <v>90.612679922330216</v>
      </c>
      <c r="X188" s="57">
        <f t="shared" si="31"/>
        <v>87.023480105254947</v>
      </c>
      <c r="AD188" s="51"/>
      <c r="AE188" s="51"/>
    </row>
    <row r="189" spans="1:41" x14ac:dyDescent="0.3">
      <c r="A189" t="s">
        <v>3</v>
      </c>
      <c r="B189" s="13">
        <v>0</v>
      </c>
      <c r="C189" s="26">
        <v>169</v>
      </c>
      <c r="D189" s="3">
        <v>0</v>
      </c>
      <c r="E189" s="3">
        <v>0</v>
      </c>
      <c r="F189" s="3">
        <v>0</v>
      </c>
      <c r="G189" s="4">
        <v>0</v>
      </c>
      <c r="H189" s="1">
        <f>SUM(C189:G189)</f>
        <v>169</v>
      </c>
      <c r="I189" s="10">
        <f>C189/H189</f>
        <v>1</v>
      </c>
      <c r="J189" s="11">
        <f>1-I189</f>
        <v>0</v>
      </c>
      <c r="K189">
        <f>H189-C194</f>
        <v>0</v>
      </c>
      <c r="N189" s="10">
        <f>2*(C195*I189)/(C195+I189)</f>
        <v>1</v>
      </c>
      <c r="O189" s="1"/>
      <c r="P189" s="1"/>
      <c r="S189" s="66" t="s">
        <v>39</v>
      </c>
      <c r="T189" s="67">
        <f>C527</f>
        <v>0</v>
      </c>
      <c r="U189" s="67">
        <f t="shared" si="31"/>
        <v>3.3999744478819371</v>
      </c>
      <c r="V189" s="67">
        <f t="shared" si="31"/>
        <v>0.16511749783018637</v>
      </c>
      <c r="W189" s="67">
        <f t="shared" si="31"/>
        <v>0.63710467064435217</v>
      </c>
      <c r="X189" s="67">
        <f t="shared" si="31"/>
        <v>2.0522407412639043</v>
      </c>
      <c r="AD189" s="51"/>
      <c r="AE189" s="51"/>
      <c r="AN189" s="78"/>
      <c r="AO189" s="78"/>
    </row>
    <row r="190" spans="1:41" x14ac:dyDescent="0.3">
      <c r="A190" t="s">
        <v>4</v>
      </c>
      <c r="B190" s="13">
        <v>1</v>
      </c>
      <c r="C190" s="5">
        <v>0</v>
      </c>
      <c r="D190" s="27">
        <v>307</v>
      </c>
      <c r="E190" s="1">
        <v>30</v>
      </c>
      <c r="F190" s="1">
        <v>0</v>
      </c>
      <c r="G190" s="6">
        <v>2</v>
      </c>
      <c r="H190" s="1">
        <f>SUM(C190:G190)</f>
        <v>339</v>
      </c>
      <c r="I190" s="10">
        <f>D190/H190</f>
        <v>0.9056047197640118</v>
      </c>
      <c r="J190" s="11">
        <f>1-I190</f>
        <v>9.4395280235988199E-2</v>
      </c>
      <c r="K190">
        <f>H190-D194</f>
        <v>-114</v>
      </c>
      <c r="N190" s="10">
        <f>2*(D195*I190)/(D195+I190)</f>
        <v>0.7752525252525253</v>
      </c>
      <c r="O190" s="1"/>
      <c r="P190" s="1"/>
      <c r="S190" t="s">
        <v>31</v>
      </c>
      <c r="T190" s="57">
        <f>I519</f>
        <v>100</v>
      </c>
      <c r="U190" s="57">
        <f>I520</f>
        <v>91.445427728613566</v>
      </c>
      <c r="V190" s="57">
        <f>I521</f>
        <v>96.472496283281529</v>
      </c>
      <c r="W190" s="57">
        <f>I522</f>
        <v>94.583173261621198</v>
      </c>
      <c r="X190" s="57">
        <f>I523</f>
        <v>80.416666666666671</v>
      </c>
      <c r="AD190" s="51"/>
      <c r="AE190" s="51"/>
    </row>
    <row r="191" spans="1:41" x14ac:dyDescent="0.3">
      <c r="A191" t="s">
        <v>5</v>
      </c>
      <c r="B191" s="13">
        <v>2</v>
      </c>
      <c r="C191" s="5">
        <v>0</v>
      </c>
      <c r="D191" s="1">
        <v>144</v>
      </c>
      <c r="E191" s="27">
        <v>7155</v>
      </c>
      <c r="F191" s="1">
        <v>86</v>
      </c>
      <c r="G191" s="6">
        <v>14</v>
      </c>
      <c r="H191" s="1">
        <f>SUM(C191:G191)</f>
        <v>7399</v>
      </c>
      <c r="I191" s="10">
        <f>E191/H191</f>
        <v>0.96702257061765107</v>
      </c>
      <c r="J191" s="11">
        <f>1-I191</f>
        <v>3.2977429382348933E-2</v>
      </c>
      <c r="K191">
        <f>H191-E194</f>
        <v>167</v>
      </c>
      <c r="N191" s="10">
        <f>2*(E195*I191)/(E195+I191)</f>
        <v>0.97806028296083658</v>
      </c>
      <c r="O191" s="1"/>
      <c r="P191" s="1"/>
      <c r="S191" s="66" t="s">
        <v>39</v>
      </c>
      <c r="T191" s="67">
        <f>J519</f>
        <v>0</v>
      </c>
      <c r="U191" s="67">
        <f>J520</f>
        <v>1.5213242833548206</v>
      </c>
      <c r="V191" s="67">
        <f>J521</f>
        <v>0.21447581888338071</v>
      </c>
      <c r="W191" s="67">
        <f>J522</f>
        <v>0.44373712620542088</v>
      </c>
      <c r="X191" s="67">
        <f>J523</f>
        <v>1.2814658532085059</v>
      </c>
      <c r="AD191" s="51"/>
      <c r="AE191" s="51"/>
      <c r="AN191" s="78"/>
      <c r="AO191" s="78"/>
    </row>
    <row r="192" spans="1:41" x14ac:dyDescent="0.3">
      <c r="A192" t="s">
        <v>6</v>
      </c>
      <c r="B192" s="13">
        <v>3</v>
      </c>
      <c r="C192" s="5">
        <v>0</v>
      </c>
      <c r="D192" s="1">
        <v>2</v>
      </c>
      <c r="E192" s="1">
        <v>26</v>
      </c>
      <c r="F192" s="27">
        <v>2469</v>
      </c>
      <c r="G192" s="6">
        <v>106</v>
      </c>
      <c r="H192" s="1">
        <f>SUM(C192:G192)</f>
        <v>2603</v>
      </c>
      <c r="I192" s="10">
        <f>F192/H192</f>
        <v>0.94852093737994625</v>
      </c>
      <c r="J192" s="11">
        <f>1-I192</f>
        <v>5.147906262005375E-2</v>
      </c>
      <c r="K192">
        <f>H192-F194</f>
        <v>-117</v>
      </c>
      <c r="N192" s="10">
        <f>2*(F195*I192)/(F195+I192)</f>
        <v>0.92767236520758967</v>
      </c>
      <c r="O192" s="1"/>
      <c r="P192" s="1"/>
      <c r="S192" s="66" t="s">
        <v>56</v>
      </c>
      <c r="T192" s="67">
        <f>N508*100</f>
        <v>100</v>
      </c>
      <c r="U192" s="67">
        <f>N509*100</f>
        <v>77.018633540372676</v>
      </c>
      <c r="V192" s="67">
        <f>N510*100</f>
        <v>97.680465275401986</v>
      </c>
      <c r="W192" s="67">
        <f>N511*100</f>
        <v>92.50422693969567</v>
      </c>
      <c r="X192" s="67">
        <f>N512*100</f>
        <v>83.055406132329225</v>
      </c>
      <c r="AD192" s="51"/>
      <c r="AE192" s="51"/>
    </row>
    <row r="193" spans="1:48" x14ac:dyDescent="0.3">
      <c r="A193" t="s">
        <v>7</v>
      </c>
      <c r="B193" s="13">
        <v>4</v>
      </c>
      <c r="C193" s="7">
        <v>0</v>
      </c>
      <c r="D193" s="8">
        <v>0</v>
      </c>
      <c r="E193" s="8">
        <v>21</v>
      </c>
      <c r="F193" s="8">
        <v>165</v>
      </c>
      <c r="G193" s="28">
        <v>774</v>
      </c>
      <c r="H193" s="1">
        <f>SUM(C193:G193)</f>
        <v>960</v>
      </c>
      <c r="I193" s="10">
        <f>G193/H193</f>
        <v>0.80625000000000002</v>
      </c>
      <c r="J193" s="11">
        <f>1-I193</f>
        <v>0.19374999999999998</v>
      </c>
      <c r="K193">
        <f>H193-G194</f>
        <v>64</v>
      </c>
      <c r="N193" s="10">
        <f>2*(G195*I193)/(G195+I193)</f>
        <v>0.83405172413793105</v>
      </c>
      <c r="O193" s="1"/>
      <c r="P193" s="1"/>
      <c r="R193" s="16" t="s">
        <v>66</v>
      </c>
      <c r="S193" t="s">
        <v>9</v>
      </c>
      <c r="T193" s="1">
        <f>N519</f>
        <v>2620.08</v>
      </c>
      <c r="U193" s="1">
        <f>N520</f>
        <v>7761.13</v>
      </c>
      <c r="V193" s="1">
        <f>N521</f>
        <v>108358.64</v>
      </c>
      <c r="W193" s="1">
        <f>N522</f>
        <v>46890.03</v>
      </c>
      <c r="X193" s="1">
        <f>N523</f>
        <v>18751.009999999998</v>
      </c>
      <c r="Z193" t="s">
        <v>36</v>
      </c>
      <c r="AA193" s="1">
        <f>N524</f>
        <v>184380.89</v>
      </c>
      <c r="AD193" s="51"/>
      <c r="AE193" s="51"/>
      <c r="AL193" s="132">
        <v>0</v>
      </c>
      <c r="AM193" s="133">
        <v>1</v>
      </c>
      <c r="AN193" s="133">
        <v>2</v>
      </c>
      <c r="AO193" s="133">
        <v>3</v>
      </c>
      <c r="AP193" s="134">
        <v>4</v>
      </c>
    </row>
    <row r="194" spans="1:48" ht="15.6" x14ac:dyDescent="0.35">
      <c r="B194" s="1" t="s">
        <v>19</v>
      </c>
      <c r="C194" s="1">
        <f>SUM(C189:C193)</f>
        <v>169</v>
      </c>
      <c r="D194" s="1">
        <f>SUM(D189:D193)</f>
        <v>453</v>
      </c>
      <c r="E194" s="1">
        <f>SUM(E189:E193)</f>
        <v>7232</v>
      </c>
      <c r="F194" s="1">
        <f>SUM(F189:F193)</f>
        <v>2720</v>
      </c>
      <c r="G194" s="1">
        <f>SUM(G189:G193)</f>
        <v>896</v>
      </c>
      <c r="H194" s="1">
        <f>SUM(H188:H193)</f>
        <v>11470</v>
      </c>
      <c r="I194" s="13" t="s">
        <v>12</v>
      </c>
      <c r="N194" s="16"/>
      <c r="O194" s="1"/>
      <c r="P194" s="1"/>
      <c r="R194" s="16" t="s">
        <v>323</v>
      </c>
      <c r="S194" t="s">
        <v>68</v>
      </c>
      <c r="T194" s="57">
        <f>$AA193*T186/100</f>
        <v>2620.0800000000004</v>
      </c>
      <c r="U194" s="57">
        <f>$AA193*U186/100</f>
        <v>9388.5621403986152</v>
      </c>
      <c r="V194" s="57">
        <f>$AA193*V186/100</f>
        <v>106100.14129227281</v>
      </c>
      <c r="W194" s="57">
        <f>$AA193*W186/100</f>
        <v>48944.671270446248</v>
      </c>
      <c r="X194" s="57">
        <f>$AA193*X186/100</f>
        <v>17327.435296882344</v>
      </c>
      <c r="Z194" t="s">
        <v>36</v>
      </c>
      <c r="AA194" s="25">
        <f>SUM(T194:X194)</f>
        <v>184380.89</v>
      </c>
      <c r="AD194" s="51"/>
      <c r="AE194" s="51"/>
      <c r="AJ194" t="s">
        <v>2</v>
      </c>
      <c r="AQ194" t="s">
        <v>41</v>
      </c>
    </row>
    <row r="195" spans="1:48" x14ac:dyDescent="0.3">
      <c r="A195" s="1" t="s">
        <v>321</v>
      </c>
      <c r="B195" s="1" t="s">
        <v>2</v>
      </c>
      <c r="C195" s="10">
        <f>C189/C194</f>
        <v>1</v>
      </c>
      <c r="D195" s="10">
        <f>D190/D194</f>
        <v>0.67770419426048567</v>
      </c>
      <c r="E195" s="10">
        <f>E191/E194</f>
        <v>0.98935287610619471</v>
      </c>
      <c r="F195" s="10">
        <f>F192/F194</f>
        <v>0.90772058823529411</v>
      </c>
      <c r="G195" s="10">
        <f>G193/G194</f>
        <v>0.8638392857142857</v>
      </c>
      <c r="H195" s="10"/>
      <c r="I195" s="14">
        <f>(C189+D190+E191+F192+G193)/H194</f>
        <v>0.94803836094158678</v>
      </c>
      <c r="R195" s="66"/>
      <c r="S195" s="66" t="s">
        <v>67</v>
      </c>
      <c r="T195" s="67">
        <f>$AA193*T187/100</f>
        <v>0</v>
      </c>
      <c r="U195" s="67">
        <f>$AA193*U187/100</f>
        <v>216.54186551895643</v>
      </c>
      <c r="V195" s="67">
        <f>$AA193*V187/100</f>
        <v>290.45233708758713</v>
      </c>
      <c r="W195" s="67">
        <f>$AA193*W187/100</f>
        <v>339.38511302035431</v>
      </c>
      <c r="X195" s="67">
        <f>$AA193*X187/100</f>
        <v>310.24598805944146</v>
      </c>
      <c r="AA195" s="1"/>
      <c r="AD195" s="51"/>
      <c r="AE195" s="51"/>
      <c r="AJ195" t="s">
        <v>415</v>
      </c>
      <c r="AK195">
        <v>0</v>
      </c>
      <c r="AL195" s="1">
        <v>38.270000000000003</v>
      </c>
      <c r="AM195" s="1">
        <v>283.51</v>
      </c>
      <c r="AN195" s="1">
        <v>16345.32</v>
      </c>
      <c r="AO195" s="1">
        <v>15248.48</v>
      </c>
      <c r="AP195" s="1">
        <v>10331.74</v>
      </c>
      <c r="AR195" s="1">
        <v>2609.1799999999998</v>
      </c>
      <c r="AS195" s="1">
        <v>7490.47</v>
      </c>
      <c r="AT195" s="1">
        <v>109148.58</v>
      </c>
      <c r="AU195" s="1">
        <v>45979.08</v>
      </c>
      <c r="AV195" s="1">
        <v>19153.57</v>
      </c>
    </row>
    <row r="196" spans="1:48" x14ac:dyDescent="0.3">
      <c r="B196" s="1" t="s">
        <v>14</v>
      </c>
      <c r="C196" s="11">
        <f>1-C195</f>
        <v>0</v>
      </c>
      <c r="D196" s="11">
        <f>1-D195</f>
        <v>0.32229580573951433</v>
      </c>
      <c r="E196" s="11">
        <f>1-E195</f>
        <v>1.0647123893805288E-2</v>
      </c>
      <c r="F196" s="11">
        <f>1-F195</f>
        <v>9.2279411764705888E-2</v>
      </c>
      <c r="G196" s="11">
        <f>1-G195</f>
        <v>0.1361607142857143</v>
      </c>
      <c r="R196" t="s">
        <v>111</v>
      </c>
      <c r="S196" t="s">
        <v>28</v>
      </c>
      <c r="T196" s="57">
        <f>C553</f>
        <v>1.391369864380732</v>
      </c>
      <c r="U196" s="57">
        <f t="shared" ref="U196:X199" si="32">D553</f>
        <v>4.771313859726801</v>
      </c>
      <c r="V196" s="57">
        <f t="shared" si="32"/>
        <v>58.0685731656461</v>
      </c>
      <c r="W196" s="57">
        <f t="shared" si="32"/>
        <v>25.800784000363464</v>
      </c>
      <c r="X196" s="57">
        <f t="shared" si="32"/>
        <v>9.9679591098829068</v>
      </c>
      <c r="Y196" s="13"/>
      <c r="Z196" s="74"/>
      <c r="AA196" s="12"/>
      <c r="AD196" s="51"/>
      <c r="AE196" s="51"/>
      <c r="AJ196" t="s">
        <v>415</v>
      </c>
      <c r="AK196">
        <v>1</v>
      </c>
      <c r="AL196" s="1">
        <v>44.99</v>
      </c>
      <c r="AM196" s="1">
        <v>300.42</v>
      </c>
      <c r="AN196" s="1">
        <v>16299.53</v>
      </c>
      <c r="AO196" s="1">
        <v>15423.78</v>
      </c>
      <c r="AP196" s="1">
        <v>10178.6</v>
      </c>
      <c r="AR196" s="1">
        <v>2620.62</v>
      </c>
      <c r="AS196" s="1">
        <v>7645.97</v>
      </c>
      <c r="AT196" s="1">
        <v>108929.67</v>
      </c>
      <c r="AU196" s="1">
        <v>46436.13</v>
      </c>
      <c r="AV196" s="1">
        <v>18748.48</v>
      </c>
    </row>
    <row r="197" spans="1:48" x14ac:dyDescent="0.3">
      <c r="C197" s="2"/>
      <c r="S197" s="66" t="s">
        <v>39</v>
      </c>
      <c r="T197" s="67">
        <f>C554</f>
        <v>0</v>
      </c>
      <c r="U197" s="67">
        <f t="shared" si="32"/>
        <v>0.11145698776146162</v>
      </c>
      <c r="V197" s="67">
        <f t="shared" si="32"/>
        <v>0.1501207291101424</v>
      </c>
      <c r="W197" s="67">
        <f t="shared" si="32"/>
        <v>0.18249000893228062</v>
      </c>
      <c r="X197" s="67">
        <f t="shared" si="32"/>
        <v>0.16818395332752853</v>
      </c>
      <c r="AD197" s="51"/>
      <c r="AE197" s="51"/>
      <c r="AJ197" t="s">
        <v>415</v>
      </c>
      <c r="AK197">
        <v>2</v>
      </c>
      <c r="AL197" s="1">
        <v>41.15</v>
      </c>
      <c r="AM197" s="1">
        <v>316.99</v>
      </c>
      <c r="AN197" s="1">
        <v>16269.91</v>
      </c>
      <c r="AO197" s="1">
        <v>15297.15</v>
      </c>
      <c r="AP197" s="1">
        <v>10322.129999999999</v>
      </c>
      <c r="AR197" s="1">
        <v>2607.92</v>
      </c>
      <c r="AS197" s="1">
        <v>7820.73</v>
      </c>
      <c r="AT197" s="1">
        <v>108642.55</v>
      </c>
      <c r="AU197" s="1">
        <v>46133.68</v>
      </c>
      <c r="AV197" s="1">
        <v>19176</v>
      </c>
    </row>
    <row r="198" spans="1:48" ht="15.6" x14ac:dyDescent="0.35">
      <c r="A198" t="s">
        <v>322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100</v>
      </c>
      <c r="U198" s="57">
        <f t="shared" si="32"/>
        <v>77.841711197753909</v>
      </c>
      <c r="V198" s="57">
        <f t="shared" si="32"/>
        <v>98.610987346690621</v>
      </c>
      <c r="W198" s="57">
        <f t="shared" si="32"/>
        <v>91.096965776653136</v>
      </c>
      <c r="X198" s="57">
        <f t="shared" si="32"/>
        <v>86.989476234738291</v>
      </c>
      <c r="AD198" s="51"/>
      <c r="AE198" s="51"/>
      <c r="AJ198" t="s">
        <v>415</v>
      </c>
      <c r="AK198">
        <v>3</v>
      </c>
      <c r="AL198" s="1">
        <v>38.67</v>
      </c>
      <c r="AM198" s="1">
        <v>261.35000000000002</v>
      </c>
      <c r="AN198" s="1">
        <v>16244.41</v>
      </c>
      <c r="AO198" s="1">
        <v>15324.17</v>
      </c>
      <c r="AP198" s="1">
        <v>10378.719999999999</v>
      </c>
      <c r="AR198" s="1">
        <v>2609</v>
      </c>
      <c r="AS198" s="1">
        <v>7622.46</v>
      </c>
      <c r="AT198" s="1">
        <v>108592.75</v>
      </c>
      <c r="AU198" s="1">
        <v>46053.65</v>
      </c>
      <c r="AV198" s="1">
        <v>19503.009999999998</v>
      </c>
    </row>
    <row r="199" spans="1:48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</v>
      </c>
      <c r="U199" s="67">
        <f t="shared" si="32"/>
        <v>3.328036127084157</v>
      </c>
      <c r="V199" s="67">
        <f t="shared" si="32"/>
        <v>0.15876264665662587</v>
      </c>
      <c r="W199" s="67">
        <f t="shared" si="32"/>
        <v>0.63888206170417783</v>
      </c>
      <c r="X199" s="67">
        <f t="shared" si="32"/>
        <v>1.9264788329260589</v>
      </c>
      <c r="AD199" s="51"/>
      <c r="AE199" s="51"/>
      <c r="AJ199" t="s">
        <v>415</v>
      </c>
      <c r="AK199">
        <v>4</v>
      </c>
      <c r="AL199" s="1">
        <v>41.51</v>
      </c>
      <c r="AM199" s="1">
        <v>295.45</v>
      </c>
      <c r="AN199" s="1">
        <v>16187.35</v>
      </c>
      <c r="AO199" s="1">
        <v>15420.69</v>
      </c>
      <c r="AP199" s="1">
        <v>10302.32</v>
      </c>
      <c r="AR199" s="1">
        <v>2580.46</v>
      </c>
      <c r="AS199" s="1">
        <v>7620.76</v>
      </c>
      <c r="AT199" s="1">
        <v>108278.85</v>
      </c>
      <c r="AU199" s="1">
        <v>46533.66</v>
      </c>
      <c r="AV199" s="1">
        <v>19367.14</v>
      </c>
    </row>
    <row r="200" spans="1:48" x14ac:dyDescent="0.3">
      <c r="A200" t="s">
        <v>3</v>
      </c>
      <c r="B200" s="13">
        <v>0</v>
      </c>
      <c r="C200" s="29">
        <f>(C189/$L200)*$O200</f>
        <v>1.4446508770323687</v>
      </c>
      <c r="D200" s="31">
        <f>(D189/$L200)*$O200</f>
        <v>0</v>
      </c>
      <c r="E200" s="31">
        <f>(E189/$L200)*$O200</f>
        <v>0</v>
      </c>
      <c r="F200" s="31">
        <f>(F189/$L200)*$O200</f>
        <v>0</v>
      </c>
      <c r="G200" s="32">
        <f>(G189/$L200)*$O200</f>
        <v>0</v>
      </c>
      <c r="H200" s="17">
        <f>SUM(C200:G200)</f>
        <v>1.4446508770323687</v>
      </c>
      <c r="I200" s="17">
        <f>C200/H200*100</f>
        <v>100</v>
      </c>
      <c r="J200" s="17">
        <f>SQRT(I200*(100-I200)/(L200-1))</f>
        <v>0</v>
      </c>
      <c r="K200" s="18">
        <f>100-I200</f>
        <v>0</v>
      </c>
      <c r="L200" s="1">
        <f>H189</f>
        <v>169</v>
      </c>
      <c r="M200">
        <v>0</v>
      </c>
      <c r="N200" s="1">
        <v>2663.66</v>
      </c>
      <c r="O200" s="17">
        <f>N200/N205*100</f>
        <v>1.4446508770323687</v>
      </c>
      <c r="P200" s="52">
        <f>((O200*O200*(I200/100)*(K200/100))/(L200-1))</f>
        <v>0</v>
      </c>
      <c r="S200" t="s">
        <v>31</v>
      </c>
      <c r="T200" s="57">
        <f>I548</f>
        <v>100</v>
      </c>
      <c r="U200" s="57">
        <f>I549</f>
        <v>90.855457227138643</v>
      </c>
      <c r="V200" s="57">
        <f>I550</f>
        <v>96.91850250033788</v>
      </c>
      <c r="W200" s="57">
        <f>I551</f>
        <v>94.237418363426812</v>
      </c>
      <c r="X200" s="57">
        <f>I552</f>
        <v>82.604166666666657</v>
      </c>
      <c r="AD200" s="51"/>
      <c r="AE200" s="51"/>
      <c r="AJ200" t="s">
        <v>415</v>
      </c>
      <c r="AK200">
        <v>5</v>
      </c>
      <c r="AL200" s="1">
        <v>50.11</v>
      </c>
      <c r="AM200" s="1">
        <v>307.82</v>
      </c>
      <c r="AN200" s="1">
        <v>16121.45</v>
      </c>
      <c r="AO200" s="1">
        <v>15572.58</v>
      </c>
      <c r="AP200" s="1">
        <v>10195.370000000001</v>
      </c>
      <c r="AR200" s="1">
        <v>2644.66</v>
      </c>
      <c r="AS200" s="1">
        <v>7661.64</v>
      </c>
      <c r="AT200" s="1">
        <v>108275.07</v>
      </c>
      <c r="AU200" s="1">
        <v>46630.55</v>
      </c>
      <c r="AV200" s="1">
        <v>19168.96</v>
      </c>
    </row>
    <row r="201" spans="1:48" x14ac:dyDescent="0.3">
      <c r="A201" t="s">
        <v>4</v>
      </c>
      <c r="B201" s="13">
        <v>1</v>
      </c>
      <c r="C201" s="33">
        <f t="shared" ref="C201:G204" si="33">(C190/$L201)*$O201</f>
        <v>0</v>
      </c>
      <c r="D201" s="34">
        <f t="shared" si="33"/>
        <v>3.7327553690166337</v>
      </c>
      <c r="E201" s="19">
        <f t="shared" si="33"/>
        <v>0.36476436830781439</v>
      </c>
      <c r="F201" s="18">
        <f t="shared" si="33"/>
        <v>0</v>
      </c>
      <c r="G201" s="20">
        <f t="shared" si="33"/>
        <v>2.4317624553854292E-2</v>
      </c>
      <c r="H201" s="17">
        <f>SUM(C201:G201)</f>
        <v>4.1218373618783017</v>
      </c>
      <c r="I201" s="17">
        <f>D201/H201*100</f>
        <v>90.560471976401189</v>
      </c>
      <c r="J201" s="17">
        <f>SQRT(I201*(100-I201)/(L201-1))</f>
        <v>1.5903258877181961</v>
      </c>
      <c r="K201" s="18">
        <f>100-I201</f>
        <v>9.439528023598811</v>
      </c>
      <c r="L201" s="1">
        <f>H190</f>
        <v>339</v>
      </c>
      <c r="M201">
        <v>1</v>
      </c>
      <c r="N201" s="1">
        <v>7599.88</v>
      </c>
      <c r="O201" s="17">
        <f>N201/N205*100</f>
        <v>4.1218373618783026</v>
      </c>
      <c r="P201" s="52">
        <f>((O201*O201*(I201/100)*(K201/100))/(L201-1))</f>
        <v>4.2968872717221432E-3</v>
      </c>
      <c r="S201" s="66" t="s">
        <v>39</v>
      </c>
      <c r="T201" s="67">
        <f>J548</f>
        <v>0</v>
      </c>
      <c r="U201" s="67">
        <f>J549</f>
        <v>1.5678270633196913</v>
      </c>
      <c r="V201" s="67">
        <f>J550</f>
        <v>0.20092181559870601</v>
      </c>
      <c r="W201" s="67">
        <f>J551</f>
        <v>0.45684259460018117</v>
      </c>
      <c r="X201" s="67">
        <f>J552</f>
        <v>1.2240926566595454</v>
      </c>
      <c r="AD201" s="51"/>
      <c r="AE201" s="51"/>
      <c r="AJ201" t="s">
        <v>415</v>
      </c>
      <c r="AK201">
        <v>6</v>
      </c>
      <c r="AL201" s="1">
        <v>68.52</v>
      </c>
      <c r="AM201" s="1">
        <v>297.08999999999997</v>
      </c>
      <c r="AN201" s="1">
        <v>16315.31</v>
      </c>
      <c r="AO201" s="1">
        <v>15368.63</v>
      </c>
      <c r="AP201" s="1">
        <v>10197.77</v>
      </c>
      <c r="AR201" s="1">
        <v>2663.66</v>
      </c>
      <c r="AS201" s="1">
        <v>7599.88</v>
      </c>
      <c r="AT201" s="1">
        <v>108518.47</v>
      </c>
      <c r="AU201" s="1">
        <v>46849.39</v>
      </c>
      <c r="AV201" s="1">
        <v>18749.48</v>
      </c>
    </row>
    <row r="202" spans="1:48" x14ac:dyDescent="0.3">
      <c r="A202" t="s">
        <v>5</v>
      </c>
      <c r="B202" s="13">
        <v>2</v>
      </c>
      <c r="C202" s="33">
        <f t="shared" si="33"/>
        <v>0</v>
      </c>
      <c r="D202" s="19">
        <f t="shared" si="33"/>
        <v>1.145452919226623</v>
      </c>
      <c r="E202" s="34">
        <f t="shared" si="33"/>
        <v>56.914691924072834</v>
      </c>
      <c r="F202" s="19">
        <f t="shared" si="33"/>
        <v>0.68408993787145544</v>
      </c>
      <c r="G202" s="20">
        <f t="shared" si="33"/>
        <v>0.1113634782581439</v>
      </c>
      <c r="H202" s="17">
        <f>SUM(C202:G202)</f>
        <v>58.855598259429051</v>
      </c>
      <c r="I202" s="17">
        <f>E202/H202*100</f>
        <v>96.70225706176511</v>
      </c>
      <c r="J202" s="17">
        <f>SQRT(I202*(100-I202)/(L202-1))</f>
        <v>0.20762016956856652</v>
      </c>
      <c r="K202" s="18">
        <f>100-I202</f>
        <v>3.2977429382348902</v>
      </c>
      <c r="L202" s="1">
        <f>H191</f>
        <v>7399</v>
      </c>
      <c r="M202">
        <v>2</v>
      </c>
      <c r="N202" s="1">
        <v>108518.47</v>
      </c>
      <c r="O202" s="17">
        <f>N202/N205*100</f>
        <v>58.855598259429051</v>
      </c>
      <c r="P202" s="52">
        <f>((O202*O202*(I202/100)*(K202/100))/(L202-1))</f>
        <v>1.49318851216924E-2</v>
      </c>
      <c r="S202" s="66" t="s">
        <v>56</v>
      </c>
      <c r="T202" s="67">
        <f>N537*100</f>
        <v>100</v>
      </c>
      <c r="U202" s="67">
        <f>N538*100</f>
        <v>79.075738125802303</v>
      </c>
      <c r="V202" s="67">
        <f>N539*100</f>
        <v>97.937721933897834</v>
      </c>
      <c r="W202" s="67">
        <f>N540*100</f>
        <v>92.75855549253167</v>
      </c>
      <c r="X202" s="67">
        <f>N541*100</f>
        <v>83.915343915343925</v>
      </c>
      <c r="AD202" s="51"/>
      <c r="AE202" s="51"/>
      <c r="AJ202" t="s">
        <v>415</v>
      </c>
      <c r="AK202">
        <v>7</v>
      </c>
      <c r="AL202" s="1">
        <v>25.37</v>
      </c>
      <c r="AM202" s="1">
        <v>277.08</v>
      </c>
      <c r="AN202" s="1">
        <v>16317.08</v>
      </c>
      <c r="AO202" s="1">
        <v>15369.28</v>
      </c>
      <c r="AP202" s="1">
        <v>10258.51</v>
      </c>
      <c r="AR202" s="1">
        <v>2575.6799999999998</v>
      </c>
      <c r="AS202" s="1">
        <v>7517.31</v>
      </c>
      <c r="AT202" s="1">
        <v>108774.98</v>
      </c>
      <c r="AU202" s="1">
        <v>46024.22</v>
      </c>
      <c r="AV202" s="1">
        <v>19488.689999999999</v>
      </c>
    </row>
    <row r="203" spans="1:48" x14ac:dyDescent="0.3">
      <c r="A203" t="s">
        <v>6</v>
      </c>
      <c r="B203" s="13">
        <v>3</v>
      </c>
      <c r="C203" s="33">
        <f t="shared" si="33"/>
        <v>0</v>
      </c>
      <c r="D203" s="19">
        <f t="shared" si="33"/>
        <v>1.9522879993388708E-2</v>
      </c>
      <c r="E203" s="19">
        <f t="shared" si="33"/>
        <v>0.25379743991405318</v>
      </c>
      <c r="F203" s="34">
        <f t="shared" si="33"/>
        <v>24.10099535183836</v>
      </c>
      <c r="G203" s="20">
        <f t="shared" si="33"/>
        <v>1.0347126396496016</v>
      </c>
      <c r="H203" s="17">
        <f>SUM(C203:G203)</f>
        <v>25.409028311395403</v>
      </c>
      <c r="I203" s="17">
        <f>F203/H203*100</f>
        <v>94.852093737994622</v>
      </c>
      <c r="J203" s="17">
        <f>SQRT(I203*(100-I203)/(L203-1))</f>
        <v>0.4331966903475955</v>
      </c>
      <c r="K203" s="18">
        <f>100-I203</f>
        <v>5.1479062620053782</v>
      </c>
      <c r="L203" s="1">
        <f>H192</f>
        <v>2603</v>
      </c>
      <c r="M203">
        <v>3</v>
      </c>
      <c r="N203" s="1">
        <v>46849.39</v>
      </c>
      <c r="O203" s="17">
        <f>N203/N205*100</f>
        <v>25.409028311395403</v>
      </c>
      <c r="P203" s="52">
        <f>((O203*O203*(I203/100)*(K203/100))/(L203-1))</f>
        <v>1.2115640383680121E-2</v>
      </c>
      <c r="R203" s="16" t="s">
        <v>66</v>
      </c>
      <c r="S203" t="s">
        <v>9</v>
      </c>
      <c r="T203" s="1">
        <f>N548</f>
        <v>2565.42</v>
      </c>
      <c r="U203" s="1">
        <f>N549</f>
        <v>7537.29</v>
      </c>
      <c r="V203" s="1">
        <f>N550</f>
        <v>108937.06</v>
      </c>
      <c r="W203" s="1">
        <f>N551</f>
        <v>45986.39</v>
      </c>
      <c r="X203" s="1">
        <f>N552</f>
        <v>19354.72</v>
      </c>
      <c r="Z203" t="s">
        <v>36</v>
      </c>
      <c r="AA203" s="1">
        <f>N553</f>
        <v>184380.87999999998</v>
      </c>
      <c r="AD203" s="51"/>
      <c r="AE203" s="51"/>
      <c r="AJ203" t="s">
        <v>415</v>
      </c>
      <c r="AK203">
        <v>8</v>
      </c>
      <c r="AL203" s="1">
        <v>41.66</v>
      </c>
      <c r="AM203" s="1">
        <v>280.69</v>
      </c>
      <c r="AN203" s="1">
        <v>16323.34</v>
      </c>
      <c r="AO203" s="1">
        <v>15222.6</v>
      </c>
      <c r="AP203" s="1">
        <v>10379.040000000001</v>
      </c>
      <c r="AR203" s="1">
        <v>2634.75</v>
      </c>
      <c r="AS203" s="1">
        <v>7460.85</v>
      </c>
      <c r="AT203" s="1">
        <v>108725.56</v>
      </c>
      <c r="AU203" s="1">
        <v>46008.44</v>
      </c>
      <c r="AV203" s="1">
        <v>19551.28</v>
      </c>
    </row>
    <row r="204" spans="1:48" ht="15.6" x14ac:dyDescent="0.35">
      <c r="A204" t="s">
        <v>7</v>
      </c>
      <c r="B204" s="13">
        <v>4</v>
      </c>
      <c r="C204" s="35">
        <f t="shared" si="33"/>
        <v>0</v>
      </c>
      <c r="D204" s="36">
        <f t="shared" si="33"/>
        <v>0</v>
      </c>
      <c r="E204" s="21">
        <f t="shared" si="33"/>
        <v>0.22244436353704347</v>
      </c>
      <c r="F204" s="21">
        <f t="shared" si="33"/>
        <v>1.7477771420767703</v>
      </c>
      <c r="G204" s="37">
        <f t="shared" si="33"/>
        <v>8.1986636846510308</v>
      </c>
      <c r="H204" s="17">
        <f>SUM(C204:G204)</f>
        <v>10.168885190264845</v>
      </c>
      <c r="I204" s="17">
        <f>G204/H204*100</f>
        <v>80.624999999999986</v>
      </c>
      <c r="J204" s="17">
        <f>SQRT(I204*(100-I204)/(L204-1))</f>
        <v>1.2762813287985664</v>
      </c>
      <c r="K204" s="18">
        <f>100-I204</f>
        <v>19.375000000000014</v>
      </c>
      <c r="L204" s="1">
        <f>H193</f>
        <v>960</v>
      </c>
      <c r="M204">
        <v>4</v>
      </c>
      <c r="N204" s="1">
        <v>18749.48</v>
      </c>
      <c r="O204" s="17">
        <f>N204/N205*100</f>
        <v>10.168885190264845</v>
      </c>
      <c r="P204" s="52">
        <f>((O204*O204*(I204/100)*(K204/100))/(L204-1))</f>
        <v>1.6843778424186093E-2</v>
      </c>
      <c r="R204" s="16" t="s">
        <v>323</v>
      </c>
      <c r="S204" t="s">
        <v>68</v>
      </c>
      <c r="T204" s="57">
        <f>$AA203*T196/100</f>
        <v>2565.4199999999996</v>
      </c>
      <c r="U204" s="57">
        <f>$AA203*U196/100</f>
        <v>8797.3904821262404</v>
      </c>
      <c r="V204" s="57">
        <f>$AA203*V196/100</f>
        <v>107067.34620626213</v>
      </c>
      <c r="W204" s="57">
        <f>$AA203*W196/100</f>
        <v>47571.712586769347</v>
      </c>
      <c r="X204" s="57">
        <f>$AA203*X196/100</f>
        <v>18379.010724842268</v>
      </c>
      <c r="Z204" t="s">
        <v>36</v>
      </c>
      <c r="AA204" s="25">
        <f>SUM(T204:X204)</f>
        <v>184380.87999999998</v>
      </c>
      <c r="AD204" s="51"/>
      <c r="AE204" s="51"/>
      <c r="AJ204" t="s">
        <v>415</v>
      </c>
      <c r="AK204">
        <v>9</v>
      </c>
      <c r="AL204" s="1">
        <v>38.619999999999997</v>
      </c>
      <c r="AM204" s="1">
        <v>296.60000000000002</v>
      </c>
      <c r="AN204" s="1">
        <v>16180.28</v>
      </c>
      <c r="AO204" s="1">
        <v>15432.82</v>
      </c>
      <c r="AP204" s="1">
        <v>10299</v>
      </c>
      <c r="AR204" s="1">
        <v>2610.89</v>
      </c>
      <c r="AS204" s="1">
        <v>7767.25</v>
      </c>
      <c r="AT204" s="1">
        <v>108483.87</v>
      </c>
      <c r="AU204" s="1">
        <v>46719.13</v>
      </c>
      <c r="AV204" s="1">
        <v>18799.73</v>
      </c>
    </row>
    <row r="205" spans="1:48" x14ac:dyDescent="0.3">
      <c r="B205" t="s">
        <v>28</v>
      </c>
      <c r="C205" s="17">
        <f t="shared" ref="C205:H205" si="34">SUM(C200:C204)</f>
        <v>1.4446508770323687</v>
      </c>
      <c r="D205" s="17">
        <f t="shared" si="34"/>
        <v>4.8977311682366453</v>
      </c>
      <c r="E205" s="17">
        <f t="shared" si="34"/>
        <v>57.755698095831747</v>
      </c>
      <c r="F205" s="17">
        <f t="shared" si="34"/>
        <v>26.532862431786587</v>
      </c>
      <c r="G205" s="17">
        <f t="shared" si="34"/>
        <v>9.3690574271126312</v>
      </c>
      <c r="H205" s="18">
        <f t="shared" si="34"/>
        <v>99.999999999999972</v>
      </c>
      <c r="I205" s="13" t="s">
        <v>24</v>
      </c>
      <c r="J205" s="12" t="s">
        <v>29</v>
      </c>
      <c r="N205" s="1">
        <f>SUM(N200:N204)</f>
        <v>184380.88000000003</v>
      </c>
      <c r="O205" s="17">
        <f>SUM(O200:O204)</f>
        <v>99.999999999999972</v>
      </c>
      <c r="R205" s="66"/>
      <c r="S205" s="66" t="s">
        <v>67</v>
      </c>
      <c r="T205" s="67">
        <f>$AA203*T197/100</f>
        <v>0</v>
      </c>
      <c r="U205" s="67">
        <f>$AA203*U197/100</f>
        <v>205.50537485607521</v>
      </c>
      <c r="V205" s="67">
        <f>$AA203*V197/100</f>
        <v>276.79392139569671</v>
      </c>
      <c r="W205" s="67">
        <f>$AA203*W197/100</f>
        <v>336.47668438141756</v>
      </c>
      <c r="X205" s="67">
        <f>$AA203*X197/100</f>
        <v>310.09905316408634</v>
      </c>
      <c r="AA205" s="1"/>
      <c r="AD205" s="51"/>
      <c r="AE205" s="51"/>
      <c r="AJ205" t="s">
        <v>415</v>
      </c>
      <c r="AK205">
        <v>10</v>
      </c>
      <c r="AL205" s="1">
        <v>40.159999999999997</v>
      </c>
      <c r="AM205" s="1">
        <v>279.10000000000002</v>
      </c>
      <c r="AN205" s="1">
        <v>16303.3</v>
      </c>
      <c r="AO205" s="1">
        <v>15320.19</v>
      </c>
      <c r="AP205" s="1">
        <v>10304.57</v>
      </c>
      <c r="AR205" s="1">
        <v>2591.62</v>
      </c>
      <c r="AS205" s="1">
        <v>7384.23</v>
      </c>
      <c r="AT205" s="1">
        <v>109244.29</v>
      </c>
      <c r="AU205" s="1">
        <v>45950.09</v>
      </c>
      <c r="AV205" s="1">
        <v>19210.66</v>
      </c>
    </row>
    <row r="206" spans="1:48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0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0.11579659653664175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0.15404506754599234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0.18116520925714921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0.16641306852784574</v>
      </c>
      <c r="H206" s="1"/>
      <c r="I206" s="14">
        <f>(C200+D201+E202+F203+G204)/H205</f>
        <v>0.9439175720661126</v>
      </c>
      <c r="J206" s="53">
        <f>SQRT(SUM(P200:P204))/100</f>
        <v>2.1951808855144661E-3</v>
      </c>
      <c r="M206" s="1"/>
      <c r="N206" s="9"/>
      <c r="R206" t="s">
        <v>112</v>
      </c>
      <c r="S206" t="s">
        <v>28</v>
      </c>
      <c r="T206" s="57">
        <f>C582</f>
        <v>1.4252128528728143</v>
      </c>
      <c r="U206" s="57">
        <f t="shared" ref="U206:X209" si="35">D582</f>
        <v>4.8188784297596969</v>
      </c>
      <c r="V206" s="57">
        <f t="shared" si="35"/>
        <v>57.90014939752534</v>
      </c>
      <c r="W206" s="57">
        <f t="shared" si="35"/>
        <v>26.311813105973545</v>
      </c>
      <c r="X206" s="57">
        <f>G582</f>
        <v>9.5439462138685993</v>
      </c>
      <c r="Y206" s="60"/>
      <c r="Z206" s="74"/>
      <c r="AA206" s="12"/>
      <c r="AD206" s="51"/>
      <c r="AE206" s="51"/>
      <c r="AJ206" t="s">
        <v>415</v>
      </c>
      <c r="AK206">
        <v>11</v>
      </c>
      <c r="AL206" s="1">
        <v>39.61</v>
      </c>
      <c r="AM206" s="1">
        <v>302.95</v>
      </c>
      <c r="AN206" s="1">
        <v>16298.4</v>
      </c>
      <c r="AO206" s="1">
        <v>15264.03</v>
      </c>
      <c r="AP206" s="1">
        <v>10342.33</v>
      </c>
      <c r="AR206" s="1">
        <v>2596.5700000000002</v>
      </c>
      <c r="AS206" s="1">
        <v>7999.64</v>
      </c>
      <c r="AT206" s="1">
        <v>108400.25</v>
      </c>
      <c r="AU206" s="1">
        <v>46086.95</v>
      </c>
      <c r="AV206" s="1">
        <v>19297.46</v>
      </c>
    </row>
    <row r="207" spans="1:48" x14ac:dyDescent="0.3">
      <c r="B207" s="1" t="s">
        <v>30</v>
      </c>
      <c r="C207" s="17">
        <f>C200/C205*100</f>
        <v>100</v>
      </c>
      <c r="D207" s="17">
        <f>D201/D205*100</f>
        <v>76.213970117934352</v>
      </c>
      <c r="E207" s="17">
        <f>E202/E205*100</f>
        <v>98.543855931992269</v>
      </c>
      <c r="F207" s="17">
        <f>F203/F205*100</f>
        <v>90.834509144272232</v>
      </c>
      <c r="G207" s="17">
        <f>G204/G205*100</f>
        <v>87.507881645866973</v>
      </c>
      <c r="H207" s="1"/>
      <c r="S207" s="66" t="s">
        <v>39</v>
      </c>
      <c r="T207" s="67">
        <f>C583</f>
        <v>0</v>
      </c>
      <c r="U207" s="67">
        <f t="shared" si="35"/>
        <v>0.1104230958593182</v>
      </c>
      <c r="V207" s="67">
        <f t="shared" si="35"/>
        <v>0.15016360346771304</v>
      </c>
      <c r="W207" s="67">
        <f t="shared" si="35"/>
        <v>0.18233667700980241</v>
      </c>
      <c r="X207" s="67">
        <f t="shared" si="35"/>
        <v>0.16696997697074442</v>
      </c>
      <c r="AD207" s="51"/>
      <c r="AE207" s="51"/>
      <c r="AJ207" t="s">
        <v>415</v>
      </c>
      <c r="AK207">
        <v>12</v>
      </c>
      <c r="AL207" s="1">
        <v>40.049999999999997</v>
      </c>
      <c r="AM207" s="1">
        <v>302.98</v>
      </c>
      <c r="AN207" s="1">
        <v>16333.32</v>
      </c>
      <c r="AO207" s="1">
        <v>15554.89</v>
      </c>
      <c r="AP207" s="1">
        <v>10016.1</v>
      </c>
      <c r="AR207" s="1">
        <v>2594.6799999999998</v>
      </c>
      <c r="AS207" s="1">
        <v>7709.53</v>
      </c>
      <c r="AT207" s="1">
        <v>108829.92</v>
      </c>
      <c r="AU207" s="1">
        <v>46539.42</v>
      </c>
      <c r="AV207" s="1">
        <v>18707.32</v>
      </c>
    </row>
    <row r="208" spans="1:48" x14ac:dyDescent="0.3">
      <c r="B208" s="16" t="s">
        <v>39</v>
      </c>
      <c r="C208" s="18">
        <f>SQRT((C211+C212)/(C205*C205))</f>
        <v>0</v>
      </c>
      <c r="D208" s="18">
        <f>SQRT((D211+D212)/(D205*D205))</f>
        <v>3.5134665902875928</v>
      </c>
      <c r="E208" s="18">
        <f>SQRT((E211+E212)/(E205*E205))</f>
        <v>0.16313233442806205</v>
      </c>
      <c r="F208" s="18">
        <f>SQRT((F211+F212)/(F205*F205))</f>
        <v>0.6224888900815827</v>
      </c>
      <c r="G208" s="18">
        <f>SQRT((G211+G212)/(G205*G205))</f>
        <v>1.9856726281648043</v>
      </c>
      <c r="H208" s="1"/>
      <c r="S208" t="s">
        <v>30</v>
      </c>
      <c r="T208" s="57">
        <f>C584</f>
        <v>100</v>
      </c>
      <c r="U208" s="57">
        <f t="shared" si="35"/>
        <v>78.641667294070601</v>
      </c>
      <c r="V208" s="57">
        <f t="shared" si="35"/>
        <v>98.537344213224031</v>
      </c>
      <c r="W208" s="57">
        <f t="shared" si="35"/>
        <v>91.092605301859351</v>
      </c>
      <c r="X208" s="57">
        <f t="shared" si="35"/>
        <v>87.046001157436677</v>
      </c>
      <c r="AD208" s="51"/>
      <c r="AE208" s="51"/>
      <c r="AJ208" t="s">
        <v>415</v>
      </c>
      <c r="AK208">
        <v>13</v>
      </c>
      <c r="AL208" s="1">
        <v>37.03</v>
      </c>
      <c r="AM208" s="1">
        <v>294.02</v>
      </c>
      <c r="AN208" s="1">
        <v>16218.97</v>
      </c>
      <c r="AO208" s="1">
        <v>15442.99</v>
      </c>
      <c r="AP208" s="1">
        <v>10254.299999999999</v>
      </c>
      <c r="AR208" s="1">
        <v>2601.98</v>
      </c>
      <c r="AS208" s="1">
        <v>7559.62</v>
      </c>
      <c r="AT208" s="1">
        <v>108808.39</v>
      </c>
      <c r="AU208" s="1">
        <v>46377.61</v>
      </c>
      <c r="AV208" s="1">
        <v>19033.28</v>
      </c>
    </row>
    <row r="209" spans="1:48" x14ac:dyDescent="0.3">
      <c r="B209" s="1" t="s">
        <v>37</v>
      </c>
      <c r="C209" s="18">
        <f>100-C207</f>
        <v>0</v>
      </c>
      <c r="D209" s="18">
        <f>100-D207</f>
        <v>23.786029882065648</v>
      </c>
      <c r="E209" s="18">
        <f>100-E207</f>
        <v>1.4561440680077311</v>
      </c>
      <c r="F209" s="18">
        <f>100-F207</f>
        <v>9.1654908557277679</v>
      </c>
      <c r="G209" s="18">
        <f>100-G207</f>
        <v>12.492118354133027</v>
      </c>
      <c r="S209" s="66" t="s">
        <v>39</v>
      </c>
      <c r="T209" s="67">
        <f>C585</f>
        <v>0</v>
      </c>
      <c r="U209" s="67">
        <f t="shared" si="35"/>
        <v>3.2025044994703995</v>
      </c>
      <c r="V209" s="67">
        <f t="shared" si="35"/>
        <v>0.16317901222227979</v>
      </c>
      <c r="W209" s="67">
        <f t="shared" si="35"/>
        <v>0.62597763629365222</v>
      </c>
      <c r="X209" s="67">
        <f t="shared" si="35"/>
        <v>1.9940316450840827</v>
      </c>
      <c r="AD209" s="51"/>
      <c r="AE209" s="51"/>
      <c r="AJ209" t="s">
        <v>415</v>
      </c>
      <c r="AK209">
        <v>14</v>
      </c>
      <c r="AL209" s="1">
        <v>39.15</v>
      </c>
      <c r="AM209" s="1">
        <v>299.01</v>
      </c>
      <c r="AN209" s="1">
        <v>16311.95</v>
      </c>
      <c r="AO209" s="1">
        <v>15298.75</v>
      </c>
      <c r="AP209" s="1">
        <v>10298.48</v>
      </c>
      <c r="AR209" s="1">
        <v>2589.37</v>
      </c>
      <c r="AS209" s="1">
        <v>7993.97</v>
      </c>
      <c r="AT209" s="1">
        <v>108499.75</v>
      </c>
      <c r="AU209" s="1">
        <v>46109.1</v>
      </c>
      <c r="AV209" s="1">
        <v>19188.689999999999</v>
      </c>
    </row>
    <row r="210" spans="1:48" ht="15.6" x14ac:dyDescent="0.35">
      <c r="B210" s="1" t="s">
        <v>25</v>
      </c>
      <c r="C210" s="1">
        <f>C194</f>
        <v>169</v>
      </c>
      <c r="D210" s="1">
        <f>D194</f>
        <v>453</v>
      </c>
      <c r="E210" s="1">
        <f>E194</f>
        <v>7232</v>
      </c>
      <c r="F210" s="1">
        <f>F194</f>
        <v>2720</v>
      </c>
      <c r="G210" s="1">
        <f>G194</f>
        <v>896</v>
      </c>
      <c r="S210" s="15" t="s">
        <v>31</v>
      </c>
      <c r="T210" s="71">
        <f>I577</f>
        <v>100</v>
      </c>
      <c r="U210" s="71">
        <f>I578</f>
        <v>91.150442477876098</v>
      </c>
      <c r="V210" s="71">
        <f>I579</f>
        <v>96.98607919989189</v>
      </c>
      <c r="W210" s="71">
        <f>I580</f>
        <v>94.391087207068765</v>
      </c>
      <c r="X210" s="71">
        <f>I581</f>
        <v>81.458333333333329</v>
      </c>
      <c r="AD210" s="51"/>
      <c r="AE210" s="51"/>
      <c r="AJ210" t="s">
        <v>415</v>
      </c>
      <c r="AK210">
        <v>15</v>
      </c>
      <c r="AL210" s="1">
        <v>29.15</v>
      </c>
      <c r="AM210" s="1">
        <v>319.95</v>
      </c>
      <c r="AN210" s="1">
        <v>16416.400000000001</v>
      </c>
      <c r="AO210" s="1">
        <v>15135.83</v>
      </c>
      <c r="AP210" s="1">
        <v>10346</v>
      </c>
      <c r="AR210" s="1">
        <v>2547.3200000000002</v>
      </c>
      <c r="AS210" s="1">
        <v>7920.22</v>
      </c>
      <c r="AT210" s="1">
        <v>108906.55</v>
      </c>
      <c r="AU210" s="1">
        <v>45786.85</v>
      </c>
      <c r="AV210" s="1">
        <v>19219.939999999999</v>
      </c>
    </row>
    <row r="211" spans="1:48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243.10723309486559</v>
      </c>
      <c r="E211" s="18">
        <f>(O202*O202*(100-E207)*(100-E207)*(I202)*(100-I202))/((L202-1)*100)</f>
        <v>3.1660905441872833</v>
      </c>
      <c r="F211" s="18">
        <f>(O203*O203*(100-F207)*(100-F207)*(I203)*(100-I203))/((L203-1)*100)</f>
        <v>101.778918333319</v>
      </c>
      <c r="G211" s="18">
        <f>(O204*O204*(100-G207)*(100-G207)*(I204)*(100-I204))/((L204-1)*100)</f>
        <v>262.85225077053161</v>
      </c>
      <c r="S211" s="75" t="s">
        <v>39</v>
      </c>
      <c r="T211" s="76">
        <f>J577</f>
        <v>0</v>
      </c>
      <c r="U211" s="76">
        <f>J578</f>
        <v>1.5448339983540125</v>
      </c>
      <c r="V211" s="76">
        <f>J579</f>
        <v>0.19877577515648837</v>
      </c>
      <c r="W211" s="76">
        <f>J580</f>
        <v>0.45107752817412683</v>
      </c>
      <c r="X211" s="76">
        <f>J581</f>
        <v>1.2549685462280646</v>
      </c>
      <c r="AD211" s="51"/>
      <c r="AE211" s="51"/>
      <c r="AJ211" t="s">
        <v>415</v>
      </c>
      <c r="AK211">
        <v>16</v>
      </c>
      <c r="AL211" s="1">
        <v>18.37</v>
      </c>
      <c r="AM211" s="1">
        <v>292.10000000000002</v>
      </c>
      <c r="AN211" s="1">
        <v>16343.77</v>
      </c>
      <c r="AO211" s="1">
        <v>15534.36</v>
      </c>
      <c r="AP211" s="1">
        <v>10058.719999999999</v>
      </c>
      <c r="AR211" s="1">
        <v>2586.04</v>
      </c>
      <c r="AS211" s="1">
        <v>7547.74</v>
      </c>
      <c r="AT211" s="1">
        <v>109123</v>
      </c>
      <c r="AU211" s="1">
        <v>46403.09</v>
      </c>
      <c r="AV211" s="1">
        <v>18721.02</v>
      </c>
    </row>
    <row r="212" spans="1:48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53.008541219252024</v>
      </c>
      <c r="E212" s="18">
        <f>E207*E207*(SUM((H200*E200*(1-E189/H189))/(H189-1),(H201*E201*(1-E190/H190))/(H190-1), (H203*E203*(1-E192/H192))/(H192-1),(H204*E204*(1-E193/H193))/(H193-1)))</f>
        <v>85.60463655888482</v>
      </c>
      <c r="F212" s="18">
        <f>F207*F207*(SUM((H200*F200*(1-F189/H189))/(H189-1),(H201*F201*(1-F190/H190))/(H190-1), (H202*F202*(1-F191/H191))/(H191-1),(H204*F204*(1-F193/H193))/(H193-1)))</f>
        <v>171.01294985629812</v>
      </c>
      <c r="G212" s="18">
        <f>G207*G207*(SUM((H200*G200*(1-G189/H189))/(H189-1),(H201*G201*(1-G190/H190))/(H190-1), (H202*G202*(1-G191/H191))/(H191-1),(H203*G203*(1-G192/H192))/(H192-1)))</f>
        <v>83.252133202382538</v>
      </c>
      <c r="S212" s="66" t="s">
        <v>56</v>
      </c>
      <c r="T212" s="67">
        <f>N566*100</f>
        <v>100</v>
      </c>
      <c r="U212" s="67">
        <f>N567*100</f>
        <v>79.536679536679529</v>
      </c>
      <c r="V212" s="67">
        <f>N568*100</f>
        <v>97.945813144066065</v>
      </c>
      <c r="W212" s="67">
        <f>N569*100</f>
        <v>92.682006789890607</v>
      </c>
      <c r="X212" s="67">
        <f>N570*100</f>
        <v>83.636363636363626</v>
      </c>
      <c r="AD212" s="51"/>
      <c r="AE212" s="51"/>
      <c r="AJ212" t="s">
        <v>415</v>
      </c>
      <c r="AK212">
        <v>17</v>
      </c>
      <c r="AL212" s="1">
        <v>63.04</v>
      </c>
      <c r="AM212" s="1">
        <v>289.2</v>
      </c>
      <c r="AN212" s="1">
        <v>16245.36</v>
      </c>
      <c r="AO212" s="1">
        <v>15501.43</v>
      </c>
      <c r="AP212" s="1">
        <v>10148.290000000001</v>
      </c>
      <c r="AR212" s="1">
        <v>2620.08</v>
      </c>
      <c r="AS212" s="1">
        <v>7761.13</v>
      </c>
      <c r="AT212" s="1">
        <v>108358.64</v>
      </c>
      <c r="AU212" s="1">
        <v>46890.03</v>
      </c>
      <c r="AV212" s="1">
        <v>18751.009999999998</v>
      </c>
    </row>
    <row r="213" spans="1:48" x14ac:dyDescent="0.3">
      <c r="R213" s="16" t="s">
        <v>66</v>
      </c>
      <c r="S213" t="s">
        <v>9</v>
      </c>
      <c r="T213" s="1">
        <f>N577</f>
        <v>2627.82</v>
      </c>
      <c r="U213" s="1">
        <f>N578</f>
        <v>7665.77</v>
      </c>
      <c r="V213" s="1">
        <f>N579</f>
        <v>108464.35</v>
      </c>
      <c r="W213" s="1">
        <f>N580</f>
        <v>46818.64</v>
      </c>
      <c r="X213" s="1">
        <f>N581</f>
        <v>18804.3</v>
      </c>
      <c r="Z213" t="s">
        <v>36</v>
      </c>
      <c r="AA213" s="1">
        <f>N582</f>
        <v>184380.88</v>
      </c>
      <c r="AD213" s="51"/>
      <c r="AE213" s="51"/>
      <c r="AJ213" t="s">
        <v>415</v>
      </c>
      <c r="AK213">
        <v>18</v>
      </c>
      <c r="AL213" s="1">
        <v>29.69</v>
      </c>
      <c r="AM213" s="1">
        <v>288.25</v>
      </c>
      <c r="AN213" s="1">
        <v>16314.62</v>
      </c>
      <c r="AO213" s="1">
        <v>15304.51</v>
      </c>
      <c r="AP213" s="1">
        <v>10310.25</v>
      </c>
      <c r="AR213" s="1">
        <v>2565.42</v>
      </c>
      <c r="AS213" s="1">
        <v>7537.29</v>
      </c>
      <c r="AT213" s="1">
        <v>108937.06</v>
      </c>
      <c r="AU213" s="1">
        <v>45986.39</v>
      </c>
      <c r="AV213" s="1">
        <v>19354.72</v>
      </c>
    </row>
    <row r="214" spans="1:48" ht="15.6" x14ac:dyDescent="0.35">
      <c r="R214" s="16" t="s">
        <v>323</v>
      </c>
      <c r="S214" t="s">
        <v>68</v>
      </c>
      <c r="T214" s="57">
        <f>$AA213*T206/100</f>
        <v>2627.8200000000006</v>
      </c>
      <c r="U214" s="57">
        <f>$AA213*U206/100</f>
        <v>8885.0904549211118</v>
      </c>
      <c r="V214" s="57">
        <f>$AA213*V206/100</f>
        <v>106756.80498047192</v>
      </c>
      <c r="W214" s="57">
        <f>$AA213*W206/100</f>
        <v>48513.952548749352</v>
      </c>
      <c r="X214" s="57">
        <f>$AA213*X206/100</f>
        <v>17597.212015857607</v>
      </c>
      <c r="Z214" t="s">
        <v>36</v>
      </c>
      <c r="AA214" s="25">
        <f>SUM(T214:X214)</f>
        <v>184380.87999999998</v>
      </c>
      <c r="AD214" s="51"/>
      <c r="AE214" s="51"/>
      <c r="AJ214" t="s">
        <v>415</v>
      </c>
      <c r="AK214">
        <v>19</v>
      </c>
      <c r="AL214" s="1">
        <v>36.74</v>
      </c>
      <c r="AM214" s="1">
        <v>282.2</v>
      </c>
      <c r="AN214" s="1">
        <v>16208.69</v>
      </c>
      <c r="AO214" s="1">
        <v>15594.03</v>
      </c>
      <c r="AP214" s="1">
        <v>10125.66</v>
      </c>
      <c r="AR214" s="1">
        <v>2627.82</v>
      </c>
      <c r="AS214" s="1">
        <v>7665.77</v>
      </c>
      <c r="AT214" s="1">
        <v>108464.35</v>
      </c>
      <c r="AU214" s="1">
        <v>46818.64</v>
      </c>
      <c r="AV214" s="1">
        <v>18804.3</v>
      </c>
    </row>
    <row r="215" spans="1:48" x14ac:dyDescent="0.3">
      <c r="A215" s="361" t="s">
        <v>449</v>
      </c>
      <c r="B215" s="361"/>
      <c r="C215" s="361"/>
      <c r="D215" s="361"/>
      <c r="E215" s="361"/>
      <c r="F215" s="361"/>
      <c r="G215" s="361"/>
      <c r="H215" s="361"/>
      <c r="I215" s="361"/>
      <c r="J215" s="361"/>
      <c r="K215" s="361"/>
      <c r="L215" s="361" t="s">
        <v>85</v>
      </c>
      <c r="M215" s="361"/>
      <c r="N215" s="361"/>
      <c r="O215" s="361"/>
      <c r="P215" s="361"/>
      <c r="R215" s="66"/>
      <c r="S215" s="66" t="s">
        <v>67</v>
      </c>
      <c r="T215" s="67">
        <f>$AA213*T207/100</f>
        <v>0</v>
      </c>
      <c r="U215" s="67">
        <f>$AA213*U207/100</f>
        <v>203.59907586865447</v>
      </c>
      <c r="V215" s="67">
        <f>$AA213*V207/100</f>
        <v>276.87297351347985</v>
      </c>
      <c r="W215" s="67">
        <f>$AA213*W207/100</f>
        <v>336.19396963343138</v>
      </c>
      <c r="X215" s="67">
        <f>$AA213*X207/100</f>
        <v>307.86071287445594</v>
      </c>
      <c r="AA215" s="1"/>
      <c r="AD215" s="51"/>
      <c r="AE215" s="51"/>
      <c r="AQ215" t="s">
        <v>412</v>
      </c>
    </row>
    <row r="216" spans="1:48" x14ac:dyDescent="0.3">
      <c r="A216" t="s">
        <v>320</v>
      </c>
      <c r="B216" t="s">
        <v>21</v>
      </c>
      <c r="I216" s="1" t="s">
        <v>58</v>
      </c>
      <c r="O216" s="143"/>
      <c r="P216" s="143"/>
      <c r="AJ216" t="s">
        <v>416</v>
      </c>
      <c r="AK216">
        <v>0</v>
      </c>
      <c r="AL216" s="1">
        <v>0</v>
      </c>
      <c r="AM216" s="1">
        <v>16.02</v>
      </c>
      <c r="AN216" s="1">
        <v>1345.71</v>
      </c>
      <c r="AO216" s="1">
        <v>374.06</v>
      </c>
      <c r="AP216" s="1">
        <v>115.04</v>
      </c>
      <c r="AR216" s="1">
        <v>206.98</v>
      </c>
      <c r="AS216" s="1">
        <v>713.56</v>
      </c>
      <c r="AT216" s="1">
        <v>16619.53</v>
      </c>
      <c r="AU216" s="1">
        <v>2833.29</v>
      </c>
      <c r="AV216" s="1">
        <v>1496.72</v>
      </c>
    </row>
    <row r="217" spans="1:48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56</v>
      </c>
      <c r="O217" s="13"/>
      <c r="P217" s="13"/>
      <c r="AJ217" t="s">
        <v>416</v>
      </c>
      <c r="AK217">
        <v>1</v>
      </c>
      <c r="AL217" s="1">
        <v>0</v>
      </c>
      <c r="AM217" s="1">
        <v>18.190000000000001</v>
      </c>
      <c r="AN217" s="1">
        <v>1344.33</v>
      </c>
      <c r="AO217" s="1">
        <v>385.08</v>
      </c>
      <c r="AP217" s="1">
        <v>103.23</v>
      </c>
      <c r="AR217" s="1">
        <v>199.42</v>
      </c>
      <c r="AS217" s="1">
        <v>728.96</v>
      </c>
      <c r="AT217" s="1">
        <v>16622.509999999998</v>
      </c>
      <c r="AU217" s="1">
        <v>2862.91</v>
      </c>
      <c r="AV217" s="1">
        <v>1456.3</v>
      </c>
    </row>
    <row r="218" spans="1:48" x14ac:dyDescent="0.3">
      <c r="A218" t="s">
        <v>3</v>
      </c>
      <c r="B218" s="13">
        <v>0</v>
      </c>
      <c r="C218" s="26">
        <v>169</v>
      </c>
      <c r="D218" s="3">
        <v>0</v>
      </c>
      <c r="E218" s="3">
        <v>0</v>
      </c>
      <c r="F218" s="3">
        <v>0</v>
      </c>
      <c r="G218" s="4">
        <v>0</v>
      </c>
      <c r="H218" s="1">
        <f>SUM(C218:G218)</f>
        <v>169</v>
      </c>
      <c r="I218" s="10">
        <f>C218/H218</f>
        <v>1</v>
      </c>
      <c r="J218" s="11">
        <f>1-I218</f>
        <v>0</v>
      </c>
      <c r="K218">
        <f>H218-C223</f>
        <v>0</v>
      </c>
      <c r="N218" s="10">
        <f>2*(C224*I218)/(C224+I218)</f>
        <v>1</v>
      </c>
      <c r="O218" s="1"/>
      <c r="P218" s="1"/>
      <c r="R218" s="66"/>
      <c r="S218" s="66"/>
      <c r="T218" s="66"/>
      <c r="U218" s="66"/>
      <c r="V218" s="66"/>
      <c r="W218" s="66"/>
      <c r="X218" s="66"/>
      <c r="AJ218" t="s">
        <v>416</v>
      </c>
      <c r="AK218">
        <v>2</v>
      </c>
      <c r="AL218" s="1">
        <v>0</v>
      </c>
      <c r="AM218" s="1">
        <v>22.37</v>
      </c>
      <c r="AN218" s="1">
        <v>1337</v>
      </c>
      <c r="AO218" s="1">
        <v>378.01</v>
      </c>
      <c r="AP218" s="1">
        <v>113.45</v>
      </c>
      <c r="AR218" s="1">
        <v>202.66</v>
      </c>
      <c r="AS218" s="1">
        <v>811.69</v>
      </c>
      <c r="AT218" s="1">
        <v>16521.13</v>
      </c>
      <c r="AU218" s="1">
        <v>2853.82</v>
      </c>
      <c r="AV218" s="1">
        <v>1480.79</v>
      </c>
    </row>
    <row r="219" spans="1:48" x14ac:dyDescent="0.3">
      <c r="A219" t="s">
        <v>4</v>
      </c>
      <c r="B219" s="13">
        <v>1</v>
      </c>
      <c r="C219" s="5">
        <v>0</v>
      </c>
      <c r="D219" s="27">
        <v>305</v>
      </c>
      <c r="E219" s="1">
        <v>31</v>
      </c>
      <c r="F219" s="1">
        <v>0</v>
      </c>
      <c r="G219" s="6">
        <v>3</v>
      </c>
      <c r="H219" s="1">
        <f>SUM(C219:G219)</f>
        <v>339</v>
      </c>
      <c r="I219" s="10">
        <f>D219/H219</f>
        <v>0.89970501474926257</v>
      </c>
      <c r="J219" s="11">
        <f>1-I219</f>
        <v>0.10029498525073743</v>
      </c>
      <c r="K219">
        <f>H219-D223</f>
        <v>-106</v>
      </c>
      <c r="N219" s="10">
        <f>2*(D224*I219)/(D224+I219)</f>
        <v>0.77806122448979598</v>
      </c>
      <c r="O219" s="1"/>
      <c r="P219" s="1"/>
      <c r="R219" t="s">
        <v>371</v>
      </c>
      <c r="S219" t="s">
        <v>28</v>
      </c>
      <c r="T219" s="57">
        <f>AVERAGE(T16,T26,T36,T46,T56,T66,T76,T86,T96,T106,T116,T126,T136,T146,T156,T166,T176,T186,T196,T206)</f>
        <v>1.4122321257991273</v>
      </c>
      <c r="U219" s="57">
        <f>AVERAGE(U16,U26,U36,U46,U56,U66,U76,U86,U96,U106,U116,U126,U136,U146,U156,U166,U176,U186,U196,U206)</f>
        <v>4.9078066107092138</v>
      </c>
      <c r="V219" s="57">
        <f>AVERAGE(V16,V26,V36,V46,V56,V66,V76,V86,V96,V106,V116,V126,V136,V146,V156,V166,V176,V186,V196,V206)</f>
        <v>57.880794440103294</v>
      </c>
      <c r="W219" s="57">
        <f>AVERAGE(W16,W26,W36,W46,W56,W66,W76,W86,W96,W106,W116,W126,W136,W146,W156,W166,W176,W186,W196,W206)</f>
        <v>26.141220149191561</v>
      </c>
      <c r="X219" s="57">
        <f>AVERAGE(X16,X26,X36,X46,X56,X66,X76,X86,X96,X106,X116,X126,X136,X146,X156,X166,X176,X186,X196,X206)</f>
        <v>9.6579466741968094</v>
      </c>
      <c r="AJ219" t="s">
        <v>416</v>
      </c>
      <c r="AK219">
        <v>3</v>
      </c>
      <c r="AL219" s="1">
        <v>0</v>
      </c>
      <c r="AM219" s="1">
        <v>16.72</v>
      </c>
      <c r="AN219" s="1">
        <v>1341.8</v>
      </c>
      <c r="AO219" s="1">
        <v>378.9</v>
      </c>
      <c r="AP219" s="1">
        <v>113.41</v>
      </c>
      <c r="AR219" s="1">
        <v>204.01</v>
      </c>
      <c r="AS219" s="1">
        <v>752.82</v>
      </c>
      <c r="AT219" s="1">
        <v>16552.91</v>
      </c>
      <c r="AU219" s="1">
        <v>2816.91</v>
      </c>
      <c r="AV219" s="1">
        <v>1543.45</v>
      </c>
    </row>
    <row r="220" spans="1:48" x14ac:dyDescent="0.3">
      <c r="A220" t="s">
        <v>5</v>
      </c>
      <c r="B220" s="13">
        <v>2</v>
      </c>
      <c r="C220" s="5">
        <v>0</v>
      </c>
      <c r="D220" s="1">
        <v>139</v>
      </c>
      <c r="E220" s="27">
        <v>7161</v>
      </c>
      <c r="F220" s="1">
        <v>88</v>
      </c>
      <c r="G220" s="6">
        <v>11</v>
      </c>
      <c r="H220" s="1">
        <f>SUM(C220:G220)</f>
        <v>7399</v>
      </c>
      <c r="I220" s="10">
        <f>E220/H220</f>
        <v>0.96783349101229899</v>
      </c>
      <c r="J220" s="11">
        <f>1-I220</f>
        <v>3.2166508987701015E-2</v>
      </c>
      <c r="K220">
        <f>H220-E223</f>
        <v>161</v>
      </c>
      <c r="N220" s="10">
        <f>2*(E224*I220)/(E224+I220)</f>
        <v>0.97847919655667148</v>
      </c>
      <c r="O220" s="1"/>
      <c r="P220" s="1"/>
      <c r="S220" s="66" t="s">
        <v>39</v>
      </c>
      <c r="T220" s="67">
        <f t="shared" ref="T220:X228" si="36">AVERAGE(T17,T27,T37,T47,T57,T67,T77,T87,T97,T107,T117,T127,T137,T147,T157,T167,T177,T187,T197,T207)</f>
        <v>0</v>
      </c>
      <c r="U220" s="67">
        <f t="shared" si="36"/>
        <v>0.1135764433382016</v>
      </c>
      <c r="V220" s="67">
        <f t="shared" si="36"/>
        <v>0.15321427757487638</v>
      </c>
      <c r="W220" s="67">
        <f t="shared" si="36"/>
        <v>0.1828076205383867</v>
      </c>
      <c r="X220" s="67">
        <f t="shared" si="36"/>
        <v>0.16786280934579415</v>
      </c>
      <c r="AC220" t="s">
        <v>123</v>
      </c>
      <c r="AD220" t="s">
        <v>162</v>
      </c>
      <c r="AE220" t="s">
        <v>124</v>
      </c>
      <c r="AJ220" t="s">
        <v>416</v>
      </c>
      <c r="AK220">
        <v>4</v>
      </c>
      <c r="AL220" s="1">
        <v>0</v>
      </c>
      <c r="AM220" s="1">
        <v>16.809999999999999</v>
      </c>
      <c r="AN220" s="1">
        <v>1339.91</v>
      </c>
      <c r="AO220" s="1">
        <v>383.31</v>
      </c>
      <c r="AP220" s="1">
        <v>110.8</v>
      </c>
      <c r="AR220" s="1">
        <v>201.49</v>
      </c>
      <c r="AS220" s="1">
        <v>694.03</v>
      </c>
      <c r="AT220" s="1">
        <v>16600.63</v>
      </c>
      <c r="AU220" s="1">
        <v>2863.99</v>
      </c>
      <c r="AV220" s="1">
        <v>1509.96</v>
      </c>
    </row>
    <row r="221" spans="1:48" x14ac:dyDescent="0.3">
      <c r="A221" t="s">
        <v>6</v>
      </c>
      <c r="B221" s="13">
        <v>3</v>
      </c>
      <c r="C221" s="5">
        <v>0</v>
      </c>
      <c r="D221" s="1">
        <v>1</v>
      </c>
      <c r="E221" s="1">
        <v>27</v>
      </c>
      <c r="F221" s="27">
        <v>2455</v>
      </c>
      <c r="G221" s="6">
        <v>120</v>
      </c>
      <c r="H221" s="1">
        <f>SUM(C221:G221)</f>
        <v>2603</v>
      </c>
      <c r="I221" s="10">
        <f>F221/H221</f>
        <v>0.94314252785247787</v>
      </c>
      <c r="J221" s="11">
        <f>1-I221</f>
        <v>5.6857472147522126E-2</v>
      </c>
      <c r="K221">
        <f>H221-F223</f>
        <v>-86</v>
      </c>
      <c r="N221" s="10">
        <f>2*(F224*I221)/(F224+I221)</f>
        <v>0.92781557067271347</v>
      </c>
      <c r="O221" s="1"/>
      <c r="P221" s="1"/>
      <c r="S221" t="s">
        <v>30</v>
      </c>
      <c r="T221" s="57">
        <f t="shared" si="36"/>
        <v>100</v>
      </c>
      <c r="U221" s="57">
        <f t="shared" si="36"/>
        <v>77.191633472417053</v>
      </c>
      <c r="V221" s="57">
        <f t="shared" si="36"/>
        <v>98.556293904163965</v>
      </c>
      <c r="W221" s="57">
        <f t="shared" si="36"/>
        <v>90.815284109558405</v>
      </c>
      <c r="X221" s="57">
        <f t="shared" si="36"/>
        <v>87.310408489775398</v>
      </c>
      <c r="AB221">
        <v>0</v>
      </c>
      <c r="AC221">
        <v>31</v>
      </c>
      <c r="AD221">
        <v>26</v>
      </c>
      <c r="AE221">
        <v>15</v>
      </c>
      <c r="AJ221" t="s">
        <v>416</v>
      </c>
      <c r="AK221">
        <v>5</v>
      </c>
      <c r="AL221" s="1">
        <v>0.09</v>
      </c>
      <c r="AM221" s="1">
        <v>20.47</v>
      </c>
      <c r="AN221" s="1">
        <v>1341.22</v>
      </c>
      <c r="AO221" s="1">
        <v>381.61</v>
      </c>
      <c r="AP221" s="1">
        <v>107.45</v>
      </c>
      <c r="AR221" s="1">
        <v>205.72</v>
      </c>
      <c r="AS221" s="1">
        <v>744.89</v>
      </c>
      <c r="AT221" s="1">
        <v>16565.52</v>
      </c>
      <c r="AU221" s="1">
        <v>2863.81</v>
      </c>
      <c r="AV221" s="1">
        <v>1490.15</v>
      </c>
    </row>
    <row r="222" spans="1:48" x14ac:dyDescent="0.3">
      <c r="A222" t="s">
        <v>7</v>
      </c>
      <c r="B222" s="13">
        <v>4</v>
      </c>
      <c r="C222" s="7">
        <v>0</v>
      </c>
      <c r="D222" s="8">
        <v>0</v>
      </c>
      <c r="E222" s="8">
        <v>19</v>
      </c>
      <c r="F222" s="8">
        <v>146</v>
      </c>
      <c r="G222" s="28">
        <v>795</v>
      </c>
      <c r="H222" s="1">
        <f>SUM(C222:G222)</f>
        <v>960</v>
      </c>
      <c r="I222" s="10">
        <f>G222/H222</f>
        <v>0.828125</v>
      </c>
      <c r="J222" s="11">
        <f>1-I222</f>
        <v>0.171875</v>
      </c>
      <c r="K222">
        <f>H222-G223</f>
        <v>31</v>
      </c>
      <c r="N222" s="10">
        <f>2*(G224*I222)/(G224+I222)</f>
        <v>0.84171519322392785</v>
      </c>
      <c r="O222" s="1"/>
      <c r="P222" s="1"/>
      <c r="S222" s="66" t="s">
        <v>39</v>
      </c>
      <c r="T222" s="67">
        <f t="shared" si="36"/>
        <v>0</v>
      </c>
      <c r="U222" s="67">
        <f t="shared" si="36"/>
        <v>3.3323980120751377</v>
      </c>
      <c r="V222" s="67">
        <f t="shared" si="36"/>
        <v>0.16244708394740198</v>
      </c>
      <c r="W222" s="67">
        <f t="shared" si="36"/>
        <v>0.63794859724426201</v>
      </c>
      <c r="X222" s="67">
        <f t="shared" si="36"/>
        <v>1.9609269674669521</v>
      </c>
      <c r="AB222">
        <v>1</v>
      </c>
      <c r="AC222">
        <v>60</v>
      </c>
      <c r="AD222">
        <v>55</v>
      </c>
      <c r="AE222">
        <v>44</v>
      </c>
      <c r="AJ222" t="s">
        <v>416</v>
      </c>
      <c r="AK222">
        <v>6</v>
      </c>
      <c r="AL222" s="1">
        <v>0</v>
      </c>
      <c r="AM222" s="1">
        <v>17.739999999999998</v>
      </c>
      <c r="AN222" s="1">
        <v>1340.47</v>
      </c>
      <c r="AO222" s="1">
        <v>380.31</v>
      </c>
      <c r="AP222" s="1">
        <v>112.31</v>
      </c>
      <c r="AR222" s="1">
        <v>203.38</v>
      </c>
      <c r="AS222" s="1">
        <v>695.29</v>
      </c>
      <c r="AT222" s="1">
        <v>16591.810000000001</v>
      </c>
      <c r="AU222" s="1">
        <v>2904.33</v>
      </c>
      <c r="AV222" s="1">
        <v>1475.29</v>
      </c>
    </row>
    <row r="223" spans="1:48" ht="15.6" x14ac:dyDescent="0.35">
      <c r="B223" s="1" t="s">
        <v>19</v>
      </c>
      <c r="C223" s="1">
        <f>SUM(C218:C222)</f>
        <v>169</v>
      </c>
      <c r="D223" s="1">
        <f>SUM(D218:D222)</f>
        <v>445</v>
      </c>
      <c r="E223" s="1">
        <f>SUM(E218:E222)</f>
        <v>7238</v>
      </c>
      <c r="F223" s="1">
        <f>SUM(F218:F222)</f>
        <v>2689</v>
      </c>
      <c r="G223" s="1">
        <f>SUM(G218:G222)</f>
        <v>929</v>
      </c>
      <c r="H223" s="1">
        <f>SUM(H217:H222)</f>
        <v>11470</v>
      </c>
      <c r="I223" s="13" t="s">
        <v>12</v>
      </c>
      <c r="N223" s="16"/>
      <c r="O223" s="1"/>
      <c r="P223" s="1"/>
      <c r="S223" s="15" t="s">
        <v>31</v>
      </c>
      <c r="T223" s="71">
        <f t="shared" si="36"/>
        <v>100</v>
      </c>
      <c r="U223" s="71">
        <f t="shared" si="36"/>
        <v>91.120943952802378</v>
      </c>
      <c r="V223" s="71">
        <f t="shared" si="36"/>
        <v>96.764427625354784</v>
      </c>
      <c r="W223" s="71">
        <f t="shared" si="36"/>
        <v>94.506338839800236</v>
      </c>
      <c r="X223" s="71">
        <f t="shared" si="36"/>
        <v>81.390624999999986</v>
      </c>
      <c r="AB223">
        <v>2</v>
      </c>
      <c r="AC223">
        <v>89</v>
      </c>
      <c r="AD223">
        <v>84</v>
      </c>
      <c r="AE223">
        <v>73</v>
      </c>
      <c r="AJ223" t="s">
        <v>416</v>
      </c>
      <c r="AK223">
        <v>7</v>
      </c>
      <c r="AL223" s="1">
        <v>0.09</v>
      </c>
      <c r="AM223" s="1">
        <v>17.28</v>
      </c>
      <c r="AN223" s="1">
        <v>1345.55</v>
      </c>
      <c r="AO223" s="1">
        <v>377.38</v>
      </c>
      <c r="AP223" s="1">
        <v>110.53</v>
      </c>
      <c r="AR223" s="1">
        <v>200.5</v>
      </c>
      <c r="AS223" s="1">
        <v>682.14</v>
      </c>
      <c r="AT223" s="1">
        <v>16644.650000000001</v>
      </c>
      <c r="AU223" s="1">
        <v>2810.52</v>
      </c>
      <c r="AV223" s="1">
        <v>1532.28</v>
      </c>
    </row>
    <row r="224" spans="1:48" x14ac:dyDescent="0.3">
      <c r="A224" s="1" t="s">
        <v>321</v>
      </c>
      <c r="B224" s="1" t="s">
        <v>2</v>
      </c>
      <c r="C224" s="10">
        <f>C218/C223</f>
        <v>1</v>
      </c>
      <c r="D224" s="10">
        <f>D219/D223</f>
        <v>0.6853932584269663</v>
      </c>
      <c r="E224" s="10">
        <f>E220/E223</f>
        <v>0.98936170212765961</v>
      </c>
      <c r="F224" s="10">
        <f>F221/F223</f>
        <v>0.91297880252882113</v>
      </c>
      <c r="G224" s="10">
        <f>G222/G223</f>
        <v>0.85575888051668458</v>
      </c>
      <c r="H224" s="10"/>
      <c r="I224" s="14">
        <f>(C218+D219+E220+F221+G222)/H223</f>
        <v>0.94899738448125548</v>
      </c>
      <c r="S224" s="75" t="s">
        <v>39</v>
      </c>
      <c r="T224" s="76">
        <f t="shared" si="36"/>
        <v>0</v>
      </c>
      <c r="U224" s="76">
        <f t="shared" si="36"/>
        <v>1.5454814903924967</v>
      </c>
      <c r="V224" s="76">
        <f t="shared" si="36"/>
        <v>0.20566798640815284</v>
      </c>
      <c r="W224" s="76">
        <f t="shared" si="36"/>
        <v>0.44653245866813718</v>
      </c>
      <c r="X224" s="76">
        <f t="shared" si="36"/>
        <v>1.2561990013621362</v>
      </c>
      <c r="AB224">
        <v>3</v>
      </c>
      <c r="AC224">
        <v>118</v>
      </c>
      <c r="AD224">
        <v>113</v>
      </c>
      <c r="AE224">
        <v>102</v>
      </c>
      <c r="AJ224" t="s">
        <v>416</v>
      </c>
      <c r="AK224">
        <v>8</v>
      </c>
      <c r="AL224" s="1">
        <v>0.09</v>
      </c>
      <c r="AM224" s="1">
        <v>18.7</v>
      </c>
      <c r="AN224" s="1">
        <v>1341.65</v>
      </c>
      <c r="AO224" s="1">
        <v>378</v>
      </c>
      <c r="AP224" s="1">
        <v>112.39</v>
      </c>
      <c r="AR224" s="1">
        <v>204.64</v>
      </c>
      <c r="AS224" s="1">
        <v>708.7</v>
      </c>
      <c r="AT224" s="1">
        <v>16604.86</v>
      </c>
      <c r="AU224" s="1">
        <v>2829.33</v>
      </c>
      <c r="AV224" s="1">
        <v>1522.56</v>
      </c>
    </row>
    <row r="225" spans="1:48" x14ac:dyDescent="0.3">
      <c r="B225" s="1" t="s">
        <v>14</v>
      </c>
      <c r="C225" s="11">
        <f>1-C224</f>
        <v>0</v>
      </c>
      <c r="D225" s="11">
        <f>1-D224</f>
        <v>0.3146067415730337</v>
      </c>
      <c r="E225" s="11">
        <f>1-E224</f>
        <v>1.0638297872340385E-2</v>
      </c>
      <c r="F225" s="11">
        <f>1-F224</f>
        <v>8.7021197471178868E-2</v>
      </c>
      <c r="G225" s="11">
        <f>1-G224</f>
        <v>0.14424111948331542</v>
      </c>
      <c r="S225" s="66" t="s">
        <v>56</v>
      </c>
      <c r="T225" s="67">
        <f t="shared" si="36"/>
        <v>100</v>
      </c>
      <c r="U225" s="67">
        <f t="shared" si="36"/>
        <v>78.403702564824371</v>
      </c>
      <c r="V225" s="67">
        <f t="shared" si="36"/>
        <v>97.839775854034585</v>
      </c>
      <c r="W225" s="67">
        <f t="shared" si="36"/>
        <v>92.682460458365838</v>
      </c>
      <c r="X225" s="67">
        <f t="shared" si="36"/>
        <v>83.558573190191595</v>
      </c>
      <c r="AB225">
        <v>4</v>
      </c>
      <c r="AC225">
        <v>147</v>
      </c>
      <c r="AD225">
        <v>142</v>
      </c>
      <c r="AE225">
        <v>131</v>
      </c>
      <c r="AJ225" t="s">
        <v>416</v>
      </c>
      <c r="AK225">
        <v>9</v>
      </c>
      <c r="AL225" s="1">
        <v>0</v>
      </c>
      <c r="AM225" s="1">
        <v>19.100000000000001</v>
      </c>
      <c r="AN225" s="1">
        <v>1338.52</v>
      </c>
      <c r="AO225" s="1">
        <v>380.66</v>
      </c>
      <c r="AP225" s="1">
        <v>112.54</v>
      </c>
      <c r="AR225" s="1">
        <v>205.63</v>
      </c>
      <c r="AS225" s="1">
        <v>733.37</v>
      </c>
      <c r="AT225" s="1">
        <v>16589.830000000002</v>
      </c>
      <c r="AU225" s="1">
        <v>2882.54</v>
      </c>
      <c r="AV225" s="1">
        <v>1458.73</v>
      </c>
    </row>
    <row r="226" spans="1:48" x14ac:dyDescent="0.3">
      <c r="C226" s="2"/>
      <c r="R226" s="16" t="s">
        <v>66</v>
      </c>
      <c r="S226" t="s">
        <v>9</v>
      </c>
      <c r="T226" s="1">
        <f t="shared" si="36"/>
        <v>2603.886</v>
      </c>
      <c r="U226" s="1">
        <f t="shared" si="36"/>
        <v>7664.3229999999994</v>
      </c>
      <c r="V226" s="1">
        <f t="shared" si="36"/>
        <v>108697.12749999999</v>
      </c>
      <c r="W226" s="1">
        <f t="shared" si="36"/>
        <v>46315.805</v>
      </c>
      <c r="X226" s="1">
        <f t="shared" si="36"/>
        <v>19099.737000000001</v>
      </c>
      <c r="AB226">
        <v>5</v>
      </c>
      <c r="AC226">
        <v>176</v>
      </c>
      <c r="AD226">
        <v>171</v>
      </c>
      <c r="AE226">
        <v>160</v>
      </c>
      <c r="AJ226" t="s">
        <v>416</v>
      </c>
      <c r="AK226">
        <v>10</v>
      </c>
      <c r="AL226" s="1">
        <v>0</v>
      </c>
      <c r="AM226" s="1">
        <v>17.87</v>
      </c>
      <c r="AN226" s="1">
        <v>1345.05</v>
      </c>
      <c r="AO226" s="1">
        <v>377.08</v>
      </c>
      <c r="AP226" s="1">
        <v>110.82</v>
      </c>
      <c r="AR226" s="1">
        <v>198.34</v>
      </c>
      <c r="AS226" s="1">
        <v>707.44</v>
      </c>
      <c r="AT226" s="1">
        <v>16615.21</v>
      </c>
      <c r="AU226" s="1">
        <v>2841.67</v>
      </c>
      <c r="AV226" s="1">
        <v>1507.43</v>
      </c>
    </row>
    <row r="227" spans="1:48" ht="15.6" x14ac:dyDescent="0.35">
      <c r="A227" t="s">
        <v>322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323</v>
      </c>
      <c r="S227" t="s">
        <v>68</v>
      </c>
      <c r="T227" s="57">
        <f>AVERAGE(T24,T34,T44,T54,T64,T74,T84,T94,T104,T114,T124,T134,T144,T154,T164,T174,T184,T194,T204,T214)</f>
        <v>2603.886</v>
      </c>
      <c r="U227" s="57">
        <f t="shared" si="36"/>
        <v>9049.0569420651209</v>
      </c>
      <c r="V227" s="57">
        <f t="shared" si="36"/>
        <v>106721.11727419429</v>
      </c>
      <c r="W227" s="57">
        <f t="shared" si="36"/>
        <v>48199.411361097234</v>
      </c>
      <c r="X227" s="57">
        <f t="shared" si="36"/>
        <v>17807.40692264336</v>
      </c>
      <c r="AB227">
        <v>6</v>
      </c>
      <c r="AC227">
        <v>205</v>
      </c>
      <c r="AD227">
        <v>200</v>
      </c>
      <c r="AE227">
        <v>189</v>
      </c>
      <c r="AJ227" t="s">
        <v>416</v>
      </c>
      <c r="AK227">
        <v>11</v>
      </c>
      <c r="AL227" s="1">
        <v>0</v>
      </c>
      <c r="AM227" s="1">
        <v>20.29</v>
      </c>
      <c r="AN227" s="1">
        <v>1344.32</v>
      </c>
      <c r="AO227" s="1">
        <v>374.55</v>
      </c>
      <c r="AP227" s="1">
        <v>111.67</v>
      </c>
      <c r="AR227" s="1">
        <v>205.9</v>
      </c>
      <c r="AS227" s="1">
        <v>786.58</v>
      </c>
      <c r="AT227" s="1">
        <v>16554.349999999999</v>
      </c>
      <c r="AU227" s="1">
        <v>2817.9</v>
      </c>
      <c r="AV227" s="1">
        <v>1505.36</v>
      </c>
    </row>
    <row r="228" spans="1:48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67</v>
      </c>
      <c r="T228" s="67">
        <f>AVERAGE(T25,T35,T45,T55,T65,T75,T85,T95,T105,T115,T125,T135,T145,T155,T165,T175,T185,T195,T205,T215)</f>
        <v>0</v>
      </c>
      <c r="U228" s="67">
        <f t="shared" si="36"/>
        <v>209.4132440012757</v>
      </c>
      <c r="V228" s="67">
        <f t="shared" si="36"/>
        <v>282.4978309632246</v>
      </c>
      <c r="W228" s="67">
        <f t="shared" si="36"/>
        <v>337.06229673138574</v>
      </c>
      <c r="X228" s="67">
        <f t="shared" si="36"/>
        <v>309.5069225670477</v>
      </c>
      <c r="AB228">
        <v>7</v>
      </c>
      <c r="AC228">
        <v>234</v>
      </c>
      <c r="AD228">
        <v>229</v>
      </c>
      <c r="AE228">
        <v>218</v>
      </c>
      <c r="AJ228" t="s">
        <v>416</v>
      </c>
      <c r="AK228">
        <v>12</v>
      </c>
      <c r="AL228" s="1">
        <v>0</v>
      </c>
      <c r="AM228" s="1">
        <v>19.440000000000001</v>
      </c>
      <c r="AN228" s="1">
        <v>1346.71</v>
      </c>
      <c r="AO228" s="1">
        <v>381.35</v>
      </c>
      <c r="AP228" s="1">
        <v>103.33</v>
      </c>
      <c r="AR228" s="1">
        <v>204.64</v>
      </c>
      <c r="AS228" s="1">
        <v>782.26</v>
      </c>
      <c r="AT228" s="1">
        <v>16572.63</v>
      </c>
      <c r="AU228" s="1">
        <v>2852.65</v>
      </c>
      <c r="AV228" s="1">
        <v>1457.92</v>
      </c>
    </row>
    <row r="229" spans="1:48" x14ac:dyDescent="0.3">
      <c r="A229" t="s">
        <v>3</v>
      </c>
      <c r="B229" s="13">
        <v>0</v>
      </c>
      <c r="C229" s="29">
        <f>(C218/$L229)*$O229</f>
        <v>1.3969344326808721</v>
      </c>
      <c r="D229" s="31">
        <f>(D218/$L229)*$O229</f>
        <v>0</v>
      </c>
      <c r="E229" s="31">
        <f>(E218/$L229)*$O229</f>
        <v>0</v>
      </c>
      <c r="F229" s="31">
        <f>(F218/$L229)*$O229</f>
        <v>0</v>
      </c>
      <c r="G229" s="32">
        <f>(G218/$L229)*$O229</f>
        <v>0</v>
      </c>
      <c r="H229" s="17">
        <f>SUM(C229:G229)</f>
        <v>1.3969344326808721</v>
      </c>
      <c r="I229" s="17">
        <f>C229/H229*100</f>
        <v>100</v>
      </c>
      <c r="J229" s="17">
        <f>SQRT(I229*(100-I229)/(L229-1))</f>
        <v>0</v>
      </c>
      <c r="K229" s="18">
        <f>100-I229</f>
        <v>0</v>
      </c>
      <c r="L229" s="1">
        <f>H218</f>
        <v>169</v>
      </c>
      <c r="M229">
        <v>0</v>
      </c>
      <c r="N229" s="1">
        <v>2575.6799999999998</v>
      </c>
      <c r="O229" s="17">
        <f>N229/N234*100</f>
        <v>1.3969344326808721</v>
      </c>
      <c r="P229" s="52">
        <f>((O229*O229*(I229/100)*(K229/100))/(L229-1))</f>
        <v>0</v>
      </c>
      <c r="AB229">
        <v>8</v>
      </c>
      <c r="AC229">
        <v>263</v>
      </c>
      <c r="AD229">
        <v>258</v>
      </c>
      <c r="AE229">
        <v>247</v>
      </c>
      <c r="AJ229" t="s">
        <v>416</v>
      </c>
      <c r="AK229">
        <v>13</v>
      </c>
      <c r="AL229" s="1">
        <v>0</v>
      </c>
      <c r="AM229" s="1">
        <v>18.78</v>
      </c>
      <c r="AN229" s="1">
        <v>1340.03</v>
      </c>
      <c r="AO229" s="1">
        <v>378.97</v>
      </c>
      <c r="AP229" s="1">
        <v>113.05</v>
      </c>
      <c r="AR229" s="1">
        <v>204.37</v>
      </c>
      <c r="AS229" s="1">
        <v>734.9</v>
      </c>
      <c r="AT229" s="1">
        <v>16572.45</v>
      </c>
      <c r="AU229" s="1">
        <v>2871.73</v>
      </c>
      <c r="AV229" s="1">
        <v>1486.64</v>
      </c>
    </row>
    <row r="230" spans="1:48" x14ac:dyDescent="0.3">
      <c r="A230" t="s">
        <v>4</v>
      </c>
      <c r="B230" s="13">
        <v>1</v>
      </c>
      <c r="C230" s="33">
        <f t="shared" ref="C230:G233" si="37">(C219/$L230)*$O230</f>
        <v>0</v>
      </c>
      <c r="D230" s="34">
        <f t="shared" si="37"/>
        <v>3.6681468840070504</v>
      </c>
      <c r="E230" s="19">
        <f t="shared" si="37"/>
        <v>0.37282804394825753</v>
      </c>
      <c r="F230" s="18">
        <f t="shared" si="37"/>
        <v>0</v>
      </c>
      <c r="G230" s="20">
        <f t="shared" si="37"/>
        <v>3.6080133285315244E-2</v>
      </c>
      <c r="H230" s="17">
        <f>SUM(C230:G230)</f>
        <v>4.0770550612406229</v>
      </c>
      <c r="I230" s="17">
        <f>D230/H230*100</f>
        <v>89.970501474926252</v>
      </c>
      <c r="J230" s="17">
        <f>SQRT(I230*(100-I230)/(L230-1))</f>
        <v>1.6339220356155837</v>
      </c>
      <c r="K230" s="18">
        <f>100-I230</f>
        <v>10.029498525073748</v>
      </c>
      <c r="L230" s="1">
        <f>H219</f>
        <v>339</v>
      </c>
      <c r="M230">
        <v>1</v>
      </c>
      <c r="N230" s="1">
        <v>7517.31</v>
      </c>
      <c r="O230" s="17">
        <f>N230/N234*100</f>
        <v>4.0770550612406229</v>
      </c>
      <c r="P230" s="52">
        <f>((O230*O230*(I230/100)*(K230/100))/(L230-1))</f>
        <v>4.4376782726755415E-3</v>
      </c>
      <c r="S230" t="s">
        <v>69</v>
      </c>
      <c r="T230" s="1" t="s">
        <v>418</v>
      </c>
      <c r="U230" s="1" t="s">
        <v>419</v>
      </c>
      <c r="V230" s="1" t="s">
        <v>420</v>
      </c>
      <c r="W230" s="1" t="s">
        <v>421</v>
      </c>
      <c r="X230" s="1" t="s">
        <v>422</v>
      </c>
      <c r="AB230">
        <v>9</v>
      </c>
      <c r="AC230">
        <v>292</v>
      </c>
      <c r="AD230">
        <v>287</v>
      </c>
      <c r="AE230">
        <v>276</v>
      </c>
      <c r="AJ230" t="s">
        <v>416</v>
      </c>
      <c r="AK230">
        <v>14</v>
      </c>
      <c r="AL230" s="1">
        <v>0</v>
      </c>
      <c r="AM230" s="1">
        <v>20.56</v>
      </c>
      <c r="AN230" s="1">
        <v>1342.92</v>
      </c>
      <c r="AO230" s="1">
        <v>373.08</v>
      </c>
      <c r="AP230" s="1">
        <v>114.27</v>
      </c>
      <c r="AR230" s="1">
        <v>203.83</v>
      </c>
      <c r="AS230" s="1">
        <v>783.61</v>
      </c>
      <c r="AT230" s="1">
        <v>16556.96</v>
      </c>
      <c r="AU230" s="1">
        <v>2814.66</v>
      </c>
      <c r="AV230" s="1">
        <v>1511.04</v>
      </c>
    </row>
    <row r="231" spans="1:48" x14ac:dyDescent="0.3">
      <c r="A231" t="s">
        <v>5</v>
      </c>
      <c r="B231" s="13">
        <v>2</v>
      </c>
      <c r="C231" s="33">
        <f t="shared" si="37"/>
        <v>0</v>
      </c>
      <c r="D231" s="19">
        <f t="shared" si="37"/>
        <v>1.108293794671968</v>
      </c>
      <c r="E231" s="34">
        <f t="shared" si="37"/>
        <v>57.097063767237145</v>
      </c>
      <c r="F231" s="19">
        <f t="shared" si="37"/>
        <v>0.7016536254038358</v>
      </c>
      <c r="G231" s="20">
        <f t="shared" si="37"/>
        <v>8.7706703175479475E-2</v>
      </c>
      <c r="H231" s="17">
        <f>SUM(C231:G231)</f>
        <v>58.994717890488424</v>
      </c>
      <c r="I231" s="17">
        <f>E231/H231*100</f>
        <v>96.783349101229902</v>
      </c>
      <c r="J231" s="17">
        <f>SQRT(I231*(100-I231)/(L231-1))</f>
        <v>0.20513753121822467</v>
      </c>
      <c r="K231" s="18">
        <f>100-I231</f>
        <v>3.2166508987700979</v>
      </c>
      <c r="L231" s="1">
        <f>H220</f>
        <v>7399</v>
      </c>
      <c r="M231">
        <v>2</v>
      </c>
      <c r="N231" s="1">
        <v>108774.98</v>
      </c>
      <c r="O231" s="17">
        <f>N231/N234*100</f>
        <v>58.994717890488424</v>
      </c>
      <c r="P231" s="52">
        <f>((O231*O231*(I231/100)*(K231/100))/(L231-1))</f>
        <v>1.4645914907196378E-2</v>
      </c>
      <c r="T231" s="57">
        <f>T24</f>
        <v>2609.1799999999998</v>
      </c>
      <c r="U231" s="57">
        <f>U24</f>
        <v>8839.7934053789286</v>
      </c>
      <c r="V231" s="57">
        <f>V24</f>
        <v>107282.00063663782</v>
      </c>
      <c r="W231" s="57">
        <f>W24</f>
        <v>47826.767613276272</v>
      </c>
      <c r="X231" s="57">
        <f>X24</f>
        <v>17823.138344706975</v>
      </c>
      <c r="AB231">
        <v>10</v>
      </c>
      <c r="AC231">
        <v>321</v>
      </c>
      <c r="AD231">
        <v>316</v>
      </c>
      <c r="AE231">
        <v>305</v>
      </c>
      <c r="AJ231" t="s">
        <v>416</v>
      </c>
      <c r="AK231">
        <v>15</v>
      </c>
      <c r="AL231" s="1">
        <v>0</v>
      </c>
      <c r="AM231" s="1">
        <v>21</v>
      </c>
      <c r="AN231" s="1">
        <v>1347.66</v>
      </c>
      <c r="AO231" s="1">
        <v>372.36</v>
      </c>
      <c r="AP231" s="1">
        <v>109.8</v>
      </c>
      <c r="AR231" s="1">
        <v>202.12</v>
      </c>
      <c r="AS231" s="1">
        <v>786.4</v>
      </c>
      <c r="AT231" s="1">
        <v>16579.740000000002</v>
      </c>
      <c r="AU231" s="1">
        <v>2820.24</v>
      </c>
      <c r="AV231" s="1">
        <v>1481.6</v>
      </c>
    </row>
    <row r="232" spans="1:48" x14ac:dyDescent="0.3">
      <c r="A232" t="s">
        <v>6</v>
      </c>
      <c r="B232" s="13">
        <v>3</v>
      </c>
      <c r="C232" s="33">
        <f t="shared" si="37"/>
        <v>0</v>
      </c>
      <c r="D232" s="19">
        <f t="shared" si="37"/>
        <v>9.5895093175100109E-3</v>
      </c>
      <c r="E232" s="19">
        <f t="shared" si="37"/>
        <v>0.25891675157277033</v>
      </c>
      <c r="F232" s="34">
        <f t="shared" si="37"/>
        <v>23.542245374487077</v>
      </c>
      <c r="G232" s="20">
        <f t="shared" si="37"/>
        <v>1.1507411181012013</v>
      </c>
      <c r="H232" s="17">
        <f>SUM(C232:G232)</f>
        <v>24.961492753478559</v>
      </c>
      <c r="I232" s="17">
        <f>F232/H232*100</f>
        <v>94.314252785247788</v>
      </c>
      <c r="J232" s="17">
        <f>SQRT(I232*(100-I232)/(L232-1))</f>
        <v>0.45397171186641844</v>
      </c>
      <c r="K232" s="18">
        <f>100-I232</f>
        <v>5.6857472147522117</v>
      </c>
      <c r="L232" s="1">
        <f>H221</f>
        <v>2603</v>
      </c>
      <c r="M232">
        <v>3</v>
      </c>
      <c r="N232" s="1">
        <v>46024.22</v>
      </c>
      <c r="O232" s="17">
        <f>N232/N234*100</f>
        <v>24.961492753478559</v>
      </c>
      <c r="P232" s="52">
        <f>((O232*O232*(I232/100)*(K232/100))/(L232-1))</f>
        <v>1.2840995404809813E-2</v>
      </c>
      <c r="T232" s="57">
        <f>T34</f>
        <v>2620.62</v>
      </c>
      <c r="U232" s="57">
        <f>U34</f>
        <v>9093.3940432676482</v>
      </c>
      <c r="V232" s="57">
        <f>V34</f>
        <v>106929.48896895407</v>
      </c>
      <c r="W232" s="57">
        <f>W34</f>
        <v>48280.524543847794</v>
      </c>
      <c r="X232" s="57">
        <f>X34</f>
        <v>17456.842443930491</v>
      </c>
      <c r="AB232">
        <v>11</v>
      </c>
      <c r="AC232">
        <v>350</v>
      </c>
      <c r="AD232">
        <v>345</v>
      </c>
      <c r="AE232">
        <v>334</v>
      </c>
      <c r="AJ232" t="s">
        <v>416</v>
      </c>
      <c r="AK232">
        <v>16</v>
      </c>
      <c r="AL232" s="1">
        <v>0</v>
      </c>
      <c r="AM232" s="1">
        <v>18.239999999999998</v>
      </c>
      <c r="AN232" s="1">
        <v>1347.02</v>
      </c>
      <c r="AO232" s="1">
        <v>378.86</v>
      </c>
      <c r="AP232" s="1">
        <v>106.7</v>
      </c>
      <c r="AR232" s="1">
        <v>203.56</v>
      </c>
      <c r="AS232" s="1">
        <v>712.12</v>
      </c>
      <c r="AT232" s="1">
        <v>16659.599999999999</v>
      </c>
      <c r="AU232" s="1">
        <v>2864.44</v>
      </c>
      <c r="AV232" s="1">
        <v>1430.37</v>
      </c>
    </row>
    <row r="233" spans="1:48" x14ac:dyDescent="0.3">
      <c r="A233" t="s">
        <v>7</v>
      </c>
      <c r="B233" s="13">
        <v>4</v>
      </c>
      <c r="C233" s="35">
        <f t="shared" si="37"/>
        <v>0</v>
      </c>
      <c r="D233" s="36">
        <f t="shared" si="37"/>
        <v>0</v>
      </c>
      <c r="E233" s="21">
        <f t="shared" si="37"/>
        <v>0.20919395560429038</v>
      </c>
      <c r="F233" s="21">
        <f t="shared" si="37"/>
        <v>1.607490395696126</v>
      </c>
      <c r="G233" s="37">
        <f t="shared" si="37"/>
        <v>8.7531155108110976</v>
      </c>
      <c r="H233" s="17">
        <f>SUM(C233:G233)</f>
        <v>10.569799862111514</v>
      </c>
      <c r="I233" s="17">
        <f>G233/H233*100</f>
        <v>82.8125</v>
      </c>
      <c r="J233" s="17">
        <f>SQRT(I233*(100-I233)/(L233-1))</f>
        <v>1.2182740675223689</v>
      </c>
      <c r="K233" s="18">
        <f>100-I233</f>
        <v>17.1875</v>
      </c>
      <c r="L233" s="1">
        <f>H222</f>
        <v>960</v>
      </c>
      <c r="M233">
        <v>4</v>
      </c>
      <c r="N233" s="1">
        <v>19488.689999999999</v>
      </c>
      <c r="O233" s="17">
        <f>N233/N234*100</f>
        <v>10.569799862111514</v>
      </c>
      <c r="P233" s="52">
        <f>((O233*O233*(I233/100)*(K233/100))/(L233-1))</f>
        <v>1.6581489023582349E-2</v>
      </c>
      <c r="T233" s="57">
        <f>T44</f>
        <v>2607.9199999999996</v>
      </c>
      <c r="U233" s="57">
        <f>U44</f>
        <v>9199.9133826206198</v>
      </c>
      <c r="V233" s="57">
        <f>V44</f>
        <v>106518.78340400996</v>
      </c>
      <c r="W233" s="57">
        <f>W44</f>
        <v>48315.026930890876</v>
      </c>
      <c r="X233" s="57">
        <f>X44</f>
        <v>17739.236282478549</v>
      </c>
      <c r="AB233">
        <v>12</v>
      </c>
      <c r="AC233">
        <v>379</v>
      </c>
      <c r="AD233">
        <v>374</v>
      </c>
      <c r="AE233">
        <v>363</v>
      </c>
      <c r="AJ233" t="s">
        <v>416</v>
      </c>
      <c r="AK233">
        <v>17</v>
      </c>
      <c r="AL233" s="1">
        <v>0</v>
      </c>
      <c r="AM233" s="1">
        <v>18.36</v>
      </c>
      <c r="AN233" s="1">
        <v>1341.24</v>
      </c>
      <c r="AO233" s="1">
        <v>381.14</v>
      </c>
      <c r="AP233" s="1">
        <v>110.1</v>
      </c>
      <c r="AR233" s="1">
        <v>205.81</v>
      </c>
      <c r="AS233" s="1">
        <v>751.74</v>
      </c>
      <c r="AT233" s="1">
        <v>16568.310000000001</v>
      </c>
      <c r="AU233" s="1">
        <v>2890.01</v>
      </c>
      <c r="AV233" s="1">
        <v>1454.23</v>
      </c>
    </row>
    <row r="234" spans="1:48" x14ac:dyDescent="0.3">
      <c r="B234" t="s">
        <v>28</v>
      </c>
      <c r="C234" s="17">
        <f>SUM(C229:C233)</f>
        <v>1.3969344326808721</v>
      </c>
      <c r="D234" s="17">
        <f>SUM(D229:D233)</f>
        <v>4.7860301879965279</v>
      </c>
      <c r="E234" s="17">
        <f>SUM(E229:E233)</f>
        <v>57.938002518362467</v>
      </c>
      <c r="F234" s="17">
        <f>SUM(F229:F233)</f>
        <v>25.851389395587038</v>
      </c>
      <c r="G234" s="17">
        <f>SUM(G229:G233)</f>
        <v>10.027643465373094</v>
      </c>
      <c r="H234" s="1">
        <f>SUM(H228:H233)</f>
        <v>99.999999999999986</v>
      </c>
      <c r="I234" s="13" t="s">
        <v>24</v>
      </c>
      <c r="J234" s="12" t="s">
        <v>29</v>
      </c>
      <c r="N234" s="1">
        <f>SUM(N229:N233)</f>
        <v>184380.88</v>
      </c>
      <c r="O234" s="17">
        <f>SUM(O229:O233)</f>
        <v>99.999999999999986</v>
      </c>
      <c r="T234" s="57">
        <f>T54</f>
        <v>2609</v>
      </c>
      <c r="U234" s="57">
        <f>U54</f>
        <v>8930.301647243874</v>
      </c>
      <c r="V234" s="57">
        <f>V54</f>
        <v>106854.7513031456</v>
      </c>
      <c r="W234" s="57">
        <f>W54</f>
        <v>47664.495032935367</v>
      </c>
      <c r="X234" s="57">
        <f>X54</f>
        <v>18322.322016675142</v>
      </c>
      <c r="AB234">
        <v>13</v>
      </c>
      <c r="AC234">
        <v>408</v>
      </c>
      <c r="AD234">
        <v>403</v>
      </c>
      <c r="AE234">
        <v>392</v>
      </c>
      <c r="AJ234" t="s">
        <v>416</v>
      </c>
      <c r="AK234">
        <v>18</v>
      </c>
      <c r="AL234" s="1">
        <v>0</v>
      </c>
      <c r="AM234" s="1">
        <v>17.579999999999998</v>
      </c>
      <c r="AN234" s="1">
        <v>1341.32</v>
      </c>
      <c r="AO234" s="1">
        <v>377.75</v>
      </c>
      <c r="AP234" s="1">
        <v>114.18</v>
      </c>
      <c r="AR234" s="1">
        <v>205.18</v>
      </c>
      <c r="AS234" s="1">
        <v>721.04</v>
      </c>
      <c r="AT234" s="1">
        <v>16608.28</v>
      </c>
      <c r="AU234" s="1">
        <v>2815.02</v>
      </c>
      <c r="AV234" s="1">
        <v>1520.58</v>
      </c>
    </row>
    <row r="235" spans="1:48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0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0.11483596869519197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0.15307714692250279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0.18267773597013418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0.1679848128233821</v>
      </c>
      <c r="H235" s="1"/>
      <c r="I235" s="14">
        <f>(C229+D230+E231+F232+G233)/H234</f>
        <v>0.94457505969223265</v>
      </c>
      <c r="J235" s="53">
        <f>SQRT(SUM(P229:P233))/100</f>
        <v>2.202409535219644E-3</v>
      </c>
      <c r="M235" s="1"/>
      <c r="N235" s="9"/>
      <c r="T235" s="57">
        <f>T64</f>
        <v>2580.46</v>
      </c>
      <c r="U235" s="57">
        <f>U64</f>
        <v>9034.1486565282466</v>
      </c>
      <c r="V235" s="57">
        <f>V64</f>
        <v>106184.69793567788</v>
      </c>
      <c r="W235" s="57">
        <f>W64</f>
        <v>48611.582648970456</v>
      </c>
      <c r="X235" s="57">
        <f>X64</f>
        <v>17969.980758823447</v>
      </c>
      <c r="AB235">
        <v>14</v>
      </c>
      <c r="AC235">
        <v>437</v>
      </c>
      <c r="AD235">
        <v>432</v>
      </c>
      <c r="AE235">
        <v>421</v>
      </c>
      <c r="AJ235" t="s">
        <v>416</v>
      </c>
      <c r="AK235">
        <v>19</v>
      </c>
      <c r="AL235" s="1">
        <v>0</v>
      </c>
      <c r="AM235" s="1">
        <v>19.89</v>
      </c>
      <c r="AN235" s="1">
        <v>1340.35</v>
      </c>
      <c r="AO235" s="1">
        <v>381.68</v>
      </c>
      <c r="AP235" s="1">
        <v>108.91</v>
      </c>
      <c r="AR235" s="1">
        <v>204.01</v>
      </c>
      <c r="AS235" s="1">
        <v>755.88</v>
      </c>
      <c r="AT235" s="1">
        <v>16550.48</v>
      </c>
      <c r="AU235" s="1">
        <v>2873.54</v>
      </c>
      <c r="AV235" s="1">
        <v>1486.19</v>
      </c>
    </row>
    <row r="236" spans="1:48" x14ac:dyDescent="0.3">
      <c r="B236" s="1" t="s">
        <v>30</v>
      </c>
      <c r="C236" s="17">
        <f>C229/C234*100</f>
        <v>100</v>
      </c>
      <c r="D236" s="17">
        <f>D230/D234*100</f>
        <v>76.642786190668957</v>
      </c>
      <c r="E236" s="17">
        <f>E231/E234*100</f>
        <v>98.548554118932913</v>
      </c>
      <c r="F236" s="17">
        <f>F232/F234*100</f>
        <v>91.067621218478322</v>
      </c>
      <c r="G236" s="17">
        <f>G233/G234*100</f>
        <v>87.289855697770605</v>
      </c>
      <c r="H236" s="1"/>
      <c r="T236" s="57">
        <f>T74</f>
        <v>2644.66</v>
      </c>
      <c r="U236" s="57">
        <f>U74</f>
        <v>8995.5765707643623</v>
      </c>
      <c r="V236" s="57">
        <f>V74</f>
        <v>106333.32812534571</v>
      </c>
      <c r="W236" s="57">
        <f>W74</f>
        <v>48723.884391547603</v>
      </c>
      <c r="X236" s="57">
        <f>X74</f>
        <v>17683.430912342319</v>
      </c>
      <c r="AB236">
        <v>15</v>
      </c>
      <c r="AC236">
        <v>466</v>
      </c>
      <c r="AD236">
        <v>461</v>
      </c>
      <c r="AE236">
        <v>450</v>
      </c>
    </row>
    <row r="237" spans="1:48" x14ac:dyDescent="0.3">
      <c r="B237" s="16" t="s">
        <v>39</v>
      </c>
      <c r="C237" s="18">
        <f>SQRT((C240+C241)/(C234*C234))</f>
        <v>0</v>
      </c>
      <c r="D237" s="18">
        <f>SQRT((D240+D241)/(D234*D234))</f>
        <v>3.5800516021410025</v>
      </c>
      <c r="E237" s="18">
        <f>SQRT((E240+E241)/(E234*E234))</f>
        <v>0.16245209835274693</v>
      </c>
      <c r="F237" s="18">
        <f>SQRT((F240+F241)/(F234*F234))</f>
        <v>0.63901901797106686</v>
      </c>
      <c r="G237" s="18">
        <f>SQRT((G240+G241)/(G234*G234))</f>
        <v>1.8834822427794871</v>
      </c>
      <c r="H237" s="1"/>
      <c r="T237" s="57">
        <f>T84</f>
        <v>2663.66</v>
      </c>
      <c r="U237" s="57">
        <f>U84</f>
        <v>9030.4798280290088</v>
      </c>
      <c r="V237" s="57">
        <f>V84</f>
        <v>106490.46439923784</v>
      </c>
      <c r="W237" s="57">
        <f>W84</f>
        <v>48921.525240917515</v>
      </c>
      <c r="X237" s="57">
        <f>X84</f>
        <v>17274.750531815629</v>
      </c>
      <c r="AB237">
        <v>16</v>
      </c>
      <c r="AC237">
        <v>495</v>
      </c>
      <c r="AD237">
        <v>490</v>
      </c>
      <c r="AE237">
        <v>479</v>
      </c>
      <c r="AN237" s="78"/>
      <c r="AO237" s="78"/>
    </row>
    <row r="238" spans="1:48" x14ac:dyDescent="0.3">
      <c r="B238" s="1" t="s">
        <v>37</v>
      </c>
      <c r="C238" s="18">
        <f>100-C236</f>
        <v>0</v>
      </c>
      <c r="D238" s="18">
        <f>100-D236</f>
        <v>23.357213809331043</v>
      </c>
      <c r="E238" s="18">
        <f>100-E236</f>
        <v>1.4514458810670874</v>
      </c>
      <c r="F238" s="18">
        <f>100-F236</f>
        <v>8.9323787815216775</v>
      </c>
      <c r="G238" s="18">
        <f>100-G236</f>
        <v>12.710144302229395</v>
      </c>
      <c r="T238" s="57">
        <f>T94</f>
        <v>2575.6799999999998</v>
      </c>
      <c r="U238" s="57">
        <f>U94</f>
        <v>8824.5245776936536</v>
      </c>
      <c r="V238" s="57">
        <f>V94</f>
        <v>106826.59889777888</v>
      </c>
      <c r="W238" s="57">
        <f>W94</f>
        <v>47665.019259810069</v>
      </c>
      <c r="X238" s="57">
        <f>X94</f>
        <v>18489.057264717409</v>
      </c>
      <c r="AB238">
        <v>17</v>
      </c>
      <c r="AC238">
        <v>524</v>
      </c>
      <c r="AD238">
        <v>519</v>
      </c>
      <c r="AE238">
        <v>508</v>
      </c>
    </row>
    <row r="239" spans="1:48" ht="15.6" x14ac:dyDescent="0.35">
      <c r="B239" s="1" t="s">
        <v>25</v>
      </c>
      <c r="C239" s="1">
        <f>C223</f>
        <v>169</v>
      </c>
      <c r="D239" s="1">
        <f>D223</f>
        <v>445</v>
      </c>
      <c r="E239" s="1">
        <f>E223</f>
        <v>7238</v>
      </c>
      <c r="F239" s="1">
        <f>F223</f>
        <v>2689</v>
      </c>
      <c r="G239" s="1">
        <f>G223</f>
        <v>929</v>
      </c>
      <c r="T239" s="57">
        <f>T104</f>
        <v>2634.75</v>
      </c>
      <c r="U239" s="57">
        <f>U104</f>
        <v>8907.8907960261131</v>
      </c>
      <c r="V239" s="57">
        <f>V104</f>
        <v>106700.59859203483</v>
      </c>
      <c r="W239" s="57">
        <f>W104</f>
        <v>47688.746621027414</v>
      </c>
      <c r="X239" s="57">
        <f>X104</f>
        <v>18448.893990911634</v>
      </c>
      <c r="AB239">
        <v>18</v>
      </c>
      <c r="AC239">
        <v>553</v>
      </c>
      <c r="AD239">
        <v>548</v>
      </c>
      <c r="AE239">
        <v>537</v>
      </c>
      <c r="AN239" s="78"/>
      <c r="AO239" s="78"/>
    </row>
    <row r="240" spans="1:48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242.10172597386853</v>
      </c>
      <c r="E240" s="18">
        <f>(O231*O231*(100-E236)*(100-E236)*(I231)*(100-I231))/((L231-1)*100)</f>
        <v>3.0854477838836898</v>
      </c>
      <c r="F240" s="18">
        <f>(O232*O232*(100-F236)*(100-F236)*(I232)*(100-I232))/((L232-1)*100)</f>
        <v>102.45495172965323</v>
      </c>
      <c r="G240" s="18">
        <f>(O233*O233*(100-G236)*(100-G236)*(I233)*(100-I233))/((L233-1)*100)</f>
        <v>267.87025449188377</v>
      </c>
      <c r="T240" s="57">
        <f>T114</f>
        <v>2610.89</v>
      </c>
      <c r="U240" s="57">
        <f>U114</f>
        <v>9240.3162342274209</v>
      </c>
      <c r="V240" s="57">
        <f>V114</f>
        <v>106352.25053830486</v>
      </c>
      <c r="W240" s="57">
        <f>W114</f>
        <v>48613.526876516247</v>
      </c>
      <c r="X240" s="57">
        <f>X114</f>
        <v>17563.88635095147</v>
      </c>
      <c r="AB240">
        <v>19</v>
      </c>
      <c r="AC240">
        <v>582</v>
      </c>
      <c r="AD240">
        <v>577</v>
      </c>
      <c r="AE240">
        <v>566</v>
      </c>
    </row>
    <row r="241" spans="1:41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51.480284515442094</v>
      </c>
      <c r="E241" s="18">
        <f>E236*E236*(SUM((H229*E229*(1-E218/H218))/(H218-1),(H230*E230*(1-E219/H219))/(H219-1), (H232*E232*(1-E221/H221))/(H221-1),(H233*E233*(1-E222/H222))/(H222-1)))</f>
        <v>85.503121409969452</v>
      </c>
      <c r="F241" s="18">
        <f>F236*F236*(SUM((H229*F229*(1-F218/H218))/(H218-1),(H230*F230*(1-F219/H219))/(H219-1), (H231*F231*(1-F220/H220))/(H220-1),(H233*F233*(1-F222/H222))/(H222-1)))</f>
        <v>170.43990200727788</v>
      </c>
      <c r="G241" s="18">
        <f>G236*G236*(SUM((H229*G229*(1-G218/H218))/(H218-1),(H230*G230*(1-G219/H219))/(H219-1), (H231*G231*(1-G220/H220))/(H220-1),(H232*G232*(1-G221/H221))/(H221-1)))</f>
        <v>88.844299091527645</v>
      </c>
      <c r="T241" s="57">
        <f>T124</f>
        <v>2591.62</v>
      </c>
      <c r="U241" s="57">
        <f>U124</f>
        <v>8527.9266016423244</v>
      </c>
      <c r="V241" s="57">
        <f>V124</f>
        <v>107505.64255757623</v>
      </c>
      <c r="W241" s="57">
        <f>W124</f>
        <v>47511.05004513351</v>
      </c>
      <c r="X241" s="57">
        <f>X124</f>
        <v>18244.650795647933</v>
      </c>
      <c r="AB241">
        <v>20</v>
      </c>
      <c r="AC241">
        <v>611</v>
      </c>
      <c r="AD241">
        <v>606</v>
      </c>
      <c r="AE241">
        <v>595</v>
      </c>
      <c r="AN241" s="78"/>
      <c r="AO241" s="78"/>
    </row>
    <row r="242" spans="1:41" x14ac:dyDescent="0.3">
      <c r="T242" s="57">
        <f>T134</f>
        <v>2596.5700000000002</v>
      </c>
      <c r="U242" s="57">
        <f>U134</f>
        <v>9477.7105906659126</v>
      </c>
      <c r="V242" s="57">
        <f>V134</f>
        <v>106308.95740130158</v>
      </c>
      <c r="W242" s="57">
        <f>W134</f>
        <v>48300.380537868878</v>
      </c>
      <c r="X242" s="57">
        <f>X134</f>
        <v>17697.251470163617</v>
      </c>
      <c r="AB242">
        <v>21</v>
      </c>
      <c r="AC242">
        <v>640</v>
      </c>
      <c r="AD242">
        <v>635</v>
      </c>
      <c r="AE242">
        <v>624</v>
      </c>
    </row>
    <row r="243" spans="1:41" x14ac:dyDescent="0.3">
      <c r="T243" s="57">
        <f>T144</f>
        <v>2594.6799999999998</v>
      </c>
      <c r="U243" s="57">
        <f>U144</f>
        <v>9006.3945006711438</v>
      </c>
      <c r="V243" s="57">
        <f>V144</f>
        <v>107126.80237700358</v>
      </c>
      <c r="W243" s="57">
        <f>W144</f>
        <v>48560.362757766794</v>
      </c>
      <c r="X243" s="57">
        <f>X144</f>
        <v>17092.630364558499</v>
      </c>
      <c r="AB243">
        <v>22</v>
      </c>
      <c r="AC243">
        <v>669</v>
      </c>
      <c r="AD243">
        <v>664</v>
      </c>
      <c r="AE243">
        <v>653</v>
      </c>
      <c r="AN243" s="78"/>
      <c r="AO243" s="78"/>
    </row>
    <row r="244" spans="1:41" x14ac:dyDescent="0.3">
      <c r="A244" s="361" t="s">
        <v>449</v>
      </c>
      <c r="B244" s="361"/>
      <c r="C244" s="361"/>
      <c r="D244" s="361"/>
      <c r="E244" s="361"/>
      <c r="F244" s="361"/>
      <c r="G244" s="361"/>
      <c r="H244" s="361"/>
      <c r="I244" s="361"/>
      <c r="J244" s="361"/>
      <c r="K244" s="361"/>
      <c r="L244" s="361" t="s">
        <v>86</v>
      </c>
      <c r="M244" s="361"/>
      <c r="N244" s="361"/>
      <c r="O244" s="361"/>
      <c r="P244" s="361"/>
      <c r="T244" s="57">
        <f>T154</f>
        <v>2601.9799999999996</v>
      </c>
      <c r="U244" s="57">
        <f>U154</f>
        <v>8848.2411809368004</v>
      </c>
      <c r="V244" s="57">
        <f>V154</f>
        <v>106998.40754339157</v>
      </c>
      <c r="W244" s="57">
        <f>W154</f>
        <v>48035.074633855344</v>
      </c>
      <c r="X244" s="57">
        <f>X154</f>
        <v>17897.176641816273</v>
      </c>
      <c r="AB244">
        <v>23</v>
      </c>
      <c r="AC244">
        <v>698</v>
      </c>
      <c r="AD244">
        <v>693</v>
      </c>
      <c r="AE244">
        <v>682</v>
      </c>
    </row>
    <row r="245" spans="1:41" x14ac:dyDescent="0.3">
      <c r="A245" t="s">
        <v>320</v>
      </c>
      <c r="B245" t="s">
        <v>21</v>
      </c>
      <c r="I245" s="1" t="s">
        <v>58</v>
      </c>
      <c r="O245" s="143"/>
      <c r="P245" s="143"/>
      <c r="T245" s="57">
        <f>T164</f>
        <v>2589.37</v>
      </c>
      <c r="U245" s="57">
        <f>U164</f>
        <v>9568.7452540673166</v>
      </c>
      <c r="V245" s="57">
        <f>V164</f>
        <v>106269.45125108931</v>
      </c>
      <c r="W245" s="57">
        <f>W164</f>
        <v>48072.229066906701</v>
      </c>
      <c r="X245" s="57">
        <f>X164</f>
        <v>17881.084427936679</v>
      </c>
      <c r="AB245">
        <v>24</v>
      </c>
      <c r="AC245">
        <v>727</v>
      </c>
      <c r="AD245">
        <v>722</v>
      </c>
      <c r="AE245">
        <v>711</v>
      </c>
      <c r="AN245" s="78"/>
      <c r="AO245" s="78"/>
    </row>
    <row r="246" spans="1:41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56</v>
      </c>
      <c r="O246" s="13"/>
      <c r="P246" s="13"/>
      <c r="T246" s="57">
        <f>T174</f>
        <v>2547.3200000000002</v>
      </c>
      <c r="U246" s="57">
        <f>U174</f>
        <v>9345.2405452854837</v>
      </c>
      <c r="V246" s="57">
        <f>V174</f>
        <v>106812.88567706969</v>
      </c>
      <c r="W246" s="57">
        <f>W174</f>
        <v>47412.441310651229</v>
      </c>
      <c r="X246" s="57">
        <f>X174</f>
        <v>18262.992466993608</v>
      </c>
      <c r="AB246">
        <v>25</v>
      </c>
      <c r="AC246">
        <v>756</v>
      </c>
      <c r="AD246">
        <v>751</v>
      </c>
      <c r="AE246">
        <v>740</v>
      </c>
    </row>
    <row r="247" spans="1:41" x14ac:dyDescent="0.3">
      <c r="A247" t="s">
        <v>3</v>
      </c>
      <c r="B247" s="13">
        <v>0</v>
      </c>
      <c r="C247" s="26">
        <v>169</v>
      </c>
      <c r="D247" s="3">
        <v>0</v>
      </c>
      <c r="E247" s="3">
        <v>0</v>
      </c>
      <c r="F247" s="3">
        <v>0</v>
      </c>
      <c r="G247" s="4">
        <v>0</v>
      </c>
      <c r="H247" s="1">
        <f>SUM(C247:G247)</f>
        <v>169</v>
      </c>
      <c r="I247" s="10">
        <f>C247/H247</f>
        <v>1</v>
      </c>
      <c r="J247" s="11">
        <f>1-I247</f>
        <v>0</v>
      </c>
      <c r="K247">
        <f>H247-C252</f>
        <v>0</v>
      </c>
      <c r="N247" s="10">
        <f>2*(C253*I247)/(C253+I247)</f>
        <v>1</v>
      </c>
      <c r="O247" s="1"/>
      <c r="P247" s="1"/>
      <c r="T247" s="57">
        <f>T184</f>
        <v>2586.0400000000004</v>
      </c>
      <c r="U247" s="57">
        <f>U184</f>
        <v>9039.4979488076278</v>
      </c>
      <c r="V247" s="57">
        <f>V184</f>
        <v>107002.94339631934</v>
      </c>
      <c r="W247" s="57">
        <f>W184</f>
        <v>48755.253304057755</v>
      </c>
      <c r="X247" s="57">
        <f>X184</f>
        <v>16997.155350815276</v>
      </c>
      <c r="AB247">
        <v>26</v>
      </c>
      <c r="AC247">
        <v>785</v>
      </c>
      <c r="AD247">
        <v>780</v>
      </c>
      <c r="AE247">
        <v>769</v>
      </c>
      <c r="AN247" s="78"/>
      <c r="AO247" s="78"/>
    </row>
    <row r="248" spans="1:41" x14ac:dyDescent="0.3">
      <c r="A248" t="s">
        <v>4</v>
      </c>
      <c r="B248" s="13">
        <v>1</v>
      </c>
      <c r="C248" s="5">
        <v>0</v>
      </c>
      <c r="D248" s="27">
        <v>309</v>
      </c>
      <c r="E248" s="1">
        <v>27</v>
      </c>
      <c r="F248" s="1">
        <v>0</v>
      </c>
      <c r="G248" s="6">
        <v>3</v>
      </c>
      <c r="H248" s="1">
        <f>SUM(C248:G248)</f>
        <v>339</v>
      </c>
      <c r="I248" s="10">
        <f>D248/H248</f>
        <v>0.91150442477876104</v>
      </c>
      <c r="J248" s="11">
        <f>1-I248</f>
        <v>8.8495575221238965E-2</v>
      </c>
      <c r="K248">
        <f>H248-D252</f>
        <v>-113</v>
      </c>
      <c r="N248" s="10">
        <f>2*(D253*I248)/(D253+I248)</f>
        <v>0.78128950695322386</v>
      </c>
      <c r="O248" s="1"/>
      <c r="P248" s="1"/>
      <c r="T248" s="57">
        <f>T194</f>
        <v>2620.0800000000004</v>
      </c>
      <c r="U248" s="57">
        <f>U194</f>
        <v>9388.5621403986152</v>
      </c>
      <c r="V248" s="57">
        <f>V194</f>
        <v>106100.14129227281</v>
      </c>
      <c r="W248" s="57">
        <f>W194</f>
        <v>48944.671270446248</v>
      </c>
      <c r="X248" s="57">
        <f>X194</f>
        <v>17327.435296882344</v>
      </c>
      <c r="AB248">
        <v>27</v>
      </c>
      <c r="AC248">
        <v>814</v>
      </c>
      <c r="AD248">
        <v>809</v>
      </c>
      <c r="AE248">
        <v>798</v>
      </c>
    </row>
    <row r="249" spans="1:41" x14ac:dyDescent="0.3">
      <c r="A249" t="s">
        <v>5</v>
      </c>
      <c r="B249" s="13">
        <v>2</v>
      </c>
      <c r="C249" s="5">
        <v>0</v>
      </c>
      <c r="D249" s="1">
        <v>141</v>
      </c>
      <c r="E249" s="27">
        <v>7154</v>
      </c>
      <c r="F249" s="1">
        <v>89</v>
      </c>
      <c r="G249" s="6">
        <v>15</v>
      </c>
      <c r="H249" s="1">
        <f>SUM(C249:G249)</f>
        <v>7399</v>
      </c>
      <c r="I249" s="10">
        <f>E249/H249</f>
        <v>0.9668874172185431</v>
      </c>
      <c r="J249" s="11">
        <f>1-I249</f>
        <v>3.3112582781456901E-2</v>
      </c>
      <c r="K249">
        <f>H249-E252</f>
        <v>166</v>
      </c>
      <c r="N249" s="10">
        <f>2*(E253*I249)/(E253+I249)</f>
        <v>0.97785675232367408</v>
      </c>
      <c r="O249" s="1"/>
      <c r="P249" s="1"/>
      <c r="T249" s="57">
        <f>T204</f>
        <v>2565.4199999999996</v>
      </c>
      <c r="U249" s="57">
        <f>U204</f>
        <v>8797.3904821262404</v>
      </c>
      <c r="V249" s="57">
        <f>V204</f>
        <v>107067.34620626213</v>
      </c>
      <c r="W249" s="57">
        <f>W204</f>
        <v>47571.712586769347</v>
      </c>
      <c r="X249" s="57">
        <f>X204</f>
        <v>18379.010724842268</v>
      </c>
      <c r="AB249">
        <v>28</v>
      </c>
      <c r="AC249">
        <v>843</v>
      </c>
      <c r="AD249">
        <v>838</v>
      </c>
      <c r="AE249">
        <v>827</v>
      </c>
      <c r="AN249" s="78"/>
      <c r="AO249" s="78"/>
    </row>
    <row r="250" spans="1:41" x14ac:dyDescent="0.3">
      <c r="A250" t="s">
        <v>6</v>
      </c>
      <c r="B250" s="13">
        <v>3</v>
      </c>
      <c r="C250" s="5">
        <v>0</v>
      </c>
      <c r="D250" s="1">
        <v>2</v>
      </c>
      <c r="E250" s="1">
        <v>29</v>
      </c>
      <c r="F250" s="27">
        <v>2457</v>
      </c>
      <c r="G250" s="6">
        <v>115</v>
      </c>
      <c r="H250" s="1">
        <f>SUM(C250:G250)</f>
        <v>2603</v>
      </c>
      <c r="I250" s="10">
        <f>F250/H250</f>
        <v>0.94391087207068769</v>
      </c>
      <c r="J250" s="11">
        <f>1-I250</f>
        <v>5.608912792931231E-2</v>
      </c>
      <c r="K250">
        <f>H250-F252</f>
        <v>-88</v>
      </c>
      <c r="N250" s="10">
        <f>2*(F253*I250)/(F253+I250)</f>
        <v>0.92822062712504727</v>
      </c>
      <c r="O250" s="1"/>
      <c r="P250" s="1"/>
      <c r="T250" s="57">
        <f>T214</f>
        <v>2627.8200000000006</v>
      </c>
      <c r="U250" s="57">
        <f>U214</f>
        <v>8885.0904549211118</v>
      </c>
      <c r="V250" s="57">
        <f>V214</f>
        <v>106756.80498047192</v>
      </c>
      <c r="W250" s="57">
        <f>W214</f>
        <v>48513.952548749352</v>
      </c>
      <c r="X250" s="57">
        <f>X214</f>
        <v>17597.212015857607</v>
      </c>
      <c r="AB250">
        <v>29</v>
      </c>
      <c r="AC250">
        <v>872</v>
      </c>
      <c r="AD250">
        <v>867</v>
      </c>
      <c r="AE250">
        <v>856</v>
      </c>
    </row>
    <row r="251" spans="1:41" x14ac:dyDescent="0.3">
      <c r="A251" t="s">
        <v>7</v>
      </c>
      <c r="B251" s="13">
        <v>4</v>
      </c>
      <c r="C251" s="7">
        <v>0</v>
      </c>
      <c r="D251" s="8">
        <v>0</v>
      </c>
      <c r="E251" s="8">
        <v>23</v>
      </c>
      <c r="F251" s="8">
        <v>145</v>
      </c>
      <c r="G251" s="28">
        <v>792</v>
      </c>
      <c r="H251" s="1">
        <f>SUM(C251:G251)</f>
        <v>960</v>
      </c>
      <c r="I251" s="10">
        <f>G251/H251</f>
        <v>0.82499999999999996</v>
      </c>
      <c r="J251" s="11">
        <f>1-I251</f>
        <v>0.17500000000000004</v>
      </c>
      <c r="K251">
        <f>H251-G252</f>
        <v>35</v>
      </c>
      <c r="N251" s="10">
        <f>2*(G253*I251)/(G253+I251)</f>
        <v>0.8403183023872679</v>
      </c>
      <c r="O251" s="1"/>
      <c r="P251" s="1"/>
      <c r="AN251" s="78"/>
      <c r="AO251" s="78"/>
    </row>
    <row r="252" spans="1:41" ht="15.6" x14ac:dyDescent="0.35">
      <c r="B252" s="1" t="s">
        <v>19</v>
      </c>
      <c r="C252" s="1">
        <f>SUM(C247:C251)</f>
        <v>169</v>
      </c>
      <c r="D252" s="1">
        <f>SUM(D247:D251)</f>
        <v>452</v>
      </c>
      <c r="E252" s="1">
        <f>SUM(E247:E251)</f>
        <v>7233</v>
      </c>
      <c r="F252" s="1">
        <f>SUM(F247:F251)</f>
        <v>2691</v>
      </c>
      <c r="G252" s="1">
        <f>SUM(G247:G251)</f>
        <v>925</v>
      </c>
      <c r="H252" s="1">
        <f>SUM(H246:H251)</f>
        <v>11470</v>
      </c>
      <c r="I252" s="13" t="s">
        <v>12</v>
      </c>
      <c r="N252" s="16"/>
      <c r="O252" s="1"/>
      <c r="P252" s="1"/>
    </row>
    <row r="253" spans="1:41" x14ac:dyDescent="0.3">
      <c r="A253" s="1" t="s">
        <v>321</v>
      </c>
      <c r="B253" s="1" t="s">
        <v>2</v>
      </c>
      <c r="C253" s="10">
        <f>C247/C252</f>
        <v>1</v>
      </c>
      <c r="D253" s="10">
        <f>D248/D252</f>
        <v>0.6836283185840708</v>
      </c>
      <c r="E253" s="10">
        <f>E249/E252</f>
        <v>0.98907783768837276</v>
      </c>
      <c r="F253" s="10">
        <f>F250/F252</f>
        <v>0.91304347826086951</v>
      </c>
      <c r="G253" s="10">
        <f>G251/G252</f>
        <v>0.85621621621621624</v>
      </c>
      <c r="H253" s="10"/>
      <c r="I253" s="14">
        <f>(C247+D248+E249+F250+G251)/H252</f>
        <v>0.94864864864864862</v>
      </c>
      <c r="AN253" s="78"/>
      <c r="AO253" s="78"/>
    </row>
    <row r="254" spans="1:41" x14ac:dyDescent="0.3">
      <c r="B254" s="1" t="s">
        <v>14</v>
      </c>
      <c r="C254" s="11">
        <f>1-C253</f>
        <v>0</v>
      </c>
      <c r="D254" s="11">
        <f>1-D253</f>
        <v>0.3163716814159292</v>
      </c>
      <c r="E254" s="11">
        <f>1-E253</f>
        <v>1.0922162311627237E-2</v>
      </c>
      <c r="F254" s="11">
        <f>1-F253</f>
        <v>8.6956521739130488E-2</v>
      </c>
      <c r="G254" s="11">
        <f>1-G253</f>
        <v>0.14378378378378376</v>
      </c>
    </row>
    <row r="255" spans="1:41" x14ac:dyDescent="0.3">
      <c r="C255" s="2"/>
      <c r="AN255" s="78"/>
      <c r="AO255" s="78"/>
    </row>
    <row r="256" spans="1:41" ht="15.6" x14ac:dyDescent="0.35">
      <c r="A256" t="s">
        <v>322</v>
      </c>
      <c r="B256" s="15" t="s">
        <v>23</v>
      </c>
      <c r="N256" s="12" t="s">
        <v>17</v>
      </c>
      <c r="O256" s="1" t="s">
        <v>27</v>
      </c>
      <c r="P256" s="1" t="s">
        <v>33</v>
      </c>
    </row>
    <row r="257" spans="1:41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N257" s="78"/>
      <c r="AO257" s="78"/>
    </row>
    <row r="258" spans="1:41" x14ac:dyDescent="0.3">
      <c r="A258" t="s">
        <v>3</v>
      </c>
      <c r="B258" s="13">
        <v>0</v>
      </c>
      <c r="C258" s="29">
        <f>(C247/$L258)*$O258</f>
        <v>1.4289713770755406</v>
      </c>
      <c r="D258" s="31">
        <f>(D247/$L258)*$O258</f>
        <v>0</v>
      </c>
      <c r="E258" s="31">
        <f>(E247/$L258)*$O258</f>
        <v>0</v>
      </c>
      <c r="F258" s="31">
        <f>(F247/$L258)*$O258</f>
        <v>0</v>
      </c>
      <c r="G258" s="32">
        <f>(G247/$L258)*$O258</f>
        <v>0</v>
      </c>
      <c r="H258" s="17">
        <f>SUM(C258:G258)</f>
        <v>1.4289713770755406</v>
      </c>
      <c r="I258" s="17">
        <f>C258/H258*100</f>
        <v>100</v>
      </c>
      <c r="J258" s="17">
        <f>SQRT(I258*(100-I258)/(L258-1))</f>
        <v>0</v>
      </c>
      <c r="K258" s="18">
        <f>100-I258</f>
        <v>0</v>
      </c>
      <c r="L258" s="1">
        <f>H247</f>
        <v>169</v>
      </c>
      <c r="M258">
        <v>0</v>
      </c>
      <c r="N258" s="1">
        <v>2634.75</v>
      </c>
      <c r="O258" s="17">
        <f>N258/N263*100</f>
        <v>1.4289713770755406</v>
      </c>
      <c r="P258" s="52">
        <f>((O258*O258*(I258/100)*(K258/100))/(L258-1))</f>
        <v>0</v>
      </c>
    </row>
    <row r="259" spans="1:41" x14ac:dyDescent="0.3">
      <c r="A259" t="s">
        <v>4</v>
      </c>
      <c r="B259" s="13">
        <v>1</v>
      </c>
      <c r="C259" s="33">
        <f t="shared" ref="C259:G262" si="38">(C248/$L259)*$O259</f>
        <v>0</v>
      </c>
      <c r="D259" s="34">
        <f t="shared" si="38"/>
        <v>3.6883421901504212</v>
      </c>
      <c r="E259" s="19">
        <f t="shared" si="38"/>
        <v>0.32228232729469702</v>
      </c>
      <c r="F259" s="18">
        <f t="shared" si="38"/>
        <v>0</v>
      </c>
      <c r="G259" s="20">
        <f t="shared" si="38"/>
        <v>3.5809147477188559E-2</v>
      </c>
      <c r="H259" s="17">
        <f>SUM(C259:G259)</f>
        <v>4.0464336649223061</v>
      </c>
      <c r="I259" s="17">
        <f>D259/H259*100</f>
        <v>91.150442477876126</v>
      </c>
      <c r="J259" s="17">
        <f>SQRT(I259*(100-I259)/(L259-1))</f>
        <v>1.5448339983540103</v>
      </c>
      <c r="K259" s="18">
        <f>100-I259</f>
        <v>8.8495575221238738</v>
      </c>
      <c r="L259" s="1">
        <f>H248</f>
        <v>339</v>
      </c>
      <c r="M259">
        <v>1</v>
      </c>
      <c r="N259" s="1">
        <v>7460.85</v>
      </c>
      <c r="O259" s="17">
        <f>N259/N263*100</f>
        <v>4.0464336649223069</v>
      </c>
      <c r="P259" s="52">
        <f>((O259*O259*(I259/100)*(K259/100))/(L259-1))</f>
        <v>3.9075854861962368E-3</v>
      </c>
      <c r="AN259" s="78"/>
      <c r="AO259" s="78"/>
    </row>
    <row r="260" spans="1:41" x14ac:dyDescent="0.3">
      <c r="A260" t="s">
        <v>5</v>
      </c>
      <c r="B260" s="13">
        <v>2</v>
      </c>
      <c r="C260" s="33">
        <f t="shared" si="38"/>
        <v>0</v>
      </c>
      <c r="D260" s="19">
        <f t="shared" si="38"/>
        <v>1.1237296890830775</v>
      </c>
      <c r="E260" s="34">
        <f t="shared" si="38"/>
        <v>57.015334721278982</v>
      </c>
      <c r="F260" s="19">
        <f t="shared" si="38"/>
        <v>0.70930455552052407</v>
      </c>
      <c r="G260" s="20">
        <f t="shared" si="38"/>
        <v>0.1195457116045827</v>
      </c>
      <c r="H260" s="17">
        <f>SUM(C260:G260)</f>
        <v>58.967914677487165</v>
      </c>
      <c r="I260" s="17">
        <f>E260/H260*100</f>
        <v>96.688741721854313</v>
      </c>
      <c r="J260" s="17">
        <f>SQRT(I260*(100-I260)/(L260-1))</f>
        <v>0.20803064675796046</v>
      </c>
      <c r="K260" s="18">
        <f>100-I260</f>
        <v>3.3112582781456865</v>
      </c>
      <c r="L260" s="1">
        <f>H249</f>
        <v>7399</v>
      </c>
      <c r="M260">
        <v>2</v>
      </c>
      <c r="N260" s="1">
        <v>108725.56</v>
      </c>
      <c r="O260" s="17">
        <f>N260/N263*100</f>
        <v>58.967914677487165</v>
      </c>
      <c r="P260" s="52">
        <f>((O260*O260*(I260/100)*(K260/100))/(L260-1))</f>
        <v>1.5048256254835034E-2</v>
      </c>
    </row>
    <row r="261" spans="1:41" x14ac:dyDescent="0.3">
      <c r="A261" t="s">
        <v>6</v>
      </c>
      <c r="B261" s="13">
        <v>3</v>
      </c>
      <c r="C261" s="33">
        <f t="shared" si="38"/>
        <v>0</v>
      </c>
      <c r="D261" s="19">
        <f t="shared" si="38"/>
        <v>1.9172442860046313E-2</v>
      </c>
      <c r="E261" s="19">
        <f t="shared" si="38"/>
        <v>0.2780004214706715</v>
      </c>
      <c r="F261" s="34">
        <f t="shared" si="38"/>
        <v>23.553346053566894</v>
      </c>
      <c r="G261" s="20">
        <f t="shared" si="38"/>
        <v>1.1024154644526629</v>
      </c>
      <c r="H261" s="17">
        <f>SUM(C261:G261)</f>
        <v>24.952934382350275</v>
      </c>
      <c r="I261" s="17">
        <f>F261/H261*100</f>
        <v>94.391087207068765</v>
      </c>
      <c r="J261" s="17">
        <f>SQRT(I261*(100-I261)/(L261-1))</f>
        <v>0.45107752817412683</v>
      </c>
      <c r="K261" s="18">
        <f>100-I261</f>
        <v>5.6089127929312355</v>
      </c>
      <c r="L261" s="1">
        <f>H250</f>
        <v>2603</v>
      </c>
      <c r="M261">
        <v>3</v>
      </c>
      <c r="N261" s="1">
        <v>46008.44</v>
      </c>
      <c r="O261" s="17">
        <f>N261/N263*100</f>
        <v>24.952934382350275</v>
      </c>
      <c r="P261" s="52">
        <f>((O261*O261*(I261/100)*(K261/100))/(L261-1))</f>
        <v>1.2669096172316811E-2</v>
      </c>
      <c r="AN261" s="78"/>
      <c r="AO261" s="78"/>
    </row>
    <row r="262" spans="1:41" x14ac:dyDescent="0.3">
      <c r="A262" t="s">
        <v>7</v>
      </c>
      <c r="B262" s="13">
        <v>4</v>
      </c>
      <c r="C262" s="35">
        <f t="shared" si="38"/>
        <v>0</v>
      </c>
      <c r="D262" s="36">
        <f t="shared" si="38"/>
        <v>0</v>
      </c>
      <c r="E262" s="21">
        <f t="shared" si="38"/>
        <v>0.2540480788101962</v>
      </c>
      <c r="F262" s="21">
        <f t="shared" si="38"/>
        <v>1.601607453368628</v>
      </c>
      <c r="G262" s="37">
        <f t="shared" si="38"/>
        <v>8.7480903659858864</v>
      </c>
      <c r="H262" s="17">
        <f>SUM(C262:G262)</f>
        <v>10.603745898164711</v>
      </c>
      <c r="I262" s="17">
        <f>G262/H262*100</f>
        <v>82.5</v>
      </c>
      <c r="J262" s="17">
        <f>SQRT(I262*(100-I262)/(L262-1))</f>
        <v>1.226977771825857</v>
      </c>
      <c r="K262" s="18">
        <f>100-I262</f>
        <v>17.5</v>
      </c>
      <c r="L262" s="1">
        <f>H251</f>
        <v>960</v>
      </c>
      <c r="M262">
        <v>4</v>
      </c>
      <c r="N262" s="1">
        <v>19551.28</v>
      </c>
      <c r="O262" s="17">
        <f>N262/N263*100</f>
        <v>10.603745898164711</v>
      </c>
      <c r="P262" s="52">
        <f>((O262*O262*(I262/100)*(K262/100))/(L262-1))</f>
        <v>1.6927468491806031E-2</v>
      </c>
    </row>
    <row r="263" spans="1:41" x14ac:dyDescent="0.3">
      <c r="B263" t="s">
        <v>28</v>
      </c>
      <c r="C263" s="17">
        <f>SUM(C258:C262)</f>
        <v>1.4289713770755406</v>
      </c>
      <c r="D263" s="17">
        <f>SUM(D258:D262)</f>
        <v>4.8312443220935455</v>
      </c>
      <c r="E263" s="17">
        <f>SUM(E258:E262)</f>
        <v>57.869665548854542</v>
      </c>
      <c r="F263" s="17">
        <f>SUM(F258:F262)</f>
        <v>25.864258062456049</v>
      </c>
      <c r="G263" s="17">
        <f>SUM(G258:G262)</f>
        <v>10.00586068952032</v>
      </c>
      <c r="H263" s="1">
        <f>SUM(H257:H262)</f>
        <v>100</v>
      </c>
      <c r="I263" s="13" t="s">
        <v>24</v>
      </c>
      <c r="J263" s="12" t="s">
        <v>29</v>
      </c>
      <c r="N263" s="1">
        <f>SUM(N258:N262)</f>
        <v>184380.88</v>
      </c>
      <c r="O263" s="17">
        <f>SUM(O258:O262)</f>
        <v>100</v>
      </c>
      <c r="AM263" s="78"/>
      <c r="AN263" s="78"/>
      <c r="AO263" s="78"/>
    </row>
    <row r="264" spans="1:41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0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0.11342330300712884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0.15479301506536794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0.18239469204501696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0.16847968783397199</v>
      </c>
      <c r="H264" s="1"/>
      <c r="I264" s="56">
        <f>(C258+D259+E260+F261+G262)/H263</f>
        <v>0.94434084708057719</v>
      </c>
      <c r="J264" s="53">
        <f>SQRT(SUM(P258:P262))/100</f>
        <v>2.2034610594506569E-3</v>
      </c>
      <c r="M264" s="1"/>
      <c r="N264" s="9"/>
    </row>
    <row r="265" spans="1:41" x14ac:dyDescent="0.3">
      <c r="B265" s="1" t="s">
        <v>30</v>
      </c>
      <c r="C265" s="17">
        <f>C258/C263*100</f>
        <v>100</v>
      </c>
      <c r="D265" s="17">
        <f>D259/D263*100</f>
        <v>76.343524447385732</v>
      </c>
      <c r="E265" s="17">
        <f>E260/E263*100</f>
        <v>98.523698349605425</v>
      </c>
      <c r="F265" s="17">
        <f>F261/F263*100</f>
        <v>91.065229849977342</v>
      </c>
      <c r="G265" s="17">
        <f>G262/G263*100</f>
        <v>87.429663848390732</v>
      </c>
      <c r="H265" s="1"/>
      <c r="AM265" s="78"/>
      <c r="AN265" s="78"/>
      <c r="AO265" s="78"/>
    </row>
    <row r="266" spans="1:41" x14ac:dyDescent="0.3">
      <c r="B266" s="16" t="s">
        <v>39</v>
      </c>
      <c r="C266" s="18">
        <f>SQRT((C269+C270)/(C263*C263))</f>
        <v>0</v>
      </c>
      <c r="D266" s="18">
        <f>SQRT((D269+D270)/(D263*D263))</f>
        <v>3.4071693897811608</v>
      </c>
      <c r="E266" s="18">
        <f>SQRT((E269+E270)/(E263*E263))</f>
        <v>0.16389146424569018</v>
      </c>
      <c r="F266" s="18">
        <f>SQRT((F269+F270)/(F263*F263))</f>
        <v>0.63781328268859239</v>
      </c>
      <c r="G266" s="18">
        <f>SQRT((G269+G270)/(G263*G263))</f>
        <v>1.8836651913108433</v>
      </c>
      <c r="H266" s="1"/>
    </row>
    <row r="267" spans="1:41" x14ac:dyDescent="0.3">
      <c r="B267" s="1" t="s">
        <v>37</v>
      </c>
      <c r="C267" s="18">
        <f>100-C265</f>
        <v>0</v>
      </c>
      <c r="D267" s="18">
        <f>100-D265</f>
        <v>23.656475552614268</v>
      </c>
      <c r="E267" s="18">
        <f>100-E265</f>
        <v>1.4763016503945749</v>
      </c>
      <c r="F267" s="18">
        <f>100-F265</f>
        <v>8.9347701500226577</v>
      </c>
      <c r="G267" s="18">
        <f>100-G265</f>
        <v>12.570336151609268</v>
      </c>
      <c r="AM267" s="78"/>
      <c r="AN267" s="78"/>
      <c r="AO267" s="78"/>
    </row>
    <row r="268" spans="1:41" ht="15.6" x14ac:dyDescent="0.35">
      <c r="B268" s="1" t="s">
        <v>25</v>
      </c>
      <c r="C268" s="1">
        <f>C252</f>
        <v>169</v>
      </c>
      <c r="D268" s="1">
        <f>D252</f>
        <v>452</v>
      </c>
      <c r="E268" s="1">
        <f>E252</f>
        <v>7233</v>
      </c>
      <c r="F268" s="1">
        <f>F252</f>
        <v>2691</v>
      </c>
      <c r="G268" s="1">
        <f>G252</f>
        <v>925</v>
      </c>
    </row>
    <row r="269" spans="1:41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218.67975155358457</v>
      </c>
      <c r="E269" s="18">
        <f>(O260*O260*(100-E265)*(100-E265)*(I260)*(100-I260))/((L260-1)*100)</f>
        <v>3.2797171338232718</v>
      </c>
      <c r="F269" s="18">
        <f>(O261*O261*(100-F265)*(100-F265)*(I261)*(100-I261))/((L261-1)*100)</f>
        <v>101.13754377491642</v>
      </c>
      <c r="G269" s="18">
        <f>(O262*O262*(100-G265)*(100-G265)*(I262)*(100-I262))/((L262-1)*100)</f>
        <v>267.47660197354992</v>
      </c>
      <c r="AM269" s="78"/>
      <c r="AN269" s="78"/>
      <c r="AO269" s="78"/>
    </row>
    <row r="270" spans="1:41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52.280416148043194</v>
      </c>
      <c r="E270" s="18">
        <f>E265*E265*(SUM((H258*E258*(1-E247/H247))/(H247-1),(H259*E259*(1-E248/H248))/(H248-1), (H261*E261*(1-E250/H250))/(H250-1),(H262*E262*(1-E251/H251))/(H251-1)))</f>
        <v>86.673068191547642</v>
      </c>
      <c r="F270" s="18">
        <f>F265*F265*(SUM((H258*F258*(1-F247/H247))/(H247-1),(H259*F259*(1-F248/H248))/(H248-1), (H260*F260*(1-F249/H249))/(H249-1),(H262*F262*(1-F251/H251))/(H251-1)))</f>
        <v>170.99919019920378</v>
      </c>
      <c r="G270" s="18">
        <f>G265*G265*(SUM((H258*G258*(1-G247/H247))/(H247-1),(H259*G259*(1-G248/H248))/(H248-1), (H260*G260*(1-G249/H249))/(H249-1),(H261*G261*(1-G250/H250))/(H250-1)))</f>
        <v>87.758872526970009</v>
      </c>
    </row>
    <row r="271" spans="1:41" x14ac:dyDescent="0.3">
      <c r="AM271" s="78"/>
      <c r="AN271" s="78"/>
      <c r="AO271" s="78"/>
    </row>
    <row r="272" spans="1:41" x14ac:dyDescent="0.3">
      <c r="T272" s="2"/>
    </row>
    <row r="273" spans="1:41" x14ac:dyDescent="0.3">
      <c r="A273" s="361" t="s">
        <v>449</v>
      </c>
      <c r="B273" s="361"/>
      <c r="C273" s="361"/>
      <c r="D273" s="361"/>
      <c r="E273" s="361"/>
      <c r="F273" s="361"/>
      <c r="G273" s="361"/>
      <c r="H273" s="361"/>
      <c r="I273" s="361"/>
      <c r="J273" s="361"/>
      <c r="K273" s="361"/>
      <c r="L273" s="361" t="s">
        <v>87</v>
      </c>
      <c r="M273" s="361"/>
      <c r="N273" s="361"/>
      <c r="O273" s="361"/>
      <c r="P273" s="361"/>
      <c r="AM273" s="78"/>
      <c r="AN273" s="78"/>
      <c r="AO273" s="78"/>
    </row>
    <row r="274" spans="1:41" ht="15" thickBot="1" x14ac:dyDescent="0.35">
      <c r="A274" t="s">
        <v>320</v>
      </c>
      <c r="B274" t="s">
        <v>21</v>
      </c>
      <c r="I274" s="1" t="s">
        <v>58</v>
      </c>
      <c r="O274" s="143"/>
      <c r="P274" s="143"/>
      <c r="R274" s="59" t="s">
        <v>78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77</v>
      </c>
      <c r="AA274" s="12" t="s">
        <v>29</v>
      </c>
    </row>
    <row r="275" spans="1:41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56</v>
      </c>
      <c r="O275" s="13"/>
      <c r="P275" s="13"/>
      <c r="S275" t="s">
        <v>28</v>
      </c>
      <c r="T275" s="57">
        <f t="shared" ref="T275:X276" si="39">AVERAGE(T16,T26,T36,T46,T56)</f>
        <v>1.4130728114090867</v>
      </c>
      <c r="U275" s="57">
        <f t="shared" si="39"/>
        <v>4.8917819030407816</v>
      </c>
      <c r="V275" s="57">
        <f t="shared" si="39"/>
        <v>57.898599855052247</v>
      </c>
      <c r="W275" s="57">
        <f t="shared" si="39"/>
        <v>26.108824798973654</v>
      </c>
      <c r="X275" s="57">
        <f t="shared" si="39"/>
        <v>9.6877206315242308</v>
      </c>
      <c r="Z275" s="14">
        <f>AVERAGE(AE16,AE17,AE18,AE19,AE20)</f>
        <v>0.94485110457549248</v>
      </c>
      <c r="AA275" s="72">
        <f>AVERAGE(AF16,AF17,AF18,AF19,AF20)</f>
        <v>2.1871170683603366E-3</v>
      </c>
      <c r="AM275" s="78"/>
      <c r="AN275" s="78"/>
      <c r="AO275" s="78"/>
    </row>
    <row r="276" spans="1:41" x14ac:dyDescent="0.3">
      <c r="A276" t="s">
        <v>3</v>
      </c>
      <c r="B276" s="13">
        <v>0</v>
      </c>
      <c r="C276" s="26">
        <v>169</v>
      </c>
      <c r="D276" s="3">
        <v>0</v>
      </c>
      <c r="E276" s="3">
        <v>0</v>
      </c>
      <c r="F276" s="3">
        <v>0</v>
      </c>
      <c r="G276" s="4">
        <v>0</v>
      </c>
      <c r="H276" s="1">
        <f>SUM(C276:G276)</f>
        <v>169</v>
      </c>
      <c r="I276" s="10">
        <f>C276/H276</f>
        <v>1</v>
      </c>
      <c r="J276" s="11">
        <f>1-I276</f>
        <v>0</v>
      </c>
      <c r="K276">
        <f>H276-C281</f>
        <v>0</v>
      </c>
      <c r="N276" s="10">
        <f>2*(C282*I276)/(C282+I276)</f>
        <v>1</v>
      </c>
      <c r="O276" s="1"/>
      <c r="P276" s="1"/>
      <c r="S276" t="s">
        <v>39</v>
      </c>
      <c r="T276" s="57">
        <f t="shared" si="39"/>
        <v>0</v>
      </c>
      <c r="U276" s="57">
        <f t="shared" si="39"/>
        <v>0.11162857671286638</v>
      </c>
      <c r="V276" s="57">
        <f t="shared" si="39"/>
        <v>0.15256663126410094</v>
      </c>
      <c r="W276" s="57">
        <f t="shared" si="39"/>
        <v>0.18238766711231996</v>
      </c>
      <c r="X276" s="57">
        <f t="shared" si="39"/>
        <v>0.16714128425177374</v>
      </c>
    </row>
    <row r="277" spans="1:41" x14ac:dyDescent="0.3">
      <c r="A277" t="s">
        <v>4</v>
      </c>
      <c r="B277" s="13">
        <v>1</v>
      </c>
      <c r="C277" s="5">
        <v>0</v>
      </c>
      <c r="D277" s="27">
        <v>311</v>
      </c>
      <c r="E277" s="1">
        <v>25</v>
      </c>
      <c r="F277" s="1">
        <v>0</v>
      </c>
      <c r="G277" s="6">
        <v>3</v>
      </c>
      <c r="H277" s="1">
        <f>SUM(C277:G277)</f>
        <v>339</v>
      </c>
      <c r="I277" s="10">
        <f>D277/H277</f>
        <v>0.91740412979351027</v>
      </c>
      <c r="J277" s="11">
        <f>1-I277</f>
        <v>8.259587020648973E-2</v>
      </c>
      <c r="K277">
        <f>H277-D281</f>
        <v>-116</v>
      </c>
      <c r="N277" s="10">
        <f>2*(D282*I277)/(D282+I277)</f>
        <v>0.78337531486146095</v>
      </c>
      <c r="O277" s="1"/>
      <c r="P277" s="1"/>
      <c r="S277" s="66" t="s">
        <v>65</v>
      </c>
      <c r="T277" s="67">
        <f>1.96*T276</f>
        <v>0</v>
      </c>
      <c r="U277" s="67">
        <f>1.96*U276</f>
        <v>0.2187920103572181</v>
      </c>
      <c r="V277" s="67">
        <f>1.96*V276</f>
        <v>0.29903059727763787</v>
      </c>
      <c r="W277" s="67">
        <f>1.96*W276</f>
        <v>0.35747982754014712</v>
      </c>
      <c r="X277" s="67">
        <f>1.96*X276</f>
        <v>0.32759691713347655</v>
      </c>
      <c r="AM277" s="78"/>
      <c r="AN277" s="78"/>
      <c r="AO277" s="78"/>
    </row>
    <row r="278" spans="1:41" x14ac:dyDescent="0.3">
      <c r="A278" t="s">
        <v>5</v>
      </c>
      <c r="B278" s="13">
        <v>2</v>
      </c>
      <c r="C278" s="5">
        <v>0</v>
      </c>
      <c r="D278" s="1">
        <v>143</v>
      </c>
      <c r="E278" s="27">
        <v>7151</v>
      </c>
      <c r="F278" s="1">
        <v>91</v>
      </c>
      <c r="G278" s="6">
        <v>14</v>
      </c>
      <c r="H278" s="1">
        <f>SUM(C278:G278)</f>
        <v>7399</v>
      </c>
      <c r="I278" s="10">
        <f>E278/H278</f>
        <v>0.96648195702121908</v>
      </c>
      <c r="J278" s="11">
        <f>1-I278</f>
        <v>3.3518042978780915E-2</v>
      </c>
      <c r="K278">
        <f>H278-E281</f>
        <v>173</v>
      </c>
      <c r="N278" s="10">
        <f>2*(E282*I278)/(E282+I278)</f>
        <v>0.97791452991452987</v>
      </c>
      <c r="O278" s="1"/>
      <c r="P278" s="1"/>
      <c r="S278" t="s">
        <v>30</v>
      </c>
      <c r="T278" s="57">
        <f t="shared" ref="T278:X279" si="40">AVERAGE(T18,T28,T38,T48,T58)</f>
        <v>100</v>
      </c>
      <c r="U278" s="57">
        <f t="shared" si="40"/>
        <v>77.613015012570727</v>
      </c>
      <c r="V278" s="57">
        <f t="shared" si="40"/>
        <v>98.570130606311622</v>
      </c>
      <c r="W278" s="57">
        <f t="shared" si="40"/>
        <v>90.82685450237031</v>
      </c>
      <c r="X278" s="57">
        <f t="shared" si="40"/>
        <v>87.648634551807959</v>
      </c>
    </row>
    <row r="279" spans="1:41" x14ac:dyDescent="0.3">
      <c r="A279" t="s">
        <v>6</v>
      </c>
      <c r="B279" s="13">
        <v>3</v>
      </c>
      <c r="C279" s="5">
        <v>0</v>
      </c>
      <c r="D279" s="1">
        <v>1</v>
      </c>
      <c r="E279" s="1">
        <v>29</v>
      </c>
      <c r="F279" s="27">
        <v>2464</v>
      </c>
      <c r="G279" s="6">
        <v>109</v>
      </c>
      <c r="H279" s="1">
        <f>SUM(C279:G279)</f>
        <v>2603</v>
      </c>
      <c r="I279" s="10">
        <f>F279/H279</f>
        <v>0.94660007683442182</v>
      </c>
      <c r="J279" s="11">
        <f>1-I279</f>
        <v>5.3399923165578178E-2</v>
      </c>
      <c r="K279">
        <f>H279-F281</f>
        <v>-108</v>
      </c>
      <c r="N279" s="10">
        <f>2*(F282*I279)/(F282+I279)</f>
        <v>0.92736168611215641</v>
      </c>
      <c r="O279" s="1"/>
      <c r="P279" s="1"/>
      <c r="S279" t="s">
        <v>39</v>
      </c>
      <c r="T279" s="57">
        <f t="shared" si="40"/>
        <v>0</v>
      </c>
      <c r="U279" s="57">
        <f t="shared" si="40"/>
        <v>3.2159903297427506</v>
      </c>
      <c r="V279" s="57">
        <f t="shared" si="40"/>
        <v>0.1614272773619215</v>
      </c>
      <c r="W279" s="57">
        <f t="shared" si="40"/>
        <v>0.63699559309359421</v>
      </c>
      <c r="X279" s="57">
        <f t="shared" si="40"/>
        <v>1.9126034443371338</v>
      </c>
      <c r="AM279" s="78"/>
      <c r="AN279" s="78"/>
      <c r="AO279" s="78"/>
    </row>
    <row r="280" spans="1:41" x14ac:dyDescent="0.3">
      <c r="A280" t="s">
        <v>7</v>
      </c>
      <c r="B280" s="13">
        <v>4</v>
      </c>
      <c r="C280" s="7">
        <v>0</v>
      </c>
      <c r="D280" s="8">
        <v>0</v>
      </c>
      <c r="E280" s="8">
        <v>21</v>
      </c>
      <c r="F280" s="8">
        <v>156</v>
      </c>
      <c r="G280" s="28">
        <v>783</v>
      </c>
      <c r="H280" s="1">
        <f>SUM(C280:G280)</f>
        <v>960</v>
      </c>
      <c r="I280" s="10">
        <f>G280/H280</f>
        <v>0.81562500000000004</v>
      </c>
      <c r="J280" s="11">
        <f>1-I280</f>
        <v>0.18437499999999996</v>
      </c>
      <c r="K280">
        <f>H280-G281</f>
        <v>51</v>
      </c>
      <c r="N280" s="10">
        <f>2*(G282*I280)/(G282+I280)</f>
        <v>0.8378812199036918</v>
      </c>
      <c r="O280" s="1"/>
      <c r="P280" s="1"/>
      <c r="S280" s="66" t="s">
        <v>65</v>
      </c>
      <c r="T280" s="67">
        <f>1.96*T279</f>
        <v>0</v>
      </c>
      <c r="U280" s="67">
        <f>1.96*U279</f>
        <v>6.3033410462957908</v>
      </c>
      <c r="V280" s="67">
        <f>1.96*V279</f>
        <v>0.31639746362936616</v>
      </c>
      <c r="W280" s="67">
        <f>1.96*W279</f>
        <v>1.2485113624634447</v>
      </c>
      <c r="X280" s="67">
        <f>1.96*X279</f>
        <v>3.7487027509007822</v>
      </c>
    </row>
    <row r="281" spans="1:41" ht="15.6" x14ac:dyDescent="0.35">
      <c r="B281" s="1" t="s">
        <v>19</v>
      </c>
      <c r="C281" s="1">
        <f>SUM(C276:C280)</f>
        <v>169</v>
      </c>
      <c r="D281" s="1">
        <f>SUM(D276:D280)</f>
        <v>455</v>
      </c>
      <c r="E281" s="1">
        <f>SUM(E276:E280)</f>
        <v>7226</v>
      </c>
      <c r="F281" s="1">
        <f>SUM(F276:F280)</f>
        <v>2711</v>
      </c>
      <c r="G281" s="1">
        <f>SUM(G276:G280)</f>
        <v>909</v>
      </c>
      <c r="H281" s="1">
        <f>SUM(H275:H280)</f>
        <v>11470</v>
      </c>
      <c r="I281" s="13" t="s">
        <v>12</v>
      </c>
      <c r="N281" s="16"/>
      <c r="O281" s="1"/>
      <c r="P281" s="1"/>
      <c r="S281" t="s">
        <v>31</v>
      </c>
      <c r="T281" s="57">
        <f t="shared" ref="T281:X282" si="41">AVERAGE(T20,T30,T40,T50,T60)</f>
        <v>100</v>
      </c>
      <c r="U281" s="57">
        <f t="shared" si="41"/>
        <v>91.622418879056042</v>
      </c>
      <c r="V281" s="57">
        <f t="shared" si="41"/>
        <v>96.788755237194209</v>
      </c>
      <c r="W281" s="57">
        <f t="shared" si="41"/>
        <v>94.583173261621212</v>
      </c>
      <c r="X281" s="57">
        <f t="shared" si="41"/>
        <v>81.583333333333329</v>
      </c>
      <c r="AM281" s="78"/>
      <c r="AN281" s="78"/>
      <c r="AO281" s="78"/>
    </row>
    <row r="282" spans="1:41" x14ac:dyDescent="0.3">
      <c r="A282" s="1" t="s">
        <v>321</v>
      </c>
      <c r="B282" s="1" t="s">
        <v>2</v>
      </c>
      <c r="C282" s="10">
        <f>C276/C281</f>
        <v>1</v>
      </c>
      <c r="D282" s="10">
        <f>D277/D281</f>
        <v>0.68351648351648353</v>
      </c>
      <c r="E282" s="10">
        <f>E278/E281</f>
        <v>0.98962081372820376</v>
      </c>
      <c r="F282" s="10">
        <f>F279/F281</f>
        <v>0.90888970859461449</v>
      </c>
      <c r="G282" s="10">
        <f>G280/G281</f>
        <v>0.86138613861386137</v>
      </c>
      <c r="H282" s="10"/>
      <c r="I282" s="14">
        <f>(C276+D277+E278+F279+G280)/H281</f>
        <v>0.94838709677419353</v>
      </c>
      <c r="S282" t="s">
        <v>39</v>
      </c>
      <c r="T282" s="57">
        <f t="shared" si="41"/>
        <v>0</v>
      </c>
      <c r="U282" s="57">
        <f t="shared" si="41"/>
        <v>1.5038450920070399</v>
      </c>
      <c r="V282" s="57">
        <f t="shared" si="41"/>
        <v>0.20493954722408686</v>
      </c>
      <c r="W282" s="57">
        <f t="shared" si="41"/>
        <v>0.44358834128355679</v>
      </c>
      <c r="X282" s="57">
        <f t="shared" si="41"/>
        <v>1.2516137595318297</v>
      </c>
    </row>
    <row r="283" spans="1:41" x14ac:dyDescent="0.3">
      <c r="B283" s="1" t="s">
        <v>14</v>
      </c>
      <c r="C283" s="11">
        <f>1-C282</f>
        <v>0</v>
      </c>
      <c r="D283" s="11">
        <f>1-D282</f>
        <v>0.31648351648351647</v>
      </c>
      <c r="E283" s="11">
        <f>1-E282</f>
        <v>1.0379186271796237E-2</v>
      </c>
      <c r="F283" s="11">
        <f>1-F282</f>
        <v>9.1110291405385513E-2</v>
      </c>
      <c r="G283" s="11">
        <f>1-G282</f>
        <v>0.13861386138613863</v>
      </c>
      <c r="S283" s="66" t="s">
        <v>65</v>
      </c>
      <c r="T283" s="67">
        <f>1.96*T282</f>
        <v>0</v>
      </c>
      <c r="U283" s="67">
        <f>1.96*U282</f>
        <v>2.9475363803337982</v>
      </c>
      <c r="V283" s="67">
        <f>1.96*V282</f>
        <v>0.40168151255921025</v>
      </c>
      <c r="W283" s="67">
        <f>1.96*W282</f>
        <v>0.86943314891577128</v>
      </c>
      <c r="X283" s="67">
        <f>1.96*X282</f>
        <v>2.4531629686823861</v>
      </c>
      <c r="AM283" s="78"/>
      <c r="AN283" s="78"/>
      <c r="AO283" s="78"/>
    </row>
    <row r="284" spans="1:41" x14ac:dyDescent="0.3">
      <c r="C284" s="2"/>
      <c r="S284" t="s">
        <v>56</v>
      </c>
      <c r="T284" s="57">
        <f>AVERAGE(T22,T32,T42,T52,T62)</f>
        <v>100</v>
      </c>
      <c r="U284" s="57">
        <f>AVERAGE(U22,U32,U42,U52,U62)</f>
        <v>78.976333926765648</v>
      </c>
      <c r="V284" s="57">
        <f>AVERAGE(V22,V32,V42,V52,V62)</f>
        <v>97.854707825013222</v>
      </c>
      <c r="W284" s="57">
        <f>AVERAGE(W22,W32,W42,W52,W62)</f>
        <v>92.741093677314666</v>
      </c>
      <c r="X284" s="57">
        <f>AVERAGE(X22,X32,X42,X52,X62)</f>
        <v>83.800668661796166</v>
      </c>
    </row>
    <row r="285" spans="1:41" ht="15.6" x14ac:dyDescent="0.35">
      <c r="A285" t="s">
        <v>322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</v>
      </c>
      <c r="U285" s="57">
        <f>_xlfn.STDEV.S(U22,U32,U42,U52,U62)</f>
        <v>1.1999579762058719</v>
      </c>
      <c r="V285" s="57">
        <f>_xlfn.STDEV.S(V22,V32,V42,V52,V62)</f>
        <v>7.7738547880868702E-2</v>
      </c>
      <c r="W285" s="57">
        <f>_xlfn.STDEV.S(W22,W32,W42,W52,W62)</f>
        <v>0.10070902872140126</v>
      </c>
      <c r="X285" s="57">
        <f>_xlfn.STDEV.S(X22,X32,X42,X52,X62)</f>
        <v>0.2884140228244883</v>
      </c>
      <c r="AM285" s="78"/>
      <c r="AN285" s="78"/>
      <c r="AO285" s="78"/>
    </row>
    <row r="286" spans="1:41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65</v>
      </c>
      <c r="T286" s="67">
        <f>1.96*T285</f>
        <v>0</v>
      </c>
      <c r="U286" s="67">
        <f>1.96*U285</f>
        <v>2.351917633363509</v>
      </c>
      <c r="V286" s="67">
        <f>1.96*V285</f>
        <v>0.15236755384650266</v>
      </c>
      <c r="W286" s="67">
        <f>1.96*W285</f>
        <v>0.19738969629394648</v>
      </c>
      <c r="X286" s="67">
        <f>1.96*X285</f>
        <v>0.56529148473599711</v>
      </c>
    </row>
    <row r="287" spans="1:41" x14ac:dyDescent="0.3">
      <c r="A287" t="s">
        <v>3</v>
      </c>
      <c r="B287" s="13">
        <v>0</v>
      </c>
      <c r="C287" s="29">
        <f>(C276/$L287)*$O287</f>
        <v>1.4160308496212215</v>
      </c>
      <c r="D287" s="31">
        <f>(D276/$L287)*$O287</f>
        <v>0</v>
      </c>
      <c r="E287" s="31">
        <f>(E276/$L287)*$O287</f>
        <v>0</v>
      </c>
      <c r="F287" s="31">
        <f>(F276/$L287)*$O287</f>
        <v>0</v>
      </c>
      <c r="G287" s="32">
        <f>(G276/$L287)*$O287</f>
        <v>0</v>
      </c>
      <c r="H287" s="17">
        <f>SUM(C287:G287)</f>
        <v>1.4160308496212215</v>
      </c>
      <c r="I287" s="17">
        <f>C287/H287*100</f>
        <v>100</v>
      </c>
      <c r="J287" s="17">
        <f>SQRT(I287*(100-I287)/(L287-1))</f>
        <v>0</v>
      </c>
      <c r="K287" s="18">
        <f>100-I287</f>
        <v>0</v>
      </c>
      <c r="L287" s="1">
        <f>H276</f>
        <v>169</v>
      </c>
      <c r="M287">
        <v>0</v>
      </c>
      <c r="N287" s="1">
        <v>2610.89</v>
      </c>
      <c r="O287" s="17">
        <f>N287/N292*100</f>
        <v>1.4160308496212215</v>
      </c>
      <c r="P287" s="52">
        <f>((O287*O287*(I287/100)*(K287/100))/(L287-1))</f>
        <v>0</v>
      </c>
      <c r="R287" s="16" t="s">
        <v>75</v>
      </c>
      <c r="S287" t="s">
        <v>9</v>
      </c>
      <c r="T287" s="57">
        <f>AVERAGE(T23,T33,T43,T53,T63)</f>
        <v>2605.4360000000001</v>
      </c>
      <c r="U287" s="57">
        <f>AVERAGE(U23,U33,U43,U53,U63)</f>
        <v>7640.0779999999995</v>
      </c>
      <c r="V287" s="57">
        <f>AVERAGE(V23,V33,V43,V53,V63)</f>
        <v>108718.48000000001</v>
      </c>
      <c r="W287" s="57">
        <f>AVERAGE(W23,W33,W43,W53,W63)</f>
        <v>46227.24</v>
      </c>
      <c r="X287" s="57">
        <f>AVERAGE(X23,X33,X43,X53,X63)</f>
        <v>19189.64</v>
      </c>
      <c r="Z287" t="s">
        <v>36</v>
      </c>
      <c r="AA287" s="57">
        <f>AVERAGE(AA23,AA33,AA43,AA53,AA63)</f>
        <v>184380.87400000001</v>
      </c>
      <c r="AM287" s="78"/>
      <c r="AN287" s="78"/>
      <c r="AO287" s="78"/>
    </row>
    <row r="288" spans="1:41" x14ac:dyDescent="0.3">
      <c r="A288" t="s">
        <v>4</v>
      </c>
      <c r="B288" s="13">
        <v>1</v>
      </c>
      <c r="C288" s="33">
        <f t="shared" ref="C288:G291" si="42">(C277/$L288)*$O288</f>
        <v>0</v>
      </c>
      <c r="D288" s="34">
        <f t="shared" si="42"/>
        <v>3.8646673199549619</v>
      </c>
      <c r="E288" s="19">
        <f t="shared" si="42"/>
        <v>0.31066457555908056</v>
      </c>
      <c r="F288" s="18">
        <f t="shared" si="42"/>
        <v>0</v>
      </c>
      <c r="G288" s="20">
        <f t="shared" si="42"/>
        <v>3.7279749067089668E-2</v>
      </c>
      <c r="H288" s="17">
        <f>SUM(C288:G288)</f>
        <v>4.2126116445811324</v>
      </c>
      <c r="I288" s="17">
        <f>D288/H288*100</f>
        <v>91.740412979351021</v>
      </c>
      <c r="J288" s="17">
        <f>SQRT(I288*(100-I288)/(L288-1))</f>
        <v>1.4972735816949063</v>
      </c>
      <c r="K288" s="18">
        <f>100-I288</f>
        <v>8.2595870206489792</v>
      </c>
      <c r="L288" s="1">
        <f>H277</f>
        <v>339</v>
      </c>
      <c r="M288">
        <v>1</v>
      </c>
      <c r="N288" s="1">
        <v>7767.25</v>
      </c>
      <c r="O288" s="17">
        <f>N288/N292*100</f>
        <v>4.2126116445811324</v>
      </c>
      <c r="P288" s="52">
        <f>((O288*O288*(I288/100)*(K288/100))/(L288-1))</f>
        <v>3.9783700016170469E-3</v>
      </c>
      <c r="S288" t="s">
        <v>29</v>
      </c>
      <c r="T288" s="57">
        <f>_xlfn.STDEV.S(T23,T33,T43,T53,T63)</f>
        <v>14.893323336314113</v>
      </c>
      <c r="U288" s="57">
        <f>_xlfn.STDEV.S(U23,U33,U43,U53,U63)</f>
        <v>118.04235837189945</v>
      </c>
      <c r="V288" s="57">
        <f>_xlfn.STDEV.S(V23,V33,V43,V53,V63)</f>
        <v>333.32985194848482</v>
      </c>
      <c r="W288" s="57">
        <f>_xlfn.STDEV.S(W23,W33,W43,W53,W63)</f>
        <v>243.92549876960362</v>
      </c>
      <c r="X288" s="57">
        <f>_xlfn.STDEV.S(X23,X33,X43,X53,X63)</f>
        <v>285.40157979590759</v>
      </c>
      <c r="Z288" t="s">
        <v>29</v>
      </c>
      <c r="AA288" s="57">
        <f>_xlfn.STDEV.S(AA23,AA33,AA43,AA53,AA63)</f>
        <v>5.477225580152725E-3</v>
      </c>
    </row>
    <row r="289" spans="1:41" x14ac:dyDescent="0.3">
      <c r="A289" t="s">
        <v>5</v>
      </c>
      <c r="B289" s="13">
        <v>2</v>
      </c>
      <c r="C289" s="33">
        <f t="shared" si="42"/>
        <v>0</v>
      </c>
      <c r="D289" s="19">
        <f t="shared" si="42"/>
        <v>1.1371357670571425</v>
      </c>
      <c r="E289" s="34">
        <f t="shared" si="42"/>
        <v>56.86474035122815</v>
      </c>
      <c r="F289" s="19">
        <f t="shared" si="42"/>
        <v>0.7236318517636362</v>
      </c>
      <c r="G289" s="20">
        <f t="shared" si="42"/>
        <v>0.11132797719440556</v>
      </c>
      <c r="H289" s="17">
        <f>SUM(C289:G289)</f>
        <v>58.836835947243337</v>
      </c>
      <c r="I289" s="17">
        <f>E289/H289*100</f>
        <v>96.64819570212191</v>
      </c>
      <c r="J289" s="17">
        <f>SQRT(I289*(100-I289)/(L289-1))</f>
        <v>0.20925653928721077</v>
      </c>
      <c r="K289" s="18">
        <f>100-I289</f>
        <v>3.3518042978780898</v>
      </c>
      <c r="L289" s="1">
        <f>H278</f>
        <v>7399</v>
      </c>
      <c r="M289">
        <v>2</v>
      </c>
      <c r="N289" s="1">
        <v>108483.87</v>
      </c>
      <c r="O289" s="17">
        <f>N289/N292*100</f>
        <v>58.836835947243337</v>
      </c>
      <c r="P289" s="52">
        <f>((O289*O289*(I289/100)*(K289/100))/(L289-1))</f>
        <v>1.5158516357826968E-2</v>
      </c>
      <c r="S289" t="s">
        <v>65</v>
      </c>
      <c r="T289" s="57">
        <f>1.96*T288</f>
        <v>29.190913739175659</v>
      </c>
      <c r="U289" s="57">
        <f>1.96*U288</f>
        <v>231.36302240892292</v>
      </c>
      <c r="V289" s="57">
        <f>1.96*V288</f>
        <v>653.32650981903021</v>
      </c>
      <c r="W289" s="57">
        <f>1.96*W288</f>
        <v>478.09397758842312</v>
      </c>
      <c r="X289" s="57">
        <f>1.96*X288</f>
        <v>559.38709639997887</v>
      </c>
      <c r="AM289" s="78"/>
      <c r="AN289" s="78"/>
      <c r="AO289" s="78"/>
    </row>
    <row r="290" spans="1:41" x14ac:dyDescent="0.3">
      <c r="A290" t="s">
        <v>6</v>
      </c>
      <c r="B290" s="13">
        <v>3</v>
      </c>
      <c r="C290" s="33">
        <f t="shared" si="42"/>
        <v>0</v>
      </c>
      <c r="D290" s="19">
        <f t="shared" si="42"/>
        <v>9.7342998260313163E-3</v>
      </c>
      <c r="E290" s="19">
        <f t="shared" si="42"/>
        <v>0.28229469495490811</v>
      </c>
      <c r="F290" s="34">
        <f t="shared" si="42"/>
        <v>23.985314771341162</v>
      </c>
      <c r="G290" s="20">
        <f t="shared" si="42"/>
        <v>1.0610386810374133</v>
      </c>
      <c r="H290" s="17">
        <f>SUM(C290:G290)</f>
        <v>25.338382447159514</v>
      </c>
      <c r="I290" s="17">
        <f>F290/H290*100</f>
        <v>94.660007683442188</v>
      </c>
      <c r="J290" s="17">
        <f>SQRT(I290*(100-I290)/(L290-1))</f>
        <v>0.44075772996486801</v>
      </c>
      <c r="K290" s="18">
        <f>100-I290</f>
        <v>5.3399923165578116</v>
      </c>
      <c r="L290" s="1">
        <f>H279</f>
        <v>2603</v>
      </c>
      <c r="M290">
        <v>3</v>
      </c>
      <c r="N290" s="1">
        <v>46719.13</v>
      </c>
      <c r="O290" s="17">
        <f>N290/N292*100</f>
        <v>25.338382447159514</v>
      </c>
      <c r="P290" s="52">
        <f>((O290*O290*(I290/100)*(K290/100))/(L290-1))</f>
        <v>1.2472618797628805E-2</v>
      </c>
      <c r="R290" s="16" t="s">
        <v>74</v>
      </c>
      <c r="S290" t="s">
        <v>9</v>
      </c>
      <c r="T290" s="57">
        <f>AVERAGE(T24,T34,T44,T54,T64)</f>
        <v>2605.4360000000001</v>
      </c>
      <c r="U290" s="57">
        <f>AVERAGE(U24,U34,U44,U54,U64)</f>
        <v>9019.5102270078623</v>
      </c>
      <c r="V290" s="57">
        <f>AVERAGE(V24,V34,V44,V54,V64)</f>
        <v>106753.94444968508</v>
      </c>
      <c r="W290" s="57">
        <f>AVERAGE(W24,W34,W44,W54,W64)</f>
        <v>48139.679353984153</v>
      </c>
      <c r="X290" s="57">
        <f>AVERAGE(X24,X34,X44,X54,X64)</f>
        <v>17862.303969322918</v>
      </c>
      <c r="Z290" t="s">
        <v>36</v>
      </c>
      <c r="AA290" s="24">
        <f>SUM(T290:X290)</f>
        <v>184380.87400000001</v>
      </c>
    </row>
    <row r="291" spans="1:41" x14ac:dyDescent="0.3">
      <c r="A291" t="s">
        <v>7</v>
      </c>
      <c r="B291" s="13">
        <v>4</v>
      </c>
      <c r="C291" s="35">
        <f t="shared" si="42"/>
        <v>0</v>
      </c>
      <c r="D291" s="36">
        <f t="shared" si="42"/>
        <v>0</v>
      </c>
      <c r="E291" s="21">
        <f t="shared" si="42"/>
        <v>0.22304054306176122</v>
      </c>
      <c r="F291" s="21">
        <f t="shared" si="42"/>
        <v>1.6568726056016549</v>
      </c>
      <c r="G291" s="37">
        <f t="shared" si="42"/>
        <v>8.3162259627313837</v>
      </c>
      <c r="H291" s="17">
        <f>SUM(C291:G291)</f>
        <v>10.1961391113948</v>
      </c>
      <c r="I291" s="17">
        <f>G291/H291*100</f>
        <v>81.5625</v>
      </c>
      <c r="J291" s="17">
        <f>SQRT(I291*(100-I291)/(L291-1))</f>
        <v>1.2522382853953165</v>
      </c>
      <c r="K291" s="18">
        <f>100-I291</f>
        <v>18.4375</v>
      </c>
      <c r="L291" s="1">
        <f>H280</f>
        <v>960</v>
      </c>
      <c r="M291">
        <v>4</v>
      </c>
      <c r="N291" s="1">
        <v>18799.73</v>
      </c>
      <c r="O291" s="17">
        <f>N291/N292*100</f>
        <v>10.1961391113948</v>
      </c>
      <c r="P291" s="52">
        <f>((O291*O291*(I291/100)*(K291/100))/(L291-1))</f>
        <v>1.630217156892055E-2</v>
      </c>
      <c r="S291" t="s">
        <v>29</v>
      </c>
      <c r="T291" s="57">
        <f>_xlfn.STDEV.S(T24,T34,T44,T54,T64)</f>
        <v>14.893323336314094</v>
      </c>
      <c r="U291" s="57">
        <f>_xlfn.STDEV.S(U24,U34,U44,U54,U64)</f>
        <v>140.06668693776521</v>
      </c>
      <c r="V291" s="57">
        <f>_xlfn.STDEV.S(V24,V34,V44,V54,V64)</f>
        <v>418.08000061036006</v>
      </c>
      <c r="W291" s="57">
        <f>_xlfn.STDEV.S(W24,W34,W44,W54,W64)</f>
        <v>386.32588461593724</v>
      </c>
      <c r="X291" s="57">
        <f>_xlfn.STDEV.S(X24,X34,X44,X54,X64)</f>
        <v>317.91883600898376</v>
      </c>
      <c r="AM291" s="78"/>
      <c r="AN291" s="78"/>
      <c r="AO291" s="78"/>
    </row>
    <row r="292" spans="1:41" x14ac:dyDescent="0.3">
      <c r="B292" t="s">
        <v>28</v>
      </c>
      <c r="C292" s="17">
        <f>SUM(C287:C291)</f>
        <v>1.4160308496212215</v>
      </c>
      <c r="D292" s="17">
        <f>SUM(D287:D291)</f>
        <v>5.0115373868381363</v>
      </c>
      <c r="E292" s="17">
        <f>SUM(E287:E291)</f>
        <v>57.6807401648039</v>
      </c>
      <c r="F292" s="17">
        <f>SUM(F287:F291)</f>
        <v>26.365819228706453</v>
      </c>
      <c r="G292" s="17">
        <f>SUM(G287:G291)</f>
        <v>9.5258723700302923</v>
      </c>
      <c r="H292" s="1">
        <f>SUM(H286:H291)</f>
        <v>100.00000000000001</v>
      </c>
      <c r="I292" s="13" t="s">
        <v>24</v>
      </c>
      <c r="J292" s="12" t="s">
        <v>29</v>
      </c>
      <c r="N292" s="1">
        <f>SUM(N287:N291)</f>
        <v>184380.87</v>
      </c>
      <c r="O292" s="17">
        <f>SUM(O287:O291)</f>
        <v>100.00000000000001</v>
      </c>
      <c r="S292" s="66" t="s">
        <v>65</v>
      </c>
      <c r="T292" s="67">
        <f>1.96*T291</f>
        <v>29.190913739175624</v>
      </c>
      <c r="U292" s="67">
        <f>1.96*U291</f>
        <v>274.53070639801979</v>
      </c>
      <c r="V292" s="67">
        <f>1.96*V291</f>
        <v>819.43680119630574</v>
      </c>
      <c r="W292" s="67">
        <f>1.96*W291</f>
        <v>757.19873384723701</v>
      </c>
      <c r="X292" s="67">
        <f>1.96*X291</f>
        <v>623.12091857760811</v>
      </c>
    </row>
    <row r="293" spans="1:41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0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0.11370616738260693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0.15416447218302004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0.1813542691599018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0.16590335050429922</v>
      </c>
      <c r="H293" s="1"/>
      <c r="I293" s="56">
        <f>(C287+D288+E289+F290+G291)/H292</f>
        <v>0.94446979254876862</v>
      </c>
      <c r="J293" s="53">
        <f>SQRT(SUM(P287:P291))/100</f>
        <v>2.188873608182834E-3</v>
      </c>
      <c r="M293" s="1"/>
      <c r="N293" s="9"/>
      <c r="AM293" s="78"/>
      <c r="AN293" s="78"/>
      <c r="AO293" s="78"/>
    </row>
    <row r="294" spans="1:41" x14ac:dyDescent="0.3">
      <c r="B294" s="1" t="s">
        <v>30</v>
      </c>
      <c r="C294" s="17">
        <f>C287/C292*100</f>
        <v>100</v>
      </c>
      <c r="D294" s="17">
        <f>D288/D292*100</f>
        <v>77.115404348868793</v>
      </c>
      <c r="E294" s="17">
        <f>E289/E292*100</f>
        <v>98.585316673738404</v>
      </c>
      <c r="F294" s="17">
        <f>F290/F292*100</f>
        <v>90.971247899729761</v>
      </c>
      <c r="G294" s="17">
        <f>G291/G292*100</f>
        <v>87.301463211866846</v>
      </c>
      <c r="H294" s="1"/>
    </row>
    <row r="295" spans="1:41" x14ac:dyDescent="0.3">
      <c r="B295" s="16" t="s">
        <v>39</v>
      </c>
      <c r="C295" s="18">
        <f>SQRT((C298+C299)/(C292*C292))</f>
        <v>0</v>
      </c>
      <c r="D295" s="18">
        <f>SQRT((D298+D299)/(D292*D292))</f>
        <v>3.2276983715525027</v>
      </c>
      <c r="E295" s="18">
        <f>SQRT((E298+E299)/(E292*E292))</f>
        <v>0.16157071657070068</v>
      </c>
      <c r="F295" s="18">
        <f>SQRT((F298+F299)/(F292*F292))</f>
        <v>0.62415561210396953</v>
      </c>
      <c r="G295" s="18">
        <f>SQRT((G298+G299)/(G292*G292))</f>
        <v>1.9599395246537838</v>
      </c>
      <c r="H295" s="1"/>
      <c r="AM295" s="78"/>
      <c r="AN295" s="78"/>
      <c r="AO295" s="78"/>
    </row>
    <row r="296" spans="1:41" x14ac:dyDescent="0.3">
      <c r="B296" s="1" t="s">
        <v>37</v>
      </c>
      <c r="C296" s="18">
        <f>100-C294</f>
        <v>0</v>
      </c>
      <c r="D296" s="18">
        <f>100-D294</f>
        <v>22.884595651131207</v>
      </c>
      <c r="E296" s="18">
        <f>100-E294</f>
        <v>1.4146833262615957</v>
      </c>
      <c r="F296" s="18">
        <f>100-F294</f>
        <v>9.0287521002702391</v>
      </c>
      <c r="G296" s="18">
        <f>100-G294</f>
        <v>12.698536788133154</v>
      </c>
    </row>
    <row r="297" spans="1:41" ht="15.6" x14ac:dyDescent="0.35">
      <c r="B297" s="1" t="s">
        <v>25</v>
      </c>
      <c r="C297" s="1">
        <f>C281</f>
        <v>169</v>
      </c>
      <c r="D297" s="1">
        <f>D281</f>
        <v>455</v>
      </c>
      <c r="E297" s="1">
        <f>E281</f>
        <v>7226</v>
      </c>
      <c r="F297" s="1">
        <f>F281</f>
        <v>2711</v>
      </c>
      <c r="G297" s="1">
        <f>G281</f>
        <v>909</v>
      </c>
      <c r="AM297" s="78"/>
      <c r="AN297" s="78"/>
      <c r="AO297" s="78"/>
    </row>
    <row r="298" spans="1:41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208.34911402571049</v>
      </c>
      <c r="E298" s="18">
        <f>(O289*O289*(100-E294)*(100-E294)*(I289)*(100-I289))/((L289-1)*100)</f>
        <v>3.033717707423667</v>
      </c>
      <c r="F298" s="18">
        <f>(O290*O290*(100-F294)*(100-F294)*(I290)*(100-I290))/((L290-1)*100)</f>
        <v>101.67474852666599</v>
      </c>
      <c r="G298" s="18">
        <f>(O291*O291*(100-G294)*(100-G294)*(I291)*(100-I291))/((L291-1)*100)</f>
        <v>262.87714075692321</v>
      </c>
    </row>
    <row r="299" spans="1:41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53.305161379709027</v>
      </c>
      <c r="E299" s="18">
        <f>E294*E294*(SUM((H287*E287*(1-E276/H276))/(H276-1),(H288*E288*(1-E277/H277))/(H277-1), (H290*E290*(1-E279/H279))/(H279-1),(H291*E291*(1-E280/H280))/(H280-1)))</f>
        <v>83.819707751285989</v>
      </c>
      <c r="F299" s="18">
        <f>F294*F294*(SUM((H287*F287*(1-F276/H276))/(H276-1),(H288*F288*(1-F277/H277))/(H277-1), (H289*F289*(1-F278/H278))/(H278-1),(H291*F291*(1-F280/H280))/(H280-1)))</f>
        <v>169.1374979952038</v>
      </c>
      <c r="G299" s="18">
        <f>G294*G294*(SUM((H287*G287*(1-G276/H276))/(H276-1),(H288*G288*(1-G277/H277))/(H277-1), (H289*G289*(1-G278/H278))/(H278-1),(H290*G290*(1-G279/H279))/(H279-1)))</f>
        <v>85.696754039714023</v>
      </c>
      <c r="AM299" s="78"/>
      <c r="AN299" s="78"/>
      <c r="AO299" s="78"/>
    </row>
    <row r="301" spans="1:41" x14ac:dyDescent="0.3">
      <c r="AM301" s="78"/>
      <c r="AN301" s="78"/>
      <c r="AO301" s="78"/>
    </row>
    <row r="302" spans="1:41" x14ac:dyDescent="0.3">
      <c r="A302" s="361" t="s">
        <v>449</v>
      </c>
      <c r="B302" s="361"/>
      <c r="C302" s="361"/>
      <c r="D302" s="361"/>
      <c r="E302" s="361"/>
      <c r="F302" s="361"/>
      <c r="G302" s="361"/>
      <c r="H302" s="361"/>
      <c r="I302" s="361"/>
      <c r="J302" s="361"/>
      <c r="K302" s="361"/>
      <c r="L302" s="361" t="s">
        <v>88</v>
      </c>
      <c r="M302" s="361"/>
      <c r="N302" s="361"/>
      <c r="O302" s="361"/>
      <c r="P302" s="361"/>
    </row>
    <row r="303" spans="1:41" x14ac:dyDescent="0.3">
      <c r="A303" t="s">
        <v>320</v>
      </c>
      <c r="B303" t="s">
        <v>21</v>
      </c>
      <c r="I303" s="1" t="s">
        <v>58</v>
      </c>
      <c r="O303" s="143"/>
      <c r="P303" s="143"/>
      <c r="AM303" s="78"/>
      <c r="AN303" s="78"/>
      <c r="AO303" s="78"/>
    </row>
    <row r="304" spans="1:41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56</v>
      </c>
      <c r="O304" s="13"/>
      <c r="P304" s="13"/>
    </row>
    <row r="305" spans="1:41" x14ac:dyDescent="0.3">
      <c r="A305" t="s">
        <v>3</v>
      </c>
      <c r="B305" s="13">
        <v>0</v>
      </c>
      <c r="C305" s="26">
        <v>169</v>
      </c>
      <c r="D305" s="3">
        <v>0</v>
      </c>
      <c r="E305" s="3">
        <v>0</v>
      </c>
      <c r="F305" s="3">
        <v>0</v>
      </c>
      <c r="G305" s="4">
        <v>0</v>
      </c>
      <c r="H305" s="1">
        <f>SUM(C305:G305)</f>
        <v>169</v>
      </c>
      <c r="I305" s="10">
        <f>C305/H305</f>
        <v>1</v>
      </c>
      <c r="J305" s="11">
        <f>1-I305</f>
        <v>0</v>
      </c>
      <c r="K305">
        <f>H305-C310</f>
        <v>0</v>
      </c>
      <c r="N305" s="10">
        <f>2*(C311*I305)/(C311+I305)</f>
        <v>1</v>
      </c>
      <c r="O305" s="1"/>
      <c r="P305" s="1"/>
      <c r="AM305" s="78"/>
      <c r="AN305" s="78"/>
      <c r="AO305" s="78"/>
    </row>
    <row r="306" spans="1:41" x14ac:dyDescent="0.3">
      <c r="A306" t="s">
        <v>4</v>
      </c>
      <c r="B306" s="13">
        <v>1</v>
      </c>
      <c r="C306" s="5">
        <v>0</v>
      </c>
      <c r="D306" s="27">
        <v>308</v>
      </c>
      <c r="E306" s="1">
        <v>29</v>
      </c>
      <c r="F306" s="1">
        <v>0</v>
      </c>
      <c r="G306" s="6">
        <v>2</v>
      </c>
      <c r="H306" s="1">
        <f>SUM(C306:G306)</f>
        <v>339</v>
      </c>
      <c r="I306" s="10">
        <f>D306/H306</f>
        <v>0.90855457227138647</v>
      </c>
      <c r="J306" s="11">
        <f>1-I306</f>
        <v>9.1445427728613526E-2</v>
      </c>
      <c r="K306">
        <f>H306-D310</f>
        <v>-92</v>
      </c>
      <c r="N306" s="10">
        <f>2*(D311*I306)/(D311+I306)</f>
        <v>0.80000000000000016</v>
      </c>
      <c r="O306" s="1"/>
      <c r="P306" s="1"/>
    </row>
    <row r="307" spans="1:41" x14ac:dyDescent="0.3">
      <c r="A307" t="s">
        <v>5</v>
      </c>
      <c r="B307" s="13">
        <v>2</v>
      </c>
      <c r="C307" s="5">
        <v>0</v>
      </c>
      <c r="D307" s="1">
        <v>122</v>
      </c>
      <c r="E307" s="27">
        <v>7177</v>
      </c>
      <c r="F307" s="1">
        <v>82</v>
      </c>
      <c r="G307" s="6">
        <v>18</v>
      </c>
      <c r="H307" s="1">
        <f>SUM(C307:G307)</f>
        <v>7399</v>
      </c>
      <c r="I307" s="10">
        <f>E307/H307</f>
        <v>0.9699959453980268</v>
      </c>
      <c r="J307" s="11">
        <f>1-I307</f>
        <v>3.0004054601973196E-2</v>
      </c>
      <c r="K307">
        <f>H307-E310</f>
        <v>144</v>
      </c>
      <c r="N307" s="10">
        <f>2*(E311*I307)/(E311+I307)</f>
        <v>0.97952777398662483</v>
      </c>
      <c r="O307" s="1"/>
      <c r="P307" s="1"/>
      <c r="AM307" s="78"/>
      <c r="AN307" s="78"/>
      <c r="AO307" s="78"/>
    </row>
    <row r="308" spans="1:41" x14ac:dyDescent="0.3">
      <c r="A308" t="s">
        <v>6</v>
      </c>
      <c r="B308" s="13">
        <v>3</v>
      </c>
      <c r="C308" s="5">
        <v>0</v>
      </c>
      <c r="D308" s="1">
        <v>1</v>
      </c>
      <c r="E308" s="1">
        <v>31</v>
      </c>
      <c r="F308" s="27">
        <v>2446</v>
      </c>
      <c r="G308" s="6">
        <v>125</v>
      </c>
      <c r="H308" s="1">
        <f>SUM(C308:G308)</f>
        <v>2603</v>
      </c>
      <c r="I308" s="10">
        <f>F308/H308</f>
        <v>0.93968497887053404</v>
      </c>
      <c r="J308" s="11">
        <f>1-I308</f>
        <v>6.0315021129465962E-2</v>
      </c>
      <c r="K308">
        <f>H308-F310</f>
        <v>-81</v>
      </c>
      <c r="N308" s="10">
        <f>2*(F311*I308)/(F311+I308)</f>
        <v>0.9252884433516172</v>
      </c>
      <c r="O308" s="1"/>
      <c r="P308" s="1"/>
    </row>
    <row r="309" spans="1:41" x14ac:dyDescent="0.3">
      <c r="A309" t="s">
        <v>7</v>
      </c>
      <c r="B309" s="13">
        <v>4</v>
      </c>
      <c r="C309" s="7">
        <v>0</v>
      </c>
      <c r="D309" s="8">
        <v>0</v>
      </c>
      <c r="E309" s="8">
        <v>18</v>
      </c>
      <c r="F309" s="8">
        <v>156</v>
      </c>
      <c r="G309" s="28">
        <v>786</v>
      </c>
      <c r="H309" s="1">
        <f>SUM(C309:G309)</f>
        <v>960</v>
      </c>
      <c r="I309" s="10">
        <f>G309/H309</f>
        <v>0.81874999999999998</v>
      </c>
      <c r="J309" s="11">
        <f>1-I309</f>
        <v>0.18125000000000002</v>
      </c>
      <c r="K309">
        <f>H309-G310</f>
        <v>29</v>
      </c>
      <c r="N309" s="10">
        <f>2*(G311*I309)/(G311+I309)</f>
        <v>0.83130618720253824</v>
      </c>
      <c r="O309" s="1"/>
      <c r="P309" s="1"/>
      <c r="AM309" s="78"/>
      <c r="AN309" s="78"/>
      <c r="AO309" s="78"/>
    </row>
    <row r="310" spans="1:41" ht="15.6" x14ac:dyDescent="0.35">
      <c r="B310" s="1" t="s">
        <v>19</v>
      </c>
      <c r="C310" s="1">
        <f>SUM(C305:C309)</f>
        <v>169</v>
      </c>
      <c r="D310" s="1">
        <f>SUM(D305:D309)</f>
        <v>431</v>
      </c>
      <c r="E310" s="1">
        <f>SUM(E305:E309)</f>
        <v>7255</v>
      </c>
      <c r="F310" s="1">
        <f>SUM(F305:F309)</f>
        <v>2684</v>
      </c>
      <c r="G310" s="1">
        <f>SUM(G305:G309)</f>
        <v>931</v>
      </c>
      <c r="H310" s="1">
        <f>SUM(H304:H309)</f>
        <v>11470</v>
      </c>
      <c r="I310" s="13" t="s">
        <v>12</v>
      </c>
      <c r="N310" s="16" t="s">
        <v>36</v>
      </c>
      <c r="O310" s="1"/>
      <c r="P310" s="1"/>
    </row>
    <row r="311" spans="1:41" x14ac:dyDescent="0.3">
      <c r="A311" s="1" t="s">
        <v>321</v>
      </c>
      <c r="B311" s="1" t="s">
        <v>2</v>
      </c>
      <c r="C311" s="10">
        <f>C305/C310</f>
        <v>1</v>
      </c>
      <c r="D311" s="10">
        <f>D306/D310</f>
        <v>0.71461716937354991</v>
      </c>
      <c r="E311" s="10">
        <f>E307/E310</f>
        <v>0.98924879393521714</v>
      </c>
      <c r="F311" s="10">
        <f>F308/F310</f>
        <v>0.91132637853949328</v>
      </c>
      <c r="G311" s="10">
        <f>G309/G310</f>
        <v>0.84425349087003221</v>
      </c>
      <c r="H311" s="10"/>
      <c r="I311" s="14">
        <f>(C305+D306+E307+F308+G309)/H310</f>
        <v>0.94908456843940714</v>
      </c>
      <c r="AM311" s="78"/>
      <c r="AN311" s="78"/>
      <c r="AO311" s="78"/>
    </row>
    <row r="312" spans="1:41" x14ac:dyDescent="0.3">
      <c r="B312" s="1" t="s">
        <v>14</v>
      </c>
      <c r="C312" s="11">
        <f>1-C311</f>
        <v>0</v>
      </c>
      <c r="D312" s="11">
        <f>1-D311</f>
        <v>0.28538283062645009</v>
      </c>
      <c r="E312" s="11">
        <f>1-E311</f>
        <v>1.0751206064782859E-2</v>
      </c>
      <c r="F312" s="11">
        <f>1-F311</f>
        <v>8.8673621460506724E-2</v>
      </c>
      <c r="G312" s="11">
        <f>1-G311</f>
        <v>0.15574650912996779</v>
      </c>
      <c r="Q312" s="25"/>
    </row>
    <row r="313" spans="1:41" x14ac:dyDescent="0.3">
      <c r="C313" s="2"/>
      <c r="Q313" s="25"/>
      <c r="AM313" s="78"/>
      <c r="AN313" s="78"/>
      <c r="AO313" s="78"/>
    </row>
    <row r="314" spans="1:41" ht="15.6" x14ac:dyDescent="0.35">
      <c r="A314" t="s">
        <v>322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1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  <c r="AO315" s="78"/>
    </row>
    <row r="316" spans="1:41" x14ac:dyDescent="0.3">
      <c r="A316" t="s">
        <v>3</v>
      </c>
      <c r="B316" s="13">
        <v>0</v>
      </c>
      <c r="C316" s="29">
        <f>(C305/$L316)*$O316</f>
        <v>1.4055795044703385</v>
      </c>
      <c r="D316" s="31">
        <f>(D305/$L316)*$O316</f>
        <v>0</v>
      </c>
      <c r="E316" s="31">
        <f>(E305/$L316)*$O316</f>
        <v>0</v>
      </c>
      <c r="F316" s="31">
        <f>(F305/$L316)*$O316</f>
        <v>0</v>
      </c>
      <c r="G316" s="32">
        <f>(G305/$L316)*$O316</f>
        <v>0</v>
      </c>
      <c r="H316" s="17">
        <f>SUM(C316:G316)</f>
        <v>1.4055795044703385</v>
      </c>
      <c r="I316" s="17">
        <f>C316/H316*100</f>
        <v>100</v>
      </c>
      <c r="J316" s="17">
        <f>SQRT(I316*(100-I316)/(L316-1))</f>
        <v>0</v>
      </c>
      <c r="K316" s="18">
        <f>100-I316</f>
        <v>0</v>
      </c>
      <c r="L316" s="1">
        <f>H305</f>
        <v>169</v>
      </c>
      <c r="M316">
        <v>0</v>
      </c>
      <c r="N316" s="1">
        <v>2591.62</v>
      </c>
      <c r="O316" s="17">
        <f>N316/N321*100</f>
        <v>1.4055795044703385</v>
      </c>
      <c r="P316" s="52">
        <f>((O316*O316*(I316/100)*(K316/100))/(L316-1))</f>
        <v>0</v>
      </c>
    </row>
    <row r="317" spans="1:41" x14ac:dyDescent="0.3">
      <c r="A317" t="s">
        <v>4</v>
      </c>
      <c r="B317" s="13">
        <v>1</v>
      </c>
      <c r="C317" s="33">
        <f t="shared" ref="C317:G320" si="43">(C306/$L317)*$O317</f>
        <v>0</v>
      </c>
      <c r="D317" s="34">
        <f t="shared" si="43"/>
        <v>3.6386503662085268</v>
      </c>
      <c r="E317" s="19">
        <f t="shared" si="43"/>
        <v>0.34260019681833526</v>
      </c>
      <c r="F317" s="18">
        <f t="shared" si="43"/>
        <v>0</v>
      </c>
      <c r="G317" s="20">
        <f t="shared" si="43"/>
        <v>2.3627599780574847E-2</v>
      </c>
      <c r="H317" s="17">
        <f>SUM(C317:G317)</f>
        <v>4.0048781628074375</v>
      </c>
      <c r="I317" s="17">
        <f>D317/H317*100</f>
        <v>90.855457227138629</v>
      </c>
      <c r="J317" s="17">
        <f>SQRT(I317*(100-I317)/(L317-1))</f>
        <v>1.5678270633196925</v>
      </c>
      <c r="K317" s="18">
        <f>100-I317</f>
        <v>9.1445427728613708</v>
      </c>
      <c r="L317" s="1">
        <f>H306</f>
        <v>339</v>
      </c>
      <c r="M317">
        <v>1</v>
      </c>
      <c r="N317" s="1">
        <v>7384.23</v>
      </c>
      <c r="O317" s="17">
        <f>N317/N321*100</f>
        <v>4.0048781628074366</v>
      </c>
      <c r="P317" s="52">
        <f>((O317*O317*(I317/100)*(K317/100))/(L317-1))</f>
        <v>3.9425293083146986E-3</v>
      </c>
      <c r="AM317" s="78"/>
      <c r="AN317" s="78"/>
      <c r="AO317" s="78"/>
    </row>
    <row r="318" spans="1:41" x14ac:dyDescent="0.3">
      <c r="A318" t="s">
        <v>5</v>
      </c>
      <c r="B318" s="13">
        <v>2</v>
      </c>
      <c r="C318" s="33">
        <f t="shared" si="43"/>
        <v>0</v>
      </c>
      <c r="D318" s="19">
        <f t="shared" si="43"/>
        <v>0.97694393895697418</v>
      </c>
      <c r="E318" s="34">
        <f t="shared" si="43"/>
        <v>57.471529917165604</v>
      </c>
      <c r="F318" s="19">
        <f t="shared" si="43"/>
        <v>0.65663445077435956</v>
      </c>
      <c r="G318" s="20">
        <f t="shared" si="43"/>
        <v>0.14413926968217652</v>
      </c>
      <c r="H318" s="17">
        <f>SUM(C318:G318)</f>
        <v>59.249247576579116</v>
      </c>
      <c r="I318" s="17">
        <f>E318/H318*100</f>
        <v>96.999594539802672</v>
      </c>
      <c r="J318" s="17">
        <f>SQRT(I318*(100-I318)/(L318-1))</f>
        <v>0.19834340726088998</v>
      </c>
      <c r="K318" s="18">
        <f>100-I318</f>
        <v>3.000405460197328</v>
      </c>
      <c r="L318" s="1">
        <f>H307</f>
        <v>7399</v>
      </c>
      <c r="M318">
        <v>2</v>
      </c>
      <c r="N318" s="1">
        <v>109244.29</v>
      </c>
      <c r="O318" s="17">
        <f>N318/N321*100</f>
        <v>59.249247576579108</v>
      </c>
      <c r="P318" s="52">
        <f>((O318*O318*(I318/100)*(K318/100))/(L318-1))</f>
        <v>1.3810239746858246E-2</v>
      </c>
    </row>
    <row r="319" spans="1:41" x14ac:dyDescent="0.3">
      <c r="A319" t="s">
        <v>6</v>
      </c>
      <c r="B319" s="13">
        <v>3</v>
      </c>
      <c r="C319" s="33">
        <f t="shared" si="43"/>
        <v>0</v>
      </c>
      <c r="D319" s="19">
        <f t="shared" si="43"/>
        <v>9.5740632279511222E-3</v>
      </c>
      <c r="E319" s="19">
        <f t="shared" si="43"/>
        <v>0.29679596006648479</v>
      </c>
      <c r="F319" s="34">
        <f t="shared" si="43"/>
        <v>23.418158655568448</v>
      </c>
      <c r="G319" s="20">
        <f t="shared" si="43"/>
        <v>1.1967579034938902</v>
      </c>
      <c r="H319" s="17">
        <f>SUM(C319:G319)</f>
        <v>24.921286582356771</v>
      </c>
      <c r="I319" s="17">
        <f>F319/H319*100</f>
        <v>93.968497887053417</v>
      </c>
      <c r="J319" s="17">
        <f>SQRT(I319*(100-I319)/(L319-1))</f>
        <v>0.46671336567730387</v>
      </c>
      <c r="K319" s="18">
        <f>100-I319</f>
        <v>6.0315021129465833</v>
      </c>
      <c r="L319" s="1">
        <f>H308</f>
        <v>2603</v>
      </c>
      <c r="M319">
        <v>3</v>
      </c>
      <c r="N319" s="1">
        <v>45950.09</v>
      </c>
      <c r="O319" s="17">
        <f>N319/N321*100</f>
        <v>24.921286582356771</v>
      </c>
      <c r="P319" s="52">
        <f>((O319*O319*(I319/100)*(K319/100))/(L319-1))</f>
        <v>1.3528242993522137E-2</v>
      </c>
      <c r="AM319" s="78"/>
      <c r="AN319" s="78"/>
      <c r="AO319" s="78"/>
    </row>
    <row r="320" spans="1:41" x14ac:dyDescent="0.3">
      <c r="A320" t="s">
        <v>7</v>
      </c>
      <c r="B320" s="13">
        <v>4</v>
      </c>
      <c r="C320" s="35">
        <f t="shared" si="43"/>
        <v>0</v>
      </c>
      <c r="D320" s="36">
        <f t="shared" si="43"/>
        <v>0</v>
      </c>
      <c r="E320" s="21">
        <f t="shared" si="43"/>
        <v>0.19535640325849388</v>
      </c>
      <c r="F320" s="21">
        <f t="shared" si="43"/>
        <v>1.6930888282402803</v>
      </c>
      <c r="G320" s="37">
        <f t="shared" si="43"/>
        <v>8.5305629422875651</v>
      </c>
      <c r="H320" s="17">
        <f>SUM(C320:G320)</f>
        <v>10.41900817378634</v>
      </c>
      <c r="I320" s="17">
        <f>G320/H320*100</f>
        <v>81.875</v>
      </c>
      <c r="J320" s="17">
        <f>SQRT(I320*(100-I320)/(L320-1))</f>
        <v>1.2439569777371309</v>
      </c>
      <c r="K320" s="18">
        <f>100-I320</f>
        <v>18.125</v>
      </c>
      <c r="L320" s="1">
        <f>H309</f>
        <v>960</v>
      </c>
      <c r="M320">
        <v>4</v>
      </c>
      <c r="N320" s="1">
        <v>19210.66</v>
      </c>
      <c r="O320" s="17">
        <f>N320/N321*100</f>
        <v>10.41900817378634</v>
      </c>
      <c r="P320" s="52">
        <f>((O320*O320*(I320/100)*(K320/100))/(L320-1))</f>
        <v>1.6798228269408869E-2</v>
      </c>
    </row>
    <row r="321" spans="1:41" x14ac:dyDescent="0.3">
      <c r="B321" t="s">
        <v>28</v>
      </c>
      <c r="C321" s="17">
        <f t="shared" ref="C321:H321" si="44">SUM(C316:C320)</f>
        <v>1.4055795044703385</v>
      </c>
      <c r="D321" s="17">
        <f t="shared" si="44"/>
        <v>4.6251683683934521</v>
      </c>
      <c r="E321" s="17">
        <f t="shared" si="44"/>
        <v>58.306282477308919</v>
      </c>
      <c r="F321" s="17">
        <f t="shared" si="44"/>
        <v>25.767881934583087</v>
      </c>
      <c r="G321" s="17">
        <f t="shared" si="44"/>
        <v>9.8950877152442072</v>
      </c>
      <c r="H321" s="18">
        <f t="shared" si="44"/>
        <v>100</v>
      </c>
      <c r="I321" s="13" t="s">
        <v>24</v>
      </c>
      <c r="J321" s="12" t="s">
        <v>29</v>
      </c>
      <c r="N321" s="1">
        <f>SUM(N316:N320)</f>
        <v>184380.88999999998</v>
      </c>
      <c r="O321" s="17">
        <f>SUM(O316:O320)</f>
        <v>99.999999999999986</v>
      </c>
      <c r="AM321" s="78"/>
      <c r="AN321" s="78"/>
      <c r="AO321" s="78"/>
    </row>
    <row r="322" spans="1:41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0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0.10824344873191705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0.14965868505525021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0.18469503989562006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0.17063777336942684</v>
      </c>
      <c r="H322" s="1"/>
      <c r="I322" s="14">
        <f>(C316+D317+E318+F319+G320)/H321</f>
        <v>0.94464481385700483</v>
      </c>
      <c r="J322" s="53">
        <f>SQRT(SUM(P316:P320))/100</f>
        <v>2.192697888859839E-3</v>
      </c>
      <c r="M322" s="1"/>
      <c r="N322" s="9"/>
    </row>
    <row r="323" spans="1:41" x14ac:dyDescent="0.3">
      <c r="B323" s="1" t="s">
        <v>30</v>
      </c>
      <c r="C323" s="17">
        <f>C316/C321*100</f>
        <v>100</v>
      </c>
      <c r="D323" s="17">
        <f>D317/D321*100</f>
        <v>78.670657506732198</v>
      </c>
      <c r="E323" s="17">
        <f>E318/E321*100</f>
        <v>98.568331705132849</v>
      </c>
      <c r="F323" s="17">
        <f>F319/F321*100</f>
        <v>90.881193553354976</v>
      </c>
      <c r="G323" s="17">
        <f>G320/G321*100</f>
        <v>86.2100790591833</v>
      </c>
      <c r="H323" s="1"/>
      <c r="AM323" s="78"/>
      <c r="AN323" s="78"/>
      <c r="AO323" s="78"/>
    </row>
    <row r="324" spans="1:41" x14ac:dyDescent="0.3">
      <c r="B324" s="16" t="s">
        <v>39</v>
      </c>
      <c r="C324" s="18">
        <f>SQRT((C327+C328)/(C321*C321))</f>
        <v>0</v>
      </c>
      <c r="D324" s="18">
        <f>SQRT((D327+D328)/(D321*D321))</f>
        <v>3.2614866320096265</v>
      </c>
      <c r="E324" s="18">
        <f>SQRT((E327+E328)/(E321*E321))</f>
        <v>0.15943822996337564</v>
      </c>
      <c r="F324" s="18">
        <f>SQRT((F327+F328)/(F321*F321))</f>
        <v>0.65248658690277239</v>
      </c>
      <c r="G324" s="18">
        <f>SQRT((G327+G328)/(G321*G321))</f>
        <v>2.0492166140659505</v>
      </c>
      <c r="H324" s="1"/>
    </row>
    <row r="325" spans="1:41" x14ac:dyDescent="0.3">
      <c r="B325" s="1" t="s">
        <v>37</v>
      </c>
      <c r="C325" s="18">
        <f>100-C323</f>
        <v>0</v>
      </c>
      <c r="D325" s="18">
        <f>100-D323</f>
        <v>21.329342493267802</v>
      </c>
      <c r="E325" s="18">
        <f>100-E323</f>
        <v>1.4316682948671513</v>
      </c>
      <c r="F325" s="18">
        <f>100-F323</f>
        <v>9.1188064466450243</v>
      </c>
      <c r="G325" s="18">
        <f>100-G323</f>
        <v>13.7899209408167</v>
      </c>
      <c r="AM325" s="78"/>
      <c r="AN325" s="78"/>
      <c r="AO325" s="78"/>
    </row>
    <row r="326" spans="1:41" ht="15.6" x14ac:dyDescent="0.35">
      <c r="B326" s="1" t="s">
        <v>25</v>
      </c>
      <c r="C326" s="1">
        <f>C310</f>
        <v>169</v>
      </c>
      <c r="D326" s="1">
        <f>D310</f>
        <v>431</v>
      </c>
      <c r="E326" s="1">
        <f>E310</f>
        <v>7255</v>
      </c>
      <c r="F326" s="1">
        <f>F310</f>
        <v>2684</v>
      </c>
      <c r="G326" s="1">
        <f>G310</f>
        <v>931</v>
      </c>
    </row>
    <row r="327" spans="1:41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179.36176393863943</v>
      </c>
      <c r="E327" s="18">
        <f>(O318*O318*(100-E323)*(100-E323)*(I318)*(100-I318))/((L318-1)*100)</f>
        <v>2.8306490814076612</v>
      </c>
      <c r="F327" s="18">
        <f>(O319*O319*(100-F323)*(100-F323)*(I319)*(100-I319))/((L319-1)*100)</f>
        <v>112.49089978725635</v>
      </c>
      <c r="G327" s="18">
        <f>(O320*O320*(100-G323)*(100-G323)*(I320)*(100-I320))/((L320-1)*100)</f>
        <v>319.43833328166374</v>
      </c>
      <c r="AM327" s="78"/>
    </row>
    <row r="328" spans="1:41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48.193192413018103</v>
      </c>
      <c r="E328" s="18">
        <f>E323*E323*(SUM((H316*E316*(1-E305/H305))/(H305-1),(H317*E317*(1-E306/H306))/(H306-1), (H319*E319*(1-E308/H308))/(H308-1),(H320*E320*(1-E309/H309))/(H309-1)))</f>
        <v>83.589623792575082</v>
      </c>
      <c r="F328" s="18">
        <f>F323*F323*(SUM((H316*F316*(1-F305/H305))/(H305-1),(H317*F317*(1-F306/H306))/(H306-1), (H318*F318*(1-F307/H307))/(H307-1),(H320*F320*(1-F309/H309))/(H309-1)))</f>
        <v>170.19270484544714</v>
      </c>
      <c r="G328" s="18">
        <f>G323*G323*(SUM((H316*G316*(1-G305/H305))/(H305-1),(H317*G317*(1-G306/H306))/(H306-1), (H318*G318*(1-G307/H307))/(H307-1),(H319*G319*(1-G308/H308))/(H308-1)))</f>
        <v>91.725620190424053</v>
      </c>
    </row>
    <row r="329" spans="1:41" x14ac:dyDescent="0.3">
      <c r="AM329" s="78"/>
    </row>
    <row r="331" spans="1:41" x14ac:dyDescent="0.3">
      <c r="A331" s="361" t="s">
        <v>449</v>
      </c>
      <c r="B331" s="361"/>
      <c r="C331" s="361"/>
      <c r="D331" s="361"/>
      <c r="E331" s="361"/>
      <c r="F331" s="361"/>
      <c r="G331" s="361"/>
      <c r="H331" s="361"/>
      <c r="I331" s="361"/>
      <c r="J331" s="361"/>
      <c r="K331" s="361"/>
      <c r="L331" s="361" t="s">
        <v>89</v>
      </c>
      <c r="M331" s="361"/>
      <c r="N331" s="361"/>
      <c r="O331" s="361"/>
      <c r="P331" s="361"/>
      <c r="AM331" s="78"/>
    </row>
    <row r="332" spans="1:41" x14ac:dyDescent="0.3">
      <c r="A332" t="s">
        <v>320</v>
      </c>
      <c r="B332" t="s">
        <v>21</v>
      </c>
      <c r="I332" s="1" t="s">
        <v>58</v>
      </c>
      <c r="O332" s="143"/>
      <c r="P332" s="143"/>
    </row>
    <row r="333" spans="1:41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56</v>
      </c>
      <c r="O333" s="13"/>
      <c r="P333" s="13"/>
      <c r="AM333" s="78"/>
    </row>
    <row r="334" spans="1:41" x14ac:dyDescent="0.3">
      <c r="A334" t="s">
        <v>3</v>
      </c>
      <c r="B334" s="13">
        <v>0</v>
      </c>
      <c r="C334" s="26">
        <v>169</v>
      </c>
      <c r="D334" s="3">
        <v>0</v>
      </c>
      <c r="E334" s="3">
        <v>0</v>
      </c>
      <c r="F334" s="3">
        <v>0</v>
      </c>
      <c r="G334" s="4">
        <v>0</v>
      </c>
      <c r="H334" s="1">
        <f>SUM(C334:G334)</f>
        <v>169</v>
      </c>
      <c r="I334" s="10">
        <f>C334/H334</f>
        <v>1</v>
      </c>
      <c r="J334" s="11">
        <f>1-I334</f>
        <v>0</v>
      </c>
      <c r="K334">
        <f>H334-C339</f>
        <v>0</v>
      </c>
      <c r="N334" s="10">
        <f>2*(C340*I334)/(C340+I334)</f>
        <v>1</v>
      </c>
      <c r="O334" s="1"/>
      <c r="P334" s="1"/>
    </row>
    <row r="335" spans="1:41" x14ac:dyDescent="0.3">
      <c r="A335" t="s">
        <v>4</v>
      </c>
      <c r="B335" s="13">
        <v>1</v>
      </c>
      <c r="C335" s="5">
        <v>0</v>
      </c>
      <c r="D335" s="27">
        <v>309</v>
      </c>
      <c r="E335" s="1">
        <v>27</v>
      </c>
      <c r="F335" s="1">
        <v>0</v>
      </c>
      <c r="G335" s="6">
        <v>3</v>
      </c>
      <c r="H335" s="1">
        <f>SUM(C335:G335)</f>
        <v>339</v>
      </c>
      <c r="I335" s="10">
        <f>D335/H335</f>
        <v>0.91150442477876104</v>
      </c>
      <c r="J335" s="11">
        <f>1-I335</f>
        <v>8.8495575221238965E-2</v>
      </c>
      <c r="K335">
        <f>H335-D339</f>
        <v>-119</v>
      </c>
      <c r="N335" s="10">
        <f>2*(D340*I335)/(D340+I335)</f>
        <v>0.77540777917189463</v>
      </c>
      <c r="O335" s="1"/>
      <c r="P335" s="1"/>
      <c r="AM335" s="78"/>
    </row>
    <row r="336" spans="1:41" x14ac:dyDescent="0.3">
      <c r="A336" t="s">
        <v>5</v>
      </c>
      <c r="B336" s="13">
        <v>2</v>
      </c>
      <c r="C336" s="5">
        <v>0</v>
      </c>
      <c r="D336" s="1">
        <v>148</v>
      </c>
      <c r="E336" s="27">
        <v>7146</v>
      </c>
      <c r="F336" s="1">
        <v>93</v>
      </c>
      <c r="G336" s="6">
        <v>12</v>
      </c>
      <c r="H336" s="1">
        <f>SUM(C336:G336)</f>
        <v>7399</v>
      </c>
      <c r="I336" s="10">
        <f>E336/H336</f>
        <v>0.96580619002567913</v>
      </c>
      <c r="J336" s="11">
        <f>1-I336</f>
        <v>3.4193809974320866E-2</v>
      </c>
      <c r="K336">
        <f>H336-E339</f>
        <v>174</v>
      </c>
      <c r="N336" s="10">
        <f>2*(E340*I336)/(E340+I336)</f>
        <v>0.97729759299781183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1</v>
      </c>
      <c r="E337" s="1">
        <v>28</v>
      </c>
      <c r="F337" s="27">
        <v>2466</v>
      </c>
      <c r="G337" s="6">
        <v>108</v>
      </c>
      <c r="H337" s="1">
        <f>SUM(C337:G337)</f>
        <v>2603</v>
      </c>
      <c r="I337" s="10">
        <f>F337/H337</f>
        <v>0.94736842105263153</v>
      </c>
      <c r="J337" s="11">
        <f>1-I337</f>
        <v>5.2631578947368474E-2</v>
      </c>
      <c r="K337">
        <f>H337-F339</f>
        <v>-119</v>
      </c>
      <c r="N337" s="10">
        <f>2*(F340*I337)/(F340+I337)</f>
        <v>0.92619718309859156</v>
      </c>
      <c r="O337" s="1"/>
      <c r="P337" s="1"/>
      <c r="AM337" s="78"/>
    </row>
    <row r="338" spans="1:40" x14ac:dyDescent="0.3">
      <c r="A338" t="s">
        <v>7</v>
      </c>
      <c r="B338" s="13">
        <v>4</v>
      </c>
      <c r="C338" s="7">
        <v>0</v>
      </c>
      <c r="D338" s="8">
        <v>0</v>
      </c>
      <c r="E338" s="8">
        <v>24</v>
      </c>
      <c r="F338" s="8">
        <v>163</v>
      </c>
      <c r="G338" s="28">
        <v>773</v>
      </c>
      <c r="H338" s="1">
        <f>SUM(C338:G338)</f>
        <v>960</v>
      </c>
      <c r="I338" s="10">
        <f>G338/H338</f>
        <v>0.8052083333333333</v>
      </c>
      <c r="J338" s="11">
        <f>1-I338</f>
        <v>0.1947916666666667</v>
      </c>
      <c r="K338">
        <f>H338-G339</f>
        <v>64</v>
      </c>
      <c r="N338" s="10">
        <f>2*(G340*I338)/(G340+I338)</f>
        <v>0.83297413793103448</v>
      </c>
      <c r="O338" s="1"/>
      <c r="P338" s="1"/>
    </row>
    <row r="339" spans="1:40" ht="15.6" x14ac:dyDescent="0.35">
      <c r="B339" s="1" t="s">
        <v>19</v>
      </c>
      <c r="C339" s="1">
        <f>SUM(C334:C338)</f>
        <v>169</v>
      </c>
      <c r="D339" s="1">
        <f>SUM(D334:D338)</f>
        <v>458</v>
      </c>
      <c r="E339" s="1">
        <f>SUM(E334:E338)</f>
        <v>7225</v>
      </c>
      <c r="F339" s="1">
        <f>SUM(F334:F338)</f>
        <v>2722</v>
      </c>
      <c r="G339" s="1">
        <f>SUM(G334:G338)</f>
        <v>896</v>
      </c>
      <c r="H339" s="1">
        <f>SUM(H333:H338)</f>
        <v>11470</v>
      </c>
      <c r="I339" s="13" t="s">
        <v>12</v>
      </c>
      <c r="N339" s="16"/>
      <c r="O339" s="1"/>
      <c r="P339" s="1"/>
      <c r="AM339" s="78"/>
    </row>
    <row r="340" spans="1:40" x14ac:dyDescent="0.3">
      <c r="A340" s="1" t="s">
        <v>321</v>
      </c>
      <c r="B340" s="1" t="s">
        <v>2</v>
      </c>
      <c r="C340" s="10">
        <f>C334/C339</f>
        <v>1</v>
      </c>
      <c r="D340" s="10">
        <f>D335/D339</f>
        <v>0.6746724890829694</v>
      </c>
      <c r="E340" s="10">
        <f>E336/E339</f>
        <v>0.98906574394463664</v>
      </c>
      <c r="F340" s="10">
        <f>F337/F339</f>
        <v>0.90595150624540777</v>
      </c>
      <c r="G340" s="10">
        <f>G338/G339</f>
        <v>0.8627232142857143</v>
      </c>
      <c r="H340" s="10"/>
      <c r="I340" s="14">
        <f>(C334+D335+E336+F337+G338)/H339</f>
        <v>0.94707933740191808</v>
      </c>
    </row>
    <row r="341" spans="1:40" x14ac:dyDescent="0.3">
      <c r="B341" s="1" t="s">
        <v>14</v>
      </c>
      <c r="C341" s="11">
        <f>1-C340</f>
        <v>0</v>
      </c>
      <c r="D341" s="11">
        <f>1-D340</f>
        <v>0.3253275109170306</v>
      </c>
      <c r="E341" s="11">
        <f>1-E340</f>
        <v>1.0934256055363356E-2</v>
      </c>
      <c r="F341" s="11">
        <f>1-F340</f>
        <v>9.4048493754592233E-2</v>
      </c>
      <c r="G341" s="11">
        <f>1-G340</f>
        <v>0.1372767857142857</v>
      </c>
      <c r="AM341" s="78"/>
      <c r="AN341" s="78"/>
    </row>
    <row r="342" spans="1:40" x14ac:dyDescent="0.3">
      <c r="C342" s="2"/>
    </row>
    <row r="343" spans="1:40" ht="15.6" x14ac:dyDescent="0.35">
      <c r="A343" t="s">
        <v>322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1.4082643172255345</v>
      </c>
      <c r="D345" s="31">
        <f>(D334/$L345)*$O345</f>
        <v>0</v>
      </c>
      <c r="E345" s="31">
        <f>(E334/$L345)*$O345</f>
        <v>0</v>
      </c>
      <c r="F345" s="31">
        <f>(F334/$L345)*$O345</f>
        <v>0</v>
      </c>
      <c r="G345" s="32">
        <f>(G334/$L345)*$O345</f>
        <v>0</v>
      </c>
      <c r="H345" s="17">
        <f>SUM(C345:G345)</f>
        <v>1.4082643172255345</v>
      </c>
      <c r="I345" s="17">
        <f>C345/H345*100</f>
        <v>100</v>
      </c>
      <c r="J345" s="17">
        <f>SQRT(I345*(100-I345)/(L345-1))</f>
        <v>0</v>
      </c>
      <c r="K345" s="18">
        <f>100-I345</f>
        <v>0</v>
      </c>
      <c r="L345" s="1">
        <f>H334</f>
        <v>169</v>
      </c>
      <c r="M345">
        <v>0</v>
      </c>
      <c r="N345" s="1">
        <v>2596.5700000000002</v>
      </c>
      <c r="O345" s="17">
        <f>N345/N350*100</f>
        <v>1.4082643172255345</v>
      </c>
      <c r="P345" s="52">
        <f>((O345*O345*(I345/100)*(K345/100))/(L345-1))</f>
        <v>0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45">(C335/$L346)*$O346</f>
        <v>0</v>
      </c>
      <c r="D346" s="34">
        <f t="shared" si="45"/>
        <v>3.9546983679148324</v>
      </c>
      <c r="E346" s="19">
        <f t="shared" si="45"/>
        <v>0.3455561680702281</v>
      </c>
      <c r="F346" s="18">
        <f t="shared" si="45"/>
        <v>0</v>
      </c>
      <c r="G346" s="20">
        <f t="shared" si="45"/>
        <v>3.8395129785580899E-2</v>
      </c>
      <c r="H346" s="17">
        <f>SUM(C346:G346)</f>
        <v>4.3386496657706415</v>
      </c>
      <c r="I346" s="17">
        <f>D346/H346*100</f>
        <v>91.150442477876098</v>
      </c>
      <c r="J346" s="17">
        <f>SQRT(I346*(100-I346)/(L346-1))</f>
        <v>1.5448339983540125</v>
      </c>
      <c r="K346" s="18">
        <f>100-I346</f>
        <v>8.8495575221239022</v>
      </c>
      <c r="L346" s="1">
        <f>H335</f>
        <v>339</v>
      </c>
      <c r="M346">
        <v>1</v>
      </c>
      <c r="N346" s="1">
        <v>7999.64</v>
      </c>
      <c r="O346" s="17">
        <f>N346/N350*100</f>
        <v>4.3386496657706415</v>
      </c>
      <c r="P346" s="52">
        <f>((O346*O346*(I346/100)*(K346/100))/(L346-1))</f>
        <v>4.4923419260034046E-3</v>
      </c>
    </row>
    <row r="347" spans="1:40" x14ac:dyDescent="0.3">
      <c r="A347" t="s">
        <v>5</v>
      </c>
      <c r="B347" s="13">
        <v>2</v>
      </c>
      <c r="C347" s="33">
        <f t="shared" si="45"/>
        <v>0</v>
      </c>
      <c r="D347" s="19">
        <f t="shared" si="45"/>
        <v>1.1759886007941243</v>
      </c>
      <c r="E347" s="34">
        <f t="shared" si="45"/>
        <v>56.781179332937917</v>
      </c>
      <c r="F347" s="19">
        <f t="shared" si="45"/>
        <v>0.73896580995846994</v>
      </c>
      <c r="G347" s="20">
        <f t="shared" si="45"/>
        <v>9.5350427091415474E-2</v>
      </c>
      <c r="H347" s="17">
        <f>SUM(C347:G347)</f>
        <v>58.791484170781935</v>
      </c>
      <c r="I347" s="17">
        <f>E347/H347*100</f>
        <v>96.5806190025679</v>
      </c>
      <c r="J347" s="17">
        <f>SQRT(I347*(100-I347)/(L347-1))</f>
        <v>0.21128155069842849</v>
      </c>
      <c r="K347" s="18">
        <f>100-I347</f>
        <v>3.4193809974320999</v>
      </c>
      <c r="L347" s="1">
        <f>H336</f>
        <v>7399</v>
      </c>
      <c r="M347">
        <v>2</v>
      </c>
      <c r="N347" s="1">
        <v>108400.25</v>
      </c>
      <c r="O347" s="17">
        <f>N347/N350*100</f>
        <v>58.791484170781928</v>
      </c>
      <c r="P347" s="52">
        <f>((O347*O347*(I347/100)*(K347/100))/(L347-1))</f>
        <v>1.5429505205662865E-2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45"/>
        <v>0</v>
      </c>
      <c r="D348" s="19">
        <f t="shared" si="45"/>
        <v>9.602580128682061E-3</v>
      </c>
      <c r="E348" s="19">
        <f t="shared" si="45"/>
        <v>0.26887224360309769</v>
      </c>
      <c r="F348" s="34">
        <f t="shared" si="45"/>
        <v>23.679962597329961</v>
      </c>
      <c r="G348" s="20">
        <f t="shared" si="45"/>
        <v>1.0370786538976626</v>
      </c>
      <c r="H348" s="17">
        <f>SUM(C348:G348)</f>
        <v>24.995516074959404</v>
      </c>
      <c r="I348" s="17">
        <f>F348/H348*100</f>
        <v>94.73684210526315</v>
      </c>
      <c r="J348" s="17">
        <f>SQRT(I348*(100-I348)/(L348-1))</f>
        <v>0.43775287342218</v>
      </c>
      <c r="K348" s="18">
        <f>100-I348</f>
        <v>5.2631578947368496</v>
      </c>
      <c r="L348" s="1">
        <f>H337</f>
        <v>2603</v>
      </c>
      <c r="M348">
        <v>3</v>
      </c>
      <c r="N348" s="1">
        <v>46086.95</v>
      </c>
      <c r="O348" s="17">
        <f>N348/N350*100</f>
        <v>24.995516074959404</v>
      </c>
      <c r="P348" s="52">
        <f>((O348*O348*(I348/100)*(K348/100))/(L348-1))</f>
        <v>1.1972427803632819E-2</v>
      </c>
    </row>
    <row r="349" spans="1:40" x14ac:dyDescent="0.3">
      <c r="A349" t="s">
        <v>7</v>
      </c>
      <c r="B349" s="13">
        <v>4</v>
      </c>
      <c r="C349" s="35">
        <f t="shared" si="45"/>
        <v>0</v>
      </c>
      <c r="D349" s="36">
        <f t="shared" si="45"/>
        <v>0</v>
      </c>
      <c r="E349" s="21">
        <f t="shared" si="45"/>
        <v>0.26165214428156242</v>
      </c>
      <c r="F349" s="21">
        <f t="shared" si="45"/>
        <v>1.7770541465789447</v>
      </c>
      <c r="G349" s="37">
        <f t="shared" si="45"/>
        <v>8.4273794804019886</v>
      </c>
      <c r="H349" s="17">
        <f>SUM(C349:G349)</f>
        <v>10.466085771262495</v>
      </c>
      <c r="I349" s="17">
        <f>G349/H349*100</f>
        <v>80.520833333333329</v>
      </c>
      <c r="J349" s="17">
        <f>SQRT(I349*(100-I349)/(L349-1))</f>
        <v>1.2788806418827232</v>
      </c>
      <c r="K349" s="18">
        <f>100-I349</f>
        <v>19.479166666666671</v>
      </c>
      <c r="L349" s="1">
        <f>H338</f>
        <v>960</v>
      </c>
      <c r="M349">
        <v>4</v>
      </c>
      <c r="N349" s="1">
        <v>19297.46</v>
      </c>
      <c r="O349" s="17">
        <f>N349/N350*100</f>
        <v>10.466085771262495</v>
      </c>
      <c r="P349" s="52">
        <f>((O349*O349*(I349/100)*(K349/100))/(L349-1))</f>
        <v>1.7915486509034712E-2</v>
      </c>
      <c r="AM349" s="78"/>
      <c r="AN349" s="78"/>
    </row>
    <row r="350" spans="1:40" x14ac:dyDescent="0.3">
      <c r="B350" t="s">
        <v>28</v>
      </c>
      <c r="C350" s="17">
        <f t="shared" ref="C350:H350" si="46">SUM(C345:C349)</f>
        <v>1.4082643172255345</v>
      </c>
      <c r="D350" s="17">
        <f t="shared" si="46"/>
        <v>5.1402895488376386</v>
      </c>
      <c r="E350" s="17">
        <f t="shared" si="46"/>
        <v>57.657259888892803</v>
      </c>
      <c r="F350" s="17">
        <f t="shared" si="46"/>
        <v>26.195982553867374</v>
      </c>
      <c r="G350" s="17">
        <f t="shared" si="46"/>
        <v>9.5982036911766482</v>
      </c>
      <c r="H350" s="18">
        <f t="shared" si="46"/>
        <v>100</v>
      </c>
      <c r="I350" s="13" t="s">
        <v>24</v>
      </c>
      <c r="J350" s="12" t="s">
        <v>29</v>
      </c>
      <c r="N350" s="1">
        <f>SUM(N345:N349)</f>
        <v>184380.87</v>
      </c>
      <c r="O350" s="17">
        <f>SUM(O345:O349)</f>
        <v>100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0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0.11716913115386068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0.15758520146401317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0.18398369542246976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0.16936860951567606</v>
      </c>
      <c r="H351" s="1"/>
      <c r="I351" s="14">
        <f>(C345+D346+E347+F348+G349)/H350</f>
        <v>0.94251484095810245</v>
      </c>
      <c r="J351" s="53">
        <f>SQRT(SUM(P345:P349))/100</f>
        <v>2.2318100601156406E-3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76.935323007418887</v>
      </c>
      <c r="E352" s="17">
        <f>E347/E350*100</f>
        <v>98.480537303293431</v>
      </c>
      <c r="F352" s="17">
        <f>F348/F350*100</f>
        <v>90.395397647850515</v>
      </c>
      <c r="G352" s="17">
        <f>G349/G350*100</f>
        <v>87.801631967334004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3.3342128066011125</v>
      </c>
      <c r="E353" s="18">
        <f>SQRT((E356+E357)/(E350*E350))</f>
        <v>0.16899098990366043</v>
      </c>
      <c r="F353" s="18">
        <f>SQRT((F356+F357)/(F350*F350))</f>
        <v>0.64939620352437077</v>
      </c>
      <c r="G353" s="18">
        <f>SQRT((G356+G357)/(G350*G350))</f>
        <v>1.9485763466042381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23.064676992581113</v>
      </c>
      <c r="E354" s="18">
        <f>100-E352</f>
        <v>1.5194626967065687</v>
      </c>
      <c r="F354" s="18">
        <f>100-F352</f>
        <v>9.6046023521494845</v>
      </c>
      <c r="G354" s="18">
        <f>100-G352</f>
        <v>12.198368032665996</v>
      </c>
    </row>
    <row r="355" spans="1:40" ht="15.6" x14ac:dyDescent="0.35">
      <c r="B355" s="1" t="s">
        <v>25</v>
      </c>
      <c r="C355" s="1">
        <f>C339</f>
        <v>169</v>
      </c>
      <c r="D355" s="1">
        <f>D339</f>
        <v>458</v>
      </c>
      <c r="E355" s="1">
        <f>E339</f>
        <v>7225</v>
      </c>
      <c r="F355" s="1">
        <f>F339</f>
        <v>2722</v>
      </c>
      <c r="G355" s="1">
        <f>G339</f>
        <v>896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238.9833024440689</v>
      </c>
      <c r="E356" s="18">
        <f>(O347*O347*(100-E352)*(100-E352)*(I347)*(100-I347))/((L347-1)*100)</f>
        <v>3.5623130696734275</v>
      </c>
      <c r="F356" s="18">
        <f>(O348*O348*(100-F352)*(100-F352)*(I348)*(100-I348))/((L348-1)*100)</f>
        <v>110.44371454921826</v>
      </c>
      <c r="G356" s="18">
        <f>(O349*O349*(100-G352)*(100-G352)*(I349)*(100-I349))/((L349-1)*100)</f>
        <v>266.58276649937181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54.75582261292012</v>
      </c>
      <c r="E357" s="18">
        <f>E352*E352*(SUM((H345*E345*(1-E334/H334))/(H334-1),(H346*E346*(1-E335/H335))/(H335-1), (H348*E348*(1-E337/H337))/(H337-1),(H349*E349*(1-E338/H338))/(H338-1)))</f>
        <v>91.374598200369121</v>
      </c>
      <c r="F357" s="18">
        <f>F352*F352*(SUM((H345*F345*(1-F334/H334))/(H334-1),(H346*F346*(1-F335/H335))/(H335-1), (H347*F347*(1-F336/H336))/(H336-1),(H349*F349*(1-F338/H338))/(H338-1)))</f>
        <v>178.94985436757872</v>
      </c>
      <c r="G357" s="18">
        <f>G352*G352*(SUM((H345*G345*(1-G334/H334))/(H334-1),(H346*G346*(1-G335/H335))/(H335-1), (H347*G347*(1-G336/H336))/(H336-1),(H348*G348*(1-G337/H337))/(H337-1)))</f>
        <v>83.213183850828287</v>
      </c>
      <c r="AM357" s="78"/>
      <c r="AN357" s="78"/>
    </row>
    <row r="359" spans="1:40" x14ac:dyDescent="0.3">
      <c r="AM359" s="78"/>
      <c r="AN359" s="78"/>
    </row>
    <row r="360" spans="1:40" x14ac:dyDescent="0.3">
      <c r="A360" s="361" t="s">
        <v>449</v>
      </c>
      <c r="B360" s="361"/>
      <c r="C360" s="361"/>
      <c r="D360" s="361"/>
      <c r="E360" s="361"/>
      <c r="F360" s="361"/>
      <c r="G360" s="361"/>
      <c r="H360" s="361"/>
      <c r="I360" s="361"/>
      <c r="J360" s="361"/>
      <c r="K360" s="361"/>
      <c r="L360" s="361" t="s">
        <v>90</v>
      </c>
      <c r="M360" s="361"/>
      <c r="N360" s="361"/>
      <c r="O360" s="361"/>
      <c r="P360" s="361"/>
    </row>
    <row r="361" spans="1:40" x14ac:dyDescent="0.3">
      <c r="A361" t="s">
        <v>15</v>
      </c>
      <c r="B361" t="s">
        <v>21</v>
      </c>
      <c r="I361" s="1" t="s">
        <v>58</v>
      </c>
      <c r="O361" s="143"/>
      <c r="P361" s="143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56</v>
      </c>
      <c r="O362" s="13"/>
      <c r="P362" s="13"/>
    </row>
    <row r="363" spans="1:40" x14ac:dyDescent="0.3">
      <c r="A363" t="s">
        <v>3</v>
      </c>
      <c r="B363" s="13">
        <v>0</v>
      </c>
      <c r="C363" s="26">
        <v>169</v>
      </c>
      <c r="D363" s="3">
        <v>0</v>
      </c>
      <c r="E363" s="3">
        <v>0</v>
      </c>
      <c r="F363" s="3">
        <v>0</v>
      </c>
      <c r="G363" s="4">
        <v>0</v>
      </c>
      <c r="H363" s="1">
        <f>SUM(C363:G363)</f>
        <v>169</v>
      </c>
      <c r="I363" s="10">
        <f>C363/H363</f>
        <v>1</v>
      </c>
      <c r="J363" s="11">
        <f>1-I363</f>
        <v>0</v>
      </c>
      <c r="K363">
        <f>H363-C368</f>
        <v>0</v>
      </c>
      <c r="N363" s="10">
        <f>2*(C369*I363)/(C369+I363)</f>
        <v>1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307</v>
      </c>
      <c r="E364" s="1">
        <v>29</v>
      </c>
      <c r="F364" s="1">
        <v>0</v>
      </c>
      <c r="G364" s="6">
        <v>3</v>
      </c>
      <c r="H364" s="1">
        <f>SUM(C364:G364)</f>
        <v>339</v>
      </c>
      <c r="I364" s="10">
        <f>D364/H364</f>
        <v>0.9056047197640118</v>
      </c>
      <c r="J364" s="11">
        <f>1-I364</f>
        <v>9.4395280235988199E-2</v>
      </c>
      <c r="K364">
        <f>H364-D368</f>
        <v>-105</v>
      </c>
      <c r="N364" s="10">
        <f>2*(D369*I364)/(D369+I364)</f>
        <v>0.78416347381864626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134</v>
      </c>
      <c r="E365" s="27">
        <v>7170</v>
      </c>
      <c r="F365" s="1">
        <v>85</v>
      </c>
      <c r="G365" s="6">
        <v>10</v>
      </c>
      <c r="H365" s="1">
        <f>SUM(C365:G365)</f>
        <v>7399</v>
      </c>
      <c r="I365" s="10">
        <f>E365/H365</f>
        <v>0.96904987160427081</v>
      </c>
      <c r="J365" s="11">
        <f>1-I365</f>
        <v>3.0950128395729193E-2</v>
      </c>
      <c r="K365">
        <f>H365-E368</f>
        <v>146</v>
      </c>
      <c r="N365" s="10">
        <f>2*(E369*I365)/(E369+I365)</f>
        <v>0.97870597870597864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3</v>
      </c>
      <c r="E366" s="1">
        <v>29</v>
      </c>
      <c r="F366" s="27">
        <v>2463</v>
      </c>
      <c r="G366" s="6">
        <v>108</v>
      </c>
      <c r="H366" s="1">
        <f>SUM(C366:G366)</f>
        <v>2603</v>
      </c>
      <c r="I366" s="10">
        <f>F366/H366</f>
        <v>0.94621590472531691</v>
      </c>
      <c r="J366" s="11">
        <f>1-I366</f>
        <v>5.3784095274683086E-2</v>
      </c>
      <c r="K366">
        <f>H366-F368</f>
        <v>-113</v>
      </c>
      <c r="N366" s="10">
        <f>2*(F369*I366)/(F369+I366)</f>
        <v>0.92611393119007335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0</v>
      </c>
      <c r="E367" s="8">
        <v>25</v>
      </c>
      <c r="F367" s="8">
        <v>168</v>
      </c>
      <c r="G367" s="28">
        <v>767</v>
      </c>
      <c r="H367" s="1">
        <f>SUM(C367:G367)</f>
        <v>960</v>
      </c>
      <c r="I367" s="10">
        <f>G367/H367</f>
        <v>0.79895833333333333</v>
      </c>
      <c r="J367" s="11">
        <f>1-I367</f>
        <v>0.20104166666666667</v>
      </c>
      <c r="K367">
        <f>H367-G368</f>
        <v>72</v>
      </c>
      <c r="N367" s="10">
        <f>2*(G369*I367)/(G369+I367)</f>
        <v>0.83008658008658021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169</v>
      </c>
      <c r="D368" s="1">
        <f>SUM(D363:D367)</f>
        <v>444</v>
      </c>
      <c r="E368" s="1">
        <f>SUM(E363:E367)</f>
        <v>7253</v>
      </c>
      <c r="F368" s="1">
        <f>SUM(F363:F367)</f>
        <v>2716</v>
      </c>
      <c r="G368" s="1">
        <f>SUM(G363:G367)</f>
        <v>888</v>
      </c>
      <c r="H368" s="1">
        <f>SUM(H362:H367)</f>
        <v>11470</v>
      </c>
      <c r="I368" s="13" t="s">
        <v>12</v>
      </c>
      <c r="N368" s="16"/>
      <c r="O368" s="1"/>
      <c r="P368" s="1"/>
    </row>
    <row r="369" spans="1:40" x14ac:dyDescent="0.3">
      <c r="A369" s="1" t="s">
        <v>57</v>
      </c>
      <c r="B369" s="1" t="s">
        <v>2</v>
      </c>
      <c r="C369" s="10">
        <f>C363/C368</f>
        <v>1</v>
      </c>
      <c r="D369" s="10">
        <f>D364/D368</f>
        <v>0.69144144144144148</v>
      </c>
      <c r="E369" s="10">
        <f>E365/E368</f>
        <v>0.98855645939611192</v>
      </c>
      <c r="F369" s="10">
        <f>F366/F368</f>
        <v>0.90684830633284241</v>
      </c>
      <c r="G369" s="10">
        <f>G367/G368</f>
        <v>0.86373873873873874</v>
      </c>
      <c r="H369" s="10"/>
      <c r="I369" s="14">
        <f>(C363+D364+E365+F366+G367)/H368</f>
        <v>0.9482127288578901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0.30855855855855852</v>
      </c>
      <c r="E370" s="11">
        <f>1-E369</f>
        <v>1.144354060388808E-2</v>
      </c>
      <c r="F370" s="11">
        <f>1-F369</f>
        <v>9.3151693667157587E-2</v>
      </c>
      <c r="G370" s="11">
        <f>1-G369</f>
        <v>0.13626126126126126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1.407239265114651</v>
      </c>
      <c r="D374" s="31">
        <f>(D363/$L374)*$O374</f>
        <v>0</v>
      </c>
      <c r="E374" s="31">
        <f>(E363/$L374)*$O374</f>
        <v>0</v>
      </c>
      <c r="F374" s="31">
        <f>(F363/$L374)*$O374</f>
        <v>0</v>
      </c>
      <c r="G374" s="32">
        <f>(G363/$L374)*$O374</f>
        <v>0</v>
      </c>
      <c r="H374" s="17">
        <f>SUM(C374:G374)</f>
        <v>1.407239265114651</v>
      </c>
      <c r="I374" s="17">
        <f>C374/H374*100</f>
        <v>100</v>
      </c>
      <c r="J374" s="17">
        <f>SQRT(I374*(100-I374)/(L374-1))</f>
        <v>0</v>
      </c>
      <c r="K374" s="18">
        <f>100-I374</f>
        <v>0</v>
      </c>
      <c r="L374" s="1">
        <f>H363</f>
        <v>169</v>
      </c>
      <c r="M374">
        <v>0</v>
      </c>
      <c r="N374" s="1">
        <v>2594.6799999999998</v>
      </c>
      <c r="O374" s="17">
        <f>N374/N379*100</f>
        <v>1.407239265114651</v>
      </c>
      <c r="P374" s="52">
        <f>((O374*O374*(I374/100)*(K374/100))/(L374-1))</f>
        <v>0</v>
      </c>
    </row>
    <row r="375" spans="1:40" x14ac:dyDescent="0.3">
      <c r="A375" t="s">
        <v>4</v>
      </c>
      <c r="B375" s="13">
        <v>1</v>
      </c>
      <c r="C375" s="33">
        <f t="shared" ref="C375:G378" si="47">(C364/$L375)*$O375</f>
        <v>0</v>
      </c>
      <c r="D375" s="34">
        <f t="shared" si="47"/>
        <v>3.7866112439767976</v>
      </c>
      <c r="E375" s="19">
        <f t="shared" si="47"/>
        <v>0.35769291881214049</v>
      </c>
      <c r="F375" s="18">
        <f t="shared" si="47"/>
        <v>0</v>
      </c>
      <c r="G375" s="20">
        <f t="shared" si="47"/>
        <v>3.7002715739186946E-2</v>
      </c>
      <c r="H375" s="17">
        <f>SUM(C375:G375)</f>
        <v>4.1813068785281251</v>
      </c>
      <c r="I375" s="17">
        <f>D375/H375*100</f>
        <v>90.560471976401175</v>
      </c>
      <c r="J375" s="17">
        <f>SQRT(I375*(100-I375)/(L375-1))</f>
        <v>1.5903258877181969</v>
      </c>
      <c r="K375" s="18">
        <f>100-I375</f>
        <v>9.4395280235988253</v>
      </c>
      <c r="L375" s="1">
        <f>H364</f>
        <v>339</v>
      </c>
      <c r="M375">
        <v>1</v>
      </c>
      <c r="N375" s="1">
        <v>7709.53</v>
      </c>
      <c r="O375" s="17">
        <f>N375/N379*100</f>
        <v>4.1813068785281251</v>
      </c>
      <c r="P375" s="52">
        <f>((O375*O375*(I375/100)*(K375/100))/(L375-1))</f>
        <v>4.4217719755639479E-3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47"/>
        <v>0</v>
      </c>
      <c r="D376" s="19">
        <f t="shared" si="47"/>
        <v>1.0689668098947294</v>
      </c>
      <c r="E376" s="34">
        <f t="shared" si="47"/>
        <v>57.197701693620971</v>
      </c>
      <c r="F376" s="19">
        <f t="shared" si="47"/>
        <v>0.67807596150038807</v>
      </c>
      <c r="G376" s="20">
        <f t="shared" si="47"/>
        <v>7.9773642529457428E-2</v>
      </c>
      <c r="H376" s="17">
        <f>SUM(C376:G376)</f>
        <v>59.024518107545553</v>
      </c>
      <c r="I376" s="17">
        <f>E376/H376*100</f>
        <v>96.904987160427069</v>
      </c>
      <c r="J376" s="17">
        <f>SQRT(I376*(100-I376)/(L376-1))</f>
        <v>0.20134791102974911</v>
      </c>
      <c r="K376" s="18">
        <f>100-I376</f>
        <v>3.0950128395729308</v>
      </c>
      <c r="L376" s="1">
        <f>H365</f>
        <v>7399</v>
      </c>
      <c r="M376">
        <v>2</v>
      </c>
      <c r="N376" s="1">
        <v>108829.92</v>
      </c>
      <c r="O376" s="17">
        <f>N376/N379*100</f>
        <v>59.024518107545546</v>
      </c>
      <c r="P376" s="52">
        <f>((O376*O376*(I376/100)*(K376/100))/(L376-1))</f>
        <v>1.4124047079300995E-2</v>
      </c>
    </row>
    <row r="377" spans="1:40" x14ac:dyDescent="0.3">
      <c r="A377" t="s">
        <v>6</v>
      </c>
      <c r="B377" s="13">
        <v>3</v>
      </c>
      <c r="C377" s="33">
        <f t="shared" si="47"/>
        <v>0</v>
      </c>
      <c r="D377" s="19">
        <f t="shared" si="47"/>
        <v>2.9090567483358424E-2</v>
      </c>
      <c r="E377" s="19">
        <f t="shared" si="47"/>
        <v>0.28120881900579808</v>
      </c>
      <c r="F377" s="34">
        <f t="shared" si="47"/>
        <v>23.883355903837266</v>
      </c>
      <c r="G377" s="20">
        <f t="shared" si="47"/>
        <v>1.0472604294009034</v>
      </c>
      <c r="H377" s="17">
        <f>SUM(C377:G377)</f>
        <v>25.240915719727326</v>
      </c>
      <c r="I377" s="17">
        <f>F377/H377*100</f>
        <v>94.621590472531693</v>
      </c>
      <c r="J377" s="17">
        <f>SQRT(I377*(100-I377)/(L377-1))</f>
        <v>0.4422505783592125</v>
      </c>
      <c r="K377" s="18">
        <f>100-I377</f>
        <v>5.3784095274683068</v>
      </c>
      <c r="L377" s="1">
        <f>H366</f>
        <v>2603</v>
      </c>
      <c r="M377">
        <v>3</v>
      </c>
      <c r="N377" s="1">
        <v>46539.42</v>
      </c>
      <c r="O377" s="17">
        <f>N377/N379*100</f>
        <v>25.240915719727326</v>
      </c>
      <c r="P377" s="52">
        <f>((O377*O377*(I377/100)*(K377/100))/(L377-1))</f>
        <v>1.2460831761587274E-2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47"/>
        <v>0</v>
      </c>
      <c r="D378" s="36">
        <f t="shared" si="47"/>
        <v>0</v>
      </c>
      <c r="E378" s="21">
        <f t="shared" si="47"/>
        <v>0.26421927159073866</v>
      </c>
      <c r="F378" s="21">
        <f t="shared" si="47"/>
        <v>1.7755535050897635</v>
      </c>
      <c r="G378" s="37">
        <f t="shared" si="47"/>
        <v>8.1062472524038611</v>
      </c>
      <c r="H378" s="17">
        <f>SUM(C378:G378)</f>
        <v>10.146020029084363</v>
      </c>
      <c r="I378" s="17">
        <f>G378/H378*100</f>
        <v>79.895833333333329</v>
      </c>
      <c r="J378" s="17">
        <f>SQRT(I378*(100-I378)/(L378-1))</f>
        <v>1.2941833250904546</v>
      </c>
      <c r="K378" s="18">
        <f>100-I378</f>
        <v>20.104166666666671</v>
      </c>
      <c r="L378" s="1">
        <f>H367</f>
        <v>960</v>
      </c>
      <c r="M378">
        <v>4</v>
      </c>
      <c r="N378" s="1">
        <v>18707.32</v>
      </c>
      <c r="O378" s="17">
        <f>N378/N379*100</f>
        <v>10.146020029084363</v>
      </c>
      <c r="P378" s="52">
        <f>((O378*O378*(I378/100)*(K378/100))/(L378-1))</f>
        <v>1.7241816961933804E-2</v>
      </c>
    </row>
    <row r="379" spans="1:40" x14ac:dyDescent="0.3">
      <c r="B379" t="s">
        <v>28</v>
      </c>
      <c r="C379" s="17">
        <f t="shared" ref="C379:H379" si="48">SUM(C374:C378)</f>
        <v>1.407239265114651</v>
      </c>
      <c r="D379" s="17">
        <f t="shared" si="48"/>
        <v>4.8846686213548853</v>
      </c>
      <c r="E379" s="17">
        <f t="shared" si="48"/>
        <v>58.10082270302965</v>
      </c>
      <c r="F379" s="17">
        <f t="shared" si="48"/>
        <v>26.336985370427417</v>
      </c>
      <c r="G379" s="17">
        <f t="shared" si="48"/>
        <v>9.2702840400734097</v>
      </c>
      <c r="H379" s="18">
        <f t="shared" si="48"/>
        <v>100.00000000000003</v>
      </c>
      <c r="I379" s="13" t="s">
        <v>24</v>
      </c>
      <c r="J379" s="12" t="s">
        <v>29</v>
      </c>
      <c r="N379" s="1">
        <f>SUM(N374:N378)</f>
        <v>184380.87</v>
      </c>
      <c r="O379" s="17">
        <f>SUM(O374:O378)</f>
        <v>100.00000000000001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0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0.11429606075035792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0.15353437831392022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0.18244076241708287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0.16746800403007958</v>
      </c>
      <c r="H380" s="1"/>
      <c r="I380" s="14">
        <f>(C374+D375+E376+F377+G378)/H379</f>
        <v>0.94381155358953528</v>
      </c>
      <c r="J380" s="53">
        <f>SQRT(SUM(P374:P378))/100</f>
        <v>2.1965533860661348E-3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77.52033019031056</v>
      </c>
      <c r="E381" s="17">
        <f>E376/E379*100</f>
        <v>98.445596865254743</v>
      </c>
      <c r="F381" s="17">
        <f>F377/F379*100</f>
        <v>90.683711776119907</v>
      </c>
      <c r="G381" s="17">
        <f>G378/G379*100</f>
        <v>87.443353594801707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3.3978075346966938</v>
      </c>
      <c r="E382" s="18">
        <f>SQRT((E385+E386)/(E379*E379))</f>
        <v>0.16789538604937881</v>
      </c>
      <c r="F382" s="18">
        <f>SQRT((F385+F386)/(F379*F379))</f>
        <v>0.63486740595652102</v>
      </c>
      <c r="G382" s="18">
        <f>SQRT((G385+G386)/(G379*G379))</f>
        <v>2.0314146545565639</v>
      </c>
      <c r="H382" s="1"/>
    </row>
    <row r="383" spans="1:40" x14ac:dyDescent="0.3">
      <c r="B383" s="1" t="s">
        <v>37</v>
      </c>
      <c r="C383" s="18">
        <f>100-C381</f>
        <v>0</v>
      </c>
      <c r="D383" s="18">
        <f>100-D381</f>
        <v>22.47966980968944</v>
      </c>
      <c r="E383" s="18">
        <f>100-E381</f>
        <v>1.5544031347452574</v>
      </c>
      <c r="F383" s="18">
        <f>100-F381</f>
        <v>9.3162882238800933</v>
      </c>
      <c r="G383" s="18">
        <f>100-G381</f>
        <v>12.556646405198293</v>
      </c>
      <c r="AM383" s="78"/>
      <c r="AN383" s="78"/>
    </row>
    <row r="384" spans="1:40" ht="15.6" x14ac:dyDescent="0.35">
      <c r="B384" s="1" t="s">
        <v>25</v>
      </c>
      <c r="C384" s="1">
        <f>C368</f>
        <v>169</v>
      </c>
      <c r="D384" s="1">
        <f>D368</f>
        <v>444</v>
      </c>
      <c r="E384" s="1">
        <f>E368</f>
        <v>7253</v>
      </c>
      <c r="F384" s="1">
        <f>F368</f>
        <v>2716</v>
      </c>
      <c r="G384" s="1">
        <f>G368</f>
        <v>888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223.44785942613854</v>
      </c>
      <c r="E385" s="18">
        <f>(O376*O376*(100-E381)*(100-E381)*(I376)*(100-I376))/((L376-1)*100)</f>
        <v>3.4126086194892844</v>
      </c>
      <c r="F385" s="18">
        <f>(O377*O377*(100-F381)*(100-F381)*(I377)*(100-I377))/((L377-1)*100)</f>
        <v>108.15157906009176</v>
      </c>
      <c r="G385" s="18">
        <f>(O378*O378*(100-G381)*(100-G381)*(I378)*(100-I378))/((L378-1)*100)</f>
        <v>271.85063998563902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52.017988309350116</v>
      </c>
      <c r="E386" s="18">
        <f>E381*E381*(SUM((H374*E374*(1-E363/H363))/(H363-1),(H375*E375*(1-E364/H364))/(H364-1), (H377*E377*(1-E366/H366))/(H366-1),(H378*E378*(1-E367/H367))/(H367-1)))</f>
        <v>91.744686122147414</v>
      </c>
      <c r="F386" s="18">
        <f>F381*F381*(SUM((H374*F374*(1-F363/H363))/(H363-1),(H375*F375*(1-F364/H364))/(H364-1), (H376*F376*(1-F365/H365))/(H365-1),(H378*F378*(1-F367/H367))/(H367-1)))</f>
        <v>171.42332659363828</v>
      </c>
      <c r="G386" s="18">
        <f>G381*G381*(SUM((H374*G374*(1-G363/H363))/(H363-1),(H375*G375*(1-G364/H364))/(H364-1), (H376*G376*(1-G365/H365))/(H365-1),(H377*G377*(1-G366/H366))/(H366-1)))</f>
        <v>82.785706666663813</v>
      </c>
    </row>
    <row r="387" spans="1:40" x14ac:dyDescent="0.3">
      <c r="AM387" s="78"/>
      <c r="AN387" s="78"/>
    </row>
    <row r="389" spans="1:40" x14ac:dyDescent="0.3">
      <c r="A389" s="361" t="s">
        <v>449</v>
      </c>
      <c r="B389" s="361"/>
      <c r="C389" s="361"/>
      <c r="D389" s="361"/>
      <c r="E389" s="361"/>
      <c r="F389" s="361"/>
      <c r="G389" s="361"/>
      <c r="H389" s="361"/>
      <c r="I389" s="361"/>
      <c r="J389" s="361"/>
      <c r="K389" s="361"/>
      <c r="L389" s="361" t="s">
        <v>91</v>
      </c>
      <c r="M389" s="361"/>
      <c r="N389" s="361"/>
      <c r="O389" s="361"/>
      <c r="P389" s="361"/>
      <c r="AM389" s="78"/>
      <c r="AN389" s="78"/>
    </row>
    <row r="390" spans="1:40" x14ac:dyDescent="0.3">
      <c r="A390" t="s">
        <v>15</v>
      </c>
      <c r="B390" t="s">
        <v>21</v>
      </c>
      <c r="I390" s="1" t="s">
        <v>58</v>
      </c>
      <c r="O390" s="143"/>
      <c r="P390" s="143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56</v>
      </c>
      <c r="O391" s="13"/>
      <c r="P391" s="13"/>
      <c r="AM391" s="78"/>
      <c r="AN391" s="78"/>
    </row>
    <row r="392" spans="1:40" x14ac:dyDescent="0.3">
      <c r="A392" t="s">
        <v>3</v>
      </c>
      <c r="B392" s="13">
        <v>0</v>
      </c>
      <c r="C392" s="26">
        <v>169</v>
      </c>
      <c r="D392" s="3">
        <v>0</v>
      </c>
      <c r="E392" s="3">
        <v>0</v>
      </c>
      <c r="F392" s="3">
        <v>0</v>
      </c>
      <c r="G392" s="4">
        <v>0</v>
      </c>
      <c r="H392" s="1">
        <f>SUM(C392:G392)</f>
        <v>169</v>
      </c>
      <c r="I392" s="10">
        <f>C392/H392</f>
        <v>1</v>
      </c>
      <c r="J392" s="11">
        <f>1-I392</f>
        <v>0</v>
      </c>
      <c r="K392">
        <f>H392-C397</f>
        <v>0</v>
      </c>
      <c r="N392" s="10">
        <f>2*(C398*I392)/(C398+I392)</f>
        <v>1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308</v>
      </c>
      <c r="E393" s="1">
        <v>29</v>
      </c>
      <c r="F393" s="1">
        <v>0</v>
      </c>
      <c r="G393" s="6">
        <v>2</v>
      </c>
      <c r="H393" s="1">
        <f>SUM(C393:G393)</f>
        <v>339</v>
      </c>
      <c r="I393" s="10">
        <f>D393/H393</f>
        <v>0.90855457227138647</v>
      </c>
      <c r="J393" s="11">
        <f>1-I393</f>
        <v>9.1445427728613526E-2</v>
      </c>
      <c r="K393">
        <f>H393-D397</f>
        <v>-103</v>
      </c>
      <c r="N393" s="10">
        <f>2*(D398*I393)/(D398+I393)</f>
        <v>0.78873239436619713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131</v>
      </c>
      <c r="E394" s="27">
        <v>7165</v>
      </c>
      <c r="F394" s="1">
        <v>86</v>
      </c>
      <c r="G394" s="6">
        <v>17</v>
      </c>
      <c r="H394" s="1">
        <f>SUM(C394:G394)</f>
        <v>7399</v>
      </c>
      <c r="I394" s="10">
        <f>E394/H394</f>
        <v>0.96837410460873086</v>
      </c>
      <c r="J394" s="11">
        <f>1-I394</f>
        <v>3.1625895391269143E-2</v>
      </c>
      <c r="K394">
        <f>H394-E397</f>
        <v>152</v>
      </c>
      <c r="N394" s="10">
        <f>2*(E398*I394)/(E398+I394)</f>
        <v>0.97842414311074699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3</v>
      </c>
      <c r="E395" s="1">
        <v>33</v>
      </c>
      <c r="F395" s="27">
        <v>2447</v>
      </c>
      <c r="G395" s="6">
        <v>120</v>
      </c>
      <c r="H395" s="1">
        <f>SUM(C395:G395)</f>
        <v>2603</v>
      </c>
      <c r="I395" s="10">
        <f>F395/H395</f>
        <v>0.94006915097963883</v>
      </c>
      <c r="J395" s="11">
        <f>1-I395</f>
        <v>5.9930849020361165E-2</v>
      </c>
      <c r="K395">
        <f>H395-F397</f>
        <v>-90</v>
      </c>
      <c r="N395" s="10">
        <f>2*(F398*I395)/(F398+I395)</f>
        <v>0.92409365558912382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0</v>
      </c>
      <c r="E396" s="8">
        <v>20</v>
      </c>
      <c r="F396" s="8">
        <v>160</v>
      </c>
      <c r="G396" s="28">
        <v>780</v>
      </c>
      <c r="H396" s="1">
        <f>SUM(C396:G396)</f>
        <v>960</v>
      </c>
      <c r="I396" s="10">
        <f>G396/H396</f>
        <v>0.8125</v>
      </c>
      <c r="J396" s="11">
        <f>1-I396</f>
        <v>0.1875</v>
      </c>
      <c r="K396">
        <f>H396-G397</f>
        <v>41</v>
      </c>
      <c r="N396" s="10">
        <f>2*(G398*I396)/(G398+I396)</f>
        <v>0.83022884513038864</v>
      </c>
      <c r="O396" s="1"/>
      <c r="P396" s="1"/>
    </row>
    <row r="397" spans="1:40" ht="15.6" x14ac:dyDescent="0.35">
      <c r="B397" s="1" t="s">
        <v>19</v>
      </c>
      <c r="C397" s="1">
        <f>SUM(C392:C396)</f>
        <v>169</v>
      </c>
      <c r="D397" s="1">
        <f>SUM(D392:D396)</f>
        <v>442</v>
      </c>
      <c r="E397" s="1">
        <f>SUM(E392:E396)</f>
        <v>7247</v>
      </c>
      <c r="F397" s="1">
        <f>SUM(F392:F396)</f>
        <v>2693</v>
      </c>
      <c r="G397" s="1">
        <f>SUM(G392:G396)</f>
        <v>919</v>
      </c>
      <c r="H397" s="1">
        <f>SUM(H391:H396)</f>
        <v>11470</v>
      </c>
      <c r="I397" s="13" t="s">
        <v>12</v>
      </c>
      <c r="N397" s="16"/>
      <c r="O397" s="1"/>
      <c r="P397" s="1"/>
      <c r="AM397" s="78"/>
      <c r="AN397" s="78"/>
    </row>
    <row r="398" spans="1:40" x14ac:dyDescent="0.3">
      <c r="A398" s="1" t="s">
        <v>57</v>
      </c>
      <c r="B398" s="1" t="s">
        <v>2</v>
      </c>
      <c r="C398" s="10">
        <f>C392/C397</f>
        <v>1</v>
      </c>
      <c r="D398" s="10">
        <f>D393/D397</f>
        <v>0.69683257918552033</v>
      </c>
      <c r="E398" s="10">
        <f>E394/E397</f>
        <v>0.98868497309231407</v>
      </c>
      <c r="F398" s="10">
        <f>F395/F397</f>
        <v>0.90865206089862605</v>
      </c>
      <c r="G398" s="10">
        <f>G396/G397</f>
        <v>0.84874863982589777</v>
      </c>
      <c r="H398" s="10"/>
      <c r="I398" s="14">
        <f>(C392+D393+E394+F395+G396)/H397</f>
        <v>0.94760244115082826</v>
      </c>
    </row>
    <row r="399" spans="1:40" x14ac:dyDescent="0.3">
      <c r="B399" s="1" t="s">
        <v>14</v>
      </c>
      <c r="C399" s="11">
        <f>1-C398</f>
        <v>0</v>
      </c>
      <c r="D399" s="11">
        <f>1-D398</f>
        <v>0.30316742081447967</v>
      </c>
      <c r="E399" s="11">
        <f>1-E398</f>
        <v>1.1315026907685932E-2</v>
      </c>
      <c r="F399" s="11">
        <f>1-F398</f>
        <v>9.1347939101373954E-2</v>
      </c>
      <c r="G399" s="11">
        <f>1-G398</f>
        <v>0.15125136017410223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1.4111983845613492</v>
      </c>
      <c r="D403" s="31">
        <f>(D392/$L403)*$O403</f>
        <v>0</v>
      </c>
      <c r="E403" s="31">
        <f>(E392/$L403)*$O403</f>
        <v>0</v>
      </c>
      <c r="F403" s="31">
        <f>(F392/$L403)*$O403</f>
        <v>0</v>
      </c>
      <c r="G403" s="32">
        <f>(G392/$L403)*$O403</f>
        <v>0</v>
      </c>
      <c r="H403" s="17">
        <f>SUM(C403:G403)</f>
        <v>1.4111983845613492</v>
      </c>
      <c r="I403" s="17">
        <f>C403/H403*100</f>
        <v>100</v>
      </c>
      <c r="J403" s="17">
        <f>SQRT(I403*(100-I403)/(L403-1))</f>
        <v>0</v>
      </c>
      <c r="K403" s="18">
        <f>100-I403</f>
        <v>0</v>
      </c>
      <c r="L403" s="1">
        <f>H392</f>
        <v>169</v>
      </c>
      <c r="M403">
        <v>0</v>
      </c>
      <c r="N403" s="1">
        <v>2601.98</v>
      </c>
      <c r="O403" s="17">
        <f>N403/N408*100</f>
        <v>1.4111983845613492</v>
      </c>
      <c r="P403" s="52">
        <f>((O403*O403*(I403/100)*(K403/100))/(L403-1))</f>
        <v>0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49">(C393/$L404)*$O404</f>
        <v>0</v>
      </c>
      <c r="D404" s="34">
        <f t="shared" si="49"/>
        <v>3.7250756779304983</v>
      </c>
      <c r="E404" s="19">
        <f t="shared" si="49"/>
        <v>0.35073764499994953</v>
      </c>
      <c r="F404" s="18">
        <f t="shared" si="49"/>
        <v>0</v>
      </c>
      <c r="G404" s="20">
        <f t="shared" si="49"/>
        <v>2.4188803103444793E-2</v>
      </c>
      <c r="H404" s="17">
        <f>SUM(C404:G404)</f>
        <v>4.1000021260338926</v>
      </c>
      <c r="I404" s="17">
        <f>D404/H404*100</f>
        <v>90.855457227138643</v>
      </c>
      <c r="J404" s="17">
        <f>SQRT(I404*(100-I404)/(L404-1))</f>
        <v>1.5678270633196913</v>
      </c>
      <c r="K404" s="18">
        <f>100-I404</f>
        <v>9.1445427728613566</v>
      </c>
      <c r="L404" s="1">
        <f>H393</f>
        <v>339</v>
      </c>
      <c r="M404">
        <v>1</v>
      </c>
      <c r="N404" s="1">
        <v>7559.62</v>
      </c>
      <c r="O404" s="17">
        <f>N404/N408*100</f>
        <v>4.1000021260338926</v>
      </c>
      <c r="P404" s="52">
        <f>((O404*O404*(I404/100)*(K404/100))/(L404-1))</f>
        <v>4.1320396237953414E-3</v>
      </c>
    </row>
    <row r="405" spans="1:40" x14ac:dyDescent="0.3">
      <c r="A405" t="s">
        <v>5</v>
      </c>
      <c r="B405" s="13">
        <v>2</v>
      </c>
      <c r="C405" s="33">
        <f t="shared" si="49"/>
        <v>0</v>
      </c>
      <c r="D405" s="19">
        <f t="shared" si="49"/>
        <v>1.044827919552044</v>
      </c>
      <c r="E405" s="34">
        <f t="shared" si="49"/>
        <v>57.146504149544995</v>
      </c>
      <c r="F405" s="19">
        <f t="shared" si="49"/>
        <v>0.68591756550744865</v>
      </c>
      <c r="G405" s="20">
        <f t="shared" si="49"/>
        <v>0.13558835597240262</v>
      </c>
      <c r="H405" s="17">
        <f>SUM(C405:G405)</f>
        <v>59.012837990576884</v>
      </c>
      <c r="I405" s="17">
        <f>E405/H405*100</f>
        <v>96.837410460873102</v>
      </c>
      <c r="J405" s="17">
        <f>SQRT(I405*(100-I405)/(L405-1))</f>
        <v>0.20346318341964975</v>
      </c>
      <c r="K405" s="18">
        <f>100-I405</f>
        <v>3.1625895391268983</v>
      </c>
      <c r="L405" s="1">
        <f>H394</f>
        <v>7399</v>
      </c>
      <c r="M405">
        <v>2</v>
      </c>
      <c r="N405" s="1">
        <v>108808.39</v>
      </c>
      <c r="O405" s="17">
        <f>N405/N408*100</f>
        <v>59.012837990576891</v>
      </c>
      <c r="P405" s="52">
        <f>((O405*O405*(I405/100)*(K405/100))/(L405-1))</f>
        <v>1.4416660528651676E-2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49"/>
        <v>0</v>
      </c>
      <c r="D406" s="19">
        <f t="shared" si="49"/>
        <v>2.8989422735606087E-2</v>
      </c>
      <c r="E406" s="19">
        <f t="shared" si="49"/>
        <v>0.31888365009166697</v>
      </c>
      <c r="F406" s="34">
        <f t="shared" si="49"/>
        <v>23.645705811342697</v>
      </c>
      <c r="G406" s="20">
        <f t="shared" si="49"/>
        <v>1.1595769094242436</v>
      </c>
      <c r="H406" s="17">
        <f>SUM(C406:G406)</f>
        <v>25.153155793594212</v>
      </c>
      <c r="I406" s="17">
        <f>F406/H406*100</f>
        <v>94.006915097963898</v>
      </c>
      <c r="J406" s="17">
        <f>SQRT(I406*(100-I406)/(L406-1))</f>
        <v>0.46531973236521851</v>
      </c>
      <c r="K406" s="18">
        <f>100-I406</f>
        <v>5.9930849020361023</v>
      </c>
      <c r="L406" s="1">
        <f>H395</f>
        <v>2603</v>
      </c>
      <c r="M406">
        <v>3</v>
      </c>
      <c r="N406" s="1">
        <v>46377.61</v>
      </c>
      <c r="O406" s="17">
        <f>N406/N408*100</f>
        <v>25.153155793594216</v>
      </c>
      <c r="P406" s="52">
        <f>((O406*O406*(I406/100)*(K406/100))/(L406-1))</f>
        <v>1.3698969564040386E-2</v>
      </c>
    </row>
    <row r="407" spans="1:40" x14ac:dyDescent="0.3">
      <c r="A407" t="s">
        <v>7</v>
      </c>
      <c r="B407" s="13">
        <v>4</v>
      </c>
      <c r="C407" s="35">
        <f t="shared" si="49"/>
        <v>0</v>
      </c>
      <c r="D407" s="36">
        <f t="shared" si="49"/>
        <v>0</v>
      </c>
      <c r="E407" s="21">
        <f t="shared" si="49"/>
        <v>0.21505845219236758</v>
      </c>
      <c r="F407" s="21">
        <f t="shared" si="49"/>
        <v>1.7204676175389406</v>
      </c>
      <c r="G407" s="37">
        <f t="shared" si="49"/>
        <v>8.3872796355023365</v>
      </c>
      <c r="H407" s="17">
        <f>SUM(C407:G407)</f>
        <v>10.322805705233645</v>
      </c>
      <c r="I407" s="17">
        <f>G407/H407*100</f>
        <v>81.25</v>
      </c>
      <c r="J407" s="17">
        <f>SQRT(I407*(100-I407)/(L407-1))</f>
        <v>1.260384394416743</v>
      </c>
      <c r="K407" s="18">
        <f>100-I407</f>
        <v>18.75</v>
      </c>
      <c r="L407" s="1">
        <f>H396</f>
        <v>960</v>
      </c>
      <c r="M407">
        <v>4</v>
      </c>
      <c r="N407" s="1">
        <v>19033.28</v>
      </c>
      <c r="O407" s="17">
        <f>N407/N408*100</f>
        <v>10.322805705233645</v>
      </c>
      <c r="P407" s="52">
        <f>((O407*O407*(I407/100)*(K407/100))/(L407-1))</f>
        <v>1.69278398213152E-2</v>
      </c>
      <c r="AM407" s="78"/>
      <c r="AN407" s="78"/>
    </row>
    <row r="408" spans="1:40" x14ac:dyDescent="0.3">
      <c r="B408" t="s">
        <v>28</v>
      </c>
      <c r="C408" s="17">
        <f t="shared" ref="C408:H408" si="50">SUM(C403:C407)</f>
        <v>1.4111983845613492</v>
      </c>
      <c r="D408" s="17">
        <f t="shared" si="50"/>
        <v>4.7988930202181486</v>
      </c>
      <c r="E408" s="17">
        <f t="shared" si="50"/>
        <v>58.031183896828978</v>
      </c>
      <c r="F408" s="17">
        <f t="shared" si="50"/>
        <v>26.052090994389086</v>
      </c>
      <c r="G408" s="17">
        <f t="shared" si="50"/>
        <v>9.706633704002428</v>
      </c>
      <c r="H408" s="18">
        <f t="shared" si="50"/>
        <v>99.999999999999986</v>
      </c>
      <c r="I408" s="13" t="s">
        <v>24</v>
      </c>
      <c r="J408" s="12" t="s">
        <v>29</v>
      </c>
      <c r="N408" s="1">
        <f>SUM(N403:N407)</f>
        <v>184380.88</v>
      </c>
      <c r="O408" s="17">
        <f>SUM(O403:O407)</f>
        <v>99.999999999999986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0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0.11218483844001621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0.1536244589043492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0.18578902962949717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0.17020152432359098</v>
      </c>
      <c r="H409" s="1"/>
      <c r="I409" s="56">
        <f>(C403+D404+E405+F406+G407)/H408</f>
        <v>0.9431576365888189</v>
      </c>
      <c r="J409" s="53">
        <f>SQRT(SUM(P403:P407))/100</f>
        <v>2.2175551749122864E-3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77.62364491636788</v>
      </c>
      <c r="E410" s="17">
        <f>E405/E408*100</f>
        <v>98.475509738252427</v>
      </c>
      <c r="F410" s="17">
        <f>F406/F408*100</f>
        <v>90.763178343094765</v>
      </c>
      <c r="G410" s="17">
        <f>G407/G408*100</f>
        <v>86.407707257397902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3.3465030655746415</v>
      </c>
      <c r="E411" s="18">
        <f>SQRT((E414+E415)/(E408*E408))</f>
        <v>0.16579972943706478</v>
      </c>
      <c r="F411" s="18">
        <f>SQRT((F414+F415)/(F408*F408))</f>
        <v>0.652044690417382</v>
      </c>
      <c r="G411" s="18">
        <f>SQRT((G414+G415)/(G408*G408))</f>
        <v>2.0676761265919432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22.37635508363212</v>
      </c>
      <c r="E412" s="18">
        <f>100-E410</f>
        <v>1.5244902617475731</v>
      </c>
      <c r="F412" s="18">
        <f>100-F410</f>
        <v>9.236821656905235</v>
      </c>
      <c r="G412" s="18">
        <f>100-G410</f>
        <v>13.592292742602098</v>
      </c>
    </row>
    <row r="413" spans="1:40" ht="15.6" x14ac:dyDescent="0.35">
      <c r="B413" s="1" t="s">
        <v>25</v>
      </c>
      <c r="C413" s="1">
        <f>C397</f>
        <v>169</v>
      </c>
      <c r="D413" s="1">
        <f>D397</f>
        <v>442</v>
      </c>
      <c r="E413" s="1">
        <f>E397</f>
        <v>7247</v>
      </c>
      <c r="F413" s="1">
        <f>F397</f>
        <v>2693</v>
      </c>
      <c r="G413" s="1">
        <f>G397</f>
        <v>919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206.89174742210798</v>
      </c>
      <c r="E414" s="18">
        <f>(O405*O405*(100-E410)*(100-E410)*(I405)*(100-I405))/((L405-1)*100)</f>
        <v>3.3505336281672649</v>
      </c>
      <c r="F414" s="18">
        <f>(O406*O406*(100-F410)*(100-F410)*(I406)*(100-I406))/((L406-1)*100)</f>
        <v>116.87806625680533</v>
      </c>
      <c r="G414" s="18">
        <f>(O407*O407*(100-G410)*(100-G410)*(I407)*(100-I407))/((L407-1)*100)</f>
        <v>312.74255505464367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51.016120555008655</v>
      </c>
      <c r="E415" s="18">
        <f>E410*E410*(SUM((H403*E403*(1-E392/H392))/(H392-1),(H404*E404*(1-E393/H393))/(H393-1), (H406*E406*(1-E395/H395))/(H395-1),(H407*E407*(1-E396/H396))/(H396-1)))</f>
        <v>89.223779081070433</v>
      </c>
      <c r="F415" s="18">
        <f>F410*F410*(SUM((H403*F403*(1-F392/H392))/(H392-1),(H404*F404*(1-F393/H393))/(H393-1), (H405*F405*(1-F394/H394))/(H394-1),(H407*F407*(1-F396/H396))/(H396-1)))</f>
        <v>171.68443808519649</v>
      </c>
      <c r="G415" s="18">
        <f>G410*G410*(SUM((H403*G403*(1-G392/H392))/(H392-1),(H404*G404*(1-G393/H393))/(H393-1), (H405*G405*(1-G394/H394))/(H394-1),(H406*G406*(1-G395/H395))/(H395-1)))</f>
        <v>90.069360618553389</v>
      </c>
      <c r="AM415" s="78"/>
      <c r="AN415" s="78"/>
    </row>
    <row r="417" spans="1:40" x14ac:dyDescent="0.3">
      <c r="AM417" s="78"/>
      <c r="AN417" s="78"/>
    </row>
    <row r="418" spans="1:40" x14ac:dyDescent="0.3">
      <c r="A418" s="361" t="s">
        <v>449</v>
      </c>
      <c r="B418" s="361"/>
      <c r="C418" s="361"/>
      <c r="D418" s="361"/>
      <c r="E418" s="361"/>
      <c r="F418" s="361"/>
      <c r="G418" s="361"/>
      <c r="H418" s="361"/>
      <c r="I418" s="361"/>
      <c r="J418" s="361"/>
      <c r="K418" s="361"/>
      <c r="L418" s="361" t="s">
        <v>92</v>
      </c>
      <c r="M418" s="361"/>
      <c r="N418" s="361"/>
      <c r="O418" s="361"/>
      <c r="P418" s="361"/>
    </row>
    <row r="419" spans="1:40" x14ac:dyDescent="0.3">
      <c r="A419" t="s">
        <v>15</v>
      </c>
      <c r="B419" t="s">
        <v>21</v>
      </c>
      <c r="I419" s="1" t="s">
        <v>58</v>
      </c>
      <c r="O419" s="143"/>
      <c r="P419" s="143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56</v>
      </c>
      <c r="O420" s="13"/>
      <c r="P420" s="13"/>
    </row>
    <row r="421" spans="1:40" x14ac:dyDescent="0.3">
      <c r="A421" t="s">
        <v>3</v>
      </c>
      <c r="B421" s="13">
        <v>0</v>
      </c>
      <c r="C421" s="26">
        <v>169</v>
      </c>
      <c r="D421" s="3">
        <v>0</v>
      </c>
      <c r="E421" s="3">
        <v>0</v>
      </c>
      <c r="F421" s="3">
        <v>0</v>
      </c>
      <c r="G421" s="4">
        <v>0</v>
      </c>
      <c r="H421" s="1">
        <f>SUM(C421:G421)</f>
        <v>169</v>
      </c>
      <c r="I421" s="10">
        <f>C421/H421</f>
        <v>1</v>
      </c>
      <c r="J421" s="11">
        <f>1-I421</f>
        <v>0</v>
      </c>
      <c r="K421">
        <f>H421-C426</f>
        <v>0</v>
      </c>
      <c r="N421" s="10">
        <f>2*(C427*I421)/(C427+I421)</f>
        <v>1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311</v>
      </c>
      <c r="E422" s="1">
        <v>26</v>
      </c>
      <c r="F422" s="1">
        <v>0</v>
      </c>
      <c r="G422" s="6">
        <v>2</v>
      </c>
      <c r="H422" s="1">
        <f>SUM(C422:G422)</f>
        <v>339</v>
      </c>
      <c r="I422" s="10">
        <f>D422/H422</f>
        <v>0.91740412979351027</v>
      </c>
      <c r="J422" s="11">
        <f>1-I422</f>
        <v>8.259587020648973E-2</v>
      </c>
      <c r="K422">
        <f>H422-D426</f>
        <v>-124</v>
      </c>
      <c r="N422" s="10">
        <f>2*(D427*I422)/(D427+I422)</f>
        <v>0.77556109725685773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150</v>
      </c>
      <c r="E423" s="27">
        <v>7149</v>
      </c>
      <c r="F423" s="1">
        <v>84</v>
      </c>
      <c r="G423" s="6">
        <v>16</v>
      </c>
      <c r="H423" s="1">
        <f>SUM(C423:G423)</f>
        <v>7399</v>
      </c>
      <c r="I423" s="10">
        <f>E423/H423</f>
        <v>0.96621165022300315</v>
      </c>
      <c r="J423" s="11">
        <f>1-I423</f>
        <v>3.3788349776996851E-2</v>
      </c>
      <c r="K423">
        <f>H423-E426</f>
        <v>180</v>
      </c>
      <c r="N423" s="10">
        <f>2*(E427*I423)/(E427+I423)</f>
        <v>0.97810918046244355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2</v>
      </c>
      <c r="E424" s="1">
        <v>25</v>
      </c>
      <c r="F424" s="27">
        <v>2466</v>
      </c>
      <c r="G424" s="6">
        <v>110</v>
      </c>
      <c r="H424" s="1">
        <f>SUM(C424:G424)</f>
        <v>2603</v>
      </c>
      <c r="I424" s="10">
        <f>F424/H424</f>
        <v>0.94736842105263153</v>
      </c>
      <c r="J424" s="11">
        <f>1-I424</f>
        <v>5.2631578947368474E-2</v>
      </c>
      <c r="K424">
        <f>H424-F426</f>
        <v>-105</v>
      </c>
      <c r="N424" s="10">
        <f>2*(F427*I424)/(F427+I424)</f>
        <v>0.92863867444925619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0</v>
      </c>
      <c r="E425" s="8">
        <v>19</v>
      </c>
      <c r="F425" s="8">
        <v>158</v>
      </c>
      <c r="G425" s="28">
        <v>783</v>
      </c>
      <c r="H425" s="1">
        <f>SUM(C425:G425)</f>
        <v>960</v>
      </c>
      <c r="I425" s="10">
        <f>G425/H425</f>
        <v>0.81562500000000004</v>
      </c>
      <c r="J425" s="11">
        <f>1-I425</f>
        <v>0.18437499999999996</v>
      </c>
      <c r="K425">
        <f>H425-G426</f>
        <v>49</v>
      </c>
      <c r="N425" s="10">
        <f>2*(G427*I425)/(G427+I425)</f>
        <v>0.83698556921432377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169</v>
      </c>
      <c r="D426" s="1">
        <f>SUM(D421:D425)</f>
        <v>463</v>
      </c>
      <c r="E426" s="1">
        <f>SUM(E421:E425)</f>
        <v>7219</v>
      </c>
      <c r="F426" s="1">
        <f>SUM(F421:F425)</f>
        <v>2708</v>
      </c>
      <c r="G426" s="1">
        <f>SUM(G421:G425)</f>
        <v>911</v>
      </c>
      <c r="H426" s="1">
        <f>SUM(H420:H425)</f>
        <v>11470</v>
      </c>
      <c r="I426" s="13" t="s">
        <v>12</v>
      </c>
      <c r="N426" s="16"/>
      <c r="O426" s="1"/>
      <c r="P426" s="1"/>
    </row>
    <row r="427" spans="1:40" x14ac:dyDescent="0.3">
      <c r="A427" s="1" t="s">
        <v>57</v>
      </c>
      <c r="B427" s="1" t="s">
        <v>2</v>
      </c>
      <c r="C427" s="10">
        <f>C421/C426</f>
        <v>1</v>
      </c>
      <c r="D427" s="10">
        <f>D422/D426</f>
        <v>0.67170626349892004</v>
      </c>
      <c r="E427" s="10">
        <f>E423/E426</f>
        <v>0.99030336611719072</v>
      </c>
      <c r="F427" s="10">
        <f>F424/F426</f>
        <v>0.91063515509601178</v>
      </c>
      <c r="G427" s="10">
        <f>G425/G426</f>
        <v>0.85949506037321621</v>
      </c>
      <c r="H427" s="10"/>
      <c r="I427" s="14">
        <f>(C421+D422+E423+F424+G425)/H426</f>
        <v>0.94838709677419353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0.32829373650107996</v>
      </c>
      <c r="E428" s="11">
        <f>1-E427</f>
        <v>9.6966338828092802E-3</v>
      </c>
      <c r="F428" s="11">
        <f>1-F427</f>
        <v>8.9364844903988216E-2</v>
      </c>
      <c r="G428" s="11">
        <f>1-G427</f>
        <v>0.14050493962678379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1.4043592806369076</v>
      </c>
      <c r="D432" s="31">
        <f>(D421/$L432)*$O432</f>
        <v>0</v>
      </c>
      <c r="E432" s="31">
        <f>(E421/$L432)*$O432</f>
        <v>0</v>
      </c>
      <c r="F432" s="31">
        <f>(F421/$L432)*$O432</f>
        <v>0</v>
      </c>
      <c r="G432" s="32">
        <f>(G421/$L432)*$O432</f>
        <v>0</v>
      </c>
      <c r="H432" s="17">
        <f>SUM(C432:G432)</f>
        <v>1.4043592806369076</v>
      </c>
      <c r="I432" s="17">
        <f>C432/H432*100</f>
        <v>100</v>
      </c>
      <c r="J432" s="17">
        <f>SQRT(I432*(100-I432)/(L432-1))</f>
        <v>0</v>
      </c>
      <c r="K432" s="18">
        <f>100-I432</f>
        <v>0</v>
      </c>
      <c r="L432" s="1">
        <f>H421</f>
        <v>169</v>
      </c>
      <c r="M432">
        <v>0</v>
      </c>
      <c r="N432" s="1">
        <v>2589.37</v>
      </c>
      <c r="O432" s="17">
        <f>N432/N437*100</f>
        <v>1.4043592806369076</v>
      </c>
      <c r="P432" s="52">
        <f>((O432*O432*(I432/100)*(K432/100))/(L432-1))</f>
        <v>0</v>
      </c>
    </row>
    <row r="433" spans="1:40" x14ac:dyDescent="0.3">
      <c r="A433" t="s">
        <v>4</v>
      </c>
      <c r="B433" s="13">
        <v>1</v>
      </c>
      <c r="C433" s="33">
        <f t="shared" ref="C433:G436" si="51">(C422/$L433)*$O433</f>
        <v>0</v>
      </c>
      <c r="D433" s="34">
        <f t="shared" si="51"/>
        <v>3.9774737442653643</v>
      </c>
      <c r="E433" s="19">
        <f t="shared" si="51"/>
        <v>0.33252192074244208</v>
      </c>
      <c r="F433" s="18">
        <f t="shared" si="51"/>
        <v>0</v>
      </c>
      <c r="G433" s="20">
        <f t="shared" si="51"/>
        <v>2.5578609287880159E-2</v>
      </c>
      <c r="H433" s="17">
        <f>SUM(C433:G433)</f>
        <v>4.335574274295686</v>
      </c>
      <c r="I433" s="17">
        <f>D433/H433*100</f>
        <v>91.740412979351035</v>
      </c>
      <c r="J433" s="17">
        <f>SQRT(I433*(100-I433)/(L433-1))</f>
        <v>1.4972735816949052</v>
      </c>
      <c r="K433" s="18">
        <f>100-I433</f>
        <v>8.259587020648965</v>
      </c>
      <c r="L433" s="1">
        <f>H422</f>
        <v>339</v>
      </c>
      <c r="M433">
        <v>1</v>
      </c>
      <c r="N433" s="1">
        <v>7993.97</v>
      </c>
      <c r="O433" s="17">
        <f>N433/N437*100</f>
        <v>4.3355742742956869</v>
      </c>
      <c r="P433" s="52">
        <f>((O433*O433*(I433/100)*(K433/100))/(L433-1))</f>
        <v>4.2140102248612926E-3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51"/>
        <v>0</v>
      </c>
      <c r="D434" s="19">
        <f t="shared" si="51"/>
        <v>1.1929742944225188</v>
      </c>
      <c r="E434" s="34">
        <f t="shared" si="51"/>
        <v>56.857154872177247</v>
      </c>
      <c r="F434" s="19">
        <f t="shared" si="51"/>
        <v>0.66806560487661049</v>
      </c>
      <c r="G434" s="20">
        <f t="shared" si="51"/>
        <v>0.12725059140506867</v>
      </c>
      <c r="H434" s="17">
        <f>SUM(C434:G434)</f>
        <v>58.845445362881442</v>
      </c>
      <c r="I434" s="17">
        <f>E434/H434*100</f>
        <v>96.621165022300318</v>
      </c>
      <c r="J434" s="17">
        <f>SQRT(I434*(100-I434)/(L434-1))</f>
        <v>0.21006923895042123</v>
      </c>
      <c r="K434" s="18">
        <f>100-I434</f>
        <v>3.3788349776996824</v>
      </c>
      <c r="L434" s="1">
        <f>H423</f>
        <v>7399</v>
      </c>
      <c r="M434">
        <v>2</v>
      </c>
      <c r="N434" s="1">
        <v>108499.75</v>
      </c>
      <c r="O434" s="17">
        <f>N434/N437*100</f>
        <v>58.845445362881442</v>
      </c>
      <c r="P434" s="52">
        <f>((O434*O434*(I434/100)*(K434/100))/(L434-1))</f>
        <v>1.5280959767619036E-2</v>
      </c>
    </row>
    <row r="435" spans="1:40" x14ac:dyDescent="0.3">
      <c r="A435" t="s">
        <v>6</v>
      </c>
      <c r="B435" s="13">
        <v>3</v>
      </c>
      <c r="C435" s="33">
        <f t="shared" si="51"/>
        <v>0</v>
      </c>
      <c r="D435" s="19">
        <f t="shared" si="51"/>
        <v>1.9214389470239835E-2</v>
      </c>
      <c r="E435" s="19">
        <f t="shared" si="51"/>
        <v>0.24017986837799796</v>
      </c>
      <c r="F435" s="34">
        <f t="shared" si="51"/>
        <v>23.691342216805715</v>
      </c>
      <c r="G435" s="20">
        <f t="shared" si="51"/>
        <v>1.056791420863191</v>
      </c>
      <c r="H435" s="17">
        <f>SUM(C435:G435)</f>
        <v>25.007527895517146</v>
      </c>
      <c r="I435" s="17">
        <f>F435/H435*100</f>
        <v>94.73684210526315</v>
      </c>
      <c r="J435" s="17">
        <f>SQRT(I435*(100-I435)/(L435-1))</f>
        <v>0.43775287342218</v>
      </c>
      <c r="K435" s="18">
        <f>100-I435</f>
        <v>5.2631578947368496</v>
      </c>
      <c r="L435" s="1">
        <f>H424</f>
        <v>2603</v>
      </c>
      <c r="M435">
        <v>3</v>
      </c>
      <c r="N435" s="1">
        <v>46109.1</v>
      </c>
      <c r="O435" s="17">
        <f>N435/N437*100</f>
        <v>25.007527895517146</v>
      </c>
      <c r="P435" s="52">
        <f>((O435*O435*(I435/100)*(K435/100))/(L435-1))</f>
        <v>1.1983937484708379E-2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51"/>
        <v>0</v>
      </c>
      <c r="D436" s="36">
        <f t="shared" si="51"/>
        <v>0</v>
      </c>
      <c r="E436" s="21">
        <f t="shared" si="51"/>
        <v>0.20597371931948688</v>
      </c>
      <c r="F436" s="21">
        <f t="shared" si="51"/>
        <v>1.7128340869725753</v>
      </c>
      <c r="G436" s="37">
        <f t="shared" si="51"/>
        <v>8.48828538037675</v>
      </c>
      <c r="H436" s="17">
        <f>SUM(C436:G436)</f>
        <v>10.407093186668812</v>
      </c>
      <c r="I436" s="17">
        <f>G436/H436*100</f>
        <v>81.5625</v>
      </c>
      <c r="J436" s="17">
        <f>SQRT(I436*(100-I436)/(L436-1))</f>
        <v>1.2522382853953165</v>
      </c>
      <c r="K436" s="18">
        <f>100-I436</f>
        <v>18.4375</v>
      </c>
      <c r="L436" s="1">
        <f>H425</f>
        <v>960</v>
      </c>
      <c r="M436">
        <v>4</v>
      </c>
      <c r="N436" s="1">
        <v>19188.689999999999</v>
      </c>
      <c r="O436" s="17">
        <f>N436/N437*100</f>
        <v>10.407093186668812</v>
      </c>
      <c r="P436" s="52">
        <f>((O436*O436*(I436/100)*(K436/100))/(L436-1))</f>
        <v>1.6983720802817202E-2</v>
      </c>
    </row>
    <row r="437" spans="1:40" x14ac:dyDescent="0.3">
      <c r="B437" t="s">
        <v>28</v>
      </c>
      <c r="C437" s="17">
        <f t="shared" ref="C437:H437" si="52">SUM(C432:C436)</f>
        <v>1.4043592806369076</v>
      </c>
      <c r="D437" s="17">
        <f t="shared" si="52"/>
        <v>5.1896624281581234</v>
      </c>
      <c r="E437" s="17">
        <f t="shared" si="52"/>
        <v>57.635830380617179</v>
      </c>
      <c r="F437" s="17">
        <f t="shared" si="52"/>
        <v>26.072241908654899</v>
      </c>
      <c r="G437" s="17">
        <f t="shared" si="52"/>
        <v>9.6979060019328891</v>
      </c>
      <c r="H437" s="18">
        <f t="shared" si="52"/>
        <v>100</v>
      </c>
      <c r="I437" s="13" t="s">
        <v>24</v>
      </c>
      <c r="J437" s="12" t="s">
        <v>29</v>
      </c>
      <c r="N437" s="1">
        <f>SUM(N432:N436)</f>
        <v>184380.88</v>
      </c>
      <c r="O437" s="17">
        <f>SUM(O432:O436)</f>
        <v>100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0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0.11696838544779181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0.15388130242035605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0.18095458821771021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0.16740622025260374</v>
      </c>
      <c r="H438" s="1"/>
      <c r="I438" s="56">
        <f>(C432+D433+E434+F435+G436)/H437</f>
        <v>0.94418615494261982</v>
      </c>
      <c r="J438" s="53">
        <f>SQRT(SUM(P432:P436))/100</f>
        <v>2.2014229098473084E-3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76.642244063589686</v>
      </c>
      <c r="E439" s="17">
        <f>E434/E437*100</f>
        <v>98.648973211112448</v>
      </c>
      <c r="F439" s="17">
        <f>F435/F437*100</f>
        <v>90.86806688818416</v>
      </c>
      <c r="G439" s="17">
        <f>G436/G437*100</f>
        <v>87.526991689597224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3.2564382284331663</v>
      </c>
      <c r="E440" s="18">
        <f>SQRT((E443+E444)/(E437*E437))</f>
        <v>0.15966447570147685</v>
      </c>
      <c r="F440" s="18">
        <f>SQRT((F443+F444)/(F437*F437))</f>
        <v>0.63202508826239556</v>
      </c>
      <c r="G440" s="18">
        <f>SQRT((G443+G444)/(G437*G437))</f>
        <v>1.9263042577142555</v>
      </c>
      <c r="H440" s="1"/>
    </row>
    <row r="441" spans="1:40" x14ac:dyDescent="0.3">
      <c r="B441" s="1" t="s">
        <v>37</v>
      </c>
      <c r="C441" s="18">
        <f>100-C439</f>
        <v>0</v>
      </c>
      <c r="D441" s="18">
        <f>100-D439</f>
        <v>23.357755936410314</v>
      </c>
      <c r="E441" s="18">
        <f>100-E439</f>
        <v>1.3510267888875518</v>
      </c>
      <c r="F441" s="18">
        <f>100-F439</f>
        <v>9.1319331118158402</v>
      </c>
      <c r="G441" s="18">
        <f>100-G439</f>
        <v>12.473008310402776</v>
      </c>
      <c r="AM441" s="78"/>
      <c r="AN441" s="78"/>
    </row>
    <row r="442" spans="1:40" ht="15.6" x14ac:dyDescent="0.35">
      <c r="B442" s="1" t="s">
        <v>25</v>
      </c>
      <c r="C442" s="1">
        <f>C426</f>
        <v>169</v>
      </c>
      <c r="D442" s="1">
        <f>D426</f>
        <v>463</v>
      </c>
      <c r="E442" s="1">
        <f>E426</f>
        <v>7219</v>
      </c>
      <c r="F442" s="1">
        <f>F426</f>
        <v>2708</v>
      </c>
      <c r="G442" s="1">
        <f>G426</f>
        <v>911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229.9099767218535</v>
      </c>
      <c r="E443" s="18">
        <f>(O434*O434*(100-E439)*(100-E439)*(I434)*(100-I434))/((L434-1)*100)</f>
        <v>2.7891929150268986</v>
      </c>
      <c r="F443" s="18">
        <f>(O435*O435*(100-F439)*(100-F439)*(I435)*(100-I435))/((L435-1)*100)</f>
        <v>99.936693977855413</v>
      </c>
      <c r="G443" s="18">
        <f>(O436*O436*(100-G439)*(100-G439)*(I436)*(100-I436))/((L436-1)*100)</f>
        <v>264.22582659492917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55.693774493973983</v>
      </c>
      <c r="E444" s="18">
        <f>E439*E439*(SUM((H432*E432*(1-E421/H421))/(H421-1),(H433*E433*(1-E422/H422))/(H422-1), (H435*E435*(1-E424/H424))/(H424-1),(H436*E436*(1-E425/H425))/(H425-1)))</f>
        <v>81.894874183135741</v>
      </c>
      <c r="F444" s="18">
        <f>F439*F439*(SUM((H432*F432*(1-F421/H421))/(H421-1),(H433*F433*(1-F422/H422))/(H422-1), (H434*F434*(1-F423/H423))/(H423-1),(H436*F436*(1-F425/H425))/(H425-1)))</f>
        <v>171.59803922117945</v>
      </c>
      <c r="G444" s="18">
        <f>G439*G439*(SUM((H432*G432*(1-G421/H421))/(H421-1),(H433*G433*(1-G422/H422))/(H422-1), (H434*G434*(1-G423/H423))/(H423-1),(H435*G435*(1-G424/H424))/(H424-1)))</f>
        <v>84.758329028358119</v>
      </c>
    </row>
    <row r="445" spans="1:40" x14ac:dyDescent="0.3">
      <c r="AM445" s="78"/>
      <c r="AN445" s="78"/>
    </row>
    <row r="447" spans="1:40" x14ac:dyDescent="0.3">
      <c r="A447" s="361" t="s">
        <v>449</v>
      </c>
      <c r="B447" s="361"/>
      <c r="C447" s="361"/>
      <c r="D447" s="361"/>
      <c r="E447" s="361"/>
      <c r="F447" s="361"/>
      <c r="G447" s="361"/>
      <c r="H447" s="361"/>
      <c r="I447" s="361"/>
      <c r="J447" s="361"/>
      <c r="K447" s="361"/>
      <c r="L447" s="361" t="s">
        <v>93</v>
      </c>
      <c r="M447" s="361"/>
      <c r="N447" s="361"/>
      <c r="O447" s="361"/>
      <c r="P447" s="361"/>
      <c r="AM447" s="78"/>
      <c r="AN447" s="78"/>
    </row>
    <row r="448" spans="1:40" x14ac:dyDescent="0.3">
      <c r="A448" t="s">
        <v>15</v>
      </c>
      <c r="B448" t="s">
        <v>21</v>
      </c>
      <c r="I448" s="1" t="s">
        <v>58</v>
      </c>
      <c r="O448" s="143"/>
      <c r="P448" s="143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56</v>
      </c>
      <c r="O449" s="13"/>
      <c r="P449" s="13"/>
      <c r="AM449" s="78"/>
      <c r="AN449" s="78"/>
    </row>
    <row r="450" spans="1:40" x14ac:dyDescent="0.3">
      <c r="A450" t="s">
        <v>3</v>
      </c>
      <c r="B450" s="13">
        <v>0</v>
      </c>
      <c r="C450" s="26">
        <v>169</v>
      </c>
      <c r="D450" s="3">
        <v>0</v>
      </c>
      <c r="E450" s="3">
        <v>0</v>
      </c>
      <c r="F450" s="3">
        <v>0</v>
      </c>
      <c r="G450" s="4">
        <v>0</v>
      </c>
      <c r="H450" s="1">
        <f>SUM(C450:G450)</f>
        <v>169</v>
      </c>
      <c r="I450" s="10">
        <f>C450/H450</f>
        <v>1</v>
      </c>
      <c r="J450" s="11">
        <f>1-I450</f>
        <v>0</v>
      </c>
      <c r="K450">
        <f>H450-C455</f>
        <v>0</v>
      </c>
      <c r="N450" s="10">
        <f>2*(C456*I450)/(C456+I450)</f>
        <v>1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306</v>
      </c>
      <c r="E451" s="1">
        <v>30</v>
      </c>
      <c r="F451" s="1">
        <v>0</v>
      </c>
      <c r="G451" s="6">
        <v>3</v>
      </c>
      <c r="H451" s="1">
        <f>SUM(C451:G451)</f>
        <v>339</v>
      </c>
      <c r="I451" s="10">
        <f>D451/H451</f>
        <v>0.90265486725663713</v>
      </c>
      <c r="J451" s="11">
        <f>1-I451</f>
        <v>9.7345132743362872E-2</v>
      </c>
      <c r="K451">
        <f>H451-D455</f>
        <v>-116</v>
      </c>
      <c r="N451" s="10">
        <f>2*(D456*I451)/(D456+I451)</f>
        <v>0.77078085642317384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148</v>
      </c>
      <c r="E452" s="27">
        <v>7150</v>
      </c>
      <c r="F452" s="1">
        <v>86</v>
      </c>
      <c r="G452" s="6">
        <v>15</v>
      </c>
      <c r="H452" s="1">
        <f>SUM(C452:G452)</f>
        <v>7399</v>
      </c>
      <c r="I452" s="10">
        <f>E452/H452</f>
        <v>0.96634680362211112</v>
      </c>
      <c r="J452" s="11">
        <f>1-I452</f>
        <v>3.3653196377888883E-2</v>
      </c>
      <c r="K452">
        <f>H452-E455</f>
        <v>172</v>
      </c>
      <c r="N452" s="10">
        <f>2*(E456*I452)/(E456+I452)</f>
        <v>0.9777109257486668</v>
      </c>
      <c r="O452" s="1"/>
      <c r="P452" s="1"/>
    </row>
    <row r="453" spans="1:40" x14ac:dyDescent="0.3">
      <c r="A453" t="s">
        <v>6</v>
      </c>
      <c r="B453" s="13">
        <v>3</v>
      </c>
      <c r="C453" s="5">
        <v>0</v>
      </c>
      <c r="D453" s="1">
        <v>1</v>
      </c>
      <c r="E453" s="1">
        <v>29</v>
      </c>
      <c r="F453" s="27">
        <v>2455</v>
      </c>
      <c r="G453" s="6">
        <v>118</v>
      </c>
      <c r="H453" s="1">
        <f>SUM(C453:G453)</f>
        <v>2603</v>
      </c>
      <c r="I453" s="10">
        <f>F453/H453</f>
        <v>0.94314252785247787</v>
      </c>
      <c r="J453" s="11">
        <f>1-I453</f>
        <v>5.6857472147522126E-2</v>
      </c>
      <c r="K453">
        <f>H453-F455</f>
        <v>-86</v>
      </c>
      <c r="N453" s="10">
        <f>2*(F456*I453)/(F456+I453)</f>
        <v>0.92781557067271347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0</v>
      </c>
      <c r="E454" s="8">
        <v>18</v>
      </c>
      <c r="F454" s="8">
        <v>148</v>
      </c>
      <c r="G454" s="28">
        <v>794</v>
      </c>
      <c r="H454" s="1">
        <f>SUM(C454:G454)</f>
        <v>960</v>
      </c>
      <c r="I454" s="10">
        <f>G454/H454</f>
        <v>0.82708333333333328</v>
      </c>
      <c r="J454" s="11">
        <f>1-I454</f>
        <v>0.17291666666666672</v>
      </c>
      <c r="K454">
        <f>H454-G455</f>
        <v>30</v>
      </c>
      <c r="N454" s="10">
        <f>2*(G456*I454)/(G456+I454)</f>
        <v>0.8402116402116403</v>
      </c>
      <c r="O454" s="1"/>
      <c r="P454" s="1"/>
    </row>
    <row r="455" spans="1:40" ht="15.6" x14ac:dyDescent="0.35">
      <c r="B455" s="1" t="s">
        <v>19</v>
      </c>
      <c r="C455" s="1">
        <f>SUM(C450:C454)</f>
        <v>169</v>
      </c>
      <c r="D455" s="1">
        <f>SUM(D450:D454)</f>
        <v>455</v>
      </c>
      <c r="E455" s="1">
        <f>SUM(E450:E454)</f>
        <v>7227</v>
      </c>
      <c r="F455" s="1">
        <f>SUM(F450:F454)</f>
        <v>2689</v>
      </c>
      <c r="G455" s="1">
        <f>SUM(G450:G454)</f>
        <v>930</v>
      </c>
      <c r="H455" s="1">
        <f>SUM(H449:H454)</f>
        <v>11470</v>
      </c>
      <c r="I455" s="13" t="s">
        <v>12</v>
      </c>
      <c r="N455" s="16"/>
      <c r="O455" s="1"/>
      <c r="P455" s="1"/>
      <c r="AM455" s="78"/>
      <c r="AN455" s="78"/>
    </row>
    <row r="456" spans="1:40" x14ac:dyDescent="0.3">
      <c r="A456" s="1" t="s">
        <v>57</v>
      </c>
      <c r="B456" s="1" t="s">
        <v>2</v>
      </c>
      <c r="C456" s="10">
        <f>C450/C455</f>
        <v>1</v>
      </c>
      <c r="D456" s="10">
        <f>D451/D455</f>
        <v>0.67252747252747258</v>
      </c>
      <c r="E456" s="10">
        <f>E452/E455</f>
        <v>0.98934550989345504</v>
      </c>
      <c r="F456" s="10">
        <f>F453/F455</f>
        <v>0.91297880252882113</v>
      </c>
      <c r="G456" s="10">
        <f>G454/G455</f>
        <v>0.85376344086021505</v>
      </c>
      <c r="H456" s="10"/>
      <c r="I456" s="14">
        <f>(C450+D451+E452+F453+G454)/H455</f>
        <v>0.94803836094158678</v>
      </c>
    </row>
    <row r="457" spans="1:40" x14ac:dyDescent="0.3">
      <c r="B457" s="1" t="s">
        <v>14</v>
      </c>
      <c r="C457" s="11">
        <f>1-C456</f>
        <v>0</v>
      </c>
      <c r="D457" s="11">
        <f>1-D456</f>
        <v>0.32747252747252742</v>
      </c>
      <c r="E457" s="11">
        <f>1-E456</f>
        <v>1.0654490106544956E-2</v>
      </c>
      <c r="F457" s="11">
        <f>1-F456</f>
        <v>8.7021197471178868E-2</v>
      </c>
      <c r="G457" s="11">
        <f>1-G456</f>
        <v>0.14623655913978495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1.3815532282956888</v>
      </c>
      <c r="D461" s="31">
        <f>(D450/$L461)*$O461</f>
        <v>0</v>
      </c>
      <c r="E461" s="31">
        <f>(E450/$L461)*$O461</f>
        <v>0</v>
      </c>
      <c r="F461" s="31">
        <f>(F450/$L461)*$O461</f>
        <v>0</v>
      </c>
      <c r="G461" s="32">
        <f>(G450/$L461)*$O461</f>
        <v>0</v>
      </c>
      <c r="H461" s="17">
        <f>SUM(C461:G461)</f>
        <v>1.3815532282956888</v>
      </c>
      <c r="I461" s="17">
        <f>C461/H461*100</f>
        <v>100</v>
      </c>
      <c r="J461" s="17">
        <f>SQRT(I461*(100-I461)/(L461-1))</f>
        <v>0</v>
      </c>
      <c r="K461" s="18">
        <f>100-I461</f>
        <v>0</v>
      </c>
      <c r="L461" s="1">
        <f>H450</f>
        <v>169</v>
      </c>
      <c r="M461">
        <v>0</v>
      </c>
      <c r="N461" s="1">
        <v>2547.3200000000002</v>
      </c>
      <c r="O461" s="17">
        <f>N461/N466*100</f>
        <v>1.3815532282956888</v>
      </c>
      <c r="P461" s="52">
        <f>((O461*O461*(I461/100)*(K461/100))/(L461-1))</f>
        <v>0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53">(C451/$L462)*$O462</f>
        <v>0</v>
      </c>
      <c r="D462" s="34">
        <f t="shared" si="53"/>
        <v>3.8774221778003026</v>
      </c>
      <c r="E462" s="19">
        <f t="shared" si="53"/>
        <v>0.3801394291961081</v>
      </c>
      <c r="F462" s="18">
        <f t="shared" si="53"/>
        <v>0</v>
      </c>
      <c r="G462" s="20">
        <f t="shared" si="53"/>
        <v>3.8013942919610806E-2</v>
      </c>
      <c r="H462" s="17">
        <f>SUM(C462:G462)</f>
        <v>4.2955755499160215</v>
      </c>
      <c r="I462" s="17">
        <f>D462/H462*100</f>
        <v>90.265486725663706</v>
      </c>
      <c r="J462" s="17">
        <f>SQRT(I462*(100-I462)/(L462-1))</f>
        <v>1.6123511616510575</v>
      </c>
      <c r="K462" s="18">
        <f>100-I462</f>
        <v>9.7345132743362939</v>
      </c>
      <c r="L462" s="1">
        <f>H451</f>
        <v>339</v>
      </c>
      <c r="M462">
        <v>1</v>
      </c>
      <c r="N462" s="1">
        <v>7920.22</v>
      </c>
      <c r="O462" s="17">
        <f>N462/N466*100</f>
        <v>4.2955755499160215</v>
      </c>
      <c r="P462" s="52">
        <f>((O462*O462*(I462/100)*(K462/100))/(L462-1))</f>
        <v>4.7969146708978488E-3</v>
      </c>
    </row>
    <row r="463" spans="1:40" x14ac:dyDescent="0.3">
      <c r="A463" t="s">
        <v>5</v>
      </c>
      <c r="B463" s="13">
        <v>2</v>
      </c>
      <c r="C463" s="33">
        <f t="shared" si="53"/>
        <v>0</v>
      </c>
      <c r="D463" s="19">
        <f t="shared" si="53"/>
        <v>1.181481171913461</v>
      </c>
      <c r="E463" s="34">
        <f t="shared" si="53"/>
        <v>57.078313372846267</v>
      </c>
      <c r="F463" s="19">
        <f t="shared" si="53"/>
        <v>0.68653635665241663</v>
      </c>
      <c r="G463" s="20">
        <f t="shared" si="53"/>
        <v>0.11974471336960754</v>
      </c>
      <c r="H463" s="17">
        <f>SUM(C463:G463)</f>
        <v>59.066075614781752</v>
      </c>
      <c r="I463" s="17">
        <f>E463/H463*100</f>
        <v>96.634680362211114</v>
      </c>
      <c r="J463" s="17">
        <f>SQRT(I463*(100-I463)/(L463-1))</f>
        <v>0.20966334177649643</v>
      </c>
      <c r="K463" s="18">
        <f>100-I463</f>
        <v>3.3653196377888861</v>
      </c>
      <c r="L463" s="1">
        <f>H452</f>
        <v>7399</v>
      </c>
      <c r="M463">
        <v>2</v>
      </c>
      <c r="N463" s="1">
        <v>108906.55</v>
      </c>
      <c r="O463" s="17">
        <f>N463/N466*100</f>
        <v>59.066075614781752</v>
      </c>
      <c r="P463" s="52">
        <f>((O463*O463*(I463/100)*(K463/100))/(L463-1))</f>
        <v>1.5336322811017159E-2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53"/>
        <v>0</v>
      </c>
      <c r="D464" s="19">
        <f t="shared" si="53"/>
        <v>9.5400514054216068E-3</v>
      </c>
      <c r="E464" s="19">
        <f t="shared" si="53"/>
        <v>0.27666149075722657</v>
      </c>
      <c r="F464" s="34">
        <f t="shared" si="53"/>
        <v>23.420826200310046</v>
      </c>
      <c r="G464" s="20">
        <f t="shared" si="53"/>
        <v>1.1257260658397497</v>
      </c>
      <c r="H464" s="17">
        <f>SUM(C464:G464)</f>
        <v>24.832753808312443</v>
      </c>
      <c r="I464" s="17">
        <f>F464/H464*100</f>
        <v>94.314252785247803</v>
      </c>
      <c r="J464" s="17">
        <f>SQRT(I464*(100-I464)/(L464-1))</f>
        <v>0.45397171186641794</v>
      </c>
      <c r="K464" s="18">
        <f>100-I464</f>
        <v>5.6857472147521975</v>
      </c>
      <c r="L464" s="1">
        <f>H453</f>
        <v>2603</v>
      </c>
      <c r="M464">
        <v>3</v>
      </c>
      <c r="N464" s="1">
        <v>45786.85</v>
      </c>
      <c r="O464" s="17">
        <f>N464/N466*100</f>
        <v>24.832753808312443</v>
      </c>
      <c r="P464" s="52">
        <f>((O464*O464*(I464/100)*(K464/100))/(L464-1))</f>
        <v>1.2708882057818442E-2</v>
      </c>
    </row>
    <row r="465" spans="1:40" x14ac:dyDescent="0.3">
      <c r="A465" t="s">
        <v>7</v>
      </c>
      <c r="B465" s="13">
        <v>4</v>
      </c>
      <c r="C465" s="35">
        <f t="shared" si="53"/>
        <v>0</v>
      </c>
      <c r="D465" s="36">
        <f t="shared" si="53"/>
        <v>0</v>
      </c>
      <c r="E465" s="21">
        <f t="shared" si="53"/>
        <v>0.19545078372551425</v>
      </c>
      <c r="F465" s="21">
        <f t="shared" si="53"/>
        <v>1.6070397772986726</v>
      </c>
      <c r="G465" s="37">
        <f t="shared" si="53"/>
        <v>8.6215512376699053</v>
      </c>
      <c r="H465" s="17">
        <f>SUM(C465:G465)</f>
        <v>10.424041798694091</v>
      </c>
      <c r="I465" s="17">
        <f>G465/H465*100</f>
        <v>82.708333333333343</v>
      </c>
      <c r="J465" s="17">
        <f>SQRT(I465*(100-I465)/(L465-1))</f>
        <v>1.2211914601877163</v>
      </c>
      <c r="K465" s="18">
        <f>100-I465</f>
        <v>17.291666666666657</v>
      </c>
      <c r="L465" s="1">
        <f>H454</f>
        <v>960</v>
      </c>
      <c r="M465">
        <v>4</v>
      </c>
      <c r="N465" s="1">
        <v>19219.939999999999</v>
      </c>
      <c r="O465" s="17">
        <f>N465/N466*100</f>
        <v>10.424041798694093</v>
      </c>
      <c r="P465" s="52">
        <f>((O465*O465*(I465/100)*(K465/100))/(L465-1))</f>
        <v>1.6204655607180807E-2</v>
      </c>
      <c r="AM465" s="78"/>
      <c r="AN465" s="78"/>
    </row>
    <row r="466" spans="1:40" x14ac:dyDescent="0.3">
      <c r="B466" t="s">
        <v>28</v>
      </c>
      <c r="C466" s="17">
        <f t="shared" ref="C466:H466" si="54">SUM(C461:C465)</f>
        <v>1.3815532282956888</v>
      </c>
      <c r="D466" s="17">
        <f t="shared" si="54"/>
        <v>5.0684434011191852</v>
      </c>
      <c r="E466" s="17">
        <f t="shared" si="54"/>
        <v>57.930565076525113</v>
      </c>
      <c r="F466" s="17">
        <f t="shared" si="54"/>
        <v>25.714402334261138</v>
      </c>
      <c r="G466" s="17">
        <f t="shared" si="54"/>
        <v>9.9050359597988731</v>
      </c>
      <c r="H466" s="18">
        <f t="shared" si="54"/>
        <v>100</v>
      </c>
      <c r="I466" s="13" t="s">
        <v>24</v>
      </c>
      <c r="J466" s="12" t="s">
        <v>29</v>
      </c>
      <c r="N466" s="1">
        <f>SUM(N461:N465)</f>
        <v>184380.88</v>
      </c>
      <c r="O466" s="17">
        <f>SUM(O461:O465)</f>
        <v>100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0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0.11881423899625955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0.15626032815200191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0.18132998502683095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0.16694855612098594</v>
      </c>
      <c r="H467" s="1"/>
      <c r="I467" s="14">
        <f>(C461+D462+E463+F464+G465)/H466</f>
        <v>0.94379666216922198</v>
      </c>
      <c r="J467" s="53">
        <f>SQRT(SUM(P461:P465))/100</f>
        <v>2.2146506529679634E-3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100</v>
      </c>
      <c r="D468" s="17">
        <f>D462/D466*100</f>
        <v>76.501242510552885</v>
      </c>
      <c r="E468" s="17">
        <f>E463/E466*100</f>
        <v>98.528839305204357</v>
      </c>
      <c r="F468" s="17">
        <f>F464/F466*100</f>
        <v>91.08057770841053</v>
      </c>
      <c r="G468" s="17">
        <f>G465/G466*100</f>
        <v>87.042099318587134</v>
      </c>
      <c r="H468" s="1"/>
    </row>
    <row r="469" spans="1:40" x14ac:dyDescent="0.3">
      <c r="B469" s="16" t="s">
        <v>39</v>
      </c>
      <c r="C469" s="18">
        <f>SQRT((C472+C473)/(C466*C466))</f>
        <v>0</v>
      </c>
      <c r="D469" s="18">
        <f>SQRT((D472+D473)/(D466*D466))</f>
        <v>3.5267266356865159</v>
      </c>
      <c r="E469" s="18">
        <f>SQRT((E472+E473)/(E466*E466))</f>
        <v>0.16525982544632081</v>
      </c>
      <c r="F469" s="18">
        <f>SQRT((F472+F473)/(F466*F466))</f>
        <v>0.63737021934649674</v>
      </c>
      <c r="G469" s="18">
        <f>SQRT((G472+G473)/(G466*G466))</f>
        <v>1.9172900176270797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0</v>
      </c>
      <c r="D470" s="18">
        <f>100-D468</f>
        <v>23.498757489447115</v>
      </c>
      <c r="E470" s="18">
        <f>100-E468</f>
        <v>1.4711606947956426</v>
      </c>
      <c r="F470" s="18">
        <f>100-F468</f>
        <v>8.9194222915894699</v>
      </c>
      <c r="G470" s="18">
        <f>100-G468</f>
        <v>12.957900681412866</v>
      </c>
    </row>
    <row r="471" spans="1:40" ht="15.6" x14ac:dyDescent="0.35">
      <c r="B471" s="1" t="s">
        <v>25</v>
      </c>
      <c r="C471" s="1">
        <f>C455</f>
        <v>169</v>
      </c>
      <c r="D471" s="1">
        <f>D455</f>
        <v>455</v>
      </c>
      <c r="E471" s="1">
        <f>E455</f>
        <v>7227</v>
      </c>
      <c r="F471" s="1">
        <f>F455</f>
        <v>2689</v>
      </c>
      <c r="G471" s="1">
        <f>G455</f>
        <v>930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264.88160042052755</v>
      </c>
      <c r="E472" s="18">
        <f>(O463*O463*(100-E468)*(100-E468)*(I463)*(100-I463))/((L463-1)*100)</f>
        <v>3.3192614946420234</v>
      </c>
      <c r="F472" s="18">
        <f>(O464*O464*(100-F468)*(100-F468)*(I464)*(100-I464))/((L464-1)*100)</f>
        <v>101.10690158262869</v>
      </c>
      <c r="G472" s="18">
        <f>(O465*O465*(100-G468)*(100-G468)*(I465)*(100-I465))/((L465-1)*100)</f>
        <v>272.0878189043429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54.634537384706142</v>
      </c>
      <c r="E473" s="18">
        <f>E468*E468*(SUM((H461*E461*(1-E450/H450))/(H450-1),(H462*E462*(1-E451/H451))/(H451-1), (H464*E464*(1-E453/H453))/(H453-1),(H465*E465*(1-E454/H454))/(H454-1)))</f>
        <v>88.334461118574211</v>
      </c>
      <c r="F473" s="18">
        <f>F468*F468*(SUM((H461*F461*(1-F450/H450))/(H450-1),(H462*F462*(1-F451/H451))/(H451-1), (H463*F463*(1-F452/H452))/(H452-1),(H465*F465*(1-F454/H454))/(H454-1)))</f>
        <v>167.51189829866482</v>
      </c>
      <c r="G473" s="18">
        <f>G468*G468*(SUM((H461*G461*(1-G450/H450))/(H450-1),(H462*G462*(1-G451/H451))/(H451-1), (H463*G463*(1-G452/H452))/(H452-1),(H464*G464*(1-G453/H453))/(H453-1)))</f>
        <v>88.563674905942108</v>
      </c>
      <c r="AM473" s="78"/>
      <c r="AN473" s="78"/>
    </row>
    <row r="475" spans="1:40" x14ac:dyDescent="0.3">
      <c r="AM475" s="78"/>
      <c r="AN475" s="78"/>
    </row>
    <row r="476" spans="1:40" x14ac:dyDescent="0.3">
      <c r="A476" s="361" t="s">
        <v>449</v>
      </c>
      <c r="B476" s="361"/>
      <c r="C476" s="361"/>
      <c r="D476" s="361"/>
      <c r="E476" s="361"/>
      <c r="F476" s="361"/>
      <c r="G476" s="361"/>
      <c r="H476" s="361"/>
      <c r="I476" s="361"/>
      <c r="J476" s="361"/>
      <c r="K476" s="361"/>
      <c r="L476" s="361" t="s">
        <v>94</v>
      </c>
      <c r="M476" s="361"/>
      <c r="N476" s="361"/>
      <c r="O476" s="361"/>
      <c r="P476" s="361"/>
    </row>
    <row r="477" spans="1:40" x14ac:dyDescent="0.3">
      <c r="A477" t="s">
        <v>15</v>
      </c>
      <c r="B477" t="s">
        <v>21</v>
      </c>
      <c r="I477" s="1" t="s">
        <v>58</v>
      </c>
      <c r="O477" s="143"/>
      <c r="P477" s="143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56</v>
      </c>
      <c r="O478" s="13"/>
      <c r="P478" s="13"/>
    </row>
    <row r="479" spans="1:40" x14ac:dyDescent="0.3">
      <c r="A479" t="s">
        <v>3</v>
      </c>
      <c r="B479" s="13">
        <v>0</v>
      </c>
      <c r="C479" s="26">
        <v>169</v>
      </c>
      <c r="D479" s="3">
        <v>0</v>
      </c>
      <c r="E479" s="3">
        <v>0</v>
      </c>
      <c r="F479" s="3">
        <v>0</v>
      </c>
      <c r="G479" s="4">
        <v>0</v>
      </c>
      <c r="H479" s="1">
        <f>SUM(C479:G479)</f>
        <v>169</v>
      </c>
      <c r="I479" s="10">
        <f>C479/H479</f>
        <v>1</v>
      </c>
      <c r="J479" s="11">
        <f>1-I479</f>
        <v>0</v>
      </c>
      <c r="K479">
        <f>H479-C484</f>
        <v>0</v>
      </c>
      <c r="N479" s="10">
        <f>2*(C485*I479)/(C485+I479)</f>
        <v>1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311</v>
      </c>
      <c r="E480" s="1">
        <v>26</v>
      </c>
      <c r="F480" s="1">
        <v>0</v>
      </c>
      <c r="G480" s="6">
        <v>2</v>
      </c>
      <c r="H480" s="1">
        <f>SUM(C480:G480)</f>
        <v>339</v>
      </c>
      <c r="I480" s="10">
        <f>D480/H480</f>
        <v>0.91740412979351027</v>
      </c>
      <c r="J480" s="11">
        <f>1-I480</f>
        <v>8.259587020648973E-2</v>
      </c>
      <c r="K480">
        <f>H480-D484</f>
        <v>-115</v>
      </c>
      <c r="N480" s="10">
        <f>2*(D485*I480)/(D485+I480)</f>
        <v>0.78436317780580078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141</v>
      </c>
      <c r="E481" s="27">
        <v>7161</v>
      </c>
      <c r="F481" s="1">
        <v>85</v>
      </c>
      <c r="G481" s="6">
        <v>12</v>
      </c>
      <c r="H481" s="1">
        <f>SUM(C481:G481)</f>
        <v>7399</v>
      </c>
      <c r="I481" s="10">
        <f>E481/H481</f>
        <v>0.96783349101229899</v>
      </c>
      <c r="J481" s="11">
        <f>1-I481</f>
        <v>3.2166508987701015E-2</v>
      </c>
      <c r="K481">
        <f>H481-E484</f>
        <v>168</v>
      </c>
      <c r="N481" s="10">
        <f>2*(E485*I481)/(E485+I481)</f>
        <v>0.97894736842105268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2</v>
      </c>
      <c r="E482" s="1">
        <v>28</v>
      </c>
      <c r="F482" s="27">
        <v>2471</v>
      </c>
      <c r="G482" s="6">
        <v>102</v>
      </c>
      <c r="H482" s="1">
        <f>SUM(C482:G482)</f>
        <v>2603</v>
      </c>
      <c r="I482" s="10">
        <f>F482/H482</f>
        <v>0.94928928159815595</v>
      </c>
      <c r="J482" s="11">
        <f>1-I482</f>
        <v>5.0710718401844046E-2</v>
      </c>
      <c r="K482">
        <f>H482-F484</f>
        <v>-130</v>
      </c>
      <c r="N482" s="10">
        <f>2*(F485*I482)/(F485+I482)</f>
        <v>0.92616191904047984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0</v>
      </c>
      <c r="E483" s="8">
        <v>16</v>
      </c>
      <c r="F483" s="8">
        <v>177</v>
      </c>
      <c r="G483" s="28">
        <v>767</v>
      </c>
      <c r="H483" s="1">
        <f>SUM(C483:G483)</f>
        <v>960</v>
      </c>
      <c r="I483" s="10">
        <f>G483/H483</f>
        <v>0.79895833333333333</v>
      </c>
      <c r="J483" s="11">
        <f>1-I483</f>
        <v>0.20104166666666667</v>
      </c>
      <c r="K483">
        <f>H483-G484</f>
        <v>77</v>
      </c>
      <c r="N483" s="10">
        <f>2*(G485*I483)/(G485+I483)</f>
        <v>0.83233857840477476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169</v>
      </c>
      <c r="D484" s="1">
        <f>SUM(D479:D483)</f>
        <v>454</v>
      </c>
      <c r="E484" s="1">
        <f>SUM(E479:E483)</f>
        <v>7231</v>
      </c>
      <c r="F484" s="1">
        <f>SUM(F479:F483)</f>
        <v>2733</v>
      </c>
      <c r="G484" s="1">
        <f>SUM(G479:G483)</f>
        <v>883</v>
      </c>
      <c r="H484" s="1">
        <f>SUM(H478:H483)</f>
        <v>11470</v>
      </c>
      <c r="I484" s="13" t="s">
        <v>12</v>
      </c>
      <c r="N484" s="16"/>
      <c r="O484" s="1"/>
      <c r="P484" s="1"/>
    </row>
    <row r="485" spans="1:40" x14ac:dyDescent="0.3">
      <c r="A485" s="1" t="s">
        <v>57</v>
      </c>
      <c r="B485" s="1" t="s">
        <v>2</v>
      </c>
      <c r="C485" s="10">
        <f>C479/C484</f>
        <v>1</v>
      </c>
      <c r="D485" s="10">
        <f>D480/D484</f>
        <v>0.68502202643171806</v>
      </c>
      <c r="E485" s="10">
        <f>E481/E484</f>
        <v>0.99031945788964182</v>
      </c>
      <c r="F485" s="10">
        <f>F482/F484</f>
        <v>0.90413465056714237</v>
      </c>
      <c r="G485" s="10">
        <f>G483/G484</f>
        <v>0.86862967157417892</v>
      </c>
      <c r="H485" s="10"/>
      <c r="I485" s="14">
        <f>(C479+D480+E481+F482+G483)/H484</f>
        <v>0.9484742807323453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0.31497797356828194</v>
      </c>
      <c r="E486" s="11">
        <f>1-E485</f>
        <v>9.6805421103581812E-3</v>
      </c>
      <c r="F486" s="11">
        <f>1-F485</f>
        <v>9.5865349432857627E-2</v>
      </c>
      <c r="G486" s="11">
        <f>1-G485</f>
        <v>0.13137032842582108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1.40255316047124</v>
      </c>
      <c r="D490" s="31">
        <f>(D479/$L490)*$O490</f>
        <v>0</v>
      </c>
      <c r="E490" s="31">
        <f>(E479/$L490)*$O490</f>
        <v>0</v>
      </c>
      <c r="F490" s="31">
        <f>(F479/$L490)*$O490</f>
        <v>0</v>
      </c>
      <c r="G490" s="32">
        <f>(G479/$L490)*$O490</f>
        <v>0</v>
      </c>
      <c r="H490" s="17">
        <f>SUM(C490:G490)</f>
        <v>1.40255316047124</v>
      </c>
      <c r="I490" s="17">
        <f>C490/H490*100</f>
        <v>100</v>
      </c>
      <c r="J490" s="17">
        <f>SQRT(I490*(100-I490)/(L490-1))</f>
        <v>0</v>
      </c>
      <c r="K490" s="18">
        <f>100-I490</f>
        <v>0</v>
      </c>
      <c r="L490" s="1">
        <f>H479</f>
        <v>169</v>
      </c>
      <c r="M490">
        <v>0</v>
      </c>
      <c r="N490" s="1">
        <v>2586.04</v>
      </c>
      <c r="O490" s="17">
        <f>N490/N495*100</f>
        <v>1.40255316047124</v>
      </c>
      <c r="P490" s="52">
        <f>((O490*O490*(I490/100)*(K490/100))/(L490-1))</f>
        <v>0</v>
      </c>
    </row>
    <row r="491" spans="1:40" x14ac:dyDescent="0.3">
      <c r="A491" t="s">
        <v>4</v>
      </c>
      <c r="B491" s="13">
        <v>1</v>
      </c>
      <c r="C491" s="33">
        <f t="shared" ref="C491:G494" si="55">(C480/$L491)*$O491</f>
        <v>0</v>
      </c>
      <c r="D491" s="34">
        <f t="shared" si="55"/>
        <v>3.7554476749774173</v>
      </c>
      <c r="E491" s="19">
        <f t="shared" si="55"/>
        <v>0.31396025578589343</v>
      </c>
      <c r="F491" s="18">
        <f t="shared" si="55"/>
        <v>0</v>
      </c>
      <c r="G491" s="20">
        <f t="shared" si="55"/>
        <v>2.4150788906607185E-2</v>
      </c>
      <c r="H491" s="17">
        <f>SUM(C491:G491)</f>
        <v>4.0935587196699181</v>
      </c>
      <c r="I491" s="17">
        <f>D491/H491*100</f>
        <v>91.740412979351021</v>
      </c>
      <c r="J491" s="17">
        <f>SQRT(I491*(100-I491)/(L491-1))</f>
        <v>1.4972735816949063</v>
      </c>
      <c r="K491" s="18">
        <f>100-I491</f>
        <v>8.2595870206489792</v>
      </c>
      <c r="L491" s="1">
        <f>H480</f>
        <v>339</v>
      </c>
      <c r="M491">
        <v>1</v>
      </c>
      <c r="N491" s="1">
        <v>7547.74</v>
      </c>
      <c r="O491" s="17">
        <f>N491/N495*100</f>
        <v>4.0935587196699181</v>
      </c>
      <c r="P491" s="52">
        <f>((O491*O491*(I491/100)*(K491/100))/(L491-1))</f>
        <v>3.7566814694515926E-3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55"/>
        <v>0</v>
      </c>
      <c r="D492" s="19">
        <f t="shared" si="55"/>
        <v>1.127837356838548</v>
      </c>
      <c r="E492" s="34">
        <f t="shared" si="55"/>
        <v>57.279739803693921</v>
      </c>
      <c r="F492" s="19">
        <f t="shared" si="55"/>
        <v>0.67990195270408926</v>
      </c>
      <c r="G492" s="20">
        <f t="shared" si="55"/>
        <v>9.5986158028812593E-2</v>
      </c>
      <c r="H492" s="17">
        <f>SUM(C492:G492)</f>
        <v>59.183465271265376</v>
      </c>
      <c r="I492" s="17">
        <f>E492/H492*100</f>
        <v>96.783349101229888</v>
      </c>
      <c r="J492" s="17">
        <f>SQRT(I492*(100-I492)/(L492-1))</f>
        <v>0.20513753121822509</v>
      </c>
      <c r="K492" s="18">
        <f>100-I492</f>
        <v>3.2166508987701121</v>
      </c>
      <c r="L492" s="1">
        <f>H481</f>
        <v>7399</v>
      </c>
      <c r="M492">
        <v>2</v>
      </c>
      <c r="N492" s="1">
        <v>109123</v>
      </c>
      <c r="O492" s="17">
        <f>N492/N495*100</f>
        <v>59.183465271265369</v>
      </c>
      <c r="P492" s="52">
        <f>((O492*O492*(I492/100)*(K492/100))/(L492-1))</f>
        <v>1.4739780946223096E-2</v>
      </c>
    </row>
    <row r="493" spans="1:40" x14ac:dyDescent="0.3">
      <c r="A493" t="s">
        <v>6</v>
      </c>
      <c r="B493" s="13">
        <v>3</v>
      </c>
      <c r="C493" s="33">
        <f t="shared" si="55"/>
        <v>0</v>
      </c>
      <c r="D493" s="19">
        <f t="shared" si="55"/>
        <v>1.9336898693008284E-2</v>
      </c>
      <c r="E493" s="19">
        <f t="shared" si="55"/>
        <v>0.27071658170211593</v>
      </c>
      <c r="F493" s="34">
        <f t="shared" si="55"/>
        <v>23.890738335211733</v>
      </c>
      <c r="G493" s="20">
        <f t="shared" si="55"/>
        <v>0.98618183334342235</v>
      </c>
      <c r="H493" s="17">
        <f>SUM(C493:G493)</f>
        <v>25.166973648950279</v>
      </c>
      <c r="I493" s="17">
        <f>F493/H493*100</f>
        <v>94.928928159815598</v>
      </c>
      <c r="J493" s="17">
        <f>SQRT(I493*(100-I493)/(L493-1))</f>
        <v>0.43012583040411972</v>
      </c>
      <c r="K493" s="18">
        <f>100-I493</f>
        <v>5.0710718401844019</v>
      </c>
      <c r="L493" s="1">
        <f>H482</f>
        <v>2603</v>
      </c>
      <c r="M493">
        <v>3</v>
      </c>
      <c r="N493" s="1">
        <v>46403.09</v>
      </c>
      <c r="O493" s="17">
        <f>N493/N495*100</f>
        <v>25.166973648950279</v>
      </c>
      <c r="P493" s="52">
        <f>((O493*O493*(I493/100)*(K493/100))/(L493-1))</f>
        <v>1.171798767666582E-2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55"/>
        <v>0</v>
      </c>
      <c r="D494" s="36">
        <f t="shared" si="55"/>
        <v>0</v>
      </c>
      <c r="E494" s="21">
        <f t="shared" si="55"/>
        <v>0.16922415332738661</v>
      </c>
      <c r="F494" s="21">
        <f t="shared" si="55"/>
        <v>1.8720421961842144</v>
      </c>
      <c r="G494" s="37">
        <f t="shared" si="55"/>
        <v>8.112182850131596</v>
      </c>
      <c r="H494" s="17">
        <f>SUM(C494:G494)</f>
        <v>10.153449199643198</v>
      </c>
      <c r="I494" s="17">
        <f>G494/H494*100</f>
        <v>79.895833333333314</v>
      </c>
      <c r="J494" s="17">
        <f>SQRT(I494*(100-I494)/(L494-1))</f>
        <v>1.2941833250904551</v>
      </c>
      <c r="K494" s="18">
        <f>100-I494</f>
        <v>20.104166666666686</v>
      </c>
      <c r="L494" s="1">
        <f>H483</f>
        <v>960</v>
      </c>
      <c r="M494">
        <v>4</v>
      </c>
      <c r="N494" s="1">
        <v>18721.02</v>
      </c>
      <c r="O494" s="17">
        <f>N494/N495*100</f>
        <v>10.153449199643196</v>
      </c>
      <c r="P494" s="52">
        <f>((O494*O494*(I494/100)*(K494/100))/(L494-1))</f>
        <v>1.7267075988590976E-2</v>
      </c>
    </row>
    <row r="495" spans="1:40" x14ac:dyDescent="0.3">
      <c r="B495" t="s">
        <v>28</v>
      </c>
      <c r="C495" s="17">
        <f t="shared" ref="C495:H495" si="56">SUM(C490:C494)</f>
        <v>1.40255316047124</v>
      </c>
      <c r="D495" s="17">
        <f t="shared" si="56"/>
        <v>4.9026219305089738</v>
      </c>
      <c r="E495" s="17">
        <f t="shared" si="56"/>
        <v>58.033640794509317</v>
      </c>
      <c r="F495" s="17">
        <f t="shared" si="56"/>
        <v>26.442682484100036</v>
      </c>
      <c r="G495" s="17">
        <f t="shared" si="56"/>
        <v>9.2185016304104384</v>
      </c>
      <c r="H495" s="18">
        <f t="shared" si="56"/>
        <v>100</v>
      </c>
      <c r="I495" s="13" t="s">
        <v>24</v>
      </c>
      <c r="J495" s="12" t="s">
        <v>29</v>
      </c>
      <c r="N495" s="1">
        <f>SUM(N490:N494)</f>
        <v>184380.88999999998</v>
      </c>
      <c r="O495" s="17">
        <f>SUM(O490:O494)</f>
        <v>100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0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0.11305704070306027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0.15029117782191168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0.18231442087382388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0.16573096662243486</v>
      </c>
      <c r="H496" s="1"/>
      <c r="I496" s="14">
        <f>(C490+D491+E492+F493+G494)/H495</f>
        <v>0.94440661824485916</v>
      </c>
      <c r="J496" s="53">
        <f>SQRT(SUM(P490:P494))/100</f>
        <v>2.1790256097836821E-3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76.60080112658288</v>
      </c>
      <c r="E497" s="17">
        <f>E492/E495*100</f>
        <v>98.700924187257399</v>
      </c>
      <c r="F497" s="17">
        <f>F493/F495*100</f>
        <v>90.349148009386766</v>
      </c>
      <c r="G497" s="17">
        <f>G494/G495*100</f>
        <v>87.998930578595719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3.2808283251972852</v>
      </c>
      <c r="E498" s="18">
        <f>SQRT((E501+E502)/(E495*E495))</f>
        <v>0.15323945931387115</v>
      </c>
      <c r="F498" s="18">
        <f>SQRT((F501+F502)/(F495*F495))</f>
        <v>0.63842626565895078</v>
      </c>
      <c r="G498" s="18">
        <f>SQRT((G501+G502)/(G495*G495))</f>
        <v>1.964157558280899</v>
      </c>
      <c r="H498" s="1"/>
    </row>
    <row r="499" spans="1:40" x14ac:dyDescent="0.3">
      <c r="B499" s="1" t="s">
        <v>37</v>
      </c>
      <c r="C499" s="18">
        <f>100-C497</f>
        <v>0</v>
      </c>
      <c r="D499" s="18">
        <f>100-D497</f>
        <v>23.39919887341712</v>
      </c>
      <c r="E499" s="18">
        <f>100-E497</f>
        <v>1.2990758127426005</v>
      </c>
      <c r="F499" s="18">
        <f>100-F497</f>
        <v>9.6508519906132335</v>
      </c>
      <c r="G499" s="18">
        <f>100-G497</f>
        <v>12.001069421404281</v>
      </c>
      <c r="AM499" s="78"/>
      <c r="AN499" s="78"/>
    </row>
    <row r="500" spans="1:40" ht="15.6" x14ac:dyDescent="0.35">
      <c r="B500" s="1" t="s">
        <v>25</v>
      </c>
      <c r="C500" s="1">
        <f>C484</f>
        <v>169</v>
      </c>
      <c r="D500" s="1">
        <f>D484</f>
        <v>454</v>
      </c>
      <c r="E500" s="1">
        <f>E484</f>
        <v>7231</v>
      </c>
      <c r="F500" s="1">
        <f>F484</f>
        <v>2733</v>
      </c>
      <c r="G500" s="1">
        <f>G484</f>
        <v>883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205.68676596021808</v>
      </c>
      <c r="E501" s="18">
        <f>(O492*O492*(100-E497)*(100-E497)*(I492)*(100-I492))/((L492-1)*100)</f>
        <v>2.4874824362598358</v>
      </c>
      <c r="F501" s="18">
        <f>(O493*O493*(100-F497)*(100-F497)*(I493)*(100-I493))/((L493-1)*100)</f>
        <v>109.14009997055351</v>
      </c>
      <c r="G501" s="18">
        <f>(O494*O494*(100-G497)*(100-G497)*(I494)*(100-I494))/((L494-1)*100)</f>
        <v>248.69021408404393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53.02955022243313</v>
      </c>
      <c r="E502" s="18">
        <f>E497*E497*(SUM((H490*E490*(1-E479/H479))/(H479-1),(H491*E491*(1-E480/H480))/(H480-1), (H493*E493*(1-E482/H482))/(H482-1),(H494*E494*(1-E483/H483))/(H483-1)))</f>
        <v>76.598744478445212</v>
      </c>
      <c r="F502" s="18">
        <f>F497*F497*(SUM((H490*F490*(1-F479/H479))/(H479-1),(H491*F491*(1-F480/H480))/(H480-1), (H492*F492*(1-F481/H481))/(H481-1),(H494*F494*(1-F483/H483))/(H483-1)))</f>
        <v>175.85179730120393</v>
      </c>
      <c r="G502" s="18">
        <f>G497*G497*(SUM((H490*G490*(1-G479/H479))/(H479-1),(H491*G491*(1-G480/H480))/(H480-1), (H492*G492*(1-G481/H481))/(H481-1),(H493*G493*(1-G482/H482))/(H482-1)))</f>
        <v>79.158374792403393</v>
      </c>
    </row>
    <row r="503" spans="1:40" x14ac:dyDescent="0.3">
      <c r="AM503" s="78"/>
      <c r="AN503" s="78"/>
    </row>
    <row r="505" spans="1:40" x14ac:dyDescent="0.3">
      <c r="A505" s="361" t="s">
        <v>449</v>
      </c>
      <c r="B505" s="361"/>
      <c r="C505" s="361"/>
      <c r="D505" s="361"/>
      <c r="E505" s="361"/>
      <c r="F505" s="361"/>
      <c r="G505" s="361"/>
      <c r="H505" s="361"/>
      <c r="I505" s="361"/>
      <c r="J505" s="361"/>
      <c r="K505" s="361"/>
      <c r="L505" s="361" t="s">
        <v>95</v>
      </c>
      <c r="M505" s="361"/>
      <c r="N505" s="361"/>
      <c r="O505" s="361"/>
      <c r="P505" s="361"/>
      <c r="AM505" s="78"/>
      <c r="AN505" s="78"/>
    </row>
    <row r="506" spans="1:40" x14ac:dyDescent="0.3">
      <c r="A506" t="s">
        <v>15</v>
      </c>
      <c r="B506" t="s">
        <v>21</v>
      </c>
      <c r="I506" s="1" t="s">
        <v>58</v>
      </c>
      <c r="O506" s="143"/>
      <c r="P506" s="143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56</v>
      </c>
      <c r="O507" s="13"/>
      <c r="P507" s="13"/>
      <c r="AM507" s="78"/>
      <c r="AN507" s="78"/>
    </row>
    <row r="508" spans="1:40" x14ac:dyDescent="0.3">
      <c r="A508" t="s">
        <v>3</v>
      </c>
      <c r="B508" s="13">
        <v>0</v>
      </c>
      <c r="C508" s="26">
        <v>169</v>
      </c>
      <c r="D508" s="3">
        <v>0</v>
      </c>
      <c r="E508" s="3">
        <v>0</v>
      </c>
      <c r="F508" s="3">
        <v>0</v>
      </c>
      <c r="G508" s="4">
        <v>0</v>
      </c>
      <c r="H508" s="1">
        <f>SUM(C508:G508)</f>
        <v>169</v>
      </c>
      <c r="I508" s="10">
        <f>C508/H508</f>
        <v>1</v>
      </c>
      <c r="J508" s="11">
        <f>1-I508</f>
        <v>0</v>
      </c>
      <c r="K508">
        <f>H508-C513</f>
        <v>0</v>
      </c>
      <c r="N508" s="10">
        <f>2*(C514*I508)/(C514+I508)</f>
        <v>1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310</v>
      </c>
      <c r="E509" s="1">
        <v>26</v>
      </c>
      <c r="F509" s="1">
        <v>0</v>
      </c>
      <c r="G509" s="6">
        <v>3</v>
      </c>
      <c r="H509" s="1">
        <f>SUM(C509:G509)</f>
        <v>339</v>
      </c>
      <c r="I509" s="10">
        <f>D509/H509</f>
        <v>0.91445427728613571</v>
      </c>
      <c r="J509" s="11">
        <f>1-I509</f>
        <v>8.5545722713864292E-2</v>
      </c>
      <c r="K509">
        <f>H509-D513</f>
        <v>-127</v>
      </c>
      <c r="N509" s="10">
        <f>2*(D514*I509)/(D514+I509)</f>
        <v>0.77018633540372672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154</v>
      </c>
      <c r="E510" s="27">
        <v>7138</v>
      </c>
      <c r="F510" s="1">
        <v>91</v>
      </c>
      <c r="G510" s="6">
        <v>16</v>
      </c>
      <c r="H510" s="1">
        <f>SUM(C510:G510)</f>
        <v>7399</v>
      </c>
      <c r="I510" s="10">
        <f>E510/H510</f>
        <v>0.96472496283281528</v>
      </c>
      <c r="J510" s="11">
        <f>1-I510</f>
        <v>3.527503716718472E-2</v>
      </c>
      <c r="K510">
        <f>H510-E513</f>
        <v>183</v>
      </c>
      <c r="N510" s="10">
        <f>2*(E514*I510)/(E514+I510)</f>
        <v>0.97680465275401984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2</v>
      </c>
      <c r="E511" s="1">
        <v>31</v>
      </c>
      <c r="F511" s="27">
        <v>2462</v>
      </c>
      <c r="G511" s="6">
        <v>108</v>
      </c>
      <c r="H511" s="1">
        <f>SUM(C511:G511)</f>
        <v>2603</v>
      </c>
      <c r="I511" s="10">
        <f>F511/H511</f>
        <v>0.94583173261621212</v>
      </c>
      <c r="J511" s="11">
        <f>1-I511</f>
        <v>5.4168267383787883E-2</v>
      </c>
      <c r="K511">
        <f>H511-F513</f>
        <v>-117</v>
      </c>
      <c r="N511" s="10">
        <f>2*(F514*I511)/(F514+I511)</f>
        <v>0.92504226939695666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0</v>
      </c>
      <c r="E512" s="8">
        <v>21</v>
      </c>
      <c r="F512" s="8">
        <v>167</v>
      </c>
      <c r="G512" s="28">
        <v>772</v>
      </c>
      <c r="H512" s="1">
        <f>SUM(C512:G512)</f>
        <v>960</v>
      </c>
      <c r="I512" s="10">
        <f>G512/H512</f>
        <v>0.8041666666666667</v>
      </c>
      <c r="J512" s="11">
        <f>1-I512</f>
        <v>0.1958333333333333</v>
      </c>
      <c r="K512">
        <f>H512-G513</f>
        <v>61</v>
      </c>
      <c r="N512" s="10">
        <f>2*(G514*I512)/(G514+I512)</f>
        <v>0.83055406132329224</v>
      </c>
      <c r="O512" s="1"/>
      <c r="P512" s="1"/>
    </row>
    <row r="513" spans="1:40" ht="15.6" x14ac:dyDescent="0.35">
      <c r="B513" s="1" t="s">
        <v>19</v>
      </c>
      <c r="C513" s="1">
        <f>SUM(C508:C512)</f>
        <v>169</v>
      </c>
      <c r="D513" s="1">
        <f>SUM(D508:D512)</f>
        <v>466</v>
      </c>
      <c r="E513" s="1">
        <f>SUM(E508:E512)</f>
        <v>7216</v>
      </c>
      <c r="F513" s="1">
        <f>SUM(F508:F512)</f>
        <v>2720</v>
      </c>
      <c r="G513" s="1">
        <f>SUM(G508:G512)</f>
        <v>899</v>
      </c>
      <c r="H513" s="1">
        <f>SUM(H507:H512)</f>
        <v>11470</v>
      </c>
      <c r="I513" s="13" t="s">
        <v>12</v>
      </c>
      <c r="N513" s="16"/>
      <c r="O513" s="1"/>
      <c r="P513" s="1"/>
      <c r="AM513" s="78"/>
      <c r="AN513" s="78"/>
    </row>
    <row r="514" spans="1:40" x14ac:dyDescent="0.3">
      <c r="A514" s="1" t="s">
        <v>57</v>
      </c>
      <c r="B514" s="1" t="s">
        <v>2</v>
      </c>
      <c r="C514" s="10">
        <f>C508/C513</f>
        <v>1</v>
      </c>
      <c r="D514" s="10">
        <f>D509/D513</f>
        <v>0.66523605150214593</v>
      </c>
      <c r="E514" s="10">
        <f>E510/E513</f>
        <v>0.98919068736141902</v>
      </c>
      <c r="F514" s="10">
        <f>F511/F513</f>
        <v>0.90514705882352942</v>
      </c>
      <c r="G514" s="10">
        <f>G512/G513</f>
        <v>0.85873192436040047</v>
      </c>
      <c r="H514" s="10"/>
      <c r="I514" s="14">
        <f>(C508+D509+E510+F511+G512)/H513</f>
        <v>0.9460331299040976</v>
      </c>
    </row>
    <row r="515" spans="1:40" x14ac:dyDescent="0.3">
      <c r="B515" s="1" t="s">
        <v>14</v>
      </c>
      <c r="C515" s="11">
        <f>1-C514</f>
        <v>0</v>
      </c>
      <c r="D515" s="11">
        <f>1-D514</f>
        <v>0.33476394849785407</v>
      </c>
      <c r="E515" s="11">
        <f>1-E514</f>
        <v>1.0809312638580981E-2</v>
      </c>
      <c r="F515" s="11">
        <f>1-F514</f>
        <v>9.4852941176470584E-2</v>
      </c>
      <c r="G515" s="11">
        <f>1-G514</f>
        <v>0.14126807563959953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1.4210149435768533</v>
      </c>
      <c r="D519" s="31">
        <f>(D508/$L519)*$O519</f>
        <v>0</v>
      </c>
      <c r="E519" s="31">
        <f>(E508/$L519)*$O519</f>
        <v>0</v>
      </c>
      <c r="F519" s="31">
        <f>(F508/$L519)*$O519</f>
        <v>0</v>
      </c>
      <c r="G519" s="32">
        <f>(G508/$L519)*$O519</f>
        <v>0</v>
      </c>
      <c r="H519" s="17">
        <f>SUM(C519:G519)</f>
        <v>1.4210149435768533</v>
      </c>
      <c r="I519" s="17">
        <f>C519/H519*100</f>
        <v>100</v>
      </c>
      <c r="J519" s="17">
        <f>SQRT(I519*(100-I519)/(L519-1))</f>
        <v>0</v>
      </c>
      <c r="K519" s="18">
        <f>100-I519</f>
        <v>0</v>
      </c>
      <c r="L519" s="1">
        <f>H508</f>
        <v>169</v>
      </c>
      <c r="M519">
        <v>0</v>
      </c>
      <c r="N519" s="1">
        <v>2620.08</v>
      </c>
      <c r="O519" s="17">
        <f>N519/N524*100</f>
        <v>1.4210149435768533</v>
      </c>
      <c r="P519" s="52">
        <f>((O519*O519*(I519/100)*(K519/100))/(L519-1))</f>
        <v>0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57">(C509/$L520)*$O520</f>
        <v>0</v>
      </c>
      <c r="D520" s="34">
        <f t="shared" si="57"/>
        <v>3.8492050478082334</v>
      </c>
      <c r="E520" s="19">
        <f t="shared" si="57"/>
        <v>0.32283655239681958</v>
      </c>
      <c r="F520" s="18">
        <f t="shared" si="57"/>
        <v>0</v>
      </c>
      <c r="G520" s="20">
        <f t="shared" si="57"/>
        <v>3.725037143040226E-2</v>
      </c>
      <c r="H520" s="17">
        <f>SUM(C520:G520)</f>
        <v>4.2092919716354551</v>
      </c>
      <c r="I520" s="17">
        <f>D520/H520*100</f>
        <v>91.445427728613566</v>
      </c>
      <c r="J520" s="17">
        <f>SQRT(I520*(100-I520)/(L520-1))</f>
        <v>1.5213242833548206</v>
      </c>
      <c r="K520" s="18">
        <f>100-I520</f>
        <v>8.5545722713864336</v>
      </c>
      <c r="L520" s="1">
        <f>H509</f>
        <v>339</v>
      </c>
      <c r="M520">
        <v>1</v>
      </c>
      <c r="N520" s="1">
        <v>7761.13</v>
      </c>
      <c r="O520" s="17">
        <f>N520/N524*100</f>
        <v>4.2092919716354551</v>
      </c>
      <c r="P520" s="52">
        <f>((O520*O520*(I520/100)*(K520/100))/(L520-1))</f>
        <v>4.1007349255783474E-3</v>
      </c>
    </row>
    <row r="521" spans="1:40" x14ac:dyDescent="0.3">
      <c r="A521" t="s">
        <v>5</v>
      </c>
      <c r="B521" s="13">
        <v>2</v>
      </c>
      <c r="C521" s="33">
        <f t="shared" si="57"/>
        <v>0</v>
      </c>
      <c r="D521" s="19">
        <f t="shared" si="57"/>
        <v>1.2231939719364011</v>
      </c>
      <c r="E521" s="34">
        <f t="shared" si="57"/>
        <v>56.69583488105215</v>
      </c>
      <c r="F521" s="19">
        <f t="shared" si="57"/>
        <v>0.72279643796241888</v>
      </c>
      <c r="G521" s="20">
        <f t="shared" si="57"/>
        <v>0.12708508799339233</v>
      </c>
      <c r="H521" s="17">
        <f>SUM(C521:G521)</f>
        <v>58.768910378944362</v>
      </c>
      <c r="I521" s="17">
        <f>E521/H521*100</f>
        <v>96.472496283281529</v>
      </c>
      <c r="J521" s="17">
        <f>SQRT(I521*(100-I521)/(L521-1))</f>
        <v>0.21447581888338071</v>
      </c>
      <c r="K521" s="18">
        <f>100-I521</f>
        <v>3.5275037167184706</v>
      </c>
      <c r="L521" s="1">
        <f>H510</f>
        <v>7399</v>
      </c>
      <c r="M521">
        <v>2</v>
      </c>
      <c r="N521" s="1">
        <v>108358.64</v>
      </c>
      <c r="O521" s="17">
        <f>N521/N524*100</f>
        <v>58.768910378944362</v>
      </c>
      <c r="P521" s="52">
        <f>((O521*O521*(I521/100)*(K521/100))/(L521-1))</f>
        <v>1.5887367683759351E-2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57"/>
        <v>0</v>
      </c>
      <c r="D522" s="19">
        <f t="shared" si="57"/>
        <v>1.9539814262845841E-2</v>
      </c>
      <c r="E522" s="19">
        <f t="shared" si="57"/>
        <v>0.30286712107411051</v>
      </c>
      <c r="F522" s="34">
        <f t="shared" si="57"/>
        <v>24.053511357563231</v>
      </c>
      <c r="G522" s="20">
        <f t="shared" si="57"/>
        <v>1.0551499701936753</v>
      </c>
      <c r="H522" s="17">
        <f>SUM(C522:G522)</f>
        <v>25.431068263093863</v>
      </c>
      <c r="I522" s="17">
        <f>F522/H522*100</f>
        <v>94.583173261621198</v>
      </c>
      <c r="J522" s="17">
        <f>SQRT(I522*(100-I522)/(L522-1))</f>
        <v>0.44373712620542088</v>
      </c>
      <c r="K522" s="18">
        <f>100-I522</f>
        <v>5.416826738378802</v>
      </c>
      <c r="L522" s="1">
        <f>H511</f>
        <v>2603</v>
      </c>
      <c r="M522">
        <v>3</v>
      </c>
      <c r="N522" s="1">
        <v>46890.03</v>
      </c>
      <c r="O522" s="17">
        <f>N522/N524*100</f>
        <v>25.431068263093859</v>
      </c>
      <c r="P522" s="52">
        <f>((O522*O522*(I522/100)*(K522/100))/(L522-1))</f>
        <v>1.2734466054139412E-2</v>
      </c>
    </row>
    <row r="523" spans="1:40" x14ac:dyDescent="0.3">
      <c r="A523" t="s">
        <v>7</v>
      </c>
      <c r="B523" s="13">
        <v>4</v>
      </c>
      <c r="C523" s="35">
        <f t="shared" si="57"/>
        <v>0</v>
      </c>
      <c r="D523" s="36">
        <f t="shared" si="57"/>
        <v>0</v>
      </c>
      <c r="E523" s="21">
        <f t="shared" si="57"/>
        <v>0.22246250343514445</v>
      </c>
      <c r="F523" s="21">
        <f t="shared" si="57"/>
        <v>1.7691065749366248</v>
      </c>
      <c r="G523" s="37">
        <f t="shared" si="57"/>
        <v>8.1781453643776914</v>
      </c>
      <c r="H523" s="17">
        <f>SUM(C523:G523)</f>
        <v>10.169714442749461</v>
      </c>
      <c r="I523" s="17">
        <f>G523/H523*100</f>
        <v>80.416666666666671</v>
      </c>
      <c r="J523" s="17">
        <f>SQRT(I523*(100-I523)/(L523-1))</f>
        <v>1.2814658532085059</v>
      </c>
      <c r="K523" s="18">
        <f>100-I523</f>
        <v>19.583333333333329</v>
      </c>
      <c r="L523" s="1">
        <f>H512</f>
        <v>960</v>
      </c>
      <c r="M523">
        <v>4</v>
      </c>
      <c r="N523" s="1">
        <v>18751.009999999998</v>
      </c>
      <c r="O523" s="17">
        <f>N523/N524*100</f>
        <v>10.169714442749461</v>
      </c>
      <c r="P523" s="52">
        <f>((O523*O523*(I523/100)*(K523/100))/(L523-1))</f>
        <v>1.6983671977188773E-2</v>
      </c>
      <c r="AM523" s="78"/>
      <c r="AN523" s="78"/>
    </row>
    <row r="524" spans="1:40" x14ac:dyDescent="0.3">
      <c r="B524" t="s">
        <v>28</v>
      </c>
      <c r="C524" s="17">
        <f>SUM(C519:C523)</f>
        <v>1.4210149435768533</v>
      </c>
      <c r="D524" s="17">
        <f>SUM(D519:D523)</f>
        <v>5.0919388340074798</v>
      </c>
      <c r="E524" s="17">
        <f>SUM(E519:E523)</f>
        <v>57.544001057958226</v>
      </c>
      <c r="F524" s="17">
        <f>SUM(F519:F523)</f>
        <v>26.545414370462275</v>
      </c>
      <c r="G524" s="17">
        <f>SUM(G519:G523)</f>
        <v>9.3976307939951607</v>
      </c>
      <c r="H524" s="1">
        <f>SUM(H518:H523)</f>
        <v>100</v>
      </c>
      <c r="I524" s="13" t="s">
        <v>24</v>
      </c>
      <c r="J524" s="12" t="s">
        <v>29</v>
      </c>
      <c r="N524" s="1">
        <f>SUM(N519:N523)</f>
        <v>184380.89</v>
      </c>
      <c r="O524" s="17">
        <f>SUM(O519:O523)</f>
        <v>100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0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0.11744268373959819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0.15752843859663934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0.18406740146462811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0.16826363516275544</v>
      </c>
      <c r="H525" s="1"/>
      <c r="I525" s="14">
        <f>(C519+D520+E521+F522+G523)/H524</f>
        <v>0.94197711594378153</v>
      </c>
      <c r="J525" s="53">
        <f>SQRT(SUM(P519:P523))/100</f>
        <v>2.2294896420630862E-3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100</v>
      </c>
      <c r="D526" s="17">
        <f>D520/D524*100</f>
        <v>75.594094377186678</v>
      </c>
      <c r="E526" s="17">
        <f>E521/E524*100</f>
        <v>98.526056302460091</v>
      </c>
      <c r="F526" s="17">
        <f>F522/F524*100</f>
        <v>90.612679922330216</v>
      </c>
      <c r="G526" s="17">
        <f>G523/G524*100</f>
        <v>87.023480105254947</v>
      </c>
      <c r="H526" s="1"/>
    </row>
    <row r="527" spans="1:40" x14ac:dyDescent="0.3">
      <c r="B527" s="16" t="s">
        <v>39</v>
      </c>
      <c r="C527" s="18">
        <f>SQRT((C530+C531)/(C524*C524))</f>
        <v>0</v>
      </c>
      <c r="D527" s="18">
        <f>SQRT((D530+D531)/(D524*D524))</f>
        <v>3.3999744478819371</v>
      </c>
      <c r="E527" s="18">
        <f>SQRT((E530+E531)/(E524*E524))</f>
        <v>0.16511749783018637</v>
      </c>
      <c r="F527" s="18">
        <f>SQRT((F530+F531)/(F524*F524))</f>
        <v>0.63710467064435217</v>
      </c>
      <c r="G527" s="18">
        <f>SQRT((G530+G531)/(G524*G524))</f>
        <v>2.0522407412639043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0</v>
      </c>
      <c r="D528" s="18">
        <f>100-D526</f>
        <v>24.405905622813322</v>
      </c>
      <c r="E528" s="18">
        <f>100-E526</f>
        <v>1.4739436975399087</v>
      </c>
      <c r="F528" s="18">
        <f>100-F526</f>
        <v>9.3873200776697843</v>
      </c>
      <c r="G528" s="18">
        <f>100-G526</f>
        <v>12.976519894745053</v>
      </c>
    </row>
    <row r="529" spans="1:40" ht="15.6" x14ac:dyDescent="0.35">
      <c r="B529" s="1" t="s">
        <v>25</v>
      </c>
      <c r="C529" s="1">
        <f>C513</f>
        <v>169</v>
      </c>
      <c r="D529" s="1">
        <f>D513</f>
        <v>466</v>
      </c>
      <c r="E529" s="1">
        <f>E513</f>
        <v>7216</v>
      </c>
      <c r="F529" s="1">
        <f>F513</f>
        <v>2720</v>
      </c>
      <c r="G529" s="1">
        <f>G513</f>
        <v>899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244.25954971250383</v>
      </c>
      <c r="E530" s="18">
        <f>(O521*O521*(100-E526)*(100-E526)*(I521)*(100-I521))/((L521-1)*100)</f>
        <v>3.4515465540277073</v>
      </c>
      <c r="F530" s="18">
        <f>(O522*O522*(100-F526)*(100-F526)*(I522)*(100-I522))/((L522-1)*100)</f>
        <v>112.2183793635605</v>
      </c>
      <c r="G530" s="18">
        <f>(O523*O523*(100-G526)*(100-G526)*(I523)*(100-I523))/((L523-1)*100)</f>
        <v>285.98816889572043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55.461788219880816</v>
      </c>
      <c r="E531" s="18">
        <f>E526*E526*(SUM((H519*E519*(1-E508/H508))/(H508-1),(H520*E520*(1-E509/H509))/(H509-1), (H522*E522*(1-E511/H511))/(H511-1),(H523*E523*(1-E512/H512))/(H512-1)))</f>
        <v>86.82736368756828</v>
      </c>
      <c r="F531" s="18">
        <f>F526*F526*(SUM((H519*F519*(1-F508/H508))/(H508-1),(H520*F520*(1-F509/H509))/(H509-1), (H521*F521*(1-F510/H510))/(H510-1),(H523*F523*(1-F512/H512))/(H512-1)))</f>
        <v>173.80438246985719</v>
      </c>
      <c r="G531" s="18">
        <f>G526*G526*(SUM((H519*G519*(1-G508/H508))/(H508-1),(H520*G520*(1-G509/H509))/(H509-1), (H521*G521*(1-G510/H510))/(H510-1),(H522*G522*(1-G511/H511))/(H511-1)))</f>
        <v>85.969371892779208</v>
      </c>
      <c r="AM531" s="78"/>
      <c r="AN531" s="78"/>
    </row>
    <row r="533" spans="1:40" x14ac:dyDescent="0.3">
      <c r="AM533" s="78"/>
      <c r="AN533" s="78"/>
    </row>
    <row r="534" spans="1:40" x14ac:dyDescent="0.3">
      <c r="A534" s="361" t="s">
        <v>449</v>
      </c>
      <c r="B534" s="361"/>
      <c r="C534" s="361"/>
      <c r="D534" s="361"/>
      <c r="E534" s="361"/>
      <c r="F534" s="361"/>
      <c r="G534" s="361"/>
      <c r="H534" s="361"/>
      <c r="I534" s="361"/>
      <c r="J534" s="361"/>
      <c r="K534" s="361"/>
      <c r="L534" s="361" t="s">
        <v>96</v>
      </c>
      <c r="M534" s="361"/>
      <c r="N534" s="361"/>
      <c r="O534" s="361"/>
      <c r="P534" s="361"/>
    </row>
    <row r="535" spans="1:40" x14ac:dyDescent="0.3">
      <c r="A535" t="s">
        <v>15</v>
      </c>
      <c r="B535" t="s">
        <v>21</v>
      </c>
      <c r="I535" s="1" t="s">
        <v>58</v>
      </c>
      <c r="O535" s="143"/>
      <c r="P535" s="143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56</v>
      </c>
      <c r="O536" s="13"/>
      <c r="P536" s="13"/>
    </row>
    <row r="537" spans="1:40" x14ac:dyDescent="0.3">
      <c r="A537" t="s">
        <v>3</v>
      </c>
      <c r="B537" s="13">
        <v>0</v>
      </c>
      <c r="C537" s="26">
        <v>169</v>
      </c>
      <c r="D537" s="3">
        <v>0</v>
      </c>
      <c r="E537" s="3">
        <v>0</v>
      </c>
      <c r="F537" s="3">
        <v>0</v>
      </c>
      <c r="G537" s="4">
        <v>0</v>
      </c>
      <c r="H537" s="1">
        <f>SUM(C537:G537)</f>
        <v>169</v>
      </c>
      <c r="I537" s="10">
        <f>C537/H537</f>
        <v>1</v>
      </c>
      <c r="J537" s="11">
        <f>1-I537</f>
        <v>0</v>
      </c>
      <c r="K537">
        <f>H537-C542</f>
        <v>0</v>
      </c>
      <c r="N537" s="10">
        <f>2*(C543*I537)/(C543+I537)</f>
        <v>1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308</v>
      </c>
      <c r="E538" s="1">
        <v>29</v>
      </c>
      <c r="F538" s="1">
        <v>0</v>
      </c>
      <c r="G538" s="6">
        <v>2</v>
      </c>
      <c r="H538" s="1">
        <f>SUM(C538:G538)</f>
        <v>339</v>
      </c>
      <c r="I538" s="10">
        <f>D538/H538</f>
        <v>0.90855457227138647</v>
      </c>
      <c r="J538" s="11">
        <f>1-I538</f>
        <v>9.1445427728613526E-2</v>
      </c>
      <c r="K538">
        <f>H538-D542</f>
        <v>-101</v>
      </c>
      <c r="N538" s="10">
        <f>2*(D543*I538)/(D543+I538)</f>
        <v>0.79075738125802308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130</v>
      </c>
      <c r="E539" s="27">
        <v>7171</v>
      </c>
      <c r="F539" s="1">
        <v>85</v>
      </c>
      <c r="G539" s="6">
        <v>13</v>
      </c>
      <c r="H539" s="1">
        <f>SUM(C539:G539)</f>
        <v>7399</v>
      </c>
      <c r="I539" s="10">
        <f>E539/H539</f>
        <v>0.96918502500337889</v>
      </c>
      <c r="J539" s="11">
        <f>1-I539</f>
        <v>3.0814974996621114E-2</v>
      </c>
      <c r="K539">
        <f>H539-E542</f>
        <v>154</v>
      </c>
      <c r="N539" s="10">
        <f>2*(E543*I539)/(E543+I539)</f>
        <v>0.97937721933897837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0</v>
      </c>
      <c r="D540" s="1">
        <v>2</v>
      </c>
      <c r="E540" s="1">
        <v>26</v>
      </c>
      <c r="F540" s="27">
        <v>2453</v>
      </c>
      <c r="G540" s="6">
        <v>122</v>
      </c>
      <c r="H540" s="1">
        <f>SUM(C540:G540)</f>
        <v>2603</v>
      </c>
      <c r="I540" s="10">
        <f>F540/H540</f>
        <v>0.94237418363426817</v>
      </c>
      <c r="J540" s="11">
        <f>1-I540</f>
        <v>5.762581636573183E-2</v>
      </c>
      <c r="K540">
        <f>H540-F542</f>
        <v>-83</v>
      </c>
      <c r="N540" s="10">
        <f>2*(F543*I540)/(F543+I540)</f>
        <v>0.92758555492531669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0</v>
      </c>
      <c r="E541" s="8">
        <v>19</v>
      </c>
      <c r="F541" s="8">
        <v>148</v>
      </c>
      <c r="G541" s="28">
        <v>793</v>
      </c>
      <c r="H541" s="1">
        <f>SUM(C541:G541)</f>
        <v>960</v>
      </c>
      <c r="I541" s="10">
        <f>G541/H541</f>
        <v>0.82604166666666667</v>
      </c>
      <c r="J541" s="11">
        <f>1-I541</f>
        <v>0.17395833333333333</v>
      </c>
      <c r="K541">
        <f>H541-G542</f>
        <v>30</v>
      </c>
      <c r="N541" s="10">
        <f>2*(G543*I541)/(G543+I541)</f>
        <v>0.83915343915343921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169</v>
      </c>
      <c r="D542" s="1">
        <f>SUM(D537:D541)</f>
        <v>440</v>
      </c>
      <c r="E542" s="1">
        <f>SUM(E537:E541)</f>
        <v>7245</v>
      </c>
      <c r="F542" s="1">
        <f>SUM(F537:F541)</f>
        <v>2686</v>
      </c>
      <c r="G542" s="1">
        <f>SUM(G537:G541)</f>
        <v>930</v>
      </c>
      <c r="H542" s="1">
        <f>SUM(H536:H541)</f>
        <v>11470</v>
      </c>
      <c r="I542" s="13" t="s">
        <v>12</v>
      </c>
      <c r="N542" s="16"/>
      <c r="O542" s="1"/>
      <c r="P542" s="1"/>
    </row>
    <row r="543" spans="1:40" x14ac:dyDescent="0.3">
      <c r="A543" s="1" t="s">
        <v>57</v>
      </c>
      <c r="B543" s="1" t="s">
        <v>2</v>
      </c>
      <c r="C543" s="10">
        <f>C537/C542</f>
        <v>1</v>
      </c>
      <c r="D543" s="10">
        <f>D538/D542</f>
        <v>0.7</v>
      </c>
      <c r="E543" s="10">
        <f>E539/E542</f>
        <v>0.98978605935127673</v>
      </c>
      <c r="F543" s="10">
        <f>F540/F542</f>
        <v>0.91325390915860016</v>
      </c>
      <c r="G543" s="10">
        <f>G541/G542</f>
        <v>0.85268817204301073</v>
      </c>
      <c r="H543" s="10"/>
      <c r="I543" s="14">
        <f>(C537+D538+E539+F540+G541)/H542</f>
        <v>0.94978204010462075</v>
      </c>
    </row>
    <row r="544" spans="1:40" x14ac:dyDescent="0.3">
      <c r="B544" s="1" t="s">
        <v>14</v>
      </c>
      <c r="C544" s="11">
        <f>1-C543</f>
        <v>0</v>
      </c>
      <c r="D544" s="11">
        <f>1-D543</f>
        <v>0.30000000000000004</v>
      </c>
      <c r="E544" s="11">
        <f>1-E543</f>
        <v>1.0213940648723274E-2</v>
      </c>
      <c r="F544" s="11">
        <f>1-F543</f>
        <v>8.6746090841399837E-2</v>
      </c>
      <c r="G544" s="11">
        <f>1-G543</f>
        <v>0.14731182795698927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1.391369864380732</v>
      </c>
      <c r="D548" s="31">
        <f>(D537/$L548)*$O548</f>
        <v>0</v>
      </c>
      <c r="E548" s="31">
        <f>(E537/$L548)*$O548</f>
        <v>0</v>
      </c>
      <c r="F548" s="31">
        <f>(F537/$L548)*$O548</f>
        <v>0</v>
      </c>
      <c r="G548" s="32">
        <f>(G537/$L548)*$O548</f>
        <v>0</v>
      </c>
      <c r="H548" s="17">
        <f>SUM(C548:G548)</f>
        <v>1.391369864380732</v>
      </c>
      <c r="I548" s="17">
        <f>C548/H548*100</f>
        <v>100</v>
      </c>
      <c r="J548" s="17">
        <f>SQRT(I548*(100-I548)/(L548-1))</f>
        <v>0</v>
      </c>
      <c r="K548" s="18">
        <f>100-I548</f>
        <v>0</v>
      </c>
      <c r="L548" s="1">
        <f>H537</f>
        <v>169</v>
      </c>
      <c r="M548">
        <v>0</v>
      </c>
      <c r="N548" s="1">
        <v>2565.42</v>
      </c>
      <c r="O548" s="17">
        <f>N548/N553*100</f>
        <v>1.391369864380732</v>
      </c>
      <c r="P548" s="52">
        <f>((O548*O548*(I548/100)*(K548/100))/(L548-1))</f>
        <v>0</v>
      </c>
    </row>
    <row r="549" spans="1:16" x14ac:dyDescent="0.3">
      <c r="A549" t="s">
        <v>4</v>
      </c>
      <c r="B549" s="13">
        <v>1</v>
      </c>
      <c r="C549" s="33">
        <f t="shared" ref="C549:G552" si="58">(C538/$L549)*$O549</f>
        <v>0</v>
      </c>
      <c r="D549" s="34">
        <f t="shared" si="58"/>
        <v>3.7140723550269414</v>
      </c>
      <c r="E549" s="19">
        <f t="shared" si="58"/>
        <v>0.34970161784344578</v>
      </c>
      <c r="F549" s="18">
        <f t="shared" si="58"/>
        <v>0</v>
      </c>
      <c r="G549" s="20">
        <f t="shared" si="58"/>
        <v>2.4117352954720398E-2</v>
      </c>
      <c r="H549" s="17">
        <f>SUM(C549:G549)</f>
        <v>4.0878913258251073</v>
      </c>
      <c r="I549" s="17">
        <f>D549/H549*100</f>
        <v>90.855457227138643</v>
      </c>
      <c r="J549" s="17">
        <f>SQRT(I549*(100-I549)/(L549-1))</f>
        <v>1.5678270633196913</v>
      </c>
      <c r="K549" s="18">
        <f>100-I549</f>
        <v>9.1445427728613566</v>
      </c>
      <c r="L549" s="1">
        <f>H538</f>
        <v>339</v>
      </c>
      <c r="M549">
        <v>1</v>
      </c>
      <c r="N549" s="1">
        <v>7537.29</v>
      </c>
      <c r="O549" s="17">
        <f>N549/N553*100</f>
        <v>4.0878913258251073</v>
      </c>
      <c r="P549" s="52">
        <f>((O549*O549*(I549/100)*(K549/100))/(L549-1))</f>
        <v>4.1076648083612204E-3</v>
      </c>
    </row>
    <row r="550" spans="1:16" x14ac:dyDescent="0.3">
      <c r="A550" t="s">
        <v>5</v>
      </c>
      <c r="B550" s="13">
        <v>2</v>
      </c>
      <c r="C550" s="33">
        <f t="shared" si="58"/>
        <v>0</v>
      </c>
      <c r="D550" s="19">
        <f t="shared" si="58"/>
        <v>1.0380782504227133</v>
      </c>
      <c r="E550" s="34">
        <f t="shared" si="58"/>
        <v>57.261993336779057</v>
      </c>
      <c r="F550" s="19">
        <f t="shared" si="58"/>
        <v>0.67874347143023561</v>
      </c>
      <c r="G550" s="20">
        <f t="shared" si="58"/>
        <v>0.10380782504227133</v>
      </c>
      <c r="H550" s="17">
        <f>SUM(C550:G550)</f>
        <v>59.082622883674283</v>
      </c>
      <c r="I550" s="17">
        <f>E550/H550*100</f>
        <v>96.91850250033788</v>
      </c>
      <c r="J550" s="17">
        <f>SQRT(I550*(100-I550)/(L550-1))</f>
        <v>0.20092181559870601</v>
      </c>
      <c r="K550" s="18">
        <f>100-I550</f>
        <v>3.0814974996621203</v>
      </c>
      <c r="L550" s="1">
        <f>H539</f>
        <v>7399</v>
      </c>
      <c r="M550">
        <v>2</v>
      </c>
      <c r="N550" s="1">
        <v>108937.06</v>
      </c>
      <c r="O550" s="17">
        <f>N550/N553*100</f>
        <v>59.082622883674276</v>
      </c>
      <c r="P550" s="52">
        <f>((O550*O550*(I550/100)*(K550/100))/(L550-1))</f>
        <v>1.409203527751518E-2</v>
      </c>
    </row>
    <row r="551" spans="1:16" x14ac:dyDescent="0.3">
      <c r="A551" t="s">
        <v>6</v>
      </c>
      <c r="B551" s="13">
        <v>3</v>
      </c>
      <c r="C551" s="33">
        <f t="shared" si="58"/>
        <v>0</v>
      </c>
      <c r="D551" s="19">
        <f t="shared" si="58"/>
        <v>1.9163254277145783E-2</v>
      </c>
      <c r="E551" s="19">
        <f t="shared" si="58"/>
        <v>0.24912230560289519</v>
      </c>
      <c r="F551" s="34">
        <f t="shared" si="58"/>
        <v>23.503731370919304</v>
      </c>
      <c r="G551" s="20">
        <f t="shared" si="58"/>
        <v>1.1689585109058929</v>
      </c>
      <c r="H551" s="17">
        <f>SUM(C551:G551)</f>
        <v>24.940975441705238</v>
      </c>
      <c r="I551" s="17">
        <f>F551/H551*100</f>
        <v>94.237418363426812</v>
      </c>
      <c r="J551" s="17">
        <f>SQRT(I551*(100-I551)/(L551-1))</f>
        <v>0.45684259460018117</v>
      </c>
      <c r="K551" s="18">
        <f>100-I551</f>
        <v>5.7625816365731879</v>
      </c>
      <c r="L551" s="1">
        <f>H540</f>
        <v>2603</v>
      </c>
      <c r="M551">
        <v>3</v>
      </c>
      <c r="N551" s="1">
        <v>45986.39</v>
      </c>
      <c r="O551" s="17">
        <f>N551/N553*100</f>
        <v>24.940975441705238</v>
      </c>
      <c r="P551" s="52">
        <f>((O551*O551*(I551/100)*(K551/100))/(L551-1))</f>
        <v>1.2982551327516963E-2</v>
      </c>
    </row>
    <row r="552" spans="1:16" x14ac:dyDescent="0.3">
      <c r="A552" t="s">
        <v>7</v>
      </c>
      <c r="B552" s="13">
        <v>4</v>
      </c>
      <c r="C552" s="35">
        <f t="shared" si="58"/>
        <v>0</v>
      </c>
      <c r="D552" s="36">
        <f t="shared" si="58"/>
        <v>0</v>
      </c>
      <c r="E552" s="21">
        <f t="shared" si="58"/>
        <v>0.20775590542070668</v>
      </c>
      <c r="F552" s="21">
        <f t="shared" si="58"/>
        <v>1.6183091580139259</v>
      </c>
      <c r="G552" s="37">
        <f t="shared" si="58"/>
        <v>8.6710754209800225</v>
      </c>
      <c r="H552" s="17">
        <f>SUM(C552:G552)</f>
        <v>10.497140484414656</v>
      </c>
      <c r="I552" s="17">
        <f>G552/H552*100</f>
        <v>82.604166666666657</v>
      </c>
      <c r="J552" s="17">
        <f>SQRT(I552*(100-I552)/(L552-1))</f>
        <v>1.2240926566595454</v>
      </c>
      <c r="K552" s="18">
        <f>100-I552</f>
        <v>17.395833333333343</v>
      </c>
      <c r="L552" s="1">
        <f>H541</f>
        <v>960</v>
      </c>
      <c r="M552">
        <v>4</v>
      </c>
      <c r="N552" s="1">
        <v>19354.72</v>
      </c>
      <c r="O552" s="17">
        <f>N552/N553*100</f>
        <v>10.497140484414654</v>
      </c>
      <c r="P552" s="52">
        <f>((O552*O552*(I552/100)*(K552/100))/(L552-1))</f>
        <v>1.6510894565858577E-2</v>
      </c>
    </row>
    <row r="553" spans="1:16" x14ac:dyDescent="0.3">
      <c r="B553" t="s">
        <v>28</v>
      </c>
      <c r="C553" s="17">
        <f>SUM(C548:C552)</f>
        <v>1.391369864380732</v>
      </c>
      <c r="D553" s="17">
        <f>SUM(D548:D552)</f>
        <v>4.771313859726801</v>
      </c>
      <c r="E553" s="17">
        <f>SUM(E548:E552)</f>
        <v>58.0685731656461</v>
      </c>
      <c r="F553" s="17">
        <f>SUM(F548:F552)</f>
        <v>25.800784000363464</v>
      </c>
      <c r="G553" s="17">
        <f>SUM(G548:G552)</f>
        <v>9.9679591098829068</v>
      </c>
      <c r="H553" s="1">
        <f>SUM(H547:H552)</f>
        <v>100.00000000000001</v>
      </c>
      <c r="I553" s="13" t="s">
        <v>24</v>
      </c>
      <c r="J553" s="12" t="s">
        <v>29</v>
      </c>
      <c r="N553" s="1">
        <f>SUM(N548:N552)</f>
        <v>184380.87999999998</v>
      </c>
      <c r="O553" s="17">
        <f>SUM(O548:O552)</f>
        <v>100.00000000000001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0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0.11145698776146162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0.1501207291101424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0.18249000893228062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0.16818395332752853</v>
      </c>
      <c r="H554" s="1"/>
      <c r="I554" s="56">
        <f>(C548+D549+E550+F551+G552)/H553</f>
        <v>0.94542242348086036</v>
      </c>
      <c r="J554" s="53">
        <f>SQRT(SUM(P548:P552))/100</f>
        <v>2.1838760491211936E-3</v>
      </c>
      <c r="M554" s="1"/>
      <c r="N554" s="9"/>
    </row>
    <row r="555" spans="1:16" x14ac:dyDescent="0.3">
      <c r="B555" s="1" t="s">
        <v>30</v>
      </c>
      <c r="C555" s="17">
        <f>C548/C553*100</f>
        <v>100</v>
      </c>
      <c r="D555" s="17">
        <f>D549/D553*100</f>
        <v>77.841711197753909</v>
      </c>
      <c r="E555" s="17">
        <f>E550/E553*100</f>
        <v>98.610987346690621</v>
      </c>
      <c r="F555" s="17">
        <f>F551/F553*100</f>
        <v>91.096965776653136</v>
      </c>
      <c r="G555" s="17">
        <f>G552/G553*100</f>
        <v>86.989476234738291</v>
      </c>
      <c r="H555" s="1"/>
    </row>
    <row r="556" spans="1:16" x14ac:dyDescent="0.3">
      <c r="B556" s="16" t="s">
        <v>39</v>
      </c>
      <c r="C556" s="18">
        <f>SQRT((C559+C560)/(C553*C553))</f>
        <v>0</v>
      </c>
      <c r="D556" s="18">
        <f>SQRT((D559+D560)/(D553*D553))</f>
        <v>3.328036127084157</v>
      </c>
      <c r="E556" s="18">
        <f>SQRT((E559+E560)/(E553*E553))</f>
        <v>0.15876264665662587</v>
      </c>
      <c r="F556" s="18">
        <f>SQRT((F559+F560)/(F553*F553))</f>
        <v>0.63888206170417783</v>
      </c>
      <c r="G556" s="18">
        <f>SQRT((G559+G560)/(G553*G553))</f>
        <v>1.9264788329260589</v>
      </c>
      <c r="H556" s="1"/>
    </row>
    <row r="557" spans="1:16" x14ac:dyDescent="0.3">
      <c r="B557" s="1" t="s">
        <v>37</v>
      </c>
      <c r="C557" s="18">
        <f>100-C555</f>
        <v>0</v>
      </c>
      <c r="D557" s="18">
        <f>100-D555</f>
        <v>22.158288802246091</v>
      </c>
      <c r="E557" s="18">
        <f>100-E555</f>
        <v>1.3890126533093792</v>
      </c>
      <c r="F557" s="18">
        <f>100-F555</f>
        <v>8.9030342233468645</v>
      </c>
      <c r="G557" s="18">
        <f>100-G555</f>
        <v>13.010523765261709</v>
      </c>
    </row>
    <row r="558" spans="1:16" ht="15.6" x14ac:dyDescent="0.35">
      <c r="B558" s="1" t="s">
        <v>25</v>
      </c>
      <c r="C558" s="1">
        <f>C542</f>
        <v>169</v>
      </c>
      <c r="D558" s="1">
        <f>D542</f>
        <v>440</v>
      </c>
      <c r="E558" s="1">
        <f>E542</f>
        <v>7245</v>
      </c>
      <c r="F558" s="1">
        <f>F542</f>
        <v>2686</v>
      </c>
      <c r="G558" s="1">
        <f>G542</f>
        <v>930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201.68213692773372</v>
      </c>
      <c r="E559" s="18">
        <f>(O550*O550*(100-E555)*(100-E555)*(I550)*(100-I550))/((L550-1)*100)</f>
        <v>2.7188554943537699</v>
      </c>
      <c r="F559" s="18">
        <f>(O551*O551*(100-F555)*(100-F555)*(I551)*(100-I551))/((L551-1)*100)</f>
        <v>102.9049187070673</v>
      </c>
      <c r="G559" s="18">
        <f>(O552*O552*(100-G555)*(100-G555)*(I552)*(100-I552))/((L552-1)*100)</f>
        <v>279.48606864511203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50.463835460254217</v>
      </c>
      <c r="E560" s="18">
        <f>E555*E555*(SUM((H548*E548*(1-E537/H537))/(H537-1),(H549*E549*(1-E538/H538))/(H538-1), (H551*E551*(1-E540/H540))/(H540-1),(H552*E552*(1-E541/H541))/(H541-1)))</f>
        <v>82.273324779615862</v>
      </c>
      <c r="F560" s="18">
        <f>F555*F555*(SUM((H548*F548*(1-F537/H537))/(H537-1),(H549*F549*(1-F538/H538))/(H538-1), (H550*F550*(1-F539/H539))/(H539-1),(H552*F552*(1-F541/H541))/(H541-1)))</f>
        <v>168.80606485072178</v>
      </c>
      <c r="G560" s="18">
        <f>G555*G555*(SUM((H548*G548*(1-G537/H537))/(H537-1),(H549*G549*(1-G538/H538))/(H538-1), (H550*G550*(1-G539/H539))/(H539-1),(H551*G551*(1-G540/H540))/(H540-1)))</f>
        <v>89.271530466373818</v>
      </c>
    </row>
    <row r="563" spans="1:16" x14ac:dyDescent="0.3">
      <c r="A563" s="361" t="s">
        <v>449</v>
      </c>
      <c r="B563" s="361"/>
      <c r="C563" s="361"/>
      <c r="D563" s="361"/>
      <c r="E563" s="361"/>
      <c r="F563" s="361"/>
      <c r="G563" s="361"/>
      <c r="H563" s="361"/>
      <c r="I563" s="361"/>
      <c r="J563" s="361"/>
      <c r="K563" s="361"/>
      <c r="L563" s="361" t="s">
        <v>97</v>
      </c>
      <c r="M563" s="361"/>
      <c r="N563" s="361"/>
      <c r="O563" s="361"/>
      <c r="P563" s="361"/>
    </row>
    <row r="564" spans="1:16" x14ac:dyDescent="0.3">
      <c r="A564" t="s">
        <v>15</v>
      </c>
      <c r="B564" t="s">
        <v>21</v>
      </c>
      <c r="I564" s="1" t="s">
        <v>58</v>
      </c>
      <c r="O564" s="143"/>
      <c r="P564" s="143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56</v>
      </c>
      <c r="O565" s="13"/>
      <c r="P565" s="13"/>
    </row>
    <row r="566" spans="1:16" x14ac:dyDescent="0.3">
      <c r="A566" t="s">
        <v>3</v>
      </c>
      <c r="B566" s="13">
        <v>0</v>
      </c>
      <c r="C566" s="26">
        <v>169</v>
      </c>
      <c r="D566" s="3">
        <v>0</v>
      </c>
      <c r="E566" s="3">
        <v>0</v>
      </c>
      <c r="F566" s="3">
        <v>0</v>
      </c>
      <c r="G566" s="4">
        <v>0</v>
      </c>
      <c r="H566" s="1">
        <f>SUM(C566:G566)</f>
        <v>169</v>
      </c>
      <c r="I566" s="10">
        <f>C566/H566</f>
        <v>1</v>
      </c>
      <c r="J566" s="11">
        <f>1-I566</f>
        <v>0</v>
      </c>
      <c r="K566">
        <f>H566-C571</f>
        <v>0</v>
      </c>
      <c r="N566" s="10">
        <f>2*(C572*I566)/(C572+I566)</f>
        <v>1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309</v>
      </c>
      <c r="E567" s="1">
        <v>27</v>
      </c>
      <c r="F567" s="1">
        <v>0</v>
      </c>
      <c r="G567" s="6">
        <v>3</v>
      </c>
      <c r="H567" s="1">
        <f>SUM(C567:G567)</f>
        <v>339</v>
      </c>
      <c r="I567" s="10">
        <f>D567/H567</f>
        <v>0.91150442477876104</v>
      </c>
      <c r="J567" s="11">
        <f>1-I567</f>
        <v>8.8495575221238965E-2</v>
      </c>
      <c r="K567">
        <f>H567-D571</f>
        <v>-99</v>
      </c>
      <c r="N567" s="10">
        <f>2*(D572*I567)/(D572+I567)</f>
        <v>0.79536679536679533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127</v>
      </c>
      <c r="E568" s="27">
        <v>7176</v>
      </c>
      <c r="F568" s="1">
        <v>85</v>
      </c>
      <c r="G568" s="6">
        <v>11</v>
      </c>
      <c r="H568" s="1">
        <f>SUM(C568:G568)</f>
        <v>7399</v>
      </c>
      <c r="I568" s="10">
        <f>E568/H568</f>
        <v>0.96986079199891873</v>
      </c>
      <c r="J568" s="11">
        <f>1-I568</f>
        <v>3.0139208001081275E-2</v>
      </c>
      <c r="K568">
        <f>H568-E571</f>
        <v>145</v>
      </c>
      <c r="N568" s="10">
        <f>2*(E572*I568)/(E572+I568)</f>
        <v>0.97945813144066063</v>
      </c>
      <c r="O568" s="1"/>
      <c r="P568" s="1"/>
    </row>
    <row r="569" spans="1:16" x14ac:dyDescent="0.3">
      <c r="A569" t="s">
        <v>6</v>
      </c>
      <c r="B569" s="13">
        <v>3</v>
      </c>
      <c r="C569" s="5">
        <v>0</v>
      </c>
      <c r="D569" s="1">
        <v>2</v>
      </c>
      <c r="E569" s="1">
        <v>30</v>
      </c>
      <c r="F569" s="27">
        <v>2457</v>
      </c>
      <c r="G569" s="6">
        <v>114</v>
      </c>
      <c r="H569" s="1">
        <f>SUM(C569:G569)</f>
        <v>2603</v>
      </c>
      <c r="I569" s="10">
        <f>F569/H569</f>
        <v>0.94391087207068769</v>
      </c>
      <c r="J569" s="11">
        <f>1-I569</f>
        <v>5.608912792931231E-2</v>
      </c>
      <c r="K569">
        <f>H569-F571</f>
        <v>-96</v>
      </c>
      <c r="N569" s="10">
        <f>2*(F572*I569)/(F572+I569)</f>
        <v>0.92682006789890603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0</v>
      </c>
      <c r="E570" s="8">
        <v>21</v>
      </c>
      <c r="F570" s="8">
        <v>157</v>
      </c>
      <c r="G570" s="28">
        <v>782</v>
      </c>
      <c r="H570" s="1">
        <f>SUM(C570:G570)</f>
        <v>960</v>
      </c>
      <c r="I570" s="10">
        <f>G570/H570</f>
        <v>0.81458333333333333</v>
      </c>
      <c r="J570" s="11">
        <f>1-I570</f>
        <v>0.18541666666666667</v>
      </c>
      <c r="K570">
        <f>H570-G571</f>
        <v>50</v>
      </c>
      <c r="N570" s="10">
        <f>2*(G572*I570)/(G572+I570)</f>
        <v>0.83636363636363631</v>
      </c>
      <c r="O570" s="1"/>
      <c r="P570" s="1"/>
    </row>
    <row r="571" spans="1:16" ht="15.6" x14ac:dyDescent="0.35">
      <c r="B571" s="1" t="s">
        <v>19</v>
      </c>
      <c r="C571" s="1">
        <f>SUM(C566:C570)</f>
        <v>169</v>
      </c>
      <c r="D571" s="1">
        <f>SUM(D566:D570)</f>
        <v>438</v>
      </c>
      <c r="E571" s="1">
        <f>SUM(E566:E570)</f>
        <v>7254</v>
      </c>
      <c r="F571" s="1">
        <f>SUM(F566:F570)</f>
        <v>2699</v>
      </c>
      <c r="G571" s="1">
        <f>SUM(G566:G570)</f>
        <v>910</v>
      </c>
      <c r="H571" s="1">
        <f>SUM(H565:H570)</f>
        <v>11470</v>
      </c>
      <c r="I571" s="13" t="s">
        <v>12</v>
      </c>
      <c r="N571" s="16"/>
      <c r="O571" s="1"/>
      <c r="P571" s="1"/>
    </row>
    <row r="572" spans="1:16" x14ac:dyDescent="0.3">
      <c r="A572" s="1" t="s">
        <v>57</v>
      </c>
      <c r="B572" s="1" t="s">
        <v>2</v>
      </c>
      <c r="C572" s="10">
        <f>C566/C571</f>
        <v>1</v>
      </c>
      <c r="D572" s="10">
        <f>D567/D571</f>
        <v>0.70547945205479456</v>
      </c>
      <c r="E572" s="10">
        <f>E568/E571</f>
        <v>0.989247311827957</v>
      </c>
      <c r="F572" s="10">
        <f>F569/F571</f>
        <v>0.91033716191181924</v>
      </c>
      <c r="G572" s="10">
        <f>G570/G571</f>
        <v>0.85934065934065929</v>
      </c>
      <c r="H572" s="10"/>
      <c r="I572" s="14">
        <f>(C566+D567+E568+F569+G570)/H571</f>
        <v>0.94969485614646909</v>
      </c>
    </row>
    <row r="573" spans="1:16" x14ac:dyDescent="0.3">
      <c r="B573" s="1" t="s">
        <v>14</v>
      </c>
      <c r="C573" s="11">
        <f>1-C572</f>
        <v>0</v>
      </c>
      <c r="D573" s="11">
        <f>1-D572</f>
        <v>0.29452054794520544</v>
      </c>
      <c r="E573" s="11">
        <f>1-E572</f>
        <v>1.0752688172043001E-2</v>
      </c>
      <c r="F573" s="11">
        <f>1-F572</f>
        <v>8.9662838088180763E-2</v>
      </c>
      <c r="G573" s="11">
        <f>1-G572</f>
        <v>0.14065934065934071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1.4252128528728143</v>
      </c>
      <c r="D577" s="31">
        <f>(D566/$L577)*$O577</f>
        <v>0</v>
      </c>
      <c r="E577" s="31">
        <f>(E566/$L577)*$O577</f>
        <v>0</v>
      </c>
      <c r="F577" s="31">
        <f>(F566/$L577)*$O577</f>
        <v>0</v>
      </c>
      <c r="G577" s="32">
        <f>(G566/$L577)*$O577</f>
        <v>0</v>
      </c>
      <c r="H577" s="17">
        <f>SUM(C577:G577)</f>
        <v>1.4252128528728143</v>
      </c>
      <c r="I577" s="17">
        <f>C577/H577*100</f>
        <v>100</v>
      </c>
      <c r="J577" s="17">
        <f>SQRT(I577*(100-I577)/(L577-1))</f>
        <v>0</v>
      </c>
      <c r="K577" s="18">
        <f>100-I577</f>
        <v>0</v>
      </c>
      <c r="L577" s="1">
        <f>H566</f>
        <v>169</v>
      </c>
      <c r="M577">
        <v>0</v>
      </c>
      <c r="N577" s="1">
        <v>2627.82</v>
      </c>
      <c r="O577" s="17">
        <f>N577/N582*100</f>
        <v>1.4252128528728143</v>
      </c>
      <c r="P577" s="52">
        <f>((O577*O577*(I577/100)*(K577/100))/(L577-1))</f>
        <v>0</v>
      </c>
    </row>
    <row r="578" spans="1:16" x14ac:dyDescent="0.3">
      <c r="A578" t="s">
        <v>4</v>
      </c>
      <c r="B578" s="13">
        <v>1</v>
      </c>
      <c r="C578" s="33">
        <f t="shared" ref="C578:G581" si="59">(C567/$L578)*$O578</f>
        <v>0</v>
      </c>
      <c r="D578" s="34">
        <f t="shared" si="59"/>
        <v>3.7896463420373547</v>
      </c>
      <c r="E578" s="19">
        <f t="shared" si="59"/>
        <v>0.33113414639161354</v>
      </c>
      <c r="F578" s="18">
        <f t="shared" si="59"/>
        <v>0</v>
      </c>
      <c r="G578" s="20">
        <f t="shared" si="59"/>
        <v>3.6792682932401503E-2</v>
      </c>
      <c r="H578" s="17">
        <f>SUM(C578:G578)</f>
        <v>4.1575731713613697</v>
      </c>
      <c r="I578" s="17">
        <f>D578/H578*100</f>
        <v>91.150442477876098</v>
      </c>
      <c r="J578" s="17">
        <f>SQRT(I578*(100-I578)/(L578-1))</f>
        <v>1.5448339983540125</v>
      </c>
      <c r="K578" s="18">
        <f>100-I578</f>
        <v>8.8495575221239022</v>
      </c>
      <c r="L578" s="1">
        <f>H567</f>
        <v>339</v>
      </c>
      <c r="M578">
        <v>1</v>
      </c>
      <c r="N578" s="1">
        <v>7665.77</v>
      </c>
      <c r="O578" s="17">
        <f>N578/N582*100</f>
        <v>4.1575731713613697</v>
      </c>
      <c r="P578" s="52">
        <f>((O578*O578*(I578/100)*(K578/100))/(L578-1))</f>
        <v>4.1251850972933634E-3</v>
      </c>
    </row>
    <row r="579" spans="1:16" x14ac:dyDescent="0.3">
      <c r="A579" t="s">
        <v>5</v>
      </c>
      <c r="B579" s="13">
        <v>2</v>
      </c>
      <c r="C579" s="33">
        <f t="shared" si="59"/>
        <v>0</v>
      </c>
      <c r="D579" s="19">
        <f t="shared" si="59"/>
        <v>1.0097220217391214</v>
      </c>
      <c r="E579" s="34">
        <f t="shared" si="59"/>
        <v>57.053269511810505</v>
      </c>
      <c r="F579" s="19">
        <f t="shared" si="59"/>
        <v>0.67579820352618358</v>
      </c>
      <c r="G579" s="20">
        <f t="shared" si="59"/>
        <v>8.7456238103388456E-2</v>
      </c>
      <c r="H579" s="17">
        <f>SUM(C579:G579)</f>
        <v>58.826245975179198</v>
      </c>
      <c r="I579" s="17">
        <f>E579/H579*100</f>
        <v>96.98607919989189</v>
      </c>
      <c r="J579" s="17">
        <f>SQRT(I579*(100-I579)/(L579-1))</f>
        <v>0.19877577515648837</v>
      </c>
      <c r="K579" s="18">
        <f>100-I579</f>
        <v>3.0139208001081101</v>
      </c>
      <c r="L579" s="1">
        <f>H568</f>
        <v>7399</v>
      </c>
      <c r="M579">
        <v>2</v>
      </c>
      <c r="N579" s="1">
        <v>108464.35</v>
      </c>
      <c r="O579" s="17">
        <f>N579/N582*100</f>
        <v>58.826245975179205</v>
      </c>
      <c r="P579" s="52">
        <f>((O579*O579*(I579/100)*(K579/100))/(L579-1))</f>
        <v>1.3673168964945973E-2</v>
      </c>
    </row>
    <row r="580" spans="1:16" x14ac:dyDescent="0.3">
      <c r="A580" t="s">
        <v>6</v>
      </c>
      <c r="B580" s="13">
        <v>3</v>
      </c>
      <c r="C580" s="33">
        <f t="shared" si="59"/>
        <v>0</v>
      </c>
      <c r="D580" s="19">
        <f t="shared" si="59"/>
        <v>1.951006598322131E-2</v>
      </c>
      <c r="E580" s="19">
        <f t="shared" si="59"/>
        <v>0.29265098974831966</v>
      </c>
      <c r="F580" s="34">
        <f t="shared" si="59"/>
        <v>23.968116060387381</v>
      </c>
      <c r="G580" s="20">
        <f t="shared" si="59"/>
        <v>1.1120737610436147</v>
      </c>
      <c r="H580" s="17">
        <f>SUM(C580:G580)</f>
        <v>25.392350877162535</v>
      </c>
      <c r="I580" s="17">
        <f>F580/H580*100</f>
        <v>94.391087207068765</v>
      </c>
      <c r="J580" s="17">
        <f>SQRT(I580*(100-I580)/(L580-1))</f>
        <v>0.45107752817412683</v>
      </c>
      <c r="K580" s="18">
        <f>100-I580</f>
        <v>5.6089127929312355</v>
      </c>
      <c r="L580" s="1">
        <f>H569</f>
        <v>2603</v>
      </c>
      <c r="M580">
        <v>3</v>
      </c>
      <c r="N580" s="1">
        <v>46818.64</v>
      </c>
      <c r="O580" s="17">
        <f>N580/N582*100</f>
        <v>25.392350877162535</v>
      </c>
      <c r="P580" s="52">
        <f>((O580*O580*(I580/100)*(K580/100))/(L580-1))</f>
        <v>1.3119225743932168E-2</v>
      </c>
    </row>
    <row r="581" spans="1:16" x14ac:dyDescent="0.3">
      <c r="A581" t="s">
        <v>7</v>
      </c>
      <c r="B581" s="13">
        <v>4</v>
      </c>
      <c r="C581" s="35">
        <f t="shared" si="59"/>
        <v>0</v>
      </c>
      <c r="D581" s="36">
        <f t="shared" si="59"/>
        <v>0</v>
      </c>
      <c r="E581" s="21">
        <f t="shared" si="59"/>
        <v>0.22309474957490166</v>
      </c>
      <c r="F581" s="21">
        <f t="shared" si="59"/>
        <v>1.6678988420599792</v>
      </c>
      <c r="G581" s="37">
        <f t="shared" si="59"/>
        <v>8.3076235317891953</v>
      </c>
      <c r="H581" s="17">
        <f>SUM(C581:G581)</f>
        <v>10.198617123424077</v>
      </c>
      <c r="I581" s="17">
        <f>G581/H581*100</f>
        <v>81.458333333333329</v>
      </c>
      <c r="J581" s="17">
        <f>SQRT(I581*(100-I581)/(L581-1))</f>
        <v>1.2549685462280646</v>
      </c>
      <c r="K581" s="18">
        <f>100-I581</f>
        <v>18.541666666666671</v>
      </c>
      <c r="L581" s="1">
        <f>H570</f>
        <v>960</v>
      </c>
      <c r="M581">
        <v>4</v>
      </c>
      <c r="N581" s="1">
        <v>18804.3</v>
      </c>
      <c r="O581" s="17">
        <f>N581/N582*100</f>
        <v>10.198617123424077</v>
      </c>
      <c r="P581" s="52">
        <f>((O581*O581*(I581/100)*(K581/100))/(L581-1))</f>
        <v>1.6381295996171542E-2</v>
      </c>
    </row>
    <row r="582" spans="1:16" x14ac:dyDescent="0.3">
      <c r="B582" t="s">
        <v>28</v>
      </c>
      <c r="C582" s="17">
        <f t="shared" ref="C582:H582" si="60">SUM(C577:C581)</f>
        <v>1.4252128528728143</v>
      </c>
      <c r="D582" s="17">
        <f t="shared" si="60"/>
        <v>4.8188784297596969</v>
      </c>
      <c r="E582" s="17">
        <f t="shared" si="60"/>
        <v>57.90014939752534</v>
      </c>
      <c r="F582" s="17">
        <f t="shared" si="60"/>
        <v>26.311813105973545</v>
      </c>
      <c r="G582" s="17">
        <f t="shared" si="60"/>
        <v>9.5439462138685993</v>
      </c>
      <c r="H582" s="18">
        <f t="shared" si="60"/>
        <v>100</v>
      </c>
      <c r="I582" s="13" t="s">
        <v>24</v>
      </c>
      <c r="J582" s="12" t="s">
        <v>29</v>
      </c>
      <c r="N582" s="1">
        <f>SUM(N577:N581)</f>
        <v>184380.88</v>
      </c>
      <c r="O582" s="17">
        <f>SUM(O577:O581)</f>
        <v>100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0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0.1104230958593182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0.15016360346771304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0.18233667700980241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0.16696997697074442</v>
      </c>
      <c r="H583" s="1"/>
      <c r="I583" s="56">
        <f>(C577+D578+E579+F580+G581)/H582</f>
        <v>0.94543868298897238</v>
      </c>
      <c r="J583" s="53">
        <f>SQRT(SUM(P577:P581))/100</f>
        <v>2.1748304716079146E-3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78.641667294070601</v>
      </c>
      <c r="E584" s="17">
        <f>E579/E582*100</f>
        <v>98.537344213224031</v>
      </c>
      <c r="F584" s="17">
        <f>F580/F582*100</f>
        <v>91.092605301859351</v>
      </c>
      <c r="G584" s="17">
        <f>G581/G582*100</f>
        <v>87.046001157436677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3.2025044994703995</v>
      </c>
      <c r="E585" s="18">
        <f>SQRT((E588+E589)/(E582*E582))</f>
        <v>0.16317901222227979</v>
      </c>
      <c r="F585" s="18">
        <f>SQRT((F588+F589)/(F582*F582))</f>
        <v>0.62597763629365222</v>
      </c>
      <c r="G585" s="18">
        <f>SQRT((G588+G589)/(G582*G582))</f>
        <v>1.9940316450840827</v>
      </c>
      <c r="H585" s="1"/>
    </row>
    <row r="586" spans="1:16" x14ac:dyDescent="0.3">
      <c r="B586" s="1" t="s">
        <v>37</v>
      </c>
      <c r="C586" s="18">
        <f>100-C584</f>
        <v>0</v>
      </c>
      <c r="D586" s="18">
        <f>100-D584</f>
        <v>21.358332705929399</v>
      </c>
      <c r="E586" s="18">
        <f>100-E584</f>
        <v>1.4626557867759686</v>
      </c>
      <c r="F586" s="18">
        <f>100-F584</f>
        <v>8.9073946981406493</v>
      </c>
      <c r="G586" s="18">
        <f>100-G584</f>
        <v>12.953998842563323</v>
      </c>
    </row>
    <row r="587" spans="1:16" ht="15.6" x14ac:dyDescent="0.35">
      <c r="B587" s="1" t="s">
        <v>25</v>
      </c>
      <c r="C587" s="1">
        <f>C571</f>
        <v>169</v>
      </c>
      <c r="D587" s="1">
        <f>D571</f>
        <v>438</v>
      </c>
      <c r="E587" s="1">
        <f>E571</f>
        <v>7254</v>
      </c>
      <c r="F587" s="1">
        <f>F571</f>
        <v>2699</v>
      </c>
      <c r="G587" s="1">
        <f>G571</f>
        <v>910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188.18202382885246</v>
      </c>
      <c r="E588" s="18">
        <f>(O579*O579*(100-E584)*(100-E584)*(I579)*(100-I579))/((L579-1)*100)</f>
        <v>2.9251857427582912</v>
      </c>
      <c r="F588" s="18">
        <f>(O580*O580*(100-F584)*(100-F584)*(I580)*(100-I580))/((L580-1)*100)</f>
        <v>104.09014148696386</v>
      </c>
      <c r="G588" s="18">
        <f>(O581*O581*(100-G584)*(100-G584)*(I581)*(100-I581))/((L581-1)*100)</f>
        <v>274.8881164940135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49.979410606197838</v>
      </c>
      <c r="E589" s="18">
        <f>E584*E584*(SUM((H577*E577*(1-E566/H566))/(H566-1),(H578*E578*(1-E567/H567))/(H567-1), (H580*E580*(1-E569/H569))/(H569-1),(H581*E581*(1-E570/H570))/(H570-1)))</f>
        <v>86.341203527831638</v>
      </c>
      <c r="F589" s="18">
        <f>F584*F584*(SUM((H577*F577*(1-F566/H566))/(H566-1),(H578*F578*(1-F567/H567))/(H567-1), (H579*F579*(1-F568/H568))/(H568-1),(H581*F581*(1-F570/H570))/(H570-1)))</f>
        <v>167.19073945085103</v>
      </c>
      <c r="G589" s="18">
        <f>G584*G584*(SUM((H577*G577*(1-G566/H566))/(H566-1),(H578*G578*(1-G567/H567))/(H567-1), (H579*G579*(1-G568/H568))/(H568-1),(H580*G580*(1-G569/H569))/(H569-1)))</f>
        <v>87.288209456991694</v>
      </c>
    </row>
    <row r="592" spans="1:16" x14ac:dyDescent="0.3">
      <c r="A592" s="361"/>
      <c r="B592" s="361"/>
      <c r="C592" s="361"/>
      <c r="D592" s="361"/>
      <c r="E592" s="361"/>
      <c r="F592" s="361"/>
      <c r="G592" s="361"/>
      <c r="H592" s="361"/>
      <c r="I592" s="361"/>
      <c r="J592" s="361"/>
      <c r="K592" s="361"/>
      <c r="L592" s="361"/>
      <c r="M592" s="361"/>
      <c r="N592" s="361"/>
      <c r="O592" s="361"/>
      <c r="P592" s="361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61"/>
      <c r="B621" s="361"/>
      <c r="C621" s="361"/>
      <c r="D621" s="361"/>
      <c r="E621" s="361"/>
      <c r="F621" s="361"/>
      <c r="G621" s="361"/>
      <c r="H621" s="361"/>
      <c r="I621" s="361"/>
      <c r="J621" s="361"/>
      <c r="K621" s="361"/>
      <c r="L621" s="361"/>
      <c r="M621" s="361"/>
      <c r="N621" s="361"/>
      <c r="O621" s="361"/>
      <c r="P621" s="361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61"/>
      <c r="B650" s="361"/>
      <c r="C650" s="361"/>
      <c r="D650" s="361"/>
      <c r="E650" s="361"/>
      <c r="F650" s="361"/>
      <c r="G650" s="361"/>
      <c r="H650" s="361"/>
      <c r="I650" s="361"/>
      <c r="J650" s="361"/>
      <c r="K650" s="361"/>
      <c r="L650" s="361"/>
      <c r="M650" s="361"/>
      <c r="N650" s="361"/>
      <c r="O650" s="361"/>
      <c r="P650" s="361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61"/>
      <c r="B679" s="361"/>
      <c r="C679" s="361"/>
      <c r="D679" s="361"/>
      <c r="E679" s="361"/>
      <c r="F679" s="361"/>
      <c r="G679" s="361"/>
      <c r="H679" s="361"/>
      <c r="I679" s="361"/>
      <c r="J679" s="361"/>
      <c r="K679" s="361"/>
      <c r="L679" s="361"/>
      <c r="M679" s="361"/>
      <c r="N679" s="361"/>
      <c r="O679" s="361"/>
      <c r="P679" s="361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61"/>
      <c r="B708" s="361"/>
      <c r="C708" s="361"/>
      <c r="D708" s="361"/>
      <c r="E708" s="361"/>
      <c r="F708" s="361"/>
      <c r="G708" s="361"/>
      <c r="H708" s="361"/>
      <c r="I708" s="361"/>
      <c r="J708" s="361"/>
      <c r="K708" s="361"/>
      <c r="L708" s="361"/>
      <c r="M708" s="361"/>
      <c r="N708" s="361"/>
      <c r="O708" s="361"/>
      <c r="P708" s="361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61"/>
      <c r="B737" s="361"/>
      <c r="C737" s="361"/>
      <c r="D737" s="361"/>
      <c r="E737" s="361"/>
      <c r="F737" s="361"/>
      <c r="G737" s="361"/>
      <c r="H737" s="361"/>
      <c r="I737" s="361"/>
      <c r="J737" s="361"/>
      <c r="K737" s="361"/>
      <c r="L737" s="361"/>
      <c r="M737" s="361"/>
      <c r="N737" s="361"/>
      <c r="O737" s="361"/>
      <c r="P737" s="361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61"/>
      <c r="B766" s="361"/>
      <c r="C766" s="361"/>
      <c r="D766" s="361"/>
      <c r="E766" s="361"/>
      <c r="F766" s="361"/>
      <c r="G766" s="361"/>
      <c r="H766" s="361"/>
      <c r="I766" s="361"/>
      <c r="J766" s="361"/>
      <c r="K766" s="361"/>
      <c r="L766" s="361"/>
      <c r="M766" s="361"/>
      <c r="N766" s="361"/>
      <c r="O766" s="361"/>
      <c r="P766" s="361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61"/>
      <c r="B795" s="361"/>
      <c r="C795" s="361"/>
      <c r="D795" s="361"/>
      <c r="E795" s="361"/>
      <c r="F795" s="361"/>
      <c r="G795" s="361"/>
      <c r="H795" s="361"/>
      <c r="I795" s="361"/>
      <c r="J795" s="361"/>
      <c r="K795" s="361"/>
      <c r="L795" s="361"/>
      <c r="M795" s="361"/>
      <c r="N795" s="361"/>
      <c r="O795" s="361"/>
      <c r="P795" s="361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61"/>
      <c r="B824" s="361"/>
      <c r="C824" s="361"/>
      <c r="D824" s="361"/>
      <c r="E824" s="361"/>
      <c r="F824" s="361"/>
      <c r="G824" s="361"/>
      <c r="H824" s="361"/>
      <c r="I824" s="361"/>
      <c r="J824" s="361"/>
      <c r="K824" s="361"/>
      <c r="L824" s="361"/>
      <c r="M824" s="361"/>
      <c r="N824" s="361"/>
      <c r="O824" s="361"/>
      <c r="P824" s="361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61"/>
      <c r="B853" s="361"/>
      <c r="C853" s="361"/>
      <c r="D853" s="361"/>
      <c r="E853" s="361"/>
      <c r="F853" s="361"/>
      <c r="G853" s="361"/>
      <c r="H853" s="361"/>
      <c r="I853" s="361"/>
      <c r="J853" s="361"/>
      <c r="K853" s="361"/>
      <c r="L853" s="361"/>
      <c r="M853" s="361"/>
      <c r="N853" s="361"/>
      <c r="O853" s="361"/>
      <c r="P853" s="361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61"/>
      <c r="B882" s="361"/>
      <c r="C882" s="361"/>
      <c r="D882" s="361"/>
      <c r="E882" s="361"/>
      <c r="F882" s="361"/>
      <c r="G882" s="361"/>
      <c r="H882" s="361"/>
      <c r="I882" s="361"/>
      <c r="J882" s="361"/>
      <c r="K882" s="361"/>
      <c r="L882" s="361"/>
      <c r="M882" s="361"/>
      <c r="N882" s="361"/>
      <c r="O882" s="361"/>
      <c r="P882" s="361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61"/>
      <c r="B911" s="361"/>
      <c r="C911" s="361"/>
      <c r="D911" s="361"/>
      <c r="E911" s="361"/>
      <c r="F911" s="361"/>
      <c r="G911" s="361"/>
      <c r="H911" s="361"/>
      <c r="I911" s="361"/>
      <c r="J911" s="361"/>
      <c r="K911" s="361"/>
      <c r="L911" s="361"/>
      <c r="M911" s="361"/>
      <c r="N911" s="361"/>
      <c r="O911" s="361"/>
      <c r="P911" s="361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61"/>
      <c r="B940" s="361"/>
      <c r="C940" s="361"/>
      <c r="D940" s="361"/>
      <c r="E940" s="361"/>
      <c r="F940" s="361"/>
      <c r="G940" s="361"/>
      <c r="H940" s="361"/>
      <c r="I940" s="361"/>
      <c r="J940" s="361"/>
      <c r="K940" s="361"/>
      <c r="L940" s="361"/>
      <c r="M940" s="361"/>
      <c r="N940" s="361"/>
      <c r="O940" s="361"/>
      <c r="P940" s="361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61"/>
      <c r="B969" s="361"/>
      <c r="C969" s="361"/>
      <c r="D969" s="361"/>
      <c r="E969" s="361"/>
      <c r="F969" s="361"/>
      <c r="G969" s="361"/>
      <c r="H969" s="361"/>
      <c r="I969" s="361"/>
      <c r="J969" s="361"/>
      <c r="K969" s="361"/>
      <c r="L969" s="361"/>
      <c r="M969" s="361"/>
      <c r="N969" s="361"/>
      <c r="O969" s="361"/>
      <c r="P969" s="361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61"/>
      <c r="B998" s="361"/>
      <c r="C998" s="361"/>
      <c r="D998" s="361"/>
      <c r="E998" s="361"/>
      <c r="F998" s="361"/>
      <c r="G998" s="361"/>
      <c r="H998" s="361"/>
      <c r="I998" s="361"/>
      <c r="J998" s="361"/>
      <c r="K998" s="361"/>
      <c r="L998" s="361"/>
      <c r="M998" s="361"/>
      <c r="N998" s="361"/>
      <c r="O998" s="361"/>
      <c r="P998" s="361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61"/>
      <c r="B1027" s="361"/>
      <c r="C1027" s="361"/>
      <c r="D1027" s="361"/>
      <c r="E1027" s="361"/>
      <c r="F1027" s="361"/>
      <c r="G1027" s="361"/>
      <c r="H1027" s="361"/>
      <c r="I1027" s="361"/>
      <c r="J1027" s="361"/>
      <c r="K1027" s="361"/>
      <c r="L1027" s="361"/>
      <c r="M1027" s="361"/>
      <c r="N1027" s="361"/>
      <c r="O1027" s="361"/>
      <c r="P1027" s="361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61"/>
      <c r="B1056" s="361"/>
      <c r="C1056" s="361"/>
      <c r="D1056" s="361"/>
      <c r="E1056" s="361"/>
      <c r="F1056" s="361"/>
      <c r="G1056" s="361"/>
      <c r="H1056" s="361"/>
      <c r="I1056" s="361"/>
      <c r="J1056" s="361"/>
      <c r="K1056" s="361"/>
      <c r="L1056" s="361"/>
      <c r="M1056" s="361"/>
      <c r="N1056" s="361"/>
      <c r="O1056" s="361"/>
      <c r="P1056" s="361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61"/>
      <c r="B1085" s="361"/>
      <c r="C1085" s="361"/>
      <c r="D1085" s="361"/>
      <c r="E1085" s="361"/>
      <c r="F1085" s="361"/>
      <c r="G1085" s="361"/>
      <c r="H1085" s="361"/>
      <c r="I1085" s="361"/>
      <c r="J1085" s="361"/>
      <c r="K1085" s="361"/>
      <c r="L1085" s="361"/>
      <c r="M1085" s="361"/>
      <c r="N1085" s="361"/>
      <c r="O1085" s="361"/>
      <c r="P1085" s="361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61"/>
      <c r="B1114" s="361"/>
      <c r="C1114" s="361"/>
      <c r="D1114" s="361"/>
      <c r="E1114" s="361"/>
      <c r="F1114" s="361"/>
      <c r="G1114" s="361"/>
      <c r="H1114" s="361"/>
      <c r="I1114" s="361"/>
      <c r="J1114" s="361"/>
      <c r="K1114" s="361"/>
      <c r="L1114" s="361"/>
      <c r="M1114" s="361"/>
      <c r="N1114" s="361"/>
      <c r="O1114" s="361"/>
      <c r="P1114" s="361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61"/>
      <c r="B1143" s="361"/>
      <c r="C1143" s="361"/>
      <c r="D1143" s="361"/>
      <c r="E1143" s="361"/>
      <c r="F1143" s="361"/>
      <c r="G1143" s="361"/>
      <c r="H1143" s="361"/>
      <c r="I1143" s="361"/>
      <c r="J1143" s="361"/>
      <c r="K1143" s="361"/>
      <c r="L1143" s="361"/>
      <c r="M1143" s="361"/>
      <c r="N1143" s="361"/>
      <c r="O1143" s="361"/>
      <c r="P1143" s="361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61"/>
      <c r="B1172" s="361"/>
      <c r="C1172" s="361"/>
      <c r="D1172" s="361"/>
      <c r="E1172" s="361"/>
      <c r="F1172" s="361"/>
      <c r="G1172" s="361"/>
      <c r="H1172" s="361"/>
      <c r="I1172" s="361"/>
      <c r="J1172" s="361"/>
      <c r="K1172" s="361"/>
      <c r="L1172" s="361"/>
      <c r="M1172" s="361"/>
      <c r="N1172" s="361"/>
      <c r="O1172" s="361"/>
      <c r="P1172" s="361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61"/>
      <c r="B1201" s="361"/>
      <c r="C1201" s="361"/>
      <c r="D1201" s="361"/>
      <c r="E1201" s="361"/>
      <c r="F1201" s="361"/>
      <c r="G1201" s="361"/>
      <c r="H1201" s="361"/>
      <c r="I1201" s="361"/>
      <c r="J1201" s="361"/>
      <c r="K1201" s="361"/>
      <c r="L1201" s="361"/>
      <c r="M1201" s="361"/>
      <c r="N1201" s="361"/>
      <c r="O1201" s="361"/>
      <c r="P1201" s="361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61"/>
      <c r="B1230" s="361"/>
      <c r="C1230" s="361"/>
      <c r="D1230" s="361"/>
      <c r="E1230" s="361"/>
      <c r="F1230" s="361"/>
      <c r="G1230" s="361"/>
      <c r="H1230" s="361"/>
      <c r="I1230" s="361"/>
      <c r="J1230" s="361"/>
      <c r="K1230" s="361"/>
      <c r="L1230" s="361"/>
      <c r="M1230" s="361"/>
      <c r="N1230" s="361"/>
      <c r="O1230" s="361"/>
      <c r="P1230" s="361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61"/>
      <c r="B1259" s="361"/>
      <c r="C1259" s="361"/>
      <c r="D1259" s="361"/>
      <c r="E1259" s="361"/>
      <c r="F1259" s="361"/>
      <c r="G1259" s="361"/>
      <c r="H1259" s="361"/>
      <c r="I1259" s="361"/>
      <c r="J1259" s="361"/>
      <c r="K1259" s="361"/>
      <c r="L1259" s="361"/>
      <c r="M1259" s="361"/>
      <c r="N1259" s="361"/>
      <c r="O1259" s="361"/>
      <c r="P1259" s="361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61"/>
      <c r="B1288" s="361"/>
      <c r="C1288" s="361"/>
      <c r="D1288" s="361"/>
      <c r="E1288" s="361"/>
      <c r="F1288" s="361"/>
      <c r="G1288" s="361"/>
      <c r="H1288" s="361"/>
      <c r="I1288" s="361"/>
      <c r="J1288" s="361"/>
      <c r="K1288" s="361"/>
      <c r="L1288" s="361"/>
      <c r="M1288" s="361"/>
      <c r="N1288" s="361"/>
      <c r="O1288" s="361"/>
      <c r="P1288" s="361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61"/>
      <c r="B1317" s="361"/>
      <c r="C1317" s="361"/>
      <c r="D1317" s="361"/>
      <c r="E1317" s="361"/>
      <c r="F1317" s="361"/>
      <c r="G1317" s="361"/>
      <c r="H1317" s="361"/>
      <c r="I1317" s="361"/>
      <c r="J1317" s="361"/>
      <c r="K1317" s="361"/>
      <c r="L1317" s="361"/>
      <c r="M1317" s="361"/>
      <c r="N1317" s="361"/>
      <c r="O1317" s="361"/>
      <c r="P1317" s="361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61"/>
      <c r="B1346" s="361"/>
      <c r="C1346" s="361"/>
      <c r="D1346" s="361"/>
      <c r="E1346" s="361"/>
      <c r="F1346" s="361"/>
      <c r="G1346" s="361"/>
      <c r="H1346" s="361"/>
      <c r="I1346" s="361"/>
      <c r="J1346" s="361"/>
      <c r="K1346" s="361"/>
      <c r="L1346" s="361"/>
      <c r="M1346" s="361"/>
      <c r="N1346" s="361"/>
      <c r="O1346" s="361"/>
      <c r="P1346" s="361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61"/>
      <c r="B1375" s="361"/>
      <c r="C1375" s="361"/>
      <c r="D1375" s="361"/>
      <c r="E1375" s="361"/>
      <c r="F1375" s="361"/>
      <c r="G1375" s="361"/>
      <c r="H1375" s="361"/>
      <c r="I1375" s="361"/>
      <c r="J1375" s="361"/>
      <c r="K1375" s="361"/>
      <c r="L1375" s="361"/>
      <c r="M1375" s="361"/>
      <c r="N1375" s="361"/>
      <c r="O1375" s="361"/>
      <c r="P1375" s="361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61"/>
      <c r="B1404" s="361"/>
      <c r="C1404" s="361"/>
      <c r="D1404" s="361"/>
      <c r="E1404" s="361"/>
      <c r="F1404" s="361"/>
      <c r="G1404" s="361"/>
      <c r="H1404" s="361"/>
      <c r="I1404" s="361"/>
      <c r="J1404" s="361"/>
      <c r="K1404" s="361"/>
      <c r="L1404" s="361"/>
      <c r="M1404" s="361"/>
      <c r="N1404" s="361"/>
      <c r="O1404" s="361"/>
      <c r="P1404" s="361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61"/>
      <c r="B1433" s="361"/>
      <c r="C1433" s="361"/>
      <c r="D1433" s="361"/>
      <c r="E1433" s="361"/>
      <c r="F1433" s="361"/>
      <c r="G1433" s="361"/>
      <c r="H1433" s="361"/>
      <c r="I1433" s="361"/>
      <c r="J1433" s="361"/>
      <c r="K1433" s="361"/>
      <c r="L1433" s="361"/>
      <c r="M1433" s="361"/>
      <c r="N1433" s="361"/>
      <c r="O1433" s="361"/>
      <c r="P1433" s="361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mergeCells count="102">
    <mergeCell ref="A12:K12"/>
    <mergeCell ref="L12:P12"/>
    <mergeCell ref="A41:K41"/>
    <mergeCell ref="L41:P41"/>
    <mergeCell ref="A70:K70"/>
    <mergeCell ref="L70:P70"/>
    <mergeCell ref="A157:K157"/>
    <mergeCell ref="L157:P157"/>
    <mergeCell ref="A186:K186"/>
    <mergeCell ref="L186:P186"/>
    <mergeCell ref="A215:K215"/>
    <mergeCell ref="L215:P215"/>
    <mergeCell ref="AJ80:AT80"/>
    <mergeCell ref="AU80:AY80"/>
    <mergeCell ref="A99:K99"/>
    <mergeCell ref="L99:P99"/>
    <mergeCell ref="A128:K128"/>
    <mergeCell ref="L128:P128"/>
    <mergeCell ref="A331:K331"/>
    <mergeCell ref="L331:P331"/>
    <mergeCell ref="A360:K360"/>
    <mergeCell ref="L360:P360"/>
    <mergeCell ref="A389:K389"/>
    <mergeCell ref="L389:P389"/>
    <mergeCell ref="A244:K244"/>
    <mergeCell ref="L244:P244"/>
    <mergeCell ref="A273:K273"/>
    <mergeCell ref="L273:P273"/>
    <mergeCell ref="A302:K302"/>
    <mergeCell ref="L302:P302"/>
    <mergeCell ref="A505:K505"/>
    <mergeCell ref="L505:P505"/>
    <mergeCell ref="A534:K534"/>
    <mergeCell ref="L534:P534"/>
    <mergeCell ref="A563:K563"/>
    <mergeCell ref="L563:P563"/>
    <mergeCell ref="A418:K418"/>
    <mergeCell ref="L418:P418"/>
    <mergeCell ref="A447:K447"/>
    <mergeCell ref="L447:P447"/>
    <mergeCell ref="A476:K476"/>
    <mergeCell ref="L476:P476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9060F-9A3B-4B2E-A278-470033924A4C}">
  <dimension ref="A1:BE1459"/>
  <sheetViews>
    <sheetView topLeftCell="X90" zoomScale="80" zoomScaleNormal="80" workbookViewId="0">
      <selection activeCell="AI113" sqref="AI113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</cols>
  <sheetData>
    <row r="1" spans="1:57" x14ac:dyDescent="0.3">
      <c r="A1" s="12"/>
      <c r="B1" s="12" t="s">
        <v>10</v>
      </c>
      <c r="C1" s="12"/>
      <c r="D1" s="12"/>
      <c r="E1" s="12"/>
      <c r="F1" s="12"/>
      <c r="G1" t="s">
        <v>47</v>
      </c>
    </row>
    <row r="2" spans="1:57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G2" t="s">
        <v>46</v>
      </c>
      <c r="AG2" s="51" t="s">
        <v>127</v>
      </c>
      <c r="AH2" s="51" t="s">
        <v>131</v>
      </c>
    </row>
    <row r="3" spans="1:57" x14ac:dyDescent="0.3">
      <c r="A3" s="12" t="s">
        <v>3</v>
      </c>
      <c r="B3" s="103">
        <v>175.36</v>
      </c>
      <c r="C3" s="22">
        <f>B3/$B$8</f>
        <v>5.8291477331276827E-2</v>
      </c>
      <c r="D3" s="85">
        <v>0.02</v>
      </c>
      <c r="E3" s="86">
        <f>D3-C3</f>
        <v>-3.829147733127683E-2</v>
      </c>
      <c r="F3" s="12" t="s">
        <v>49</v>
      </c>
      <c r="G3" t="s">
        <v>50</v>
      </c>
      <c r="AG3" s="51" t="s">
        <v>128</v>
      </c>
      <c r="AH3" s="51" t="s">
        <v>134</v>
      </c>
    </row>
    <row r="4" spans="1:57" x14ac:dyDescent="0.3">
      <c r="A4" s="12" t="s">
        <v>4</v>
      </c>
      <c r="B4" s="103">
        <v>249.32</v>
      </c>
      <c r="C4" s="22">
        <f>B4/$B$8</f>
        <v>8.2876546123596809E-2</v>
      </c>
      <c r="D4" s="85">
        <v>7.0000000000000007E-2</v>
      </c>
      <c r="E4" s="86">
        <f>D4-C4</f>
        <v>-1.2876546123596802E-2</v>
      </c>
      <c r="F4" s="12" t="s">
        <v>49</v>
      </c>
      <c r="G4" t="s">
        <v>55</v>
      </c>
      <c r="AG4" s="51" t="s">
        <v>129</v>
      </c>
      <c r="AH4" s="51" t="s">
        <v>132</v>
      </c>
    </row>
    <row r="5" spans="1:57" x14ac:dyDescent="0.3">
      <c r="A5" s="12" t="s">
        <v>5</v>
      </c>
      <c r="B5" s="103">
        <v>1402.65</v>
      </c>
      <c r="C5" s="22">
        <f>B5/$B$8</f>
        <v>0.46625536427187181</v>
      </c>
      <c r="D5" s="85">
        <v>0.48</v>
      </c>
      <c r="E5" s="86">
        <f>D5-C5</f>
        <v>1.3744635728128174E-2</v>
      </c>
      <c r="F5" s="12"/>
      <c r="AG5" s="51" t="s">
        <v>130</v>
      </c>
      <c r="AH5" s="51" t="s">
        <v>133</v>
      </c>
    </row>
    <row r="6" spans="1:57" x14ac:dyDescent="0.3">
      <c r="A6" s="12" t="s">
        <v>6</v>
      </c>
      <c r="B6" s="103">
        <v>728.96</v>
      </c>
      <c r="C6" s="22">
        <f>B6/$B$8</f>
        <v>0.2423138418989938</v>
      </c>
      <c r="D6" s="85">
        <v>0.28000000000000003</v>
      </c>
      <c r="E6" s="86">
        <f>D6-C6</f>
        <v>3.7686158101006229E-2</v>
      </c>
      <c r="F6" s="12"/>
      <c r="I6" s="12"/>
      <c r="J6" s="12" t="s">
        <v>54</v>
      </c>
      <c r="K6" s="12"/>
      <c r="AG6" s="51" t="s">
        <v>155</v>
      </c>
      <c r="AH6" s="51" t="s">
        <v>157</v>
      </c>
    </row>
    <row r="7" spans="1:57" x14ac:dyDescent="0.3">
      <c r="A7" s="12" t="s">
        <v>7</v>
      </c>
      <c r="B7" s="103">
        <v>452.04</v>
      </c>
      <c r="C7" s="22">
        <f>B7/$B$8</f>
        <v>0.15026277037426081</v>
      </c>
      <c r="D7" s="85">
        <v>0.15</v>
      </c>
      <c r="E7" s="86">
        <f>D7-C7</f>
        <v>-2.6277037426081229E-4</v>
      </c>
      <c r="F7" s="12"/>
      <c r="I7" s="12"/>
      <c r="J7" s="12">
        <v>21622</v>
      </c>
      <c r="K7" s="12"/>
      <c r="AG7" s="51" t="s">
        <v>156</v>
      </c>
      <c r="AH7" s="51" t="s">
        <v>158</v>
      </c>
    </row>
    <row r="8" spans="1:57" x14ac:dyDescent="0.3">
      <c r="A8" s="12"/>
      <c r="B8" s="103">
        <f>SUM(B3:B7)</f>
        <v>3008.33</v>
      </c>
      <c r="C8" s="61">
        <f>SUM(C3:C7)</f>
        <v>1</v>
      </c>
      <c r="D8" s="12"/>
      <c r="E8" s="12" t="s">
        <v>16</v>
      </c>
      <c r="F8" s="12">
        <v>197381.14</v>
      </c>
      <c r="I8" s="12" t="s">
        <v>60</v>
      </c>
      <c r="J8" s="12" t="s">
        <v>54</v>
      </c>
      <c r="K8" s="12" t="s">
        <v>59</v>
      </c>
      <c r="AG8" s="51" t="s">
        <v>210</v>
      </c>
      <c r="AH8" s="51" t="s">
        <v>215</v>
      </c>
    </row>
    <row r="9" spans="1:57" x14ac:dyDescent="0.3">
      <c r="A9" s="12"/>
      <c r="B9" s="87">
        <f>B8/0.09</f>
        <v>33425.888888888891</v>
      </c>
      <c r="C9" s="12" t="s">
        <v>48</v>
      </c>
      <c r="D9" s="12"/>
      <c r="E9" s="12" t="s">
        <v>51</v>
      </c>
      <c r="F9" s="88">
        <f>B8/F8</f>
        <v>1.5241223148270396E-2</v>
      </c>
      <c r="I9" s="12">
        <v>11584</v>
      </c>
      <c r="J9" s="12">
        <v>19789</v>
      </c>
      <c r="K9" s="89">
        <f>(J7-J9)/J7</f>
        <v>8.4774766441587268E-2</v>
      </c>
      <c r="AG9" s="51" t="s">
        <v>211</v>
      </c>
      <c r="AH9" s="51" t="s">
        <v>216</v>
      </c>
    </row>
    <row r="10" spans="1:57" x14ac:dyDescent="0.3">
      <c r="A10" s="130" t="s">
        <v>417</v>
      </c>
      <c r="B10" s="131">
        <v>43418</v>
      </c>
      <c r="F10" s="46"/>
      <c r="I10" s="89">
        <f>I9/(I9+J9)</f>
        <v>0.3692346922512989</v>
      </c>
      <c r="J10" s="89">
        <f>J9/(J9+I9)</f>
        <v>0.6307653077487011</v>
      </c>
      <c r="K10" s="12"/>
      <c r="AG10" s="51" t="s">
        <v>212</v>
      </c>
      <c r="AH10" s="51" t="s">
        <v>217</v>
      </c>
    </row>
    <row r="11" spans="1:57" x14ac:dyDescent="0.3">
      <c r="B11" s="18"/>
      <c r="F11" s="46"/>
      <c r="I11" s="45"/>
      <c r="J11" s="45"/>
      <c r="AG11" s="51" t="s">
        <v>213</v>
      </c>
      <c r="AH11" s="51" t="s">
        <v>218</v>
      </c>
    </row>
    <row r="12" spans="1:57" x14ac:dyDescent="0.3">
      <c r="A12" s="361" t="s">
        <v>455</v>
      </c>
      <c r="B12" s="361"/>
      <c r="C12" s="361"/>
      <c r="D12" s="361"/>
      <c r="E12" s="361"/>
      <c r="F12" s="361"/>
      <c r="G12" s="361"/>
      <c r="H12" s="361"/>
      <c r="I12" s="361"/>
      <c r="J12" s="361"/>
      <c r="K12" s="361"/>
      <c r="L12" s="361" t="s">
        <v>52</v>
      </c>
      <c r="M12" s="361"/>
      <c r="N12" s="361"/>
      <c r="O12" s="361"/>
      <c r="P12" s="361"/>
      <c r="R12" s="47" t="s">
        <v>455</v>
      </c>
      <c r="S12" s="47" t="s">
        <v>41</v>
      </c>
      <c r="T12" s="47"/>
      <c r="U12" s="47"/>
      <c r="V12" s="47"/>
      <c r="W12" s="47"/>
      <c r="X12" s="47"/>
      <c r="Y12" s="47"/>
      <c r="Z12" s="47"/>
      <c r="AA12" s="47"/>
      <c r="AB12" s="47" t="s">
        <v>63</v>
      </c>
      <c r="AC12" s="47"/>
      <c r="AD12" s="47"/>
      <c r="AE12" s="47"/>
      <c r="AF12" s="47"/>
      <c r="AG12" s="51" t="s">
        <v>214</v>
      </c>
      <c r="AH12" s="51" t="s">
        <v>219</v>
      </c>
      <c r="AW12" s="66"/>
      <c r="AX12" s="77" t="s">
        <v>328</v>
      </c>
      <c r="AY12" s="77" t="s">
        <v>331</v>
      </c>
      <c r="AZ12" s="77" t="s">
        <v>329</v>
      </c>
      <c r="BA12" s="77" t="s">
        <v>330</v>
      </c>
      <c r="BB12" s="77" t="s">
        <v>332</v>
      </c>
      <c r="BC12" s="77" t="s">
        <v>333</v>
      </c>
      <c r="BD12" s="77" t="s">
        <v>372</v>
      </c>
      <c r="BE12" s="13"/>
    </row>
    <row r="13" spans="1:57" x14ac:dyDescent="0.3">
      <c r="A13" t="s">
        <v>320</v>
      </c>
      <c r="B13" t="s">
        <v>21</v>
      </c>
      <c r="I13" s="1" t="s">
        <v>58</v>
      </c>
      <c r="AG13" s="51" t="s">
        <v>324</v>
      </c>
      <c r="AH13" s="51" t="s">
        <v>326</v>
      </c>
      <c r="AW13" s="51" t="s">
        <v>131</v>
      </c>
      <c r="AX13" s="80">
        <f>MIN($AE$16:$AE$20)</f>
        <v>0.9359808657196873</v>
      </c>
      <c r="AY13" s="80">
        <f>_xlfn.QUARTILE.EXC($AE$16:$AE$20,1)</f>
        <v>0.93669677401633589</v>
      </c>
      <c r="AZ13" s="80">
        <f>MEDIAN($AE$16:$AE$20)</f>
        <v>0.93749145774551879</v>
      </c>
      <c r="BA13" s="80">
        <f>AVERAGE($AE$16:$AE$20)</f>
        <v>0.93765874885913958</v>
      </c>
      <c r="BB13" s="80">
        <f>_xlfn.QUARTILE.EXC(AE16:AE20,3)</f>
        <v>0.93870436925875378</v>
      </c>
      <c r="BC13" s="80">
        <f>MAX(AE16:AE20)</f>
        <v>0.93894442997955441</v>
      </c>
      <c r="BD13" s="80">
        <f>(BB13-AY13)/AZ13</f>
        <v>2.1414544376177689E-3</v>
      </c>
      <c r="BE13" s="80"/>
    </row>
    <row r="14" spans="1:57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56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325</v>
      </c>
      <c r="AH14" s="51" t="s">
        <v>327</v>
      </c>
      <c r="AW14" s="51" t="s">
        <v>134</v>
      </c>
      <c r="AX14" s="80">
        <f>MIN($AE$16:$AE$25)</f>
        <v>0.9359808657196873</v>
      </c>
      <c r="AY14" s="80">
        <f>_xlfn.QUARTILE.EXC($AE$16:$AE$25,1)</f>
        <v>0.93681277777637151</v>
      </c>
      <c r="AZ14" s="80">
        <f>MEDIAN($AE$16:$AE$25)</f>
        <v>0.93758937007255128</v>
      </c>
      <c r="BA14" s="80">
        <f>AVERAGE($AE$16:$AE$25)</f>
        <v>0.93760053430967427</v>
      </c>
      <c r="BB14" s="80">
        <f>_xlfn.QUARTILE.EXC($AE$16:$AE$25,3)</f>
        <v>0.93858433889835347</v>
      </c>
      <c r="BC14" s="80">
        <f>MAX($AE$16:$AE$25)</f>
        <v>0.93903213152934151</v>
      </c>
      <c r="BD14" s="80">
        <f t="shared" ref="BD14:BD23" si="0">(BB14-AY14)/AZ14</f>
        <v>1.8894850758012249E-3</v>
      </c>
      <c r="BE14" s="80"/>
    </row>
    <row r="15" spans="1:57" x14ac:dyDescent="0.3">
      <c r="A15" t="s">
        <v>3</v>
      </c>
      <c r="B15" s="13">
        <v>0</v>
      </c>
      <c r="C15" s="26">
        <v>259</v>
      </c>
      <c r="D15" s="3">
        <v>0</v>
      </c>
      <c r="E15" s="3">
        <v>0</v>
      </c>
      <c r="F15" s="3">
        <v>0</v>
      </c>
      <c r="G15" s="4">
        <v>0</v>
      </c>
      <c r="H15" s="1">
        <f>SUM(C15:G15)</f>
        <v>259</v>
      </c>
      <c r="I15" s="10">
        <f>C15/H15</f>
        <v>1</v>
      </c>
      <c r="J15" s="11">
        <f>1-I15</f>
        <v>0</v>
      </c>
      <c r="K15">
        <f>H15-C20</f>
        <v>0</v>
      </c>
      <c r="N15" s="10">
        <f>2*(C21*I15)/(C21+I15)</f>
        <v>1</v>
      </c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77</v>
      </c>
      <c r="AF15" s="12" t="s">
        <v>29</v>
      </c>
      <c r="AH15" t="s">
        <v>125</v>
      </c>
      <c r="AI15" t="s">
        <v>126</v>
      </c>
      <c r="AW15" s="51" t="s">
        <v>132</v>
      </c>
      <c r="AX15" s="80">
        <f>MIN($AE$16:$AE$35)</f>
        <v>0.93446803315328719</v>
      </c>
      <c r="AY15" s="80">
        <f>_xlfn.QUARTILE.EXC($AE$16:$AE$35,1)</f>
        <v>0.9362969173023189</v>
      </c>
      <c r="AZ15" s="126">
        <f>MEDIAN($AE$16:$AE$35)</f>
        <v>0.9374429299797119</v>
      </c>
      <c r="BA15" s="126">
        <f>AVERAGE($AE$16:$AE$35)</f>
        <v>0.93718382125829325</v>
      </c>
      <c r="BB15" s="80">
        <f>_xlfn.QUARTILE.EXC($AE$16:$AE$35,3)</f>
        <v>0.93794840938418222</v>
      </c>
      <c r="BC15" s="80">
        <f>MAX($AE$16:$AE$35)</f>
        <v>0.93903213152934151</v>
      </c>
      <c r="BD15" s="80">
        <f t="shared" si="0"/>
        <v>1.7616987968526977E-3</v>
      </c>
      <c r="BE15" s="80"/>
    </row>
    <row r="16" spans="1:57" x14ac:dyDescent="0.3">
      <c r="A16" t="s">
        <v>4</v>
      </c>
      <c r="B16" s="13">
        <v>1</v>
      </c>
      <c r="C16" s="5">
        <v>0</v>
      </c>
      <c r="D16" s="27">
        <v>316</v>
      </c>
      <c r="E16" s="1">
        <v>29</v>
      </c>
      <c r="F16" s="1">
        <v>0</v>
      </c>
      <c r="G16" s="6">
        <v>2</v>
      </c>
      <c r="H16" s="1">
        <f>SUM(C16:G16)</f>
        <v>347</v>
      </c>
      <c r="I16" s="10">
        <f>D16/H16</f>
        <v>0.91066282420749278</v>
      </c>
      <c r="J16" s="11">
        <f>1-I16</f>
        <v>8.9337175792507217E-2</v>
      </c>
      <c r="K16">
        <f>H16-D20</f>
        <v>-87</v>
      </c>
      <c r="N16" s="10">
        <f>2*(D21*I16)/(D21+I16)</f>
        <v>0.80921895006402045</v>
      </c>
      <c r="R16" t="s">
        <v>70</v>
      </c>
      <c r="S16" t="s">
        <v>28</v>
      </c>
      <c r="T16" s="57">
        <f t="shared" ref="T16:X19" si="1">C31</f>
        <v>1.5336628549872009</v>
      </c>
      <c r="U16" s="57">
        <f t="shared" si="1"/>
        <v>4.9848734956204499</v>
      </c>
      <c r="V16" s="57">
        <f t="shared" si="1"/>
        <v>63.742788328225387</v>
      </c>
      <c r="W16" s="57">
        <f t="shared" si="1"/>
        <v>21.387355503019332</v>
      </c>
      <c r="X16" s="57">
        <f t="shared" si="1"/>
        <v>8.351319818147628</v>
      </c>
      <c r="AC16" t="s">
        <v>70</v>
      </c>
      <c r="AD16" s="51">
        <f>I21</f>
        <v>0.94017610497237569</v>
      </c>
      <c r="AE16" s="55">
        <f>I32</f>
        <v>0.93894442997955441</v>
      </c>
      <c r="AF16" s="55">
        <f>J32</f>
        <v>2.1866345341783511E-3</v>
      </c>
      <c r="AH16">
        <v>21</v>
      </c>
      <c r="AI16">
        <v>32</v>
      </c>
      <c r="AW16" s="51" t="s">
        <v>133</v>
      </c>
      <c r="AX16" s="80">
        <f>MIN($AE$16:$AE$45)</f>
        <v>0.93446803315328719</v>
      </c>
      <c r="AY16" s="80">
        <f>_xlfn.QUARTILE.EXC($AE$16:$AE$45,1)</f>
        <v>0.9362969173023189</v>
      </c>
      <c r="AZ16" s="80">
        <f>MEDIAN($AE$16:$AE$45)</f>
        <v>0.9374429299797119</v>
      </c>
      <c r="BA16" s="80">
        <f>AVERAGE($AE$16:$AE$45)</f>
        <v>0.93718382125829325</v>
      </c>
      <c r="BB16" s="80">
        <f>_xlfn.QUARTILE.EXC($AE$16:$AE$45,3)</f>
        <v>0.93794840938418222</v>
      </c>
      <c r="BC16" s="80">
        <f>MAX($AE$16:$AE$45)</f>
        <v>0.93903213152934151</v>
      </c>
      <c r="BD16" s="80">
        <f t="shared" si="0"/>
        <v>1.7616987968526977E-3</v>
      </c>
      <c r="BE16" s="80"/>
    </row>
    <row r="17" spans="1:57" x14ac:dyDescent="0.3">
      <c r="A17" t="s">
        <v>5</v>
      </c>
      <c r="B17" s="13">
        <v>2</v>
      </c>
      <c r="C17" s="5">
        <v>0</v>
      </c>
      <c r="D17" s="1">
        <v>108</v>
      </c>
      <c r="E17" s="27">
        <v>7192</v>
      </c>
      <c r="F17" s="1">
        <v>41</v>
      </c>
      <c r="G17" s="6">
        <v>9</v>
      </c>
      <c r="H17" s="1">
        <f>SUM(C17:G17)</f>
        <v>7350</v>
      </c>
      <c r="I17" s="10">
        <f>E17/H17</f>
        <v>0.97850340136054426</v>
      </c>
      <c r="J17" s="11">
        <f>1-I17</f>
        <v>2.1496598639455744E-2</v>
      </c>
      <c r="K17">
        <f>H17-E20</f>
        <v>-54</v>
      </c>
      <c r="N17" s="10">
        <f>2*(E21*I17)/(E21+I17)</f>
        <v>0.97492205503592255</v>
      </c>
      <c r="S17" s="66" t="s">
        <v>39</v>
      </c>
      <c r="T17" s="67">
        <f t="shared" si="1"/>
        <v>0</v>
      </c>
      <c r="U17" s="67">
        <f t="shared" si="1"/>
        <v>0.11414083251646058</v>
      </c>
      <c r="V17" s="67">
        <f t="shared" si="1"/>
        <v>0.16586869848099403</v>
      </c>
      <c r="W17" s="67">
        <f t="shared" si="1"/>
        <v>0.18501216202955739</v>
      </c>
      <c r="X17" s="67">
        <f t="shared" si="1"/>
        <v>0.15025829315287498</v>
      </c>
      <c r="AC17" t="s">
        <v>71</v>
      </c>
      <c r="AD17" s="51">
        <f>I50</f>
        <v>0.9389675414364641</v>
      </c>
      <c r="AE17" s="55">
        <f>I61</f>
        <v>0.93741268231298458</v>
      </c>
      <c r="AF17" s="55">
        <f>J61</f>
        <v>2.2166046145816864E-3</v>
      </c>
      <c r="AH17">
        <v>50</v>
      </c>
      <c r="AI17">
        <v>61</v>
      </c>
      <c r="AW17" s="51" t="s">
        <v>157</v>
      </c>
      <c r="AX17" s="80">
        <f>MIN($AE$16:$AE$55)</f>
        <v>0.93446803315328719</v>
      </c>
      <c r="AY17" s="80">
        <f>_xlfn.QUARTILE.EXC($AE$16:$AE$55,1)</f>
        <v>0.9362969173023189</v>
      </c>
      <c r="AZ17" s="80">
        <f>MEDIAN($AE$16:$AE$55)</f>
        <v>0.9374429299797119</v>
      </c>
      <c r="BA17" s="80">
        <f>AVERAGE($AE$16:$AE$55)</f>
        <v>0.93718382125829325</v>
      </c>
      <c r="BB17" s="80">
        <f>_xlfn.QUARTILE.EXC($AE$16:$AE$55,3)</f>
        <v>0.93794840938418222</v>
      </c>
      <c r="BC17" s="80">
        <f>MAX($AE$16:$AE$55)</f>
        <v>0.93903213152934151</v>
      </c>
      <c r="BD17" s="80">
        <f t="shared" si="0"/>
        <v>1.7616987968526977E-3</v>
      </c>
      <c r="BE17" s="80"/>
    </row>
    <row r="18" spans="1:57" x14ac:dyDescent="0.3">
      <c r="A18" t="s">
        <v>6</v>
      </c>
      <c r="B18" s="13">
        <v>3</v>
      </c>
      <c r="C18" s="5">
        <v>0</v>
      </c>
      <c r="D18" s="1">
        <v>9</v>
      </c>
      <c r="E18" s="1">
        <v>171</v>
      </c>
      <c r="F18" s="27">
        <v>2338</v>
      </c>
      <c r="G18" s="6">
        <v>120</v>
      </c>
      <c r="H18" s="1">
        <f>SUM(C18:G18)</f>
        <v>2638</v>
      </c>
      <c r="I18" s="10">
        <f>F18/H18</f>
        <v>0.88627748294162245</v>
      </c>
      <c r="J18" s="11">
        <f>1-I18</f>
        <v>0.11372251705837755</v>
      </c>
      <c r="K18">
        <f>H18-F20</f>
        <v>68</v>
      </c>
      <c r="N18" s="10">
        <f>2*(F21*I18)/(F21+I18)</f>
        <v>0.89784946236559138</v>
      </c>
      <c r="S18" s="70" t="s">
        <v>30</v>
      </c>
      <c r="T18" s="64">
        <f t="shared" si="1"/>
        <v>100</v>
      </c>
      <c r="U18" s="64">
        <f t="shared" si="1"/>
        <v>79.692191240433345</v>
      </c>
      <c r="V18" s="64">
        <f t="shared" si="1"/>
        <v>97.043045511441505</v>
      </c>
      <c r="W18" s="64">
        <f t="shared" si="1"/>
        <v>90.102745472626026</v>
      </c>
      <c r="X18" s="64">
        <f t="shared" si="1"/>
        <v>86.928626875676144</v>
      </c>
      <c r="AC18" t="s">
        <v>72</v>
      </c>
      <c r="AD18" s="51">
        <f>I79</f>
        <v>0.93775897790055252</v>
      </c>
      <c r="AE18" s="55">
        <f>I90</f>
        <v>0.9359808657196873</v>
      </c>
      <c r="AF18" s="55">
        <f>J90</f>
        <v>2.2356069052678947E-3</v>
      </c>
      <c r="AH18">
        <v>79</v>
      </c>
      <c r="AI18">
        <v>90</v>
      </c>
      <c r="AW18" s="51" t="s">
        <v>158</v>
      </c>
      <c r="AX18" s="80">
        <f>MIN($AE$16:$AE$65)</f>
        <v>0.93446803315328719</v>
      </c>
      <c r="AY18" s="80">
        <f>_xlfn.QUARTILE.EXC($AE$16:$AE$65,1)</f>
        <v>0.9362969173023189</v>
      </c>
      <c r="AZ18" s="80">
        <f>MEDIAN($AE$16:$AE$65)</f>
        <v>0.9374429299797119</v>
      </c>
      <c r="BA18" s="80">
        <f>AVERAGE($AE$16:$AE$65)</f>
        <v>0.93718382125829325</v>
      </c>
      <c r="BB18" s="80">
        <f>_xlfn.QUARTILE.EXC($AE$16:$AE$65,3)</f>
        <v>0.93794840938418222</v>
      </c>
      <c r="BC18" s="80">
        <f>MAX($AE$16:$AE$65)</f>
        <v>0.93903213152934151</v>
      </c>
      <c r="BD18" s="80">
        <f t="shared" si="0"/>
        <v>1.7616987968526977E-3</v>
      </c>
      <c r="BE18" s="80"/>
    </row>
    <row r="19" spans="1:57" x14ac:dyDescent="0.3">
      <c r="A19" t="s">
        <v>7</v>
      </c>
      <c r="B19" s="13">
        <v>4</v>
      </c>
      <c r="C19" s="7">
        <v>0</v>
      </c>
      <c r="D19" s="8">
        <v>1</v>
      </c>
      <c r="E19" s="8">
        <v>12</v>
      </c>
      <c r="F19" s="8">
        <v>191</v>
      </c>
      <c r="G19" s="28">
        <v>786</v>
      </c>
      <c r="H19" s="1">
        <f>SUM(C19:G19)</f>
        <v>990</v>
      </c>
      <c r="I19" s="10">
        <f>G19/H19</f>
        <v>0.79393939393939394</v>
      </c>
      <c r="J19" s="11">
        <f>1-I19</f>
        <v>0.20606060606060606</v>
      </c>
      <c r="K19">
        <f>H19-G20</f>
        <v>73</v>
      </c>
      <c r="N19" s="10">
        <f>2*(G21*I19)/(G21+I19)</f>
        <v>0.82433141059255377</v>
      </c>
      <c r="S19" s="66" t="s">
        <v>39</v>
      </c>
      <c r="T19" s="67">
        <f t="shared" si="1"/>
        <v>0</v>
      </c>
      <c r="U19" s="67">
        <f t="shared" si="1"/>
        <v>3.1009363578667055</v>
      </c>
      <c r="V19" s="67">
        <f t="shared" si="1"/>
        <v>0.19940018741102131</v>
      </c>
      <c r="W19" s="67">
        <f t="shared" si="1"/>
        <v>0.82105923039243978</v>
      </c>
      <c r="X19" s="67">
        <f t="shared" si="1"/>
        <v>2.0827635752121583</v>
      </c>
      <c r="AC19" t="s">
        <v>73</v>
      </c>
      <c r="AD19" s="51">
        <f>I108</f>
        <v>0.93965814917127077</v>
      </c>
      <c r="AE19" s="73">
        <f>I119</f>
        <v>0.93846430853795315</v>
      </c>
      <c r="AF19" s="73">
        <f>J119</f>
        <v>2.178792785055339E-3</v>
      </c>
      <c r="AH19">
        <v>108</v>
      </c>
      <c r="AI19">
        <v>119</v>
      </c>
      <c r="AW19" s="51" t="s">
        <v>215</v>
      </c>
      <c r="AX19" s="80">
        <f>MIN($AE$16:$AE$75)</f>
        <v>0.93446803315328719</v>
      </c>
      <c r="AY19" s="80">
        <f>_xlfn.QUARTILE.EXC($AE$16:$AE$75,1)</f>
        <v>0.9362969173023189</v>
      </c>
      <c r="AZ19" s="80">
        <f>MEDIAN($AE$16:$AE$75)</f>
        <v>0.9374429299797119</v>
      </c>
      <c r="BA19" s="80">
        <f>AVERAGE($AE$16:$AE$75)</f>
        <v>0.93718382125829325</v>
      </c>
      <c r="BB19" s="80">
        <f>_xlfn.QUARTILE.EXC($AE$16:$AE$75,3)</f>
        <v>0.93794840938418222</v>
      </c>
      <c r="BC19" s="80">
        <f>MAX($AE$16:$AE$75)</f>
        <v>0.93903213152934151</v>
      </c>
      <c r="BD19" s="80">
        <f t="shared" si="0"/>
        <v>1.7616987968526977E-3</v>
      </c>
      <c r="BE19" s="80"/>
    </row>
    <row r="20" spans="1:57" ht="15.6" x14ac:dyDescent="0.35">
      <c r="B20" s="1" t="s">
        <v>19</v>
      </c>
      <c r="C20" s="1">
        <f>SUM(C15:C19)</f>
        <v>259</v>
      </c>
      <c r="D20" s="1">
        <f>SUM(D15:D19)</f>
        <v>434</v>
      </c>
      <c r="E20" s="1">
        <f>SUM(E15:E19)</f>
        <v>7404</v>
      </c>
      <c r="F20" s="1">
        <f>SUM(F15:F19)</f>
        <v>2570</v>
      </c>
      <c r="G20" s="1">
        <f>SUM(G15:G19)</f>
        <v>917</v>
      </c>
      <c r="H20" s="1">
        <f>SUM(H14:H19)</f>
        <v>11584</v>
      </c>
      <c r="I20" s="13" t="s">
        <v>12</v>
      </c>
      <c r="N20" s="16"/>
      <c r="S20" s="70" t="s">
        <v>31</v>
      </c>
      <c r="T20" s="64">
        <f>I26</f>
        <v>100</v>
      </c>
      <c r="U20" s="64">
        <f>I27</f>
        <v>91.066282420749275</v>
      </c>
      <c r="V20" s="64">
        <f>I28</f>
        <v>97.850340136054427</v>
      </c>
      <c r="W20" s="64">
        <f>I29</f>
        <v>88.627748294162245</v>
      </c>
      <c r="X20" s="64">
        <f>I30</f>
        <v>79.393939393939391</v>
      </c>
      <c r="AC20" t="s">
        <v>76</v>
      </c>
      <c r="AD20" s="51">
        <f>I137</f>
        <v>0.9389675414364641</v>
      </c>
      <c r="AE20" s="73">
        <f>I148</f>
        <v>0.93749145774551879</v>
      </c>
      <c r="AF20" s="73">
        <f>J148</f>
        <v>2.2152891404331821E-3</v>
      </c>
      <c r="AH20">
        <v>137</v>
      </c>
      <c r="AI20">
        <v>148</v>
      </c>
      <c r="AW20" s="51" t="s">
        <v>216</v>
      </c>
      <c r="AX20" s="80">
        <f>MIN($AE$16:$AE$85)</f>
        <v>0.93446803315328719</v>
      </c>
      <c r="AY20" s="80">
        <f>_xlfn.QUARTILE.EXC($AE$16:$AE$85,1)</f>
        <v>0.9362969173023189</v>
      </c>
      <c r="AZ20" s="80">
        <f>MEDIAN($AE$16:$AE$85)</f>
        <v>0.9374429299797119</v>
      </c>
      <c r="BA20" s="80">
        <f>AVERAGE($AE$16:$AE$85)</f>
        <v>0.93718382125829325</v>
      </c>
      <c r="BB20" s="80">
        <f>_xlfn.QUARTILE.EXC($AE$16:$AE$85,3)</f>
        <v>0.93794840938418222</v>
      </c>
      <c r="BC20" s="80">
        <f>MAX($AE$16:$AE$85)</f>
        <v>0.93903213152934151</v>
      </c>
      <c r="BD20" s="80">
        <f t="shared" si="0"/>
        <v>1.7616987968526977E-3</v>
      </c>
      <c r="BE20" s="80"/>
    </row>
    <row r="21" spans="1:57" x14ac:dyDescent="0.3">
      <c r="A21" s="1" t="s">
        <v>321</v>
      </c>
      <c r="B21" s="1" t="s">
        <v>2</v>
      </c>
      <c r="C21" s="10">
        <f>C15/C20</f>
        <v>1</v>
      </c>
      <c r="D21" s="10">
        <f>D16/D20</f>
        <v>0.72811059907834097</v>
      </c>
      <c r="E21" s="10">
        <f>E17/E20</f>
        <v>0.97136682874122093</v>
      </c>
      <c r="F21" s="10">
        <f>F18/F20</f>
        <v>0.90972762645914396</v>
      </c>
      <c r="G21" s="10">
        <f>G19/G20</f>
        <v>0.8571428571428571</v>
      </c>
      <c r="H21" s="10"/>
      <c r="I21" s="14">
        <f>(C15+D16+E17+F18+G19)/H20</f>
        <v>0.94017610497237569</v>
      </c>
      <c r="S21" s="66" t="s">
        <v>39</v>
      </c>
      <c r="T21" s="67">
        <f>J26</f>
        <v>0</v>
      </c>
      <c r="U21" s="67">
        <f>J27</f>
        <v>1.5334049611791911</v>
      </c>
      <c r="V21" s="67">
        <f>J28</f>
        <v>0.16918112948535918</v>
      </c>
      <c r="W21" s="67">
        <f>J29</f>
        <v>0.61823419801566581</v>
      </c>
      <c r="X21" s="67">
        <f>J30</f>
        <v>1.2861541290945948</v>
      </c>
      <c r="AC21" t="s">
        <v>98</v>
      </c>
      <c r="AD21" s="51">
        <f>I166</f>
        <v>0.93767265193370164</v>
      </c>
      <c r="AE21" s="55">
        <f>I177</f>
        <v>0.93621954140579722</v>
      </c>
      <c r="AF21" s="55">
        <f>J177</f>
        <v>2.2358304735080052E-3</v>
      </c>
      <c r="AH21">
        <v>166</v>
      </c>
      <c r="AI21">
        <v>177</v>
      </c>
      <c r="AW21" s="51" t="s">
        <v>217</v>
      </c>
      <c r="AX21" s="80">
        <f>MIN($AE$16:$AE$95)</f>
        <v>0.93446803315328719</v>
      </c>
      <c r="AY21" s="80">
        <f>_xlfn.QUARTILE.EXC($AE$16:$AE$95,1)</f>
        <v>0.9362969173023189</v>
      </c>
      <c r="AZ21" s="80">
        <f>MEDIAN($AE$16:$AE$95)</f>
        <v>0.9374429299797119</v>
      </c>
      <c r="BA21" s="80">
        <f>AVERAGE($AE$16:$AE$95)</f>
        <v>0.93718382125829325</v>
      </c>
      <c r="BB21" s="80">
        <f>_xlfn.QUARTILE.EXC($AE$16:$AE$95,3)</f>
        <v>0.93794840938418222</v>
      </c>
      <c r="BC21" s="80">
        <f>MAX($AE$16:$AE$95)</f>
        <v>0.93903213152934151</v>
      </c>
      <c r="BD21" s="80">
        <f t="shared" si="0"/>
        <v>1.7616987968526977E-3</v>
      </c>
      <c r="BE21" s="80"/>
    </row>
    <row r="22" spans="1:57" x14ac:dyDescent="0.3">
      <c r="B22" s="1" t="s">
        <v>14</v>
      </c>
      <c r="C22" s="11">
        <f>1-C21</f>
        <v>0</v>
      </c>
      <c r="D22" s="11">
        <f>1-D21</f>
        <v>0.27188940092165903</v>
      </c>
      <c r="E22" s="11">
        <f>1-E21</f>
        <v>2.8633171258779067E-2</v>
      </c>
      <c r="F22" s="11">
        <f>1-F21</f>
        <v>9.0272373540856043E-2</v>
      </c>
      <c r="G22" s="11">
        <f>1-G21</f>
        <v>0.1428571428571429</v>
      </c>
      <c r="S22" s="68" t="s">
        <v>56</v>
      </c>
      <c r="T22" s="65">
        <f>N15*100</f>
        <v>100</v>
      </c>
      <c r="U22" s="65">
        <f>N16*100</f>
        <v>80.921895006402039</v>
      </c>
      <c r="V22" s="65">
        <f>N17*100</f>
        <v>97.49220550359226</v>
      </c>
      <c r="W22" s="65">
        <f>N18*100</f>
        <v>89.784946236559136</v>
      </c>
      <c r="X22" s="65">
        <f>N19*100</f>
        <v>82.433141059255377</v>
      </c>
      <c r="Y22" s="46"/>
      <c r="Z22" s="46"/>
      <c r="AA22" s="46"/>
      <c r="AC22" t="s">
        <v>99</v>
      </c>
      <c r="AD22" s="51">
        <f>I195</f>
        <v>0.93870856353591159</v>
      </c>
      <c r="AE22" s="55">
        <f>I206</f>
        <v>0.93768728239958377</v>
      </c>
      <c r="AF22" s="55">
        <f>J206</f>
        <v>2.1952834550644641E-3</v>
      </c>
      <c r="AH22">
        <v>195</v>
      </c>
      <c r="AI22">
        <v>206</v>
      </c>
      <c r="AW22" s="51" t="s">
        <v>218</v>
      </c>
      <c r="AX22" s="80">
        <f>MIN($AE$16:$AE$105)</f>
        <v>0.93446803315328719</v>
      </c>
      <c r="AY22" s="80">
        <f>_xlfn.QUARTILE.EXC($AE$16:$AE$105,1)</f>
        <v>0.9362969173023189</v>
      </c>
      <c r="AZ22" s="80">
        <f>MEDIAN($AE$16:$AE$105)</f>
        <v>0.9374429299797119</v>
      </c>
      <c r="BA22" s="80">
        <f>AVERAGE($AE$16:$AE$105)</f>
        <v>0.93718382125829325</v>
      </c>
      <c r="BB22" s="80">
        <f>_xlfn.QUARTILE.EXC($AE$16:$AE$105,3)</f>
        <v>0.93794840938418222</v>
      </c>
      <c r="BC22" s="80">
        <f>MAX($AE$16:$AE$105)</f>
        <v>0.93903213152934151</v>
      </c>
      <c r="BD22" s="80">
        <f t="shared" si="0"/>
        <v>1.7616987968526977E-3</v>
      </c>
      <c r="BE22" s="80"/>
    </row>
    <row r="23" spans="1:57" x14ac:dyDescent="0.3">
      <c r="C23" s="2"/>
      <c r="R23" s="16" t="s">
        <v>66</v>
      </c>
      <c r="S23" t="s">
        <v>9</v>
      </c>
      <c r="T23" s="30">
        <f>N26</f>
        <v>3027.16</v>
      </c>
      <c r="U23" s="30">
        <f>N27</f>
        <v>8610.2900000000009</v>
      </c>
      <c r="V23" s="30">
        <f>N28</f>
        <v>124778.17</v>
      </c>
      <c r="W23" s="30">
        <f>N29</f>
        <v>42917.15</v>
      </c>
      <c r="X23" s="30">
        <f>N30</f>
        <v>18048.29</v>
      </c>
      <c r="Z23" t="s">
        <v>36</v>
      </c>
      <c r="AA23" s="1">
        <f>N31</f>
        <v>197381.06</v>
      </c>
      <c r="AC23" t="s">
        <v>100</v>
      </c>
      <c r="AD23" s="51">
        <f>I224</f>
        <v>0.93879488950276246</v>
      </c>
      <c r="AE23" s="55">
        <f>I235</f>
        <v>0.93701052323322953</v>
      </c>
      <c r="AF23" s="55">
        <f>J235</f>
        <v>2.2244328920535935E-3</v>
      </c>
      <c r="AH23">
        <v>224</v>
      </c>
      <c r="AI23">
        <v>235</v>
      </c>
      <c r="AW23" s="51" t="s">
        <v>219</v>
      </c>
      <c r="AX23" s="80">
        <f>MIN($AE$16:$AE$115)</f>
        <v>0.93446803315328719</v>
      </c>
      <c r="AY23" s="80">
        <f>_xlfn.QUARTILE.EXC($AE$16:$AE$115,1)</f>
        <v>0.9362969173023189</v>
      </c>
      <c r="AZ23" s="126">
        <f>MEDIAN($AE$16:$AE$115)</f>
        <v>0.9374429299797119</v>
      </c>
      <c r="BA23" s="126">
        <f>AVERAGE($AE$16:$AE$115)</f>
        <v>0.93718382125829325</v>
      </c>
      <c r="BB23" s="80">
        <f>_xlfn.QUARTILE.EXC($AE$16:$AE$115,3)</f>
        <v>0.93794840938418222</v>
      </c>
      <c r="BC23" s="80">
        <f>MAX($AE$16:$AE$115)</f>
        <v>0.93903213152934151</v>
      </c>
      <c r="BD23" s="80">
        <f t="shared" si="0"/>
        <v>1.7616987968526977E-3</v>
      </c>
      <c r="BE23" s="80"/>
    </row>
    <row r="24" spans="1:57" ht="15.6" x14ac:dyDescent="0.35">
      <c r="A24" t="s">
        <v>322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323</v>
      </c>
      <c r="S24" t="s">
        <v>68</v>
      </c>
      <c r="T24" s="57">
        <f>$AA23*T16/100</f>
        <v>3027.16</v>
      </c>
      <c r="U24" s="57">
        <f>$AA23*U16/100</f>
        <v>9839.1961453146978</v>
      </c>
      <c r="V24" s="57">
        <f>$AA23*V16/100</f>
        <v>125816.19127580755</v>
      </c>
      <c r="W24" s="57">
        <f>$AA23*W16/100</f>
        <v>42214.588997827886</v>
      </c>
      <c r="X24" s="57">
        <f>$AA23*X16/100</f>
        <v>16483.923581049861</v>
      </c>
      <c r="Z24" t="s">
        <v>36</v>
      </c>
      <c r="AA24" s="25">
        <f>SUM(T24:X24)</f>
        <v>197381.06000000003</v>
      </c>
      <c r="AC24" t="s">
        <v>101</v>
      </c>
      <c r="AD24" s="51">
        <f>I253</f>
        <v>0.94052140883977897</v>
      </c>
      <c r="AE24" s="55">
        <f>I264</f>
        <v>0.93903213152934151</v>
      </c>
      <c r="AF24" s="55">
        <f>J264</f>
        <v>2.182582220038318E-3</v>
      </c>
      <c r="AH24">
        <v>253</v>
      </c>
      <c r="AI24">
        <v>264</v>
      </c>
      <c r="BE24" s="80"/>
    </row>
    <row r="25" spans="1:57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67</v>
      </c>
      <c r="T25" s="67">
        <f>$AA23*T17/100</f>
        <v>0</v>
      </c>
      <c r="U25" s="67">
        <f>$AA23*U17/100</f>
        <v>225.29238511381456</v>
      </c>
      <c r="V25" s="67">
        <f>$AA23*V17/100</f>
        <v>327.39339526998992</v>
      </c>
      <c r="W25" s="67">
        <f>$AA23*W17/100</f>
        <v>365.17896654285789</v>
      </c>
      <c r="X25" s="67">
        <f>$AA23*X17/100</f>
        <v>296.58141176305207</v>
      </c>
      <c r="AA25" s="1"/>
      <c r="AC25" t="s">
        <v>102</v>
      </c>
      <c r="AD25" s="51">
        <f>I282</f>
        <v>0.93914019337016574</v>
      </c>
      <c r="AE25" s="55">
        <f>I293</f>
        <v>0.93776212023309324</v>
      </c>
      <c r="AF25" s="55">
        <f>J293</f>
        <v>2.2053550472984091E-3</v>
      </c>
      <c r="AH25">
        <v>282</v>
      </c>
      <c r="AI25">
        <v>293</v>
      </c>
      <c r="BE25" s="80"/>
    </row>
    <row r="26" spans="1:57" x14ac:dyDescent="0.3">
      <c r="A26" t="s">
        <v>3</v>
      </c>
      <c r="B26" s="13">
        <v>0</v>
      </c>
      <c r="C26" s="29">
        <f>(C15/$L26)*$O26</f>
        <v>1.5336628549872009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0</v>
      </c>
      <c r="G26" s="32">
        <f t="shared" si="2"/>
        <v>0</v>
      </c>
      <c r="H26" s="17">
        <f>SUM(C26:G26)</f>
        <v>1.5336628549872009</v>
      </c>
      <c r="I26" s="17">
        <f>C26/H26*100</f>
        <v>100</v>
      </c>
      <c r="J26" s="17">
        <f>SQRT(I26*(100-I26)/(L26-1))</f>
        <v>0</v>
      </c>
      <c r="K26" s="18">
        <f>100-I26</f>
        <v>0</v>
      </c>
      <c r="L26" s="1">
        <f>H15</f>
        <v>259</v>
      </c>
      <c r="M26">
        <v>0</v>
      </c>
      <c r="N26" s="1">
        <v>3027.16</v>
      </c>
      <c r="O26" s="17">
        <f>N26/N31*100</f>
        <v>1.5336628549872009</v>
      </c>
      <c r="P26" s="52">
        <f>((O26*O26*(I26/100)*(K26/100))/(L26-1))</f>
        <v>0</v>
      </c>
      <c r="R26" t="s">
        <v>71</v>
      </c>
      <c r="S26" s="70" t="s">
        <v>28</v>
      </c>
      <c r="T26" s="64">
        <f t="shared" ref="T26:X29" si="3">C60</f>
        <v>1.5222940601440715</v>
      </c>
      <c r="U26" s="64">
        <f t="shared" si="3"/>
        <v>5.0826337201099498</v>
      </c>
      <c r="V26" s="64">
        <f t="shared" si="3"/>
        <v>63.633689826667101</v>
      </c>
      <c r="W26" s="64">
        <f t="shared" si="3"/>
        <v>21.396950601608452</v>
      </c>
      <c r="X26" s="64">
        <f t="shared" si="3"/>
        <v>8.3644317914704356</v>
      </c>
      <c r="Y26" s="13"/>
      <c r="Z26" s="74"/>
      <c r="AA26" s="12"/>
      <c r="AC26" t="s">
        <v>103</v>
      </c>
      <c r="AD26" s="51">
        <f>I311</f>
        <v>0.93793162983425415</v>
      </c>
      <c r="AE26" s="55">
        <f>I322</f>
        <v>0.93669827116062454</v>
      </c>
      <c r="AF26" s="55">
        <f>J322</f>
        <v>2.2164034317555936E-3</v>
      </c>
      <c r="AH26">
        <v>311</v>
      </c>
      <c r="AI26">
        <v>322</v>
      </c>
    </row>
    <row r="27" spans="1:57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3.9725549192235232</v>
      </c>
      <c r="E27" s="19">
        <f t="shared" si="2"/>
        <v>0.36456991347304485</v>
      </c>
      <c r="F27" s="18">
        <f t="shared" si="2"/>
        <v>0</v>
      </c>
      <c r="G27" s="20">
        <f t="shared" si="2"/>
        <v>2.5142752653313435E-2</v>
      </c>
      <c r="H27" s="17">
        <f>SUM(C27:G27)</f>
        <v>4.3622675853498816</v>
      </c>
      <c r="I27" s="17">
        <f>D27/H27*100</f>
        <v>91.066282420749275</v>
      </c>
      <c r="J27" s="17">
        <f>SQRT(I27*(100-I27)/(L27-1))</f>
        <v>1.5334049611791911</v>
      </c>
      <c r="K27" s="18">
        <f>100-I27</f>
        <v>8.9337175792507253</v>
      </c>
      <c r="L27" s="1">
        <f>H16</f>
        <v>347</v>
      </c>
      <c r="M27">
        <v>1</v>
      </c>
      <c r="N27" s="1">
        <v>8610.2900000000009</v>
      </c>
      <c r="O27" s="17">
        <f>N27/N31*100</f>
        <v>4.3622675853498816</v>
      </c>
      <c r="P27" s="52">
        <f>((O27*O27*(I27/100)*(K27/100))/(L27-1))</f>
        <v>4.4744363263120807E-3</v>
      </c>
      <c r="S27" s="66" t="s">
        <v>39</v>
      </c>
      <c r="T27" s="67">
        <f t="shared" si="3"/>
        <v>0</v>
      </c>
      <c r="U27" s="67">
        <f t="shared" si="3"/>
        <v>0.1176739843108535</v>
      </c>
      <c r="V27" s="67">
        <f t="shared" si="3"/>
        <v>0.16756364161880855</v>
      </c>
      <c r="W27" s="67">
        <f t="shared" si="3"/>
        <v>0.18641008344629742</v>
      </c>
      <c r="X27" s="67">
        <f t="shared" si="3"/>
        <v>0.15218595684307731</v>
      </c>
      <c r="AC27" t="s">
        <v>104</v>
      </c>
      <c r="AD27" s="51">
        <f>I340</f>
        <v>0.93767265193370164</v>
      </c>
      <c r="AE27" s="55">
        <f>I351</f>
        <v>0.93554549304541978</v>
      </c>
      <c r="AF27" s="55">
        <f>J351</f>
        <v>2.2484838672669149E-3</v>
      </c>
      <c r="AH27">
        <v>340</v>
      </c>
      <c r="AI27">
        <v>351</v>
      </c>
    </row>
    <row r="28" spans="1:57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0.92890125882412833</v>
      </c>
      <c r="E28" s="34">
        <f t="shared" si="2"/>
        <v>61.857943087621585</v>
      </c>
      <c r="F28" s="19">
        <f t="shared" si="2"/>
        <v>0.35263844084990059</v>
      </c>
      <c r="G28" s="20">
        <f>(G17/$L28)*$O28</f>
        <v>7.7408438235344032E-2</v>
      </c>
      <c r="H28" s="17">
        <f>SUM(C28:G28)</f>
        <v>63.216891225530958</v>
      </c>
      <c r="I28" s="17">
        <f>E28/H28*100</f>
        <v>97.850340136054427</v>
      </c>
      <c r="J28" s="17">
        <f>SQRT(I28*(100-I28)/(L28-1))</f>
        <v>0.16918112948535918</v>
      </c>
      <c r="K28" s="18">
        <f>100-I28</f>
        <v>2.1496598639455726</v>
      </c>
      <c r="L28" s="1">
        <f>H17</f>
        <v>7350</v>
      </c>
      <c r="M28">
        <v>2</v>
      </c>
      <c r="N28" s="1">
        <v>124778.17</v>
      </c>
      <c r="O28" s="17">
        <f>N28/N31*100</f>
        <v>63.216891225530958</v>
      </c>
      <c r="P28" s="52">
        <f>((O28*O28*(I28/100)*(K28/100))/(L28-1))</f>
        <v>1.1438527224632889E-2</v>
      </c>
      <c r="S28" t="s">
        <v>30</v>
      </c>
      <c r="T28" s="57">
        <f t="shared" si="3"/>
        <v>100</v>
      </c>
      <c r="U28" s="57">
        <f t="shared" si="3"/>
        <v>79.122422747240378</v>
      </c>
      <c r="V28" s="57">
        <f t="shared" si="3"/>
        <v>97.002437948830817</v>
      </c>
      <c r="W28" s="57">
        <f t="shared" si="3"/>
        <v>89.633534141600435</v>
      </c>
      <c r="X28" s="57">
        <f t="shared" si="3"/>
        <v>87.183420258782533</v>
      </c>
      <c r="AC28" t="s">
        <v>105</v>
      </c>
      <c r="AD28" s="51">
        <f>I369</f>
        <v>0.93775897790055252</v>
      </c>
      <c r="AE28" s="55">
        <f>I380</f>
        <v>0.93607050935276992</v>
      </c>
      <c r="AF28" s="55">
        <f>J380</f>
        <v>2.2384212694341087E-3</v>
      </c>
      <c r="AH28">
        <v>369</v>
      </c>
      <c r="AI28">
        <v>380</v>
      </c>
    </row>
    <row r="29" spans="1:57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7.418107375102681E-2</v>
      </c>
      <c r="E29" s="19">
        <f t="shared" si="2"/>
        <v>1.4094404012695094</v>
      </c>
      <c r="F29" s="34">
        <f t="shared" si="2"/>
        <v>19.270594492211185</v>
      </c>
      <c r="G29" s="20">
        <f t="shared" si="2"/>
        <v>0.9890809833470241</v>
      </c>
      <c r="H29" s="17">
        <f>SUM(C29:G29)</f>
        <v>21.743296950578745</v>
      </c>
      <c r="I29" s="17">
        <f>F29/H29*100</f>
        <v>88.627748294162245</v>
      </c>
      <c r="J29" s="17">
        <f>SQRT(I29*(100-I29)/(L29-1))</f>
        <v>0.61823419801566581</v>
      </c>
      <c r="K29" s="18">
        <f>100-I29</f>
        <v>11.372251705837755</v>
      </c>
      <c r="L29" s="1">
        <f>H18</f>
        <v>2638</v>
      </c>
      <c r="M29">
        <v>3</v>
      </c>
      <c r="N29" s="1">
        <v>42917.15</v>
      </c>
      <c r="O29" s="17">
        <f>N29/N31*100</f>
        <v>21.743296950578745</v>
      </c>
      <c r="P29" s="52">
        <f>((O29*O29*(I29/100)*(K29/100))/(L29-1))</f>
        <v>1.8069945534734535E-2</v>
      </c>
      <c r="S29" s="66" t="s">
        <v>39</v>
      </c>
      <c r="T29" s="67">
        <f t="shared" si="3"/>
        <v>0</v>
      </c>
      <c r="U29" s="67">
        <f t="shared" si="3"/>
        <v>3.233784547851974</v>
      </c>
      <c r="V29" s="67">
        <f t="shared" si="3"/>
        <v>0.20143737159293937</v>
      </c>
      <c r="W29" s="67">
        <f t="shared" si="3"/>
        <v>0.84628029472081923</v>
      </c>
      <c r="X29" s="67">
        <f t="shared" si="3"/>
        <v>2.0869630048166679</v>
      </c>
      <c r="AC29" t="s">
        <v>106</v>
      </c>
      <c r="AD29" s="51">
        <f>I398</f>
        <v>0.93965814917127077</v>
      </c>
      <c r="AE29" s="55">
        <f>I409</f>
        <v>0.9380099761488202</v>
      </c>
      <c r="AF29" s="55">
        <f>J409</f>
        <v>2.2030054950797958E-3</v>
      </c>
      <c r="AH29">
        <v>398</v>
      </c>
      <c r="AI29">
        <v>409</v>
      </c>
    </row>
    <row r="30" spans="1:57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9.2362438217709238E-3</v>
      </c>
      <c r="E30" s="21">
        <f t="shared" si="2"/>
        <v>0.11083492586125109</v>
      </c>
      <c r="F30" s="21">
        <f t="shared" si="2"/>
        <v>1.7641225699582463</v>
      </c>
      <c r="G30" s="37">
        <f t="shared" si="2"/>
        <v>7.2596876439119464</v>
      </c>
      <c r="H30" s="17">
        <f>SUM(C30:G30)</f>
        <v>9.1438813835532144</v>
      </c>
      <c r="I30" s="17">
        <f>G30/H30*100</f>
        <v>79.393939393939391</v>
      </c>
      <c r="J30" s="17">
        <f>SQRT(I30*(100-I30)/(L30-1))</f>
        <v>1.2861541290945948</v>
      </c>
      <c r="K30" s="18">
        <f>100-I30</f>
        <v>20.606060606060609</v>
      </c>
      <c r="L30" s="1">
        <f>H19</f>
        <v>990</v>
      </c>
      <c r="M30">
        <v>4</v>
      </c>
      <c r="N30" s="1">
        <v>18048.29</v>
      </c>
      <c r="O30" s="17">
        <f>N30/N31*100</f>
        <v>9.1438813835532144</v>
      </c>
      <c r="P30" s="52">
        <f>((O30*O30*(I30/100)*(K30/100))/(L30-1))</f>
        <v>1.3830796774934238E-2</v>
      </c>
      <c r="S30" t="s">
        <v>31</v>
      </c>
      <c r="T30" s="57">
        <f>I55</f>
        <v>100</v>
      </c>
      <c r="U30" s="57">
        <f>I56</f>
        <v>90.489913544668582</v>
      </c>
      <c r="V30" s="57">
        <f>I57</f>
        <v>97.782312925170075</v>
      </c>
      <c r="W30" s="57">
        <f>I58</f>
        <v>88.627748294162245</v>
      </c>
      <c r="X30" s="57">
        <f>I59</f>
        <v>78.686868686868678</v>
      </c>
      <c r="AC30" t="s">
        <v>107</v>
      </c>
      <c r="AD30" s="51">
        <f>I427</f>
        <v>0.94008977900552482</v>
      </c>
      <c r="AE30" s="55">
        <f>I438</f>
        <v>0.93832967018866087</v>
      </c>
      <c r="AF30" s="55">
        <f>J438</f>
        <v>2.1981820474630889E-3</v>
      </c>
      <c r="AH30">
        <v>427</v>
      </c>
      <c r="AI30">
        <v>438</v>
      </c>
    </row>
    <row r="31" spans="1:57" x14ac:dyDescent="0.3">
      <c r="B31" t="s">
        <v>28</v>
      </c>
      <c r="C31" s="17">
        <f>SUM(C26:C30)</f>
        <v>1.5336628549872009</v>
      </c>
      <c r="D31" s="17">
        <f>SUM(D26:D30)</f>
        <v>4.9848734956204499</v>
      </c>
      <c r="E31" s="17">
        <f>SUM(E26:E30)</f>
        <v>63.742788328225387</v>
      </c>
      <c r="F31" s="17">
        <f>SUM(F26:F30)</f>
        <v>21.387355503019332</v>
      </c>
      <c r="G31" s="17">
        <f>SUM(G26:G30)</f>
        <v>8.351319818147628</v>
      </c>
      <c r="H31" s="1">
        <f>SUM(H25:H30)</f>
        <v>100</v>
      </c>
      <c r="I31" s="13" t="s">
        <v>24</v>
      </c>
      <c r="J31" s="12" t="s">
        <v>29</v>
      </c>
      <c r="N31" s="1">
        <f>SUM(N26:N30)</f>
        <v>197381.06</v>
      </c>
      <c r="O31" s="17">
        <f>SUM(O26:O30)</f>
        <v>100</v>
      </c>
      <c r="S31" s="66" t="s">
        <v>39</v>
      </c>
      <c r="T31" s="67">
        <f>J55</f>
        <v>0</v>
      </c>
      <c r="U31" s="67">
        <f>J56</f>
        <v>1.5770819812439512</v>
      </c>
      <c r="V31" s="67">
        <f>J57</f>
        <v>0.1717774541187507</v>
      </c>
      <c r="W31" s="67">
        <f>J58</f>
        <v>0.61823419801566581</v>
      </c>
      <c r="X31" s="67">
        <f>J59</f>
        <v>1.3021967769299181</v>
      </c>
      <c r="AC31" t="s">
        <v>108</v>
      </c>
      <c r="AD31" s="51">
        <f>I456</f>
        <v>0.93594613259668513</v>
      </c>
      <c r="AE31" s="55">
        <f>I467</f>
        <v>0.93446803315328719</v>
      </c>
      <c r="AF31" s="55">
        <f>J467</f>
        <v>2.2508696361881932E-3</v>
      </c>
      <c r="AH31">
        <v>456</v>
      </c>
      <c r="AI31">
        <v>467</v>
      </c>
    </row>
    <row r="32" spans="1:57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0</v>
      </c>
      <c r="D32" s="18">
        <f>SQRT(SUM((O26*O26*(D26/O26)*(1-D26/O26))/L26,(O27*O27*(D27/O27)*(1-D27/O27))/L27,(O28*O28*(D28/O28)*(1-D28/O28))/L28,(O29*O29*(D29/O29)*(1-D29/O29))/L29,(O30*O30*(D30/O30)*(1-D30/O30))/L30))</f>
        <v>0.11414083251646058</v>
      </c>
      <c r="E32" s="18">
        <f>SQRT(SUM((O26*O26*(E26/O26)*(1-E26/O26))/L26,(O27*O27*(E27/O27)*(1-E27/O27))/L27,(O28*O28*(E28/O28)*(1-E28/O28))/L28,(O29*O29*(E29/O29)*(1-E29/O29))/L29,(O30*O30*(E30/O30)*(1-E30/O30))/L30))</f>
        <v>0.16586869848099403</v>
      </c>
      <c r="F32" s="18">
        <f>SQRT(SUM((O26*O26*(F26/O26)*(1-F26/O26))/L26,(O27*O27*(F27/O27)*(1-F27/O27))/L27,(O28*O28*(F28/O28)*(1-F28/O28))/L28,(O29*O29*(F29/O29)*(1-F29/O29))/L29,(O30*O30*(F30/O30)*(1-F30/O30))/L30))</f>
        <v>0.18501216202955739</v>
      </c>
      <c r="G32" s="18">
        <f>SQRT(SUM((O26*O26*(G26/O26)*(1-G26/O26))/L26,(O27*O27*(G27/O27)*(1-G27/O27))/L27,(O28*O28*(G28/O28)*(1-G28/O28))/L28,(O29*O29*(G29/O29)*(1-G29/O29))/L29,(O30*O30*(G30/O30)*(1-G30/O30))/L30))</f>
        <v>0.15025829315287498</v>
      </c>
      <c r="H32" s="1"/>
      <c r="I32" s="14">
        <f>(C26+D27+E28+F29+G30)/H31</f>
        <v>0.93894442997955441</v>
      </c>
      <c r="J32" s="53">
        <f>SQRT(SUM(P26:P30))/100</f>
        <v>2.1866345341783511E-3</v>
      </c>
      <c r="M32" s="1"/>
      <c r="N32" s="9"/>
      <c r="S32" s="66" t="s">
        <v>56</v>
      </c>
      <c r="T32" s="67">
        <f>N44*100</f>
        <v>100</v>
      </c>
      <c r="U32" s="67">
        <f>N45*100</f>
        <v>80</v>
      </c>
      <c r="V32" s="67">
        <f>N46*100</f>
        <v>97.44424106840215</v>
      </c>
      <c r="W32" s="67">
        <f>N47*100</f>
        <v>89.647239263803669</v>
      </c>
      <c r="X32" s="67">
        <f>N48*100</f>
        <v>82.086406743940984</v>
      </c>
      <c r="AC32" t="s">
        <v>109</v>
      </c>
      <c r="AD32" s="51">
        <f>I485</f>
        <v>0.93888121546961323</v>
      </c>
      <c r="AE32" s="55">
        <f>I496</f>
        <v>0.93776370909026818</v>
      </c>
      <c r="AF32" s="55">
        <f>J496</f>
        <v>2.1959705652744685E-3</v>
      </c>
      <c r="AH32">
        <v>485</v>
      </c>
      <c r="AI32">
        <v>496</v>
      </c>
    </row>
    <row r="33" spans="1:35" x14ac:dyDescent="0.3">
      <c r="B33" s="1" t="s">
        <v>30</v>
      </c>
      <c r="C33" s="17">
        <f>C26/C31*100</f>
        <v>100</v>
      </c>
      <c r="D33" s="17">
        <f>D27/D31*100</f>
        <v>79.692191240433345</v>
      </c>
      <c r="E33" s="17">
        <f>E28/E31*100</f>
        <v>97.043045511441505</v>
      </c>
      <c r="F33" s="17">
        <f>F29/F31*100</f>
        <v>90.102745472626026</v>
      </c>
      <c r="G33" s="17">
        <f>G30/G31*100</f>
        <v>86.928626875676144</v>
      </c>
      <c r="H33" s="1"/>
      <c r="R33" s="16" t="s">
        <v>66</v>
      </c>
      <c r="S33" t="s">
        <v>9</v>
      </c>
      <c r="T33" s="30">
        <f>N55</f>
        <v>3004.72</v>
      </c>
      <c r="U33" s="30">
        <f>N56</f>
        <v>8771.9</v>
      </c>
      <c r="V33" s="30">
        <f>N57</f>
        <v>124599.1</v>
      </c>
      <c r="W33" s="30">
        <f>N58</f>
        <v>42712.81</v>
      </c>
      <c r="X33" s="30">
        <f>N59</f>
        <v>18292.52</v>
      </c>
      <c r="Z33" t="s">
        <v>36</v>
      </c>
      <c r="AA33" s="1">
        <f>N60</f>
        <v>197381.05</v>
      </c>
      <c r="AC33" t="s">
        <v>110</v>
      </c>
      <c r="AD33" s="51">
        <f>I514</f>
        <v>0.93853591160220995</v>
      </c>
      <c r="AE33" s="55">
        <f>I525</f>
        <v>0.93652904499188405</v>
      </c>
      <c r="AF33" s="55">
        <f>J525</f>
        <v>2.2288374959937283E-3</v>
      </c>
      <c r="AH33">
        <v>514</v>
      </c>
      <c r="AI33">
        <v>525</v>
      </c>
    </row>
    <row r="34" spans="1:35" ht="15.6" x14ac:dyDescent="0.35">
      <c r="B34" s="16" t="s">
        <v>39</v>
      </c>
      <c r="C34" s="18">
        <f>SQRT((C37+C38)/(C31*C31))</f>
        <v>0</v>
      </c>
      <c r="D34" s="18">
        <f>SQRT((D37+D38)/(D31*D31))</f>
        <v>3.1009363578667055</v>
      </c>
      <c r="E34" s="18">
        <f>SQRT((E37+E38)/(E31*E31))</f>
        <v>0.19940018741102131</v>
      </c>
      <c r="F34" s="18">
        <f>SQRT((F37+F38)/(F31*F31))</f>
        <v>0.82105923039243978</v>
      </c>
      <c r="G34" s="18">
        <f>SQRT((G37+G38)/(G31*G31))</f>
        <v>2.0827635752121583</v>
      </c>
      <c r="H34" s="1"/>
      <c r="R34" s="16" t="s">
        <v>323</v>
      </c>
      <c r="S34" t="s">
        <v>68</v>
      </c>
      <c r="T34" s="57">
        <f>$AA33*T26/100</f>
        <v>3004.72</v>
      </c>
      <c r="U34" s="57">
        <f>$AA33*U26/100</f>
        <v>10032.155804407079</v>
      </c>
      <c r="V34" s="57">
        <f>$AA33*V26/100</f>
        <v>125600.8451336187</v>
      </c>
      <c r="W34" s="57">
        <f>$AA33*W26/100</f>
        <v>42233.525765436076</v>
      </c>
      <c r="X34" s="57">
        <f>$AA33*X26/100</f>
        <v>16509.803296538157</v>
      </c>
      <c r="Z34" t="s">
        <v>36</v>
      </c>
      <c r="AA34" s="25">
        <f>SUM(T34:X34)</f>
        <v>197381.05000000002</v>
      </c>
      <c r="AB34" s="25"/>
      <c r="AC34" t="s">
        <v>111</v>
      </c>
      <c r="AD34" s="51">
        <f>I543</f>
        <v>0.93879488950276246</v>
      </c>
      <c r="AE34" s="55">
        <f>I554</f>
        <v>0.93747317764643923</v>
      </c>
      <c r="AF34" s="55">
        <f>J554</f>
        <v>2.2024361665406479E-3</v>
      </c>
      <c r="AH34">
        <v>543</v>
      </c>
      <c r="AI34">
        <v>554</v>
      </c>
    </row>
    <row r="35" spans="1:35" x14ac:dyDescent="0.3">
      <c r="B35" s="1" t="s">
        <v>37</v>
      </c>
      <c r="C35" s="18">
        <f>100-C33</f>
        <v>0</v>
      </c>
      <c r="D35" s="18">
        <f>100-D33</f>
        <v>20.307808759566655</v>
      </c>
      <c r="E35" s="18">
        <f>100-E33</f>
        <v>2.9569544885584946</v>
      </c>
      <c r="F35" s="18">
        <f>100-F33</f>
        <v>9.897254527373974</v>
      </c>
      <c r="G35" s="18">
        <f>100-G33</f>
        <v>13.071373124323856</v>
      </c>
      <c r="R35" s="66"/>
      <c r="S35" s="66" t="s">
        <v>67</v>
      </c>
      <c r="T35" s="67">
        <f>$AA33*T27/100</f>
        <v>0</v>
      </c>
      <c r="U35" s="67">
        <f>$AA33*U27/100</f>
        <v>232.2661458095979</v>
      </c>
      <c r="V35" s="67">
        <f>$AA33*V27/100</f>
        <v>330.73887524544131</v>
      </c>
      <c r="W35" s="67">
        <f>$AA33*W27/100</f>
        <v>367.93818001217801</v>
      </c>
      <c r="X35" s="67">
        <f>$AA33*X27/100</f>
        <v>300.38623956941285</v>
      </c>
      <c r="AA35" s="1"/>
      <c r="AB35" s="25"/>
      <c r="AC35" s="58" t="s">
        <v>112</v>
      </c>
      <c r="AD35" s="120">
        <f>I572</f>
        <v>0.93844958563535907</v>
      </c>
      <c r="AE35" s="121">
        <f>I583</f>
        <v>0.93678319729095161</v>
      </c>
      <c r="AF35" s="121">
        <f>J583</f>
        <v>2.2141238155760938E-3</v>
      </c>
      <c r="AH35">
        <v>572</v>
      </c>
      <c r="AI35">
        <v>583</v>
      </c>
    </row>
    <row r="36" spans="1:35" ht="15.6" x14ac:dyDescent="0.35">
      <c r="B36" s="1" t="s">
        <v>25</v>
      </c>
      <c r="C36" s="1">
        <f>C20</f>
        <v>259</v>
      </c>
      <c r="D36" s="1">
        <f>D20</f>
        <v>434</v>
      </c>
      <c r="E36" s="1">
        <f>E20</f>
        <v>7404</v>
      </c>
      <c r="F36" s="1">
        <f>F20</f>
        <v>2570</v>
      </c>
      <c r="G36" s="1">
        <f>G20</f>
        <v>917</v>
      </c>
      <c r="R36" t="s">
        <v>72</v>
      </c>
      <c r="S36" t="s">
        <v>28</v>
      </c>
      <c r="T36" s="57">
        <f t="shared" ref="T36:X39" si="4">C89</f>
        <v>1.5110314276845291</v>
      </c>
      <c r="U36" s="57">
        <f t="shared" si="4"/>
        <v>4.9113900474130121</v>
      </c>
      <c r="V36" s="57">
        <f t="shared" si="4"/>
        <v>63.525658992521912</v>
      </c>
      <c r="W36" s="57">
        <f t="shared" si="4"/>
        <v>21.996389137665865</v>
      </c>
      <c r="X36" s="57">
        <f t="shared" si="4"/>
        <v>8.0555303947146797</v>
      </c>
      <c r="Y36" s="13"/>
      <c r="Z36" s="74"/>
      <c r="AA36" s="12"/>
      <c r="AC36" t="s">
        <v>113</v>
      </c>
      <c r="AD36" s="51"/>
      <c r="AE36" s="51"/>
      <c r="AH36">
        <v>601</v>
      </c>
      <c r="AI36">
        <v>612</v>
      </c>
    </row>
    <row r="37" spans="1:3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184.52892943236432</v>
      </c>
      <c r="E37" s="18">
        <f>(O28*O28*(100-E33)*(100-E33)*(I28)*(100-I28))/((L28-1)*100)</f>
        <v>10.001367612530762</v>
      </c>
      <c r="F37" s="18">
        <f>(O29*O29*(100-F33)*(100-F33)*(I29)*(100-I29))/((L29-1)*100)</f>
        <v>177.00532093554892</v>
      </c>
      <c r="G37" s="18">
        <f>(O30*O30*(100-G33)*(100-G33)*(I30)*(100-I30))/((L30-1)*100)</f>
        <v>236.31409373627267</v>
      </c>
      <c r="S37" s="66" t="s">
        <v>39</v>
      </c>
      <c r="T37" s="67">
        <f t="shared" si="4"/>
        <v>0</v>
      </c>
      <c r="U37" s="67">
        <f t="shared" si="4"/>
        <v>0.1161990791903553</v>
      </c>
      <c r="V37" s="67">
        <f t="shared" si="4"/>
        <v>0.16948512614481834</v>
      </c>
      <c r="W37" s="67">
        <f t="shared" si="4"/>
        <v>0.18948765760941763</v>
      </c>
      <c r="X37" s="67">
        <f t="shared" si="4"/>
        <v>0.15314717130556421</v>
      </c>
      <c r="AC37" t="s">
        <v>114</v>
      </c>
      <c r="AD37" s="51"/>
      <c r="AE37" s="51"/>
      <c r="AH37">
        <v>630</v>
      </c>
      <c r="AI37">
        <v>641</v>
      </c>
    </row>
    <row r="38" spans="1:35" x14ac:dyDescent="0.3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54.413892799252459</v>
      </c>
      <c r="E38" s="18">
        <f>E33*E33*(SUM((H26*E26*(1-E15/H15))/(H15-1),(H27*E27*(1-E16/H16))/(H16-1), (H29*E29*(1-E18/H18))/(H18-1),(H30*E30*(1-E19/H19))/(H19-1)))</f>
        <v>151.55096701541029</v>
      </c>
      <c r="F38" s="18">
        <f>F33*F33*(SUM((H26*F26*(1-F15/H15))/(H15-1),(H27*F27*(1-F16/H16))/(H16-1), (H28*F28*(1-F17/H17))/(H17-1),(H30*F30*(1-F19/H19))/(H19-1)))</f>
        <v>131.35831115432904</v>
      </c>
      <c r="G38" s="18">
        <f>G33*G33*(SUM((H26*G26*(1-G15/H15))/(H15-1),(H27*G27*(1-G16/H16))/(H16-1), (H28*G28*(1-G17/H17))/(H17-1),(H29*G29*(1-G18/H18))/(H18-1)))</f>
        <v>66.231044729832064</v>
      </c>
      <c r="S38" t="s">
        <v>30</v>
      </c>
      <c r="T38" s="57">
        <f t="shared" si="4"/>
        <v>100</v>
      </c>
      <c r="U38" s="57">
        <f t="shared" si="4"/>
        <v>80.331679923020388</v>
      </c>
      <c r="V38" s="57">
        <f t="shared" si="4"/>
        <v>96.903169213789269</v>
      </c>
      <c r="W38" s="57">
        <f t="shared" si="4"/>
        <v>89.151494397507506</v>
      </c>
      <c r="X38" s="57">
        <f t="shared" si="4"/>
        <v>86.563717254199574</v>
      </c>
      <c r="Z38" s="50"/>
      <c r="AA38" s="54"/>
      <c r="AC38" t="s">
        <v>115</v>
      </c>
      <c r="AD38" s="51"/>
      <c r="AE38" s="51"/>
      <c r="AH38">
        <v>659</v>
      </c>
      <c r="AI38">
        <v>670</v>
      </c>
    </row>
    <row r="39" spans="1:35" x14ac:dyDescent="0.3">
      <c r="S39" s="66" t="s">
        <v>39</v>
      </c>
      <c r="T39" s="67">
        <f t="shared" si="4"/>
        <v>0</v>
      </c>
      <c r="U39" s="67">
        <f t="shared" si="4"/>
        <v>3.2850439450151949</v>
      </c>
      <c r="V39" s="67">
        <f t="shared" si="4"/>
        <v>0.20642338319440259</v>
      </c>
      <c r="W39" s="67">
        <f t="shared" si="4"/>
        <v>0.85742405983819392</v>
      </c>
      <c r="X39" s="67">
        <f t="shared" si="4"/>
        <v>2.2562938031277486</v>
      </c>
      <c r="AC39" t="s">
        <v>116</v>
      </c>
      <c r="AD39" s="51"/>
      <c r="AE39" s="51"/>
      <c r="AH39">
        <v>688</v>
      </c>
      <c r="AI39">
        <v>699</v>
      </c>
    </row>
    <row r="40" spans="1:35" x14ac:dyDescent="0.3">
      <c r="S40" t="s">
        <v>31</v>
      </c>
      <c r="T40" s="57">
        <f>I84</f>
        <v>100</v>
      </c>
      <c r="U40" s="57">
        <f>I85</f>
        <v>89.33717579250721</v>
      </c>
      <c r="V40" s="57">
        <f>I86</f>
        <v>97.795918367346928</v>
      </c>
      <c r="W40" s="57">
        <f>I87</f>
        <v>88.817285822592879</v>
      </c>
      <c r="X40" s="57">
        <f>I88</f>
        <v>77.070707070707073</v>
      </c>
      <c r="AC40" t="s">
        <v>117</v>
      </c>
      <c r="AD40" s="51"/>
      <c r="AE40" s="51"/>
      <c r="AH40">
        <v>717</v>
      </c>
      <c r="AI40">
        <v>728</v>
      </c>
    </row>
    <row r="41" spans="1:35" x14ac:dyDescent="0.3">
      <c r="A41" s="361" t="s">
        <v>455</v>
      </c>
      <c r="B41" s="361"/>
      <c r="C41" s="361"/>
      <c r="D41" s="361"/>
      <c r="E41" s="361"/>
      <c r="F41" s="361"/>
      <c r="G41" s="361"/>
      <c r="H41" s="361"/>
      <c r="I41" s="361"/>
      <c r="J41" s="361"/>
      <c r="K41" s="361"/>
      <c r="L41" s="361" t="s">
        <v>53</v>
      </c>
      <c r="M41" s="361"/>
      <c r="N41" s="361"/>
      <c r="O41" s="361"/>
      <c r="P41" s="361"/>
      <c r="S41" s="66" t="s">
        <v>39</v>
      </c>
      <c r="T41" s="67">
        <f>J84</f>
        <v>0</v>
      </c>
      <c r="U41" s="67">
        <f>J85</f>
        <v>1.6592590106316687</v>
      </c>
      <c r="V41" s="67">
        <f>J86</f>
        <v>0.17126163219586168</v>
      </c>
      <c r="W41" s="67">
        <f>J87</f>
        <v>0.61371578858380837</v>
      </c>
      <c r="X41" s="67">
        <f>J88</f>
        <v>1.3367243434478164</v>
      </c>
      <c r="AC41" t="s">
        <v>118</v>
      </c>
      <c r="AD41" s="51"/>
      <c r="AE41" s="51"/>
      <c r="AH41">
        <v>746</v>
      </c>
      <c r="AI41">
        <v>757</v>
      </c>
    </row>
    <row r="42" spans="1:35" x14ac:dyDescent="0.3">
      <c r="A42" t="s">
        <v>320</v>
      </c>
      <c r="B42" t="s">
        <v>21</v>
      </c>
      <c r="I42" s="1" t="s">
        <v>58</v>
      </c>
      <c r="S42" s="66" t="s">
        <v>56</v>
      </c>
      <c r="T42" s="67">
        <f>N73*100</f>
        <v>100</v>
      </c>
      <c r="U42" s="67">
        <f>N74*100</f>
        <v>80.51948051948051</v>
      </c>
      <c r="V42" s="67">
        <f>N75*100</f>
        <v>97.437982919886139</v>
      </c>
      <c r="W42" s="67">
        <f>N76*100</f>
        <v>89.342230695900852</v>
      </c>
      <c r="X42" s="67">
        <f>N77*100</f>
        <v>81.127060074428499</v>
      </c>
      <c r="AC42" t="s">
        <v>119</v>
      </c>
      <c r="AD42" s="51"/>
      <c r="AE42" s="51"/>
      <c r="AH42">
        <v>775</v>
      </c>
      <c r="AI42">
        <v>786</v>
      </c>
    </row>
    <row r="43" spans="1:3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56</v>
      </c>
      <c r="R43" s="16" t="s">
        <v>66</v>
      </c>
      <c r="S43" t="s">
        <v>9</v>
      </c>
      <c r="T43" s="30">
        <f>N84</f>
        <v>2982.49</v>
      </c>
      <c r="U43" s="30">
        <f>N85</f>
        <v>8716.9500000000007</v>
      </c>
      <c r="V43" s="30">
        <f>N86</f>
        <v>124243</v>
      </c>
      <c r="W43" s="30">
        <f>N87</f>
        <v>43580.08</v>
      </c>
      <c r="X43" s="30">
        <f>N88</f>
        <v>17858.55</v>
      </c>
      <c r="Z43" t="s">
        <v>36</v>
      </c>
      <c r="AA43" s="1">
        <f>N89</f>
        <v>197381.07</v>
      </c>
      <c r="AC43" t="s">
        <v>120</v>
      </c>
      <c r="AD43" s="51"/>
      <c r="AE43" s="51"/>
      <c r="AH43">
        <v>804</v>
      </c>
      <c r="AI43">
        <v>815</v>
      </c>
    </row>
    <row r="44" spans="1:35" ht="15.6" x14ac:dyDescent="0.35">
      <c r="A44" t="s">
        <v>3</v>
      </c>
      <c r="B44" s="13">
        <v>0</v>
      </c>
      <c r="C44" s="26">
        <v>259</v>
      </c>
      <c r="D44" s="3">
        <v>0</v>
      </c>
      <c r="E44" s="3">
        <v>0</v>
      </c>
      <c r="F44" s="3">
        <v>0</v>
      </c>
      <c r="G44" s="4">
        <v>0</v>
      </c>
      <c r="H44" s="1">
        <f>SUM(C44:G44)</f>
        <v>259</v>
      </c>
      <c r="I44" s="10">
        <f>C44/H44</f>
        <v>1</v>
      </c>
      <c r="J44" s="11">
        <f>1-I44</f>
        <v>0</v>
      </c>
      <c r="K44">
        <f>H44-C49</f>
        <v>0</v>
      </c>
      <c r="N44" s="10">
        <f>2*(C50*I44)/(C50+I44)</f>
        <v>1</v>
      </c>
      <c r="R44" s="16" t="s">
        <v>323</v>
      </c>
      <c r="S44" t="s">
        <v>68</v>
      </c>
      <c r="T44" s="57">
        <f>$AA43*T36/100</f>
        <v>2982.49</v>
      </c>
      <c r="U44" s="57">
        <f>$AA43*U36/100</f>
        <v>9694.1542274573112</v>
      </c>
      <c r="V44" s="57">
        <f>$AA43*V36/100</f>
        <v>125387.62544399098</v>
      </c>
      <c r="W44" s="57">
        <f>$AA43*W36/100</f>
        <v>43416.708241288659</v>
      </c>
      <c r="X44" s="57">
        <f>$AA43*X36/100</f>
        <v>15900.09208726306</v>
      </c>
      <c r="Z44" t="s">
        <v>36</v>
      </c>
      <c r="AA44" s="25">
        <f>SUM(T44:X44)</f>
        <v>197381.07000000004</v>
      </c>
      <c r="AC44" t="s">
        <v>121</v>
      </c>
      <c r="AD44" s="51"/>
      <c r="AE44" s="51"/>
      <c r="AH44">
        <v>833</v>
      </c>
      <c r="AI44">
        <v>844</v>
      </c>
    </row>
    <row r="45" spans="1:35" x14ac:dyDescent="0.3">
      <c r="A45" t="s">
        <v>4</v>
      </c>
      <c r="B45" s="13">
        <v>1</v>
      </c>
      <c r="C45" s="5">
        <v>0</v>
      </c>
      <c r="D45" s="27">
        <v>314</v>
      </c>
      <c r="E45" s="1">
        <v>31</v>
      </c>
      <c r="F45" s="1">
        <v>0</v>
      </c>
      <c r="G45" s="6">
        <v>2</v>
      </c>
      <c r="H45" s="1">
        <f>SUM(C45:G45)</f>
        <v>347</v>
      </c>
      <c r="I45" s="10">
        <f>D45/H45</f>
        <v>0.90489913544668588</v>
      </c>
      <c r="J45" s="11">
        <f>1-I45</f>
        <v>9.5100864553314124E-2</v>
      </c>
      <c r="K45">
        <f>H45-D49</f>
        <v>-91</v>
      </c>
      <c r="N45" s="10">
        <f>2*(D50*I45)/(D50+I45)</f>
        <v>0.8</v>
      </c>
      <c r="R45" s="66"/>
      <c r="S45" s="66" t="s">
        <v>67</v>
      </c>
      <c r="T45" s="67">
        <f>$AA43*T37/100</f>
        <v>0</v>
      </c>
      <c r="U45" s="67">
        <f>$AA43*U37/100</f>
        <v>229.35498583607063</v>
      </c>
      <c r="V45" s="67">
        <f>$AA43*V37/100</f>
        <v>334.53155547549221</v>
      </c>
      <c r="W45" s="67">
        <f>$AA43*W37/100</f>
        <v>374.01276610740496</v>
      </c>
      <c r="X45" s="67">
        <f>$AA43*X37/100</f>
        <v>302.28352539765564</v>
      </c>
      <c r="AA45" s="1"/>
      <c r="AC45" t="s">
        <v>122</v>
      </c>
      <c r="AD45" s="51"/>
      <c r="AE45" s="51"/>
      <c r="AH45">
        <v>862</v>
      </c>
      <c r="AI45">
        <v>873</v>
      </c>
    </row>
    <row r="46" spans="1:35" x14ac:dyDescent="0.3">
      <c r="A46" t="s">
        <v>5</v>
      </c>
      <c r="B46" s="13">
        <v>2</v>
      </c>
      <c r="C46" s="5">
        <v>0</v>
      </c>
      <c r="D46" s="1">
        <v>114</v>
      </c>
      <c r="E46" s="27">
        <v>7187</v>
      </c>
      <c r="F46" s="1">
        <v>37</v>
      </c>
      <c r="G46" s="6">
        <v>12</v>
      </c>
      <c r="H46" s="1">
        <f>SUM(C46:G46)</f>
        <v>7350</v>
      </c>
      <c r="I46" s="10">
        <f>E46/H46</f>
        <v>0.97782312925170067</v>
      </c>
      <c r="J46" s="11">
        <f>1-I46</f>
        <v>2.2176870748299327E-2</v>
      </c>
      <c r="K46">
        <f>H46-E49</f>
        <v>-51</v>
      </c>
      <c r="N46" s="10">
        <f>2*(E50*I46)/(E50+I46)</f>
        <v>0.97444241068402149</v>
      </c>
      <c r="R46" t="s">
        <v>73</v>
      </c>
      <c r="S46" t="s">
        <v>28</v>
      </c>
      <c r="T46" s="57">
        <f t="shared" ref="T46:X49" si="5">C118</f>
        <v>1.519507494792053</v>
      </c>
      <c r="U46" s="57">
        <f t="shared" si="5"/>
        <v>4.9966974961130415</v>
      </c>
      <c r="V46" s="57">
        <f t="shared" si="5"/>
        <v>63.827742728056165</v>
      </c>
      <c r="W46" s="57">
        <f t="shared" si="5"/>
        <v>21.567346099189407</v>
      </c>
      <c r="X46" s="57">
        <f t="shared" si="5"/>
        <v>8.0887061818493198</v>
      </c>
      <c r="Y46" s="60"/>
      <c r="Z46" s="74"/>
      <c r="AA46" s="12"/>
      <c r="AC46" t="s">
        <v>135</v>
      </c>
      <c r="AD46" s="51"/>
      <c r="AE46" s="51"/>
      <c r="AH46">
        <v>891</v>
      </c>
      <c r="AI46">
        <v>902</v>
      </c>
    </row>
    <row r="47" spans="1:35" x14ac:dyDescent="0.3">
      <c r="A47" t="s">
        <v>6</v>
      </c>
      <c r="B47" s="13">
        <v>3</v>
      </c>
      <c r="C47" s="5">
        <v>0</v>
      </c>
      <c r="D47" s="1">
        <v>10</v>
      </c>
      <c r="E47" s="1">
        <v>175</v>
      </c>
      <c r="F47" s="27">
        <v>2338</v>
      </c>
      <c r="G47" s="6">
        <v>115</v>
      </c>
      <c r="H47" s="1">
        <f>SUM(C47:G47)</f>
        <v>2638</v>
      </c>
      <c r="I47" s="10">
        <f>F47/H47</f>
        <v>0.88627748294162245</v>
      </c>
      <c r="J47" s="11">
        <f>1-I47</f>
        <v>0.11372251705837755</v>
      </c>
      <c r="K47">
        <f>H47-F49</f>
        <v>60</v>
      </c>
      <c r="N47" s="10">
        <f>2*(F50*I47)/(F50+I47)</f>
        <v>0.89647239263803669</v>
      </c>
      <c r="S47" s="66" t="s">
        <v>39</v>
      </c>
      <c r="T47" s="67">
        <f t="shared" si="5"/>
        <v>0</v>
      </c>
      <c r="U47" s="67">
        <f t="shared" si="5"/>
        <v>0.11151118008697007</v>
      </c>
      <c r="V47" s="67">
        <f t="shared" si="5"/>
        <v>0.16095871727910238</v>
      </c>
      <c r="W47" s="67">
        <f t="shared" si="5"/>
        <v>0.18628874118600064</v>
      </c>
      <c r="X47" s="67">
        <f t="shared" si="5"/>
        <v>0.15356346152928088</v>
      </c>
      <c r="AC47" t="s">
        <v>136</v>
      </c>
      <c r="AD47" s="51"/>
      <c r="AE47" s="51"/>
      <c r="AH47">
        <v>920</v>
      </c>
      <c r="AI47">
        <v>931</v>
      </c>
    </row>
    <row r="48" spans="1:35" x14ac:dyDescent="0.3">
      <c r="A48" t="s">
        <v>7</v>
      </c>
      <c r="B48" s="13">
        <v>4</v>
      </c>
      <c r="C48" s="7">
        <v>0</v>
      </c>
      <c r="D48" s="8">
        <v>0</v>
      </c>
      <c r="E48" s="8">
        <v>8</v>
      </c>
      <c r="F48" s="8">
        <v>203</v>
      </c>
      <c r="G48" s="28">
        <v>779</v>
      </c>
      <c r="H48" s="1">
        <f>SUM(C48:G48)</f>
        <v>990</v>
      </c>
      <c r="I48" s="10">
        <f>G48/H48</f>
        <v>0.78686868686868683</v>
      </c>
      <c r="J48" s="11">
        <f>1-I48</f>
        <v>0.21313131313131317</v>
      </c>
      <c r="K48">
        <f>H48-G49</f>
        <v>82</v>
      </c>
      <c r="N48" s="10">
        <f>2*(G50*I48)/(G50+I48)</f>
        <v>0.82086406743940987</v>
      </c>
      <c r="S48" t="s">
        <v>30</v>
      </c>
      <c r="T48" s="57">
        <f t="shared" si="5"/>
        <v>100</v>
      </c>
      <c r="U48" s="57">
        <f t="shared" si="5"/>
        <v>80.237978226359047</v>
      </c>
      <c r="V48" s="57">
        <f t="shared" si="5"/>
        <v>97.214184234554779</v>
      </c>
      <c r="W48" s="57">
        <f t="shared" si="5"/>
        <v>89.237907112948676</v>
      </c>
      <c r="X48" s="57">
        <f t="shared" si="5"/>
        <v>86.810009722675986</v>
      </c>
      <c r="AC48" t="s">
        <v>137</v>
      </c>
      <c r="AD48" s="51"/>
      <c r="AE48" s="51"/>
      <c r="AH48">
        <v>949</v>
      </c>
      <c r="AI48">
        <v>960</v>
      </c>
    </row>
    <row r="49" spans="1:35" ht="15.6" x14ac:dyDescent="0.35">
      <c r="B49" s="1" t="s">
        <v>19</v>
      </c>
      <c r="C49" s="1">
        <f>SUM(C44:C48)</f>
        <v>259</v>
      </c>
      <c r="D49" s="1">
        <f>SUM(D44:D48)</f>
        <v>438</v>
      </c>
      <c r="E49" s="1">
        <f>SUM(E44:E48)</f>
        <v>7401</v>
      </c>
      <c r="F49" s="1">
        <f>SUM(F44:F48)</f>
        <v>2578</v>
      </c>
      <c r="G49" s="1">
        <f>SUM(G44:G48)</f>
        <v>908</v>
      </c>
      <c r="H49" s="1">
        <f>SUM(H43:H48)</f>
        <v>11584</v>
      </c>
      <c r="I49" s="13" t="s">
        <v>12</v>
      </c>
      <c r="S49" s="66" t="s">
        <v>39</v>
      </c>
      <c r="T49" s="67">
        <f t="shared" si="5"/>
        <v>0</v>
      </c>
      <c r="U49" s="67">
        <f t="shared" si="5"/>
        <v>2.9217817582589882</v>
      </c>
      <c r="V49" s="67">
        <f t="shared" si="5"/>
        <v>0.19250155551542691</v>
      </c>
      <c r="W49" s="67">
        <f t="shared" si="5"/>
        <v>0.85501107340813043</v>
      </c>
      <c r="X49" s="67">
        <f t="shared" si="5"/>
        <v>2.2315077648615693</v>
      </c>
      <c r="AC49" t="s">
        <v>138</v>
      </c>
      <c r="AD49" s="51"/>
      <c r="AE49" s="51"/>
      <c r="AH49">
        <v>978</v>
      </c>
      <c r="AI49">
        <v>989</v>
      </c>
    </row>
    <row r="50" spans="1:35" x14ac:dyDescent="0.3">
      <c r="A50" s="1" t="s">
        <v>321</v>
      </c>
      <c r="B50" s="1" t="s">
        <v>2</v>
      </c>
      <c r="C50" s="10">
        <f>C44/C49</f>
        <v>1</v>
      </c>
      <c r="D50" s="10">
        <f>D45/D49</f>
        <v>0.71689497716894979</v>
      </c>
      <c r="E50" s="10">
        <f>E46/E49</f>
        <v>0.97108498851506553</v>
      </c>
      <c r="F50" s="10">
        <f>F47/F49</f>
        <v>0.90690457719162143</v>
      </c>
      <c r="G50" s="10">
        <f>G48/G49</f>
        <v>0.85792951541850215</v>
      </c>
      <c r="H50" s="10"/>
      <c r="I50" s="14">
        <f>(C44+D45+E46+F47+G48)/H49</f>
        <v>0.9389675414364641</v>
      </c>
      <c r="S50" s="15" t="s">
        <v>31</v>
      </c>
      <c r="T50" s="71">
        <f>I113</f>
        <v>100</v>
      </c>
      <c r="U50" s="71">
        <f>I114</f>
        <v>91.930835734870314</v>
      </c>
      <c r="V50" s="71">
        <f>I115</f>
        <v>97.97278911564625</v>
      </c>
      <c r="W50" s="71">
        <f>I116</f>
        <v>88.893100833965107</v>
      </c>
      <c r="X50" s="71">
        <f>I117</f>
        <v>76.868686868686865</v>
      </c>
      <c r="AC50" t="s">
        <v>139</v>
      </c>
      <c r="AD50" s="51"/>
      <c r="AE50" s="51"/>
      <c r="AH50">
        <v>1007</v>
      </c>
      <c r="AI50">
        <v>1018</v>
      </c>
    </row>
    <row r="51" spans="1:35" x14ac:dyDescent="0.3">
      <c r="B51" s="1" t="s">
        <v>14</v>
      </c>
      <c r="C51" s="11">
        <f>1-C50</f>
        <v>0</v>
      </c>
      <c r="D51" s="11">
        <f>1-D50</f>
        <v>0.28310502283105021</v>
      </c>
      <c r="E51" s="11">
        <f>1-E50</f>
        <v>2.8915011484934472E-2</v>
      </c>
      <c r="F51" s="11">
        <f>1-F50</f>
        <v>9.309542280837857E-2</v>
      </c>
      <c r="G51" s="11">
        <f>1-G50</f>
        <v>0.14207048458149785</v>
      </c>
      <c r="S51" s="75" t="s">
        <v>39</v>
      </c>
      <c r="T51" s="76">
        <f>J113</f>
        <v>0</v>
      </c>
      <c r="U51" s="76">
        <f>J114</f>
        <v>1.4642216802214112</v>
      </c>
      <c r="V51" s="76">
        <f>J115</f>
        <v>0.16439480027035655</v>
      </c>
      <c r="W51" s="76">
        <f>J116</f>
        <v>0.61189284876437999</v>
      </c>
      <c r="X51" s="76">
        <f>J117</f>
        <v>1.3408392954153316</v>
      </c>
      <c r="AC51" t="s">
        <v>140</v>
      </c>
      <c r="AD51" s="51"/>
      <c r="AE51" s="51"/>
      <c r="AH51">
        <v>1036</v>
      </c>
      <c r="AI51">
        <v>1047</v>
      </c>
    </row>
    <row r="52" spans="1:35" x14ac:dyDescent="0.3">
      <c r="C52" s="2"/>
      <c r="S52" s="66" t="s">
        <v>56</v>
      </c>
      <c r="T52" s="67">
        <f>N102*100</f>
        <v>100</v>
      </c>
      <c r="U52" s="67">
        <f>N103*100</f>
        <v>81.690140845070431</v>
      </c>
      <c r="V52" s="67">
        <f>N104*100</f>
        <v>97.620822883481338</v>
      </c>
      <c r="W52" s="67">
        <f>N105*100</f>
        <v>89.555088791292718</v>
      </c>
      <c r="X52" s="67">
        <f>N106*100</f>
        <v>81.000532197977634</v>
      </c>
      <c r="AC52" t="s">
        <v>141</v>
      </c>
      <c r="AD52" s="51"/>
      <c r="AE52" s="51"/>
      <c r="AH52">
        <v>1065</v>
      </c>
      <c r="AI52">
        <v>1076</v>
      </c>
    </row>
    <row r="53" spans="1:35" ht="15.6" x14ac:dyDescent="0.35">
      <c r="A53" t="s">
        <v>322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66</v>
      </c>
      <c r="S53" t="s">
        <v>9</v>
      </c>
      <c r="T53" s="30">
        <f>N113</f>
        <v>2999.22</v>
      </c>
      <c r="U53" s="30">
        <f>N114</f>
        <v>8608.1</v>
      </c>
      <c r="V53" s="30">
        <f>N115</f>
        <v>125008.38</v>
      </c>
      <c r="W53" s="30">
        <f>N116</f>
        <v>42734.98</v>
      </c>
      <c r="X53" s="30">
        <f>N117</f>
        <v>18030.38</v>
      </c>
      <c r="Z53" t="s">
        <v>36</v>
      </c>
      <c r="AA53" s="1">
        <f>N118</f>
        <v>197381.06000000003</v>
      </c>
      <c r="AC53" t="s">
        <v>142</v>
      </c>
      <c r="AD53" s="51"/>
      <c r="AE53" s="51"/>
      <c r="AH53">
        <v>1094</v>
      </c>
      <c r="AI53">
        <v>1105</v>
      </c>
    </row>
    <row r="54" spans="1:35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323</v>
      </c>
      <c r="S54" t="s">
        <v>68</v>
      </c>
      <c r="T54" s="57">
        <f>$AA53*T46/100</f>
        <v>2999.2199999999993</v>
      </c>
      <c r="U54" s="57">
        <f>$AA53*U46/100</f>
        <v>9862.5344828213802</v>
      </c>
      <c r="V54" s="57">
        <f>$AA53*V46/100</f>
        <v>125983.87517071021</v>
      </c>
      <c r="W54" s="57">
        <f>$AA53*W46/100</f>
        <v>42569.856344448708</v>
      </c>
      <c r="X54" s="57">
        <f>$AA53*X46/100</f>
        <v>15965.574002019717</v>
      </c>
      <c r="Z54" t="s">
        <v>36</v>
      </c>
      <c r="AA54" s="25">
        <f>SUM(T54:X54)</f>
        <v>197381.06</v>
      </c>
      <c r="AC54" t="s">
        <v>143</v>
      </c>
      <c r="AD54" s="51"/>
      <c r="AE54" s="51"/>
      <c r="AH54">
        <v>1123</v>
      </c>
      <c r="AI54">
        <v>1134</v>
      </c>
    </row>
    <row r="55" spans="1:35" x14ac:dyDescent="0.3">
      <c r="A55" t="s">
        <v>3</v>
      </c>
      <c r="B55" s="13">
        <v>0</v>
      </c>
      <c r="C55" s="29">
        <f>(C44/$L55)*$O55</f>
        <v>1.5222940601440715</v>
      </c>
      <c r="D55" s="31">
        <f>(D44/$L55)*$O55</f>
        <v>0</v>
      </c>
      <c r="E55" s="31">
        <f>(E44/$L55)*$O55</f>
        <v>0</v>
      </c>
      <c r="F55" s="31">
        <f>(F44/$L55)*$O55</f>
        <v>0</v>
      </c>
      <c r="G55" s="32">
        <f>(G44/$L55)*$O55</f>
        <v>0</v>
      </c>
      <c r="H55" s="17">
        <f>SUM(C55:G55)</f>
        <v>1.5222940601440715</v>
      </c>
      <c r="I55" s="17">
        <f>C55/H55*100</f>
        <v>100</v>
      </c>
      <c r="J55" s="17">
        <f>SQRT(I55*(100-I55)/(L55-1))</f>
        <v>0</v>
      </c>
      <c r="K55" s="18">
        <f>100-I55</f>
        <v>0</v>
      </c>
      <c r="L55" s="1">
        <f>H44</f>
        <v>259</v>
      </c>
      <c r="M55">
        <v>0</v>
      </c>
      <c r="N55" s="1">
        <v>3004.72</v>
      </c>
      <c r="O55" s="17">
        <f>N55/N60*100</f>
        <v>1.5222940601440715</v>
      </c>
      <c r="P55" s="52">
        <f>((O55*O55*(I55/100)*(K55/100))/(L55-1))</f>
        <v>0</v>
      </c>
      <c r="R55" s="66"/>
      <c r="S55" s="66" t="s">
        <v>67</v>
      </c>
      <c r="T55" s="67">
        <f>$AA53*T47/100</f>
        <v>0</v>
      </c>
      <c r="U55" s="67">
        <f>$AA53*U47/100</f>
        <v>220.10194927417047</v>
      </c>
      <c r="V55" s="67">
        <f>$AA53*V47/100</f>
        <v>317.70202232789546</v>
      </c>
      <c r="W55" s="67">
        <f>$AA53*W47/100</f>
        <v>367.69869201358466</v>
      </c>
      <c r="X55" s="67">
        <f>$AA53*X47/100</f>
        <v>303.10518813918685</v>
      </c>
      <c r="AA55" s="1"/>
      <c r="AC55" t="s">
        <v>144</v>
      </c>
      <c r="AD55" s="51"/>
      <c r="AE55" s="51"/>
      <c r="AH55">
        <v>1152</v>
      </c>
      <c r="AI55">
        <v>1163</v>
      </c>
    </row>
    <row r="56" spans="1:35" x14ac:dyDescent="0.3">
      <c r="A56" t="s">
        <v>4</v>
      </c>
      <c r="B56" s="13">
        <v>1</v>
      </c>
      <c r="C56" s="33">
        <f t="shared" ref="C56:G59" si="6">(C45/$L56)*$O56</f>
        <v>0</v>
      </c>
      <c r="D56" s="34">
        <f t="shared" si="6"/>
        <v>4.021502938719185</v>
      </c>
      <c r="E56" s="19">
        <f t="shared" si="6"/>
        <v>0.39702736019202145</v>
      </c>
      <c r="F56" s="18">
        <f t="shared" si="6"/>
        <v>0</v>
      </c>
      <c r="G56" s="20">
        <f t="shared" si="6"/>
        <v>2.5614668399485254E-2</v>
      </c>
      <c r="H56" s="17">
        <f>SUM(C56:G56)</f>
        <v>4.4441449673106916</v>
      </c>
      <c r="I56" s="17">
        <f>D56/H56*100</f>
        <v>90.489913544668582</v>
      </c>
      <c r="J56" s="17">
        <f>SQRT(I56*(100-I56)/(L56-1))</f>
        <v>1.5770819812439512</v>
      </c>
      <c r="K56" s="18">
        <f>100-I56</f>
        <v>9.5100864553314182</v>
      </c>
      <c r="L56" s="1">
        <f>H45</f>
        <v>347</v>
      </c>
      <c r="M56">
        <v>1</v>
      </c>
      <c r="N56" s="1">
        <v>8771.9</v>
      </c>
      <c r="O56" s="17">
        <f>N56/N60*100</f>
        <v>4.4441449673106916</v>
      </c>
      <c r="P56" s="52">
        <f>((O56*O56*(I56/100)*(K56/100))/(L56-1))</f>
        <v>4.9123010404826094E-3</v>
      </c>
      <c r="R56" t="s">
        <v>76</v>
      </c>
      <c r="S56" t="s">
        <v>28</v>
      </c>
      <c r="T56" s="57">
        <f t="shared" ref="T56:X59" si="7">C147</f>
        <v>1.5014560413518887</v>
      </c>
      <c r="U56" s="57">
        <f t="shared" si="7"/>
        <v>5.0308456685764957</v>
      </c>
      <c r="V56" s="57">
        <f t="shared" si="7"/>
        <v>63.564563824140421</v>
      </c>
      <c r="W56" s="57">
        <f t="shared" si="7"/>
        <v>21.54757915175616</v>
      </c>
      <c r="X56" s="57">
        <f t="shared" si="7"/>
        <v>8.3555553141750423</v>
      </c>
      <c r="Y56" s="13"/>
      <c r="Z56" s="74"/>
      <c r="AA56" s="12"/>
      <c r="AC56" t="s">
        <v>145</v>
      </c>
      <c r="AD56" s="51"/>
      <c r="AE56" s="51"/>
      <c r="AH56">
        <v>1181</v>
      </c>
      <c r="AI56">
        <v>1192</v>
      </c>
    </row>
    <row r="57" spans="1:35" x14ac:dyDescent="0.3">
      <c r="A57" t="s">
        <v>5</v>
      </c>
      <c r="B57" s="13">
        <v>2</v>
      </c>
      <c r="C57" s="33">
        <f t="shared" si="6"/>
        <v>0</v>
      </c>
      <c r="D57" s="19">
        <f t="shared" si="6"/>
        <v>0.97909980182381007</v>
      </c>
      <c r="E57" s="34">
        <f t="shared" si="6"/>
        <v>61.726230488664228</v>
      </c>
      <c r="F57" s="19">
        <f t="shared" si="6"/>
        <v>0.31777800585509625</v>
      </c>
      <c r="G57" s="20">
        <f t="shared" si="6"/>
        <v>0.10306313703408526</v>
      </c>
      <c r="H57" s="17">
        <f>SUM(C57:G57)</f>
        <v>63.126171433377216</v>
      </c>
      <c r="I57" s="17">
        <f>E57/H57*100</f>
        <v>97.782312925170075</v>
      </c>
      <c r="J57" s="17">
        <f>SQRT(I57*(100-I57)/(L57-1))</f>
        <v>0.1717774541187507</v>
      </c>
      <c r="K57" s="18">
        <f>100-I57</f>
        <v>2.2176870748299251</v>
      </c>
      <c r="L57" s="1">
        <f>H46</f>
        <v>7350</v>
      </c>
      <c r="M57">
        <v>2</v>
      </c>
      <c r="N57" s="1">
        <v>124599.1</v>
      </c>
      <c r="O57" s="17">
        <f>N57/N60*100</f>
        <v>63.126171433377223</v>
      </c>
      <c r="P57" s="52">
        <f>((O57*O57*(I57/100)*(K57/100))/(L57-1))</f>
        <v>1.1758481075503088E-2</v>
      </c>
      <c r="S57" s="66" t="s">
        <v>39</v>
      </c>
      <c r="T57" s="67">
        <f t="shared" si="7"/>
        <v>0</v>
      </c>
      <c r="U57" s="67">
        <f t="shared" si="7"/>
        <v>0.11520251288829439</v>
      </c>
      <c r="V57" s="67">
        <f t="shared" si="7"/>
        <v>0.1689678187310257</v>
      </c>
      <c r="W57" s="67">
        <f t="shared" si="7"/>
        <v>0.18698459122459141</v>
      </c>
      <c r="X57" s="67">
        <f t="shared" si="7"/>
        <v>0.15225040362012957</v>
      </c>
      <c r="AC57" t="s">
        <v>146</v>
      </c>
      <c r="AD57" s="51"/>
      <c r="AE57" s="51"/>
      <c r="AH57">
        <v>1210</v>
      </c>
      <c r="AI57">
        <v>1221</v>
      </c>
    </row>
    <row r="58" spans="1:35" x14ac:dyDescent="0.3">
      <c r="A58" t="s">
        <v>6</v>
      </c>
      <c r="B58" s="13">
        <v>3</v>
      </c>
      <c r="C58" s="33">
        <f t="shared" si="6"/>
        <v>0</v>
      </c>
      <c r="D58" s="19">
        <f t="shared" si="6"/>
        <v>8.2030979566955042E-2</v>
      </c>
      <c r="E58" s="19">
        <f t="shared" si="6"/>
        <v>1.4355421424217134</v>
      </c>
      <c r="F58" s="34">
        <f t="shared" si="6"/>
        <v>19.178843022754091</v>
      </c>
      <c r="G58" s="20">
        <f t="shared" si="6"/>
        <v>0.94335626501998315</v>
      </c>
      <c r="H58" s="17">
        <f>SUM(C58:G58)</f>
        <v>21.639772409762742</v>
      </c>
      <c r="I58" s="17">
        <f>F58/H58*100</f>
        <v>88.627748294162245</v>
      </c>
      <c r="J58" s="17">
        <f>SQRT(I58*(100-I58)/(L58-1))</f>
        <v>0.61823419801566581</v>
      </c>
      <c r="K58" s="18">
        <f>100-I58</f>
        <v>11.372251705837755</v>
      </c>
      <c r="L58" s="1">
        <f>H47</f>
        <v>2638</v>
      </c>
      <c r="M58">
        <v>3</v>
      </c>
      <c r="N58" s="1">
        <v>42712.81</v>
      </c>
      <c r="O58" s="17">
        <f>N58/N60*100</f>
        <v>21.639772409762742</v>
      </c>
      <c r="P58" s="52">
        <f>((O58*O58*(I58/100)*(K58/100))/(L58-1))</f>
        <v>1.7898285325567451E-2</v>
      </c>
      <c r="S58" t="s">
        <v>30</v>
      </c>
      <c r="T58" s="57">
        <f t="shared" si="7"/>
        <v>100</v>
      </c>
      <c r="U58" s="57">
        <f t="shared" si="7"/>
        <v>79.906076405289653</v>
      </c>
      <c r="V58" s="57">
        <f t="shared" si="7"/>
        <v>96.981493033925958</v>
      </c>
      <c r="W58" s="57">
        <f t="shared" si="7"/>
        <v>89.787823706585897</v>
      </c>
      <c r="X58" s="57">
        <f t="shared" si="7"/>
        <v>86.586380658522728</v>
      </c>
      <c r="AC58" t="s">
        <v>147</v>
      </c>
      <c r="AD58" s="51"/>
      <c r="AE58" s="51"/>
      <c r="AH58">
        <v>1239</v>
      </c>
      <c r="AI58">
        <v>1250</v>
      </c>
    </row>
    <row r="59" spans="1:35" x14ac:dyDescent="0.3">
      <c r="A59" t="s">
        <v>7</v>
      </c>
      <c r="B59" s="13">
        <v>4</v>
      </c>
      <c r="C59" s="35">
        <f t="shared" si="6"/>
        <v>0</v>
      </c>
      <c r="D59" s="36">
        <f t="shared" si="6"/>
        <v>0</v>
      </c>
      <c r="E59" s="21">
        <f t="shared" si="6"/>
        <v>7.4889835389133588E-2</v>
      </c>
      <c r="F59" s="21">
        <f t="shared" si="6"/>
        <v>1.9003295729992644</v>
      </c>
      <c r="G59" s="37">
        <f t="shared" si="6"/>
        <v>7.292397721016882</v>
      </c>
      <c r="H59" s="17">
        <f>SUM(C59:G59)</f>
        <v>9.2676171294052807</v>
      </c>
      <c r="I59" s="17">
        <f>G59/H59*100</f>
        <v>78.686868686868678</v>
      </c>
      <c r="J59" s="17">
        <f>SQRT(I59*(100-I59)/(L59-1))</f>
        <v>1.3021967769299181</v>
      </c>
      <c r="K59" s="18">
        <f>100-I59</f>
        <v>21.313131313131322</v>
      </c>
      <c r="L59" s="1">
        <f>H48</f>
        <v>990</v>
      </c>
      <c r="M59">
        <v>4</v>
      </c>
      <c r="N59" s="1">
        <v>18292.52</v>
      </c>
      <c r="O59" s="17">
        <f>N59/N60*100</f>
        <v>9.2676171294052807</v>
      </c>
      <c r="P59" s="52">
        <f>((O59*O59*(I59/100)*(K59/100))/(L59-1))</f>
        <v>1.456429273229512E-2</v>
      </c>
      <c r="S59" s="66" t="s">
        <v>39</v>
      </c>
      <c r="T59" s="67">
        <f t="shared" si="7"/>
        <v>0</v>
      </c>
      <c r="U59" s="67">
        <f t="shared" si="7"/>
        <v>3.1183639443981201</v>
      </c>
      <c r="V59" s="67">
        <f t="shared" si="7"/>
        <v>0.20305366279696421</v>
      </c>
      <c r="W59" s="67">
        <f t="shared" si="7"/>
        <v>0.83663159532025144</v>
      </c>
      <c r="X59" s="67">
        <f t="shared" si="7"/>
        <v>2.149486226235255</v>
      </c>
      <c r="AC59" t="s">
        <v>148</v>
      </c>
      <c r="AD59" s="51"/>
      <c r="AE59" s="51"/>
      <c r="AH59">
        <v>1268</v>
      </c>
      <c r="AI59">
        <v>1279</v>
      </c>
    </row>
    <row r="60" spans="1:35" x14ac:dyDescent="0.3">
      <c r="B60" t="s">
        <v>28</v>
      </c>
      <c r="C60" s="17">
        <f>SUM(C55:C59)</f>
        <v>1.5222940601440715</v>
      </c>
      <c r="D60" s="17">
        <f>SUM(D55:D59)</f>
        <v>5.0826337201099498</v>
      </c>
      <c r="E60" s="17">
        <f>SUM(E55:E59)</f>
        <v>63.633689826667101</v>
      </c>
      <c r="F60" s="17">
        <f>SUM(F55:F59)</f>
        <v>21.396950601608452</v>
      </c>
      <c r="G60" s="17">
        <f>SUM(G55:G59)</f>
        <v>8.3644317914704356</v>
      </c>
      <c r="H60" s="1">
        <f>SUM(H54:H59)</f>
        <v>100</v>
      </c>
      <c r="I60" s="13" t="s">
        <v>24</v>
      </c>
      <c r="J60" s="12" t="s">
        <v>29</v>
      </c>
      <c r="N60" s="1">
        <f>SUM(N55:N59)</f>
        <v>197381.05</v>
      </c>
      <c r="O60" s="17">
        <f>SUM(O55:O59)</f>
        <v>100.00000000000001</v>
      </c>
      <c r="S60" s="15" t="s">
        <v>31</v>
      </c>
      <c r="T60" s="71">
        <f>I142</f>
        <v>100</v>
      </c>
      <c r="U60" s="71">
        <f>I143</f>
        <v>90.778097982708928</v>
      </c>
      <c r="V60" s="71">
        <f>I144</f>
        <v>97.72789115646259</v>
      </c>
      <c r="W60" s="71">
        <f>I145</f>
        <v>88.665655799848366</v>
      </c>
      <c r="X60" s="71">
        <f>I146</f>
        <v>78.888888888888886</v>
      </c>
      <c r="AC60" t="s">
        <v>149</v>
      </c>
      <c r="AD60" s="51"/>
      <c r="AE60" s="51"/>
      <c r="AH60">
        <v>1297</v>
      </c>
      <c r="AI60">
        <v>1308</v>
      </c>
    </row>
    <row r="61" spans="1:35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0</v>
      </c>
      <c r="D61" s="18">
        <f>SQRT(SUM((O55*O55*(D55/O55)*(1-D55/O55))/L55,(O56*O56*(D56/O56)*(1-D56/O56))/L56,(O57*O57*(D57/O57)*(1-D57/O57))/L57,(O58*O58*(D58/O58)*(1-D58/O58))/L58,(O59*O59*(D59/O59)*(1-D59/O59))/L59))</f>
        <v>0.1176739843108535</v>
      </c>
      <c r="E61" s="18">
        <f>SQRT(SUM((O55*O55*(E55/O55)*(1-E55/O55))/L55,(O56*O56*(E56/O56)*(1-E56/O56))/L56,(O57*O57*(E57/O57)*(1-E57/O57))/L57,(O58*O58*(E58/O58)*(1-E58/O58))/L58,(O59*O59*(E59/O59)*(1-E59/O59))/L59))</f>
        <v>0.16756364161880855</v>
      </c>
      <c r="F61" s="18">
        <f>SQRT(SUM((O55*O55*(F55/O55)*(1-F55/O55))/L55,(O56*O56*(F56/O56)*(1-F56/O56))/L56,(O57*O57*(F57/O57)*(1-F57/O57))/L57,(O58*O58*(F58/O58)*(1-F58/O58))/L58,(O59*O59*(F59/O59)*(1-F59/O59))/L59))</f>
        <v>0.18641008344629742</v>
      </c>
      <c r="G61" s="18">
        <f>SQRT(SUM((O55*O55*(G55/O55)*(1-G55/O55))/L55,(O56*O56*(G56/O56)*(1-G56/O56))/L56,(O57*O57*(G57/O57)*(1-G57/O57))/L57,(O58*O58*(G58/O58)*(1-G58/O58))/L58,(O59*O59*(G59/O59)*(1-G59/O59))/L59))</f>
        <v>0.15218595684307731</v>
      </c>
      <c r="H61" s="1"/>
      <c r="I61" s="14">
        <f>(C55+D56+E57+F58+G59)/H60</f>
        <v>0.93741268231298458</v>
      </c>
      <c r="J61" s="53">
        <f>SQRT(SUM(P55:P59))/100</f>
        <v>2.2166046145816864E-3</v>
      </c>
      <c r="M61" s="1"/>
      <c r="N61" s="9"/>
      <c r="S61" s="75" t="s">
        <v>39</v>
      </c>
      <c r="T61" s="76">
        <f>J142</f>
        <v>0</v>
      </c>
      <c r="U61" s="76">
        <f>J143</f>
        <v>1.5554739486567051</v>
      </c>
      <c r="V61" s="76">
        <f>J144</f>
        <v>0.17382398656141784</v>
      </c>
      <c r="W61" s="76">
        <f>J145</f>
        <v>0.61733492726890982</v>
      </c>
      <c r="X61" s="76">
        <f>J146</f>
        <v>1.2976731524080785</v>
      </c>
      <c r="AC61" t="s">
        <v>150</v>
      </c>
      <c r="AD61" s="51"/>
      <c r="AE61" s="51"/>
      <c r="AH61">
        <v>1326</v>
      </c>
      <c r="AI61">
        <v>1337</v>
      </c>
    </row>
    <row r="62" spans="1:35" x14ac:dyDescent="0.3">
      <c r="B62" s="1" t="s">
        <v>30</v>
      </c>
      <c r="C62" s="17">
        <f>C55/C60*100</f>
        <v>100</v>
      </c>
      <c r="D62" s="17">
        <f>D56/D60*100</f>
        <v>79.122422747240378</v>
      </c>
      <c r="E62" s="17">
        <f>E57/E60*100</f>
        <v>97.002437948830817</v>
      </c>
      <c r="F62" s="17">
        <f>F58/F60*100</f>
        <v>89.633534141600435</v>
      </c>
      <c r="G62" s="17">
        <f>G59/G60*100</f>
        <v>87.183420258782533</v>
      </c>
      <c r="H62" s="1"/>
      <c r="S62" s="66" t="s">
        <v>56</v>
      </c>
      <c r="T62" s="67">
        <f>N131*100</f>
        <v>100</v>
      </c>
      <c r="U62" s="67">
        <f>N132*100</f>
        <v>80.769230769230774</v>
      </c>
      <c r="V62" s="67">
        <f>N133*100</f>
        <v>97.416423679392423</v>
      </c>
      <c r="W62" s="67">
        <f>N134*100</f>
        <v>89.651207359141424</v>
      </c>
      <c r="X62" s="67">
        <f>N135*100</f>
        <v>81.994750656167966</v>
      </c>
      <c r="AC62" t="s">
        <v>151</v>
      </c>
      <c r="AD62" s="51"/>
      <c r="AE62" s="51"/>
      <c r="AH62">
        <v>1355</v>
      </c>
      <c r="AI62">
        <v>1366</v>
      </c>
    </row>
    <row r="63" spans="1:35" x14ac:dyDescent="0.3">
      <c r="B63" s="16" t="s">
        <v>39</v>
      </c>
      <c r="C63" s="18">
        <f>SQRT((C66+C67)/(C60*C60))</f>
        <v>0</v>
      </c>
      <c r="D63" s="18">
        <f>SQRT((D66+D67)/(D60*D60))</f>
        <v>3.233784547851974</v>
      </c>
      <c r="E63" s="18">
        <f>SQRT((E66+E67)/(E60*E60))</f>
        <v>0.20143737159293937</v>
      </c>
      <c r="F63" s="18">
        <f>SQRT((F66+F67)/(F60*F60))</f>
        <v>0.84628029472081923</v>
      </c>
      <c r="G63" s="18">
        <f>SQRT((G66+G67)/(G60*G60))</f>
        <v>2.0869630048166679</v>
      </c>
      <c r="H63" s="1"/>
      <c r="R63" s="16" t="s">
        <v>66</v>
      </c>
      <c r="S63" t="s">
        <v>9</v>
      </c>
      <c r="T63" s="30">
        <f>N142</f>
        <v>2963.59</v>
      </c>
      <c r="U63" s="30">
        <f>N143</f>
        <v>8740.68</v>
      </c>
      <c r="V63" s="30">
        <f>N144</f>
        <v>124506.18</v>
      </c>
      <c r="W63" s="30">
        <f>N145</f>
        <v>43069.120000000003</v>
      </c>
      <c r="X63" s="30">
        <f>N146</f>
        <v>18101.5</v>
      </c>
      <c r="Z63" t="s">
        <v>36</v>
      </c>
      <c r="AA63" s="1">
        <f>N147</f>
        <v>197381.06999999998</v>
      </c>
      <c r="AC63" t="s">
        <v>152</v>
      </c>
      <c r="AD63" s="51"/>
      <c r="AE63" s="51"/>
      <c r="AH63">
        <v>1384</v>
      </c>
      <c r="AI63">
        <v>1395</v>
      </c>
    </row>
    <row r="64" spans="1:35" ht="15.6" x14ac:dyDescent="0.35">
      <c r="B64" s="1" t="s">
        <v>37</v>
      </c>
      <c r="C64" s="18">
        <f>100-C62</f>
        <v>0</v>
      </c>
      <c r="D64" s="18">
        <f>100-D62</f>
        <v>20.877577252759622</v>
      </c>
      <c r="E64" s="18">
        <f>100-E62</f>
        <v>2.997562051169183</v>
      </c>
      <c r="F64" s="18">
        <f>100-F62</f>
        <v>10.366465858399565</v>
      </c>
      <c r="G64" s="18">
        <f>100-G62</f>
        <v>12.816579741217467</v>
      </c>
      <c r="R64" s="16" t="s">
        <v>323</v>
      </c>
      <c r="S64" t="s">
        <v>68</v>
      </c>
      <c r="T64" s="57">
        <f>$AA63*T56/100</f>
        <v>2963.59</v>
      </c>
      <c r="U64" s="57">
        <f>$AA63*U56/100</f>
        <v>9929.9370106849401</v>
      </c>
      <c r="V64" s="57">
        <f>$AA63*V56/100</f>
        <v>125464.41621692127</v>
      </c>
      <c r="W64" s="57">
        <f>$AA63*W56/100</f>
        <v>42530.842288833235</v>
      </c>
      <c r="X64" s="57">
        <f>$AA63*X56/100</f>
        <v>16492.284483560557</v>
      </c>
      <c r="Z64" t="s">
        <v>36</v>
      </c>
      <c r="AA64" s="25">
        <f>SUM(T64:X64)</f>
        <v>197381.07</v>
      </c>
      <c r="AC64" t="s">
        <v>153</v>
      </c>
      <c r="AD64" s="51"/>
      <c r="AE64" s="51"/>
      <c r="AH64">
        <v>1413</v>
      </c>
      <c r="AI64">
        <v>1424</v>
      </c>
    </row>
    <row r="65" spans="1:51" ht="15.6" x14ac:dyDescent="0.35">
      <c r="B65" s="1" t="s">
        <v>25</v>
      </c>
      <c r="C65" s="1">
        <f>C49</f>
        <v>259</v>
      </c>
      <c r="D65" s="1">
        <f>D49</f>
        <v>438</v>
      </c>
      <c r="E65" s="1">
        <f>E49</f>
        <v>7401</v>
      </c>
      <c r="F65" s="1">
        <f>F49</f>
        <v>2578</v>
      </c>
      <c r="G65" s="1">
        <f>G49</f>
        <v>908</v>
      </c>
      <c r="R65" s="66"/>
      <c r="S65" s="66" t="s">
        <v>67</v>
      </c>
      <c r="T65" s="67">
        <f>$AA63*T57/100</f>
        <v>0</v>
      </c>
      <c r="U65" s="67">
        <f>$AA63*U57/100</f>
        <v>227.38795260580332</v>
      </c>
      <c r="V65" s="67">
        <f>$AA63*V57/100</f>
        <v>333.51048856695888</v>
      </c>
      <c r="W65" s="67">
        <f>$AA63*W57/100</f>
        <v>369.07218689422456</v>
      </c>
      <c r="X65" s="67">
        <f>$AA63*X57/100</f>
        <v>300.51347574473044</v>
      </c>
      <c r="AA65" s="1"/>
      <c r="AC65" t="s">
        <v>154</v>
      </c>
      <c r="AD65" s="51"/>
      <c r="AE65" s="51"/>
      <c r="AH65">
        <v>1442</v>
      </c>
      <c r="AI65">
        <v>1453</v>
      </c>
    </row>
    <row r="66" spans="1:51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214.11405308016759</v>
      </c>
      <c r="E66" s="18">
        <f>(O57*O57*(100-E62)*(100-E62)*(I57)*(100-I57))/((L57-1)*100)</f>
        <v>10.565440011603002</v>
      </c>
      <c r="F66" s="18">
        <f>(O58*O58*(100-F62)*(100-F62)*(I58)*(100-I58))/((L58-1)*100)</f>
        <v>192.34144325291828</v>
      </c>
      <c r="G66" s="18">
        <f>(O59*O59*(100-G62)*(100-G62)*(I59)*(100-I59))/((L59-1)*100)</f>
        <v>239.23994132415271</v>
      </c>
      <c r="R66" t="s">
        <v>98</v>
      </c>
      <c r="S66" t="s">
        <v>28</v>
      </c>
      <c r="T66" s="57">
        <f>C176</f>
        <v>1.5092836161686436</v>
      </c>
      <c r="U66" s="57">
        <f t="shared" ref="U66:X69" si="8">D176</f>
        <v>5.0902962323068675</v>
      </c>
      <c r="V66" s="57">
        <f t="shared" si="8"/>
        <v>63.710838395558348</v>
      </c>
      <c r="W66" s="57">
        <f t="shared" si="8"/>
        <v>21.341659972802486</v>
      </c>
      <c r="X66" s="57">
        <f t="shared" si="8"/>
        <v>8.347921783163649</v>
      </c>
      <c r="Y66" s="13"/>
      <c r="Z66" s="74"/>
      <c r="AA66" s="12"/>
      <c r="AC66" t="s">
        <v>163</v>
      </c>
      <c r="AD66" s="51"/>
      <c r="AE66" s="51"/>
      <c r="AH66" s="78"/>
    </row>
    <row r="67" spans="1:51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56.032723468573842</v>
      </c>
      <c r="E67" s="18">
        <f>E62*E62*(SUM((H55*E55*(1-E44/H44))/(H44-1),(H56*E56*(1-E45/H45))/(H45-1), (H58*E58*(1-E47/H47))/(H47-1),(H59*E59*(1-E48/H48))/(H48-1)))</f>
        <v>153.74089386591191</v>
      </c>
      <c r="F67" s="18">
        <f>F62*F62*(SUM((H55*F55*(1-F44/H44))/(H44-1),(H56*F56*(1-F45/H45))/(H45-1), (H57*F57*(1-F46/H46))/(H46-1),(H59*F59*(1-F48/H48))/(H48-1)))</f>
        <v>135.5516172003768</v>
      </c>
      <c r="G67" s="18">
        <f>G62*G62*(SUM((H55*G55*(1-G44/H44))/(H44-1),(H56*G56*(1-G45/H45))/(H45-1), (H57*G57*(1-G46/H46))/(H46-1),(H58*G58*(1-G47/H47))/(H47-1)))</f>
        <v>65.481061568136326</v>
      </c>
      <c r="S67" s="66" t="s">
        <v>39</v>
      </c>
      <c r="T67" s="67">
        <f>C177</f>
        <v>0</v>
      </c>
      <c r="U67" s="67">
        <f t="shared" si="8"/>
        <v>0.12064397243735055</v>
      </c>
      <c r="V67" s="67">
        <f t="shared" si="8"/>
        <v>0.17097564506251628</v>
      </c>
      <c r="W67" s="67">
        <f t="shared" si="8"/>
        <v>0.18740085892042044</v>
      </c>
      <c r="X67" s="67">
        <f t="shared" si="8"/>
        <v>0.15113746979751111</v>
      </c>
      <c r="AC67" t="s">
        <v>164</v>
      </c>
      <c r="AD67" s="51"/>
      <c r="AE67" s="51"/>
      <c r="AI67" s="78"/>
    </row>
    <row r="68" spans="1:51" x14ac:dyDescent="0.3">
      <c r="S68" t="s">
        <v>30</v>
      </c>
      <c r="T68" s="57">
        <f>C178</f>
        <v>100</v>
      </c>
      <c r="U68" s="57">
        <f t="shared" si="8"/>
        <v>77.954216939050838</v>
      </c>
      <c r="V68" s="57">
        <f t="shared" si="8"/>
        <v>96.864228971686828</v>
      </c>
      <c r="W68" s="57">
        <f t="shared" si="8"/>
        <v>89.888334915470537</v>
      </c>
      <c r="X68" s="57">
        <f t="shared" si="8"/>
        <v>86.822744256269786</v>
      </c>
      <c r="AC68" t="s">
        <v>165</v>
      </c>
      <c r="AD68" s="51"/>
      <c r="AE68" s="51"/>
      <c r="AH68" s="2"/>
      <c r="AI68" s="2"/>
    </row>
    <row r="69" spans="1:51" x14ac:dyDescent="0.3">
      <c r="S69" s="66" t="s">
        <v>39</v>
      </c>
      <c r="T69" s="67">
        <f>C179</f>
        <v>0</v>
      </c>
      <c r="U69" s="67">
        <f t="shared" si="8"/>
        <v>3.4344842565999412</v>
      </c>
      <c r="V69" s="67">
        <f t="shared" si="8"/>
        <v>0.20624205694275471</v>
      </c>
      <c r="W69" s="67">
        <f t="shared" si="8"/>
        <v>0.84352114653275734</v>
      </c>
      <c r="X69" s="67">
        <f t="shared" si="8"/>
        <v>2.1101630230883601</v>
      </c>
      <c r="AC69" t="s">
        <v>166</v>
      </c>
      <c r="AD69" s="51"/>
      <c r="AE69" s="51"/>
    </row>
    <row r="70" spans="1:51" x14ac:dyDescent="0.3">
      <c r="A70" s="361" t="s">
        <v>455</v>
      </c>
      <c r="B70" s="361"/>
      <c r="C70" s="361"/>
      <c r="D70" s="361"/>
      <c r="E70" s="361"/>
      <c r="F70" s="361"/>
      <c r="G70" s="361"/>
      <c r="H70" s="361"/>
      <c r="I70" s="361"/>
      <c r="J70" s="361"/>
      <c r="K70" s="361"/>
      <c r="L70" s="361" t="s">
        <v>61</v>
      </c>
      <c r="M70" s="361"/>
      <c r="N70" s="361"/>
      <c r="O70" s="361"/>
      <c r="P70" s="361"/>
      <c r="S70" s="15" t="s">
        <v>31</v>
      </c>
      <c r="T70" s="71">
        <f>I171</f>
        <v>100</v>
      </c>
      <c r="U70" s="71">
        <f>I172</f>
        <v>89.913544668587903</v>
      </c>
      <c r="V70" s="71">
        <f>I173</f>
        <v>97.714285714285722</v>
      </c>
      <c r="W70" s="71">
        <f>I174</f>
        <v>88.172858225928735</v>
      </c>
      <c r="X70" s="71">
        <f>I175</f>
        <v>79.090909090909093</v>
      </c>
      <c r="AC70" t="s">
        <v>167</v>
      </c>
      <c r="AD70" s="51"/>
      <c r="AE70" s="51"/>
      <c r="AH70" s="2"/>
      <c r="AI70" s="2"/>
    </row>
    <row r="71" spans="1:51" x14ac:dyDescent="0.3">
      <c r="A71" t="s">
        <v>320</v>
      </c>
      <c r="B71" t="s">
        <v>21</v>
      </c>
      <c r="I71" s="1" t="s">
        <v>58</v>
      </c>
      <c r="O71" s="143"/>
      <c r="P71" s="143"/>
      <c r="S71" s="75" t="s">
        <v>39</v>
      </c>
      <c r="T71" s="76">
        <f>J171</f>
        <v>0</v>
      </c>
      <c r="U71" s="76">
        <f>J172</f>
        <v>1.6189886159869951</v>
      </c>
      <c r="V71" s="76">
        <f>J173</f>
        <v>0.17433150462055627</v>
      </c>
      <c r="W71" s="76">
        <f>J174</f>
        <v>0.62885757420881649</v>
      </c>
      <c r="X71" s="76">
        <f>J175</f>
        <v>1.2931017914057528</v>
      </c>
      <c r="AC71" t="s">
        <v>168</v>
      </c>
      <c r="AD71" s="51"/>
      <c r="AE71" s="51"/>
    </row>
    <row r="72" spans="1:51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56</v>
      </c>
      <c r="O72" s="13"/>
      <c r="P72" s="13"/>
      <c r="S72" s="66" t="s">
        <v>56</v>
      </c>
      <c r="T72" s="67">
        <f>N160*100</f>
        <v>100</v>
      </c>
      <c r="U72" s="67">
        <f>N161*100</f>
        <v>78.987341772151893</v>
      </c>
      <c r="V72" s="67">
        <f>N162*100</f>
        <v>97.350050830227048</v>
      </c>
      <c r="W72" s="67">
        <f>N163*100</f>
        <v>89.461538461538453</v>
      </c>
      <c r="X72" s="67">
        <f>N164*100</f>
        <v>82.204724409448815</v>
      </c>
      <c r="AC72" t="s">
        <v>159</v>
      </c>
      <c r="AD72" s="51"/>
      <c r="AE72" s="51"/>
      <c r="AH72" s="2"/>
      <c r="AI72" s="2"/>
    </row>
    <row r="73" spans="1:51" x14ac:dyDescent="0.3">
      <c r="A73" t="s">
        <v>3</v>
      </c>
      <c r="B73" s="13">
        <v>0</v>
      </c>
      <c r="C73" s="26">
        <v>259</v>
      </c>
      <c r="D73" s="3">
        <v>0</v>
      </c>
      <c r="E73" s="3">
        <v>0</v>
      </c>
      <c r="F73" s="3">
        <v>0</v>
      </c>
      <c r="G73" s="4">
        <v>0</v>
      </c>
      <c r="H73" s="1">
        <f>SUM(C73:G73)</f>
        <v>259</v>
      </c>
      <c r="I73" s="10">
        <f>C73/H73</f>
        <v>1</v>
      </c>
      <c r="J73" s="11">
        <f>1-I73</f>
        <v>0</v>
      </c>
      <c r="K73">
        <f>H73-C78</f>
        <v>0</v>
      </c>
      <c r="N73" s="10">
        <f>2*(C79*I73)/(C79+I73)</f>
        <v>1</v>
      </c>
      <c r="O73" s="1"/>
      <c r="P73" s="1"/>
      <c r="R73" s="16" t="s">
        <v>66</v>
      </c>
      <c r="S73" t="s">
        <v>9</v>
      </c>
      <c r="T73" s="1">
        <f>N171</f>
        <v>2979.04</v>
      </c>
      <c r="U73" s="1">
        <f>N172</f>
        <v>8710.9</v>
      </c>
      <c r="V73" s="1">
        <f>N173</f>
        <v>124659.15</v>
      </c>
      <c r="W73" s="1">
        <f>N174</f>
        <v>42943.96</v>
      </c>
      <c r="X73" s="1">
        <f>N175</f>
        <v>18088.009999999998</v>
      </c>
      <c r="Z73" t="s">
        <v>36</v>
      </c>
      <c r="AA73" s="1">
        <f>N176</f>
        <v>197381.06</v>
      </c>
      <c r="AC73" t="s">
        <v>169</v>
      </c>
      <c r="AD73" s="51"/>
      <c r="AE73" s="51"/>
    </row>
    <row r="74" spans="1:51" ht="15.6" x14ac:dyDescent="0.35">
      <c r="A74" t="s">
        <v>4</v>
      </c>
      <c r="B74" s="13">
        <v>1</v>
      </c>
      <c r="C74" s="5">
        <v>0</v>
      </c>
      <c r="D74" s="27">
        <v>310</v>
      </c>
      <c r="E74" s="1">
        <v>35</v>
      </c>
      <c r="F74" s="1">
        <v>0</v>
      </c>
      <c r="G74" s="6">
        <v>2</v>
      </c>
      <c r="H74" s="1">
        <f>SUM(C74:G74)</f>
        <v>347</v>
      </c>
      <c r="I74" s="10">
        <f>D74/H74</f>
        <v>0.89337175792507206</v>
      </c>
      <c r="J74" s="11">
        <f>1-I74</f>
        <v>0.10662824207492794</v>
      </c>
      <c r="K74">
        <f>H74-D78</f>
        <v>-76</v>
      </c>
      <c r="N74" s="10">
        <f>2*(D79*I74)/(D79+I74)</f>
        <v>0.80519480519480513</v>
      </c>
      <c r="O74" s="1"/>
      <c r="P74" s="1"/>
      <c r="R74" s="16" t="s">
        <v>323</v>
      </c>
      <c r="S74" t="s">
        <v>68</v>
      </c>
      <c r="T74" s="57">
        <f>$AA73*T66/100</f>
        <v>2979.04</v>
      </c>
      <c r="U74" s="57">
        <f>$AA73*U66/100</f>
        <v>10047.280660467357</v>
      </c>
      <c r="V74" s="57">
        <f>$AA73*V66/100</f>
        <v>125753.12816004007</v>
      </c>
      <c r="W74" s="57">
        <f>$AA73*W66/100</f>
        <v>42124.39467591326</v>
      </c>
      <c r="X74" s="57">
        <f>$AA73*X66/100</f>
        <v>16477.216503579311</v>
      </c>
      <c r="Z74" t="s">
        <v>36</v>
      </c>
      <c r="AA74" s="25">
        <f>SUM(T74:X74)</f>
        <v>197381.06</v>
      </c>
      <c r="AC74" t="s">
        <v>170</v>
      </c>
      <c r="AD74" s="51"/>
      <c r="AE74" s="51"/>
      <c r="AH74" s="2"/>
      <c r="AI74" s="2"/>
    </row>
    <row r="75" spans="1:51" x14ac:dyDescent="0.3">
      <c r="A75" t="s">
        <v>5</v>
      </c>
      <c r="B75" s="13">
        <v>2</v>
      </c>
      <c r="C75" s="5">
        <v>0</v>
      </c>
      <c r="D75" s="1">
        <v>104</v>
      </c>
      <c r="E75" s="27">
        <v>7188</v>
      </c>
      <c r="F75" s="1">
        <v>46</v>
      </c>
      <c r="G75" s="6">
        <v>12</v>
      </c>
      <c r="H75" s="1">
        <f>SUM(C75:G75)</f>
        <v>7350</v>
      </c>
      <c r="I75" s="10">
        <f>E75/H75</f>
        <v>0.97795918367346935</v>
      </c>
      <c r="J75" s="11">
        <f>1-I75</f>
        <v>2.2040816326530654E-2</v>
      </c>
      <c r="K75">
        <f>H75-E78</f>
        <v>-54</v>
      </c>
      <c r="N75" s="10">
        <f>2*(E79*I75)/(E79+I75)</f>
        <v>0.97437982919886135</v>
      </c>
      <c r="O75" s="1"/>
      <c r="P75" s="1"/>
      <c r="R75" s="66"/>
      <c r="S75" s="66" t="s">
        <v>67</v>
      </c>
      <c r="T75" s="67">
        <f>$AA73*T67/100</f>
        <v>0</v>
      </c>
      <c r="U75" s="67">
        <f>$AA73*U67/100</f>
        <v>238.12835162295036</v>
      </c>
      <c r="V75" s="67">
        <f>$AA73*V67/100</f>
        <v>337.47354056623226</v>
      </c>
      <c r="W75" s="67">
        <f>$AA73*W67/100</f>
        <v>369.89380178623037</v>
      </c>
      <c r="X75" s="67">
        <f>$AA73*X67/100</f>
        <v>298.31673994350729</v>
      </c>
      <c r="AA75" s="1"/>
      <c r="AC75" t="s">
        <v>171</v>
      </c>
      <c r="AD75" s="51"/>
      <c r="AE75" s="51"/>
    </row>
    <row r="76" spans="1:51" x14ac:dyDescent="0.3">
      <c r="A76" t="s">
        <v>6</v>
      </c>
      <c r="B76" s="13">
        <v>3</v>
      </c>
      <c r="C76" s="5">
        <v>0</v>
      </c>
      <c r="D76" s="1">
        <v>9</v>
      </c>
      <c r="E76" s="1">
        <v>172</v>
      </c>
      <c r="F76" s="27">
        <v>2343</v>
      </c>
      <c r="G76" s="6">
        <v>114</v>
      </c>
      <c r="H76" s="1">
        <f>SUM(C76:G76)</f>
        <v>2638</v>
      </c>
      <c r="I76" s="10">
        <f>F76/H76</f>
        <v>0.88817285822592873</v>
      </c>
      <c r="J76" s="11">
        <f>1-I76</f>
        <v>0.11182714177407127</v>
      </c>
      <c r="K76">
        <f>H76-F78</f>
        <v>31</v>
      </c>
      <c r="N76" s="10">
        <f>2*(F79*I76)/(F79+I76)</f>
        <v>0.89342230695900848</v>
      </c>
      <c r="O76" s="1"/>
      <c r="P76" s="1"/>
      <c r="R76" t="s">
        <v>99</v>
      </c>
      <c r="S76" t="s">
        <v>28</v>
      </c>
      <c r="T76" s="57">
        <f>C205</f>
        <v>1.5171060485742656</v>
      </c>
      <c r="U76" s="57">
        <f t="shared" ref="U76:X79" si="9">D205</f>
        <v>4.7966249193836523</v>
      </c>
      <c r="V76" s="57">
        <f t="shared" si="9"/>
        <v>64.166963874926552</v>
      </c>
      <c r="W76" s="57">
        <f t="shared" si="9"/>
        <v>21.668405756665084</v>
      </c>
      <c r="X76" s="57">
        <f t="shared" si="9"/>
        <v>7.850899400450448</v>
      </c>
      <c r="AC76" t="s">
        <v>172</v>
      </c>
      <c r="AD76" s="51"/>
      <c r="AE76" s="51"/>
      <c r="AH76" s="78"/>
      <c r="AI76" s="78"/>
    </row>
    <row r="77" spans="1:51" x14ac:dyDescent="0.3">
      <c r="A77" t="s">
        <v>7</v>
      </c>
      <c r="B77" s="13">
        <v>4</v>
      </c>
      <c r="C77" s="7">
        <v>0</v>
      </c>
      <c r="D77" s="8">
        <v>0</v>
      </c>
      <c r="E77" s="8">
        <v>9</v>
      </c>
      <c r="F77" s="8">
        <v>218</v>
      </c>
      <c r="G77" s="28">
        <v>763</v>
      </c>
      <c r="H77" s="1">
        <f>SUM(C77:G77)</f>
        <v>990</v>
      </c>
      <c r="I77" s="10">
        <f>G77/H77</f>
        <v>0.77070707070707067</v>
      </c>
      <c r="J77" s="11">
        <f>1-I77</f>
        <v>0.22929292929292933</v>
      </c>
      <c r="K77">
        <f>H77-G78</f>
        <v>99</v>
      </c>
      <c r="N77" s="10">
        <f>2*(G79*I77)/(G79+I77)</f>
        <v>0.81127060074428492</v>
      </c>
      <c r="O77" s="1"/>
      <c r="P77" s="1"/>
      <c r="S77" s="66" t="s">
        <v>39</v>
      </c>
      <c r="T77" s="67">
        <f>C206</f>
        <v>0</v>
      </c>
      <c r="U77" s="67">
        <f t="shared" si="9"/>
        <v>0.11440720550832519</v>
      </c>
      <c r="V77" s="67">
        <f t="shared" si="9"/>
        <v>0.16816492576333908</v>
      </c>
      <c r="W77" s="67">
        <f t="shared" si="9"/>
        <v>0.18712817682009247</v>
      </c>
      <c r="X77" s="67">
        <f t="shared" si="9"/>
        <v>0.14694989930594946</v>
      </c>
      <c r="AC77" t="s">
        <v>173</v>
      </c>
      <c r="AD77" s="51"/>
      <c r="AE77" s="51"/>
    </row>
    <row r="78" spans="1:51" ht="15.6" x14ac:dyDescent="0.35">
      <c r="B78" s="1" t="s">
        <v>19</v>
      </c>
      <c r="C78" s="1">
        <f>SUM(C73:C77)</f>
        <v>259</v>
      </c>
      <c r="D78" s="1">
        <f>SUM(D73:D77)</f>
        <v>423</v>
      </c>
      <c r="E78" s="1">
        <f>SUM(E73:E77)</f>
        <v>7404</v>
      </c>
      <c r="F78" s="1">
        <f>SUM(F73:F77)</f>
        <v>2607</v>
      </c>
      <c r="G78" s="1">
        <f>SUM(G73:G77)</f>
        <v>891</v>
      </c>
      <c r="H78" s="1">
        <f>SUM(H72:H77)</f>
        <v>11584</v>
      </c>
      <c r="I78" s="13" t="s">
        <v>12</v>
      </c>
      <c r="N78" s="16"/>
      <c r="O78" s="1"/>
      <c r="P78" s="1"/>
      <c r="S78" s="70" t="s">
        <v>30</v>
      </c>
      <c r="T78" s="64">
        <f>C207</f>
        <v>100</v>
      </c>
      <c r="U78" s="64">
        <f t="shared" si="9"/>
        <v>80.446899983750228</v>
      </c>
      <c r="V78" s="64">
        <f t="shared" si="9"/>
        <v>96.841608394742821</v>
      </c>
      <c r="W78" s="64">
        <f t="shared" si="9"/>
        <v>89.490348044731306</v>
      </c>
      <c r="X78" s="64">
        <f t="shared" si="9"/>
        <v>87.396796060864034</v>
      </c>
      <c r="AC78" t="s">
        <v>174</v>
      </c>
      <c r="AD78" s="51"/>
      <c r="AE78" s="51"/>
      <c r="AH78" s="78"/>
      <c r="AI78" s="78"/>
    </row>
    <row r="79" spans="1:51" x14ac:dyDescent="0.3">
      <c r="A79" s="1" t="s">
        <v>321</v>
      </c>
      <c r="B79" s="1" t="s">
        <v>2</v>
      </c>
      <c r="C79" s="10">
        <f>C73/C78</f>
        <v>1</v>
      </c>
      <c r="D79" s="10">
        <f>D74/D78</f>
        <v>0.7328605200945626</v>
      </c>
      <c r="E79" s="10">
        <f>E75/E78</f>
        <v>0.97082658022690438</v>
      </c>
      <c r="F79" s="10">
        <f>F76/F78</f>
        <v>0.89873417721518989</v>
      </c>
      <c r="G79" s="10">
        <f>G77/G78</f>
        <v>0.856341189674523</v>
      </c>
      <c r="H79" s="10"/>
      <c r="I79" s="14">
        <f>(C73+D74+E75+F76+G77)/H78</f>
        <v>0.93775897790055252</v>
      </c>
      <c r="S79" s="66" t="s">
        <v>39</v>
      </c>
      <c r="T79" s="67">
        <f>C208</f>
        <v>0</v>
      </c>
      <c r="U79" s="67">
        <f t="shared" si="9"/>
        <v>3.2827855436638669</v>
      </c>
      <c r="V79" s="67">
        <f t="shared" si="9"/>
        <v>0.20500530701708133</v>
      </c>
      <c r="W79" s="67">
        <f t="shared" si="9"/>
        <v>0.84667769726243758</v>
      </c>
      <c r="X79" s="67">
        <f t="shared" si="9"/>
        <v>2.1207875622819223</v>
      </c>
      <c r="AC79" t="s">
        <v>175</v>
      </c>
      <c r="AD79" s="51"/>
      <c r="AE79" s="51"/>
    </row>
    <row r="80" spans="1:51" x14ac:dyDescent="0.3">
      <c r="B80" s="1" t="s">
        <v>14</v>
      </c>
      <c r="C80" s="11">
        <f>1-C79</f>
        <v>0</v>
      </c>
      <c r="D80" s="11">
        <f>1-D79</f>
        <v>0.2671394799054374</v>
      </c>
      <c r="E80" s="11">
        <f>1-E79</f>
        <v>2.9173419773095621E-2</v>
      </c>
      <c r="F80" s="11">
        <f>1-F79</f>
        <v>0.10126582278481011</v>
      </c>
      <c r="G80" s="11">
        <f>1-G79</f>
        <v>0.143658810325477</v>
      </c>
      <c r="S80" s="70" t="s">
        <v>31</v>
      </c>
      <c r="T80" s="64">
        <f>I200</f>
        <v>100</v>
      </c>
      <c r="U80" s="64">
        <f>I201</f>
        <v>89.33717579250721</v>
      </c>
      <c r="V80" s="64">
        <f>I202</f>
        <v>97.945578231292501</v>
      </c>
      <c r="W80" s="64">
        <f>I203</f>
        <v>88.551933282790003</v>
      </c>
      <c r="X80" s="64">
        <f>I204</f>
        <v>77.777777777777786</v>
      </c>
      <c r="AC80" t="s">
        <v>176</v>
      </c>
      <c r="AD80" s="51"/>
      <c r="AE80" s="51"/>
      <c r="AH80" s="78"/>
      <c r="AI80" s="78"/>
      <c r="AJ80" s="361" t="s">
        <v>456</v>
      </c>
      <c r="AK80" s="361"/>
      <c r="AL80" s="361"/>
      <c r="AM80" s="361"/>
      <c r="AN80" s="361"/>
      <c r="AO80" s="361"/>
      <c r="AP80" s="361"/>
      <c r="AQ80" s="361"/>
      <c r="AR80" s="361"/>
      <c r="AS80" s="361"/>
      <c r="AT80" s="361"/>
      <c r="AU80" s="361" t="s">
        <v>374</v>
      </c>
      <c r="AV80" s="361"/>
      <c r="AW80" s="361"/>
      <c r="AX80" s="361"/>
      <c r="AY80" s="361"/>
    </row>
    <row r="81" spans="1:51" x14ac:dyDescent="0.3">
      <c r="C81" s="2"/>
      <c r="S81" s="66" t="s">
        <v>39</v>
      </c>
      <c r="T81" s="67">
        <f>J200</f>
        <v>0</v>
      </c>
      <c r="U81" s="67">
        <f>J201</f>
        <v>1.6592590106316687</v>
      </c>
      <c r="V81" s="67">
        <f>J202</f>
        <v>0.16547145955728701</v>
      </c>
      <c r="W81" s="67">
        <f>J203</f>
        <v>0.6200261900591274</v>
      </c>
      <c r="X81" s="67">
        <f>J204</f>
        <v>1.3219753663705656</v>
      </c>
      <c r="AC81" t="s">
        <v>177</v>
      </c>
      <c r="AD81" s="51"/>
      <c r="AE81" s="51"/>
      <c r="AJ81" t="s">
        <v>320</v>
      </c>
      <c r="AK81" t="s">
        <v>21</v>
      </c>
      <c r="AR81" s="1" t="s">
        <v>58</v>
      </c>
    </row>
    <row r="82" spans="1:51" ht="15.6" x14ac:dyDescent="0.35">
      <c r="A82" t="s">
        <v>322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56</v>
      </c>
      <c r="T82" s="65">
        <f>N189*100</f>
        <v>100</v>
      </c>
      <c r="U82" s="65">
        <f>N190*100</f>
        <v>80.93994778067885</v>
      </c>
      <c r="V82" s="65">
        <f>N191*100</f>
        <v>97.448392554991528</v>
      </c>
      <c r="W82" s="65">
        <f>N192*100</f>
        <v>89.313706748231695</v>
      </c>
      <c r="X82" s="65">
        <f>N193*100</f>
        <v>82.002129925452607</v>
      </c>
      <c r="Z82" s="46"/>
      <c r="AA82" s="46"/>
      <c r="AC82" t="s">
        <v>178</v>
      </c>
      <c r="AD82" s="51"/>
      <c r="AE82" s="51"/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56</v>
      </c>
    </row>
    <row r="83" spans="1:51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66</v>
      </c>
      <c r="S83" t="s">
        <v>9</v>
      </c>
      <c r="T83" s="30">
        <f>N200</f>
        <v>2994.48</v>
      </c>
      <c r="U83" s="30">
        <f>N201</f>
        <v>8525.4699999999993</v>
      </c>
      <c r="V83" s="30">
        <f>N202</f>
        <v>125225.89</v>
      </c>
      <c r="W83" s="30">
        <f>N203</f>
        <v>43222.57</v>
      </c>
      <c r="X83" s="30">
        <f>N204</f>
        <v>17412.650000000001</v>
      </c>
      <c r="Z83" t="s">
        <v>36</v>
      </c>
      <c r="AA83" s="1">
        <f>N205</f>
        <v>197381.06</v>
      </c>
      <c r="AC83" t="s">
        <v>179</v>
      </c>
      <c r="AD83" s="51"/>
      <c r="AE83" s="51"/>
      <c r="AJ83" t="s">
        <v>3</v>
      </c>
      <c r="AK83" s="13">
        <v>0</v>
      </c>
      <c r="AL83" s="26">
        <v>259</v>
      </c>
      <c r="AM83" s="3">
        <v>0</v>
      </c>
      <c r="AN83" s="3">
        <v>0</v>
      </c>
      <c r="AO83" s="3">
        <v>0</v>
      </c>
      <c r="AP83" s="4">
        <v>0</v>
      </c>
      <c r="AQ83" s="1">
        <f>SUM(AL83:AP83)</f>
        <v>259</v>
      </c>
      <c r="AR83" s="10">
        <f>AL83/AQ83</f>
        <v>1</v>
      </c>
      <c r="AS83" s="11">
        <f>1-AR83</f>
        <v>0</v>
      </c>
      <c r="AT83">
        <f>AQ83-AL88</f>
        <v>0</v>
      </c>
      <c r="AW83" s="10">
        <f>2*(AL89*AR83)/(AL89+AR83)</f>
        <v>1</v>
      </c>
    </row>
    <row r="84" spans="1:51" ht="15.6" x14ac:dyDescent="0.35">
      <c r="A84" t="s">
        <v>3</v>
      </c>
      <c r="B84" s="13">
        <v>0</v>
      </c>
      <c r="C84" s="29">
        <f>(C73/$L84)*$O84</f>
        <v>1.5110314276845291</v>
      </c>
      <c r="D84" s="31">
        <f>(D73/$L84)*$O84</f>
        <v>0</v>
      </c>
      <c r="E84" s="31">
        <f>(E73/$L84)*$O84</f>
        <v>0</v>
      </c>
      <c r="F84" s="31">
        <f>(F73/$L84)*$O84</f>
        <v>0</v>
      </c>
      <c r="G84" s="32">
        <f>(G73/$L84)*$O84</f>
        <v>0</v>
      </c>
      <c r="H84" s="17">
        <f>SUM(C84:G84)</f>
        <v>1.5110314276845291</v>
      </c>
      <c r="I84" s="17">
        <f>C84/H84*100</f>
        <v>100</v>
      </c>
      <c r="J84" s="17">
        <f>SQRT(I84*(100-I84)/(L84-1))</f>
        <v>0</v>
      </c>
      <c r="K84" s="18">
        <f>100-I84</f>
        <v>0</v>
      </c>
      <c r="L84" s="1">
        <f>H73</f>
        <v>259</v>
      </c>
      <c r="M84">
        <v>0</v>
      </c>
      <c r="N84" s="1">
        <v>2982.49</v>
      </c>
      <c r="O84" s="17">
        <f>N84/N89*100</f>
        <v>1.5110314276845291</v>
      </c>
      <c r="P84" s="52">
        <f>((O84*O84*(I84/100)*(K84/100))/(L84-1))</f>
        <v>0</v>
      </c>
      <c r="R84" s="16" t="s">
        <v>323</v>
      </c>
      <c r="S84" t="s">
        <v>68</v>
      </c>
      <c r="T84" s="57">
        <f>$AA83*T76/100</f>
        <v>2994.48</v>
      </c>
      <c r="U84" s="57">
        <f>$AA83*U76/100</f>
        <v>9467.6291101035986</v>
      </c>
      <c r="V84" s="57">
        <f>$AA83*V76/100</f>
        <v>126653.43346614709</v>
      </c>
      <c r="W84" s="57">
        <f>$AA83*W76/100</f>
        <v>42769.328967606561</v>
      </c>
      <c r="X84" s="57">
        <f>$AA83*X76/100</f>
        <v>15496.188456142738</v>
      </c>
      <c r="Z84" t="s">
        <v>36</v>
      </c>
      <c r="AA84" s="25">
        <f>SUM(T84:X84)</f>
        <v>197381.05999999997</v>
      </c>
      <c r="AC84" t="s">
        <v>180</v>
      </c>
      <c r="AD84" s="51"/>
      <c r="AE84" s="51"/>
      <c r="AH84" s="78"/>
      <c r="AI84" s="78"/>
      <c r="AJ84" t="s">
        <v>4</v>
      </c>
      <c r="AK84" s="13">
        <v>1</v>
      </c>
      <c r="AL84" s="5">
        <v>0</v>
      </c>
      <c r="AM84" s="27">
        <v>301</v>
      </c>
      <c r="AN84" s="1">
        <v>44</v>
      </c>
      <c r="AO84" s="1">
        <v>0</v>
      </c>
      <c r="AP84" s="6">
        <v>2</v>
      </c>
      <c r="AQ84" s="1">
        <f>SUM(AL84:AP84)</f>
        <v>347</v>
      </c>
      <c r="AR84" s="10">
        <f>AM84/AQ84</f>
        <v>0.86743515850144093</v>
      </c>
      <c r="AS84" s="11">
        <f>1-AR84</f>
        <v>0.13256484149855907</v>
      </c>
      <c r="AT84">
        <f>AQ84-AM88</f>
        <v>-92</v>
      </c>
      <c r="AW84" s="10">
        <f>2*(AM89*AR84)/(AM89+AR84)</f>
        <v>0.76590330788804073</v>
      </c>
    </row>
    <row r="85" spans="1:51" x14ac:dyDescent="0.3">
      <c r="A85" t="s">
        <v>4</v>
      </c>
      <c r="B85" s="13">
        <v>1</v>
      </c>
      <c r="C85" s="33">
        <f t="shared" ref="C85:G88" si="10">(C74/$L85)*$O85</f>
        <v>0</v>
      </c>
      <c r="D85" s="34">
        <f t="shared" si="10"/>
        <v>3.9454021326588999</v>
      </c>
      <c r="E85" s="19">
        <f t="shared" si="10"/>
        <v>0.44544862788084361</v>
      </c>
      <c r="F85" s="18">
        <f t="shared" si="10"/>
        <v>0</v>
      </c>
      <c r="G85" s="20">
        <f t="shared" si="10"/>
        <v>2.5454207307476773E-2</v>
      </c>
      <c r="H85" s="17">
        <f>SUM(C85:G85)</f>
        <v>4.4163049678472204</v>
      </c>
      <c r="I85" s="17">
        <f>D85/H85*100</f>
        <v>89.33717579250721</v>
      </c>
      <c r="J85" s="17">
        <f>SQRT(I85*(100-I85)/(L85-1))</f>
        <v>1.6592590106316687</v>
      </c>
      <c r="K85" s="18">
        <f>100-I85</f>
        <v>10.66282420749279</v>
      </c>
      <c r="L85" s="1">
        <f>H74</f>
        <v>347</v>
      </c>
      <c r="M85">
        <v>1</v>
      </c>
      <c r="N85" s="1">
        <v>8716.9500000000007</v>
      </c>
      <c r="O85" s="17">
        <f>N85/N89*100</f>
        <v>4.4163049678472204</v>
      </c>
      <c r="P85" s="52">
        <f>((O85*O85*(I85/100)*(K85/100))/(L85-1))</f>
        <v>5.3696562145292498E-3</v>
      </c>
      <c r="R85" s="66"/>
      <c r="S85" s="66" t="s">
        <v>67</v>
      </c>
      <c r="T85" s="67">
        <f>$AA83*T77/100</f>
        <v>0</v>
      </c>
      <c r="U85" s="67">
        <f>$AA83*U77/100</f>
        <v>225.81815494871066</v>
      </c>
      <c r="V85" s="67">
        <f>$AA83*V77/100</f>
        <v>331.92571301989176</v>
      </c>
      <c r="W85" s="67">
        <f>$AA83*W77/100</f>
        <v>369.35557896617286</v>
      </c>
      <c r="X85" s="67">
        <f>$AA83*X77/100</f>
        <v>290.05126891901568</v>
      </c>
      <c r="AA85" s="1"/>
      <c r="AC85" t="s">
        <v>181</v>
      </c>
      <c r="AD85" s="51"/>
      <c r="AE85" s="51"/>
      <c r="AJ85" t="s">
        <v>5</v>
      </c>
      <c r="AK85" s="13">
        <v>2</v>
      </c>
      <c r="AL85" s="5">
        <v>0</v>
      </c>
      <c r="AM85" s="1">
        <v>131</v>
      </c>
      <c r="AN85" s="27">
        <v>7126</v>
      </c>
      <c r="AO85" s="1">
        <v>64</v>
      </c>
      <c r="AP85" s="6">
        <v>29</v>
      </c>
      <c r="AQ85" s="1">
        <f>SUM(AL85:AP85)</f>
        <v>7350</v>
      </c>
      <c r="AR85" s="10">
        <f>AN85/AQ85</f>
        <v>0.96952380952380957</v>
      </c>
      <c r="AS85" s="11">
        <f>1-AR85</f>
        <v>3.0476190476190435E-2</v>
      </c>
      <c r="AT85">
        <f>AQ85-AN88</f>
        <v>-21</v>
      </c>
      <c r="AW85" s="10">
        <f>2*(AN89*AR85)/(AN89+AR85)</f>
        <v>0.96814075130765576</v>
      </c>
    </row>
    <row r="86" spans="1:51" x14ac:dyDescent="0.3">
      <c r="A86" t="s">
        <v>5</v>
      </c>
      <c r="B86" s="13">
        <v>2</v>
      </c>
      <c r="C86" s="33">
        <f t="shared" si="10"/>
        <v>0</v>
      </c>
      <c r="D86" s="19">
        <f t="shared" si="10"/>
        <v>0.89066098915979663</v>
      </c>
      <c r="E86" s="34">
        <f t="shared" si="10"/>
        <v>61.558376827698247</v>
      </c>
      <c r="F86" s="19">
        <f t="shared" si="10"/>
        <v>0.39394620674375619</v>
      </c>
      <c r="G86" s="20">
        <f t="shared" si="10"/>
        <v>0.10276857567228423</v>
      </c>
      <c r="H86" s="17">
        <f>SUM(C86:G86)</f>
        <v>62.945752599274087</v>
      </c>
      <c r="I86" s="17">
        <f>E86/H86*100</f>
        <v>97.795918367346928</v>
      </c>
      <c r="J86" s="17">
        <f>SQRT(I86*(100-I86)/(L86-1))</f>
        <v>0.17126163219586168</v>
      </c>
      <c r="K86" s="18">
        <f>100-I86</f>
        <v>2.2040816326530717</v>
      </c>
      <c r="L86" s="1">
        <f>H75</f>
        <v>7350</v>
      </c>
      <c r="M86">
        <v>2</v>
      </c>
      <c r="N86" s="1">
        <v>124243</v>
      </c>
      <c r="O86" s="17">
        <f>N86/N89*100</f>
        <v>62.945752599274087</v>
      </c>
      <c r="P86" s="52">
        <f>((O86*O86*(I86/100)*(K86/100))/(L86-1))</f>
        <v>1.1621254667068226E-2</v>
      </c>
      <c r="R86" t="s">
        <v>100</v>
      </c>
      <c r="S86" s="70" t="s">
        <v>28</v>
      </c>
      <c r="T86" s="64">
        <f>C234</f>
        <v>1.5163814848100685</v>
      </c>
      <c r="U86" s="64">
        <f t="shared" ref="U86:X89" si="11">D234</f>
        <v>5.0102147969755046</v>
      </c>
      <c r="V86" s="64">
        <f t="shared" si="11"/>
        <v>63.465627072991637</v>
      </c>
      <c r="W86" s="64">
        <f t="shared" si="11"/>
        <v>21.840505849359619</v>
      </c>
      <c r="X86" s="64">
        <f t="shared" si="11"/>
        <v>8.1672707958631872</v>
      </c>
      <c r="AA86" s="12"/>
      <c r="AC86" t="s">
        <v>182</v>
      </c>
      <c r="AD86" s="51"/>
      <c r="AE86" s="51"/>
      <c r="AH86" s="78"/>
      <c r="AI86" s="78"/>
      <c r="AJ86" t="s">
        <v>6</v>
      </c>
      <c r="AK86" s="13">
        <v>3</v>
      </c>
      <c r="AL86" s="5">
        <v>0</v>
      </c>
      <c r="AM86" s="1">
        <v>4</v>
      </c>
      <c r="AN86" s="1">
        <v>181</v>
      </c>
      <c r="AO86" s="27">
        <v>2324</v>
      </c>
      <c r="AP86" s="6">
        <v>129</v>
      </c>
      <c r="AQ86" s="1">
        <f>SUM(AL86:AP86)</f>
        <v>2638</v>
      </c>
      <c r="AR86" s="10">
        <f>AO86/AQ86</f>
        <v>0.88097043214556481</v>
      </c>
      <c r="AS86" s="11">
        <f>1-AR86</f>
        <v>0.11902956785443519</v>
      </c>
      <c r="AT86">
        <f>AQ86-AO88</f>
        <v>38</v>
      </c>
      <c r="AW86" s="10">
        <f>2*(AO89*AR86)/(AO89+AR86)</f>
        <v>0.88736158839251611</v>
      </c>
    </row>
    <row r="87" spans="1:51" x14ac:dyDescent="0.3">
      <c r="A87" t="s">
        <v>6</v>
      </c>
      <c r="B87" s="13">
        <v>3</v>
      </c>
      <c r="C87" s="33">
        <f t="shared" si="10"/>
        <v>0</v>
      </c>
      <c r="D87" s="19">
        <f t="shared" si="10"/>
        <v>7.5326925594315489E-2</v>
      </c>
      <c r="E87" s="19">
        <f t="shared" si="10"/>
        <v>1.4395812446913627</v>
      </c>
      <c r="F87" s="34">
        <f t="shared" si="10"/>
        <v>19.610109629720132</v>
      </c>
      <c r="G87" s="20">
        <f t="shared" si="10"/>
        <v>0.95414105752799616</v>
      </c>
      <c r="H87" s="17">
        <f>SUM(C87:G87)</f>
        <v>22.079158857533805</v>
      </c>
      <c r="I87" s="17">
        <f>F87/H87*100</f>
        <v>88.817285822592879</v>
      </c>
      <c r="J87" s="17">
        <f>SQRT(I87*(100-I87)/(L87-1))</f>
        <v>0.61371578858380837</v>
      </c>
      <c r="K87" s="18">
        <f>100-I87</f>
        <v>11.182714177407121</v>
      </c>
      <c r="L87" s="1">
        <f>H76</f>
        <v>2638</v>
      </c>
      <c r="M87">
        <v>3</v>
      </c>
      <c r="N87" s="1">
        <v>43580.08</v>
      </c>
      <c r="O87" s="17">
        <f>N87/N89*100</f>
        <v>22.079158857533805</v>
      </c>
      <c r="P87" s="52">
        <f>((O87*O87*(I87/100)*(K87/100))/(L87-1))</f>
        <v>1.8361139946379206E-2</v>
      </c>
      <c r="S87" s="66" t="s">
        <v>39</v>
      </c>
      <c r="T87" s="67">
        <f>C235</f>
        <v>0</v>
      </c>
      <c r="U87" s="67">
        <f t="shared" si="11"/>
        <v>0.11801493218914925</v>
      </c>
      <c r="V87" s="67">
        <f t="shared" si="11"/>
        <v>0.16875108397172411</v>
      </c>
      <c r="W87" s="67">
        <f t="shared" si="11"/>
        <v>0.1880822837236249</v>
      </c>
      <c r="X87" s="67">
        <f t="shared" si="11"/>
        <v>0.15135127275316668</v>
      </c>
      <c r="AC87" t="s">
        <v>183</v>
      </c>
      <c r="AD87" s="51"/>
      <c r="AE87" s="51"/>
      <c r="AJ87" t="s">
        <v>7</v>
      </c>
      <c r="AK87" s="13">
        <v>4</v>
      </c>
      <c r="AL87" s="7">
        <v>0</v>
      </c>
      <c r="AM87" s="8">
        <v>3</v>
      </c>
      <c r="AN87" s="8">
        <v>20</v>
      </c>
      <c r="AO87" s="8">
        <v>212</v>
      </c>
      <c r="AP87" s="28">
        <v>755</v>
      </c>
      <c r="AQ87" s="1">
        <f>SUM(AL87:AP87)</f>
        <v>990</v>
      </c>
      <c r="AR87" s="10">
        <f>AP87/AQ87</f>
        <v>0.76262626262626265</v>
      </c>
      <c r="AS87" s="11">
        <f>1-AR87</f>
        <v>0.23737373737373735</v>
      </c>
      <c r="AT87">
        <f>AQ87-AP88</f>
        <v>75</v>
      </c>
      <c r="AW87" s="10">
        <f>2*(AP89*AR87)/(AP89+AR87)</f>
        <v>0.79265091863517056</v>
      </c>
    </row>
    <row r="88" spans="1:51" ht="15.6" x14ac:dyDescent="0.35">
      <c r="A88" t="s">
        <v>7</v>
      </c>
      <c r="B88" s="13">
        <v>4</v>
      </c>
      <c r="C88" s="35">
        <f t="shared" si="10"/>
        <v>0</v>
      </c>
      <c r="D88" s="36">
        <f t="shared" si="10"/>
        <v>0</v>
      </c>
      <c r="E88" s="21">
        <f t="shared" si="10"/>
        <v>8.2252292251457804E-2</v>
      </c>
      <c r="F88" s="21">
        <f t="shared" si="10"/>
        <v>1.9923333012019782</v>
      </c>
      <c r="G88" s="37">
        <f t="shared" si="10"/>
        <v>6.973166554206923</v>
      </c>
      <c r="H88" s="17">
        <f>SUM(C88:G88)</f>
        <v>9.0477521476603595</v>
      </c>
      <c r="I88" s="17">
        <f>G88/H88*100</f>
        <v>77.070707070707073</v>
      </c>
      <c r="J88" s="17">
        <f>SQRT(I88*(100-I88)/(L88-1))</f>
        <v>1.3367243434478164</v>
      </c>
      <c r="K88" s="18">
        <f>100-I88</f>
        <v>22.929292929292927</v>
      </c>
      <c r="L88" s="1">
        <f>H77</f>
        <v>990</v>
      </c>
      <c r="M88">
        <v>4</v>
      </c>
      <c r="N88" s="1">
        <v>17858.55</v>
      </c>
      <c r="O88" s="17">
        <f>N88/N89*100</f>
        <v>9.0477521476603595</v>
      </c>
      <c r="P88" s="52">
        <f>((O88*O88*(I88/100)*(K88/100))/(L88-1))</f>
        <v>1.4627331520838239E-2</v>
      </c>
      <c r="S88" t="s">
        <v>30</v>
      </c>
      <c r="T88" s="57">
        <f>C236</f>
        <v>100</v>
      </c>
      <c r="U88" s="57">
        <f t="shared" si="11"/>
        <v>79.548136891166465</v>
      </c>
      <c r="V88" s="57">
        <f t="shared" si="11"/>
        <v>96.942705565305332</v>
      </c>
      <c r="W88" s="57">
        <f t="shared" si="11"/>
        <v>89.559807437171258</v>
      </c>
      <c r="X88" s="57">
        <f t="shared" si="11"/>
        <v>87.097973368788686</v>
      </c>
      <c r="AC88" t="s">
        <v>184</v>
      </c>
      <c r="AD88" s="51"/>
      <c r="AE88" s="51"/>
      <c r="AH88" s="78"/>
      <c r="AI88" s="78"/>
      <c r="AK88" s="1" t="s">
        <v>19</v>
      </c>
      <c r="AL88" s="1">
        <f>SUM(AL83:AL87)</f>
        <v>259</v>
      </c>
      <c r="AM88" s="1">
        <f>SUM(AM83:AM87)</f>
        <v>439</v>
      </c>
      <c r="AN88" s="1">
        <f>SUM(AN83:AN87)</f>
        <v>7371</v>
      </c>
      <c r="AO88" s="1">
        <f>SUM(AO83:AO87)</f>
        <v>2600</v>
      </c>
      <c r="AP88" s="1">
        <f>SUM(AP83:AP87)</f>
        <v>915</v>
      </c>
      <c r="AQ88" s="1">
        <f>SUM(AQ82:AQ87)</f>
        <v>11584</v>
      </c>
      <c r="AR88" s="13" t="s">
        <v>12</v>
      </c>
    </row>
    <row r="89" spans="1:51" x14ac:dyDescent="0.3">
      <c r="B89" t="s">
        <v>28</v>
      </c>
      <c r="C89" s="17">
        <f>SUM(C84:C88)</f>
        <v>1.5110314276845291</v>
      </c>
      <c r="D89" s="17">
        <f>SUM(D84:D88)</f>
        <v>4.9113900474130121</v>
      </c>
      <c r="E89" s="17">
        <f>SUM(E84:E88)</f>
        <v>63.525658992521912</v>
      </c>
      <c r="F89" s="17">
        <f>SUM(F84:F88)</f>
        <v>21.996389137665865</v>
      </c>
      <c r="G89" s="17">
        <f>SUM(G84:G88)</f>
        <v>8.0555303947146797</v>
      </c>
      <c r="H89" s="1">
        <f>SUM(H83:H88)</f>
        <v>100</v>
      </c>
      <c r="I89" s="13" t="s">
        <v>24</v>
      </c>
      <c r="J89" s="12" t="s">
        <v>29</v>
      </c>
      <c r="N89" s="1">
        <f>SUM(N84:N88)</f>
        <v>197381.07</v>
      </c>
      <c r="O89" s="17">
        <f>SUM(O84:O88)</f>
        <v>100</v>
      </c>
      <c r="S89" s="66" t="s">
        <v>39</v>
      </c>
      <c r="T89" s="67">
        <f>C237</f>
        <v>0</v>
      </c>
      <c r="U89" s="67">
        <f t="shared" si="11"/>
        <v>3.3212284015186224</v>
      </c>
      <c r="V89" s="67">
        <f t="shared" si="11"/>
        <v>0.20555872320336388</v>
      </c>
      <c r="W89" s="67">
        <f t="shared" si="11"/>
        <v>0.83990666628962529</v>
      </c>
      <c r="X89" s="67">
        <f t="shared" si="11"/>
        <v>2.1349863104507665</v>
      </c>
      <c r="AC89" t="s">
        <v>185</v>
      </c>
      <c r="AD89" s="51"/>
      <c r="AE89" s="51"/>
      <c r="AJ89" s="1" t="s">
        <v>321</v>
      </c>
      <c r="AK89" s="1" t="s">
        <v>2</v>
      </c>
      <c r="AL89" s="10">
        <f>AL83/AL88</f>
        <v>1</v>
      </c>
      <c r="AM89" s="10">
        <f>AM84/AM88</f>
        <v>0.68564920273348517</v>
      </c>
      <c r="AN89" s="10">
        <f>AN85/AN88</f>
        <v>0.96676163342830013</v>
      </c>
      <c r="AO89" s="10">
        <f>AO86/AO88</f>
        <v>0.89384615384615385</v>
      </c>
      <c r="AP89" s="10">
        <f>AP87/AP88</f>
        <v>0.82513661202185795</v>
      </c>
      <c r="AQ89" s="10"/>
      <c r="AR89" s="14">
        <f>(AL83+AM84+AN85+AO86+AP87)/AQ88</f>
        <v>0.92929903314917128</v>
      </c>
    </row>
    <row r="90" spans="1:51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0</v>
      </c>
      <c r="D90" s="18">
        <f>SQRT(SUM((O84*O84*(D84/O84)*(1-D84/O84))/L84,(O85*O85*(D85/O85)*(1-D85/O85))/L85,(O86*O86*(D86/O86)*(1-D86/O86))/L86,(O87*O87*(D87/O87)*(1-D87/O87))/L87,(O88*O88*(D88/O88)*(1-D88/O88))/L88))</f>
        <v>0.1161990791903553</v>
      </c>
      <c r="E90" s="18">
        <f>SQRT(SUM((O84*O84*(E84/O84)*(1-E84/O84))/L84,(O85*O85*(E85/O85)*(1-E85/O85))/L85,(O86*O86*(E86/O86)*(1-E86/O86))/L86,(O87*O87*(E87/O87)*(1-E87/O87))/L87,(O88*O88*(E88/O88)*(1-E88/O88))/L88))</f>
        <v>0.16948512614481834</v>
      </c>
      <c r="F90" s="18">
        <f>SQRT(SUM((O84*O84*(F84/O84)*(1-F84/O84))/L84,(O85*O85*(F85/O85)*(1-F85/O85))/L85,(O86*O86*(F86/O86)*(1-F86/O86))/L86,(O87*O87*(F87/O87)*(1-F87/O87))/L87,(O88*O88*(F88/O88)*(1-F88/O88))/L88))</f>
        <v>0.18948765760941763</v>
      </c>
      <c r="G90" s="18">
        <f>SQRT(SUM((O84*O84*(G84/O84)*(1-G84/O84))/L84,(O85*O85*(G85/O85)*(1-G85/O85))/L85,(O86*O86*(G86/O86)*(1-G86/O86))/L86,(O87*O87*(G87/O87)*(1-G87/O87))/L87,(O88*O88*(G88/O88)*(1-G88/O88))/L88))</f>
        <v>0.15314717130556421</v>
      </c>
      <c r="H90" s="1"/>
      <c r="I90" s="14">
        <f>(C84+D85+E86+F87+G88)/H89</f>
        <v>0.9359808657196873</v>
      </c>
      <c r="J90" s="53">
        <f>SQRT(SUM(P84:P88))/100</f>
        <v>2.2356069052678947E-3</v>
      </c>
      <c r="M90" s="1"/>
      <c r="N90" s="9"/>
      <c r="S90" t="s">
        <v>31</v>
      </c>
      <c r="T90" s="57">
        <f>I229</f>
        <v>100</v>
      </c>
      <c r="U90" s="57">
        <f>I230</f>
        <v>89.625360230547543</v>
      </c>
      <c r="V90" s="57">
        <f>I231</f>
        <v>97.80952380952381</v>
      </c>
      <c r="W90" s="57">
        <f>I232</f>
        <v>88.817285822592865</v>
      </c>
      <c r="X90" s="57">
        <f>I233</f>
        <v>78.080808080808083</v>
      </c>
      <c r="AC90" t="s">
        <v>186</v>
      </c>
      <c r="AD90" s="51"/>
      <c r="AE90" s="51"/>
      <c r="AH90" s="78"/>
      <c r="AI90" s="78"/>
      <c r="AK90" s="1" t="s">
        <v>14</v>
      </c>
      <c r="AL90" s="11">
        <f>1-AL89</f>
        <v>0</v>
      </c>
      <c r="AM90" s="11">
        <f>1-AM89</f>
        <v>0.31435079726651483</v>
      </c>
      <c r="AN90" s="11">
        <f>1-AN89</f>
        <v>3.3238366571699873E-2</v>
      </c>
      <c r="AO90" s="11">
        <f>1-AO89</f>
        <v>0.10615384615384615</v>
      </c>
      <c r="AP90" s="11">
        <f>1-AP89</f>
        <v>0.17486338797814205</v>
      </c>
    </row>
    <row r="91" spans="1:51" x14ac:dyDescent="0.3">
      <c r="B91" s="1" t="s">
        <v>30</v>
      </c>
      <c r="C91" s="17">
        <f>C84/C89*100</f>
        <v>100</v>
      </c>
      <c r="D91" s="17">
        <f>D85/D89*100</f>
        <v>80.331679923020388</v>
      </c>
      <c r="E91" s="17">
        <f>E86/E89*100</f>
        <v>96.903169213789269</v>
      </c>
      <c r="F91" s="17">
        <f>F87/F89*100</f>
        <v>89.151494397507506</v>
      </c>
      <c r="G91" s="17">
        <f>G88/G89*100</f>
        <v>86.563717254199574</v>
      </c>
      <c r="H91" s="1"/>
      <c r="S91" s="66" t="s">
        <v>39</v>
      </c>
      <c r="T91" s="67">
        <f>J229</f>
        <v>0</v>
      </c>
      <c r="U91" s="67">
        <f>J230</f>
        <v>1.6393206919977461</v>
      </c>
      <c r="V91" s="67">
        <f>J231</f>
        <v>0.17074410445127566</v>
      </c>
      <c r="W91" s="67">
        <f>J232</f>
        <v>0.61371578858380882</v>
      </c>
      <c r="X91" s="67">
        <f>J233</f>
        <v>1.3154861302486107</v>
      </c>
      <c r="AC91" t="s">
        <v>187</v>
      </c>
      <c r="AD91" s="51"/>
      <c r="AE91" s="51"/>
      <c r="AL91" s="2"/>
    </row>
    <row r="92" spans="1:51" ht="15.6" x14ac:dyDescent="0.35">
      <c r="B92" s="16" t="s">
        <v>39</v>
      </c>
      <c r="C92" s="18">
        <f>SQRT((C95+C96)/(C89*C89))</f>
        <v>0</v>
      </c>
      <c r="D92" s="18">
        <f>SQRT((D95+D96)/(D89*D89))</f>
        <v>3.2850439450151949</v>
      </c>
      <c r="E92" s="18">
        <f>SQRT((E95+E96)/(E89*E89))</f>
        <v>0.20642338319440259</v>
      </c>
      <c r="F92" s="18">
        <f>SQRT((F95+F96)/(F89*F89))</f>
        <v>0.85742405983819392</v>
      </c>
      <c r="G92" s="18">
        <f>SQRT((G95+G96)/(G89*G89))</f>
        <v>2.2562938031277486</v>
      </c>
      <c r="H92" s="1"/>
      <c r="S92" s="66" t="s">
        <v>56</v>
      </c>
      <c r="T92" s="67">
        <f>N218*100</f>
        <v>100</v>
      </c>
      <c r="U92" s="67">
        <f>N219*100</f>
        <v>79.948586118251924</v>
      </c>
      <c r="V92" s="67">
        <f>N220*100</f>
        <v>97.464750542299356</v>
      </c>
      <c r="W92" s="67">
        <f>N221*100</f>
        <v>89.564220183486228</v>
      </c>
      <c r="X92" s="67">
        <f>N222*100</f>
        <v>81.885593220338976</v>
      </c>
      <c r="AC92" t="s">
        <v>188</v>
      </c>
      <c r="AD92" s="51"/>
      <c r="AE92" s="51"/>
      <c r="AH92" s="78"/>
      <c r="AI92" s="78"/>
      <c r="AJ92" t="s">
        <v>322</v>
      </c>
      <c r="AK92" s="15" t="s">
        <v>23</v>
      </c>
      <c r="AW92" s="12" t="s">
        <v>17</v>
      </c>
      <c r="AX92" s="1" t="s">
        <v>27</v>
      </c>
      <c r="AY92" s="1" t="s">
        <v>33</v>
      </c>
    </row>
    <row r="93" spans="1:51" ht="15.6" x14ac:dyDescent="0.35">
      <c r="B93" s="1" t="s">
        <v>37</v>
      </c>
      <c r="C93" s="18">
        <f>100-C91</f>
        <v>0</v>
      </c>
      <c r="D93" s="18">
        <f>100-D91</f>
        <v>19.668320076979612</v>
      </c>
      <c r="E93" s="18">
        <f>100-E91</f>
        <v>3.0968307862107309</v>
      </c>
      <c r="F93" s="18">
        <f>100-F91</f>
        <v>10.848505602492494</v>
      </c>
      <c r="G93" s="18">
        <f>100-G91</f>
        <v>13.436282745800426</v>
      </c>
      <c r="R93" s="16" t="s">
        <v>66</v>
      </c>
      <c r="S93" t="s">
        <v>9</v>
      </c>
      <c r="T93" s="30">
        <f>N229</f>
        <v>2993.05</v>
      </c>
      <c r="U93" s="30">
        <f>N230</f>
        <v>8777.2999999999993</v>
      </c>
      <c r="V93" s="30">
        <f>N231</f>
        <v>124158.96</v>
      </c>
      <c r="W93" s="30">
        <f>N232</f>
        <v>43469.42</v>
      </c>
      <c r="X93" s="30">
        <f>N233</f>
        <v>17982.34</v>
      </c>
      <c r="Z93" t="s">
        <v>36</v>
      </c>
      <c r="AA93" s="1">
        <f>N234</f>
        <v>197381.06999999998</v>
      </c>
      <c r="AC93" t="s">
        <v>189</v>
      </c>
      <c r="AD93" s="51"/>
      <c r="AE93" s="51"/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</row>
    <row r="94" spans="1:51" ht="15.6" x14ac:dyDescent="0.35">
      <c r="B94" s="1" t="s">
        <v>25</v>
      </c>
      <c r="C94" s="1">
        <f>C78</f>
        <v>259</v>
      </c>
      <c r="D94" s="1">
        <f>D78</f>
        <v>423</v>
      </c>
      <c r="E94" s="1">
        <f>E78</f>
        <v>7404</v>
      </c>
      <c r="F94" s="1">
        <f>F78</f>
        <v>2607</v>
      </c>
      <c r="G94" s="1">
        <f>G78</f>
        <v>891</v>
      </c>
      <c r="R94" s="16" t="s">
        <v>323</v>
      </c>
      <c r="S94" t="s">
        <v>68</v>
      </c>
      <c r="T94" s="57">
        <f>$AA93*T86/100</f>
        <v>2993.0500000000006</v>
      </c>
      <c r="U94" s="57">
        <f>$AA93*U86/100</f>
        <v>9889.2155755685762</v>
      </c>
      <c r="V94" s="57">
        <f>$AA93*V86/100</f>
        <v>125269.13379888056</v>
      </c>
      <c r="W94" s="57">
        <f>$AA93*W86/100</f>
        <v>43109.024138878602</v>
      </c>
      <c r="X94" s="57">
        <f>$AA93*X86/100</f>
        <v>16120.646486672273</v>
      </c>
      <c r="Z94" t="s">
        <v>36</v>
      </c>
      <c r="AA94" s="25">
        <f>SUM(T94:X94)</f>
        <v>197381.07</v>
      </c>
      <c r="AC94" t="s">
        <v>190</v>
      </c>
      <c r="AD94" s="51"/>
      <c r="AE94" s="51"/>
      <c r="AH94" s="78"/>
      <c r="AI94" s="78"/>
      <c r="AJ94" t="s">
        <v>3</v>
      </c>
      <c r="AK94" s="13">
        <v>0</v>
      </c>
      <c r="AL94" s="29">
        <f>(AL83/$AU94)*$AX94</f>
        <v>1.5193251834459287</v>
      </c>
      <c r="AM94" s="31">
        <f t="shared" ref="AM94:AO95" si="12">(AM83/$AU94)*$AX94</f>
        <v>0</v>
      </c>
      <c r="AN94" s="31">
        <f t="shared" si="12"/>
        <v>0</v>
      </c>
      <c r="AO94" s="31">
        <f t="shared" si="12"/>
        <v>0</v>
      </c>
      <c r="AP94" s="32">
        <f>(AP83/$AU94)*$AX94</f>
        <v>0</v>
      </c>
      <c r="AQ94" s="17">
        <f>SUM(AL94:AP94)</f>
        <v>1.5193251834459287</v>
      </c>
      <c r="AR94" s="17">
        <f>AL94/AQ94*100</f>
        <v>100</v>
      </c>
      <c r="AS94" s="17">
        <f>SQRT(AR94*(100-AR94)/(AU94-1))</f>
        <v>0</v>
      </c>
      <c r="AT94" s="18">
        <f>100-AR94</f>
        <v>0</v>
      </c>
      <c r="AU94" s="1">
        <f>AQ83</f>
        <v>259</v>
      </c>
      <c r="AV94">
        <v>0</v>
      </c>
      <c r="AW94" s="1">
        <v>2998.86</v>
      </c>
      <c r="AX94" s="17">
        <f>AW94/AW99*100</f>
        <v>1.5193251834459287</v>
      </c>
      <c r="AY94" s="52">
        <f>((AX94*AX94*(AR94/100)*(AT94/100))/(AU94-1))</f>
        <v>0</v>
      </c>
    </row>
    <row r="95" spans="1:51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207.7212923734148</v>
      </c>
      <c r="E95" s="18">
        <f>(O86*O86*(100-E91)*(100-E91)*(I86)*(100-I86))/((L86-1)*100)</f>
        <v>11.145202658208703</v>
      </c>
      <c r="F95" s="18">
        <f>(O87*O87*(100-F91)*(100-F91)*(I87)*(100-I87))/((L87-1)*100)</f>
        <v>216.09239154757358</v>
      </c>
      <c r="G95" s="18">
        <f>(O88*O88*(100-G91)*(100-G91)*(I88)*(100-I88))/((L88-1)*100)</f>
        <v>264.0726193186627</v>
      </c>
      <c r="R95" s="66"/>
      <c r="S95" s="66" t="s">
        <v>67</v>
      </c>
      <c r="T95" s="67">
        <f>$AA93*T87/100</f>
        <v>0</v>
      </c>
      <c r="U95" s="67">
        <f>$AA93*U87/100</f>
        <v>232.93913591471718</v>
      </c>
      <c r="V95" s="67">
        <f>$AA93*V87/100</f>
        <v>333.08269517998747</v>
      </c>
      <c r="W95" s="67">
        <f>$AA93*W87/100</f>
        <v>371.23882409412658</v>
      </c>
      <c r="X95" s="67">
        <f>$AA93*X87/100</f>
        <v>298.73876161881884</v>
      </c>
      <c r="AA95" s="1"/>
      <c r="AC95" t="s">
        <v>191</v>
      </c>
      <c r="AD95" s="51"/>
      <c r="AE95" s="51"/>
      <c r="AJ95" t="s">
        <v>4</v>
      </c>
      <c r="AK95" s="13">
        <v>1</v>
      </c>
      <c r="AL95" s="33">
        <f t="shared" ref="AL95:AO98" si="13">(AL84/$AU95)*$AX95</f>
        <v>0</v>
      </c>
      <c r="AM95" s="34">
        <f>(AM84/$AU95)*$AX95</f>
        <v>3.7822397607643299</v>
      </c>
      <c r="AN95" s="19">
        <f t="shared" si="12"/>
        <v>0.55288554642402166</v>
      </c>
      <c r="AO95" s="18">
        <f t="shared" si="12"/>
        <v>0</v>
      </c>
      <c r="AP95" s="20">
        <f>(AP84/$AU95)*$AX95</f>
        <v>2.5131161201091892E-2</v>
      </c>
      <c r="AQ95" s="17">
        <f>SUM(AL95:AP95)</f>
        <v>4.3602564683894434</v>
      </c>
      <c r="AR95" s="17">
        <f>AM95/AQ95*100</f>
        <v>86.743515850144092</v>
      </c>
      <c r="AS95" s="17">
        <f>SQRT(AR95*(100-AR95)/(AU95-1))</f>
        <v>1.8230334586187336</v>
      </c>
      <c r="AT95" s="18">
        <f>100-AR95</f>
        <v>13.256484149855908</v>
      </c>
      <c r="AU95" s="1">
        <f>AQ84</f>
        <v>347</v>
      </c>
      <c r="AV95">
        <v>1</v>
      </c>
      <c r="AW95" s="1">
        <v>8606.32</v>
      </c>
      <c r="AX95" s="17">
        <f>AW95/AW99*100</f>
        <v>4.3602564683894434</v>
      </c>
      <c r="AY95" s="52">
        <f>((AX95*AX95*(AR95/100)*(AT95/100))/(AU95-1))</f>
        <v>6.3184906762017191E-3</v>
      </c>
    </row>
    <row r="96" spans="1:51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52.588927436308566</v>
      </c>
      <c r="E96" s="18">
        <f>E91*E91*(SUM((H84*E84*(1-E73/H73))/(H73-1),(H85*E85*(1-E74/H74))/(H74-1), (H87*E87*(1-E76/H76))/(H76-1),(H88*E88*(1-E77/H77))/(H77-1)))</f>
        <v>160.81032505331191</v>
      </c>
      <c r="F96" s="18">
        <f>F91*F91*(SUM((H84*F84*(1-F73/H73))/(H73-1),(H85*F85*(1-F74/H74))/(H74-1), (H86*F86*(1-F75/H75))/(H75-1),(H88*F88*(1-F77/H77))/(H77-1)))</f>
        <v>139.61600768504087</v>
      </c>
      <c r="G96" s="18">
        <f>G91*G91*(SUM((H84*G84*(1-G73/H73))/(H73-1),(H85*G85*(1-G74/H74))/(H74-1), (H86*G86*(1-G75/H75))/(H75-1),(H87*G87*(1-G76/H76))/(H76-1)))</f>
        <v>66.281390431931996</v>
      </c>
      <c r="R96" t="s">
        <v>101</v>
      </c>
      <c r="S96" t="s">
        <v>28</v>
      </c>
      <c r="T96" s="57">
        <f>C263</f>
        <v>1.5128654434794582</v>
      </c>
      <c r="U96" s="57">
        <f t="shared" ref="U96:X99" si="14">D263</f>
        <v>4.8367405504314043</v>
      </c>
      <c r="V96" s="57">
        <f t="shared" si="14"/>
        <v>64.007530653074852</v>
      </c>
      <c r="W96" s="57">
        <f t="shared" si="14"/>
        <v>21.294771048734837</v>
      </c>
      <c r="X96" s="57">
        <f t="shared" si="14"/>
        <v>8.3480923042794313</v>
      </c>
      <c r="Y96" s="13"/>
      <c r="Z96" s="74"/>
      <c r="AA96" s="12"/>
      <c r="AC96" t="s">
        <v>192</v>
      </c>
      <c r="AD96" s="51"/>
      <c r="AE96" s="51"/>
      <c r="AH96" s="78"/>
      <c r="AI96" s="78"/>
      <c r="AJ96" t="s">
        <v>5</v>
      </c>
      <c r="AK96" s="13">
        <v>2</v>
      </c>
      <c r="AL96" s="33">
        <f t="shared" si="13"/>
        <v>0</v>
      </c>
      <c r="AM96" s="19">
        <f t="shared" si="13"/>
        <v>1.1299683737705959</v>
      </c>
      <c r="AN96" s="34">
        <f t="shared" si="13"/>
        <v>61.46682924800966</v>
      </c>
      <c r="AO96" s="19">
        <f t="shared" si="13"/>
        <v>0.55204561771998573</v>
      </c>
      <c r="AP96" s="20">
        <f>(AP85/$AU96)*$AX96</f>
        <v>0.25014567052936854</v>
      </c>
      <c r="AQ96" s="17">
        <f>SUM(AL96:AP96)</f>
        <v>63.398988910029608</v>
      </c>
      <c r="AR96" s="17">
        <f>AN96/AQ96*100</f>
        <v>96.952380952380963</v>
      </c>
      <c r="AS96" s="17">
        <f>SQRT(AR96*(100-AR96)/(AU96-1))</f>
        <v>0.20051434844630719</v>
      </c>
      <c r="AT96" s="18">
        <f>100-AR96</f>
        <v>3.0476190476190368</v>
      </c>
      <c r="AU96" s="1">
        <f>AQ85</f>
        <v>7350</v>
      </c>
      <c r="AV96">
        <v>2</v>
      </c>
      <c r="AW96" s="1">
        <v>125137.59</v>
      </c>
      <c r="AX96" s="17">
        <f>AW96/AW99*100</f>
        <v>63.398988910029608</v>
      </c>
      <c r="AY96" s="52">
        <f>((AX96*AX96*(AR96/100)*(AT96/100))/(AU96-1))</f>
        <v>1.6160529055010465E-2</v>
      </c>
    </row>
    <row r="97" spans="1:51" x14ac:dyDescent="0.3">
      <c r="S97" s="66" t="s">
        <v>39</v>
      </c>
      <c r="T97" s="67">
        <f>C264</f>
        <v>0</v>
      </c>
      <c r="U97" s="67">
        <f t="shared" si="14"/>
        <v>0.11243571710280123</v>
      </c>
      <c r="V97" s="67">
        <f t="shared" si="14"/>
        <v>0.1641265507028831</v>
      </c>
      <c r="W97" s="67">
        <f t="shared" si="14"/>
        <v>0.18494759177366918</v>
      </c>
      <c r="X97" s="67">
        <f t="shared" si="14"/>
        <v>0.15239126580448578</v>
      </c>
      <c r="AC97" t="s">
        <v>193</v>
      </c>
      <c r="AD97" s="51"/>
      <c r="AE97" s="51"/>
      <c r="AJ97" t="s">
        <v>6</v>
      </c>
      <c r="AK97" s="13">
        <v>3</v>
      </c>
      <c r="AL97" s="33">
        <f t="shared" si="13"/>
        <v>0</v>
      </c>
      <c r="AM97" s="19">
        <f t="shared" si="13"/>
        <v>3.2826457745047485E-2</v>
      </c>
      <c r="AN97" s="19">
        <f t="shared" si="13"/>
        <v>1.4853972129633988</v>
      </c>
      <c r="AO97" s="34">
        <f t="shared" si="13"/>
        <v>19.07217194987259</v>
      </c>
      <c r="AP97" s="20">
        <f>(AP86/$AU97)*$AX97</f>
        <v>1.0586532622777813</v>
      </c>
      <c r="AQ97" s="17">
        <f>SUM(AL97:AP97)</f>
        <v>21.649048882858821</v>
      </c>
      <c r="AR97" s="17">
        <f>AO97/AQ97*100</f>
        <v>88.097043214556464</v>
      </c>
      <c r="AS97" s="17">
        <f>SQRT(AR97*(100-AR97)/(AU97-1))</f>
        <v>0.63059864001507127</v>
      </c>
      <c r="AT97" s="18">
        <f>100-AR97</f>
        <v>11.902956785443536</v>
      </c>
      <c r="AU97" s="1">
        <f>AQ86</f>
        <v>2638</v>
      </c>
      <c r="AV97">
        <v>3</v>
      </c>
      <c r="AW97" s="1">
        <v>42731.12</v>
      </c>
      <c r="AX97" s="17">
        <f>AW97/AW99*100</f>
        <v>21.649048882858818</v>
      </c>
      <c r="AY97" s="52">
        <f>((AX97*AX97*(AR97/100)*(AT97/100))/(AU97-1))</f>
        <v>1.8637330284252452E-2</v>
      </c>
    </row>
    <row r="98" spans="1:51" x14ac:dyDescent="0.3">
      <c r="S98" t="s">
        <v>30</v>
      </c>
      <c r="T98" s="57">
        <f>C265</f>
        <v>100</v>
      </c>
      <c r="U98" s="57">
        <f t="shared" si="14"/>
        <v>80.841138984895338</v>
      </c>
      <c r="V98" s="57">
        <f t="shared" si="14"/>
        <v>96.975704998622106</v>
      </c>
      <c r="W98" s="57">
        <f t="shared" si="14"/>
        <v>89.828955981392397</v>
      </c>
      <c r="X98" s="57">
        <f t="shared" si="14"/>
        <v>87.201323112768307</v>
      </c>
      <c r="AA98" s="54"/>
      <c r="AC98" t="s">
        <v>194</v>
      </c>
      <c r="AD98" s="51"/>
      <c r="AE98" s="51"/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13"/>
        <v>2.7492062288715764E-2</v>
      </c>
      <c r="AN98" s="21">
        <f t="shared" si="13"/>
        <v>0.18328041525810512</v>
      </c>
      <c r="AO98" s="21">
        <f t="shared" si="13"/>
        <v>1.942772401735914</v>
      </c>
      <c r="AP98" s="37">
        <f>(AP87/$AU98)*$AX98</f>
        <v>6.9188356759934679</v>
      </c>
      <c r="AQ98" s="17">
        <f>SUM(AL98:AP98)</f>
        <v>9.0723805552762027</v>
      </c>
      <c r="AR98" s="17">
        <f>AP98/AQ98*100</f>
        <v>76.26262626262627</v>
      </c>
      <c r="AS98" s="17">
        <f>SQRT(AR98*(100-AR98)/(AU98-1))</f>
        <v>1.3529260734990296</v>
      </c>
      <c r="AT98" s="18">
        <f>100-AR98</f>
        <v>23.73737373737373</v>
      </c>
      <c r="AU98" s="1">
        <f>AQ87</f>
        <v>990</v>
      </c>
      <c r="AV98">
        <v>4</v>
      </c>
      <c r="AW98" s="1">
        <v>17907.16</v>
      </c>
      <c r="AX98" s="17">
        <f>AW98/AW99*100</f>
        <v>9.0723805552762027</v>
      </c>
      <c r="AY98" s="52">
        <f>((AX98*AX98*(AR98/100)*(AT98/100))/(AU98-1))</f>
        <v>1.5065746350489816E-2</v>
      </c>
    </row>
    <row r="99" spans="1:51" x14ac:dyDescent="0.3">
      <c r="A99" s="361" t="s">
        <v>455</v>
      </c>
      <c r="B99" s="361"/>
      <c r="C99" s="361"/>
      <c r="D99" s="361"/>
      <c r="E99" s="361"/>
      <c r="F99" s="361"/>
      <c r="G99" s="361"/>
      <c r="H99" s="361"/>
      <c r="I99" s="361"/>
      <c r="J99" s="361"/>
      <c r="K99" s="361"/>
      <c r="L99" s="361" t="s">
        <v>62</v>
      </c>
      <c r="M99" s="361"/>
      <c r="N99" s="361"/>
      <c r="O99" s="361"/>
      <c r="P99" s="361"/>
      <c r="S99" s="66" t="s">
        <v>39</v>
      </c>
      <c r="T99" s="67">
        <f>C266</f>
        <v>0</v>
      </c>
      <c r="U99" s="67">
        <f t="shared" si="14"/>
        <v>3.1186695005346681</v>
      </c>
      <c r="V99" s="67">
        <f t="shared" si="14"/>
        <v>0.20042137254346792</v>
      </c>
      <c r="W99" s="67">
        <f t="shared" si="14"/>
        <v>0.83530533910954952</v>
      </c>
      <c r="X99" s="67">
        <f t="shared" si="14"/>
        <v>2.0942249326891909</v>
      </c>
      <c r="AC99" t="s">
        <v>195</v>
      </c>
      <c r="AD99" s="51"/>
      <c r="AE99" s="51"/>
      <c r="AK99" t="s">
        <v>28</v>
      </c>
      <c r="AL99" s="17">
        <f t="shared" ref="AL99:AQ99" si="15">SUM(AL94:AL98)</f>
        <v>1.5193251834459287</v>
      </c>
      <c r="AM99" s="17">
        <f t="shared" si="15"/>
        <v>4.9725266545686893</v>
      </c>
      <c r="AN99" s="17">
        <f t="shared" si="15"/>
        <v>63.688392422655184</v>
      </c>
      <c r="AO99" s="17">
        <f t="shared" si="15"/>
        <v>21.566989969328493</v>
      </c>
      <c r="AP99" s="17">
        <f t="shared" si="15"/>
        <v>8.2527657700017087</v>
      </c>
      <c r="AQ99" s="18">
        <f t="shared" si="15"/>
        <v>100</v>
      </c>
      <c r="AR99" s="13" t="s">
        <v>24</v>
      </c>
      <c r="AS99" s="12" t="s">
        <v>29</v>
      </c>
      <c r="AW99" s="1">
        <f>SUM(AW94:AW98)</f>
        <v>197381.05</v>
      </c>
      <c r="AX99" s="17">
        <f>SUM(AX94:AX98)</f>
        <v>100</v>
      </c>
    </row>
    <row r="100" spans="1:51" x14ac:dyDescent="0.3">
      <c r="A100" t="s">
        <v>320</v>
      </c>
      <c r="B100" t="s">
        <v>21</v>
      </c>
      <c r="I100" s="1" t="s">
        <v>58</v>
      </c>
      <c r="O100" s="143"/>
      <c r="P100" s="143"/>
      <c r="S100" t="s">
        <v>31</v>
      </c>
      <c r="T100" s="57">
        <f>I258</f>
        <v>100</v>
      </c>
      <c r="U100" s="57">
        <f>I259</f>
        <v>90.201729106628235</v>
      </c>
      <c r="V100" s="57">
        <f>I260</f>
        <v>98.040816326530617</v>
      </c>
      <c r="W100" s="57">
        <f>I261</f>
        <v>88.703563305534487</v>
      </c>
      <c r="X100" s="57">
        <f>I262</f>
        <v>78.484848484848484</v>
      </c>
      <c r="AC100" t="s">
        <v>196</v>
      </c>
      <c r="AD100" s="51"/>
      <c r="AE100" s="51"/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0</v>
      </c>
      <c r="AM100" s="18">
        <f>SQRT(SUM((AX94*AM94-AM94*AM94)/AU94,(AX95*AM95-AM95*AM95)/AU95,(AX96*AM96-AM96*AM96)/AU96,(AX97*AM97-AM97*AM97)/AU97,(AX98*AM98-AM98*AM98)/AU98))</f>
        <v>0.12803712829902408</v>
      </c>
      <c r="AN100" s="18">
        <f>SQRT(SUM((AX94*AN94-AN94*AN94)/AU94,(AX95*AN95-AN95*AN95)/AU95,(AX96*AN96-AN96*AN96)/AU96,(AX97*AN97-AN97*AN97)/AU97,(AX98*AN98-AN98*AN98)/AU98))</f>
        <v>0.18768077344361755</v>
      </c>
      <c r="AO100" s="18">
        <f>SQRT(SUM((AX94*AO94-AO94*AO94)/AU94,(AX95*AO95-AO95*AO95)/AU95,(AX96*AO96-AO96*AO96)/AU96,(AX97*AO97-AO97*AO97)/AU97,(AX98*AO98-AO98*AO98)/AU98))</f>
        <v>0.19324002231364945</v>
      </c>
      <c r="AP100" s="18">
        <f>SQRT(SUM((AX94*AP94-AP94*AP94)/AU94,(AX95*AP95-AP95*AP95)/AU95,(AX96*AP96-AP96*AP96)/AU96,(AX97*AP97-AP97*AP97)/AU97,(AX98*AP98-AP98*AP98)/AU98))</f>
        <v>0.16055148508307152</v>
      </c>
      <c r="AQ100" s="1"/>
      <c r="AR100" s="56">
        <f>(AL94+AM95+AN96+AO97+AP98)/AQ99</f>
        <v>0.92759401818085974</v>
      </c>
      <c r="AS100" s="53">
        <f>SQRT(SUM(AY94:AY98))/100</f>
        <v>2.3702762785370495E-3</v>
      </c>
      <c r="AV100" s="1"/>
      <c r="AW100" s="9"/>
    </row>
    <row r="101" spans="1:51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56</v>
      </c>
      <c r="O101" s="13"/>
      <c r="P101" s="13"/>
      <c r="S101" s="66" t="s">
        <v>39</v>
      </c>
      <c r="T101" s="67">
        <f>J258</f>
        <v>0</v>
      </c>
      <c r="U101" s="67">
        <f>J259</f>
        <v>1.5982477551409069</v>
      </c>
      <c r="V101" s="67">
        <f>J260</f>
        <v>0.16166905962127792</v>
      </c>
      <c r="W101" s="67">
        <f>J261</f>
        <v>0.61643346064050231</v>
      </c>
      <c r="X101" s="67">
        <f>J262</f>
        <v>1.306673160753907</v>
      </c>
      <c r="AC101" t="s">
        <v>197</v>
      </c>
      <c r="AD101" s="51"/>
      <c r="AE101" s="51"/>
      <c r="AK101" s="1" t="s">
        <v>30</v>
      </c>
      <c r="AL101" s="17">
        <f>AL94/AL99*100</f>
        <v>100</v>
      </c>
      <c r="AM101" s="17">
        <f>AM95/AM99*100</f>
        <v>76.062734772658473</v>
      </c>
      <c r="AN101" s="17">
        <f>AN96/AN99*100</f>
        <v>96.511824070071413</v>
      </c>
      <c r="AO101" s="17">
        <f>AO97/AO99*100</f>
        <v>88.432238235359179</v>
      </c>
      <c r="AP101" s="17">
        <f>AP98/AP99*100</f>
        <v>83.836569082609941</v>
      </c>
      <c r="AQ101" s="1"/>
    </row>
    <row r="102" spans="1:51" x14ac:dyDescent="0.3">
      <c r="A102" t="s">
        <v>3</v>
      </c>
      <c r="B102" s="13">
        <v>0</v>
      </c>
      <c r="C102" s="26">
        <v>259</v>
      </c>
      <c r="D102" s="3">
        <v>0</v>
      </c>
      <c r="E102" s="3">
        <v>0</v>
      </c>
      <c r="F102" s="3">
        <v>0</v>
      </c>
      <c r="G102" s="4">
        <v>0</v>
      </c>
      <c r="H102" s="1">
        <f>SUM(C102:G102)</f>
        <v>259</v>
      </c>
      <c r="I102" s="10">
        <f>C102/H102</f>
        <v>1</v>
      </c>
      <c r="J102" s="11">
        <f>1-I102</f>
        <v>0</v>
      </c>
      <c r="K102">
        <f>H102-C107</f>
        <v>0</v>
      </c>
      <c r="N102" s="10">
        <f>2*(C108*I102)/(C108+I102)</f>
        <v>1</v>
      </c>
      <c r="O102" s="1"/>
      <c r="P102" s="1"/>
      <c r="S102" s="66" t="s">
        <v>56</v>
      </c>
      <c r="T102" s="67">
        <f>N247*100</f>
        <v>100</v>
      </c>
      <c r="U102" s="67">
        <f>N248*100</f>
        <v>81.510416666666657</v>
      </c>
      <c r="V102" s="67">
        <f>N249*100</f>
        <v>97.549749560037895</v>
      </c>
      <c r="W102" s="67">
        <f>N250*100</f>
        <v>89.79278587874137</v>
      </c>
      <c r="X102" s="67">
        <f>N251*100</f>
        <v>81.962025316455694</v>
      </c>
      <c r="AC102" t="s">
        <v>198</v>
      </c>
      <c r="AD102" s="51"/>
      <c r="AE102" s="51"/>
      <c r="AH102" s="78"/>
      <c r="AI102" s="78"/>
      <c r="AK102" s="16" t="s">
        <v>39</v>
      </c>
      <c r="AL102" s="18">
        <f>SQRT((AL105+AL106)/(AL99*AL99))</f>
        <v>0</v>
      </c>
      <c r="AM102" s="18">
        <f>SQRT((AM105+AM106)/(AM99*AM99))</f>
        <v>4.1236297096434376</v>
      </c>
      <c r="AN102" s="18">
        <f>SQRT((AN105+AN106)/(AN99*AN99))</f>
        <v>0.22064334206217287</v>
      </c>
      <c r="AO102" s="18">
        <f>SQRT((AO105+AO106)/(AO99*AO99))</f>
        <v>0.92250358661704734</v>
      </c>
      <c r="AP102" s="18">
        <f>SQRT((AP105+AP106)/(AP99*AP99))</f>
        <v>2.6242039722281816</v>
      </c>
      <c r="AQ102" s="1"/>
    </row>
    <row r="103" spans="1:51" x14ac:dyDescent="0.3">
      <c r="A103" t="s">
        <v>4</v>
      </c>
      <c r="B103" s="13">
        <v>1</v>
      </c>
      <c r="C103" s="5">
        <v>0</v>
      </c>
      <c r="D103" s="27">
        <v>319</v>
      </c>
      <c r="E103" s="1">
        <v>25</v>
      </c>
      <c r="F103" s="1">
        <v>0</v>
      </c>
      <c r="G103" s="6">
        <v>3</v>
      </c>
      <c r="H103" s="1">
        <f>SUM(C103:G103)</f>
        <v>347</v>
      </c>
      <c r="I103" s="10">
        <f>D103/H103</f>
        <v>0.9193083573487032</v>
      </c>
      <c r="J103" s="11">
        <f>1-I103</f>
        <v>8.0691642651296802E-2</v>
      </c>
      <c r="K103">
        <f>H103-D107</f>
        <v>-87</v>
      </c>
      <c r="N103" s="10">
        <f>2*(D108*I103)/(D108+I103)</f>
        <v>0.81690140845070436</v>
      </c>
      <c r="O103" s="1"/>
      <c r="P103" s="1"/>
      <c r="R103" s="16" t="s">
        <v>66</v>
      </c>
      <c r="S103" t="s">
        <v>9</v>
      </c>
      <c r="T103" s="30">
        <f>N258</f>
        <v>2986.11</v>
      </c>
      <c r="U103" s="30">
        <f>N259</f>
        <v>8556.1</v>
      </c>
      <c r="V103" s="30">
        <f>N260</f>
        <v>124966.21</v>
      </c>
      <c r="W103" s="30">
        <f>N261</f>
        <v>42565.11</v>
      </c>
      <c r="X103" s="30">
        <f>N262</f>
        <v>18307.54</v>
      </c>
      <c r="Z103" t="s">
        <v>36</v>
      </c>
      <c r="AA103" s="1">
        <f>N263</f>
        <v>197381.07000000004</v>
      </c>
      <c r="AC103" t="s">
        <v>199</v>
      </c>
      <c r="AD103" s="51"/>
      <c r="AE103" s="51"/>
      <c r="AK103" s="1" t="s">
        <v>37</v>
      </c>
      <c r="AL103" s="18">
        <f>100-AL101</f>
        <v>0</v>
      </c>
      <c r="AM103" s="18">
        <f>100-AM101</f>
        <v>23.937265227341527</v>
      </c>
      <c r="AN103" s="18">
        <f>100-AN101</f>
        <v>3.4881759299285875</v>
      </c>
      <c r="AO103" s="18">
        <f>100-AO101</f>
        <v>11.567761764640821</v>
      </c>
      <c r="AP103" s="18">
        <f>100-AP101</f>
        <v>16.163430917390059</v>
      </c>
    </row>
    <row r="104" spans="1:51" ht="15.6" x14ac:dyDescent="0.35">
      <c r="A104" t="s">
        <v>5</v>
      </c>
      <c r="B104" s="13">
        <v>2</v>
      </c>
      <c r="C104" s="5">
        <v>0</v>
      </c>
      <c r="D104" s="1">
        <v>104</v>
      </c>
      <c r="E104" s="27">
        <v>7201</v>
      </c>
      <c r="F104" s="1">
        <v>37</v>
      </c>
      <c r="G104" s="6">
        <v>8</v>
      </c>
      <c r="H104" s="1">
        <f>SUM(C104:G104)</f>
        <v>7350</v>
      </c>
      <c r="I104" s="10">
        <f>E104/H104</f>
        <v>0.97972789115646264</v>
      </c>
      <c r="J104" s="11">
        <f>1-I104</f>
        <v>2.0272108843537362E-2</v>
      </c>
      <c r="K104">
        <f>H104-E107</f>
        <v>-53</v>
      </c>
      <c r="N104" s="10">
        <f>2*(E108*I104)/(E108+I104)</f>
        <v>0.9762082288348134</v>
      </c>
      <c r="O104" s="1"/>
      <c r="P104" s="1"/>
      <c r="R104" s="16" t="s">
        <v>323</v>
      </c>
      <c r="S104" t="s">
        <v>68</v>
      </c>
      <c r="T104" s="57">
        <f>$AA103*T96/100</f>
        <v>2986.1100000000006</v>
      </c>
      <c r="U104" s="57">
        <f>$AA103*U96/100</f>
        <v>9546.8102515653973</v>
      </c>
      <c r="V104" s="57">
        <f>$AA103*V96/100</f>
        <v>126338.74888361715</v>
      </c>
      <c r="W104" s="57">
        <f>$AA103*W96/100</f>
        <v>42031.846950043051</v>
      </c>
      <c r="X104" s="57">
        <f>$AA103*X96/100</f>
        <v>16477.553914774398</v>
      </c>
      <c r="Z104" t="s">
        <v>36</v>
      </c>
      <c r="AA104" s="25">
        <f>SUM(T104:X104)</f>
        <v>197381.07</v>
      </c>
      <c r="AC104" t="s">
        <v>200</v>
      </c>
      <c r="AD104" s="51"/>
      <c r="AE104" s="51"/>
      <c r="AH104" s="78"/>
      <c r="AI104" s="78"/>
      <c r="AK104" s="1" t="s">
        <v>25</v>
      </c>
      <c r="AL104" s="1">
        <f>AL88</f>
        <v>259</v>
      </c>
      <c r="AM104" s="1">
        <f>AM88</f>
        <v>439</v>
      </c>
      <c r="AN104" s="1">
        <f>AN88</f>
        <v>7371</v>
      </c>
      <c r="AO104" s="1">
        <f>AO88</f>
        <v>2600</v>
      </c>
      <c r="AP104" s="1">
        <f>AP88</f>
        <v>915</v>
      </c>
    </row>
    <row r="105" spans="1:51" x14ac:dyDescent="0.3">
      <c r="A105" t="s">
        <v>6</v>
      </c>
      <c r="B105" s="13">
        <v>3</v>
      </c>
      <c r="C105" s="5">
        <v>0</v>
      </c>
      <c r="D105" s="1">
        <v>10</v>
      </c>
      <c r="E105" s="1">
        <v>166</v>
      </c>
      <c r="F105" s="27">
        <v>2345</v>
      </c>
      <c r="G105" s="6">
        <v>117</v>
      </c>
      <c r="H105" s="1">
        <f>SUM(C105:G105)</f>
        <v>2638</v>
      </c>
      <c r="I105" s="10">
        <f>F105/H105</f>
        <v>0.88893100833965122</v>
      </c>
      <c r="J105" s="11">
        <f>1-I105</f>
        <v>0.11106899166034878</v>
      </c>
      <c r="K105">
        <f>H105-F107</f>
        <v>39</v>
      </c>
      <c r="N105" s="10">
        <f>2*(F108*I105)/(F108+I105)</f>
        <v>0.89555088791292725</v>
      </c>
      <c r="O105" s="1"/>
      <c r="P105" s="1"/>
      <c r="R105" s="66"/>
      <c r="S105" s="66" t="s">
        <v>67</v>
      </c>
      <c r="T105" s="67">
        <f>$AA103*T97/100</f>
        <v>0</v>
      </c>
      <c r="U105" s="67">
        <f>$AA103*U97/100</f>
        <v>221.9268214796821</v>
      </c>
      <c r="V105" s="67">
        <f>$AA103*V97/100</f>
        <v>323.95474193144327</v>
      </c>
      <c r="W105" s="67">
        <f>$AA103*W97/100</f>
        <v>365.05153558210026</v>
      </c>
      <c r="X105" s="67">
        <f>$AA103*X97/100</f>
        <v>300.79151103143818</v>
      </c>
      <c r="AA105" s="1"/>
      <c r="AC105" t="s">
        <v>201</v>
      </c>
      <c r="AD105" s="51"/>
      <c r="AE105" s="51"/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362.04488212171879</v>
      </c>
      <c r="AN105" s="18">
        <f>(AX96*AX96*(100-AN101)*(100-AN101)*(AR96)*(100-AR96))/((AU96-1)*100)</f>
        <v>19.663115770979203</v>
      </c>
      <c r="AO105" s="18">
        <f>(AX97*AX97*(100-AO101)*(100-AO101)*(AR97)*(100-AR97))/((AU97-1)*100)</f>
        <v>249.39191692455958</v>
      </c>
      <c r="AP105" s="18">
        <f>(AX98*AX98*(100-AP101)*(100-AP101)*(AR98)*(100-AR98))/((AU98-1)*100)</f>
        <v>393.60241466710062</v>
      </c>
    </row>
    <row r="106" spans="1:51" x14ac:dyDescent="0.3">
      <c r="A106" t="s">
        <v>7</v>
      </c>
      <c r="B106" s="13">
        <v>4</v>
      </c>
      <c r="C106" s="7">
        <v>0</v>
      </c>
      <c r="D106" s="8">
        <v>1</v>
      </c>
      <c r="E106" s="8">
        <v>11</v>
      </c>
      <c r="F106" s="8">
        <v>217</v>
      </c>
      <c r="G106" s="28">
        <v>761</v>
      </c>
      <c r="H106" s="1">
        <f>SUM(C106:G106)</f>
        <v>990</v>
      </c>
      <c r="I106" s="10">
        <f>G106/H106</f>
        <v>0.76868686868686864</v>
      </c>
      <c r="J106" s="11">
        <f>1-I106</f>
        <v>0.23131313131313136</v>
      </c>
      <c r="K106">
        <f>H106-G107</f>
        <v>101</v>
      </c>
      <c r="N106" s="10">
        <f>2*(G108*I106)/(G108+I106)</f>
        <v>0.81000532197977637</v>
      </c>
      <c r="O106" s="1"/>
      <c r="P106" s="1"/>
      <c r="R106" t="s">
        <v>102</v>
      </c>
      <c r="S106" t="s">
        <v>28</v>
      </c>
      <c r="T106" s="57">
        <f>C292</f>
        <v>1.5169337160853367</v>
      </c>
      <c r="U106" s="57">
        <f t="shared" ref="U106:X109" si="16">D292</f>
        <v>5.0363272308711151</v>
      </c>
      <c r="V106" s="57">
        <f t="shared" si="16"/>
        <v>63.559262380083076</v>
      </c>
      <c r="W106" s="57">
        <f t="shared" si="16"/>
        <v>21.649602137784594</v>
      </c>
      <c r="X106" s="57">
        <f t="shared" si="16"/>
        <v>8.2378745351758553</v>
      </c>
      <c r="Y106" s="60"/>
      <c r="Z106" s="74"/>
      <c r="AA106" s="12"/>
      <c r="AC106" t="s">
        <v>202</v>
      </c>
      <c r="AD106" s="51"/>
      <c r="AE106" s="51"/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58.404345920417036</v>
      </c>
      <c r="AN106" s="18">
        <f>AN101*AN101*(SUM((AQ94*AN94*(1-AN83/AQ83))/(AQ83-1),(AQ95*AN95*(1-AN84/AQ84))/(AQ84-1), (AQ97*AN97*(1-AN86/AQ86))/(AQ86-1),(AQ98*AN98*(1-AN87/AQ87))/(AQ87-1)))</f>
        <v>177.80738519135437</v>
      </c>
      <c r="AO106" s="18">
        <f>AO101*AO101*(SUM((AQ94*AO94*(1-AO83/AQ83))/(AQ83-1),(AQ95*AO95*(1-AO84/AQ84))/(AQ84-1), (AQ96*AO96*(1-AO85/AQ85))/(AQ85-1),(AQ98*AO98*(1-AO87/AQ87))/(AQ87-1)))</f>
        <v>146.44400106055133</v>
      </c>
      <c r="AP106" s="18">
        <f>AP101*AP101*(SUM((AQ94*AP94*(1-AP83/AQ83))/(AQ83-1),(AQ95*AP95*(1-AP84/AQ84))/(AQ84-1), (AQ96*AP96*(1-AP85/AQ85))/(AQ85-1),(AQ97*AP97*(1-AP86/AQ86))/(AQ86-1)))</f>
        <v>75.420666487895161</v>
      </c>
    </row>
    <row r="107" spans="1:51" ht="15.6" x14ac:dyDescent="0.35">
      <c r="B107" s="1" t="s">
        <v>19</v>
      </c>
      <c r="C107" s="1">
        <f>SUM(C102:C106)</f>
        <v>259</v>
      </c>
      <c r="D107" s="1">
        <f>SUM(D102:D106)</f>
        <v>434</v>
      </c>
      <c r="E107" s="1">
        <f>SUM(E102:E106)</f>
        <v>7403</v>
      </c>
      <c r="F107" s="1">
        <f>SUM(F102:F106)</f>
        <v>2599</v>
      </c>
      <c r="G107" s="1">
        <f>SUM(G102:G106)</f>
        <v>889</v>
      </c>
      <c r="H107" s="1">
        <f>SUM(H101:H106)</f>
        <v>11584</v>
      </c>
      <c r="I107" s="13" t="s">
        <v>12</v>
      </c>
      <c r="N107" s="16"/>
      <c r="O107" s="1"/>
      <c r="P107" s="1"/>
      <c r="S107" s="66" t="s">
        <v>39</v>
      </c>
      <c r="T107" s="67">
        <f>C293</f>
        <v>0</v>
      </c>
      <c r="U107" s="67">
        <f t="shared" si="16"/>
        <v>0.11483531806704737</v>
      </c>
      <c r="V107" s="67">
        <f t="shared" si="16"/>
        <v>0.16502604853661382</v>
      </c>
      <c r="W107" s="67">
        <f t="shared" si="16"/>
        <v>0.18794245324652198</v>
      </c>
      <c r="X107" s="67">
        <f t="shared" si="16"/>
        <v>0.15191882726719175</v>
      </c>
      <c r="AC107" t="s">
        <v>203</v>
      </c>
      <c r="AD107" s="51"/>
      <c r="AE107" s="51"/>
    </row>
    <row r="108" spans="1:51" x14ac:dyDescent="0.3">
      <c r="A108" s="1" t="s">
        <v>321</v>
      </c>
      <c r="B108" s="1" t="s">
        <v>2</v>
      </c>
      <c r="C108" s="10">
        <f>C102/C107</f>
        <v>1</v>
      </c>
      <c r="D108" s="10">
        <f>D103/D107</f>
        <v>0.73502304147465436</v>
      </c>
      <c r="E108" s="10">
        <f>E104/E107</f>
        <v>0.97271376468999049</v>
      </c>
      <c r="F108" s="10">
        <f>F105/F107</f>
        <v>0.90227010388611006</v>
      </c>
      <c r="G108" s="10">
        <f>G106/G107</f>
        <v>0.8560179977502812</v>
      </c>
      <c r="H108" s="10"/>
      <c r="I108" s="14">
        <f>(C102+D103+E104+F105+G106)/H107</f>
        <v>0.93965814917127077</v>
      </c>
      <c r="S108" t="s">
        <v>30</v>
      </c>
      <c r="T108" s="57">
        <f>C294</f>
        <v>100</v>
      </c>
      <c r="U108" s="57">
        <f t="shared" si="16"/>
        <v>79.744265176434766</v>
      </c>
      <c r="V108" s="57">
        <f t="shared" si="16"/>
        <v>97.194200881424848</v>
      </c>
      <c r="W108" s="57">
        <f t="shared" si="16"/>
        <v>89.161292469487336</v>
      </c>
      <c r="X108" s="57">
        <f t="shared" si="16"/>
        <v>86.965562506370759</v>
      </c>
      <c r="AC108" t="s">
        <v>204</v>
      </c>
      <c r="AD108" s="51"/>
      <c r="AE108" s="51"/>
      <c r="AH108" s="78"/>
      <c r="AI108" s="78"/>
      <c r="AJ108" s="118" t="s">
        <v>375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</row>
    <row r="109" spans="1:51" x14ac:dyDescent="0.3">
      <c r="B109" s="1" t="s">
        <v>14</v>
      </c>
      <c r="C109" s="11">
        <f>1-C108</f>
        <v>0</v>
      </c>
      <c r="D109" s="11">
        <f>1-D108</f>
        <v>0.26497695852534564</v>
      </c>
      <c r="E109" s="11">
        <f>1-E108</f>
        <v>2.728623531000951E-2</v>
      </c>
      <c r="F109" s="11">
        <f>1-F108</f>
        <v>9.7729896113889936E-2</v>
      </c>
      <c r="G109" s="11">
        <f>1-G108</f>
        <v>0.1439820022497188</v>
      </c>
      <c r="S109" s="66" t="s">
        <v>39</v>
      </c>
      <c r="T109" s="67">
        <f>C295</f>
        <v>0</v>
      </c>
      <c r="U109" s="67">
        <f t="shared" si="16"/>
        <v>3.092068810168294</v>
      </c>
      <c r="V109" s="67">
        <f t="shared" si="16"/>
        <v>0.19535808315875389</v>
      </c>
      <c r="W109" s="67">
        <f t="shared" si="16"/>
        <v>0.86170180105995964</v>
      </c>
      <c r="X109" s="67">
        <f t="shared" si="16"/>
        <v>2.1414690631990618</v>
      </c>
      <c r="AC109" t="s">
        <v>205</v>
      </c>
      <c r="AD109" s="51"/>
      <c r="AE109" s="51"/>
      <c r="AJ109" s="106" t="s">
        <v>457</v>
      </c>
      <c r="AK109" s="107" t="s">
        <v>28</v>
      </c>
      <c r="AL109" s="108">
        <f t="shared" ref="AL109:AP112" si="17">AL99</f>
        <v>1.5193251834459287</v>
      </c>
      <c r="AM109" s="108">
        <f t="shared" si="17"/>
        <v>4.9725266545686893</v>
      </c>
      <c r="AN109" s="108">
        <f t="shared" si="17"/>
        <v>63.688392422655184</v>
      </c>
      <c r="AO109" s="108">
        <f t="shared" si="17"/>
        <v>21.566989969328493</v>
      </c>
      <c r="AP109" s="108">
        <f t="shared" si="17"/>
        <v>8.2527657700017087</v>
      </c>
      <c r="AQ109" s="107"/>
      <c r="AR109" s="232" t="s">
        <v>77</v>
      </c>
      <c r="AS109" s="233">
        <f>AR100</f>
        <v>0.92759401818085974</v>
      </c>
    </row>
    <row r="110" spans="1:51" x14ac:dyDescent="0.3">
      <c r="C110" s="2"/>
      <c r="S110" s="15" t="s">
        <v>31</v>
      </c>
      <c r="T110" s="71">
        <f>I287</f>
        <v>100</v>
      </c>
      <c r="U110" s="71">
        <f>I288</f>
        <v>91.066282420749289</v>
      </c>
      <c r="V110" s="71">
        <f>I289</f>
        <v>97.75510204081634</v>
      </c>
      <c r="W110" s="71">
        <f>I290</f>
        <v>88.893100833965136</v>
      </c>
      <c r="X110" s="71">
        <f>I291</f>
        <v>78.181818181818187</v>
      </c>
      <c r="AC110" t="s">
        <v>206</v>
      </c>
      <c r="AD110" s="51"/>
      <c r="AE110" s="51"/>
      <c r="AH110" s="78"/>
      <c r="AI110" s="78"/>
      <c r="AJ110" s="107"/>
      <c r="AK110" s="109" t="s">
        <v>39</v>
      </c>
      <c r="AL110" s="110">
        <f t="shared" si="17"/>
        <v>0</v>
      </c>
      <c r="AM110" s="110">
        <f t="shared" si="17"/>
        <v>0.12803712829902408</v>
      </c>
      <c r="AN110" s="110">
        <f t="shared" si="17"/>
        <v>0.18768077344361755</v>
      </c>
      <c r="AO110" s="110">
        <f t="shared" si="17"/>
        <v>0.19324002231364945</v>
      </c>
      <c r="AP110" s="110">
        <f t="shared" si="17"/>
        <v>0.16055148508307152</v>
      </c>
      <c r="AQ110" s="107"/>
      <c r="AR110" s="232" t="s">
        <v>29</v>
      </c>
      <c r="AS110" s="234">
        <f>AS100</f>
        <v>2.3702762785370495E-3</v>
      </c>
      <c r="AX110" s="103" t="s">
        <v>386</v>
      </c>
    </row>
    <row r="111" spans="1:51" ht="15.6" x14ac:dyDescent="0.35">
      <c r="A111" t="s">
        <v>322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</v>
      </c>
      <c r="U111" s="76">
        <f>J288</f>
        <v>1.53340496117919</v>
      </c>
      <c r="V111" s="76">
        <f>J289</f>
        <v>0.17280404155168955</v>
      </c>
      <c r="W111" s="76">
        <f>J290</f>
        <v>0.61189284876437944</v>
      </c>
      <c r="X111" s="76">
        <f>J291</f>
        <v>1.3133002154811184</v>
      </c>
      <c r="AC111" t="s">
        <v>160</v>
      </c>
      <c r="AD111" s="51"/>
      <c r="AE111" s="51"/>
      <c r="AJ111" s="107"/>
      <c r="AK111" s="107" t="s">
        <v>30</v>
      </c>
      <c r="AL111" s="108">
        <f t="shared" si="17"/>
        <v>100</v>
      </c>
      <c r="AM111" s="108">
        <f t="shared" si="17"/>
        <v>76.062734772658473</v>
      </c>
      <c r="AN111" s="108">
        <f t="shared" si="17"/>
        <v>96.511824070071413</v>
      </c>
      <c r="AO111" s="108">
        <f t="shared" si="17"/>
        <v>88.432238235359179</v>
      </c>
      <c r="AP111" s="108">
        <f t="shared" si="17"/>
        <v>83.836569082609941</v>
      </c>
      <c r="AQ111" s="107"/>
      <c r="AR111" s="107"/>
      <c r="AS111" s="107"/>
      <c r="AU111" s="103" t="s">
        <v>386</v>
      </c>
      <c r="AW111" s="101"/>
      <c r="AX111" s="1" t="s">
        <v>380</v>
      </c>
      <c r="AY111" s="96"/>
    </row>
    <row r="112" spans="1:51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56</v>
      </c>
      <c r="T112" s="67">
        <f>N276*100</f>
        <v>100</v>
      </c>
      <c r="U112" s="67">
        <f>N277*100</f>
        <v>80.818414322250646</v>
      </c>
      <c r="V112" s="67">
        <f>N278*100</f>
        <v>97.522904648795389</v>
      </c>
      <c r="W112" s="67">
        <f>N279*100</f>
        <v>89.503816793893137</v>
      </c>
      <c r="X112" s="67">
        <f>N280*100</f>
        <v>81.774960380348645</v>
      </c>
      <c r="AC112" t="s">
        <v>207</v>
      </c>
      <c r="AD112" s="51"/>
      <c r="AE112" s="51"/>
      <c r="AH112" s="78"/>
      <c r="AI112" s="78"/>
      <c r="AJ112" s="107"/>
      <c r="AK112" s="109" t="s">
        <v>39</v>
      </c>
      <c r="AL112" s="110">
        <f t="shared" si="17"/>
        <v>0</v>
      </c>
      <c r="AM112" s="110">
        <f t="shared" si="17"/>
        <v>4.1236297096434376</v>
      </c>
      <c r="AN112" s="110">
        <f t="shared" si="17"/>
        <v>0.22064334206217287</v>
      </c>
      <c r="AO112" s="110">
        <f t="shared" si="17"/>
        <v>0.92250358661704734</v>
      </c>
      <c r="AP112" s="110">
        <f t="shared" si="17"/>
        <v>2.6242039722281816</v>
      </c>
      <c r="AQ112" s="107"/>
      <c r="AR112" s="107"/>
      <c r="AS112" s="107"/>
      <c r="AU112" s="93"/>
      <c r="AV112" s="1" t="s">
        <v>380</v>
      </c>
      <c r="AW112" s="97"/>
      <c r="AX112" s="71" t="s">
        <v>381</v>
      </c>
      <c r="AY112" s="95"/>
    </row>
    <row r="113" spans="1:51" x14ac:dyDescent="0.3">
      <c r="A113" t="s">
        <v>3</v>
      </c>
      <c r="B113" s="13">
        <v>0</v>
      </c>
      <c r="C113" s="29">
        <f>(C102/$L113)*$O113</f>
        <v>1.519507494792053</v>
      </c>
      <c r="D113" s="31">
        <f>(D102/$L113)*$O113</f>
        <v>0</v>
      </c>
      <c r="E113" s="31">
        <f>(E102/$L113)*$O113</f>
        <v>0</v>
      </c>
      <c r="F113" s="31">
        <f>(F102/$L113)*$O113</f>
        <v>0</v>
      </c>
      <c r="G113" s="32">
        <f>(G102/$L113)*$O113</f>
        <v>0</v>
      </c>
      <c r="H113" s="17">
        <f>SUM(C113:G113)</f>
        <v>1.519507494792053</v>
      </c>
      <c r="I113" s="17">
        <f>C113/H113*100</f>
        <v>100</v>
      </c>
      <c r="J113" s="17">
        <f>SQRT(I113*(100-I113)/(L113-1))</f>
        <v>0</v>
      </c>
      <c r="K113" s="18">
        <f>100-I113</f>
        <v>0</v>
      </c>
      <c r="L113" s="1">
        <f>H102</f>
        <v>259</v>
      </c>
      <c r="M113">
        <v>0</v>
      </c>
      <c r="N113" s="1">
        <v>2999.22</v>
      </c>
      <c r="O113" s="17">
        <f>N113/N118*100</f>
        <v>1.519507494792053</v>
      </c>
      <c r="P113" s="52">
        <f>((O113*O113*(I113/100)*(K113/100))/(L113-1))</f>
        <v>0</v>
      </c>
      <c r="R113" s="16" t="s">
        <v>66</v>
      </c>
      <c r="S113" t="s">
        <v>9</v>
      </c>
      <c r="T113" s="30">
        <f>N287</f>
        <v>2994.14</v>
      </c>
      <c r="U113" s="30">
        <f>N288</f>
        <v>8704.85</v>
      </c>
      <c r="V113" s="30">
        <f>N289</f>
        <v>124734.12</v>
      </c>
      <c r="W113" s="30">
        <f>N290</f>
        <v>42861.14</v>
      </c>
      <c r="X113" s="30">
        <f>N291</f>
        <v>18086.82</v>
      </c>
      <c r="Z113" t="s">
        <v>36</v>
      </c>
      <c r="AA113" s="1">
        <f>N292</f>
        <v>197381.07</v>
      </c>
      <c r="AC113" t="s">
        <v>161</v>
      </c>
      <c r="AD113" s="51"/>
      <c r="AE113" s="51"/>
      <c r="AJ113" s="107"/>
      <c r="AK113" s="111" t="s">
        <v>31</v>
      </c>
      <c r="AL113" s="112">
        <f>AR94</f>
        <v>100</v>
      </c>
      <c r="AM113" s="112">
        <f>AR95</f>
        <v>86.743515850144092</v>
      </c>
      <c r="AN113" s="112">
        <f>AR96</f>
        <v>96.952380952380963</v>
      </c>
      <c r="AO113" s="112">
        <f>AR97</f>
        <v>88.097043214556464</v>
      </c>
      <c r="AP113" s="112">
        <f>AR98</f>
        <v>76.26262626262627</v>
      </c>
      <c r="AQ113" s="107"/>
      <c r="AR113" s="107"/>
      <c r="AS113" s="107"/>
      <c r="AU113" s="94"/>
      <c r="AV113" s="71" t="s">
        <v>383</v>
      </c>
      <c r="AW113" s="98"/>
      <c r="AX113" s="71" t="s">
        <v>382</v>
      </c>
      <c r="AY113" s="93"/>
    </row>
    <row r="114" spans="1:51" ht="15.6" x14ac:dyDescent="0.35">
      <c r="A114" t="s">
        <v>4</v>
      </c>
      <c r="B114" s="13">
        <v>1</v>
      </c>
      <c r="C114" s="33">
        <f t="shared" ref="C114:G117" si="18">(C103/$L114)*$O114</f>
        <v>0</v>
      </c>
      <c r="D114" s="34">
        <f t="shared" si="18"/>
        <v>4.0092490489682096</v>
      </c>
      <c r="E114" s="19">
        <f t="shared" si="18"/>
        <v>0.31420447092227344</v>
      </c>
      <c r="F114" s="18">
        <f t="shared" si="18"/>
        <v>0</v>
      </c>
      <c r="G114" s="20">
        <f t="shared" si="18"/>
        <v>3.7704536510672813E-2</v>
      </c>
      <c r="H114" s="17">
        <f>SUM(C114:G114)</f>
        <v>4.3611580564011563</v>
      </c>
      <c r="I114" s="17">
        <f>D114/H114*100</f>
        <v>91.930835734870314</v>
      </c>
      <c r="J114" s="17">
        <f>SQRT(I114*(100-I114)/(L114-1))</f>
        <v>1.4642216802214112</v>
      </c>
      <c r="K114" s="18">
        <f>100-I114</f>
        <v>8.069164265129686</v>
      </c>
      <c r="L114" s="1">
        <f>H103</f>
        <v>347</v>
      </c>
      <c r="M114">
        <v>1</v>
      </c>
      <c r="N114" s="1">
        <v>8608.1</v>
      </c>
      <c r="O114" s="17">
        <f>N114/N118*100</f>
        <v>4.3611580564011554</v>
      </c>
      <c r="P114" s="52">
        <f>((O114*O114*(I114/100)*(K114/100))/(L114-1))</f>
        <v>4.0777192294042964E-3</v>
      </c>
      <c r="R114" s="16" t="s">
        <v>323</v>
      </c>
      <c r="S114" t="s">
        <v>68</v>
      </c>
      <c r="T114" s="57">
        <f>$AA113*T106/100</f>
        <v>2994.14</v>
      </c>
      <c r="U114" s="57">
        <f>$AA113*U106/100</f>
        <v>9940.7565769947778</v>
      </c>
      <c r="V114" s="57">
        <f>$AA113*V106/100</f>
        <v>125453.95216991546</v>
      </c>
      <c r="W114" s="57">
        <f>$AA113*W106/100</f>
        <v>42732.216350302107</v>
      </c>
      <c r="X114" s="57">
        <f>$AA113*X106/100</f>
        <v>16260.00490278763</v>
      </c>
      <c r="Z114" t="s">
        <v>36</v>
      </c>
      <c r="AA114" s="25">
        <f>SUM(T114:X114)</f>
        <v>197381.06999999995</v>
      </c>
      <c r="AC114" t="s">
        <v>208</v>
      </c>
      <c r="AD114" s="51"/>
      <c r="AE114" s="51"/>
      <c r="AH114" s="78"/>
      <c r="AI114" s="78"/>
      <c r="AJ114" s="107"/>
      <c r="AK114" s="113" t="s">
        <v>39</v>
      </c>
      <c r="AL114" s="114">
        <f>AS94</f>
        <v>0</v>
      </c>
      <c r="AM114" s="114">
        <f>AS95</f>
        <v>1.8230334586187336</v>
      </c>
      <c r="AN114" s="114">
        <f>AS96</f>
        <v>0.20051434844630719</v>
      </c>
      <c r="AO114" s="114">
        <f>AS97</f>
        <v>0.63059864001507127</v>
      </c>
      <c r="AP114" s="114">
        <f>AS98</f>
        <v>1.3529260734990296</v>
      </c>
      <c r="AQ114" s="107"/>
      <c r="AR114" s="107"/>
      <c r="AS114" s="107"/>
      <c r="AU114" s="95"/>
      <c r="AV114" s="1" t="s">
        <v>384</v>
      </c>
      <c r="AW114" s="99"/>
      <c r="AX114" s="1" t="s">
        <v>387</v>
      </c>
      <c r="AY114" s="99"/>
    </row>
    <row r="115" spans="1:51" x14ac:dyDescent="0.3">
      <c r="A115" t="s">
        <v>5</v>
      </c>
      <c r="B115" s="13">
        <v>2</v>
      </c>
      <c r="C115" s="33">
        <f t="shared" si="18"/>
        <v>0</v>
      </c>
      <c r="D115" s="19">
        <f t="shared" si="18"/>
        <v>0.8961478153693454</v>
      </c>
      <c r="E115" s="34">
        <f t="shared" si="18"/>
        <v>62.049619408410159</v>
      </c>
      <c r="F115" s="19">
        <f t="shared" si="18"/>
        <v>0.31882181892947864</v>
      </c>
      <c r="G115" s="20">
        <f t="shared" si="18"/>
        <v>6.8934447336103488E-2</v>
      </c>
      <c r="H115" s="17">
        <f>SUM(C115:G115)</f>
        <v>63.333523490045089</v>
      </c>
      <c r="I115" s="17">
        <f>E115/H115*100</f>
        <v>97.97278911564625</v>
      </c>
      <c r="J115" s="17">
        <f>SQRT(I115*(100-I115)/(L115-1))</f>
        <v>0.16439480027035655</v>
      </c>
      <c r="K115" s="18">
        <f>100-I115</f>
        <v>2.0272108843537495</v>
      </c>
      <c r="L115" s="1">
        <f>H104</f>
        <v>7350</v>
      </c>
      <c r="M115">
        <v>2</v>
      </c>
      <c r="N115" s="1">
        <v>125008.38</v>
      </c>
      <c r="O115" s="17">
        <f>N115/N118*100</f>
        <v>63.333523490045081</v>
      </c>
      <c r="P115" s="52">
        <f>((O115*O115*(I115/100)*(K115/100))/(L115-1))</f>
        <v>1.0840353738243559E-2</v>
      </c>
      <c r="R115" s="66"/>
      <c r="S115" s="66" t="s">
        <v>67</v>
      </c>
      <c r="T115" s="67">
        <f>$AA113*T107/100</f>
        <v>0</v>
      </c>
      <c r="U115" s="67">
        <f>$AA113*U107/100</f>
        <v>226.66317953864143</v>
      </c>
      <c r="V115" s="67">
        <f>$AA113*V107/100</f>
        <v>325.73018038028772</v>
      </c>
      <c r="W115" s="67">
        <f>$AA113*W107/100</f>
        <v>370.9628252022348</v>
      </c>
      <c r="X115" s="67">
        <f>$AA113*X107/100</f>
        <v>299.85900679143487</v>
      </c>
      <c r="AA115" s="1"/>
      <c r="AC115" t="s">
        <v>209</v>
      </c>
      <c r="AD115" s="51"/>
      <c r="AE115" s="51"/>
      <c r="AJ115" s="107"/>
      <c r="AK115" s="109" t="s">
        <v>56</v>
      </c>
      <c r="AL115" s="110">
        <f>AW83*100</f>
        <v>100</v>
      </c>
      <c r="AM115" s="110">
        <f>AW84*100</f>
        <v>76.590330788804067</v>
      </c>
      <c r="AN115" s="110">
        <f>AW85*100</f>
        <v>96.814075130765573</v>
      </c>
      <c r="AO115" s="110">
        <f>AW86*100</f>
        <v>88.736158839251615</v>
      </c>
      <c r="AP115" s="110">
        <f>AW87*100</f>
        <v>79.265091863517057</v>
      </c>
      <c r="AQ115" s="107"/>
      <c r="AR115" s="107"/>
      <c r="AS115" s="107"/>
      <c r="AU115" s="96"/>
      <c r="AV115" s="1" t="s">
        <v>385</v>
      </c>
      <c r="AW115" s="100"/>
      <c r="AX115" s="71" t="s">
        <v>388</v>
      </c>
      <c r="AY115" s="102"/>
    </row>
    <row r="116" spans="1:51" x14ac:dyDescent="0.3">
      <c r="A116" t="s">
        <v>6</v>
      </c>
      <c r="B116" s="13">
        <v>3</v>
      </c>
      <c r="C116" s="33">
        <f t="shared" si="18"/>
        <v>0</v>
      </c>
      <c r="D116" s="19">
        <f t="shared" si="18"/>
        <v>8.2073553427389354E-2</v>
      </c>
      <c r="E116" s="19">
        <f t="shared" si="18"/>
        <v>1.3624209868946635</v>
      </c>
      <c r="F116" s="34">
        <f t="shared" si="18"/>
        <v>19.246248278722803</v>
      </c>
      <c r="G116" s="20">
        <f t="shared" si="18"/>
        <v>0.96026057510045559</v>
      </c>
      <c r="H116" s="17">
        <f>SUM(C116:G116)</f>
        <v>21.651003394145313</v>
      </c>
      <c r="I116" s="17">
        <f>F116/H116*100</f>
        <v>88.893100833965107</v>
      </c>
      <c r="J116" s="17">
        <f>SQRT(I116*(100-I116)/(L116-1))</f>
        <v>0.61189284876437999</v>
      </c>
      <c r="K116" s="18">
        <f>100-I116</f>
        <v>11.106899166034893</v>
      </c>
      <c r="L116" s="1">
        <f>H105</f>
        <v>2638</v>
      </c>
      <c r="M116">
        <v>3</v>
      </c>
      <c r="N116" s="1">
        <v>42734.98</v>
      </c>
      <c r="O116" s="17">
        <f>N116/N118*100</f>
        <v>21.651003394145313</v>
      </c>
      <c r="P116" s="52">
        <f>((O116*O116*(I116/100)*(K116/100))/(L116-1))</f>
        <v>1.7551199848672882E-2</v>
      </c>
      <c r="R116" t="s">
        <v>103</v>
      </c>
      <c r="S116" t="s">
        <v>28</v>
      </c>
      <c r="T116" s="57">
        <f>C321</f>
        <v>1.4877010736339684</v>
      </c>
      <c r="U116" s="57">
        <f t="shared" ref="U116:X119" si="19">D321</f>
        <v>5.0401355536797201</v>
      </c>
      <c r="V116" s="57">
        <f t="shared" si="19"/>
        <v>63.73947192614061</v>
      </c>
      <c r="W116" s="57">
        <f t="shared" si="19"/>
        <v>21.656746075142959</v>
      </c>
      <c r="X116" s="57">
        <f t="shared" si="19"/>
        <v>8.0759453714027476</v>
      </c>
      <c r="Z116" s="74"/>
      <c r="AA116" s="12"/>
      <c r="AD116" s="51"/>
      <c r="AE116" s="51"/>
      <c r="AH116" s="78"/>
      <c r="AI116" s="78"/>
      <c r="AJ116" s="115" t="s">
        <v>379</v>
      </c>
      <c r="AK116" s="107" t="s">
        <v>9</v>
      </c>
      <c r="AL116" s="116">
        <f>AW94</f>
        <v>2998.86</v>
      </c>
      <c r="AM116" s="116">
        <f>AW95</f>
        <v>8606.32</v>
      </c>
      <c r="AN116" s="116">
        <f>AW96</f>
        <v>125137.59</v>
      </c>
      <c r="AO116" s="116">
        <f>AW97</f>
        <v>42731.12</v>
      </c>
      <c r="AP116" s="116">
        <f>AW98</f>
        <v>17907.16</v>
      </c>
      <c r="AQ116" s="107"/>
      <c r="AR116" s="115" t="s">
        <v>36</v>
      </c>
      <c r="AS116" s="137">
        <f>AW99</f>
        <v>197381.05</v>
      </c>
      <c r="AW116" s="102"/>
      <c r="AX116" s="1" t="s">
        <v>385</v>
      </c>
      <c r="AY116" s="104"/>
    </row>
    <row r="117" spans="1:51" ht="15.6" x14ac:dyDescent="0.35">
      <c r="A117" t="s">
        <v>7</v>
      </c>
      <c r="B117" s="13">
        <v>4</v>
      </c>
      <c r="C117" s="35">
        <f t="shared" si="18"/>
        <v>0</v>
      </c>
      <c r="D117" s="36">
        <f t="shared" si="18"/>
        <v>9.2270783480973562E-3</v>
      </c>
      <c r="E117" s="21">
        <f t="shared" si="18"/>
        <v>0.10149786182907092</v>
      </c>
      <c r="F117" s="21">
        <f t="shared" si="18"/>
        <v>2.0022760015371261</v>
      </c>
      <c r="G117" s="37">
        <f t="shared" si="18"/>
        <v>7.0218066229020879</v>
      </c>
      <c r="H117" s="17">
        <f>SUM(C117:G117)</f>
        <v>9.1348075646163824</v>
      </c>
      <c r="I117" s="17">
        <f>G117/H117*100</f>
        <v>76.868686868686865</v>
      </c>
      <c r="J117" s="17">
        <f>SQRT(I117*(100-I117)/(L117-1))</f>
        <v>1.3408392954153316</v>
      </c>
      <c r="K117" s="18">
        <f>100-I117</f>
        <v>23.131313131313135</v>
      </c>
      <c r="L117" s="1">
        <f>H106</f>
        <v>990</v>
      </c>
      <c r="M117">
        <v>4</v>
      </c>
      <c r="N117" s="1">
        <v>18030.38</v>
      </c>
      <c r="O117" s="17">
        <f>N117/N118*100</f>
        <v>9.1348075646163824</v>
      </c>
      <c r="P117" s="52">
        <f>((O117*O117*(I117/100)*(K117/100))/(L117-1))</f>
        <v>1.5002107185771267E-2</v>
      </c>
      <c r="S117" s="66" t="s">
        <v>39</v>
      </c>
      <c r="T117" s="67">
        <f>C322</f>
        <v>0</v>
      </c>
      <c r="U117" s="67">
        <f t="shared" si="19"/>
        <v>0.11667831607927787</v>
      </c>
      <c r="V117" s="67">
        <f t="shared" si="19"/>
        <v>0.16822719166319425</v>
      </c>
      <c r="W117" s="67">
        <f t="shared" si="19"/>
        <v>0.18749652774135511</v>
      </c>
      <c r="X117" s="67">
        <f t="shared" si="19"/>
        <v>0.15131889784555239</v>
      </c>
      <c r="AD117" s="51"/>
      <c r="AE117" s="51"/>
      <c r="AJ117" s="115" t="s">
        <v>378</v>
      </c>
      <c r="AK117" s="107" t="s">
        <v>68</v>
      </c>
      <c r="AL117" s="108">
        <f>$AS116*AL109/100</f>
        <v>2998.86</v>
      </c>
      <c r="AM117" s="108">
        <f>$AS116*AM109/100</f>
        <v>9814.8253223175507</v>
      </c>
      <c r="AN117" s="108">
        <f>$AS116*AN109/100</f>
        <v>125708.81769195723</v>
      </c>
      <c r="AO117" s="108">
        <f>$AS116*AO109/100</f>
        <v>42569.151254855256</v>
      </c>
      <c r="AP117" s="108">
        <f>$AS116*AP109/100</f>
        <v>16289.395730869956</v>
      </c>
      <c r="AQ117" s="107"/>
      <c r="AR117" s="115" t="s">
        <v>36</v>
      </c>
      <c r="AS117" s="137">
        <f>SUM(AL117:AP117)</f>
        <v>197381.05</v>
      </c>
    </row>
    <row r="118" spans="1:51" x14ac:dyDescent="0.3">
      <c r="B118" t="s">
        <v>28</v>
      </c>
      <c r="C118" s="17">
        <f t="shared" ref="C118:H118" si="20">SUM(C113:C117)</f>
        <v>1.519507494792053</v>
      </c>
      <c r="D118" s="17">
        <f t="shared" si="20"/>
        <v>4.9966974961130415</v>
      </c>
      <c r="E118" s="17">
        <f t="shared" si="20"/>
        <v>63.827742728056165</v>
      </c>
      <c r="F118" s="17">
        <f t="shared" si="20"/>
        <v>21.567346099189407</v>
      </c>
      <c r="G118" s="17">
        <f t="shared" si="20"/>
        <v>8.0887061818493198</v>
      </c>
      <c r="H118" s="18">
        <f t="shared" si="20"/>
        <v>100</v>
      </c>
      <c r="I118" s="13" t="s">
        <v>24</v>
      </c>
      <c r="J118" s="12" t="s">
        <v>29</v>
      </c>
      <c r="N118" s="1">
        <f>SUM(N113:N117)</f>
        <v>197381.06000000003</v>
      </c>
      <c r="O118" s="17">
        <f>SUM(O113:O117)</f>
        <v>99.999999999999972</v>
      </c>
      <c r="S118" t="s">
        <v>30</v>
      </c>
      <c r="T118" s="57">
        <f>C323</f>
        <v>100</v>
      </c>
      <c r="U118" s="57">
        <f t="shared" si="19"/>
        <v>78.902694524674956</v>
      </c>
      <c r="V118" s="57">
        <f t="shared" si="19"/>
        <v>96.932883384642295</v>
      </c>
      <c r="W118" s="57">
        <f t="shared" si="19"/>
        <v>89.805135202151732</v>
      </c>
      <c r="X118" s="57">
        <f t="shared" si="19"/>
        <v>86.329771648102991</v>
      </c>
      <c r="AD118" s="51"/>
      <c r="AE118" s="51"/>
      <c r="AH118" s="78"/>
      <c r="AI118" s="78"/>
      <c r="AJ118" s="109"/>
      <c r="AK118" s="109" t="s">
        <v>377</v>
      </c>
      <c r="AL118" s="110">
        <f>$AS116*AL110/100</f>
        <v>0</v>
      </c>
      <c r="AM118" s="110">
        <f>$AS116*AM110/100</f>
        <v>252.72102822646087</v>
      </c>
      <c r="AN118" s="110">
        <f>$AS116*AN110/100</f>
        <v>370.4462812711335</v>
      </c>
      <c r="AO118" s="110">
        <f>$AS116*AO110/100</f>
        <v>381.41918506291557</v>
      </c>
      <c r="AP118" s="110">
        <f>$AS116*AP110/100</f>
        <v>316.89820704755994</v>
      </c>
      <c r="AQ118" s="107"/>
      <c r="AR118" s="107"/>
      <c r="AS118" s="107"/>
    </row>
    <row r="119" spans="1:51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0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0.11151118008697007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0.16095871727910238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0.18628874118600064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0.15356346152928088</v>
      </c>
      <c r="H119" s="1"/>
      <c r="I119" s="56">
        <f>(C113+D114+E115+F116+G117)/H118</f>
        <v>0.93846430853795315</v>
      </c>
      <c r="J119" s="53">
        <f>SQRT(SUM(P113:P117))/100</f>
        <v>2.178792785055339E-3</v>
      </c>
      <c r="M119" s="1"/>
      <c r="N119" s="9"/>
      <c r="S119" s="66" t="s">
        <v>39</v>
      </c>
      <c r="T119" s="67">
        <f>C324</f>
        <v>0</v>
      </c>
      <c r="U119" s="67">
        <f t="shared" si="19"/>
        <v>3.2152559795395783</v>
      </c>
      <c r="V119" s="67">
        <f t="shared" si="19"/>
        <v>0.20356718541804722</v>
      </c>
      <c r="W119" s="67">
        <f t="shared" si="19"/>
        <v>0.8360700212512695</v>
      </c>
      <c r="X119" s="67">
        <f t="shared" si="19"/>
        <v>2.2412842297323734</v>
      </c>
      <c r="AD119" s="51"/>
      <c r="AE119" s="51"/>
      <c r="AJ119" s="115" t="s">
        <v>410</v>
      </c>
      <c r="AK119" s="122" t="s">
        <v>9</v>
      </c>
      <c r="AL119" s="136">
        <f>AVERAGE(AR195:AR214)</f>
        <v>2992.0155</v>
      </c>
      <c r="AM119" s="136">
        <f>AVERAGE(AS195:AS214)</f>
        <v>8682.0575000000026</v>
      </c>
      <c r="AN119" s="136">
        <f>AVERAGE(AT195:AT214)</f>
        <v>124625.03949999998</v>
      </c>
      <c r="AO119" s="136">
        <f>AVERAGE(AU195:AU214)</f>
        <v>43007.206000000013</v>
      </c>
      <c r="AP119" s="136">
        <f>AVERAGE(AV195:AV214)</f>
        <v>18074.743499999997</v>
      </c>
      <c r="AQ119" s="107"/>
      <c r="AR119" s="115" t="s">
        <v>36</v>
      </c>
      <c r="AS119" s="137">
        <f>SUM(AL119:AP119)</f>
        <v>197381.06199999998</v>
      </c>
    </row>
    <row r="120" spans="1:51" x14ac:dyDescent="0.3">
      <c r="B120" s="1" t="s">
        <v>30</v>
      </c>
      <c r="C120" s="17">
        <f>C113/C118*100</f>
        <v>100</v>
      </c>
      <c r="D120" s="17">
        <f>D114/D118*100</f>
        <v>80.237978226359047</v>
      </c>
      <c r="E120" s="17">
        <f>E115/E118*100</f>
        <v>97.214184234554779</v>
      </c>
      <c r="F120" s="17">
        <f>F116/F118*100</f>
        <v>89.237907112948676</v>
      </c>
      <c r="G120" s="17">
        <f>G117/G118*100</f>
        <v>86.810009722675986</v>
      </c>
      <c r="H120" s="1"/>
      <c r="S120" s="15" t="s">
        <v>31</v>
      </c>
      <c r="T120" s="71">
        <f>I316</f>
        <v>100</v>
      </c>
      <c r="U120" s="71">
        <f>I317</f>
        <v>90.778097982708942</v>
      </c>
      <c r="V120" s="71">
        <f>I318</f>
        <v>97.823129251700692</v>
      </c>
      <c r="W120" s="71">
        <f>I319</f>
        <v>88.324488248673248</v>
      </c>
      <c r="X120" s="71">
        <f>I320</f>
        <v>77.878787878787875</v>
      </c>
      <c r="AD120" s="51"/>
      <c r="AE120" s="51"/>
      <c r="AH120" s="78"/>
      <c r="AI120" s="78"/>
      <c r="AJ120" s="141"/>
      <c r="AK120" s="129" t="s">
        <v>394</v>
      </c>
      <c r="AL120" s="125">
        <f>_xlfn.STDEV.S(AR195:AR214)/SQRT($AK$108)</f>
        <v>4.7498382507086179</v>
      </c>
      <c r="AM120" s="125">
        <f>_xlfn.STDEV.S(AS195:AS214)/SQRT($AK$108)</f>
        <v>36.083511979522072</v>
      </c>
      <c r="AN120" s="125">
        <f>_xlfn.STDEV.S(AT195:AT214)/SQRT($AK$108)</f>
        <v>103.24963170693842</v>
      </c>
      <c r="AO120" s="125">
        <f>_xlfn.STDEV.S(AU195:AU214)/SQRT($AK$108)</f>
        <v>102.40844560772049</v>
      </c>
      <c r="AP120" s="125">
        <f>_xlfn.STDEV.S(AV195:AV214)/SQRT($AK$108)</f>
        <v>58.745381459109623</v>
      </c>
      <c r="AQ120" s="107"/>
      <c r="AR120" s="107"/>
      <c r="AS120" s="107"/>
    </row>
    <row r="121" spans="1:51" x14ac:dyDescent="0.3">
      <c r="B121" s="16" t="s">
        <v>39</v>
      </c>
      <c r="C121" s="18">
        <f>SQRT((C124+C125)/(C118*C118))</f>
        <v>0</v>
      </c>
      <c r="D121" s="18">
        <f>SQRT((D124+D125)/(D118*D118))</f>
        <v>2.9217817582589882</v>
      </c>
      <c r="E121" s="18">
        <f>SQRT((E124+E125)/(E118*E118))</f>
        <v>0.19250155551542691</v>
      </c>
      <c r="F121" s="18">
        <f>SQRT((F124+F125)/(F118*F118))</f>
        <v>0.85501107340813043</v>
      </c>
      <c r="G121" s="18">
        <f>SQRT((G124+G125)/(G118*G118))</f>
        <v>2.2315077648615693</v>
      </c>
      <c r="H121" s="1"/>
      <c r="S121" s="75" t="s">
        <v>39</v>
      </c>
      <c r="T121" s="76">
        <f>J316</f>
        <v>0</v>
      </c>
      <c r="U121" s="76">
        <f>J317</f>
        <v>1.555473948656704</v>
      </c>
      <c r="V121" s="76">
        <f>J318</f>
        <v>0.17022485532657228</v>
      </c>
      <c r="W121" s="76">
        <f>J319</f>
        <v>0.62535044417880203</v>
      </c>
      <c r="X121" s="76">
        <f>J320</f>
        <v>1.3198236494056259</v>
      </c>
      <c r="AD121" s="51"/>
      <c r="AE121" s="51"/>
      <c r="AJ121" s="119" t="s">
        <v>458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</row>
    <row r="122" spans="1:51" x14ac:dyDescent="0.3">
      <c r="B122" s="1" t="s">
        <v>37</v>
      </c>
      <c r="C122" s="18">
        <f>100-C120</f>
        <v>0</v>
      </c>
      <c r="D122" s="18">
        <f>100-D120</f>
        <v>19.762021773640953</v>
      </c>
      <c r="E122" s="18">
        <f>100-E120</f>
        <v>2.7858157654452214</v>
      </c>
      <c r="F122" s="18">
        <f>100-F120</f>
        <v>10.762092887051324</v>
      </c>
      <c r="G122" s="18">
        <f>100-G120</f>
        <v>13.189990277324014</v>
      </c>
      <c r="S122" s="66" t="s">
        <v>56</v>
      </c>
      <c r="T122" s="67">
        <f>N305*100</f>
        <v>100</v>
      </c>
      <c r="U122" s="67">
        <f>N306*100</f>
        <v>80.152671755725194</v>
      </c>
      <c r="V122" s="67">
        <f>N307*100</f>
        <v>97.438677327551162</v>
      </c>
      <c r="W122" s="67">
        <f>N308*100</f>
        <v>89.374760260836212</v>
      </c>
      <c r="X122" s="67">
        <f>N309*100</f>
        <v>81.501057082452434</v>
      </c>
      <c r="AD122" s="51"/>
      <c r="AE122" s="51"/>
      <c r="AH122" s="78"/>
      <c r="AI122" s="78"/>
      <c r="AJ122" s="115" t="s">
        <v>409</v>
      </c>
      <c r="AK122" s="122" t="s">
        <v>9</v>
      </c>
      <c r="AL122" s="136">
        <v>204.24</v>
      </c>
      <c r="AM122" s="136">
        <v>834.29</v>
      </c>
      <c r="AN122" s="136">
        <v>17771.75</v>
      </c>
      <c r="AO122" s="136">
        <v>2290.52</v>
      </c>
      <c r="AP122" s="136">
        <v>977.04</v>
      </c>
      <c r="AQ122" s="107"/>
      <c r="AR122" s="115" t="s">
        <v>36</v>
      </c>
      <c r="AS122" s="137">
        <f>SUM(AL122:AP122)</f>
        <v>22077.84</v>
      </c>
      <c r="AU122">
        <v>1</v>
      </c>
      <c r="AV122">
        <v>68</v>
      </c>
    </row>
    <row r="123" spans="1:51" ht="15.6" x14ac:dyDescent="0.35">
      <c r="B123" s="1" t="s">
        <v>25</v>
      </c>
      <c r="C123" s="1">
        <f>C107</f>
        <v>259</v>
      </c>
      <c r="D123" s="1">
        <f>D107</f>
        <v>434</v>
      </c>
      <c r="E123" s="1">
        <f>E107</f>
        <v>7403</v>
      </c>
      <c r="F123" s="1">
        <f>F107</f>
        <v>2599</v>
      </c>
      <c r="G123" s="1">
        <f>G107</f>
        <v>889</v>
      </c>
      <c r="R123" s="16" t="s">
        <v>66</v>
      </c>
      <c r="S123" t="s">
        <v>9</v>
      </c>
      <c r="T123" s="30">
        <f>N316</f>
        <v>2936.44</v>
      </c>
      <c r="U123" s="30">
        <f>N317</f>
        <v>8646.86</v>
      </c>
      <c r="V123" s="30">
        <f>N318</f>
        <v>124664.7</v>
      </c>
      <c r="W123" s="30">
        <f>N319</f>
        <v>43462.9</v>
      </c>
      <c r="X123" s="30">
        <f>N320</f>
        <v>17670.150000000001</v>
      </c>
      <c r="Z123" t="s">
        <v>36</v>
      </c>
      <c r="AA123" s="1">
        <f>N321</f>
        <v>197381.05</v>
      </c>
      <c r="AD123" s="51"/>
      <c r="AE123" s="51"/>
      <c r="AJ123" s="107"/>
      <c r="AK123" s="107" t="s">
        <v>391</v>
      </c>
      <c r="AL123" s="108">
        <f>(AL122/$AS122)*100</f>
        <v>0.92509049798349852</v>
      </c>
      <c r="AM123" s="108">
        <f>(AM122/$AS122)*100</f>
        <v>3.7788569896330433</v>
      </c>
      <c r="AN123" s="108">
        <f>(AN122/$AS122)*100</f>
        <v>80.49587278465647</v>
      </c>
      <c r="AO123" s="108">
        <f>(AO122/$AS122)*100</f>
        <v>10.374746804941063</v>
      </c>
      <c r="AP123" s="108">
        <f>(AP122/$AS122)*100</f>
        <v>4.4254329227859248</v>
      </c>
      <c r="AQ123" s="107"/>
      <c r="AR123" s="107"/>
      <c r="AS123" s="107"/>
      <c r="AU123">
        <v>2</v>
      </c>
      <c r="AV123">
        <v>97</v>
      </c>
    </row>
    <row r="124" spans="1:51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159.25022922370158</v>
      </c>
      <c r="E124" s="18">
        <f>(O115*O115*(100-E120)*(100-E120)*(I115)*(100-I115))/((L115-1)*100)</f>
        <v>8.4129486433358256</v>
      </c>
      <c r="F124" s="18">
        <f>(O116*O116*(100-F120)*(100-F120)*(I116)*(100-I116))/((L116-1)*100)</f>
        <v>203.28263597269523</v>
      </c>
      <c r="G124" s="18">
        <f>(O117*O117*(100-G120)*(100-G120)*(I117)*(100-I117))/((L117-1)*100)</f>
        <v>261.0004252160532</v>
      </c>
      <c r="R124" s="16" t="s">
        <v>323</v>
      </c>
      <c r="S124" t="s">
        <v>68</v>
      </c>
      <c r="T124" s="57">
        <f>$AA123*T116/100</f>
        <v>2936.44</v>
      </c>
      <c r="U124" s="57">
        <f>$AA123*U116/100</f>
        <v>9948.2724772763449</v>
      </c>
      <c r="V124" s="57">
        <f>$AA123*V116/100</f>
        <v>125809.63895227155</v>
      </c>
      <c r="W124" s="57">
        <f>$AA123*W116/100</f>
        <v>42746.312798950959</v>
      </c>
      <c r="X124" s="57">
        <f>$AA123*X116/100</f>
        <v>15940.385771501142</v>
      </c>
      <c r="Z124" t="s">
        <v>36</v>
      </c>
      <c r="AA124" s="25">
        <f>SUM(T124:X124)</f>
        <v>197381.05</v>
      </c>
      <c r="AD124" s="51"/>
      <c r="AE124" s="51"/>
      <c r="AH124" s="78"/>
      <c r="AI124" s="78"/>
      <c r="AJ124" s="115" t="s">
        <v>410</v>
      </c>
      <c r="AK124" s="122" t="s">
        <v>9</v>
      </c>
      <c r="AL124" s="136">
        <f>AVERAGE(AR216:AR235)</f>
        <v>203.82050000000001</v>
      </c>
      <c r="AM124" s="136">
        <f>AVERAGE(AS216:AS235)</f>
        <v>868.10400000000027</v>
      </c>
      <c r="AN124" s="136">
        <f>AVERAGE(AT216:AT235)</f>
        <v>17703.313499999997</v>
      </c>
      <c r="AO124" s="136">
        <f>AVERAGE(AU216:AU235)</f>
        <v>2310.4790000000003</v>
      </c>
      <c r="AP124" s="136">
        <f>AVERAGE(AV216:AV235)</f>
        <v>992.12450000000013</v>
      </c>
      <c r="AQ124" s="107"/>
      <c r="AR124" s="115" t="s">
        <v>36</v>
      </c>
      <c r="AS124" s="137">
        <f>SUM(AL124:AP124)</f>
        <v>22077.841499999999</v>
      </c>
      <c r="AU124">
        <v>3</v>
      </c>
      <c r="AV124">
        <v>126</v>
      </c>
    </row>
    <row r="125" spans="1:51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53.888151518395176</v>
      </c>
      <c r="E125" s="18">
        <f>E120*E120*(SUM((H113*E113*(1-E102/H102))/(H102-1),(H114*E114*(1-E103/H103))/(H103-1), (H116*E116*(1-E105/H105))/(H105-1),(H117*E117*(1-E106/H106))/(H106-1)))</f>
        <v>142.55594002718465</v>
      </c>
      <c r="F125" s="18">
        <f>F120*F120*(SUM((H113*F113*(1-F102/H102))/(H102-1),(H114*F114*(1-F103/H103))/(H103-1), (H115*F115*(1-F104/H104))/(H104-1),(H117*F117*(1-F106/H106))/(H106-1)))</f>
        <v>136.76275609768362</v>
      </c>
      <c r="G125" s="18">
        <f>G120*G120*(SUM((H113*G113*(1-G102/H102))/(H102-1),(H114*G114*(1-G103/H103))/(H103-1), (H115*G115*(1-G104/H104))/(H104-1),(H116*G116*(1-G105/H105))/(H105-1)))</f>
        <v>64.802459338607505</v>
      </c>
      <c r="R125" s="66"/>
      <c r="S125" s="66" t="s">
        <v>67</v>
      </c>
      <c r="T125" s="67">
        <f>$AA123*T117/100</f>
        <v>0</v>
      </c>
      <c r="U125" s="67">
        <f>$AA123*U117/100</f>
        <v>230.30088539959746</v>
      </c>
      <c r="V125" s="67">
        <f>$AA123*V117/100</f>
        <v>332.04859729032529</v>
      </c>
      <c r="W125" s="67">
        <f>$AA123*W117/100</f>
        <v>370.08261516942798</v>
      </c>
      <c r="X125" s="67">
        <f>$AA123*X117/100</f>
        <v>298.67482941597865</v>
      </c>
      <c r="AA125" s="1"/>
      <c r="AD125" s="51"/>
      <c r="AE125" s="51"/>
      <c r="AJ125" s="107"/>
      <c r="AK125" s="129" t="s">
        <v>394</v>
      </c>
      <c r="AL125" s="125">
        <f>_xlfn.STDEV.S(AR216:AR235)/SQRT($AK$108)</f>
        <v>0.45204650145055247</v>
      </c>
      <c r="AM125" s="125">
        <f>_xlfn.STDEV.S(AS216:AS235)/SQRT($AK$108)</f>
        <v>6.3047480604115451</v>
      </c>
      <c r="AN125" s="125">
        <f>_xlfn.STDEV.S(AT216:AT235)/SQRT($AK$108)</f>
        <v>10.287327085583982</v>
      </c>
      <c r="AO125" s="125">
        <f>_xlfn.STDEV.S(AU216:AU235)/SQRT($AK$108)</f>
        <v>9.2755647267430632</v>
      </c>
      <c r="AP125" s="125">
        <f>_xlfn.STDEV.S(AV216:AV235)/SQRT($AK$108)</f>
        <v>5.7271204059925989</v>
      </c>
      <c r="AQ125" s="107"/>
      <c r="AR125" s="107"/>
      <c r="AS125" s="142"/>
      <c r="AU125">
        <v>4</v>
      </c>
      <c r="AV125">
        <v>155</v>
      </c>
    </row>
    <row r="126" spans="1:51" x14ac:dyDescent="0.3">
      <c r="R126" t="s">
        <v>104</v>
      </c>
      <c r="S126" t="s">
        <v>28</v>
      </c>
      <c r="T126" s="57">
        <f>C350</f>
        <v>1.5168679304893793</v>
      </c>
      <c r="U126" s="57">
        <f t="shared" ref="U126:X129" si="21">D350</f>
        <v>5.0280573982803203</v>
      </c>
      <c r="V126" s="57">
        <f t="shared" si="21"/>
        <v>63.240955037895326</v>
      </c>
      <c r="W126" s="57">
        <f t="shared" si="21"/>
        <v>22.07857197414398</v>
      </c>
      <c r="X126" s="57">
        <f t="shared" si="21"/>
        <v>8.1355476591910012</v>
      </c>
      <c r="Y126" s="13"/>
      <c r="Z126" s="74"/>
      <c r="AA126" s="12"/>
      <c r="AD126" s="51"/>
      <c r="AE126" s="51"/>
      <c r="AH126" s="78"/>
      <c r="AI126" s="78"/>
      <c r="AJ126" s="119" t="s">
        <v>459</v>
      </c>
      <c r="AK126" s="107"/>
      <c r="AL126" s="116"/>
      <c r="AM126" s="116"/>
      <c r="AN126" s="116"/>
      <c r="AO126" s="116"/>
      <c r="AP126" s="116"/>
      <c r="AQ126" s="107"/>
      <c r="AR126" s="107"/>
      <c r="AS126" s="142"/>
      <c r="AU126">
        <v>5</v>
      </c>
      <c r="AV126">
        <v>184</v>
      </c>
    </row>
    <row r="127" spans="1:51" x14ac:dyDescent="0.3">
      <c r="S127" s="66" t="s">
        <v>39</v>
      </c>
      <c r="T127" s="67">
        <f>C351</f>
        <v>0</v>
      </c>
      <c r="U127" s="67">
        <f t="shared" si="21"/>
        <v>0.1174020515407682</v>
      </c>
      <c r="V127" s="67">
        <f t="shared" si="21"/>
        <v>0.16991195739965959</v>
      </c>
      <c r="W127" s="67">
        <f t="shared" si="21"/>
        <v>0.18989366186636905</v>
      </c>
      <c r="X127" s="67">
        <f t="shared" si="21"/>
        <v>0.15513286612172497</v>
      </c>
      <c r="AD127" s="51"/>
      <c r="AE127" s="51"/>
      <c r="AJ127" s="115" t="s">
        <v>409</v>
      </c>
      <c r="AK127" s="122" t="s">
        <v>9</v>
      </c>
      <c r="AL127" s="136">
        <v>169.26</v>
      </c>
      <c r="AM127" s="136">
        <v>440.32</v>
      </c>
      <c r="AN127" s="136">
        <v>18394.939999999999</v>
      </c>
      <c r="AO127" s="136">
        <v>14830.55</v>
      </c>
      <c r="AP127" s="136">
        <v>9392.94</v>
      </c>
      <c r="AQ127" s="107"/>
      <c r="AR127" s="115" t="s">
        <v>36</v>
      </c>
      <c r="AS127" s="137">
        <f>SUM(AL127:AP127)</f>
        <v>43228.009999999995</v>
      </c>
      <c r="AU127">
        <v>6</v>
      </c>
      <c r="AV127">
        <v>213</v>
      </c>
    </row>
    <row r="128" spans="1:51" x14ac:dyDescent="0.3">
      <c r="A128" s="361" t="s">
        <v>455</v>
      </c>
      <c r="B128" s="361"/>
      <c r="C128" s="361"/>
      <c r="D128" s="361"/>
      <c r="E128" s="361"/>
      <c r="F128" s="361"/>
      <c r="G128" s="361"/>
      <c r="H128" s="361"/>
      <c r="I128" s="361"/>
      <c r="J128" s="361"/>
      <c r="K128" s="361"/>
      <c r="L128" s="361" t="s">
        <v>64</v>
      </c>
      <c r="M128" s="361"/>
      <c r="N128" s="361"/>
      <c r="O128" s="361"/>
      <c r="P128" s="361"/>
      <c r="S128" t="s">
        <v>30</v>
      </c>
      <c r="T128" s="57">
        <f>C352</f>
        <v>100</v>
      </c>
      <c r="U128" s="57">
        <f t="shared" si="21"/>
        <v>80.188530488086371</v>
      </c>
      <c r="V128" s="57">
        <f t="shared" si="21"/>
        <v>96.847232583211323</v>
      </c>
      <c r="W128" s="57">
        <f t="shared" si="21"/>
        <v>89.33893402388864</v>
      </c>
      <c r="X128" s="57">
        <f t="shared" si="21"/>
        <v>86.458597087017935</v>
      </c>
      <c r="AD128" s="51"/>
      <c r="AE128" s="51"/>
      <c r="AH128" s="78"/>
      <c r="AI128" s="78"/>
      <c r="AJ128" s="107"/>
      <c r="AK128" s="107" t="s">
        <v>391</v>
      </c>
      <c r="AL128" s="108">
        <f>(AL127/$AS127)*100</f>
        <v>0.39155168142137475</v>
      </c>
      <c r="AM128" s="108">
        <f>(AM127/$AS127)*100</f>
        <v>1.0185988205332608</v>
      </c>
      <c r="AN128" s="108">
        <f>(AN127/$AS127)*100</f>
        <v>42.553288943904661</v>
      </c>
      <c r="AO128" s="108">
        <f>(AO127/$AS127)*100</f>
        <v>34.307732417013881</v>
      </c>
      <c r="AP128" s="108">
        <f>(AP127/$AS127)*100</f>
        <v>21.728828137126836</v>
      </c>
      <c r="AQ128" s="107"/>
      <c r="AR128" s="107"/>
      <c r="AS128" s="142"/>
      <c r="AU128">
        <v>7</v>
      </c>
      <c r="AV128">
        <v>242</v>
      </c>
    </row>
    <row r="129" spans="1:48" x14ac:dyDescent="0.3">
      <c r="A129" t="s">
        <v>320</v>
      </c>
      <c r="B129" t="s">
        <v>21</v>
      </c>
      <c r="I129" s="1" t="s">
        <v>58</v>
      </c>
      <c r="O129" s="143"/>
      <c r="P129" s="143"/>
      <c r="S129" s="66" t="s">
        <v>39</v>
      </c>
      <c r="T129" s="67">
        <f>C353</f>
        <v>0</v>
      </c>
      <c r="U129" s="67">
        <f t="shared" si="21"/>
        <v>3.251191065361581</v>
      </c>
      <c r="V129" s="67">
        <f t="shared" si="21"/>
        <v>0.20925545213666488</v>
      </c>
      <c r="W129" s="67">
        <f t="shared" si="21"/>
        <v>0.8489648727959761</v>
      </c>
      <c r="X129" s="67">
        <f t="shared" si="21"/>
        <v>2.2752258651603743</v>
      </c>
      <c r="AD129" s="51"/>
      <c r="AE129" s="51"/>
      <c r="AJ129" s="115" t="s">
        <v>410</v>
      </c>
      <c r="AK129" s="122" t="s">
        <v>9</v>
      </c>
      <c r="AL129" s="136">
        <f>AVERAGE(AL195:AL214)</f>
        <v>167.566</v>
      </c>
      <c r="AM129" s="136">
        <f>AVERAGE(AM195:AM214)</f>
        <v>474.75150000000002</v>
      </c>
      <c r="AN129" s="136">
        <f>AVERAGE(AN195:AN214)</f>
        <v>18286.533500000001</v>
      </c>
      <c r="AO129" s="136">
        <f>AVERAGE(AO195:AO214)</f>
        <v>14868.177000000001</v>
      </c>
      <c r="AP129" s="136">
        <f>AVERAGE(AP195:AP214)</f>
        <v>9430.9874999999993</v>
      </c>
      <c r="AQ129" s="107"/>
      <c r="AR129" s="115" t="s">
        <v>36</v>
      </c>
      <c r="AS129" s="137">
        <f>SUM(AL129:AP129)</f>
        <v>43228.015500000009</v>
      </c>
      <c r="AU129">
        <v>8</v>
      </c>
      <c r="AV129">
        <v>271</v>
      </c>
    </row>
    <row r="130" spans="1:48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56</v>
      </c>
      <c r="O130" s="13"/>
      <c r="P130" s="13"/>
      <c r="S130" s="15" t="s">
        <v>31</v>
      </c>
      <c r="T130" s="71">
        <f>I345</f>
        <v>100</v>
      </c>
      <c r="U130" s="71">
        <f>I346</f>
        <v>89.625360230547557</v>
      </c>
      <c r="V130" s="71">
        <f>I347</f>
        <v>97.80952380952381</v>
      </c>
      <c r="W130" s="71">
        <f>I348</f>
        <v>88.741470811220623</v>
      </c>
      <c r="X130" s="71">
        <f>I349</f>
        <v>76.969696969696983</v>
      </c>
      <c r="AD130" s="51"/>
      <c r="AE130" s="51"/>
      <c r="AH130" s="78"/>
      <c r="AI130" s="78"/>
      <c r="AJ130" s="107"/>
      <c r="AK130" s="129" t="s">
        <v>394</v>
      </c>
      <c r="AL130" s="125">
        <f>_xlfn.STDEV.S(AL195:AL214)/SQRT($AK$108)</f>
        <v>2.4499904833327513</v>
      </c>
      <c r="AM130" s="125">
        <f>_xlfn.STDEV.S(AM195:AM214)/SQRT($AK$108)</f>
        <v>4.1329097227396314</v>
      </c>
      <c r="AN130" s="125">
        <f>_xlfn.STDEV.S(AN195:AN214)/SQRT($AK$108)</f>
        <v>19.356198725268936</v>
      </c>
      <c r="AO130" s="125">
        <f>_xlfn.STDEV.S(AO195:AO214)/SQRT($AK$108)</f>
        <v>21.150636709341114</v>
      </c>
      <c r="AP130" s="125">
        <f>_xlfn.STDEV.S(AP195:AP214)/SQRT($AK$108)</f>
        <v>14.120981438140744</v>
      </c>
      <c r="AQ130" s="107"/>
      <c r="AR130" s="107"/>
      <c r="AS130" s="142"/>
      <c r="AU130">
        <v>9</v>
      </c>
      <c r="AV130">
        <v>300</v>
      </c>
    </row>
    <row r="131" spans="1:48" x14ac:dyDescent="0.3">
      <c r="A131" t="s">
        <v>3</v>
      </c>
      <c r="B131" s="13">
        <v>0</v>
      </c>
      <c r="C131" s="26">
        <v>259</v>
      </c>
      <c r="D131" s="3">
        <v>0</v>
      </c>
      <c r="E131" s="3">
        <v>0</v>
      </c>
      <c r="F131" s="3">
        <v>0</v>
      </c>
      <c r="G131" s="4">
        <v>0</v>
      </c>
      <c r="H131" s="1">
        <f>SUM(C131:G131)</f>
        <v>259</v>
      </c>
      <c r="I131" s="10">
        <f>C131/H131</f>
        <v>1</v>
      </c>
      <c r="J131" s="11">
        <f>1-I131</f>
        <v>0</v>
      </c>
      <c r="K131">
        <f>H131-C136</f>
        <v>0</v>
      </c>
      <c r="N131" s="10">
        <f>2*(C137*I131)/(C137+I131)</f>
        <v>1</v>
      </c>
      <c r="O131" s="1"/>
      <c r="P131" s="1"/>
      <c r="S131" s="75" t="s">
        <v>39</v>
      </c>
      <c r="T131" s="76">
        <f>J345</f>
        <v>0</v>
      </c>
      <c r="U131" s="76">
        <f>J346</f>
        <v>1.639320691997745</v>
      </c>
      <c r="V131" s="76">
        <f>J347</f>
        <v>0.17074410445127566</v>
      </c>
      <c r="W131" s="76">
        <f>J348</f>
        <v>0.61552978848258844</v>
      </c>
      <c r="X131" s="76">
        <f>J349</f>
        <v>1.3387872533640994</v>
      </c>
      <c r="AD131" s="51"/>
      <c r="AE131" s="51"/>
      <c r="AJ131" s="119" t="s">
        <v>460</v>
      </c>
      <c r="AK131" s="107"/>
      <c r="AL131" s="116"/>
      <c r="AM131" s="116"/>
      <c r="AN131" s="116"/>
      <c r="AO131" s="116"/>
      <c r="AP131" s="116"/>
      <c r="AQ131" s="107"/>
      <c r="AR131" s="107"/>
      <c r="AS131" s="142"/>
      <c r="AU131">
        <v>10</v>
      </c>
      <c r="AV131">
        <v>329</v>
      </c>
    </row>
    <row r="132" spans="1:48" x14ac:dyDescent="0.3">
      <c r="A132" t="s">
        <v>4</v>
      </c>
      <c r="B132" s="13">
        <v>1</v>
      </c>
      <c r="C132" s="5">
        <v>0</v>
      </c>
      <c r="D132" s="27">
        <v>315</v>
      </c>
      <c r="E132" s="1">
        <v>30</v>
      </c>
      <c r="F132" s="1">
        <v>0</v>
      </c>
      <c r="G132" s="6">
        <v>2</v>
      </c>
      <c r="H132" s="1">
        <f>SUM(C132:G132)</f>
        <v>347</v>
      </c>
      <c r="I132" s="10">
        <f>D132/H132</f>
        <v>0.90778097982708938</v>
      </c>
      <c r="J132" s="11">
        <f>1-I132</f>
        <v>9.2219020172910615E-2</v>
      </c>
      <c r="K132">
        <f>H132-D136</f>
        <v>-86</v>
      </c>
      <c r="N132" s="10">
        <f>2*(D137*I132)/(D137+I132)</f>
        <v>0.80769230769230771</v>
      </c>
      <c r="O132" s="1"/>
      <c r="P132" s="1"/>
      <c r="S132" s="66" t="s">
        <v>56</v>
      </c>
      <c r="T132" s="67">
        <f>N334*100</f>
        <v>100</v>
      </c>
      <c r="U132" s="67">
        <f>N335*100</f>
        <v>80.258064516129053</v>
      </c>
      <c r="V132" s="67">
        <f>N336*100</f>
        <v>97.431727315850111</v>
      </c>
      <c r="W132" s="67">
        <f>N337*100</f>
        <v>89.402329578002679</v>
      </c>
      <c r="X132" s="67">
        <f>N338*100</f>
        <v>81.0207336523126</v>
      </c>
      <c r="AD132" s="51"/>
      <c r="AE132" s="51"/>
      <c r="AH132" s="78"/>
      <c r="AI132" s="78"/>
      <c r="AJ132" s="115" t="s">
        <v>409</v>
      </c>
      <c r="AK132" s="122" t="s">
        <v>9</v>
      </c>
      <c r="AL132" s="136">
        <v>0.5</v>
      </c>
      <c r="AM132" s="136">
        <v>25.07</v>
      </c>
      <c r="AN132" s="136">
        <v>1403.17</v>
      </c>
      <c r="AO132" s="136">
        <v>358.3</v>
      </c>
      <c r="AP132" s="136">
        <v>66.290000000000006</v>
      </c>
      <c r="AQ132" s="107"/>
      <c r="AR132" s="115" t="s">
        <v>36</v>
      </c>
      <c r="AS132" s="137">
        <f>SUM(AL132:AP132)</f>
        <v>1853.33</v>
      </c>
      <c r="AU132">
        <v>11</v>
      </c>
      <c r="AV132">
        <v>358</v>
      </c>
    </row>
    <row r="133" spans="1:48" x14ac:dyDescent="0.3">
      <c r="A133" t="s">
        <v>5</v>
      </c>
      <c r="B133" s="13">
        <v>2</v>
      </c>
      <c r="C133" s="5">
        <v>0</v>
      </c>
      <c r="D133" s="1">
        <v>109</v>
      </c>
      <c r="E133" s="27">
        <v>7183</v>
      </c>
      <c r="F133" s="1">
        <v>47</v>
      </c>
      <c r="G133" s="6">
        <v>11</v>
      </c>
      <c r="H133" s="1">
        <f>SUM(C133:G133)</f>
        <v>7350</v>
      </c>
      <c r="I133" s="10">
        <f>E133/H133</f>
        <v>0.97727891156462587</v>
      </c>
      <c r="J133" s="11">
        <f>1-I133</f>
        <v>2.2721088435374126E-2</v>
      </c>
      <c r="K133">
        <f>H133-E136</f>
        <v>-47</v>
      </c>
      <c r="N133" s="10">
        <f>2*(E137*I133)/(E137+I133)</f>
        <v>0.97416423679392417</v>
      </c>
      <c r="O133" s="1"/>
      <c r="P133" s="1"/>
      <c r="R133" s="16" t="s">
        <v>66</v>
      </c>
      <c r="S133" t="s">
        <v>9</v>
      </c>
      <c r="T133" s="30">
        <f>N345</f>
        <v>2994.01</v>
      </c>
      <c r="U133" s="30">
        <f>N346</f>
        <v>8879.4699999999993</v>
      </c>
      <c r="V133" s="30">
        <f>N347</f>
        <v>123597.58</v>
      </c>
      <c r="W133" s="30">
        <f>N348</f>
        <v>43872.32</v>
      </c>
      <c r="X133" s="30">
        <f>N349</f>
        <v>18037.68</v>
      </c>
      <c r="Z133" t="s">
        <v>36</v>
      </c>
      <c r="AA133" s="1">
        <f>N350</f>
        <v>197381.06</v>
      </c>
      <c r="AD133" s="51"/>
      <c r="AE133" s="51"/>
      <c r="AJ133" s="107"/>
      <c r="AK133" s="107" t="s">
        <v>391</v>
      </c>
      <c r="AL133" s="108">
        <f>(AL132/$AS132)*100</f>
        <v>2.6978465788607534E-2</v>
      </c>
      <c r="AM133" s="108">
        <f>(AM132/$AS132)*100</f>
        <v>1.3527002746407817</v>
      </c>
      <c r="AN133" s="108">
        <f>(AN132/$AS132)*100</f>
        <v>75.710747681200871</v>
      </c>
      <c r="AO133" s="108">
        <f>(AO132/$AS132)*100</f>
        <v>19.33276858411616</v>
      </c>
      <c r="AP133" s="108">
        <f>(AP132/$AS132)*100</f>
        <v>3.5768049942535871</v>
      </c>
      <c r="AQ133" s="107"/>
      <c r="AR133" s="107"/>
      <c r="AS133" s="142"/>
      <c r="AU133">
        <v>12</v>
      </c>
      <c r="AV133">
        <v>387</v>
      </c>
    </row>
    <row r="134" spans="1:48" ht="15.6" x14ac:dyDescent="0.35">
      <c r="A134" t="s">
        <v>6</v>
      </c>
      <c r="B134" s="13">
        <v>3</v>
      </c>
      <c r="C134" s="5">
        <v>0</v>
      </c>
      <c r="D134" s="1">
        <v>8</v>
      </c>
      <c r="E134" s="1">
        <v>170</v>
      </c>
      <c r="F134" s="27">
        <v>2339</v>
      </c>
      <c r="G134" s="6">
        <v>121</v>
      </c>
      <c r="H134" s="1">
        <f>SUM(C134:G134)</f>
        <v>2638</v>
      </c>
      <c r="I134" s="10">
        <f>F134/H134</f>
        <v>0.88665655799848375</v>
      </c>
      <c r="J134" s="11">
        <f>1-I134</f>
        <v>0.11334344200151625</v>
      </c>
      <c r="K134">
        <f>H134-F136</f>
        <v>58</v>
      </c>
      <c r="N134" s="10">
        <f>2*(F137*I134)/(F137+I134)</f>
        <v>0.89651207359141427</v>
      </c>
      <c r="O134" s="1"/>
      <c r="P134" s="1"/>
      <c r="R134" s="16" t="s">
        <v>323</v>
      </c>
      <c r="S134" t="s">
        <v>68</v>
      </c>
      <c r="T134" s="57">
        <f>$AA133*T126/100</f>
        <v>2994.01</v>
      </c>
      <c r="U134" s="57">
        <f>$AA133*U126/100</f>
        <v>9924.4329901341171</v>
      </c>
      <c r="V134" s="57">
        <f>$AA133*V126/100</f>
        <v>124825.6674079212</v>
      </c>
      <c r="W134" s="57">
        <f>$AA133*W126/100</f>
        <v>43578.919395428311</v>
      </c>
      <c r="X134" s="57">
        <f>$AA133*X126/100</f>
        <v>16058.030206516385</v>
      </c>
      <c r="Z134" t="s">
        <v>36</v>
      </c>
      <c r="AA134" s="25">
        <f>SUM(T134:X134)</f>
        <v>197381.06</v>
      </c>
      <c r="AD134" s="51"/>
      <c r="AE134" s="51"/>
      <c r="AH134" s="78"/>
      <c r="AI134" s="78"/>
      <c r="AJ134" s="115" t="s">
        <v>410</v>
      </c>
      <c r="AK134" s="122" t="s">
        <v>9</v>
      </c>
      <c r="AL134" s="136">
        <f>AVERAGE(AL216:AL235)</f>
        <v>0.49849999999999994</v>
      </c>
      <c r="AM134" s="136">
        <f>AVERAGE(AM216:AM235)</f>
        <v>26.901999999999997</v>
      </c>
      <c r="AN134" s="136">
        <f>AVERAGE(AN216:AN235)</f>
        <v>1395.9445000000001</v>
      </c>
      <c r="AO134" s="136">
        <f>AVERAGE(AO216:AO235)</f>
        <v>361.846</v>
      </c>
      <c r="AP134" s="136">
        <f>AVERAGE(AP216:AP235)</f>
        <v>68.139499999999998</v>
      </c>
      <c r="AQ134" s="107"/>
      <c r="AR134" s="115" t="s">
        <v>36</v>
      </c>
      <c r="AS134" s="137">
        <f>SUM(AL134:AP134)</f>
        <v>1853.3305</v>
      </c>
      <c r="AU134">
        <v>13</v>
      </c>
      <c r="AV134">
        <v>416</v>
      </c>
    </row>
    <row r="135" spans="1:48" x14ac:dyDescent="0.3">
      <c r="A135" t="s">
        <v>7</v>
      </c>
      <c r="B135" s="13">
        <v>4</v>
      </c>
      <c r="C135" s="7">
        <v>0</v>
      </c>
      <c r="D135" s="8">
        <v>1</v>
      </c>
      <c r="E135" s="8">
        <v>14</v>
      </c>
      <c r="F135" s="8">
        <v>194</v>
      </c>
      <c r="G135" s="28">
        <v>781</v>
      </c>
      <c r="H135" s="1">
        <f>SUM(C135:G135)</f>
        <v>990</v>
      </c>
      <c r="I135" s="10">
        <f>G135/H135</f>
        <v>0.78888888888888886</v>
      </c>
      <c r="J135" s="11">
        <f>1-I135</f>
        <v>0.21111111111111114</v>
      </c>
      <c r="K135">
        <f>H135-G136</f>
        <v>75</v>
      </c>
      <c r="N135" s="10">
        <f>2*(G137*I135)/(G137+I135)</f>
        <v>0.8199475065616797</v>
      </c>
      <c r="O135" s="1"/>
      <c r="P135" s="1"/>
      <c r="R135" s="66"/>
      <c r="S135" s="66" t="s">
        <v>67</v>
      </c>
      <c r="T135" s="67">
        <f>$AA133*T127/100</f>
        <v>0</v>
      </c>
      <c r="U135" s="67">
        <f>$AA133*U127/100</f>
        <v>231.72941379291461</v>
      </c>
      <c r="V135" s="67">
        <f>$AA133*V127/100</f>
        <v>335.37402258219657</v>
      </c>
      <c r="W135" s="67">
        <f>$AA133*W127/100</f>
        <v>374.81412266465503</v>
      </c>
      <c r="X135" s="67">
        <f>$AA133*X127/100</f>
        <v>306.20289555944163</v>
      </c>
      <c r="AA135" s="1"/>
      <c r="AD135" s="51"/>
      <c r="AE135" s="51"/>
      <c r="AJ135" s="107"/>
      <c r="AK135" s="129" t="s">
        <v>394</v>
      </c>
      <c r="AL135" s="125">
        <f>_xlfn.STDEV.S(AL216:AL235)/SQRT($AK$108)</f>
        <v>2.625056390371756E-2</v>
      </c>
      <c r="AM135" s="125">
        <f>_xlfn.STDEV.S(AM216:AM235)/SQRT($AK$108)</f>
        <v>0.27668203297001603</v>
      </c>
      <c r="AN135" s="125">
        <f>_xlfn.STDEV.S(AN216:AN235)/SQRT($AK$108)</f>
        <v>0.93328663025381309</v>
      </c>
      <c r="AO135" s="125">
        <f>_xlfn.STDEV.S(AO216:AO235)/SQRT($AK$108)</f>
        <v>0.91228267779812722</v>
      </c>
      <c r="AP135" s="125">
        <f>_xlfn.STDEV.S(AP216:AP235)/SQRT($AK$108)</f>
        <v>0.49583500810567793</v>
      </c>
      <c r="AQ135" s="107"/>
      <c r="AR135" s="107"/>
      <c r="AS135" s="107"/>
      <c r="AU135">
        <v>14</v>
      </c>
      <c r="AV135">
        <v>445</v>
      </c>
    </row>
    <row r="136" spans="1:48" ht="15.6" x14ac:dyDescent="0.35">
      <c r="B136" s="1" t="s">
        <v>19</v>
      </c>
      <c r="C136" s="1">
        <f>SUM(C131:C135)</f>
        <v>259</v>
      </c>
      <c r="D136" s="1">
        <f>SUM(D131:D135)</f>
        <v>433</v>
      </c>
      <c r="E136" s="1">
        <f>SUM(E131:E135)</f>
        <v>7397</v>
      </c>
      <c r="F136" s="1">
        <f>SUM(F131:F135)</f>
        <v>2580</v>
      </c>
      <c r="G136" s="1">
        <f>SUM(G131:G135)</f>
        <v>915</v>
      </c>
      <c r="H136" s="1">
        <f>SUM(H130:H135)</f>
        <v>11584</v>
      </c>
      <c r="I136" s="13" t="s">
        <v>12</v>
      </c>
      <c r="N136" s="16"/>
      <c r="O136" s="1"/>
      <c r="P136" s="1"/>
      <c r="R136" t="s">
        <v>105</v>
      </c>
      <c r="S136" t="s">
        <v>28</v>
      </c>
      <c r="T136" s="57">
        <f>C379</f>
        <v>1.5050278886940822</v>
      </c>
      <c r="U136" s="57">
        <f t="shared" ref="U136:X139" si="22">D379</f>
        <v>5.1362286032963373</v>
      </c>
      <c r="V136" s="57">
        <f t="shared" si="22"/>
        <v>63.407166619708391</v>
      </c>
      <c r="W136" s="57">
        <f t="shared" si="22"/>
        <v>21.573882602159092</v>
      </c>
      <c r="X136" s="57">
        <f t="shared" si="22"/>
        <v>8.3776942861421038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</row>
    <row r="137" spans="1:48" x14ac:dyDescent="0.3">
      <c r="A137" s="1" t="s">
        <v>321</v>
      </c>
      <c r="B137" s="1" t="s">
        <v>2</v>
      </c>
      <c r="C137" s="10">
        <f>C131/C136</f>
        <v>1</v>
      </c>
      <c r="D137" s="10">
        <f>D132/D136</f>
        <v>0.72748267898383367</v>
      </c>
      <c r="E137" s="10">
        <f>E133/E136</f>
        <v>0.97106935244017845</v>
      </c>
      <c r="F137" s="10">
        <f>F134/F136</f>
        <v>0.90658914728682172</v>
      </c>
      <c r="G137" s="10">
        <f>G135/G136</f>
        <v>0.85355191256830598</v>
      </c>
      <c r="H137" s="10"/>
      <c r="I137" s="14">
        <f>(C131+D132+E133+F134+G135)/H136</f>
        <v>0.9389675414364641</v>
      </c>
      <c r="S137" s="66" t="s">
        <v>39</v>
      </c>
      <c r="T137" s="67">
        <f>C380</f>
        <v>0</v>
      </c>
      <c r="U137" s="67">
        <f t="shared" si="22"/>
        <v>0.1167409715225277</v>
      </c>
      <c r="V137" s="67">
        <f t="shared" si="22"/>
        <v>0.16830251857488954</v>
      </c>
      <c r="W137" s="67">
        <f t="shared" si="22"/>
        <v>0.18987253763471063</v>
      </c>
      <c r="X137" s="67">
        <f t="shared" si="22"/>
        <v>0.15516542541417444</v>
      </c>
      <c r="AD137" s="51"/>
      <c r="AE137" s="51"/>
      <c r="AU137">
        <v>16</v>
      </c>
      <c r="AV137">
        <v>503</v>
      </c>
    </row>
    <row r="138" spans="1:48" x14ac:dyDescent="0.3">
      <c r="B138" s="1" t="s">
        <v>14</v>
      </c>
      <c r="C138" s="11">
        <f>1-C137</f>
        <v>0</v>
      </c>
      <c r="D138" s="11">
        <f>1-D137</f>
        <v>0.27251732101616633</v>
      </c>
      <c r="E138" s="11">
        <f>1-E137</f>
        <v>2.8930647559821554E-2</v>
      </c>
      <c r="F138" s="11">
        <f>1-F137</f>
        <v>9.3410852713178283E-2</v>
      </c>
      <c r="G138" s="11">
        <f>1-G137</f>
        <v>0.14644808743169402</v>
      </c>
      <c r="S138" t="s">
        <v>30</v>
      </c>
      <c r="T138" s="57">
        <f>C381</f>
        <v>100</v>
      </c>
      <c r="U138" s="57">
        <f t="shared" si="22"/>
        <v>80.402056605663262</v>
      </c>
      <c r="V138" s="57">
        <f t="shared" si="22"/>
        <v>96.900311572580264</v>
      </c>
      <c r="W138" s="57">
        <f t="shared" si="22"/>
        <v>89.788392224416668</v>
      </c>
      <c r="X138" s="57">
        <f t="shared" si="22"/>
        <v>85.462718384261365</v>
      </c>
      <c r="AA138" s="54"/>
      <c r="AD138" s="51"/>
      <c r="AE138" s="51"/>
      <c r="AH138" s="78"/>
      <c r="AI138" s="78"/>
      <c r="AU138">
        <v>17</v>
      </c>
      <c r="AV138">
        <v>532</v>
      </c>
    </row>
    <row r="139" spans="1:48" x14ac:dyDescent="0.3">
      <c r="C139" s="2"/>
      <c r="S139" s="66" t="s">
        <v>39</v>
      </c>
      <c r="T139" s="67">
        <f>C382</f>
        <v>0</v>
      </c>
      <c r="U139" s="67">
        <f t="shared" si="22"/>
        <v>3.1009378752210046</v>
      </c>
      <c r="V139" s="67">
        <f t="shared" si="22"/>
        <v>0.20662910889022942</v>
      </c>
      <c r="W139" s="67">
        <f t="shared" si="22"/>
        <v>0.85086781449930005</v>
      </c>
      <c r="X139" s="67">
        <f t="shared" si="22"/>
        <v>2.3037471094265043</v>
      </c>
      <c r="AD139" s="51"/>
      <c r="AE139" s="51"/>
      <c r="AU139">
        <v>18</v>
      </c>
      <c r="AV139">
        <v>561</v>
      </c>
    </row>
    <row r="140" spans="1:48" ht="15.6" x14ac:dyDescent="0.35">
      <c r="A140" t="s">
        <v>322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100</v>
      </c>
      <c r="U140" s="57">
        <f>I375</f>
        <v>90.489913544668596</v>
      </c>
      <c r="V140" s="57">
        <f>I376</f>
        <v>97.863945578231281</v>
      </c>
      <c r="W140" s="57">
        <f>I377</f>
        <v>87.945413191811966</v>
      </c>
      <c r="X140" s="57">
        <f>I378</f>
        <v>78.484848484848484</v>
      </c>
      <c r="AD140" s="51"/>
      <c r="AE140" s="51"/>
      <c r="AH140" s="78"/>
      <c r="AI140" s="78"/>
      <c r="AU140">
        <v>19</v>
      </c>
      <c r="AV140">
        <v>590</v>
      </c>
    </row>
    <row r="141" spans="1:48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</v>
      </c>
      <c r="U141" s="67">
        <f>J375</f>
        <v>1.57708198124395</v>
      </c>
      <c r="V141" s="67">
        <f>J376</f>
        <v>0.16865662041807594</v>
      </c>
      <c r="W141" s="67">
        <f>J377</f>
        <v>0.6340561164281322</v>
      </c>
      <c r="X141" s="67">
        <f>J378</f>
        <v>1.306673160753907</v>
      </c>
      <c r="AD141" s="51"/>
      <c r="AE141" s="51"/>
    </row>
    <row r="142" spans="1:48" x14ac:dyDescent="0.3">
      <c r="A142" t="s">
        <v>3</v>
      </c>
      <c r="B142" s="13">
        <v>0</v>
      </c>
      <c r="C142" s="29">
        <f>(C131/$L142)*$O142</f>
        <v>1.5014560413518887</v>
      </c>
      <c r="D142" s="31">
        <f>(D131/$L142)*$O142</f>
        <v>0</v>
      </c>
      <c r="E142" s="31">
        <f>(E131/$L142)*$O142</f>
        <v>0</v>
      </c>
      <c r="F142" s="31">
        <f>(F131/$L142)*$O142</f>
        <v>0</v>
      </c>
      <c r="G142" s="32">
        <f>(G131/$L142)*$O142</f>
        <v>0</v>
      </c>
      <c r="H142" s="17">
        <f>SUM(C142:G142)</f>
        <v>1.5014560413518887</v>
      </c>
      <c r="I142" s="17">
        <f>C142/H142*100</f>
        <v>100</v>
      </c>
      <c r="J142" s="17">
        <f>SQRT(I142*(100-I142)/(L142-1))</f>
        <v>0</v>
      </c>
      <c r="K142" s="18">
        <f>100-I142</f>
        <v>0</v>
      </c>
      <c r="L142" s="1">
        <f>H131</f>
        <v>259</v>
      </c>
      <c r="M142">
        <v>0</v>
      </c>
      <c r="N142" s="1">
        <v>2963.59</v>
      </c>
      <c r="O142" s="17">
        <f>N142/N147*100</f>
        <v>1.5014560413518887</v>
      </c>
      <c r="P142" s="52">
        <f>((O142*O142*(I142/100)*(K142/100))/(L142-1))</f>
        <v>0</v>
      </c>
      <c r="S142" s="66" t="s">
        <v>56</v>
      </c>
      <c r="T142" s="67">
        <f>N363*100</f>
        <v>100</v>
      </c>
      <c r="U142" s="67">
        <f>N364*100</f>
        <v>80.616174582798465</v>
      </c>
      <c r="V142" s="67">
        <f>N365*100</f>
        <v>97.46612466124661</v>
      </c>
      <c r="W142" s="67">
        <f>N366*100</f>
        <v>89.230769230769226</v>
      </c>
      <c r="X142" s="67">
        <f>N367*100</f>
        <v>81.318681318681314</v>
      </c>
      <c r="AD142" s="51"/>
      <c r="AE142" s="51"/>
      <c r="AH142" s="78"/>
      <c r="AI142" s="78"/>
    </row>
    <row r="143" spans="1:48" x14ac:dyDescent="0.3">
      <c r="A143" t="s">
        <v>4</v>
      </c>
      <c r="B143" s="13">
        <v>1</v>
      </c>
      <c r="C143" s="33">
        <f t="shared" ref="C143:G146" si="23">(C132/$L143)*$O143</f>
        <v>0</v>
      </c>
      <c r="D143" s="34">
        <f t="shared" si="23"/>
        <v>4.0199513837649397</v>
      </c>
      <c r="E143" s="19">
        <f t="shared" si="23"/>
        <v>0.38285251273951809</v>
      </c>
      <c r="F143" s="18">
        <f t="shared" si="23"/>
        <v>0</v>
      </c>
      <c r="G143" s="20">
        <f t="shared" si="23"/>
        <v>2.5523500849301203E-2</v>
      </c>
      <c r="H143" s="17">
        <f>SUM(C143:G143)</f>
        <v>4.4283273973537591</v>
      </c>
      <c r="I143" s="17">
        <f>D143/H143*100</f>
        <v>90.778097982708928</v>
      </c>
      <c r="J143" s="17">
        <f>SQRT(I143*(100-I143)/(L143-1))</f>
        <v>1.5554739486567051</v>
      </c>
      <c r="K143" s="18">
        <f>100-I143</f>
        <v>9.2219020172910717</v>
      </c>
      <c r="L143" s="1">
        <f>H132</f>
        <v>347</v>
      </c>
      <c r="M143">
        <v>1</v>
      </c>
      <c r="N143" s="1">
        <v>8740.68</v>
      </c>
      <c r="O143" s="17">
        <f>N143/N147*100</f>
        <v>4.4283273973537591</v>
      </c>
      <c r="P143" s="52">
        <f>((O143*O143*(I143/100)*(K143/100))/(L143-1))</f>
        <v>4.7446581529560251E-3</v>
      </c>
      <c r="R143" s="16" t="s">
        <v>66</v>
      </c>
      <c r="S143" t="s">
        <v>9</v>
      </c>
      <c r="T143" s="30">
        <f>N374</f>
        <v>2970.64</v>
      </c>
      <c r="U143" s="30">
        <f>N375</f>
        <v>9007.76</v>
      </c>
      <c r="V143" s="30">
        <f>N376</f>
        <v>123921.39</v>
      </c>
      <c r="W143" s="30">
        <f>N377</f>
        <v>43475.12</v>
      </c>
      <c r="X143" s="30">
        <f>N378</f>
        <v>18006.150000000001</v>
      </c>
      <c r="Z143" t="s">
        <v>36</v>
      </c>
      <c r="AA143" s="1">
        <f>N379</f>
        <v>197381.06</v>
      </c>
      <c r="AD143" s="51"/>
      <c r="AE143" s="51"/>
    </row>
    <row r="144" spans="1:48" ht="15.6" x14ac:dyDescent="0.35">
      <c r="A144" t="s">
        <v>5</v>
      </c>
      <c r="B144" s="13">
        <v>2</v>
      </c>
      <c r="C144" s="33">
        <f t="shared" si="23"/>
        <v>0</v>
      </c>
      <c r="D144" s="19">
        <f t="shared" si="23"/>
        <v>0.93545859265624454</v>
      </c>
      <c r="E144" s="34">
        <f t="shared" si="23"/>
        <v>61.645863037154164</v>
      </c>
      <c r="F144" s="19">
        <f t="shared" si="23"/>
        <v>0.40336287940223386</v>
      </c>
      <c r="G144" s="20">
        <f t="shared" si="23"/>
        <v>9.4404078157969626E-2</v>
      </c>
      <c r="H144" s="17">
        <f>SUM(C144:G144)</f>
        <v>63.079088587370613</v>
      </c>
      <c r="I144" s="17">
        <f>E144/H144*100</f>
        <v>97.72789115646259</v>
      </c>
      <c r="J144" s="17">
        <f>SQRT(I144*(100-I144)/(L144-1))</f>
        <v>0.17382398656141784</v>
      </c>
      <c r="K144" s="18">
        <f>100-I144</f>
        <v>2.2721088435374099</v>
      </c>
      <c r="L144" s="1">
        <f>H133</f>
        <v>7350</v>
      </c>
      <c r="M144">
        <v>2</v>
      </c>
      <c r="N144" s="1">
        <v>124506.18</v>
      </c>
      <c r="O144" s="17">
        <f>N144/N147*100</f>
        <v>63.079088587370613</v>
      </c>
      <c r="P144" s="52">
        <f>((O144*O144*(I144/100)*(K144/100))/(L144-1))</f>
        <v>1.2022373924342477E-2</v>
      </c>
      <c r="R144" s="16" t="s">
        <v>323</v>
      </c>
      <c r="S144" t="s">
        <v>68</v>
      </c>
      <c r="T144" s="57">
        <f>$AA143*T136/100</f>
        <v>2970.6399999999994</v>
      </c>
      <c r="U144" s="57">
        <f>$AA143*U136/100</f>
        <v>10137.942461209506</v>
      </c>
      <c r="V144" s="57">
        <f>$AA143*V136/100</f>
        <v>125153.7375899466</v>
      </c>
      <c r="W144" s="57">
        <f>$AA143*W136/100</f>
        <v>42582.758163297192</v>
      </c>
      <c r="X144" s="57">
        <f>$AA143*X136/100</f>
        <v>16535.981785546719</v>
      </c>
      <c r="Z144" t="s">
        <v>36</v>
      </c>
      <c r="AA144" s="25">
        <f>SUM(T144:X144)</f>
        <v>197381.06000000003</v>
      </c>
      <c r="AD144" s="51"/>
      <c r="AE144" s="51"/>
      <c r="AH144" s="78"/>
      <c r="AI144" s="78"/>
    </row>
    <row r="145" spans="1:35" x14ac:dyDescent="0.3">
      <c r="A145" t="s">
        <v>6</v>
      </c>
      <c r="B145" s="13">
        <v>3</v>
      </c>
      <c r="C145" s="33">
        <f t="shared" si="23"/>
        <v>0</v>
      </c>
      <c r="D145" s="19">
        <f t="shared" si="23"/>
        <v>6.617221849274349E-2</v>
      </c>
      <c r="E145" s="19">
        <f t="shared" si="23"/>
        <v>1.4061596429707992</v>
      </c>
      <c r="F145" s="34">
        <f t="shared" si="23"/>
        <v>19.34710238181588</v>
      </c>
      <c r="G145" s="20">
        <f t="shared" si="23"/>
        <v>1.0008548047027452</v>
      </c>
      <c r="H145" s="17">
        <f>SUM(C145:G145)</f>
        <v>21.820289047982168</v>
      </c>
      <c r="I145" s="17">
        <f>F145/H145*100</f>
        <v>88.665655799848366</v>
      </c>
      <c r="J145" s="17">
        <f>SQRT(I145*(100-I145)/(L145-1))</f>
        <v>0.61733492726890982</v>
      </c>
      <c r="K145" s="18">
        <f>100-I145</f>
        <v>11.334344200151634</v>
      </c>
      <c r="L145" s="1">
        <f>H134</f>
        <v>2638</v>
      </c>
      <c r="M145">
        <v>3</v>
      </c>
      <c r="N145" s="1">
        <v>43069.120000000003</v>
      </c>
      <c r="O145" s="17">
        <f>N145/N147*100</f>
        <v>21.820289047982165</v>
      </c>
      <c r="P145" s="52">
        <f>((O145*O145*(I145/100)*(K145/100))/(L145-1))</f>
        <v>1.8145239150421336E-2</v>
      </c>
      <c r="R145" s="66"/>
      <c r="S145" s="66" t="s">
        <v>67</v>
      </c>
      <c r="T145" s="67">
        <f>$AA143*T137/100</f>
        <v>0</v>
      </c>
      <c r="U145" s="67">
        <f>$AA143*U137/100</f>
        <v>230.42456704546331</v>
      </c>
      <c r="V145" s="67">
        <f>$AA143*V137/100</f>
        <v>332.19729516981386</v>
      </c>
      <c r="W145" s="67">
        <f>$AA143*W137/100</f>
        <v>374.77242743229078</v>
      </c>
      <c r="X145" s="67">
        <f>$AA143*X137/100</f>
        <v>306.26716143600692</v>
      </c>
      <c r="AA145" s="1"/>
      <c r="AD145" s="51"/>
      <c r="AE145" s="51"/>
    </row>
    <row r="146" spans="1:35" x14ac:dyDescent="0.3">
      <c r="A146" t="s">
        <v>7</v>
      </c>
      <c r="B146" s="13">
        <v>4</v>
      </c>
      <c r="C146" s="35">
        <f t="shared" si="23"/>
        <v>0</v>
      </c>
      <c r="D146" s="36">
        <f t="shared" si="23"/>
        <v>9.2634736625672558E-3</v>
      </c>
      <c r="E146" s="21">
        <f t="shared" si="23"/>
        <v>0.12968863127594157</v>
      </c>
      <c r="F146" s="21">
        <f t="shared" si="23"/>
        <v>1.7971138905380477</v>
      </c>
      <c r="G146" s="37">
        <f t="shared" si="23"/>
        <v>7.2347729304650263</v>
      </c>
      <c r="H146" s="17">
        <f>SUM(C146:G146)</f>
        <v>9.1708389259415828</v>
      </c>
      <c r="I146" s="17">
        <f>G146/H146*100</f>
        <v>78.888888888888886</v>
      </c>
      <c r="J146" s="17">
        <f>SQRT(I146*(100-I146)/(L146-1))</f>
        <v>1.2976731524080785</v>
      </c>
      <c r="K146" s="18">
        <f>100-I146</f>
        <v>21.111111111111114</v>
      </c>
      <c r="L146" s="1">
        <f>H135</f>
        <v>990</v>
      </c>
      <c r="M146">
        <v>4</v>
      </c>
      <c r="N146" s="1">
        <v>18101.5</v>
      </c>
      <c r="O146" s="17">
        <f>N146/N147*100</f>
        <v>9.1708389259415828</v>
      </c>
      <c r="P146" s="52">
        <f>((O146*O146*(I146/100)*(K146/100))/(L146-1))</f>
        <v>1.4162788529492027E-2</v>
      </c>
      <c r="R146" t="s">
        <v>106</v>
      </c>
      <c r="S146" t="s">
        <v>28</v>
      </c>
      <c r="T146" s="57">
        <f>C408</f>
        <v>1.5155860691200023</v>
      </c>
      <c r="U146" s="57">
        <f t="shared" ref="U146:X149" si="24">D408</f>
        <v>4.8849201335994161</v>
      </c>
      <c r="V146" s="57">
        <f t="shared" si="24"/>
        <v>63.769042938649228</v>
      </c>
      <c r="W146" s="57">
        <f t="shared" si="24"/>
        <v>21.585199855408778</v>
      </c>
      <c r="X146" s="57">
        <f t="shared" si="24"/>
        <v>8.2452510032225597</v>
      </c>
      <c r="Y146" s="60"/>
      <c r="Z146" s="74"/>
      <c r="AA146" s="12"/>
      <c r="AD146" s="51"/>
      <c r="AE146" s="51"/>
      <c r="AH146" s="78"/>
      <c r="AI146" s="78"/>
    </row>
    <row r="147" spans="1:35" x14ac:dyDescent="0.3">
      <c r="B147" t="s">
        <v>28</v>
      </c>
      <c r="C147" s="17">
        <f t="shared" ref="C147:H147" si="25">SUM(C142:C146)</f>
        <v>1.5014560413518887</v>
      </c>
      <c r="D147" s="17">
        <f t="shared" si="25"/>
        <v>5.0308456685764957</v>
      </c>
      <c r="E147" s="17">
        <f t="shared" si="25"/>
        <v>63.564563824140421</v>
      </c>
      <c r="F147" s="17">
        <f t="shared" si="25"/>
        <v>21.54757915175616</v>
      </c>
      <c r="G147" s="17">
        <f t="shared" si="25"/>
        <v>8.3555553141750423</v>
      </c>
      <c r="H147" s="18">
        <f t="shared" si="25"/>
        <v>100.00000000000001</v>
      </c>
      <c r="I147" s="13" t="s">
        <v>24</v>
      </c>
      <c r="J147" s="12" t="s">
        <v>29</v>
      </c>
      <c r="N147" s="1">
        <f>SUM(N142:N146)</f>
        <v>197381.06999999998</v>
      </c>
      <c r="O147" s="17">
        <f>SUM(O142:O146)</f>
        <v>100</v>
      </c>
      <c r="S147" s="66" t="s">
        <v>39</v>
      </c>
      <c r="T147" s="67">
        <f>C409</f>
        <v>0</v>
      </c>
      <c r="U147" s="67">
        <f t="shared" si="24"/>
        <v>0.11576659379042346</v>
      </c>
      <c r="V147" s="67">
        <f t="shared" si="24"/>
        <v>0.16622549084816465</v>
      </c>
      <c r="W147" s="67">
        <f t="shared" si="24"/>
        <v>0.18569293278402388</v>
      </c>
      <c r="X147" s="67">
        <f t="shared" si="24"/>
        <v>0.15233448772544475</v>
      </c>
      <c r="AD147" s="51"/>
      <c r="AE147" s="51"/>
    </row>
    <row r="148" spans="1:35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0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0.11520251288829439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0.1689678187310257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0.18698459122459141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0.15225040362012957</v>
      </c>
      <c r="H148" s="1"/>
      <c r="I148" s="56">
        <f>(C142+D143+E144+F145+G146)/H147</f>
        <v>0.93749145774551879</v>
      </c>
      <c r="J148" s="53">
        <f>SQRT(SUM(P142:P146))/100</f>
        <v>2.2152891404331821E-3</v>
      </c>
      <c r="M148" s="1"/>
      <c r="N148" s="9"/>
      <c r="S148" t="s">
        <v>30</v>
      </c>
      <c r="T148" s="57">
        <f>C410</f>
        <v>100</v>
      </c>
      <c r="U148" s="57">
        <f t="shared" si="24"/>
        <v>79.8281266840266</v>
      </c>
      <c r="V148" s="57">
        <f t="shared" si="24"/>
        <v>96.996140327672364</v>
      </c>
      <c r="W148" s="57">
        <f t="shared" si="24"/>
        <v>89.668737543372927</v>
      </c>
      <c r="X148" s="57">
        <f t="shared" si="24"/>
        <v>87.04628554484016</v>
      </c>
      <c r="AD148" s="51"/>
      <c r="AE148" s="51"/>
      <c r="AH148" s="78"/>
      <c r="AI148" s="78"/>
    </row>
    <row r="149" spans="1:35" x14ac:dyDescent="0.3">
      <c r="B149" s="1" t="s">
        <v>30</v>
      </c>
      <c r="C149" s="17">
        <f>C142/C147*100</f>
        <v>100</v>
      </c>
      <c r="D149" s="17">
        <f>D143/D147*100</f>
        <v>79.906076405289653</v>
      </c>
      <c r="E149" s="17">
        <f>E144/E147*100</f>
        <v>96.981493033925958</v>
      </c>
      <c r="F149" s="17">
        <f>F145/F147*100</f>
        <v>89.787823706585897</v>
      </c>
      <c r="G149" s="17">
        <f>G146/G147*100</f>
        <v>86.586380658522728</v>
      </c>
      <c r="H149" s="1"/>
      <c r="S149" s="66" t="s">
        <v>39</v>
      </c>
      <c r="T149" s="67">
        <f>C411</f>
        <v>0</v>
      </c>
      <c r="U149" s="67">
        <f t="shared" si="24"/>
        <v>3.3014686356290679</v>
      </c>
      <c r="V149" s="67">
        <f t="shared" si="24"/>
        <v>0.20166901389637643</v>
      </c>
      <c r="W149" s="67">
        <f t="shared" si="24"/>
        <v>0.83387835101196994</v>
      </c>
      <c r="X149" s="67">
        <f t="shared" si="24"/>
        <v>2.1372199090750525</v>
      </c>
      <c r="AD149" s="51"/>
      <c r="AE149" s="51"/>
    </row>
    <row r="150" spans="1:35" x14ac:dyDescent="0.3">
      <c r="B150" s="16" t="s">
        <v>39</v>
      </c>
      <c r="C150" s="18">
        <f>SQRT((C153+C154)/(C147*C147))</f>
        <v>0</v>
      </c>
      <c r="D150" s="18">
        <f>SQRT((D153+D154)/(D147*D147))</f>
        <v>3.1183639443981201</v>
      </c>
      <c r="E150" s="18">
        <f>SQRT((E153+E154)/(E147*E147))</f>
        <v>0.20305366279696421</v>
      </c>
      <c r="F150" s="18">
        <f>SQRT((F153+F154)/(F147*F147))</f>
        <v>0.83663159532025144</v>
      </c>
      <c r="G150" s="18">
        <f>SQRT((G153+G154)/(G147*G147))</f>
        <v>2.149486226235255</v>
      </c>
      <c r="H150" s="1"/>
      <c r="S150" s="15" t="s">
        <v>31</v>
      </c>
      <c r="T150" s="71">
        <f>I403</f>
        <v>100</v>
      </c>
      <c r="U150" s="71">
        <f>I404</f>
        <v>89.625360230547557</v>
      </c>
      <c r="V150" s="71">
        <f>I405</f>
        <v>97.904761904761912</v>
      </c>
      <c r="W150" s="71">
        <f>I406</f>
        <v>88.931008339651243</v>
      </c>
      <c r="X150" s="71">
        <f>I407</f>
        <v>78.080808080808083</v>
      </c>
      <c r="AD150" s="51"/>
      <c r="AE150" s="51"/>
      <c r="AH150" s="78"/>
      <c r="AI150" s="78"/>
    </row>
    <row r="151" spans="1:35" x14ac:dyDescent="0.3">
      <c r="B151" s="1" t="s">
        <v>37</v>
      </c>
      <c r="C151" s="18">
        <f>100-C149</f>
        <v>0</v>
      </c>
      <c r="D151" s="18">
        <f>100-D149</f>
        <v>20.093923594710347</v>
      </c>
      <c r="E151" s="18">
        <f>100-E149</f>
        <v>3.0185069660740425</v>
      </c>
      <c r="F151" s="18">
        <f>100-F149</f>
        <v>10.212176293414103</v>
      </c>
      <c r="G151" s="18">
        <f>100-G149</f>
        <v>13.413619341477272</v>
      </c>
      <c r="S151" s="75" t="s">
        <v>39</v>
      </c>
      <c r="T151" s="76">
        <f>J403</f>
        <v>0</v>
      </c>
      <c r="U151" s="76">
        <f>J404</f>
        <v>1.639320691997745</v>
      </c>
      <c r="V151" s="76">
        <f>J405</f>
        <v>0.16707230908562332</v>
      </c>
      <c r="W151" s="76">
        <f>J406</f>
        <v>0.61097800139332159</v>
      </c>
      <c r="X151" s="76">
        <f>J407</f>
        <v>1.3154861302486107</v>
      </c>
      <c r="AD151" s="51"/>
      <c r="AE151" s="51"/>
    </row>
    <row r="152" spans="1:35" ht="15.6" x14ac:dyDescent="0.35">
      <c r="B152" s="1" t="s">
        <v>25</v>
      </c>
      <c r="C152" s="1">
        <f>C136</f>
        <v>259</v>
      </c>
      <c r="D152" s="1">
        <f>D136</f>
        <v>433</v>
      </c>
      <c r="E152" s="1">
        <f>E136</f>
        <v>7397</v>
      </c>
      <c r="F152" s="1">
        <f>F136</f>
        <v>2580</v>
      </c>
      <c r="G152" s="1">
        <f>G136</f>
        <v>915</v>
      </c>
      <c r="S152" s="66" t="s">
        <v>56</v>
      </c>
      <c r="T152" s="67">
        <f>N392*100</f>
        <v>100</v>
      </c>
      <c r="U152" s="67">
        <f>N393*100</f>
        <v>80.465717981888758</v>
      </c>
      <c r="V152" s="67">
        <f>N394*100</f>
        <v>97.51338166542449</v>
      </c>
      <c r="W152" s="67">
        <f>N395*100</f>
        <v>89.764683374784767</v>
      </c>
      <c r="X152" s="67">
        <f>N396*100</f>
        <v>81.755684822845069</v>
      </c>
      <c r="AD152" s="51"/>
      <c r="AE152" s="51"/>
      <c r="AH152" s="78"/>
      <c r="AI152" s="78"/>
    </row>
    <row r="153" spans="1:35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191.57305308322512</v>
      </c>
      <c r="E153" s="18">
        <f>(O144*O144*(100-E149)*(100-E149)*(I144)*(100-I144))/((L144-1)*100)</f>
        <v>10.954046907392851</v>
      </c>
      <c r="F153" s="18">
        <f>(O145*O145*(100-F149)*(100-F149)*(I145)*(100-I145))/((L145-1)*100)</f>
        <v>189.23405832831617</v>
      </c>
      <c r="G153" s="18">
        <f>(O146*O146*(100-G149)*(100-G149)*(I146)*(100-I146))/((L146-1)*100)</f>
        <v>254.82423298283237</v>
      </c>
      <c r="R153" s="16" t="s">
        <v>66</v>
      </c>
      <c r="S153" t="s">
        <v>9</v>
      </c>
      <c r="T153" s="30">
        <f>N403</f>
        <v>2991.48</v>
      </c>
      <c r="U153" s="30">
        <f>N404</f>
        <v>8587.92</v>
      </c>
      <c r="V153" s="30">
        <f>N405</f>
        <v>124699.88</v>
      </c>
      <c r="W153" s="30">
        <f>N406</f>
        <v>42958.53</v>
      </c>
      <c r="X153" s="30">
        <f>N407</f>
        <v>18143.259999999998</v>
      </c>
      <c r="Z153" t="s">
        <v>36</v>
      </c>
      <c r="AA153" s="1">
        <f>N408</f>
        <v>197381.07</v>
      </c>
      <c r="AD153" s="51"/>
      <c r="AE153" s="51"/>
    </row>
    <row r="154" spans="1:35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54.540533852430094</v>
      </c>
      <c r="E154" s="18">
        <f>E149*E149*(SUM((H142*E142*(1-E131/H131))/(H131-1),(H143*E143*(1-E132/H132))/(H132-1), (H145*E145*(1-E134/H134))/(H134-1),(H146*E146*(1-E135/H135))/(H135-1)))</f>
        <v>155.63705405947832</v>
      </c>
      <c r="F154" s="18">
        <f>F149*F149*(SUM((H142*F142*(1-F131/H131))/(H131-1),(H143*F143*(1-F132/H132))/(H132-1), (H144*F144*(1-F133/H133))/(H133-1),(H146*F146*(1-F135/H135))/(H135-1)))</f>
        <v>135.75257039527887</v>
      </c>
      <c r="G154" s="18">
        <f>G149*G149*(SUM((H142*G142*(1-G131/H131))/(H131-1),(H143*G143*(1-G132/H132))/(H132-1), (H144*G144*(1-G133/H133))/(H133-1),(H145*G145*(1-G134/H134))/(H134-1)))</f>
        <v>67.742793128335038</v>
      </c>
      <c r="R154" s="16" t="s">
        <v>323</v>
      </c>
      <c r="S154" t="s">
        <v>68</v>
      </c>
      <c r="T154" s="57">
        <f>$AA153*T146/100</f>
        <v>2991.48</v>
      </c>
      <c r="U154" s="57">
        <f>$AA153*U146/100</f>
        <v>9641.9076283439572</v>
      </c>
      <c r="V154" s="57">
        <f>$AA153*V146/100</f>
        <v>125868.0192810653</v>
      </c>
      <c r="W154" s="57">
        <f>$AA153*W146/100</f>
        <v>42605.098436244298</v>
      </c>
      <c r="X154" s="57">
        <f>$AA153*X146/100</f>
        <v>16274.564654346423</v>
      </c>
      <c r="Z154" t="s">
        <v>36</v>
      </c>
      <c r="AA154" s="25">
        <f>SUM(T154:X154)</f>
        <v>197381.06999999995</v>
      </c>
      <c r="AD154" s="51"/>
      <c r="AE154" s="51"/>
      <c r="AH154" s="78"/>
      <c r="AI154" s="78"/>
    </row>
    <row r="155" spans="1:35" x14ac:dyDescent="0.3">
      <c r="R155" s="66"/>
      <c r="S155" s="66" t="s">
        <v>67</v>
      </c>
      <c r="T155" s="67">
        <f>$AA153*T147/100</f>
        <v>0</v>
      </c>
      <c r="U155" s="67">
        <f>$AA153*U147/100</f>
        <v>228.50134152609138</v>
      </c>
      <c r="V155" s="67">
        <f>$AA153*V147/100</f>
        <v>328.09765244885944</v>
      </c>
      <c r="W155" s="67">
        <f>$AA153*W147/100</f>
        <v>366.52269764348711</v>
      </c>
      <c r="X155" s="67">
        <f>$AA153*X147/100</f>
        <v>300.67944185150151</v>
      </c>
      <c r="AA155" s="1"/>
      <c r="AD155" s="51"/>
      <c r="AE155" s="51"/>
    </row>
    <row r="156" spans="1:35" x14ac:dyDescent="0.3">
      <c r="R156" t="s">
        <v>107</v>
      </c>
      <c r="S156" t="s">
        <v>28</v>
      </c>
      <c r="T156" s="57">
        <f>C437</f>
        <v>1.5168476651204525</v>
      </c>
      <c r="U156" s="57">
        <f t="shared" ref="U156:X159" si="26">D437</f>
        <v>4.8878433550175693</v>
      </c>
      <c r="V156" s="57">
        <f t="shared" si="26"/>
        <v>63.576058706210084</v>
      </c>
      <c r="W156" s="57">
        <f t="shared" si="26"/>
        <v>21.712460594568029</v>
      </c>
      <c r="X156" s="57">
        <f t="shared" si="26"/>
        <v>8.3067896790838578</v>
      </c>
      <c r="Z156" s="74"/>
      <c r="AA156" s="12"/>
      <c r="AD156" s="51"/>
      <c r="AE156" s="51"/>
      <c r="AH156" s="78"/>
      <c r="AI156" s="78"/>
    </row>
    <row r="157" spans="1:35" x14ac:dyDescent="0.3">
      <c r="A157" s="361" t="s">
        <v>455</v>
      </c>
      <c r="B157" s="361"/>
      <c r="C157" s="361"/>
      <c r="D157" s="361"/>
      <c r="E157" s="361"/>
      <c r="F157" s="361"/>
      <c r="G157" s="361"/>
      <c r="H157" s="361"/>
      <c r="I157" s="361"/>
      <c r="J157" s="361"/>
      <c r="K157" s="361"/>
      <c r="L157" s="361" t="s">
        <v>83</v>
      </c>
      <c r="M157" s="361"/>
      <c r="N157" s="361"/>
      <c r="O157" s="361"/>
      <c r="P157" s="361"/>
      <c r="S157" s="66" t="s">
        <v>39</v>
      </c>
      <c r="T157" s="67">
        <f>C438</f>
        <v>0</v>
      </c>
      <c r="U157" s="67">
        <f t="shared" si="26"/>
        <v>0.11375396187272782</v>
      </c>
      <c r="V157" s="67">
        <f t="shared" si="26"/>
        <v>0.16444008404992655</v>
      </c>
      <c r="W157" s="67">
        <f t="shared" si="26"/>
        <v>0.18692445493356599</v>
      </c>
      <c r="X157" s="67">
        <f t="shared" si="26"/>
        <v>0.15270157556346176</v>
      </c>
      <c r="AD157" s="51"/>
      <c r="AE157" s="51"/>
    </row>
    <row r="158" spans="1:35" x14ac:dyDescent="0.3">
      <c r="A158" t="s">
        <v>320</v>
      </c>
      <c r="B158" t="s">
        <v>21</v>
      </c>
      <c r="I158" s="1" t="s">
        <v>58</v>
      </c>
      <c r="O158" s="143"/>
      <c r="P158" s="143"/>
      <c r="S158" t="s">
        <v>30</v>
      </c>
      <c r="T158" s="57">
        <f>C439</f>
        <v>100</v>
      </c>
      <c r="U158" s="57">
        <f t="shared" si="26"/>
        <v>79.320018415177401</v>
      </c>
      <c r="V158" s="57">
        <f t="shared" si="26"/>
        <v>97.084412861197706</v>
      </c>
      <c r="W158" s="57">
        <f t="shared" si="26"/>
        <v>89.525491761712487</v>
      </c>
      <c r="X158" s="57">
        <f t="shared" si="26"/>
        <v>87.620500211989111</v>
      </c>
      <c r="AD158" s="51"/>
      <c r="AE158" s="51"/>
      <c r="AH158" s="78"/>
      <c r="AI158" s="78"/>
    </row>
    <row r="159" spans="1:35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56</v>
      </c>
      <c r="O159" s="13"/>
      <c r="P159" s="13"/>
      <c r="S159" s="66" t="s">
        <v>39</v>
      </c>
      <c r="T159" s="67">
        <f>C440</f>
        <v>0</v>
      </c>
      <c r="U159" s="67">
        <f t="shared" si="26"/>
        <v>3.18578637305614</v>
      </c>
      <c r="V159" s="67">
        <f t="shared" si="26"/>
        <v>0.19811607647346927</v>
      </c>
      <c r="W159" s="67">
        <f t="shared" si="26"/>
        <v>0.83961915901001061</v>
      </c>
      <c r="X159" s="67">
        <f t="shared" si="26"/>
        <v>2.0647256439387616</v>
      </c>
      <c r="AD159" s="51"/>
      <c r="AE159" s="51"/>
    </row>
    <row r="160" spans="1:35" x14ac:dyDescent="0.3">
      <c r="A160" t="s">
        <v>3</v>
      </c>
      <c r="B160" s="13">
        <v>0</v>
      </c>
      <c r="C160" s="26">
        <v>259</v>
      </c>
      <c r="D160" s="3">
        <v>0</v>
      </c>
      <c r="E160" s="3">
        <v>0</v>
      </c>
      <c r="F160" s="3">
        <v>0</v>
      </c>
      <c r="G160" s="4">
        <v>0</v>
      </c>
      <c r="H160" s="1">
        <f>SUM(C160:G160)</f>
        <v>259</v>
      </c>
      <c r="I160" s="10">
        <f>C160/H160</f>
        <v>1</v>
      </c>
      <c r="J160" s="11">
        <f>1-I160</f>
        <v>0</v>
      </c>
      <c r="K160">
        <f>H160-C165</f>
        <v>0</v>
      </c>
      <c r="N160" s="10">
        <f>2*(C166*I160)/(C166+I160)</f>
        <v>1</v>
      </c>
      <c r="O160" s="1"/>
      <c r="P160" s="1"/>
      <c r="S160" s="15" t="s">
        <v>31</v>
      </c>
      <c r="T160" s="71">
        <f>I432</f>
        <v>100</v>
      </c>
      <c r="U160" s="71">
        <f>I433</f>
        <v>90.778097982708942</v>
      </c>
      <c r="V160" s="71">
        <f>I434</f>
        <v>97.877551020408163</v>
      </c>
      <c r="W160" s="71">
        <f>I435</f>
        <v>89.044730856709634</v>
      </c>
      <c r="X160" s="71">
        <f>I436</f>
        <v>78.080808080808083</v>
      </c>
      <c r="AD160" s="51"/>
      <c r="AE160" s="51"/>
      <c r="AH160" s="78"/>
      <c r="AI160" s="78"/>
    </row>
    <row r="161" spans="1:35" x14ac:dyDescent="0.3">
      <c r="A161" t="s">
        <v>4</v>
      </c>
      <c r="B161" s="13">
        <v>1</v>
      </c>
      <c r="C161" s="5">
        <v>0</v>
      </c>
      <c r="D161" s="27">
        <v>312</v>
      </c>
      <c r="E161" s="1">
        <v>33</v>
      </c>
      <c r="F161" s="1">
        <v>0</v>
      </c>
      <c r="G161" s="6">
        <v>2</v>
      </c>
      <c r="H161" s="1">
        <f>SUM(C161:G161)</f>
        <v>347</v>
      </c>
      <c r="I161" s="10">
        <f>D161/H161</f>
        <v>0.89913544668587897</v>
      </c>
      <c r="J161" s="11">
        <f>1-I161</f>
        <v>0.10086455331412103</v>
      </c>
      <c r="K161">
        <f>H161-D165</f>
        <v>-96</v>
      </c>
      <c r="N161" s="10">
        <f>2*(D166*I161)/(D166+I161)</f>
        <v>0.78987341772151898</v>
      </c>
      <c r="O161" s="1"/>
      <c r="P161" s="1"/>
      <c r="S161" s="75" t="s">
        <v>39</v>
      </c>
      <c r="T161" s="76">
        <f>J432</f>
        <v>0</v>
      </c>
      <c r="U161" s="76">
        <f>J433</f>
        <v>1.555473948656704</v>
      </c>
      <c r="V161" s="76">
        <f>J434</f>
        <v>0.16813032525799282</v>
      </c>
      <c r="W161" s="76">
        <f>J435</f>
        <v>0.60821982743562353</v>
      </c>
      <c r="X161" s="76">
        <f>J436</f>
        <v>1.3154861302486107</v>
      </c>
      <c r="AD161" s="51"/>
      <c r="AE161" s="51"/>
    </row>
    <row r="162" spans="1:35" x14ac:dyDescent="0.3">
      <c r="A162" t="s">
        <v>5</v>
      </c>
      <c r="B162" s="13">
        <v>2</v>
      </c>
      <c r="C162" s="5">
        <v>0</v>
      </c>
      <c r="D162" s="1">
        <v>121</v>
      </c>
      <c r="E162" s="27">
        <v>7182</v>
      </c>
      <c r="F162" s="1">
        <v>40</v>
      </c>
      <c r="G162" s="6">
        <v>7</v>
      </c>
      <c r="H162" s="1">
        <f>SUM(C162:G162)</f>
        <v>7350</v>
      </c>
      <c r="I162" s="10">
        <f>E162/H162</f>
        <v>0.97714285714285709</v>
      </c>
      <c r="J162" s="11">
        <f>1-I162</f>
        <v>2.2857142857142909E-2</v>
      </c>
      <c r="K162">
        <f>H162-E165</f>
        <v>-55</v>
      </c>
      <c r="N162" s="10">
        <f>2*(E166*I162)/(E166+I162)</f>
        <v>0.97350050830227042</v>
      </c>
      <c r="O162" s="1"/>
      <c r="P162" s="1"/>
      <c r="S162" s="66" t="s">
        <v>56</v>
      </c>
      <c r="T162" s="67">
        <f>N421*100</f>
        <v>100</v>
      </c>
      <c r="U162" s="67">
        <f>N422*100</f>
        <v>80.769230769230774</v>
      </c>
      <c r="V162" s="67">
        <f>N423*100</f>
        <v>97.532537960954443</v>
      </c>
      <c r="W162" s="67">
        <f>N424*100</f>
        <v>89.793577981651381</v>
      </c>
      <c r="X162" s="67">
        <f>N425*100</f>
        <v>81.972428419936378</v>
      </c>
      <c r="AD162" s="51"/>
      <c r="AE162" s="51"/>
      <c r="AH162" s="78"/>
      <c r="AI162" s="78"/>
    </row>
    <row r="163" spans="1:35" x14ac:dyDescent="0.3">
      <c r="A163" t="s">
        <v>6</v>
      </c>
      <c r="B163" s="13">
        <v>3</v>
      </c>
      <c r="C163" s="5">
        <v>0</v>
      </c>
      <c r="D163" s="1">
        <v>10</v>
      </c>
      <c r="E163" s="1">
        <v>179</v>
      </c>
      <c r="F163" s="27">
        <v>2326</v>
      </c>
      <c r="G163" s="6">
        <v>123</v>
      </c>
      <c r="H163" s="1">
        <f>SUM(C163:G163)</f>
        <v>2638</v>
      </c>
      <c r="I163" s="10">
        <f>F163/H163</f>
        <v>0.8817285822592873</v>
      </c>
      <c r="J163" s="11">
        <f>1-I163</f>
        <v>0.1182714177407127</v>
      </c>
      <c r="K163">
        <f>H163-F165</f>
        <v>76</v>
      </c>
      <c r="N163" s="10">
        <f>2*(F166*I163)/(F166+I163)</f>
        <v>0.89461538461538459</v>
      </c>
      <c r="O163" s="1"/>
      <c r="P163" s="1"/>
      <c r="R163" s="16" t="s">
        <v>66</v>
      </c>
      <c r="S163" t="s">
        <v>9</v>
      </c>
      <c r="T163" s="30">
        <f>N432</f>
        <v>2993.97</v>
      </c>
      <c r="U163" s="30">
        <f>N433</f>
        <v>8429.94</v>
      </c>
      <c r="V163" s="30">
        <f>N434</f>
        <v>124470.23</v>
      </c>
      <c r="W163" s="30">
        <f>N435</f>
        <v>43087.67</v>
      </c>
      <c r="X163" s="30">
        <f>N436</f>
        <v>18399.25</v>
      </c>
      <c r="Z163" t="s">
        <v>36</v>
      </c>
      <c r="AA163" s="1">
        <f>N437</f>
        <v>197381.06</v>
      </c>
      <c r="AD163" s="51"/>
      <c r="AE163" s="51"/>
    </row>
    <row r="164" spans="1:35" ht="15.6" x14ac:dyDescent="0.35">
      <c r="A164" t="s">
        <v>7</v>
      </c>
      <c r="B164" s="13">
        <v>4</v>
      </c>
      <c r="C164" s="7">
        <v>0</v>
      </c>
      <c r="D164" s="8">
        <v>0</v>
      </c>
      <c r="E164" s="8">
        <v>11</v>
      </c>
      <c r="F164" s="8">
        <v>196</v>
      </c>
      <c r="G164" s="28">
        <v>783</v>
      </c>
      <c r="H164" s="1">
        <f>SUM(C164:G164)</f>
        <v>990</v>
      </c>
      <c r="I164" s="10">
        <f>G164/H164</f>
        <v>0.79090909090909089</v>
      </c>
      <c r="J164" s="11">
        <f>1-I164</f>
        <v>0.20909090909090911</v>
      </c>
      <c r="K164">
        <f>H164-G165</f>
        <v>75</v>
      </c>
      <c r="N164" s="10">
        <f>2*(G166*I164)/(G166+I164)</f>
        <v>0.82204724409448815</v>
      </c>
      <c r="O164" s="1"/>
      <c r="P164" s="1"/>
      <c r="R164" s="16" t="s">
        <v>323</v>
      </c>
      <c r="S164" t="s">
        <v>68</v>
      </c>
      <c r="T164" s="57">
        <f>$AA163*T156/100</f>
        <v>2993.9699999999993</v>
      </c>
      <c r="U164" s="57">
        <f>$AA163*U156/100</f>
        <v>9647.6770252732404</v>
      </c>
      <c r="V164" s="57">
        <f>$AA163*V156/100</f>
        <v>125487.09858053975</v>
      </c>
      <c r="W164" s="57">
        <f>$AA163*W156/100</f>
        <v>42856.284873640674</v>
      </c>
      <c r="X164" s="57">
        <f>$AA163*X156/100</f>
        <v>16396.029520546315</v>
      </c>
      <c r="Z164" t="s">
        <v>36</v>
      </c>
      <c r="AA164" s="25">
        <f>SUM(T164:X164)</f>
        <v>197381.06</v>
      </c>
      <c r="AD164" s="51"/>
      <c r="AE164" s="51"/>
      <c r="AH164" s="78"/>
      <c r="AI164" s="78"/>
    </row>
    <row r="165" spans="1:35" ht="15.6" x14ac:dyDescent="0.35">
      <c r="B165" s="1" t="s">
        <v>19</v>
      </c>
      <c r="C165" s="1">
        <f>SUM(C160:C164)</f>
        <v>259</v>
      </c>
      <c r="D165" s="1">
        <f>SUM(D160:D164)</f>
        <v>443</v>
      </c>
      <c r="E165" s="1">
        <f>SUM(E160:E164)</f>
        <v>7405</v>
      </c>
      <c r="F165" s="1">
        <f>SUM(F160:F164)</f>
        <v>2562</v>
      </c>
      <c r="G165" s="1">
        <f>SUM(G160:G164)</f>
        <v>915</v>
      </c>
      <c r="H165" s="1">
        <f>SUM(H159:H164)</f>
        <v>11584</v>
      </c>
      <c r="I165" s="13" t="s">
        <v>12</v>
      </c>
      <c r="N165" s="16"/>
      <c r="O165" s="1"/>
      <c r="P165" s="1"/>
      <c r="R165" s="66"/>
      <c r="S165" s="66" t="s">
        <v>67</v>
      </c>
      <c r="T165" s="67">
        <f>$AA163*T157/100</f>
        <v>0</v>
      </c>
      <c r="U165" s="67">
        <f>$AA163*U157/100</f>
        <v>224.52877573638602</v>
      </c>
      <c r="V165" s="67">
        <f>$AA163*V157/100</f>
        <v>324.57358096263596</v>
      </c>
      <c r="W165" s="67">
        <f>$AA163*W157/100</f>
        <v>368.95347054709487</v>
      </c>
      <c r="X165" s="67">
        <f>$AA163*X157/100</f>
        <v>301.40398848386178</v>
      </c>
      <c r="AA165" s="1"/>
      <c r="AD165" s="51"/>
      <c r="AE165" s="51"/>
    </row>
    <row r="166" spans="1:35" x14ac:dyDescent="0.3">
      <c r="A166" s="1" t="s">
        <v>321</v>
      </c>
      <c r="B166" s="1" t="s">
        <v>2</v>
      </c>
      <c r="C166" s="10">
        <f>C160/C165</f>
        <v>1</v>
      </c>
      <c r="D166" s="10">
        <f>D161/D165</f>
        <v>0.70428893905191869</v>
      </c>
      <c r="E166" s="10">
        <f>E162/E165</f>
        <v>0.96988521269412564</v>
      </c>
      <c r="F166" s="10">
        <f>F163/F165</f>
        <v>0.90788446526151445</v>
      </c>
      <c r="G166" s="10">
        <f>G164/G165</f>
        <v>0.8557377049180328</v>
      </c>
      <c r="H166" s="10"/>
      <c r="I166" s="14">
        <f>(C160+D161+E162+F163+G164)/H165</f>
        <v>0.93767265193370164</v>
      </c>
      <c r="R166" t="s">
        <v>108</v>
      </c>
      <c r="S166" t="s">
        <v>28</v>
      </c>
      <c r="T166" s="57">
        <f>C466</f>
        <v>1.5386076050052626</v>
      </c>
      <c r="U166" s="57">
        <f t="shared" ref="U166:X169" si="27">D466</f>
        <v>5.2097915279534641</v>
      </c>
      <c r="V166" s="57">
        <f t="shared" si="27"/>
        <v>63.823869250640087</v>
      </c>
      <c r="W166" s="57">
        <f t="shared" si="27"/>
        <v>21.550897518073974</v>
      </c>
      <c r="X166" s="57">
        <f t="shared" si="27"/>
        <v>7.8768340983272171</v>
      </c>
      <c r="Z166" s="74"/>
      <c r="AA166" s="12"/>
      <c r="AD166" s="51"/>
      <c r="AE166" s="51"/>
      <c r="AH166" s="78"/>
      <c r="AI166" s="78"/>
    </row>
    <row r="167" spans="1:35" x14ac:dyDescent="0.3">
      <c r="B167" s="1" t="s">
        <v>14</v>
      </c>
      <c r="C167" s="11">
        <f>1-C166</f>
        <v>0</v>
      </c>
      <c r="D167" s="11">
        <f>1-D166</f>
        <v>0.29571106094808131</v>
      </c>
      <c r="E167" s="11">
        <f>1-E166</f>
        <v>3.0114787305874358E-2</v>
      </c>
      <c r="F167" s="11">
        <f>1-F166</f>
        <v>9.2115534738485549E-2</v>
      </c>
      <c r="G167" s="11">
        <f>1-G166</f>
        <v>0.1442622950819672</v>
      </c>
      <c r="S167" s="66" t="s">
        <v>39</v>
      </c>
      <c r="T167" s="67">
        <f>C467</f>
        <v>0</v>
      </c>
      <c r="U167" s="67">
        <f t="shared" si="27"/>
        <v>0.12221830687237194</v>
      </c>
      <c r="V167" s="67">
        <f t="shared" si="27"/>
        <v>0.17189695624268012</v>
      </c>
      <c r="W167" s="67">
        <f t="shared" si="27"/>
        <v>0.18816733524690563</v>
      </c>
      <c r="X167" s="67">
        <f t="shared" si="27"/>
        <v>0.15259860838551514</v>
      </c>
      <c r="AD167" s="51"/>
      <c r="AE167" s="51"/>
    </row>
    <row r="168" spans="1:35" x14ac:dyDescent="0.3">
      <c r="C168" s="2"/>
      <c r="S168" t="s">
        <v>30</v>
      </c>
      <c r="T168" s="57">
        <f>C468</f>
        <v>100</v>
      </c>
      <c r="U168" s="57">
        <f t="shared" si="27"/>
        <v>78.79680192621187</v>
      </c>
      <c r="V168" s="57">
        <f t="shared" si="27"/>
        <v>96.760916832152461</v>
      </c>
      <c r="W168" s="57">
        <f t="shared" si="27"/>
        <v>89.106376415663803</v>
      </c>
      <c r="X168" s="57">
        <f t="shared" si="27"/>
        <v>86.878327076155585</v>
      </c>
      <c r="AD168" s="51"/>
      <c r="AE168" s="51"/>
      <c r="AH168" s="78"/>
      <c r="AI168" s="78"/>
    </row>
    <row r="169" spans="1:35" ht="15.6" x14ac:dyDescent="0.35">
      <c r="A169" t="s">
        <v>322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0</v>
      </c>
      <c r="U169" s="67">
        <f t="shared" si="27"/>
        <v>3.3867434228239124</v>
      </c>
      <c r="V169" s="67">
        <f t="shared" si="27"/>
        <v>0.21035091623431554</v>
      </c>
      <c r="W169" s="67">
        <f t="shared" si="27"/>
        <v>0.87259010317951047</v>
      </c>
      <c r="X169" s="67">
        <f t="shared" si="27"/>
        <v>2.2739435545779765</v>
      </c>
      <c r="AD169" s="51"/>
      <c r="AE169" s="51"/>
    </row>
    <row r="170" spans="1:35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100</v>
      </c>
      <c r="U170" s="71">
        <f>I462</f>
        <v>89.625360230547557</v>
      </c>
      <c r="V170" s="71">
        <f>I463</f>
        <v>97.809523809523796</v>
      </c>
      <c r="W170" s="71">
        <f>I464</f>
        <v>88.362395754359355</v>
      </c>
      <c r="X170" s="71">
        <f>I465</f>
        <v>75.959595959595958</v>
      </c>
      <c r="AD170" s="51"/>
      <c r="AE170" s="51"/>
      <c r="AH170" s="78"/>
      <c r="AI170" s="78"/>
    </row>
    <row r="171" spans="1:35" x14ac:dyDescent="0.3">
      <c r="A171" t="s">
        <v>3</v>
      </c>
      <c r="B171" s="13">
        <v>0</v>
      </c>
      <c r="C171" s="29">
        <f>(C160/$L171)*$O171</f>
        <v>1.5092836161686436</v>
      </c>
      <c r="D171" s="31">
        <f>(D160/$L171)*$O171</f>
        <v>0</v>
      </c>
      <c r="E171" s="31">
        <f>(E160/$L171)*$O171</f>
        <v>0</v>
      </c>
      <c r="F171" s="31">
        <f>(F160/$L171)*$O171</f>
        <v>0</v>
      </c>
      <c r="G171" s="32">
        <f>(G160/$L171)*$O171</f>
        <v>0</v>
      </c>
      <c r="H171" s="17">
        <f>SUM(C171:G171)</f>
        <v>1.5092836161686436</v>
      </c>
      <c r="I171" s="17">
        <f>C171/H171*100</f>
        <v>100</v>
      </c>
      <c r="J171" s="17">
        <f>SQRT(I171*(100-I171)/(L171-1))</f>
        <v>0</v>
      </c>
      <c r="K171" s="18">
        <f>100-I171</f>
        <v>0</v>
      </c>
      <c r="L171" s="1">
        <f>H160</f>
        <v>259</v>
      </c>
      <c r="M171">
        <v>0</v>
      </c>
      <c r="N171" s="1">
        <v>2979.04</v>
      </c>
      <c r="O171" s="17">
        <f>N171/N176*100</f>
        <v>1.5092836161686436</v>
      </c>
      <c r="P171" s="52">
        <f>((O171*O171*(I171/100)*(K171/100))/(L171-1))</f>
        <v>0</v>
      </c>
      <c r="S171" s="75" t="s">
        <v>39</v>
      </c>
      <c r="T171" s="76">
        <f>J461</f>
        <v>0</v>
      </c>
      <c r="U171" s="76">
        <f>J462</f>
        <v>1.639320691997745</v>
      </c>
      <c r="V171" s="76">
        <f>J463</f>
        <v>0.17074410445127619</v>
      </c>
      <c r="W171" s="76">
        <f>J464</f>
        <v>0.62446840251211277</v>
      </c>
      <c r="X171" s="76">
        <f>J465</f>
        <v>1.3588266579533017</v>
      </c>
      <c r="AD171" s="51"/>
      <c r="AE171" s="51"/>
    </row>
    <row r="172" spans="1:35" x14ac:dyDescent="0.3">
      <c r="A172" t="s">
        <v>4</v>
      </c>
      <c r="B172" s="13">
        <v>1</v>
      </c>
      <c r="C172" s="33">
        <f t="shared" ref="C172:G175" si="28">(C161/$L172)*$O172</f>
        <v>0</v>
      </c>
      <c r="D172" s="34">
        <f t="shared" si="28"/>
        <v>3.9681005677728267</v>
      </c>
      <c r="E172" s="19">
        <f t="shared" si="28"/>
        <v>0.41970294466827979</v>
      </c>
      <c r="F172" s="18">
        <f t="shared" si="28"/>
        <v>0</v>
      </c>
      <c r="G172" s="20">
        <f t="shared" si="28"/>
        <v>2.5436542101107861E-2</v>
      </c>
      <c r="H172" s="17">
        <f>SUM(C172:G172)</f>
        <v>4.4132400545422144</v>
      </c>
      <c r="I172" s="17">
        <f>D172/H172*100</f>
        <v>89.913544668587903</v>
      </c>
      <c r="J172" s="17">
        <f>SQRT(I172*(100-I172)/(L172-1))</f>
        <v>1.6189886159869951</v>
      </c>
      <c r="K172" s="18">
        <f>100-I172</f>
        <v>10.086455331412097</v>
      </c>
      <c r="L172" s="1">
        <f>H161</f>
        <v>347</v>
      </c>
      <c r="M172">
        <v>1</v>
      </c>
      <c r="N172" s="1">
        <v>8710.9</v>
      </c>
      <c r="O172" s="17">
        <f>N172/N176*100</f>
        <v>4.4132400545422144</v>
      </c>
      <c r="P172" s="52">
        <f>((O172*O172*(I172/100)*(K172/100))/(L172-1))</f>
        <v>5.1050816479413612E-3</v>
      </c>
      <c r="S172" s="66" t="s">
        <v>56</v>
      </c>
      <c r="T172" s="67">
        <f>N450*100</f>
        <v>100</v>
      </c>
      <c r="U172" s="67">
        <f>N451*100</f>
        <v>79.034307496823374</v>
      </c>
      <c r="V172" s="67">
        <f>N452*100</f>
        <v>97.359154929577457</v>
      </c>
      <c r="W172" s="67">
        <f>N453*100</f>
        <v>89.156626506024097</v>
      </c>
      <c r="X172" s="67">
        <f>N454*100</f>
        <v>80.60021436227224</v>
      </c>
      <c r="AD172" s="51"/>
      <c r="AE172" s="51"/>
      <c r="AH172" s="78"/>
      <c r="AI172" s="78"/>
    </row>
    <row r="173" spans="1:35" x14ac:dyDescent="0.3">
      <c r="A173" t="s">
        <v>5</v>
      </c>
      <c r="B173" s="13">
        <v>2</v>
      </c>
      <c r="C173" s="33">
        <f t="shared" si="28"/>
        <v>0</v>
      </c>
      <c r="D173" s="19">
        <f t="shared" si="28"/>
        <v>1.0397207600074989</v>
      </c>
      <c r="E173" s="34">
        <f t="shared" si="28"/>
        <v>61.713012383255005</v>
      </c>
      <c r="F173" s="19">
        <f t="shared" si="28"/>
        <v>0.34370934215123922</v>
      </c>
      <c r="G173" s="20">
        <f t="shared" si="28"/>
        <v>6.0149134876466871E-2</v>
      </c>
      <c r="H173" s="17">
        <f>SUM(C173:G173)</f>
        <v>63.156591620290207</v>
      </c>
      <c r="I173" s="17">
        <f>E173/H173*100</f>
        <v>97.714285714285722</v>
      </c>
      <c r="J173" s="17">
        <f>SQRT(I173*(100-I173)/(L173-1))</f>
        <v>0.17433150462055627</v>
      </c>
      <c r="K173" s="18">
        <f>100-I173</f>
        <v>2.2857142857142776</v>
      </c>
      <c r="L173" s="1">
        <f>H162</f>
        <v>7350</v>
      </c>
      <c r="M173">
        <v>2</v>
      </c>
      <c r="N173" s="1">
        <v>124659.15</v>
      </c>
      <c r="O173" s="17">
        <f>N173/N176*100</f>
        <v>63.156591620290214</v>
      </c>
      <c r="P173" s="52">
        <f>((O173*O173*(I173/100)*(K173/100))/(L173-1))</f>
        <v>1.2122414387176908E-2</v>
      </c>
      <c r="R173" s="16" t="s">
        <v>66</v>
      </c>
      <c r="S173" t="s">
        <v>9</v>
      </c>
      <c r="T173" s="1">
        <f>N461</f>
        <v>3036.92</v>
      </c>
      <c r="U173" s="1">
        <f>N462</f>
        <v>9040.73</v>
      </c>
      <c r="V173" s="1">
        <f>N463</f>
        <v>124625.65</v>
      </c>
      <c r="W173" s="1">
        <f>N464</f>
        <v>42895.54</v>
      </c>
      <c r="X173" s="1">
        <f>N465</f>
        <v>17782.22</v>
      </c>
      <c r="Z173" t="s">
        <v>36</v>
      </c>
      <c r="AA173" s="1">
        <f>N466</f>
        <v>197381.06</v>
      </c>
      <c r="AD173" s="51"/>
      <c r="AE173" s="51"/>
    </row>
    <row r="174" spans="1:35" ht="15.6" x14ac:dyDescent="0.35">
      <c r="A174" t="s">
        <v>6</v>
      </c>
      <c r="B174" s="13">
        <v>3</v>
      </c>
      <c r="C174" s="33">
        <f t="shared" si="28"/>
        <v>0</v>
      </c>
      <c r="D174" s="19">
        <f t="shared" si="28"/>
        <v>8.247490452654177E-2</v>
      </c>
      <c r="E174" s="19">
        <f t="shared" si="28"/>
        <v>1.4763007910250978</v>
      </c>
      <c r="F174" s="34">
        <f t="shared" si="28"/>
        <v>19.183662792873616</v>
      </c>
      <c r="G174" s="20">
        <f t="shared" si="28"/>
        <v>1.0144413256764637</v>
      </c>
      <c r="H174" s="17">
        <f>SUM(C174:G174)</f>
        <v>21.756879814101719</v>
      </c>
      <c r="I174" s="17">
        <f>F174/H174*100</f>
        <v>88.172858225928735</v>
      </c>
      <c r="J174" s="17">
        <f>SQRT(I174*(100-I174)/(L174-1))</f>
        <v>0.62885757420881649</v>
      </c>
      <c r="K174" s="18">
        <f>100-I174</f>
        <v>11.827141774071265</v>
      </c>
      <c r="L174" s="1">
        <f>H163</f>
        <v>2638</v>
      </c>
      <c r="M174">
        <v>3</v>
      </c>
      <c r="N174" s="1">
        <v>42943.96</v>
      </c>
      <c r="O174" s="17">
        <f>N174/N176*100</f>
        <v>21.756879814101719</v>
      </c>
      <c r="P174" s="52">
        <f>((O174*O174*(I174/100)*(K174/100))/(L174-1))</f>
        <v>1.871965401142307E-2</v>
      </c>
      <c r="R174" s="16" t="s">
        <v>323</v>
      </c>
      <c r="S174" t="s">
        <v>68</v>
      </c>
      <c r="T174" s="57">
        <f>$AA173*T166/100</f>
        <v>3036.9200000000005</v>
      </c>
      <c r="U174" s="57">
        <f>$AA173*U166/100</f>
        <v>10283.141741664744</v>
      </c>
      <c r="V174" s="57">
        <f>$AA173*V166/100</f>
        <v>125976.22965992746</v>
      </c>
      <c r="W174" s="57">
        <f>$AA173*W166/100</f>
        <v>42537.389960688102</v>
      </c>
      <c r="X174" s="57">
        <f>$AA173*X166/100</f>
        <v>15547.378637719703</v>
      </c>
      <c r="Z174" t="s">
        <v>36</v>
      </c>
      <c r="AA174" s="25">
        <f>SUM(T174:X174)</f>
        <v>197381.06</v>
      </c>
      <c r="AD174" s="51"/>
      <c r="AE174" s="51"/>
      <c r="AH174" s="78"/>
      <c r="AI174" s="78"/>
    </row>
    <row r="175" spans="1:35" x14ac:dyDescent="0.3">
      <c r="A175" t="s">
        <v>7</v>
      </c>
      <c r="B175" s="13">
        <v>4</v>
      </c>
      <c r="C175" s="35">
        <f t="shared" si="28"/>
        <v>0</v>
      </c>
      <c r="D175" s="36">
        <f t="shared" si="28"/>
        <v>0</v>
      </c>
      <c r="E175" s="21">
        <f t="shared" si="28"/>
        <v>0.101822276609969</v>
      </c>
      <c r="F175" s="21">
        <f t="shared" si="28"/>
        <v>1.8142878377776293</v>
      </c>
      <c r="G175" s="37">
        <f t="shared" si="28"/>
        <v>7.2478947805096103</v>
      </c>
      <c r="H175" s="17">
        <f>SUM(C175:G175)</f>
        <v>9.164004894897209</v>
      </c>
      <c r="I175" s="17">
        <f>G175/H175*100</f>
        <v>79.090909090909093</v>
      </c>
      <c r="J175" s="17">
        <f>SQRT(I175*(100-I175)/(L175-1))</f>
        <v>1.2931017914057528</v>
      </c>
      <c r="K175" s="18">
        <f>100-I175</f>
        <v>20.909090909090907</v>
      </c>
      <c r="L175" s="1">
        <f>H164</f>
        <v>990</v>
      </c>
      <c r="M175">
        <v>4</v>
      </c>
      <c r="N175" s="1">
        <v>18088.009999999998</v>
      </c>
      <c r="O175" s="17">
        <f>N175/N176*100</f>
        <v>9.164004894897209</v>
      </c>
      <c r="P175" s="52">
        <f>((O175*O175*(I175/100)*(K175/100))/(L175-1))</f>
        <v>1.4042229016128966E-2</v>
      </c>
      <c r="R175" s="66"/>
      <c r="S175" s="66" t="s">
        <v>67</v>
      </c>
      <c r="T175" s="67">
        <f>$AA173*T167/100</f>
        <v>0</v>
      </c>
      <c r="U175" s="67">
        <f>$AA173*U167/100</f>
        <v>241.23578961874057</v>
      </c>
      <c r="V175" s="67">
        <f>$AA173*V167/100</f>
        <v>339.29203433953813</v>
      </c>
      <c r="W175" s="67">
        <f>$AA173*W167/100</f>
        <v>371.40668088409592</v>
      </c>
      <c r="X175" s="67">
        <f>$AA173*X167/100</f>
        <v>301.20075077657867</v>
      </c>
      <c r="AA175" s="1"/>
      <c r="AD175" s="51"/>
      <c r="AE175" s="51"/>
    </row>
    <row r="176" spans="1:35" x14ac:dyDescent="0.3">
      <c r="B176" t="s">
        <v>28</v>
      </c>
      <c r="C176" s="17">
        <f t="shared" ref="C176:H176" si="29">SUM(C171:C175)</f>
        <v>1.5092836161686436</v>
      </c>
      <c r="D176" s="17">
        <f t="shared" si="29"/>
        <v>5.0902962323068675</v>
      </c>
      <c r="E176" s="17">
        <f t="shared" si="29"/>
        <v>63.710838395558348</v>
      </c>
      <c r="F176" s="17">
        <f t="shared" si="29"/>
        <v>21.341659972802486</v>
      </c>
      <c r="G176" s="17">
        <f t="shared" si="29"/>
        <v>8.347921783163649</v>
      </c>
      <c r="H176" s="18">
        <f t="shared" si="29"/>
        <v>99.999999999999986</v>
      </c>
      <c r="I176" s="13" t="s">
        <v>24</v>
      </c>
      <c r="J176" s="12" t="s">
        <v>29</v>
      </c>
      <c r="N176" s="1">
        <f>SUM(N171:N175)</f>
        <v>197381.06</v>
      </c>
      <c r="O176" s="17">
        <f>SUM(O171:O175)</f>
        <v>100</v>
      </c>
      <c r="R176" t="s">
        <v>109</v>
      </c>
      <c r="S176" t="s">
        <v>28</v>
      </c>
      <c r="T176" s="57">
        <f>C495</f>
        <v>1.5122524161004902</v>
      </c>
      <c r="U176" s="57">
        <f t="shared" ref="U176:X179" si="30">D495</f>
        <v>4.8925623720089906</v>
      </c>
      <c r="V176" s="57">
        <f t="shared" si="30"/>
        <v>64.29432097216538</v>
      </c>
      <c r="W176" s="57">
        <f t="shared" si="30"/>
        <v>21.011720679890306</v>
      </c>
      <c r="X176" s="57">
        <f t="shared" si="30"/>
        <v>8.2891435598348266</v>
      </c>
      <c r="AD176" s="51"/>
      <c r="AE176" s="51"/>
      <c r="AH176" s="78"/>
      <c r="AI176" s="78"/>
    </row>
    <row r="177" spans="1:41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0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0.12064397243735055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0.17097564506251628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0.18740085892042044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0.15113746979751111</v>
      </c>
      <c r="H177" s="1"/>
      <c r="I177" s="14">
        <f>(C171+D172+E173+F174+G175)/H176</f>
        <v>0.93621954140579722</v>
      </c>
      <c r="J177" s="53">
        <f>SQRT(SUM(P171:P175))/100</f>
        <v>2.2358304735080052E-3</v>
      </c>
      <c r="M177" s="1"/>
      <c r="N177" s="9"/>
      <c r="S177" s="66" t="s">
        <v>39</v>
      </c>
      <c r="T177" s="67">
        <f>C496</f>
        <v>0</v>
      </c>
      <c r="U177" s="67">
        <f t="shared" si="30"/>
        <v>0.11372649824518369</v>
      </c>
      <c r="V177" s="67">
        <f t="shared" si="30"/>
        <v>0.16540358176468725</v>
      </c>
      <c r="W177" s="67">
        <f t="shared" si="30"/>
        <v>0.18594303121935113</v>
      </c>
      <c r="X177" s="67">
        <f t="shared" si="30"/>
        <v>0.15238603502057269</v>
      </c>
      <c r="AD177" s="51"/>
      <c r="AE177" s="51"/>
    </row>
    <row r="178" spans="1:41" x14ac:dyDescent="0.3">
      <c r="B178" s="1" t="s">
        <v>30</v>
      </c>
      <c r="C178" s="17">
        <f>C171/C176*100</f>
        <v>100</v>
      </c>
      <c r="D178" s="17">
        <f>D172/D176*100</f>
        <v>77.954216939050838</v>
      </c>
      <c r="E178" s="17">
        <f>E173/E176*100</f>
        <v>96.864228971686828</v>
      </c>
      <c r="F178" s="17">
        <f>F174/F176*100</f>
        <v>89.888334915470537</v>
      </c>
      <c r="G178" s="17">
        <f>G175/G176*100</f>
        <v>86.822744256269786</v>
      </c>
      <c r="H178" s="1"/>
      <c r="S178" s="70" t="s">
        <v>30</v>
      </c>
      <c r="T178" s="64">
        <f>C497</f>
        <v>100</v>
      </c>
      <c r="U178" s="64">
        <f t="shared" si="30"/>
        <v>80.093619638787089</v>
      </c>
      <c r="V178" s="64">
        <f t="shared" si="30"/>
        <v>96.987795724758044</v>
      </c>
      <c r="W178" s="64">
        <f t="shared" si="30"/>
        <v>89.238936540089256</v>
      </c>
      <c r="X178" s="64">
        <f t="shared" si="30"/>
        <v>87.309471397683097</v>
      </c>
      <c r="AD178" s="51"/>
      <c r="AE178" s="51"/>
      <c r="AH178" s="78"/>
      <c r="AI178" s="78"/>
    </row>
    <row r="179" spans="1:41" x14ac:dyDescent="0.3">
      <c r="B179" s="16" t="s">
        <v>39</v>
      </c>
      <c r="C179" s="18">
        <f>SQRT((C182+C183)/(C176*C176))</f>
        <v>0</v>
      </c>
      <c r="D179" s="18">
        <f>SQRT((D182+D183)/(D176*D176))</f>
        <v>3.4344842565999412</v>
      </c>
      <c r="E179" s="18">
        <f>SQRT((E182+E183)/(E176*E176))</f>
        <v>0.20624205694275471</v>
      </c>
      <c r="F179" s="18">
        <f>SQRT((F182+F183)/(F176*F176))</f>
        <v>0.84352114653275734</v>
      </c>
      <c r="G179" s="18">
        <f>SQRT((G182+G183)/(G176*G176))</f>
        <v>2.1101630230883601</v>
      </c>
      <c r="H179" s="1"/>
      <c r="S179" s="66" t="s">
        <v>39</v>
      </c>
      <c r="T179" s="67">
        <f>C498</f>
        <v>0</v>
      </c>
      <c r="U179" s="67">
        <f t="shared" si="30"/>
        <v>3.1529950461342993</v>
      </c>
      <c r="V179" s="67">
        <f t="shared" si="30"/>
        <v>0.19830890514516736</v>
      </c>
      <c r="W179" s="67">
        <f t="shared" si="30"/>
        <v>0.87568531852340969</v>
      </c>
      <c r="X179" s="67">
        <f t="shared" si="30"/>
        <v>2.1034526191048353</v>
      </c>
      <c r="AD179" s="51"/>
      <c r="AE179" s="51"/>
    </row>
    <row r="180" spans="1:41" x14ac:dyDescent="0.3">
      <c r="B180" s="1" t="s">
        <v>37</v>
      </c>
      <c r="C180" s="18">
        <f>100-C178</f>
        <v>0</v>
      </c>
      <c r="D180" s="18">
        <f>100-D178</f>
        <v>22.045783060949162</v>
      </c>
      <c r="E180" s="18">
        <f>100-E178</f>
        <v>3.1357710283131723</v>
      </c>
      <c r="F180" s="18">
        <f>100-F178</f>
        <v>10.111665084529463</v>
      </c>
      <c r="G180" s="18">
        <f>100-G178</f>
        <v>13.177255743730214</v>
      </c>
      <c r="S180" s="70" t="s">
        <v>31</v>
      </c>
      <c r="T180" s="64">
        <f>I490</f>
        <v>100</v>
      </c>
      <c r="U180" s="64">
        <f>I491</f>
        <v>90.489913544668582</v>
      </c>
      <c r="V180" s="64">
        <f>I492</f>
        <v>97.931972789115648</v>
      </c>
      <c r="W180" s="64">
        <f>I493</f>
        <v>88.438210765731625</v>
      </c>
      <c r="X180" s="64">
        <f>I494</f>
        <v>77.979797979797979</v>
      </c>
      <c r="AD180" s="51"/>
      <c r="AE180" s="51"/>
      <c r="AH180" s="78"/>
      <c r="AI180" s="78"/>
    </row>
    <row r="181" spans="1:41" ht="15.6" x14ac:dyDescent="0.35">
      <c r="B181" s="1" t="s">
        <v>25</v>
      </c>
      <c r="C181" s="1">
        <f>C165</f>
        <v>259</v>
      </c>
      <c r="D181" s="1">
        <f>D165</f>
        <v>443</v>
      </c>
      <c r="E181" s="1">
        <f>E165</f>
        <v>7405</v>
      </c>
      <c r="F181" s="1">
        <f>F165</f>
        <v>2562</v>
      </c>
      <c r="G181" s="1">
        <f>G165</f>
        <v>915</v>
      </c>
      <c r="S181" s="66" t="s">
        <v>39</v>
      </c>
      <c r="T181" s="67">
        <f>J490</f>
        <v>0</v>
      </c>
      <c r="U181" s="67">
        <f>J491</f>
        <v>1.5770819812439512</v>
      </c>
      <c r="V181" s="67">
        <f>J492</f>
        <v>0.16600694307610453</v>
      </c>
      <c r="W181" s="67">
        <f>J493</f>
        <v>0.62269794568641035</v>
      </c>
      <c r="X181" s="67">
        <f>J494</f>
        <v>1.317660589349805</v>
      </c>
      <c r="AD181" s="51"/>
      <c r="AE181" s="51"/>
      <c r="AN181" s="2"/>
      <c r="AO181" s="2"/>
    </row>
    <row r="182" spans="1:41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248.11541739338983</v>
      </c>
      <c r="E182" s="18">
        <f>(O173*O173*(100-E178)*(100-E178)*(I173)*(100-I173))/((L173-1)*100)</f>
        <v>11.920042731097377</v>
      </c>
      <c r="F182" s="18">
        <f>(O174*O174*(100-F178)*(100-F178)*(I174)*(100-I174))/((L174-1)*100)</f>
        <v>191.40054531645492</v>
      </c>
      <c r="G182" s="18">
        <f>(O175*O175*(100-G178)*(100-G178)*(I175)*(100-I175))/((L175-1)*100)</f>
        <v>243.8293614371112</v>
      </c>
      <c r="S182" s="68" t="s">
        <v>56</v>
      </c>
      <c r="T182" s="65">
        <f>N479*100</f>
        <v>100</v>
      </c>
      <c r="U182" s="65">
        <f>N480*100</f>
        <v>81.136950904392762</v>
      </c>
      <c r="V182" s="65">
        <f>N481*100</f>
        <v>97.467840216655389</v>
      </c>
      <c r="W182" s="65">
        <f>N482*100</f>
        <v>89.472674976030675</v>
      </c>
      <c r="X182" s="65">
        <f>N483*100</f>
        <v>81.649920676890531</v>
      </c>
      <c r="AD182" s="51"/>
      <c r="AE182" s="51"/>
      <c r="AH182" s="78"/>
      <c r="AI182" s="78"/>
    </row>
    <row r="183" spans="1:41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57.523866873979642</v>
      </c>
      <c r="E183" s="18">
        <f>E178*E178*(SUM((H171*E171*(1-E160/H160))/(H160-1),(H172*E172*(1-E161/H161))/(H161-1), (H174*E174*(1-E163/H163))/(H163-1),(H175*E175*(1-E164/H164))/(H164-1)))</f>
        <v>160.73572987741497</v>
      </c>
      <c r="F183" s="18">
        <f>F178*F178*(SUM((H171*F171*(1-F160/H160))/(H160-1),(H172*F172*(1-F161/H161))/(H161-1), (H173*F173*(1-F162/H162))/(H162-1),(H175*F175*(1-F164/H164))/(H164-1)))</f>
        <v>132.67655287966284</v>
      </c>
      <c r="G183" s="18">
        <f>G178*G178*(SUM((H171*G171*(1-G160/H160))/(H160-1),(H172*G172*(1-G161/H161))/(H161-1), (H173*G173*(1-G162/H162))/(H162-1),(H174*G174*(1-G163/H163))/(H163-1)))</f>
        <v>66.475628564927092</v>
      </c>
      <c r="R183" s="16" t="s">
        <v>66</v>
      </c>
      <c r="S183" t="s">
        <v>9</v>
      </c>
      <c r="T183" s="1">
        <f>N490</f>
        <v>2984.9</v>
      </c>
      <c r="U183" s="1">
        <f>N491</f>
        <v>8547.51</v>
      </c>
      <c r="V183" s="1">
        <f>N492</f>
        <v>125681.31</v>
      </c>
      <c r="W183" s="1">
        <f>N493</f>
        <v>41848.660000000003</v>
      </c>
      <c r="X183" s="1">
        <f>N494</f>
        <v>18318.689999999999</v>
      </c>
      <c r="Z183" t="s">
        <v>36</v>
      </c>
      <c r="AA183" s="1">
        <f>N495</f>
        <v>197381.07</v>
      </c>
      <c r="AD183" s="51"/>
      <c r="AE183" s="51"/>
      <c r="AN183" s="78"/>
      <c r="AO183" s="78"/>
    </row>
    <row r="184" spans="1:41" ht="15.6" x14ac:dyDescent="0.35">
      <c r="R184" s="16" t="s">
        <v>323</v>
      </c>
      <c r="S184" t="s">
        <v>68</v>
      </c>
      <c r="T184" s="57">
        <f>$AA183*T176/100</f>
        <v>2984.9</v>
      </c>
      <c r="U184" s="57">
        <f>$AA183*U176/100</f>
        <v>9656.9919602887257</v>
      </c>
      <c r="V184" s="57">
        <f>$AA183*V176/100</f>
        <v>126904.81868409444</v>
      </c>
      <c r="W184" s="57">
        <f>$AA183*W176/100</f>
        <v>41473.159103378763</v>
      </c>
      <c r="X184" s="57">
        <f>$AA183*X176/100</f>
        <v>16361.200252238072</v>
      </c>
      <c r="Z184" t="s">
        <v>36</v>
      </c>
      <c r="AA184" s="25">
        <f>SUM(T184:X184)</f>
        <v>197381.07</v>
      </c>
      <c r="AD184" s="51"/>
      <c r="AE184" s="51"/>
      <c r="AH184" s="78"/>
      <c r="AI184" s="78"/>
    </row>
    <row r="185" spans="1:41" x14ac:dyDescent="0.3">
      <c r="R185" s="66"/>
      <c r="S185" s="66" t="s">
        <v>67</v>
      </c>
      <c r="T185" s="67">
        <f>$AA183*T177/100</f>
        <v>0</v>
      </c>
      <c r="U185" s="67">
        <f>$AA183*U177/100</f>
        <v>224.47457910987478</v>
      </c>
      <c r="V185" s="67">
        <f>$AA183*V177/100</f>
        <v>326.47535950546461</v>
      </c>
      <c r="W185" s="67">
        <f>$AA183*W177/100</f>
        <v>367.01634461118937</v>
      </c>
      <c r="X185" s="67">
        <f>$AA183*X177/100</f>
        <v>300.78118645418107</v>
      </c>
      <c r="AA185" s="1"/>
      <c r="AD185" s="51"/>
      <c r="AE185" s="51"/>
      <c r="AN185" s="78"/>
      <c r="AO185" s="78"/>
    </row>
    <row r="186" spans="1:41" x14ac:dyDescent="0.3">
      <c r="A186" s="361" t="s">
        <v>455</v>
      </c>
      <c r="B186" s="361"/>
      <c r="C186" s="361"/>
      <c r="D186" s="361"/>
      <c r="E186" s="361"/>
      <c r="F186" s="361"/>
      <c r="G186" s="361"/>
      <c r="H186" s="361"/>
      <c r="I186" s="361"/>
      <c r="J186" s="361"/>
      <c r="K186" s="361"/>
      <c r="L186" s="361" t="s">
        <v>84</v>
      </c>
      <c r="M186" s="361"/>
      <c r="N186" s="361"/>
      <c r="O186" s="361"/>
      <c r="P186" s="361"/>
      <c r="R186" t="s">
        <v>110</v>
      </c>
      <c r="S186" s="70" t="s">
        <v>28</v>
      </c>
      <c r="T186" s="64">
        <f>C524</f>
        <v>1.5207690910550937</v>
      </c>
      <c r="U186" s="64">
        <f t="shared" ref="U186:X189" si="31">D524</f>
        <v>4.8769370306200033</v>
      </c>
      <c r="V186" s="64">
        <f t="shared" si="31"/>
        <v>63.452426133723741</v>
      </c>
      <c r="W186" s="64">
        <f t="shared" si="31"/>
        <v>21.819752744346154</v>
      </c>
      <c r="X186" s="64">
        <f t="shared" si="31"/>
        <v>8.3301150002550077</v>
      </c>
      <c r="AA186" s="12"/>
      <c r="AD186" s="51"/>
      <c r="AE186" s="51"/>
    </row>
    <row r="187" spans="1:41" x14ac:dyDescent="0.3">
      <c r="A187" t="s">
        <v>320</v>
      </c>
      <c r="B187" t="s">
        <v>21</v>
      </c>
      <c r="I187" s="1" t="s">
        <v>58</v>
      </c>
      <c r="O187" s="143"/>
      <c r="P187" s="143"/>
      <c r="S187" s="66" t="s">
        <v>39</v>
      </c>
      <c r="T187" s="67">
        <f>C525</f>
        <v>0</v>
      </c>
      <c r="U187" s="67">
        <f t="shared" si="31"/>
        <v>0.11457538323140939</v>
      </c>
      <c r="V187" s="67">
        <f t="shared" si="31"/>
        <v>0.16649612183510554</v>
      </c>
      <c r="W187" s="67">
        <f t="shared" si="31"/>
        <v>0.18922801842757375</v>
      </c>
      <c r="X187" s="67">
        <f t="shared" si="31"/>
        <v>0.156009385444976</v>
      </c>
      <c r="AD187" s="51"/>
      <c r="AE187" s="51"/>
      <c r="AN187" s="78"/>
      <c r="AO187" s="78"/>
    </row>
    <row r="188" spans="1:41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56</v>
      </c>
      <c r="O188" s="13"/>
      <c r="P188" s="13"/>
      <c r="S188" t="s">
        <v>30</v>
      </c>
      <c r="T188" s="57">
        <f>C526</f>
        <v>100</v>
      </c>
      <c r="U188" s="57">
        <f t="shared" si="31"/>
        <v>79.502415459867549</v>
      </c>
      <c r="V188" s="57">
        <f t="shared" si="31"/>
        <v>97.014682775968794</v>
      </c>
      <c r="W188" s="57">
        <f t="shared" si="31"/>
        <v>89.211399531747489</v>
      </c>
      <c r="X188" s="57">
        <f t="shared" si="31"/>
        <v>86.805235500665006</v>
      </c>
      <c r="AD188" s="51"/>
      <c r="AE188" s="51"/>
    </row>
    <row r="189" spans="1:41" x14ac:dyDescent="0.3">
      <c r="A189" t="s">
        <v>3</v>
      </c>
      <c r="B189" s="13">
        <v>0</v>
      </c>
      <c r="C189" s="26">
        <v>259</v>
      </c>
      <c r="D189" s="3">
        <v>0</v>
      </c>
      <c r="E189" s="3">
        <v>0</v>
      </c>
      <c r="F189" s="3">
        <v>0</v>
      </c>
      <c r="G189" s="4">
        <v>0</v>
      </c>
      <c r="H189" s="1">
        <f>SUM(C189:G189)</f>
        <v>259</v>
      </c>
      <c r="I189" s="10">
        <f>C189/H189</f>
        <v>1</v>
      </c>
      <c r="J189" s="11">
        <f>1-I189</f>
        <v>0</v>
      </c>
      <c r="K189">
        <f>H189-C194</f>
        <v>0</v>
      </c>
      <c r="N189" s="10">
        <f>2*(C195*I189)/(C195+I189)</f>
        <v>1</v>
      </c>
      <c r="O189" s="1"/>
      <c r="P189" s="1"/>
      <c r="S189" s="66" t="s">
        <v>39</v>
      </c>
      <c r="T189" s="67">
        <f>C527</f>
        <v>0</v>
      </c>
      <c r="U189" s="67">
        <f t="shared" si="31"/>
        <v>3.2520119468501183</v>
      </c>
      <c r="V189" s="67">
        <f t="shared" si="31"/>
        <v>0.2014046891539909</v>
      </c>
      <c r="W189" s="67">
        <f t="shared" si="31"/>
        <v>0.8592274106001786</v>
      </c>
      <c r="X189" s="67">
        <f t="shared" si="31"/>
        <v>2.2011909368599301</v>
      </c>
      <c r="AD189" s="51"/>
      <c r="AE189" s="51"/>
      <c r="AN189" s="78"/>
      <c r="AO189" s="78"/>
    </row>
    <row r="190" spans="1:41" x14ac:dyDescent="0.3">
      <c r="A190" t="s">
        <v>4</v>
      </c>
      <c r="B190" s="13">
        <v>1</v>
      </c>
      <c r="C190" s="5">
        <v>0</v>
      </c>
      <c r="D190" s="27">
        <v>310</v>
      </c>
      <c r="E190" s="1">
        <v>35</v>
      </c>
      <c r="F190" s="1">
        <v>0</v>
      </c>
      <c r="G190" s="6">
        <v>2</v>
      </c>
      <c r="H190" s="1">
        <f>SUM(C190:G190)</f>
        <v>347</v>
      </c>
      <c r="I190" s="10">
        <f>D190/H190</f>
        <v>0.89337175792507206</v>
      </c>
      <c r="J190" s="11">
        <f>1-I190</f>
        <v>0.10662824207492794</v>
      </c>
      <c r="K190">
        <f>H190-D194</f>
        <v>-72</v>
      </c>
      <c r="N190" s="10">
        <f>2*(D195*I190)/(D195+I190)</f>
        <v>0.80939947780678845</v>
      </c>
      <c r="O190" s="1"/>
      <c r="P190" s="1"/>
      <c r="S190" t="s">
        <v>31</v>
      </c>
      <c r="T190" s="57">
        <f>I519</f>
        <v>100</v>
      </c>
      <c r="U190" s="57">
        <f>I520</f>
        <v>90.201729106628235</v>
      </c>
      <c r="V190" s="57">
        <f>I521</f>
        <v>97.823129251700678</v>
      </c>
      <c r="W190" s="57">
        <f>I522</f>
        <v>88.855193328279</v>
      </c>
      <c r="X190" s="57">
        <f>I523</f>
        <v>77.37373737373737</v>
      </c>
      <c r="AD190" s="51"/>
      <c r="AE190" s="51"/>
    </row>
    <row r="191" spans="1:41" x14ac:dyDescent="0.3">
      <c r="A191" t="s">
        <v>5</v>
      </c>
      <c r="B191" s="13">
        <v>2</v>
      </c>
      <c r="C191" s="5">
        <v>0</v>
      </c>
      <c r="D191" s="1">
        <v>100</v>
      </c>
      <c r="E191" s="27">
        <v>7199</v>
      </c>
      <c r="F191" s="1">
        <v>46</v>
      </c>
      <c r="G191" s="6">
        <v>5</v>
      </c>
      <c r="H191" s="1">
        <f>SUM(C191:G191)</f>
        <v>7350</v>
      </c>
      <c r="I191" s="10">
        <f>E191/H191</f>
        <v>0.97945578231292518</v>
      </c>
      <c r="J191" s="11">
        <f>1-I191</f>
        <v>2.0544217687074817E-2</v>
      </c>
      <c r="K191">
        <f>H191-E194</f>
        <v>-75</v>
      </c>
      <c r="N191" s="10">
        <f>2*(E195*I191)/(E195+I191)</f>
        <v>0.97448392554991525</v>
      </c>
      <c r="O191" s="1"/>
      <c r="P191" s="1"/>
      <c r="S191" s="66" t="s">
        <v>39</v>
      </c>
      <c r="T191" s="67">
        <f>J519</f>
        <v>0</v>
      </c>
      <c r="U191" s="67">
        <f>J520</f>
        <v>1.5982477551409069</v>
      </c>
      <c r="V191" s="67">
        <f>J521</f>
        <v>0.1702248553265728</v>
      </c>
      <c r="W191" s="67">
        <f>J522</f>
        <v>0.61280544114137681</v>
      </c>
      <c r="X191" s="67">
        <f>J523</f>
        <v>1.3304698996544058</v>
      </c>
      <c r="AD191" s="51"/>
      <c r="AE191" s="51"/>
      <c r="AN191" s="78"/>
      <c r="AO191" s="78"/>
    </row>
    <row r="192" spans="1:41" x14ac:dyDescent="0.3">
      <c r="A192" t="s">
        <v>6</v>
      </c>
      <c r="B192" s="13">
        <v>3</v>
      </c>
      <c r="C192" s="5">
        <v>0</v>
      </c>
      <c r="D192" s="1">
        <v>9</v>
      </c>
      <c r="E192" s="1">
        <v>182</v>
      </c>
      <c r="F192" s="27">
        <v>2336</v>
      </c>
      <c r="G192" s="6">
        <v>111</v>
      </c>
      <c r="H192" s="1">
        <f>SUM(C192:G192)</f>
        <v>2638</v>
      </c>
      <c r="I192" s="10">
        <f>F192/H192</f>
        <v>0.88551933282789996</v>
      </c>
      <c r="J192" s="11">
        <f>1-I192</f>
        <v>0.11448066717210004</v>
      </c>
      <c r="K192">
        <f>H192-F194</f>
        <v>45</v>
      </c>
      <c r="N192" s="10">
        <f>2*(F195*I192)/(F195+I192)</f>
        <v>0.89313706748231692</v>
      </c>
      <c r="O192" s="1"/>
      <c r="P192" s="1"/>
      <c r="S192" s="66" t="s">
        <v>56</v>
      </c>
      <c r="T192" s="67">
        <f>N508*100</f>
        <v>100</v>
      </c>
      <c r="U192" s="67">
        <f>N509*100</f>
        <v>80.566280566280554</v>
      </c>
      <c r="V192" s="67">
        <f>N510*100</f>
        <v>97.484916276862577</v>
      </c>
      <c r="W192" s="67">
        <f>N511*100</f>
        <v>89.551098376313277</v>
      </c>
      <c r="X192" s="67">
        <f>N512*100</f>
        <v>81.187069422363535</v>
      </c>
      <c r="AD192" s="51"/>
      <c r="AE192" s="51"/>
    </row>
    <row r="193" spans="1:48" x14ac:dyDescent="0.3">
      <c r="A193" t="s">
        <v>7</v>
      </c>
      <c r="B193" s="13">
        <v>4</v>
      </c>
      <c r="C193" s="7">
        <v>0</v>
      </c>
      <c r="D193" s="8">
        <v>0</v>
      </c>
      <c r="E193" s="8">
        <v>9</v>
      </c>
      <c r="F193" s="8">
        <v>211</v>
      </c>
      <c r="G193" s="28">
        <v>770</v>
      </c>
      <c r="H193" s="1">
        <f>SUM(C193:G193)</f>
        <v>990</v>
      </c>
      <c r="I193" s="10">
        <f>G193/H193</f>
        <v>0.77777777777777779</v>
      </c>
      <c r="J193" s="11">
        <f>1-I193</f>
        <v>0.22222222222222221</v>
      </c>
      <c r="K193">
        <f>H193-G194</f>
        <v>102</v>
      </c>
      <c r="N193" s="10">
        <f>2*(G195*I193)/(G195+I193)</f>
        <v>0.82002129925452605</v>
      </c>
      <c r="O193" s="1"/>
      <c r="P193" s="1"/>
      <c r="R193" s="16" t="s">
        <v>66</v>
      </c>
      <c r="S193" t="s">
        <v>9</v>
      </c>
      <c r="T193" s="1">
        <f>N519</f>
        <v>3001.71</v>
      </c>
      <c r="U193" s="1">
        <f>N520</f>
        <v>8484.34</v>
      </c>
      <c r="V193" s="1">
        <f>N521</f>
        <v>124208.01</v>
      </c>
      <c r="W193" s="1">
        <f>N522</f>
        <v>43240.71</v>
      </c>
      <c r="X193" s="1">
        <f>N523</f>
        <v>18446.28</v>
      </c>
      <c r="Z193" t="s">
        <v>36</v>
      </c>
      <c r="AA193" s="1">
        <f>N524</f>
        <v>197381.05</v>
      </c>
      <c r="AD193" s="51"/>
      <c r="AE193" s="51"/>
      <c r="AL193" s="132">
        <v>0</v>
      </c>
      <c r="AM193" s="133">
        <v>1</v>
      </c>
      <c r="AN193" s="133">
        <v>2</v>
      </c>
      <c r="AO193" s="133">
        <v>3</v>
      </c>
      <c r="AP193" s="134">
        <v>4</v>
      </c>
    </row>
    <row r="194" spans="1:48" ht="15.6" x14ac:dyDescent="0.35">
      <c r="B194" s="1" t="s">
        <v>19</v>
      </c>
      <c r="C194" s="1">
        <f>SUM(C189:C193)</f>
        <v>259</v>
      </c>
      <c r="D194" s="1">
        <f>SUM(D189:D193)</f>
        <v>419</v>
      </c>
      <c r="E194" s="1">
        <f>SUM(E189:E193)</f>
        <v>7425</v>
      </c>
      <c r="F194" s="1">
        <f>SUM(F189:F193)</f>
        <v>2593</v>
      </c>
      <c r="G194" s="1">
        <f>SUM(G189:G193)</f>
        <v>888</v>
      </c>
      <c r="H194" s="1">
        <f>SUM(H188:H193)</f>
        <v>11584</v>
      </c>
      <c r="I194" s="13" t="s">
        <v>12</v>
      </c>
      <c r="N194" s="16"/>
      <c r="O194" s="1"/>
      <c r="P194" s="1"/>
      <c r="R194" s="16" t="s">
        <v>323</v>
      </c>
      <c r="S194" t="s">
        <v>68</v>
      </c>
      <c r="T194" s="57">
        <f>$AA193*T186/100</f>
        <v>3001.71</v>
      </c>
      <c r="U194" s="57">
        <f>$AA193*U186/100</f>
        <v>9626.1495188765839</v>
      </c>
      <c r="V194" s="57">
        <f>$AA193*V186/100</f>
        <v>125243.0649532183</v>
      </c>
      <c r="W194" s="57">
        <f>$AA193*W186/100</f>
        <v>43068.05707419425</v>
      </c>
      <c r="X194" s="57">
        <f>$AA193*X186/100</f>
        <v>16442.068453710835</v>
      </c>
      <c r="Z194" t="s">
        <v>36</v>
      </c>
      <c r="AA194" s="25">
        <f>SUM(T194:X194)</f>
        <v>197381.05</v>
      </c>
      <c r="AD194" s="51"/>
      <c r="AE194" s="51"/>
      <c r="AJ194" t="s">
        <v>2</v>
      </c>
      <c r="AQ194" t="s">
        <v>41</v>
      </c>
    </row>
    <row r="195" spans="1:48" x14ac:dyDescent="0.3">
      <c r="A195" s="1" t="s">
        <v>321</v>
      </c>
      <c r="B195" s="1" t="s">
        <v>2</v>
      </c>
      <c r="C195" s="10">
        <f>C189/C194</f>
        <v>1</v>
      </c>
      <c r="D195" s="10">
        <f>D190/D194</f>
        <v>0.73985680190930792</v>
      </c>
      <c r="E195" s="10">
        <f>E191/E194</f>
        <v>0.96956228956228951</v>
      </c>
      <c r="F195" s="10">
        <f>F192/F194</f>
        <v>0.90088700347088313</v>
      </c>
      <c r="G195" s="10">
        <f>G193/G194</f>
        <v>0.86711711711711714</v>
      </c>
      <c r="H195" s="10"/>
      <c r="I195" s="14">
        <f>(C189+D190+E191+F192+G193)/H194</f>
        <v>0.93870856353591159</v>
      </c>
      <c r="R195" s="66"/>
      <c r="S195" s="66" t="s">
        <v>67</v>
      </c>
      <c r="T195" s="67">
        <f>$AA193*T187/100</f>
        <v>0</v>
      </c>
      <c r="U195" s="67">
        <f>$AA193*U187/100</f>
        <v>226.15009446367978</v>
      </c>
      <c r="V195" s="67">
        <f>$AA193*V187/100</f>
        <v>328.63179348741056</v>
      </c>
      <c r="W195" s="67">
        <f>$AA193*W187/100</f>
        <v>373.50024966653854</v>
      </c>
      <c r="X195" s="67">
        <f>$AA193*X187/100</f>
        <v>307.93296308984077</v>
      </c>
      <c r="AA195" s="1"/>
      <c r="AD195" s="51"/>
      <c r="AE195" s="51"/>
      <c r="AJ195" t="s">
        <v>415</v>
      </c>
      <c r="AK195">
        <v>0</v>
      </c>
      <c r="AL195" s="1">
        <v>175.56</v>
      </c>
      <c r="AM195" s="1">
        <v>457.28</v>
      </c>
      <c r="AN195" s="1">
        <v>18339.53</v>
      </c>
      <c r="AO195" s="1">
        <v>14820.74</v>
      </c>
      <c r="AP195" s="1">
        <v>9434.91</v>
      </c>
      <c r="AR195" s="1">
        <v>3027.16</v>
      </c>
      <c r="AS195" s="1">
        <v>8610.2900000000009</v>
      </c>
      <c r="AT195" s="1">
        <v>124778.17</v>
      </c>
      <c r="AU195" s="1">
        <v>42917.15</v>
      </c>
      <c r="AV195" s="1">
        <v>18048.29</v>
      </c>
    </row>
    <row r="196" spans="1:48" x14ac:dyDescent="0.3">
      <c r="B196" s="1" t="s">
        <v>14</v>
      </c>
      <c r="C196" s="11">
        <f>1-C195</f>
        <v>0</v>
      </c>
      <c r="D196" s="11">
        <f>1-D195</f>
        <v>0.26014319809069208</v>
      </c>
      <c r="E196" s="11">
        <f>1-E195</f>
        <v>3.0437710437710486E-2</v>
      </c>
      <c r="F196" s="11">
        <f>1-F195</f>
        <v>9.911299652911687E-2</v>
      </c>
      <c r="G196" s="11">
        <f>1-G195</f>
        <v>0.13288288288288286</v>
      </c>
      <c r="R196" t="s">
        <v>111</v>
      </c>
      <c r="S196" t="s">
        <v>28</v>
      </c>
      <c r="T196" s="57">
        <f>C553</f>
        <v>1.5189552634888071</v>
      </c>
      <c r="U196" s="57">
        <f t="shared" ref="U196:X199" si="32">D553</f>
        <v>5.0322275080856675</v>
      </c>
      <c r="V196" s="57">
        <f t="shared" si="32"/>
        <v>63.808523507904496</v>
      </c>
      <c r="W196" s="57">
        <f t="shared" si="32"/>
        <v>21.508975519525492</v>
      </c>
      <c r="X196" s="57">
        <f t="shared" si="32"/>
        <v>8.1313182009955387</v>
      </c>
      <c r="Y196" s="13"/>
      <c r="Z196" s="74"/>
      <c r="AA196" s="12"/>
      <c r="AD196" s="51"/>
      <c r="AE196" s="51"/>
      <c r="AJ196" t="s">
        <v>415</v>
      </c>
      <c r="AK196">
        <v>1</v>
      </c>
      <c r="AL196" s="1">
        <v>164.56</v>
      </c>
      <c r="AM196" s="1">
        <v>474.38</v>
      </c>
      <c r="AN196" s="1">
        <v>18325.66</v>
      </c>
      <c r="AO196" s="1">
        <v>14824.93</v>
      </c>
      <c r="AP196" s="1">
        <v>9438.48</v>
      </c>
      <c r="AR196" s="1">
        <v>3004.72</v>
      </c>
      <c r="AS196" s="1">
        <v>8771.9</v>
      </c>
      <c r="AT196" s="1">
        <v>124599.1</v>
      </c>
      <c r="AU196" s="1">
        <v>42712.81</v>
      </c>
      <c r="AV196" s="1">
        <v>18292.52</v>
      </c>
    </row>
    <row r="197" spans="1:48" x14ac:dyDescent="0.3">
      <c r="C197" s="2"/>
      <c r="S197" s="66" t="s">
        <v>39</v>
      </c>
      <c r="T197" s="67">
        <f>C554</f>
        <v>0</v>
      </c>
      <c r="U197" s="67">
        <f t="shared" si="32"/>
        <v>0.11444458059703401</v>
      </c>
      <c r="V197" s="67">
        <f t="shared" si="32"/>
        <v>0.16516205617791804</v>
      </c>
      <c r="W197" s="67">
        <f t="shared" si="32"/>
        <v>0.18747078128201189</v>
      </c>
      <c r="X197" s="67">
        <f t="shared" si="32"/>
        <v>0.15221479994404033</v>
      </c>
      <c r="AD197" s="51"/>
      <c r="AE197" s="51"/>
      <c r="AJ197" t="s">
        <v>415</v>
      </c>
      <c r="AK197">
        <v>2</v>
      </c>
      <c r="AL197" s="1">
        <v>159.51</v>
      </c>
      <c r="AM197" s="1">
        <v>456.74</v>
      </c>
      <c r="AN197" s="1">
        <v>18232.52</v>
      </c>
      <c r="AO197" s="1">
        <v>14974.25</v>
      </c>
      <c r="AP197" s="1">
        <v>9405</v>
      </c>
      <c r="AR197" s="1">
        <v>2982.49</v>
      </c>
      <c r="AS197" s="1">
        <v>8716.9500000000007</v>
      </c>
      <c r="AT197" s="1">
        <v>124243</v>
      </c>
      <c r="AU197" s="1">
        <v>43580.08</v>
      </c>
      <c r="AV197" s="1">
        <v>17858.55</v>
      </c>
    </row>
    <row r="198" spans="1:48" ht="15.6" x14ac:dyDescent="0.35">
      <c r="A198" t="s">
        <v>322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100</v>
      </c>
      <c r="U198" s="57">
        <f t="shared" si="32"/>
        <v>80.035328214985682</v>
      </c>
      <c r="V198" s="57">
        <f t="shared" si="32"/>
        <v>97.02145433710308</v>
      </c>
      <c r="W198" s="57">
        <f t="shared" si="32"/>
        <v>89.348763706831974</v>
      </c>
      <c r="X198" s="57">
        <f t="shared" si="32"/>
        <v>87.007313113946765</v>
      </c>
      <c r="AD198" s="51"/>
      <c r="AE198" s="51"/>
      <c r="AJ198" t="s">
        <v>415</v>
      </c>
      <c r="AK198">
        <v>3</v>
      </c>
      <c r="AL198" s="1">
        <v>168.07</v>
      </c>
      <c r="AM198" s="1">
        <v>466.36</v>
      </c>
      <c r="AN198" s="1">
        <v>18356.03</v>
      </c>
      <c r="AO198" s="1">
        <v>14854.6</v>
      </c>
      <c r="AP198" s="1">
        <v>9382.9500000000007</v>
      </c>
      <c r="AR198" s="1">
        <v>2999.22</v>
      </c>
      <c r="AS198" s="1">
        <v>8608.1</v>
      </c>
      <c r="AT198" s="1">
        <v>125008.38</v>
      </c>
      <c r="AU198" s="1">
        <v>42734.98</v>
      </c>
      <c r="AV198" s="1">
        <v>18030.38</v>
      </c>
    </row>
    <row r="199" spans="1:48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</v>
      </c>
      <c r="U199" s="67">
        <f t="shared" si="32"/>
        <v>3.0647261691443517</v>
      </c>
      <c r="V199" s="67">
        <f t="shared" si="32"/>
        <v>0.19973509611940579</v>
      </c>
      <c r="W199" s="67">
        <f t="shared" si="32"/>
        <v>0.85930580484212704</v>
      </c>
      <c r="X199" s="67">
        <f t="shared" si="32"/>
        <v>2.1741728793604547</v>
      </c>
      <c r="AD199" s="51"/>
      <c r="AE199" s="51"/>
      <c r="AJ199" t="s">
        <v>415</v>
      </c>
      <c r="AK199">
        <v>4</v>
      </c>
      <c r="AL199" s="1">
        <v>151.52000000000001</v>
      </c>
      <c r="AM199" s="1">
        <v>489.64</v>
      </c>
      <c r="AN199" s="1">
        <v>18312.23</v>
      </c>
      <c r="AO199" s="1">
        <v>14816.98</v>
      </c>
      <c r="AP199" s="1">
        <v>9457.65</v>
      </c>
      <c r="AR199" s="1">
        <v>2963.59</v>
      </c>
      <c r="AS199" s="1">
        <v>8740.68</v>
      </c>
      <c r="AT199" s="1">
        <v>124506.18</v>
      </c>
      <c r="AU199" s="1">
        <v>43069.120000000003</v>
      </c>
      <c r="AV199" s="1">
        <v>18101.5</v>
      </c>
    </row>
    <row r="200" spans="1:48" x14ac:dyDescent="0.3">
      <c r="A200" t="s">
        <v>3</v>
      </c>
      <c r="B200" s="13">
        <v>0</v>
      </c>
      <c r="C200" s="29">
        <f>(C189/$L200)*$O200</f>
        <v>1.5171060485742656</v>
      </c>
      <c r="D200" s="31">
        <f>(D189/$L200)*$O200</f>
        <v>0</v>
      </c>
      <c r="E200" s="31">
        <f>(E189/$L200)*$O200</f>
        <v>0</v>
      </c>
      <c r="F200" s="31">
        <f>(F189/$L200)*$O200</f>
        <v>0</v>
      </c>
      <c r="G200" s="32">
        <f>(G189/$L200)*$O200</f>
        <v>0</v>
      </c>
      <c r="H200" s="17">
        <f>SUM(C200:G200)</f>
        <v>1.5171060485742656</v>
      </c>
      <c r="I200" s="17">
        <f>C200/H200*100</f>
        <v>100</v>
      </c>
      <c r="J200" s="17">
        <f>SQRT(I200*(100-I200)/(L200-1))</f>
        <v>0</v>
      </c>
      <c r="K200" s="18">
        <f>100-I200</f>
        <v>0</v>
      </c>
      <c r="L200" s="1">
        <f>H189</f>
        <v>259</v>
      </c>
      <c r="M200">
        <v>0</v>
      </c>
      <c r="N200" s="1">
        <v>2994.48</v>
      </c>
      <c r="O200" s="17">
        <f>N200/N205*100</f>
        <v>1.5171060485742656</v>
      </c>
      <c r="P200" s="52">
        <f>((O200*O200*(I200/100)*(K200/100))/(L200-1))</f>
        <v>0</v>
      </c>
      <c r="S200" t="s">
        <v>31</v>
      </c>
      <c r="T200" s="57">
        <f>I548</f>
        <v>100</v>
      </c>
      <c r="U200" s="57">
        <f>I549</f>
        <v>91.066282420749289</v>
      </c>
      <c r="V200" s="57">
        <f>I550</f>
        <v>97.91836734693878</v>
      </c>
      <c r="W200" s="57">
        <f>I551</f>
        <v>88.551933282790003</v>
      </c>
      <c r="X200" s="57">
        <f>I552</f>
        <v>77.474747474747474</v>
      </c>
      <c r="AD200" s="51"/>
      <c r="AE200" s="51"/>
      <c r="AJ200" t="s">
        <v>415</v>
      </c>
      <c r="AK200">
        <v>5</v>
      </c>
      <c r="AL200" s="1">
        <v>178.2</v>
      </c>
      <c r="AM200" s="1">
        <v>460.89</v>
      </c>
      <c r="AN200" s="1">
        <v>18312.78</v>
      </c>
      <c r="AO200" s="1">
        <v>14815.77</v>
      </c>
      <c r="AP200" s="1">
        <v>9460.3700000000008</v>
      </c>
      <c r="AR200" s="1">
        <v>2979.04</v>
      </c>
      <c r="AS200" s="1">
        <v>8710.9</v>
      </c>
      <c r="AT200" s="1">
        <v>124659.15</v>
      </c>
      <c r="AU200" s="1">
        <v>42943.96</v>
      </c>
      <c r="AV200" s="1">
        <v>18088.009999999998</v>
      </c>
    </row>
    <row r="201" spans="1:48" x14ac:dyDescent="0.3">
      <c r="A201" t="s">
        <v>4</v>
      </c>
      <c r="B201" s="13">
        <v>1</v>
      </c>
      <c r="C201" s="33">
        <f t="shared" ref="C201:G204" si="33">(C190/$L201)*$O201</f>
        <v>0</v>
      </c>
      <c r="D201" s="34">
        <f t="shared" si="33"/>
        <v>3.8587360514922069</v>
      </c>
      <c r="E201" s="19">
        <f t="shared" si="33"/>
        <v>0.43566374774912014</v>
      </c>
      <c r="F201" s="18">
        <f t="shared" si="33"/>
        <v>0</v>
      </c>
      <c r="G201" s="20">
        <f t="shared" si="33"/>
        <v>2.4895071299949719E-2</v>
      </c>
      <c r="H201" s="17">
        <f>SUM(C201:G201)</f>
        <v>4.3192948705412766</v>
      </c>
      <c r="I201" s="17">
        <f>D201/H201*100</f>
        <v>89.33717579250721</v>
      </c>
      <c r="J201" s="17">
        <f>SQRT(I201*(100-I201)/(L201-1))</f>
        <v>1.6592590106316687</v>
      </c>
      <c r="K201" s="18">
        <f>100-I201</f>
        <v>10.66282420749279</v>
      </c>
      <c r="L201" s="1">
        <f>H190</f>
        <v>347</v>
      </c>
      <c r="M201">
        <v>1</v>
      </c>
      <c r="N201" s="1">
        <v>8525.4699999999993</v>
      </c>
      <c r="O201" s="17">
        <f>N201/N205*100</f>
        <v>4.3192948705412766</v>
      </c>
      <c r="P201" s="52">
        <f>((O201*O201*(I201/100)*(K201/100))/(L201-1))</f>
        <v>5.1363436962350312E-3</v>
      </c>
      <c r="S201" s="66" t="s">
        <v>39</v>
      </c>
      <c r="T201" s="67">
        <f>J548</f>
        <v>0</v>
      </c>
      <c r="U201" s="67">
        <f>J549</f>
        <v>1.53340496117919</v>
      </c>
      <c r="V201" s="67">
        <f>J550</f>
        <v>0.16654055360342157</v>
      </c>
      <c r="W201" s="67">
        <f>J551</f>
        <v>0.6200261900591274</v>
      </c>
      <c r="X201" s="67">
        <f>J552</f>
        <v>1.3283630084823213</v>
      </c>
      <c r="AD201" s="51"/>
      <c r="AE201" s="51"/>
      <c r="AJ201" t="s">
        <v>415</v>
      </c>
      <c r="AK201">
        <v>6</v>
      </c>
      <c r="AL201" s="1">
        <v>178.24</v>
      </c>
      <c r="AM201" s="1">
        <v>467.93</v>
      </c>
      <c r="AN201" s="1">
        <v>18363.23</v>
      </c>
      <c r="AO201" s="1">
        <v>14902.69</v>
      </c>
      <c r="AP201" s="1">
        <v>9315.91</v>
      </c>
      <c r="AR201" s="1">
        <v>2994.48</v>
      </c>
      <c r="AS201" s="1">
        <v>8525.4699999999993</v>
      </c>
      <c r="AT201" s="1">
        <v>125225.89</v>
      </c>
      <c r="AU201" s="1">
        <v>43222.57</v>
      </c>
      <c r="AV201" s="1">
        <v>17412.650000000001</v>
      </c>
    </row>
    <row r="202" spans="1:48" x14ac:dyDescent="0.3">
      <c r="A202" t="s">
        <v>5</v>
      </c>
      <c r="B202" s="13">
        <v>2</v>
      </c>
      <c r="C202" s="33">
        <f t="shared" si="33"/>
        <v>0</v>
      </c>
      <c r="D202" s="19">
        <f t="shared" si="33"/>
        <v>0.86317988435272197</v>
      </c>
      <c r="E202" s="34">
        <f t="shared" si="33"/>
        <v>62.140319874552461</v>
      </c>
      <c r="F202" s="19">
        <f t="shared" si="33"/>
        <v>0.39706274680225212</v>
      </c>
      <c r="G202" s="20">
        <f t="shared" si="33"/>
        <v>4.3158994217636096E-2</v>
      </c>
      <c r="H202" s="17">
        <f>SUM(C202:G202)</f>
        <v>63.443721499925076</v>
      </c>
      <c r="I202" s="17">
        <f>E202/H202*100</f>
        <v>97.945578231292501</v>
      </c>
      <c r="J202" s="17">
        <f>SQRT(I202*(100-I202)/(L202-1))</f>
        <v>0.16547145955728701</v>
      </c>
      <c r="K202" s="18">
        <f>100-I202</f>
        <v>2.054421768707499</v>
      </c>
      <c r="L202" s="1">
        <f>H191</f>
        <v>7350</v>
      </c>
      <c r="M202">
        <v>2</v>
      </c>
      <c r="N202" s="1">
        <v>125225.89</v>
      </c>
      <c r="O202" s="17">
        <f>N202/N205*100</f>
        <v>63.443721499925068</v>
      </c>
      <c r="P202" s="52">
        <f>((O202*O202*(I202/100)*(K202/100))/(L202-1))</f>
        <v>1.1021063263800002E-2</v>
      </c>
      <c r="S202" s="66" t="s">
        <v>56</v>
      </c>
      <c r="T202" s="67">
        <f>N537*100</f>
        <v>100</v>
      </c>
      <c r="U202" s="67">
        <f>N538*100</f>
        <v>81.025641025641036</v>
      </c>
      <c r="V202" s="67">
        <f>N539*100</f>
        <v>97.513718582751835</v>
      </c>
      <c r="W202" s="67">
        <f>N540*100</f>
        <v>89.41626794258373</v>
      </c>
      <c r="X202" s="67">
        <f>N541*100</f>
        <v>81.422505307855616</v>
      </c>
      <c r="AD202" s="51"/>
      <c r="AE202" s="51"/>
      <c r="AJ202" t="s">
        <v>415</v>
      </c>
      <c r="AK202">
        <v>7</v>
      </c>
      <c r="AL202" s="1">
        <v>164.85</v>
      </c>
      <c r="AM202" s="1">
        <v>520.54999999999995</v>
      </c>
      <c r="AN202" s="1">
        <v>18109.810000000001</v>
      </c>
      <c r="AO202" s="1">
        <v>15025.78</v>
      </c>
      <c r="AP202" s="1">
        <v>9407.0300000000007</v>
      </c>
      <c r="AR202" s="1">
        <v>2993.05</v>
      </c>
      <c r="AS202" s="1">
        <v>8777.2999999999993</v>
      </c>
      <c r="AT202" s="1">
        <v>124158.96</v>
      </c>
      <c r="AU202" s="1">
        <v>43469.42</v>
      </c>
      <c r="AV202" s="1">
        <v>17982.34</v>
      </c>
    </row>
    <row r="203" spans="1:48" x14ac:dyDescent="0.3">
      <c r="A203" t="s">
        <v>6</v>
      </c>
      <c r="B203" s="13">
        <v>3</v>
      </c>
      <c r="C203" s="33">
        <f t="shared" si="33"/>
        <v>0</v>
      </c>
      <c r="D203" s="19">
        <f t="shared" si="33"/>
        <v>7.4708983538723295E-2</v>
      </c>
      <c r="E203" s="19">
        <f t="shared" si="33"/>
        <v>1.5107816671164043</v>
      </c>
      <c r="F203" s="34">
        <f t="shared" si="33"/>
        <v>19.391131727384177</v>
      </c>
      <c r="G203" s="20">
        <f t="shared" si="33"/>
        <v>0.92141079697758721</v>
      </c>
      <c r="H203" s="17">
        <f>SUM(C203:G203)</f>
        <v>21.898033175016892</v>
      </c>
      <c r="I203" s="17">
        <f>F203/H203*100</f>
        <v>88.551933282790003</v>
      </c>
      <c r="J203" s="17">
        <f>SQRT(I203*(100-I203)/(L203-1))</f>
        <v>0.6200261900591274</v>
      </c>
      <c r="K203" s="18">
        <f>100-I203</f>
        <v>11.448066717209997</v>
      </c>
      <c r="L203" s="1">
        <f>H192</f>
        <v>2638</v>
      </c>
      <c r="M203">
        <v>3</v>
      </c>
      <c r="N203" s="1">
        <v>43222.57</v>
      </c>
      <c r="O203" s="17">
        <f>N203/N205*100</f>
        <v>21.898033175016892</v>
      </c>
      <c r="P203" s="52">
        <f>((O203*O203*(I203/100)*(K203/100))/(L203-1))</f>
        <v>1.8434454379452413E-2</v>
      </c>
      <c r="R203" s="16" t="s">
        <v>66</v>
      </c>
      <c r="S203" t="s">
        <v>9</v>
      </c>
      <c r="T203" s="1">
        <f>N548</f>
        <v>2998.13</v>
      </c>
      <c r="U203" s="1">
        <f>N549</f>
        <v>8729.51</v>
      </c>
      <c r="V203" s="1">
        <f>N550</f>
        <v>124792.3</v>
      </c>
      <c r="W203" s="1">
        <f>N551</f>
        <v>42836.67</v>
      </c>
      <c r="X203" s="1">
        <f>N552</f>
        <v>18024.45</v>
      </c>
      <c r="Z203" t="s">
        <v>36</v>
      </c>
      <c r="AA203" s="1">
        <f>N553</f>
        <v>197381.06</v>
      </c>
      <c r="AD203" s="51"/>
      <c r="AE203" s="51"/>
      <c r="AJ203" t="s">
        <v>415</v>
      </c>
      <c r="AK203">
        <v>8</v>
      </c>
      <c r="AL203" s="1">
        <v>158.01</v>
      </c>
      <c r="AM203" s="1">
        <v>463.99</v>
      </c>
      <c r="AN203" s="1">
        <v>18287.939999999999</v>
      </c>
      <c r="AO203" s="1">
        <v>14860.44</v>
      </c>
      <c r="AP203" s="1">
        <v>9457.64</v>
      </c>
      <c r="AR203" s="1">
        <v>2986.11</v>
      </c>
      <c r="AS203" s="1">
        <v>8556.1</v>
      </c>
      <c r="AT203" s="1">
        <v>124966.21</v>
      </c>
      <c r="AU203" s="1">
        <v>42565.11</v>
      </c>
      <c r="AV203" s="1">
        <v>18307.54</v>
      </c>
    </row>
    <row r="204" spans="1:48" ht="15.6" x14ac:dyDescent="0.35">
      <c r="A204" t="s">
        <v>7</v>
      </c>
      <c r="B204" s="13">
        <v>4</v>
      </c>
      <c r="C204" s="35">
        <f t="shared" si="33"/>
        <v>0</v>
      </c>
      <c r="D204" s="36">
        <f t="shared" si="33"/>
        <v>0</v>
      </c>
      <c r="E204" s="21">
        <f t="shared" si="33"/>
        <v>8.0198585508568149E-2</v>
      </c>
      <c r="F204" s="21">
        <f t="shared" si="33"/>
        <v>1.8802112824786532</v>
      </c>
      <c r="G204" s="37">
        <f t="shared" si="33"/>
        <v>6.861434537955275</v>
      </c>
      <c r="H204" s="17">
        <f>SUM(C204:G204)</f>
        <v>8.8218444059424961</v>
      </c>
      <c r="I204" s="17">
        <f>G204/H204*100</f>
        <v>77.777777777777786</v>
      </c>
      <c r="J204" s="17">
        <f>SQRT(I204*(100-I204)/(L204-1))</f>
        <v>1.3219753663705656</v>
      </c>
      <c r="K204" s="18">
        <f>100-I204</f>
        <v>22.222222222222214</v>
      </c>
      <c r="L204" s="1">
        <f>H193</f>
        <v>990</v>
      </c>
      <c r="M204">
        <v>4</v>
      </c>
      <c r="N204" s="1">
        <v>17412.650000000001</v>
      </c>
      <c r="O204" s="17">
        <f>N204/N205*100</f>
        <v>8.8218444059424961</v>
      </c>
      <c r="P204" s="52">
        <f>((O204*O204*(I204/100)*(K204/100))/(L204-1))</f>
        <v>1.3600833141310272E-2</v>
      </c>
      <c r="R204" s="16" t="s">
        <v>323</v>
      </c>
      <c r="S204" t="s">
        <v>68</v>
      </c>
      <c r="T204" s="57">
        <f>$AA203*T196/100</f>
        <v>2998.1300000000006</v>
      </c>
      <c r="U204" s="57">
        <f>$AA203*U196/100</f>
        <v>9932.6639970710748</v>
      </c>
      <c r="V204" s="57">
        <f>$AA203*V196/100</f>
        <v>125945.94007025108</v>
      </c>
      <c r="W204" s="57">
        <f>$AA203*W196/100</f>
        <v>42454.643875579924</v>
      </c>
      <c r="X204" s="57">
        <f>$AA203*X196/100</f>
        <v>16049.682057097925</v>
      </c>
      <c r="Z204" t="s">
        <v>36</v>
      </c>
      <c r="AA204" s="25">
        <f>SUM(T204:X204)</f>
        <v>197381.06000000003</v>
      </c>
      <c r="AD204" s="51"/>
      <c r="AE204" s="51"/>
      <c r="AJ204" t="s">
        <v>415</v>
      </c>
      <c r="AK204">
        <v>9</v>
      </c>
      <c r="AL204" s="1">
        <v>163.79</v>
      </c>
      <c r="AM204" s="1">
        <v>480.75</v>
      </c>
      <c r="AN204" s="1">
        <v>18237.63</v>
      </c>
      <c r="AO204" s="1">
        <v>14853.82</v>
      </c>
      <c r="AP204" s="1">
        <v>9492.02</v>
      </c>
      <c r="AR204" s="1">
        <v>2994.14</v>
      </c>
      <c r="AS204" s="1">
        <v>8704.85</v>
      </c>
      <c r="AT204" s="1">
        <v>124734.12</v>
      </c>
      <c r="AU204" s="1">
        <v>42861.14</v>
      </c>
      <c r="AV204" s="1">
        <v>18086.82</v>
      </c>
    </row>
    <row r="205" spans="1:48" x14ac:dyDescent="0.3">
      <c r="B205" t="s">
        <v>28</v>
      </c>
      <c r="C205" s="17">
        <f t="shared" ref="C205:H205" si="34">SUM(C200:C204)</f>
        <v>1.5171060485742656</v>
      </c>
      <c r="D205" s="17">
        <f t="shared" si="34"/>
        <v>4.7966249193836523</v>
      </c>
      <c r="E205" s="17">
        <f t="shared" si="34"/>
        <v>64.166963874926552</v>
      </c>
      <c r="F205" s="17">
        <f t="shared" si="34"/>
        <v>21.668405756665084</v>
      </c>
      <c r="G205" s="17">
        <f t="shared" si="34"/>
        <v>7.850899400450448</v>
      </c>
      <c r="H205" s="18">
        <f t="shared" si="34"/>
        <v>100.00000000000001</v>
      </c>
      <c r="I205" s="13" t="s">
        <v>24</v>
      </c>
      <c r="J205" s="12" t="s">
        <v>29</v>
      </c>
      <c r="N205" s="1">
        <f>SUM(N200:N204)</f>
        <v>197381.06</v>
      </c>
      <c r="O205" s="17">
        <f>SUM(O200:O204)</f>
        <v>100</v>
      </c>
      <c r="R205" s="66"/>
      <c r="S205" s="66" t="s">
        <v>67</v>
      </c>
      <c r="T205" s="67">
        <f>$AA203*T197/100</f>
        <v>0</v>
      </c>
      <c r="U205" s="67">
        <f>$AA203*U197/100</f>
        <v>225.89192629498004</v>
      </c>
      <c r="V205" s="67">
        <f>$AA203*V197/100</f>
        <v>325.99861720177012</v>
      </c>
      <c r="W205" s="67">
        <f>$AA203*W197/100</f>
        <v>370.03181528471663</v>
      </c>
      <c r="X205" s="67">
        <f>$AA203*X197/100</f>
        <v>300.4431856064262</v>
      </c>
      <c r="AA205" s="1"/>
      <c r="AD205" s="51"/>
      <c r="AE205" s="51"/>
      <c r="AJ205" t="s">
        <v>415</v>
      </c>
      <c r="AK205">
        <v>10</v>
      </c>
      <c r="AL205" s="1">
        <v>141.86000000000001</v>
      </c>
      <c r="AM205" s="1">
        <v>494.3</v>
      </c>
      <c r="AN205" s="1">
        <v>18318.439999999999</v>
      </c>
      <c r="AO205" s="1">
        <v>14960.99</v>
      </c>
      <c r="AP205" s="1">
        <v>9312.43</v>
      </c>
      <c r="AR205" s="1">
        <v>2936.44</v>
      </c>
      <c r="AS205" s="1">
        <v>8646.86</v>
      </c>
      <c r="AT205" s="1">
        <v>124664.7</v>
      </c>
      <c r="AU205" s="1">
        <v>43462.9</v>
      </c>
      <c r="AV205" s="1">
        <v>17670.150000000001</v>
      </c>
    </row>
    <row r="206" spans="1:48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0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0.11440720550832519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0.16816492576333908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0.18712817682009247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0.14694989930594946</v>
      </c>
      <c r="H206" s="1"/>
      <c r="I206" s="14">
        <f>(C200+D201+E202+F203+G204)/H205</f>
        <v>0.93768728239958377</v>
      </c>
      <c r="J206" s="53">
        <f>SQRT(SUM(P200:P204))/100</f>
        <v>2.1952834550644641E-3</v>
      </c>
      <c r="M206" s="1"/>
      <c r="N206" s="9"/>
      <c r="R206" t="s">
        <v>112</v>
      </c>
      <c r="S206" t="s">
        <v>28</v>
      </c>
      <c r="T206" s="57">
        <f>C582</f>
        <v>1.5240114730359642</v>
      </c>
      <c r="U206" s="57">
        <f t="shared" ref="U206:X209" si="35">D582</f>
        <v>4.8588459669639192</v>
      </c>
      <c r="V206" s="57">
        <f t="shared" si="35"/>
        <v>64.038672266441438</v>
      </c>
      <c r="W206" s="57">
        <f t="shared" si="35"/>
        <v>21.363716496329591</v>
      </c>
      <c r="X206" s="57">
        <f>G582</f>
        <v>8.2147537972290934</v>
      </c>
      <c r="Y206" s="60"/>
      <c r="Z206" s="74"/>
      <c r="AA206" s="12"/>
      <c r="AD206" s="51"/>
      <c r="AE206" s="51"/>
      <c r="AJ206" t="s">
        <v>415</v>
      </c>
      <c r="AK206">
        <v>11</v>
      </c>
      <c r="AL206" s="1">
        <v>167.6</v>
      </c>
      <c r="AM206" s="1">
        <v>482.14</v>
      </c>
      <c r="AN206" s="1">
        <v>18128.16</v>
      </c>
      <c r="AO206" s="1">
        <v>15041.42</v>
      </c>
      <c r="AP206" s="1">
        <v>9408.7000000000007</v>
      </c>
      <c r="AR206" s="1">
        <v>2994.01</v>
      </c>
      <c r="AS206" s="1">
        <v>8879.4699999999993</v>
      </c>
      <c r="AT206" s="1">
        <v>123597.58</v>
      </c>
      <c r="AU206" s="1">
        <v>43872.32</v>
      </c>
      <c r="AV206" s="1">
        <v>18037.68</v>
      </c>
    </row>
    <row r="207" spans="1:48" x14ac:dyDescent="0.3">
      <c r="B207" s="1" t="s">
        <v>30</v>
      </c>
      <c r="C207" s="17">
        <f>C200/C205*100</f>
        <v>100</v>
      </c>
      <c r="D207" s="17">
        <f>D201/D205*100</f>
        <v>80.446899983750228</v>
      </c>
      <c r="E207" s="17">
        <f>E202/E205*100</f>
        <v>96.841608394742821</v>
      </c>
      <c r="F207" s="17">
        <f>F203/F205*100</f>
        <v>89.490348044731306</v>
      </c>
      <c r="G207" s="17">
        <f>G204/G205*100</f>
        <v>87.396796060864034</v>
      </c>
      <c r="H207" s="1"/>
      <c r="S207" s="66" t="s">
        <v>39</v>
      </c>
      <c r="T207" s="67">
        <f>C583</f>
        <v>0</v>
      </c>
      <c r="U207" s="67">
        <f t="shared" si="35"/>
        <v>0.11319977626285738</v>
      </c>
      <c r="V207" s="67">
        <f t="shared" si="35"/>
        <v>0.16641511579305454</v>
      </c>
      <c r="W207" s="67">
        <f t="shared" si="35"/>
        <v>0.18858225770754966</v>
      </c>
      <c r="X207" s="67">
        <f t="shared" si="35"/>
        <v>0.1547025305026242</v>
      </c>
      <c r="AD207" s="51"/>
      <c r="AE207" s="51"/>
      <c r="AJ207" t="s">
        <v>415</v>
      </c>
      <c r="AK207">
        <v>12</v>
      </c>
      <c r="AL207" s="1">
        <v>161.71</v>
      </c>
      <c r="AM207" s="1">
        <v>494.81</v>
      </c>
      <c r="AN207" s="1">
        <v>18197.34</v>
      </c>
      <c r="AO207" s="1">
        <v>14905.1</v>
      </c>
      <c r="AP207" s="1">
        <v>9469.0499999999993</v>
      </c>
      <c r="AR207" s="1">
        <v>2970.64</v>
      </c>
      <c r="AS207" s="1">
        <v>9007.76</v>
      </c>
      <c r="AT207" s="1">
        <v>123921.39</v>
      </c>
      <c r="AU207" s="1">
        <v>43475.12</v>
      </c>
      <c r="AV207" s="1">
        <v>18006.150000000001</v>
      </c>
    </row>
    <row r="208" spans="1:48" x14ac:dyDescent="0.3">
      <c r="B208" s="16" t="s">
        <v>39</v>
      </c>
      <c r="C208" s="18">
        <f>SQRT((C211+C212)/(C205*C205))</f>
        <v>0</v>
      </c>
      <c r="D208" s="18">
        <f>SQRT((D211+D212)/(D205*D205))</f>
        <v>3.2827855436638669</v>
      </c>
      <c r="E208" s="18">
        <f>SQRT((E211+E212)/(E205*E205))</f>
        <v>0.20500530701708133</v>
      </c>
      <c r="F208" s="18">
        <f>SQRT((F211+F212)/(F205*F205))</f>
        <v>0.84667769726243758</v>
      </c>
      <c r="G208" s="18">
        <f>SQRT((G211+G212)/(G205*G205))</f>
        <v>2.1207875622819223</v>
      </c>
      <c r="H208" s="1"/>
      <c r="S208" t="s">
        <v>30</v>
      </c>
      <c r="T208" s="57">
        <f>C584</f>
        <v>100</v>
      </c>
      <c r="U208" s="57">
        <f t="shared" si="35"/>
        <v>80.553018241134438</v>
      </c>
      <c r="V208" s="57">
        <f t="shared" si="35"/>
        <v>96.870382442534464</v>
      </c>
      <c r="W208" s="57">
        <f t="shared" si="35"/>
        <v>89.017562338207043</v>
      </c>
      <c r="X208" s="57">
        <f t="shared" si="35"/>
        <v>87.505906688350493</v>
      </c>
      <c r="AD208" s="51"/>
      <c r="AE208" s="51"/>
      <c r="AJ208" t="s">
        <v>415</v>
      </c>
      <c r="AK208">
        <v>13</v>
      </c>
      <c r="AL208" s="1">
        <v>167.82</v>
      </c>
      <c r="AM208" s="1">
        <v>475.84</v>
      </c>
      <c r="AN208" s="1">
        <v>18276.43</v>
      </c>
      <c r="AO208" s="1">
        <v>14892</v>
      </c>
      <c r="AP208" s="1">
        <v>9415.93</v>
      </c>
      <c r="AR208" s="1">
        <v>2991.48</v>
      </c>
      <c r="AS208" s="1">
        <v>8587.92</v>
      </c>
      <c r="AT208" s="1">
        <v>124699.88</v>
      </c>
      <c r="AU208" s="1">
        <v>42958.53</v>
      </c>
      <c r="AV208" s="1">
        <v>18143.259999999998</v>
      </c>
    </row>
    <row r="209" spans="1:48" x14ac:dyDescent="0.3">
      <c r="B209" s="1" t="s">
        <v>37</v>
      </c>
      <c r="C209" s="18">
        <f>100-C207</f>
        <v>0</v>
      </c>
      <c r="D209" s="18">
        <f>100-D207</f>
        <v>19.553100016249772</v>
      </c>
      <c r="E209" s="18">
        <f>100-E207</f>
        <v>3.1583916052571794</v>
      </c>
      <c r="F209" s="18">
        <f>100-F207</f>
        <v>10.509651955268694</v>
      </c>
      <c r="G209" s="18">
        <f>100-G207</f>
        <v>12.603203939135966</v>
      </c>
      <c r="S209" s="66" t="s">
        <v>39</v>
      </c>
      <c r="T209" s="67">
        <f>C585</f>
        <v>0</v>
      </c>
      <c r="U209" s="67">
        <f t="shared" si="35"/>
        <v>3.1477779567527242</v>
      </c>
      <c r="V209" s="67">
        <f t="shared" si="35"/>
        <v>0.2033769904371398</v>
      </c>
      <c r="W209" s="67">
        <f t="shared" si="35"/>
        <v>0.88235911307021309</v>
      </c>
      <c r="X209" s="67">
        <f t="shared" si="35"/>
        <v>2.1379635817025138</v>
      </c>
      <c r="AD209" s="51"/>
      <c r="AE209" s="51"/>
      <c r="AJ209" t="s">
        <v>415</v>
      </c>
      <c r="AK209">
        <v>14</v>
      </c>
      <c r="AL209" s="1">
        <v>165.3</v>
      </c>
      <c r="AM209" s="1">
        <v>451.62</v>
      </c>
      <c r="AN209" s="1">
        <v>18231.59</v>
      </c>
      <c r="AO209" s="1">
        <v>14941.92</v>
      </c>
      <c r="AP209" s="1">
        <v>9437.58</v>
      </c>
      <c r="AR209" s="1">
        <v>2993.97</v>
      </c>
      <c r="AS209" s="1">
        <v>8429.94</v>
      </c>
      <c r="AT209" s="1">
        <v>124470.23</v>
      </c>
      <c r="AU209" s="1">
        <v>43087.67</v>
      </c>
      <c r="AV209" s="1">
        <v>18399.25</v>
      </c>
    </row>
    <row r="210" spans="1:48" ht="15.6" x14ac:dyDescent="0.35">
      <c r="B210" s="1" t="s">
        <v>25</v>
      </c>
      <c r="C210" s="1">
        <f>C194</f>
        <v>259</v>
      </c>
      <c r="D210" s="1">
        <f>D194</f>
        <v>419</v>
      </c>
      <c r="E210" s="1">
        <f>E194</f>
        <v>7425</v>
      </c>
      <c r="F210" s="1">
        <f>F194</f>
        <v>2593</v>
      </c>
      <c r="G210" s="1">
        <f>G194</f>
        <v>888</v>
      </c>
      <c r="S210" s="15" t="s">
        <v>31</v>
      </c>
      <c r="T210" s="71">
        <f>I577</f>
        <v>100</v>
      </c>
      <c r="U210" s="71">
        <f>I578</f>
        <v>90.201729106628235</v>
      </c>
      <c r="V210" s="71">
        <f>I579</f>
        <v>97.986394557823132</v>
      </c>
      <c r="W210" s="71">
        <f>I580</f>
        <v>88.551933282789989</v>
      </c>
      <c r="X210" s="71">
        <f>I581</f>
        <v>76.868686868686879</v>
      </c>
      <c r="AD210" s="51"/>
      <c r="AE210" s="51"/>
      <c r="AJ210" t="s">
        <v>415</v>
      </c>
      <c r="AK210">
        <v>15</v>
      </c>
      <c r="AL210" s="1">
        <v>189.81</v>
      </c>
      <c r="AM210" s="1">
        <v>495.5</v>
      </c>
      <c r="AN210" s="1">
        <v>18322.259999999998</v>
      </c>
      <c r="AO210" s="1">
        <v>14849.45</v>
      </c>
      <c r="AP210" s="1">
        <v>9371</v>
      </c>
      <c r="AR210" s="1">
        <v>3036.92</v>
      </c>
      <c r="AS210" s="1">
        <v>9040.73</v>
      </c>
      <c r="AT210" s="1">
        <v>124625.65</v>
      </c>
      <c r="AU210" s="1">
        <v>42895.54</v>
      </c>
      <c r="AV210" s="1">
        <v>17782.22</v>
      </c>
    </row>
    <row r="211" spans="1:48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196.37460304039291</v>
      </c>
      <c r="E211" s="18">
        <f>(O202*O202*(100-E207)*(100-E207)*(I202)*(100-I202))/((L202-1)*100)</f>
        <v>10.993992812600954</v>
      </c>
      <c r="F211" s="18">
        <f>(O203*O203*(100-F207)*(100-F207)*(I203)*(100-I203))/((L203-1)*100)</f>
        <v>203.61368118033704</v>
      </c>
      <c r="G211" s="18">
        <f>(O204*O204*(100-G207)*(100-G207)*(I204)*(100-I204))/((L204-1)*100)</f>
        <v>216.0366530417941</v>
      </c>
      <c r="S211" s="75" t="s">
        <v>39</v>
      </c>
      <c r="T211" s="76">
        <f>J577</f>
        <v>0</v>
      </c>
      <c r="U211" s="76">
        <f>J578</f>
        <v>1.5982477551409069</v>
      </c>
      <c r="V211" s="76">
        <f>J579</f>
        <v>0.16385358709926462</v>
      </c>
      <c r="W211" s="76">
        <f>J580</f>
        <v>0.62002619005912774</v>
      </c>
      <c r="X211" s="76">
        <f>J581</f>
        <v>1.3408392954153312</v>
      </c>
      <c r="AD211" s="51"/>
      <c r="AE211" s="51"/>
      <c r="AJ211" t="s">
        <v>415</v>
      </c>
      <c r="AK211">
        <v>16</v>
      </c>
      <c r="AL211" s="1">
        <v>162.77000000000001</v>
      </c>
      <c r="AM211" s="1">
        <v>474.09</v>
      </c>
      <c r="AN211" s="1">
        <v>18470.830000000002</v>
      </c>
      <c r="AO211" s="1">
        <v>14617.15</v>
      </c>
      <c r="AP211" s="1">
        <v>9503.19</v>
      </c>
      <c r="AR211" s="1">
        <v>2984.9</v>
      </c>
      <c r="AS211" s="1">
        <v>8547.51</v>
      </c>
      <c r="AT211" s="1">
        <v>125681.31</v>
      </c>
      <c r="AU211" s="1">
        <v>41848.660000000003</v>
      </c>
      <c r="AV211" s="1">
        <v>18318.689999999999</v>
      </c>
    </row>
    <row r="212" spans="1:48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51.571075444216696</v>
      </c>
      <c r="E212" s="18">
        <f>E207*E207*(SUM((H200*E200*(1-E189/H189))/(H189-1),(H201*E201*(1-E190/H190))/(H190-1), (H203*E203*(1-E192/H192))/(H192-1),(H204*E204*(1-E193/H193))/(H193-1)))</f>
        <v>162.04866986193187</v>
      </c>
      <c r="F212" s="18">
        <f>F207*F207*(SUM((H200*F200*(1-F189/H189))/(H189-1),(H201*F201*(1-F190/H190))/(H190-1), (H202*F202*(1-F191/H191))/(H191-1),(H204*F204*(1-F193/H193))/(H193-1)))</f>
        <v>132.96775473787844</v>
      </c>
      <c r="G212" s="18">
        <f>G207*G207*(SUM((H200*G200*(1-G189/H189))/(H189-1),(H201*G201*(1-G190/H190))/(H190-1), (H202*G202*(1-G191/H191))/(H191-1),(H203*G203*(1-G192/H192))/(H192-1)))</f>
        <v>61.188837346293845</v>
      </c>
      <c r="S212" s="66" t="s">
        <v>56</v>
      </c>
      <c r="T212" s="67">
        <f>N566*100</f>
        <v>100</v>
      </c>
      <c r="U212" s="67">
        <f>N567*100</f>
        <v>81.298701298701289</v>
      </c>
      <c r="V212" s="67">
        <f>N568*100</f>
        <v>97.462615873875109</v>
      </c>
      <c r="W212" s="67">
        <f>N569*100</f>
        <v>89.399158055874466</v>
      </c>
      <c r="X212" s="67">
        <f>N570*100</f>
        <v>81.173333333333346</v>
      </c>
      <c r="AD212" s="51"/>
      <c r="AE212" s="51"/>
      <c r="AJ212" t="s">
        <v>415</v>
      </c>
      <c r="AK212">
        <v>17</v>
      </c>
      <c r="AL212" s="1">
        <v>179.67</v>
      </c>
      <c r="AM212" s="1">
        <v>453.19</v>
      </c>
      <c r="AN212" s="1">
        <v>18213.45</v>
      </c>
      <c r="AO212" s="1">
        <v>14813.14</v>
      </c>
      <c r="AP212" s="1">
        <v>9568.56</v>
      </c>
      <c r="AR212" s="1">
        <v>3001.71</v>
      </c>
      <c r="AS212" s="1">
        <v>8484.34</v>
      </c>
      <c r="AT212" s="1">
        <v>124208.01</v>
      </c>
      <c r="AU212" s="1">
        <v>43240.71</v>
      </c>
      <c r="AV212" s="1">
        <v>18446.28</v>
      </c>
    </row>
    <row r="213" spans="1:48" x14ac:dyDescent="0.3">
      <c r="R213" s="16" t="s">
        <v>66</v>
      </c>
      <c r="S213" t="s">
        <v>9</v>
      </c>
      <c r="T213" s="1">
        <f>N577</f>
        <v>3008.11</v>
      </c>
      <c r="U213" s="1">
        <f>N578</f>
        <v>8564.57</v>
      </c>
      <c r="V213" s="1">
        <f>N579</f>
        <v>124960.58</v>
      </c>
      <c r="W213" s="1">
        <f>N580</f>
        <v>42389.66</v>
      </c>
      <c r="X213" s="1">
        <f>N581</f>
        <v>18458.14</v>
      </c>
      <c r="Z213" t="s">
        <v>36</v>
      </c>
      <c r="AA213" s="1">
        <f>N582</f>
        <v>197381.06</v>
      </c>
      <c r="AD213" s="51"/>
      <c r="AE213" s="51"/>
      <c r="AJ213" t="s">
        <v>415</v>
      </c>
      <c r="AK213">
        <v>18</v>
      </c>
      <c r="AL213" s="1">
        <v>180.14</v>
      </c>
      <c r="AM213" s="1">
        <v>486.29</v>
      </c>
      <c r="AN213" s="1">
        <v>18393.55</v>
      </c>
      <c r="AO213" s="1">
        <v>14793.3</v>
      </c>
      <c r="AP213" s="1">
        <v>9374.74</v>
      </c>
      <c r="AR213" s="1">
        <v>2998.13</v>
      </c>
      <c r="AS213" s="1">
        <v>8729.51</v>
      </c>
      <c r="AT213" s="1">
        <v>124792.3</v>
      </c>
      <c r="AU213" s="1">
        <v>42836.67</v>
      </c>
      <c r="AV213" s="1">
        <v>18024.45</v>
      </c>
    </row>
    <row r="214" spans="1:48" ht="15.6" x14ac:dyDescent="0.35">
      <c r="R214" s="16" t="s">
        <v>323</v>
      </c>
      <c r="S214" t="s">
        <v>68</v>
      </c>
      <c r="T214" s="57">
        <f>$AA213*T206/100</f>
        <v>3008.11</v>
      </c>
      <c r="U214" s="57">
        <f>$AA213*U206/100</f>
        <v>9590.441673360634</v>
      </c>
      <c r="V214" s="57">
        <f>$AA213*V206/100</f>
        <v>126400.21012942813</v>
      </c>
      <c r="W214" s="57">
        <f>$AA213*W206/100</f>
        <v>42167.930075850207</v>
      </c>
      <c r="X214" s="57">
        <f>$AA213*X206/100</f>
        <v>16214.368121361034</v>
      </c>
      <c r="Z214" t="s">
        <v>36</v>
      </c>
      <c r="AA214" s="25">
        <f>SUM(T214:X214)</f>
        <v>197381.06000000003</v>
      </c>
      <c r="AD214" s="51"/>
      <c r="AE214" s="51"/>
      <c r="AJ214" t="s">
        <v>415</v>
      </c>
      <c r="AK214">
        <v>19</v>
      </c>
      <c r="AL214" s="1">
        <v>172.33</v>
      </c>
      <c r="AM214" s="1">
        <v>448.74</v>
      </c>
      <c r="AN214" s="1">
        <v>18301.259999999998</v>
      </c>
      <c r="AO214" s="1">
        <v>14799.07</v>
      </c>
      <c r="AP214" s="1">
        <v>9506.61</v>
      </c>
      <c r="AR214" s="1">
        <v>3008.11</v>
      </c>
      <c r="AS214" s="1">
        <v>8564.57</v>
      </c>
      <c r="AT214" s="1">
        <v>124960.58</v>
      </c>
      <c r="AU214" s="1">
        <v>42389.66</v>
      </c>
      <c r="AV214" s="1">
        <v>18458.14</v>
      </c>
    </row>
    <row r="215" spans="1:48" x14ac:dyDescent="0.3">
      <c r="A215" s="361" t="s">
        <v>455</v>
      </c>
      <c r="B215" s="361"/>
      <c r="C215" s="361"/>
      <c r="D215" s="361"/>
      <c r="E215" s="361"/>
      <c r="F215" s="361"/>
      <c r="G215" s="361"/>
      <c r="H215" s="361"/>
      <c r="I215" s="361"/>
      <c r="J215" s="361"/>
      <c r="K215" s="361"/>
      <c r="L215" s="361" t="s">
        <v>85</v>
      </c>
      <c r="M215" s="361"/>
      <c r="N215" s="361"/>
      <c r="O215" s="361"/>
      <c r="P215" s="361"/>
      <c r="R215" s="66"/>
      <c r="S215" s="66" t="s">
        <v>67</v>
      </c>
      <c r="T215" s="67">
        <f>$AA213*T207/100</f>
        <v>0</v>
      </c>
      <c r="U215" s="67">
        <f>$AA213*U207/100</f>
        <v>223.43491830525628</v>
      </c>
      <c r="V215" s="67">
        <f>$AA213*V207/100</f>
        <v>328.47191955255846</v>
      </c>
      <c r="W215" s="67">
        <f>$AA213*W207/100</f>
        <v>372.22565923509319</v>
      </c>
      <c r="X215" s="67">
        <f>$AA213*X207/100</f>
        <v>305.35349455290293</v>
      </c>
      <c r="AA215" s="1"/>
      <c r="AD215" s="51"/>
      <c r="AE215" s="51"/>
      <c r="AL215" s="1"/>
      <c r="AM215" s="1"/>
      <c r="AN215" s="1"/>
      <c r="AO215" s="1"/>
      <c r="AP215" s="1"/>
      <c r="AQ215" t="s">
        <v>412</v>
      </c>
    </row>
    <row r="216" spans="1:48" x14ac:dyDescent="0.3">
      <c r="A216" t="s">
        <v>320</v>
      </c>
      <c r="B216" t="s">
        <v>21</v>
      </c>
      <c r="I216" s="1" t="s">
        <v>58</v>
      </c>
      <c r="O216" s="143"/>
      <c r="P216" s="143"/>
      <c r="AJ216" t="s">
        <v>416</v>
      </c>
      <c r="AK216">
        <v>0</v>
      </c>
      <c r="AL216" s="1">
        <v>0.49</v>
      </c>
      <c r="AM216" s="1">
        <v>27.11</v>
      </c>
      <c r="AN216" s="1">
        <v>1396.15</v>
      </c>
      <c r="AO216" s="1">
        <v>361.89</v>
      </c>
      <c r="AP216" s="1">
        <v>67.69</v>
      </c>
      <c r="AR216" s="1">
        <v>205.43</v>
      </c>
      <c r="AS216" s="1">
        <v>855.21</v>
      </c>
      <c r="AT216" s="1">
        <v>17704.77</v>
      </c>
      <c r="AU216" s="1">
        <v>2324.64</v>
      </c>
      <c r="AV216" s="1">
        <v>987.79</v>
      </c>
    </row>
    <row r="217" spans="1:48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56</v>
      </c>
      <c r="O217" s="13"/>
      <c r="P217" s="13"/>
      <c r="AJ217" t="s">
        <v>416</v>
      </c>
      <c r="AK217">
        <v>1</v>
      </c>
      <c r="AL217" s="1">
        <v>0.59</v>
      </c>
      <c r="AM217" s="1">
        <v>27.51</v>
      </c>
      <c r="AN217" s="1">
        <v>1395.43</v>
      </c>
      <c r="AO217" s="1">
        <v>362.2</v>
      </c>
      <c r="AP217" s="1">
        <v>67.599999999999994</v>
      </c>
      <c r="AR217" s="1">
        <v>205.77</v>
      </c>
      <c r="AS217" s="1">
        <v>864.89</v>
      </c>
      <c r="AT217" s="1">
        <v>17710.919999999998</v>
      </c>
      <c r="AU217" s="1">
        <v>2286.5500000000002</v>
      </c>
      <c r="AV217" s="1">
        <v>1009.71</v>
      </c>
    </row>
    <row r="218" spans="1:48" x14ac:dyDescent="0.3">
      <c r="A218" t="s">
        <v>3</v>
      </c>
      <c r="B218" s="13">
        <v>0</v>
      </c>
      <c r="C218" s="26">
        <v>259</v>
      </c>
      <c r="D218" s="3">
        <v>0</v>
      </c>
      <c r="E218" s="3">
        <v>0</v>
      </c>
      <c r="F218" s="3">
        <v>0</v>
      </c>
      <c r="G218" s="4">
        <v>0</v>
      </c>
      <c r="H218" s="1">
        <f>SUM(C218:G218)</f>
        <v>259</v>
      </c>
      <c r="I218" s="10">
        <f>C218/H218</f>
        <v>1</v>
      </c>
      <c r="J218" s="11">
        <f>1-I218</f>
        <v>0</v>
      </c>
      <c r="K218">
        <f>H218-C223</f>
        <v>0</v>
      </c>
      <c r="N218" s="10">
        <f>2*(C224*I218)/(C224+I218)</f>
        <v>1</v>
      </c>
      <c r="O218" s="1"/>
      <c r="P218" s="1"/>
      <c r="R218" s="66"/>
      <c r="S218" s="66"/>
      <c r="T218" s="66"/>
      <c r="U218" s="66"/>
      <c r="V218" s="66"/>
      <c r="W218" s="66"/>
      <c r="X218" s="66"/>
      <c r="AJ218" t="s">
        <v>416</v>
      </c>
      <c r="AK218">
        <v>2</v>
      </c>
      <c r="AL218" s="1">
        <v>0.5</v>
      </c>
      <c r="AM218" s="1">
        <v>26.18</v>
      </c>
      <c r="AN218" s="1">
        <v>1394.04</v>
      </c>
      <c r="AO218" s="1">
        <v>367.27</v>
      </c>
      <c r="AP218" s="1">
        <v>65.33</v>
      </c>
      <c r="AR218" s="1">
        <v>204.05</v>
      </c>
      <c r="AS218" s="1">
        <v>854.54</v>
      </c>
      <c r="AT218" s="1">
        <v>17701.650000000001</v>
      </c>
      <c r="AU218" s="1">
        <v>2352.27</v>
      </c>
      <c r="AV218" s="1">
        <v>965.34</v>
      </c>
    </row>
    <row r="219" spans="1:48" x14ac:dyDescent="0.3">
      <c r="A219" t="s">
        <v>4</v>
      </c>
      <c r="B219" s="13">
        <v>1</v>
      </c>
      <c r="C219" s="5">
        <v>0</v>
      </c>
      <c r="D219" s="27">
        <v>311</v>
      </c>
      <c r="E219" s="1">
        <v>34</v>
      </c>
      <c r="F219" s="1">
        <v>0</v>
      </c>
      <c r="G219" s="6">
        <v>2</v>
      </c>
      <c r="H219" s="1">
        <f>SUM(C219:G219)</f>
        <v>347</v>
      </c>
      <c r="I219" s="10">
        <f>D219/H219</f>
        <v>0.89625360230547546</v>
      </c>
      <c r="J219" s="11">
        <f>1-I219</f>
        <v>0.10374639769452454</v>
      </c>
      <c r="K219">
        <f>H219-D223</f>
        <v>-84</v>
      </c>
      <c r="N219" s="10">
        <f>2*(D224*I219)/(D224+I219)</f>
        <v>0.7994858611825193</v>
      </c>
      <c r="O219" s="1"/>
      <c r="P219" s="1"/>
      <c r="R219" t="s">
        <v>371</v>
      </c>
      <c r="S219" t="s">
        <v>28</v>
      </c>
      <c r="T219" s="57">
        <f>AVERAGE(T16,T26,T36,T46,T56,T66,T76,T86,T96,T106,T116,T126,T136,T146,T156,T166,T176,T186,T196,T206)</f>
        <v>1.5158574331910508</v>
      </c>
      <c r="U219" s="57">
        <f>AVERAGE(U16,U26,U36,U46,U56,U66,U76,U86,U96,U106,U116,U126,U136,U146,U156,U166,U176,U186,U196,U206)</f>
        <v>4.9812096803653443</v>
      </c>
      <c r="V219" s="57">
        <f>AVERAGE(V16,V26,V36,V46,V56,V66,V76,V86,V96,V106,V116,V126,V136,V146,V156,V166,V176,V186,V196,V206)</f>
        <v>63.717758671786214</v>
      </c>
      <c r="W219" s="57">
        <f>AVERAGE(W16,W26,W36,W46,W56,W66,W76,W86,W96,W106,W116,W126,W136,W146,W156,W166,W176,W186,W196,W206)</f>
        <v>21.577624465908709</v>
      </c>
      <c r="X219" s="57">
        <f>AVERAGE(X16,X26,X36,X46,X56,X66,X76,X86,X96,X106,X116,X126,X136,X146,X156,X166,X176,X186,X196,X206)</f>
        <v>8.207549748748681</v>
      </c>
      <c r="AJ219" t="s">
        <v>416</v>
      </c>
      <c r="AK219">
        <v>3</v>
      </c>
      <c r="AL219" s="1">
        <v>0.5</v>
      </c>
      <c r="AM219" s="1">
        <v>27.37</v>
      </c>
      <c r="AN219" s="1">
        <v>1394.23</v>
      </c>
      <c r="AO219" s="1">
        <v>364.33</v>
      </c>
      <c r="AP219" s="1">
        <v>66.91</v>
      </c>
      <c r="AR219" s="1">
        <v>206.75</v>
      </c>
      <c r="AS219" s="1">
        <v>870.08</v>
      </c>
      <c r="AT219" s="1">
        <v>17709</v>
      </c>
      <c r="AU219" s="1">
        <v>2311.52</v>
      </c>
      <c r="AV219" s="1">
        <v>980.49</v>
      </c>
    </row>
    <row r="220" spans="1:48" x14ac:dyDescent="0.3">
      <c r="A220" t="s">
        <v>5</v>
      </c>
      <c r="B220" s="13">
        <v>2</v>
      </c>
      <c r="C220" s="5">
        <v>0</v>
      </c>
      <c r="D220" s="1">
        <v>109</v>
      </c>
      <c r="E220" s="27">
        <v>7189</v>
      </c>
      <c r="F220" s="1">
        <v>46</v>
      </c>
      <c r="G220" s="6">
        <v>6</v>
      </c>
      <c r="H220" s="1">
        <f>SUM(C220:G220)</f>
        <v>7350</v>
      </c>
      <c r="I220" s="10">
        <f>E220/H220</f>
        <v>0.97809523809523813</v>
      </c>
      <c r="J220" s="11">
        <f>1-I220</f>
        <v>2.1904761904761871E-2</v>
      </c>
      <c r="K220">
        <f>H220-E223</f>
        <v>-52</v>
      </c>
      <c r="N220" s="10">
        <f>2*(E224*I220)/(E224+I220)</f>
        <v>0.9746475054229935</v>
      </c>
      <c r="O220" s="1"/>
      <c r="P220" s="1"/>
      <c r="S220" s="66" t="s">
        <v>39</v>
      </c>
      <c r="T220" s="67">
        <f t="shared" ref="T220:X228" si="36">AVERAGE(T17,T27,T37,T47,T57,T67,T77,T87,T97,T107,T117,T127,T137,T147,T157,T167,T177,T187,T197,T207)</f>
        <v>0</v>
      </c>
      <c r="U220" s="67">
        <f t="shared" si="36"/>
        <v>0.11567855871560946</v>
      </c>
      <c r="V220" s="67">
        <f t="shared" si="36"/>
        <v>0.16711846653205525</v>
      </c>
      <c r="W220" s="67">
        <f t="shared" si="36"/>
        <v>0.18744780694118049</v>
      </c>
      <c r="X220" s="67">
        <f t="shared" si="36"/>
        <v>0.1524859316673659</v>
      </c>
      <c r="AC220" t="s">
        <v>123</v>
      </c>
      <c r="AD220" t="s">
        <v>162</v>
      </c>
      <c r="AE220" t="s">
        <v>124</v>
      </c>
      <c r="AJ220" t="s">
        <v>416</v>
      </c>
      <c r="AK220">
        <v>4</v>
      </c>
      <c r="AL220" s="1">
        <v>0.37</v>
      </c>
      <c r="AM220" s="1">
        <v>28.83</v>
      </c>
      <c r="AN220" s="1">
        <v>1399.03</v>
      </c>
      <c r="AO220" s="1">
        <v>357.44</v>
      </c>
      <c r="AP220" s="1">
        <v>67.66</v>
      </c>
      <c r="AR220" s="1">
        <v>204.87</v>
      </c>
      <c r="AS220" s="1">
        <v>918.64</v>
      </c>
      <c r="AT220" s="1">
        <v>17674.05</v>
      </c>
      <c r="AU220" s="1">
        <v>2295.0300000000002</v>
      </c>
      <c r="AV220" s="1">
        <v>985.25</v>
      </c>
    </row>
    <row r="221" spans="1:48" x14ac:dyDescent="0.3">
      <c r="A221" t="s">
        <v>6</v>
      </c>
      <c r="B221" s="13">
        <v>3</v>
      </c>
      <c r="C221" s="5">
        <v>0</v>
      </c>
      <c r="D221" s="1">
        <v>11</v>
      </c>
      <c r="E221" s="1">
        <v>167</v>
      </c>
      <c r="F221" s="27">
        <v>2343</v>
      </c>
      <c r="G221" s="6">
        <v>117</v>
      </c>
      <c r="H221" s="1">
        <f>SUM(C221:G221)</f>
        <v>2638</v>
      </c>
      <c r="I221" s="10">
        <f>F221/H221</f>
        <v>0.88817285822592873</v>
      </c>
      <c r="J221" s="11">
        <f>1-I221</f>
        <v>0.11182714177407127</v>
      </c>
      <c r="K221">
        <f>H221-F223</f>
        <v>44</v>
      </c>
      <c r="N221" s="10">
        <f>2*(F224*I221)/(F224+I221)</f>
        <v>0.89564220183486232</v>
      </c>
      <c r="O221" s="1"/>
      <c r="P221" s="1"/>
      <c r="S221" t="s">
        <v>30</v>
      </c>
      <c r="T221" s="57">
        <f t="shared" si="36"/>
        <v>100</v>
      </c>
      <c r="U221" s="57">
        <f t="shared" si="36"/>
        <v>79.772380835812754</v>
      </c>
      <c r="V221" s="57">
        <f t="shared" si="36"/>
        <v>96.96894957980723</v>
      </c>
      <c r="W221" s="57">
        <f t="shared" si="36"/>
        <v>89.494598648380162</v>
      </c>
      <c r="X221" s="57">
        <f t="shared" si="36"/>
        <v>86.899034036396557</v>
      </c>
      <c r="AB221">
        <v>0</v>
      </c>
      <c r="AC221">
        <v>31</v>
      </c>
      <c r="AD221">
        <v>26</v>
      </c>
      <c r="AE221">
        <v>15</v>
      </c>
      <c r="AJ221" t="s">
        <v>416</v>
      </c>
      <c r="AK221">
        <v>5</v>
      </c>
      <c r="AL221" s="1">
        <v>0.61</v>
      </c>
      <c r="AM221" s="1">
        <v>28.15</v>
      </c>
      <c r="AN221" s="1">
        <v>1391.52</v>
      </c>
      <c r="AO221" s="1">
        <v>364.76</v>
      </c>
      <c r="AP221" s="1">
        <v>68.290000000000006</v>
      </c>
      <c r="AR221" s="1">
        <v>199.46</v>
      </c>
      <c r="AS221" s="1">
        <v>875.12</v>
      </c>
      <c r="AT221" s="1">
        <v>17654.03</v>
      </c>
      <c r="AU221" s="1">
        <v>2366.4699999999998</v>
      </c>
      <c r="AV221" s="1">
        <v>982.76</v>
      </c>
    </row>
    <row r="222" spans="1:48" x14ac:dyDescent="0.3">
      <c r="A222" t="s">
        <v>7</v>
      </c>
      <c r="B222" s="13">
        <v>4</v>
      </c>
      <c r="C222" s="7">
        <v>0</v>
      </c>
      <c r="D222" s="8">
        <v>0</v>
      </c>
      <c r="E222" s="8">
        <v>12</v>
      </c>
      <c r="F222" s="8">
        <v>205</v>
      </c>
      <c r="G222" s="28">
        <v>773</v>
      </c>
      <c r="H222" s="1">
        <f>SUM(C222:G222)</f>
        <v>990</v>
      </c>
      <c r="I222" s="10">
        <f>G222/H222</f>
        <v>0.78080808080808084</v>
      </c>
      <c r="J222" s="11">
        <f>1-I222</f>
        <v>0.21919191919191916</v>
      </c>
      <c r="K222">
        <f>H222-G223</f>
        <v>92</v>
      </c>
      <c r="N222" s="10">
        <f>2*(G224*I222)/(G224+I222)</f>
        <v>0.81885593220338981</v>
      </c>
      <c r="O222" s="1"/>
      <c r="P222" s="1"/>
      <c r="S222" s="66" t="s">
        <v>39</v>
      </c>
      <c r="T222" s="67">
        <f t="shared" si="36"/>
        <v>0</v>
      </c>
      <c r="U222" s="67">
        <f t="shared" si="36"/>
        <v>3.1984020768194581</v>
      </c>
      <c r="V222" s="67">
        <f t="shared" si="36"/>
        <v>0.20239075686404912</v>
      </c>
      <c r="W222" s="67">
        <f t="shared" si="36"/>
        <v>0.85010434363590637</v>
      </c>
      <c r="X222" s="67">
        <f t="shared" si="36"/>
        <v>2.1660785797450735</v>
      </c>
      <c r="AB222">
        <v>1</v>
      </c>
      <c r="AC222">
        <v>60</v>
      </c>
      <c r="AD222">
        <v>55</v>
      </c>
      <c r="AE222">
        <v>44</v>
      </c>
      <c r="AJ222" t="s">
        <v>416</v>
      </c>
      <c r="AK222">
        <v>6</v>
      </c>
      <c r="AL222" s="1">
        <v>0.6</v>
      </c>
      <c r="AM222" s="1">
        <v>25.62</v>
      </c>
      <c r="AN222" s="1">
        <v>1404.53</v>
      </c>
      <c r="AO222" s="1">
        <v>358.94</v>
      </c>
      <c r="AP222" s="1">
        <v>63.64</v>
      </c>
      <c r="AR222" s="1">
        <v>199.98</v>
      </c>
      <c r="AS222" s="1">
        <v>827.09</v>
      </c>
      <c r="AT222" s="1">
        <v>17795.689999999999</v>
      </c>
      <c r="AU222" s="1">
        <v>2326.86</v>
      </c>
      <c r="AV222" s="1">
        <v>928.22</v>
      </c>
    </row>
    <row r="223" spans="1:48" ht="15.6" x14ac:dyDescent="0.35">
      <c r="B223" s="1" t="s">
        <v>19</v>
      </c>
      <c r="C223" s="1">
        <f>SUM(C218:C222)</f>
        <v>259</v>
      </c>
      <c r="D223" s="1">
        <f>SUM(D218:D222)</f>
        <v>431</v>
      </c>
      <c r="E223" s="1">
        <f>SUM(E218:E222)</f>
        <v>7402</v>
      </c>
      <c r="F223" s="1">
        <f>SUM(F218:F222)</f>
        <v>2594</v>
      </c>
      <c r="G223" s="1">
        <f>SUM(G218:G222)</f>
        <v>898</v>
      </c>
      <c r="H223" s="1">
        <f>SUM(H217:H222)</f>
        <v>11584</v>
      </c>
      <c r="I223" s="13" t="s">
        <v>12</v>
      </c>
      <c r="N223" s="16"/>
      <c r="O223" s="1"/>
      <c r="P223" s="1"/>
      <c r="S223" s="15" t="s">
        <v>31</v>
      </c>
      <c r="T223" s="71">
        <f t="shared" si="36"/>
        <v>100</v>
      </c>
      <c r="U223" s="71">
        <f t="shared" si="36"/>
        <v>90.331412103746374</v>
      </c>
      <c r="V223" s="71">
        <f t="shared" si="36"/>
        <v>97.857142857142875</v>
      </c>
      <c r="W223" s="71">
        <f t="shared" si="36"/>
        <v>88.625852918877939</v>
      </c>
      <c r="X223" s="71">
        <f t="shared" si="36"/>
        <v>77.883838383838395</v>
      </c>
      <c r="AB223">
        <v>2</v>
      </c>
      <c r="AC223">
        <v>89</v>
      </c>
      <c r="AD223">
        <v>84</v>
      </c>
      <c r="AE223">
        <v>73</v>
      </c>
      <c r="AJ223" t="s">
        <v>416</v>
      </c>
      <c r="AK223">
        <v>7</v>
      </c>
      <c r="AL223" s="1">
        <v>0.39</v>
      </c>
      <c r="AM223" s="1">
        <v>28.22</v>
      </c>
      <c r="AN223" s="1">
        <v>1387.63</v>
      </c>
      <c r="AO223" s="1">
        <v>369.09</v>
      </c>
      <c r="AP223" s="1">
        <v>67.989999999999995</v>
      </c>
      <c r="AR223" s="1">
        <v>204.74</v>
      </c>
      <c r="AS223" s="1">
        <v>882.04</v>
      </c>
      <c r="AT223" s="1">
        <v>17650.349999999999</v>
      </c>
      <c r="AU223" s="1">
        <v>2351.37</v>
      </c>
      <c r="AV223" s="1">
        <v>989.34</v>
      </c>
    </row>
    <row r="224" spans="1:48" x14ac:dyDescent="0.3">
      <c r="A224" s="1" t="s">
        <v>321</v>
      </c>
      <c r="B224" s="1" t="s">
        <v>2</v>
      </c>
      <c r="C224" s="10">
        <f>C218/C223</f>
        <v>1</v>
      </c>
      <c r="D224" s="10">
        <f>D219/D223</f>
        <v>0.72157772621809746</v>
      </c>
      <c r="E224" s="10">
        <f>E220/E223</f>
        <v>0.97122399351526612</v>
      </c>
      <c r="F224" s="10">
        <f>F221/F223</f>
        <v>0.90323824209714731</v>
      </c>
      <c r="G224" s="10">
        <f>G222/G223</f>
        <v>0.86080178173719379</v>
      </c>
      <c r="H224" s="10"/>
      <c r="I224" s="14">
        <f>(C218+D219+E220+F221+G222)/H223</f>
        <v>0.93879488950276246</v>
      </c>
      <c r="S224" s="75" t="s">
        <v>39</v>
      </c>
      <c r="T224" s="76">
        <f t="shared" si="36"/>
        <v>0</v>
      </c>
      <c r="U224" s="76">
        <f t="shared" si="36"/>
        <v>1.5875818512062492</v>
      </c>
      <c r="V224" s="76">
        <f t="shared" si="36"/>
        <v>0.16888287152650064</v>
      </c>
      <c r="W224" s="76">
        <f t="shared" si="36"/>
        <v>0.61822480851408446</v>
      </c>
      <c r="X224" s="76">
        <f t="shared" si="36"/>
        <v>1.3193270068215859</v>
      </c>
      <c r="AB224">
        <v>3</v>
      </c>
      <c r="AC224">
        <v>118</v>
      </c>
      <c r="AD224">
        <v>113</v>
      </c>
      <c r="AE224">
        <v>102</v>
      </c>
      <c r="AJ224" t="s">
        <v>416</v>
      </c>
      <c r="AK224">
        <v>8</v>
      </c>
      <c r="AL224" s="1">
        <v>0.33</v>
      </c>
      <c r="AM224" s="1">
        <v>26.32</v>
      </c>
      <c r="AN224" s="1">
        <v>1396.45</v>
      </c>
      <c r="AO224" s="1">
        <v>359.33</v>
      </c>
      <c r="AP224" s="1">
        <v>70.900000000000006</v>
      </c>
      <c r="AR224" s="1">
        <v>204.79</v>
      </c>
      <c r="AS224" s="1">
        <v>851.03</v>
      </c>
      <c r="AT224" s="1">
        <v>17738.439999999999</v>
      </c>
      <c r="AU224" s="1">
        <v>2261.91</v>
      </c>
      <c r="AV224" s="1">
        <v>1021.67</v>
      </c>
    </row>
    <row r="225" spans="1:48" x14ac:dyDescent="0.3">
      <c r="B225" s="1" t="s">
        <v>14</v>
      </c>
      <c r="C225" s="11">
        <f>1-C224</f>
        <v>0</v>
      </c>
      <c r="D225" s="11">
        <f>1-D224</f>
        <v>0.27842227378190254</v>
      </c>
      <c r="E225" s="11">
        <f>1-E224</f>
        <v>2.8776006484733885E-2</v>
      </c>
      <c r="F225" s="11">
        <f>1-F224</f>
        <v>9.6761757902852685E-2</v>
      </c>
      <c r="G225" s="11">
        <f>1-G224</f>
        <v>0.13919821826280621</v>
      </c>
      <c r="S225" s="66" t="s">
        <v>56</v>
      </c>
      <c r="T225" s="67">
        <f t="shared" si="36"/>
        <v>100</v>
      </c>
      <c r="U225" s="67">
        <f t="shared" si="36"/>
        <v>80.571459734889743</v>
      </c>
      <c r="V225" s="67">
        <f t="shared" si="36"/>
        <v>97.47091095009273</v>
      </c>
      <c r="W225" s="67">
        <f t="shared" si="36"/>
        <v>89.508936334772969</v>
      </c>
      <c r="X225" s="67">
        <f t="shared" si="36"/>
        <v>81.603647619137917</v>
      </c>
      <c r="AB225">
        <v>4</v>
      </c>
      <c r="AC225">
        <v>147</v>
      </c>
      <c r="AD225">
        <v>142</v>
      </c>
      <c r="AE225">
        <v>131</v>
      </c>
      <c r="AJ225" t="s">
        <v>416</v>
      </c>
      <c r="AK225">
        <v>9</v>
      </c>
      <c r="AL225" s="1">
        <v>0.49</v>
      </c>
      <c r="AM225" s="1">
        <v>28.96</v>
      </c>
      <c r="AN225" s="1">
        <v>1395.21</v>
      </c>
      <c r="AO225" s="1">
        <v>358.68</v>
      </c>
      <c r="AP225" s="1">
        <v>69.989999999999995</v>
      </c>
      <c r="AR225" s="1">
        <v>205.71</v>
      </c>
      <c r="AS225" s="1">
        <v>905.91</v>
      </c>
      <c r="AT225" s="1">
        <v>17684.2</v>
      </c>
      <c r="AU225" s="1">
        <v>2281.46</v>
      </c>
      <c r="AV225" s="1">
        <v>1000.56</v>
      </c>
    </row>
    <row r="226" spans="1:48" x14ac:dyDescent="0.3">
      <c r="C226" s="2"/>
      <c r="R226" s="16" t="s">
        <v>66</v>
      </c>
      <c r="S226" t="s">
        <v>9</v>
      </c>
      <c r="T226" s="1">
        <f t="shared" si="36"/>
        <v>2992.0155</v>
      </c>
      <c r="U226" s="1">
        <f t="shared" si="36"/>
        <v>8682.0575000000026</v>
      </c>
      <c r="V226" s="1">
        <f t="shared" si="36"/>
        <v>124625.03949999998</v>
      </c>
      <c r="W226" s="1">
        <f t="shared" si="36"/>
        <v>43007.206000000013</v>
      </c>
      <c r="X226" s="1">
        <f t="shared" si="36"/>
        <v>18074.743499999997</v>
      </c>
      <c r="AB226">
        <v>5</v>
      </c>
      <c r="AC226">
        <v>176</v>
      </c>
      <c r="AD226">
        <v>171</v>
      </c>
      <c r="AE226">
        <v>160</v>
      </c>
      <c r="AJ226" t="s">
        <v>416</v>
      </c>
      <c r="AK226">
        <v>10</v>
      </c>
      <c r="AL226" s="1">
        <v>0.21</v>
      </c>
      <c r="AM226" s="1">
        <v>26.2</v>
      </c>
      <c r="AN226" s="1">
        <v>1399.8</v>
      </c>
      <c r="AO226" s="1">
        <v>361.85</v>
      </c>
      <c r="AP226" s="1">
        <v>65.27</v>
      </c>
      <c r="AR226" s="1">
        <v>202.93</v>
      </c>
      <c r="AS226" s="1">
        <v>843.62</v>
      </c>
      <c r="AT226" s="1">
        <v>17740.009999999998</v>
      </c>
      <c r="AU226" s="1">
        <v>2330.04</v>
      </c>
      <c r="AV226" s="1">
        <v>961.25</v>
      </c>
    </row>
    <row r="227" spans="1:48" ht="15.6" x14ac:dyDescent="0.35">
      <c r="A227" t="s">
        <v>322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323</v>
      </c>
      <c r="S227" t="s">
        <v>68</v>
      </c>
      <c r="T227" s="57">
        <f>AVERAGE(T24,T34,T44,T54,T64,T74,T84,T94,T104,T114,T124,T134,T144,T154,T164,T174,T184,T194,T204,T214)</f>
        <v>2992.0155</v>
      </c>
      <c r="U227" s="57">
        <f t="shared" si="36"/>
        <v>9831.9645659441994</v>
      </c>
      <c r="V227" s="57">
        <f t="shared" si="36"/>
        <v>125766.78875141563</v>
      </c>
      <c r="W227" s="57">
        <f t="shared" si="36"/>
        <v>42590.144323891538</v>
      </c>
      <c r="X227" s="57">
        <f t="shared" si="36"/>
        <v>16200.148858748609</v>
      </c>
      <c r="AB227">
        <v>6</v>
      </c>
      <c r="AC227">
        <v>205</v>
      </c>
      <c r="AD227">
        <v>200</v>
      </c>
      <c r="AE227">
        <v>189</v>
      </c>
      <c r="AJ227" t="s">
        <v>416</v>
      </c>
      <c r="AK227">
        <v>11</v>
      </c>
      <c r="AL227" s="1">
        <v>0.53</v>
      </c>
      <c r="AM227" s="1">
        <v>27.71</v>
      </c>
      <c r="AN227" s="1">
        <v>1389.47</v>
      </c>
      <c r="AO227" s="1">
        <v>369.53</v>
      </c>
      <c r="AP227" s="1">
        <v>66.09</v>
      </c>
      <c r="AR227" s="1">
        <v>202.71</v>
      </c>
      <c r="AS227" s="1">
        <v>886.94</v>
      </c>
      <c r="AT227" s="1">
        <v>17611.419999999998</v>
      </c>
      <c r="AU227" s="1">
        <v>2402.0300000000002</v>
      </c>
      <c r="AV227" s="1">
        <v>974.75</v>
      </c>
    </row>
    <row r="228" spans="1:48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67</v>
      </c>
      <c r="T228" s="67">
        <f>AVERAGE(T25,T35,T45,T55,T65,T75,T85,T95,T105,T115,T125,T135,T145,T155,T165,T175,T185,T195,T205,T215)</f>
        <v>0</v>
      </c>
      <c r="U228" s="67">
        <f t="shared" si="36"/>
        <v>228.3275676718572</v>
      </c>
      <c r="V228" s="67">
        <f t="shared" si="36"/>
        <v>329.86020402520961</v>
      </c>
      <c r="W228" s="67">
        <f t="shared" si="36"/>
        <v>369.9864720169852</v>
      </c>
      <c r="X228" s="67">
        <f t="shared" si="36"/>
        <v>300.97835130724866</v>
      </c>
      <c r="AB228">
        <v>7</v>
      </c>
      <c r="AC228">
        <v>234</v>
      </c>
      <c r="AD228">
        <v>229</v>
      </c>
      <c r="AE228">
        <v>218</v>
      </c>
      <c r="AJ228" t="s">
        <v>416</v>
      </c>
      <c r="AK228">
        <v>12</v>
      </c>
      <c r="AL228" s="1">
        <v>0.46</v>
      </c>
      <c r="AM228" s="1">
        <v>26.72</v>
      </c>
      <c r="AN228" s="1">
        <v>1394.05</v>
      </c>
      <c r="AO228" s="1">
        <v>364.2</v>
      </c>
      <c r="AP228" s="1">
        <v>67.900000000000006</v>
      </c>
      <c r="AR228" s="1">
        <v>203.06</v>
      </c>
      <c r="AS228" s="1">
        <v>910.62</v>
      </c>
      <c r="AT228" s="1">
        <v>17637.96</v>
      </c>
      <c r="AU228" s="1">
        <v>2337.83</v>
      </c>
      <c r="AV228" s="1">
        <v>988.38</v>
      </c>
    </row>
    <row r="229" spans="1:48" x14ac:dyDescent="0.3">
      <c r="A229" t="s">
        <v>3</v>
      </c>
      <c r="B229" s="13">
        <v>0</v>
      </c>
      <c r="C229" s="29">
        <f>(C218/$L229)*$O229</f>
        <v>1.5163814848100685</v>
      </c>
      <c r="D229" s="31">
        <f>(D218/$L229)*$O229</f>
        <v>0</v>
      </c>
      <c r="E229" s="31">
        <f>(E218/$L229)*$O229</f>
        <v>0</v>
      </c>
      <c r="F229" s="31">
        <f>(F218/$L229)*$O229</f>
        <v>0</v>
      </c>
      <c r="G229" s="32">
        <f>(G218/$L229)*$O229</f>
        <v>0</v>
      </c>
      <c r="H229" s="17">
        <f>SUM(C229:G229)</f>
        <v>1.5163814848100685</v>
      </c>
      <c r="I229" s="17">
        <f>C229/H229*100</f>
        <v>100</v>
      </c>
      <c r="J229" s="17">
        <f>SQRT(I229*(100-I229)/(L229-1))</f>
        <v>0</v>
      </c>
      <c r="K229" s="18">
        <f>100-I229</f>
        <v>0</v>
      </c>
      <c r="L229" s="1">
        <f>H218</f>
        <v>259</v>
      </c>
      <c r="M229">
        <v>0</v>
      </c>
      <c r="N229" s="1">
        <v>2993.05</v>
      </c>
      <c r="O229" s="17">
        <f>N229/N234*100</f>
        <v>1.5163814848100685</v>
      </c>
      <c r="P229" s="52">
        <f>((O229*O229*(I229/100)*(K229/100))/(L229-1))</f>
        <v>0</v>
      </c>
      <c r="AB229">
        <v>8</v>
      </c>
      <c r="AC229">
        <v>263</v>
      </c>
      <c r="AD229">
        <v>258</v>
      </c>
      <c r="AE229">
        <v>247</v>
      </c>
      <c r="AJ229" t="s">
        <v>416</v>
      </c>
      <c r="AK229">
        <v>13</v>
      </c>
      <c r="AL229" s="1">
        <v>0.48</v>
      </c>
      <c r="AM229" s="1">
        <v>26.43</v>
      </c>
      <c r="AN229" s="1">
        <v>1397.14</v>
      </c>
      <c r="AO229" s="1">
        <v>360.63</v>
      </c>
      <c r="AP229" s="1">
        <v>68.650000000000006</v>
      </c>
      <c r="AR229" s="1">
        <v>204.71</v>
      </c>
      <c r="AS229" s="1">
        <v>848.31</v>
      </c>
      <c r="AT229" s="1">
        <v>17731.41</v>
      </c>
      <c r="AU229" s="1">
        <v>2294.0700000000002</v>
      </c>
      <c r="AV229" s="1">
        <v>999.34</v>
      </c>
    </row>
    <row r="230" spans="1:48" x14ac:dyDescent="0.3">
      <c r="A230" t="s">
        <v>4</v>
      </c>
      <c r="B230" s="13">
        <v>1</v>
      </c>
      <c r="C230" s="33">
        <f t="shared" ref="C230:G233" si="37">(C219/$L230)*$O230</f>
        <v>0</v>
      </c>
      <c r="D230" s="34">
        <f t="shared" si="37"/>
        <v>3.9855325252395524</v>
      </c>
      <c r="E230" s="19">
        <f t="shared" si="37"/>
        <v>0.43571738218052986</v>
      </c>
      <c r="F230" s="18">
        <f t="shared" si="37"/>
        <v>0</v>
      </c>
      <c r="G230" s="20">
        <f t="shared" si="37"/>
        <v>2.5630434245913519E-2</v>
      </c>
      <c r="H230" s="17">
        <f>SUM(C230:G230)</f>
        <v>4.4468803416659961</v>
      </c>
      <c r="I230" s="17">
        <f>D230/H230*100</f>
        <v>89.625360230547543</v>
      </c>
      <c r="J230" s="17">
        <f>SQRT(I230*(100-I230)/(L230-1))</f>
        <v>1.6393206919977461</v>
      </c>
      <c r="K230" s="18">
        <f>100-I230</f>
        <v>10.374639769452457</v>
      </c>
      <c r="L230" s="1">
        <f>H219</f>
        <v>347</v>
      </c>
      <c r="M230">
        <v>1</v>
      </c>
      <c r="N230" s="1">
        <v>8777.2999999999993</v>
      </c>
      <c r="O230" s="17">
        <f>N230/N234*100</f>
        <v>4.4468803416659961</v>
      </c>
      <c r="P230" s="52">
        <f>((O230*O230*(I230/100)*(K230/100))/(L230-1))</f>
        <v>5.3142101959995306E-3</v>
      </c>
      <c r="S230" t="s">
        <v>69</v>
      </c>
      <c r="T230" s="1" t="s">
        <v>418</v>
      </c>
      <c r="U230" s="1" t="s">
        <v>419</v>
      </c>
      <c r="V230" s="1" t="s">
        <v>420</v>
      </c>
      <c r="W230" s="1" t="s">
        <v>421</v>
      </c>
      <c r="X230" s="1" t="s">
        <v>422</v>
      </c>
      <c r="AB230">
        <v>9</v>
      </c>
      <c r="AC230">
        <v>292</v>
      </c>
      <c r="AD230">
        <v>287</v>
      </c>
      <c r="AE230">
        <v>276</v>
      </c>
      <c r="AJ230" t="s">
        <v>416</v>
      </c>
      <c r="AK230">
        <v>14</v>
      </c>
      <c r="AL230" s="1">
        <v>0.46</v>
      </c>
      <c r="AM230" s="1">
        <v>26.11</v>
      </c>
      <c r="AN230" s="1">
        <v>1391.53</v>
      </c>
      <c r="AO230" s="1">
        <v>365.64</v>
      </c>
      <c r="AP230" s="1">
        <v>69.58</v>
      </c>
      <c r="AR230" s="1">
        <v>204.26</v>
      </c>
      <c r="AS230" s="1">
        <v>848.36</v>
      </c>
      <c r="AT230" s="1">
        <v>17683.13</v>
      </c>
      <c r="AU230" s="1">
        <v>2321.38</v>
      </c>
      <c r="AV230" s="1">
        <v>1020.71</v>
      </c>
    </row>
    <row r="231" spans="1:48" x14ac:dyDescent="0.3">
      <c r="A231" t="s">
        <v>5</v>
      </c>
      <c r="B231" s="13">
        <v>2</v>
      </c>
      <c r="C231" s="33">
        <f t="shared" si="37"/>
        <v>0</v>
      </c>
      <c r="D231" s="19">
        <f t="shared" si="37"/>
        <v>0.93284980703177134</v>
      </c>
      <c r="E231" s="34">
        <f t="shared" si="37"/>
        <v>61.52529598854499</v>
      </c>
      <c r="F231" s="19">
        <f t="shared" si="37"/>
        <v>0.39367973507762827</v>
      </c>
      <c r="G231" s="20">
        <f t="shared" si="37"/>
        <v>5.1349530662299338E-2</v>
      </c>
      <c r="H231" s="17">
        <f>SUM(C231:G231)</f>
        <v>62.903175061316688</v>
      </c>
      <c r="I231" s="17">
        <f>E231/H231*100</f>
        <v>97.80952380952381</v>
      </c>
      <c r="J231" s="17">
        <f>SQRT(I231*(100-I231)/(L231-1))</f>
        <v>0.17074410445127566</v>
      </c>
      <c r="K231" s="18">
        <f>100-I231</f>
        <v>2.1904761904761898</v>
      </c>
      <c r="L231" s="1">
        <f>H220</f>
        <v>7350</v>
      </c>
      <c r="M231">
        <v>2</v>
      </c>
      <c r="N231" s="1">
        <v>124158.96</v>
      </c>
      <c r="O231" s="17">
        <f>N231/N234*100</f>
        <v>62.903175061316688</v>
      </c>
      <c r="P231" s="52">
        <f>((O231*O231*(I231/100)*(K231/100))/(L231-1))</f>
        <v>1.153550384932653E-2</v>
      </c>
      <c r="T231" s="57">
        <f>T24</f>
        <v>3027.16</v>
      </c>
      <c r="U231" s="57">
        <f>U24</f>
        <v>9839.1961453146978</v>
      </c>
      <c r="V231" s="57">
        <f>V24</f>
        <v>125816.19127580755</v>
      </c>
      <c r="W231" s="57">
        <f>W24</f>
        <v>42214.588997827886</v>
      </c>
      <c r="X231" s="57">
        <f>X24</f>
        <v>16483.923581049861</v>
      </c>
      <c r="AB231">
        <v>10</v>
      </c>
      <c r="AC231">
        <v>321</v>
      </c>
      <c r="AD231">
        <v>316</v>
      </c>
      <c r="AE231">
        <v>305</v>
      </c>
      <c r="AJ231" t="s">
        <v>416</v>
      </c>
      <c r="AK231">
        <v>15</v>
      </c>
      <c r="AL231" s="1">
        <v>0.73</v>
      </c>
      <c r="AM231" s="1">
        <v>28.32</v>
      </c>
      <c r="AN231" s="1">
        <v>1397.77</v>
      </c>
      <c r="AO231" s="1">
        <v>358.56</v>
      </c>
      <c r="AP231" s="1">
        <v>67.959999999999994</v>
      </c>
      <c r="AR231" s="1">
        <v>205.68</v>
      </c>
      <c r="AS231" s="1">
        <v>917.36</v>
      </c>
      <c r="AT231" s="1">
        <v>17696.8</v>
      </c>
      <c r="AU231" s="1">
        <v>2281.65</v>
      </c>
      <c r="AV231" s="1">
        <v>976.35</v>
      </c>
    </row>
    <row r="232" spans="1:48" x14ac:dyDescent="0.3">
      <c r="A232" t="s">
        <v>6</v>
      </c>
      <c r="B232" s="13">
        <v>3</v>
      </c>
      <c r="C232" s="33">
        <f t="shared" si="37"/>
        <v>0</v>
      </c>
      <c r="D232" s="19">
        <f t="shared" si="37"/>
        <v>9.183246470418123E-2</v>
      </c>
      <c r="E232" s="19">
        <f t="shared" si="37"/>
        <v>1.394183782327115</v>
      </c>
      <c r="F232" s="34">
        <f t="shared" si="37"/>
        <v>19.560314981990601</v>
      </c>
      <c r="G232" s="20">
        <f t="shared" si="37"/>
        <v>0.97676348821720027</v>
      </c>
      <c r="H232" s="17">
        <f>SUM(C232:G232)</f>
        <v>22.023094717239101</v>
      </c>
      <c r="I232" s="17">
        <f>F232/H232*100</f>
        <v>88.817285822592865</v>
      </c>
      <c r="J232" s="17">
        <f>SQRT(I232*(100-I232)/(L232-1))</f>
        <v>0.61371578858380882</v>
      </c>
      <c r="K232" s="18">
        <f>100-I232</f>
        <v>11.182714177407135</v>
      </c>
      <c r="L232" s="1">
        <f>H221</f>
        <v>2638</v>
      </c>
      <c r="M232">
        <v>3</v>
      </c>
      <c r="N232" s="1">
        <v>43469.42</v>
      </c>
      <c r="O232" s="17">
        <f>N232/N234*100</f>
        <v>22.023094717239097</v>
      </c>
      <c r="P232" s="52">
        <f>((O232*O232*(I232/100)*(K232/100))/(L232-1))</f>
        <v>1.8268011889542676E-2</v>
      </c>
      <c r="T232" s="57">
        <f>T34</f>
        <v>3004.72</v>
      </c>
      <c r="U232" s="57">
        <f>U34</f>
        <v>10032.155804407079</v>
      </c>
      <c r="V232" s="57">
        <f>V34</f>
        <v>125600.8451336187</v>
      </c>
      <c r="W232" s="57">
        <f>W34</f>
        <v>42233.525765436076</v>
      </c>
      <c r="X232" s="57">
        <f>X34</f>
        <v>16509.803296538157</v>
      </c>
      <c r="AB232">
        <v>11</v>
      </c>
      <c r="AC232">
        <v>350</v>
      </c>
      <c r="AD232">
        <v>345</v>
      </c>
      <c r="AE232">
        <v>334</v>
      </c>
      <c r="AJ232" t="s">
        <v>416</v>
      </c>
      <c r="AK232">
        <v>16</v>
      </c>
      <c r="AL232" s="1">
        <v>0.44</v>
      </c>
      <c r="AM232" s="1">
        <v>26.19</v>
      </c>
      <c r="AN232" s="1">
        <v>1403.56</v>
      </c>
      <c r="AO232" s="1">
        <v>353.47</v>
      </c>
      <c r="AP232" s="1">
        <v>69.67</v>
      </c>
      <c r="AR232" s="1">
        <v>202.99</v>
      </c>
      <c r="AS232" s="1">
        <v>839.95</v>
      </c>
      <c r="AT232" s="1">
        <v>17790.91</v>
      </c>
      <c r="AU232" s="1">
        <v>2230.2399999999998</v>
      </c>
      <c r="AV232" s="1">
        <v>1013.74</v>
      </c>
    </row>
    <row r="233" spans="1:48" x14ac:dyDescent="0.3">
      <c r="A233" t="s">
        <v>7</v>
      </c>
      <c r="B233" s="13">
        <v>4</v>
      </c>
      <c r="C233" s="35">
        <f t="shared" si="37"/>
        <v>0</v>
      </c>
      <c r="D233" s="36">
        <f t="shared" si="37"/>
        <v>0</v>
      </c>
      <c r="E233" s="21">
        <f t="shared" si="37"/>
        <v>0.11042991993900814</v>
      </c>
      <c r="F233" s="21">
        <f t="shared" si="37"/>
        <v>1.886511132291389</v>
      </c>
      <c r="G233" s="37">
        <f t="shared" si="37"/>
        <v>7.1135273427377745</v>
      </c>
      <c r="H233" s="17">
        <f>SUM(C233:G233)</f>
        <v>9.1104683949681711</v>
      </c>
      <c r="I233" s="17">
        <f>G233/H233*100</f>
        <v>78.080808080808083</v>
      </c>
      <c r="J233" s="17">
        <f>SQRT(I233*(100-I233)/(L233-1))</f>
        <v>1.3154861302486107</v>
      </c>
      <c r="K233" s="18">
        <f>100-I233</f>
        <v>21.919191919191917</v>
      </c>
      <c r="L233" s="1">
        <f>H222</f>
        <v>990</v>
      </c>
      <c r="M233">
        <v>4</v>
      </c>
      <c r="N233" s="1">
        <v>17982.34</v>
      </c>
      <c r="O233" s="17">
        <f>N233/N234*100</f>
        <v>9.1104683949681711</v>
      </c>
      <c r="P233" s="52">
        <f>((O233*O233*(I233/100)*(K233/100))/(L233-1))</f>
        <v>1.4363290977630404E-2</v>
      </c>
      <c r="T233" s="57">
        <f>T44</f>
        <v>2982.49</v>
      </c>
      <c r="U233" s="57">
        <f>U44</f>
        <v>9694.1542274573112</v>
      </c>
      <c r="V233" s="57">
        <f>V44</f>
        <v>125387.62544399098</v>
      </c>
      <c r="W233" s="57">
        <f>W44</f>
        <v>43416.708241288659</v>
      </c>
      <c r="X233" s="57">
        <f>X44</f>
        <v>15900.09208726306</v>
      </c>
      <c r="AB233">
        <v>12</v>
      </c>
      <c r="AC233">
        <v>379</v>
      </c>
      <c r="AD233">
        <v>374</v>
      </c>
      <c r="AE233">
        <v>363</v>
      </c>
      <c r="AJ233" t="s">
        <v>416</v>
      </c>
      <c r="AK233">
        <v>17</v>
      </c>
      <c r="AL233" s="1">
        <v>0.57999999999999996</v>
      </c>
      <c r="AM233" s="1">
        <v>24.5</v>
      </c>
      <c r="AN233" s="1">
        <v>1396.75</v>
      </c>
      <c r="AO233" s="1">
        <v>359.8</v>
      </c>
      <c r="AP233" s="1">
        <v>71.709999999999994</v>
      </c>
      <c r="AR233" s="1">
        <v>203.92</v>
      </c>
      <c r="AS233" s="1">
        <v>827.99</v>
      </c>
      <c r="AT233" s="1">
        <v>17732.32</v>
      </c>
      <c r="AU233" s="1">
        <v>2296.9699999999998</v>
      </c>
      <c r="AV233" s="1">
        <v>1016.63</v>
      </c>
    </row>
    <row r="234" spans="1:48" x14ac:dyDescent="0.3">
      <c r="B234" t="s">
        <v>28</v>
      </c>
      <c r="C234" s="17">
        <f>SUM(C229:C233)</f>
        <v>1.5163814848100685</v>
      </c>
      <c r="D234" s="17">
        <f>SUM(D229:D233)</f>
        <v>5.0102147969755046</v>
      </c>
      <c r="E234" s="17">
        <f>SUM(E229:E233)</f>
        <v>63.465627072991637</v>
      </c>
      <c r="F234" s="17">
        <f>SUM(F229:F233)</f>
        <v>21.840505849359619</v>
      </c>
      <c r="G234" s="17">
        <f>SUM(G229:G233)</f>
        <v>8.1672707958631872</v>
      </c>
      <c r="H234" s="1">
        <f>SUM(H228:H233)</f>
        <v>100.00000000000003</v>
      </c>
      <c r="I234" s="13" t="s">
        <v>24</v>
      </c>
      <c r="J234" s="12" t="s">
        <v>29</v>
      </c>
      <c r="N234" s="1">
        <f>SUM(N229:N233)</f>
        <v>197381.06999999998</v>
      </c>
      <c r="O234" s="17">
        <f>SUM(O229:O233)</f>
        <v>100.00000000000003</v>
      </c>
      <c r="T234" s="57">
        <f>T54</f>
        <v>2999.2199999999993</v>
      </c>
      <c r="U234" s="57">
        <f>U54</f>
        <v>9862.5344828213802</v>
      </c>
      <c r="V234" s="57">
        <f>V54</f>
        <v>125983.87517071021</v>
      </c>
      <c r="W234" s="57">
        <f>W54</f>
        <v>42569.856344448708</v>
      </c>
      <c r="X234" s="57">
        <f>X54</f>
        <v>15965.574002019717</v>
      </c>
      <c r="AB234">
        <v>13</v>
      </c>
      <c r="AC234">
        <v>408</v>
      </c>
      <c r="AD234">
        <v>403</v>
      </c>
      <c r="AE234">
        <v>392</v>
      </c>
      <c r="AJ234" t="s">
        <v>416</v>
      </c>
      <c r="AK234">
        <v>18</v>
      </c>
      <c r="AL234" s="1">
        <v>0.61</v>
      </c>
      <c r="AM234" s="1">
        <v>26.78</v>
      </c>
      <c r="AN234" s="1">
        <v>1398.79</v>
      </c>
      <c r="AO234" s="1">
        <v>359.94</v>
      </c>
      <c r="AP234" s="1">
        <v>67.22</v>
      </c>
      <c r="AR234" s="1">
        <v>200.06</v>
      </c>
      <c r="AS234" s="1">
        <v>858.05</v>
      </c>
      <c r="AT234" s="1">
        <v>17710.599999999999</v>
      </c>
      <c r="AU234" s="1">
        <v>2312.4</v>
      </c>
      <c r="AV234" s="1">
        <v>996.74</v>
      </c>
    </row>
    <row r="235" spans="1:48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0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0.11801493218914925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0.16875108397172411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0.1880822837236249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0.15135127275316668</v>
      </c>
      <c r="H235" s="1"/>
      <c r="I235" s="14">
        <f>(C229+D230+E231+F232+G233)/H234</f>
        <v>0.93701052323322953</v>
      </c>
      <c r="J235" s="53">
        <f>SQRT(SUM(P229:P233))/100</f>
        <v>2.2244328920535935E-3</v>
      </c>
      <c r="M235" s="1"/>
      <c r="N235" s="9"/>
      <c r="T235" s="57">
        <f>T64</f>
        <v>2963.59</v>
      </c>
      <c r="U235" s="57">
        <f>U64</f>
        <v>9929.9370106849401</v>
      </c>
      <c r="V235" s="57">
        <f>V64</f>
        <v>125464.41621692127</v>
      </c>
      <c r="W235" s="57">
        <f>W64</f>
        <v>42530.842288833235</v>
      </c>
      <c r="X235" s="57">
        <f>X64</f>
        <v>16492.284483560557</v>
      </c>
      <c r="AB235">
        <v>14</v>
      </c>
      <c r="AC235">
        <v>437</v>
      </c>
      <c r="AD235">
        <v>432</v>
      </c>
      <c r="AE235">
        <v>421</v>
      </c>
      <c r="AJ235" t="s">
        <v>416</v>
      </c>
      <c r="AK235">
        <v>19</v>
      </c>
      <c r="AL235" s="1">
        <v>0.6</v>
      </c>
      <c r="AM235" s="1">
        <v>24.81</v>
      </c>
      <c r="AN235" s="1">
        <v>1395.81</v>
      </c>
      <c r="AO235" s="1">
        <v>359.37</v>
      </c>
      <c r="AP235" s="1">
        <v>72.739999999999995</v>
      </c>
      <c r="AR235" s="1">
        <v>204.54</v>
      </c>
      <c r="AS235" s="1">
        <v>876.33</v>
      </c>
      <c r="AT235" s="1">
        <v>17708.61</v>
      </c>
      <c r="AU235" s="1">
        <v>2244.89</v>
      </c>
      <c r="AV235" s="1">
        <v>1043.47</v>
      </c>
    </row>
    <row r="236" spans="1:48" x14ac:dyDescent="0.3">
      <c r="B236" s="1" t="s">
        <v>30</v>
      </c>
      <c r="C236" s="17">
        <f>C229/C234*100</f>
        <v>100</v>
      </c>
      <c r="D236" s="17">
        <f>D230/D234*100</f>
        <v>79.548136891166465</v>
      </c>
      <c r="E236" s="17">
        <f>E231/E234*100</f>
        <v>96.942705565305332</v>
      </c>
      <c r="F236" s="17">
        <f>F232/F234*100</f>
        <v>89.559807437171258</v>
      </c>
      <c r="G236" s="17">
        <f>G233/G234*100</f>
        <v>87.097973368788686</v>
      </c>
      <c r="H236" s="1"/>
      <c r="T236" s="57">
        <f>T74</f>
        <v>2979.04</v>
      </c>
      <c r="U236" s="57">
        <f>U74</f>
        <v>10047.280660467357</v>
      </c>
      <c r="V236" s="57">
        <f>V74</f>
        <v>125753.12816004007</v>
      </c>
      <c r="W236" s="57">
        <f>W74</f>
        <v>42124.39467591326</v>
      </c>
      <c r="X236" s="57">
        <f>X74</f>
        <v>16477.216503579311</v>
      </c>
      <c r="AB236">
        <v>15</v>
      </c>
      <c r="AC236">
        <v>466</v>
      </c>
      <c r="AD236">
        <v>461</v>
      </c>
      <c r="AE236">
        <v>450</v>
      </c>
    </row>
    <row r="237" spans="1:48" x14ac:dyDescent="0.3">
      <c r="B237" s="16" t="s">
        <v>39</v>
      </c>
      <c r="C237" s="18">
        <f>SQRT((C240+C241)/(C234*C234))</f>
        <v>0</v>
      </c>
      <c r="D237" s="18">
        <f>SQRT((D240+D241)/(D234*D234))</f>
        <v>3.3212284015186224</v>
      </c>
      <c r="E237" s="18">
        <f>SQRT((E240+E241)/(E234*E234))</f>
        <v>0.20555872320336388</v>
      </c>
      <c r="F237" s="18">
        <f>SQRT((F240+F241)/(F234*F234))</f>
        <v>0.83990666628962529</v>
      </c>
      <c r="G237" s="18">
        <f>SQRT((G240+G241)/(G234*G234))</f>
        <v>2.1349863104507665</v>
      </c>
      <c r="H237" s="1"/>
      <c r="T237" s="57">
        <f>T84</f>
        <v>2994.48</v>
      </c>
      <c r="U237" s="57">
        <f>U84</f>
        <v>9467.6291101035986</v>
      </c>
      <c r="V237" s="57">
        <f>V84</f>
        <v>126653.43346614709</v>
      </c>
      <c r="W237" s="57">
        <f>W84</f>
        <v>42769.328967606561</v>
      </c>
      <c r="X237" s="57">
        <f>X84</f>
        <v>15496.188456142738</v>
      </c>
      <c r="AB237">
        <v>16</v>
      </c>
      <c r="AC237">
        <v>495</v>
      </c>
      <c r="AD237">
        <v>490</v>
      </c>
      <c r="AE237">
        <v>479</v>
      </c>
      <c r="AN237" s="78"/>
      <c r="AO237" s="78"/>
    </row>
    <row r="238" spans="1:48" x14ac:dyDescent="0.3">
      <c r="B238" s="1" t="s">
        <v>37</v>
      </c>
      <c r="C238" s="18">
        <f>100-C236</f>
        <v>0</v>
      </c>
      <c r="D238" s="18">
        <f>100-D236</f>
        <v>20.451863108833535</v>
      </c>
      <c r="E238" s="18">
        <f>100-E236</f>
        <v>3.0572944346946684</v>
      </c>
      <c r="F238" s="18">
        <f>100-F236</f>
        <v>10.440192562828742</v>
      </c>
      <c r="G238" s="18">
        <f>100-G236</f>
        <v>12.902026631211314</v>
      </c>
      <c r="T238" s="57">
        <f>T94</f>
        <v>2993.0500000000006</v>
      </c>
      <c r="U238" s="57">
        <f>U94</f>
        <v>9889.2155755685762</v>
      </c>
      <c r="V238" s="57">
        <f>V94</f>
        <v>125269.13379888056</v>
      </c>
      <c r="W238" s="57">
        <f>W94</f>
        <v>43109.024138878602</v>
      </c>
      <c r="X238" s="57">
        <f>X94</f>
        <v>16120.646486672273</v>
      </c>
      <c r="AB238">
        <v>17</v>
      </c>
      <c r="AC238">
        <v>524</v>
      </c>
      <c r="AD238">
        <v>519</v>
      </c>
      <c r="AE238">
        <v>508</v>
      </c>
    </row>
    <row r="239" spans="1:48" ht="15.6" x14ac:dyDescent="0.35">
      <c r="B239" s="1" t="s">
        <v>25</v>
      </c>
      <c r="C239" s="1">
        <f>C223</f>
        <v>259</v>
      </c>
      <c r="D239" s="1">
        <f>D223</f>
        <v>431</v>
      </c>
      <c r="E239" s="1">
        <f>E223</f>
        <v>7402</v>
      </c>
      <c r="F239" s="1">
        <f>F223</f>
        <v>2594</v>
      </c>
      <c r="G239" s="1">
        <f>G223</f>
        <v>898</v>
      </c>
      <c r="T239" s="57">
        <f>T104</f>
        <v>2986.1100000000006</v>
      </c>
      <c r="U239" s="57">
        <f>U104</f>
        <v>9546.8102515653973</v>
      </c>
      <c r="V239" s="57">
        <f>V104</f>
        <v>126338.74888361715</v>
      </c>
      <c r="W239" s="57">
        <f>W104</f>
        <v>42031.846950043051</v>
      </c>
      <c r="X239" s="57">
        <f>X104</f>
        <v>16477.553914774398</v>
      </c>
      <c r="AB239">
        <v>18</v>
      </c>
      <c r="AC239">
        <v>553</v>
      </c>
      <c r="AD239">
        <v>548</v>
      </c>
      <c r="AE239">
        <v>537</v>
      </c>
      <c r="AN239" s="78"/>
      <c r="AO239" s="78"/>
    </row>
    <row r="240" spans="1:48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222.28209568741858</v>
      </c>
      <c r="E240" s="18">
        <f>(O231*O231*(100-E236)*(100-E236)*(I231)*(100-I231))/((L231-1)*100)</f>
        <v>10.782292272336182</v>
      </c>
      <c r="F240" s="18">
        <f>(O232*O232*(100-F236)*(100-F236)*(I232)*(100-I232))/((L232-1)*100)</f>
        <v>199.11698317735826</v>
      </c>
      <c r="G240" s="18">
        <f>(O233*O233*(100-G236)*(100-G236)*(I233)*(100-I233))/((L233-1)*100)</f>
        <v>239.09463252007188</v>
      </c>
      <c r="T240" s="57">
        <f>T114</f>
        <v>2994.14</v>
      </c>
      <c r="U240" s="57">
        <f>U114</f>
        <v>9940.7565769947778</v>
      </c>
      <c r="V240" s="57">
        <f>V114</f>
        <v>125453.95216991546</v>
      </c>
      <c r="W240" s="57">
        <f>W114</f>
        <v>42732.216350302107</v>
      </c>
      <c r="X240" s="57">
        <f>X114</f>
        <v>16260.00490278763</v>
      </c>
      <c r="AB240">
        <v>19</v>
      </c>
      <c r="AC240">
        <v>582</v>
      </c>
      <c r="AD240">
        <v>577</v>
      </c>
      <c r="AE240">
        <v>566</v>
      </c>
    </row>
    <row r="241" spans="1:41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54.609756754949707</v>
      </c>
      <c r="E241" s="18">
        <f>E236*E236*(SUM((H229*E229*(1-E218/H218))/(H218-1),(H230*E230*(1-E219/H219))/(H219-1), (H232*E232*(1-E221/H221))/(H221-1),(H233*E233*(1-E222/H222))/(H222-1)))</f>
        <v>159.41356073493142</v>
      </c>
      <c r="F241" s="18">
        <f>F236*F236*(SUM((H229*F229*(1-F218/H218))/(H218-1),(H230*F230*(1-F219/H219))/(H219-1), (H231*F231*(1-F220/H220))/(H220-1),(H233*F233*(1-F222/H222))/(H222-1)))</f>
        <v>137.38485599446844</v>
      </c>
      <c r="G241" s="18">
        <f>G236*G236*(SUM((H229*G229*(1-G218/H218))/(H218-1),(H230*G230*(1-G219/H219))/(H219-1), (H231*G231*(1-G220/H220))/(H220-1),(H232*G232*(1-G221/H221))/(H221-1)))</f>
        <v>64.954732052778269</v>
      </c>
      <c r="T241" s="57">
        <f>T124</f>
        <v>2936.44</v>
      </c>
      <c r="U241" s="57">
        <f>U124</f>
        <v>9948.2724772763449</v>
      </c>
      <c r="V241" s="57">
        <f>V124</f>
        <v>125809.63895227155</v>
      </c>
      <c r="W241" s="57">
        <f>W124</f>
        <v>42746.312798950959</v>
      </c>
      <c r="X241" s="57">
        <f>X124</f>
        <v>15940.385771501142</v>
      </c>
      <c r="AB241">
        <v>20</v>
      </c>
      <c r="AC241">
        <v>611</v>
      </c>
      <c r="AD241">
        <v>606</v>
      </c>
      <c r="AE241">
        <v>595</v>
      </c>
      <c r="AN241" s="78"/>
      <c r="AO241" s="78"/>
    </row>
    <row r="242" spans="1:41" x14ac:dyDescent="0.3">
      <c r="T242" s="57">
        <f>T134</f>
        <v>2994.01</v>
      </c>
      <c r="U242" s="57">
        <f>U134</f>
        <v>9924.4329901341171</v>
      </c>
      <c r="V242" s="57">
        <f>V134</f>
        <v>124825.6674079212</v>
      </c>
      <c r="W242" s="57">
        <f>W134</f>
        <v>43578.919395428311</v>
      </c>
      <c r="X242" s="57">
        <f>X134</f>
        <v>16058.030206516385</v>
      </c>
      <c r="AB242">
        <v>21</v>
      </c>
      <c r="AC242">
        <v>640</v>
      </c>
      <c r="AD242">
        <v>635</v>
      </c>
      <c r="AE242">
        <v>624</v>
      </c>
    </row>
    <row r="243" spans="1:41" x14ac:dyDescent="0.3">
      <c r="T243" s="57">
        <f>T144</f>
        <v>2970.6399999999994</v>
      </c>
      <c r="U243" s="57">
        <f>U144</f>
        <v>10137.942461209506</v>
      </c>
      <c r="V243" s="57">
        <f>V144</f>
        <v>125153.7375899466</v>
      </c>
      <c r="W243" s="57">
        <f>W144</f>
        <v>42582.758163297192</v>
      </c>
      <c r="X243" s="57">
        <f>X144</f>
        <v>16535.981785546719</v>
      </c>
      <c r="AB243">
        <v>22</v>
      </c>
      <c r="AC243">
        <v>669</v>
      </c>
      <c r="AD243">
        <v>664</v>
      </c>
      <c r="AE243">
        <v>653</v>
      </c>
      <c r="AN243" s="78"/>
      <c r="AO243" s="78"/>
    </row>
    <row r="244" spans="1:41" x14ac:dyDescent="0.3">
      <c r="A244" s="361" t="s">
        <v>455</v>
      </c>
      <c r="B244" s="361"/>
      <c r="C244" s="361"/>
      <c r="D244" s="361"/>
      <c r="E244" s="361"/>
      <c r="F244" s="361"/>
      <c r="G244" s="361"/>
      <c r="H244" s="361"/>
      <c r="I244" s="361"/>
      <c r="J244" s="361"/>
      <c r="K244" s="361"/>
      <c r="L244" s="361" t="s">
        <v>86</v>
      </c>
      <c r="M244" s="361"/>
      <c r="N244" s="361"/>
      <c r="O244" s="361"/>
      <c r="P244" s="361"/>
      <c r="T244" s="57">
        <f>T154</f>
        <v>2991.48</v>
      </c>
      <c r="U244" s="57">
        <f>U154</f>
        <v>9641.9076283439572</v>
      </c>
      <c r="V244" s="57">
        <f>V154</f>
        <v>125868.0192810653</v>
      </c>
      <c r="W244" s="57">
        <f>W154</f>
        <v>42605.098436244298</v>
      </c>
      <c r="X244" s="57">
        <f>X154</f>
        <v>16274.564654346423</v>
      </c>
      <c r="AB244">
        <v>23</v>
      </c>
      <c r="AC244">
        <v>698</v>
      </c>
      <c r="AD244">
        <v>693</v>
      </c>
      <c r="AE244">
        <v>682</v>
      </c>
    </row>
    <row r="245" spans="1:41" x14ac:dyDescent="0.3">
      <c r="A245" t="s">
        <v>320</v>
      </c>
      <c r="B245" t="s">
        <v>21</v>
      </c>
      <c r="I245" s="1" t="s">
        <v>58</v>
      </c>
      <c r="O245" s="143"/>
      <c r="P245" s="143"/>
      <c r="T245" s="57">
        <f>T164</f>
        <v>2993.9699999999993</v>
      </c>
      <c r="U245" s="57">
        <f>U164</f>
        <v>9647.6770252732404</v>
      </c>
      <c r="V245" s="57">
        <f>V164</f>
        <v>125487.09858053975</v>
      </c>
      <c r="W245" s="57">
        <f>W164</f>
        <v>42856.284873640674</v>
      </c>
      <c r="X245" s="57">
        <f>X164</f>
        <v>16396.029520546315</v>
      </c>
      <c r="AB245">
        <v>24</v>
      </c>
      <c r="AC245">
        <v>727</v>
      </c>
      <c r="AD245">
        <v>722</v>
      </c>
      <c r="AE245">
        <v>711</v>
      </c>
      <c r="AN245" s="78"/>
      <c r="AO245" s="78"/>
    </row>
    <row r="246" spans="1:41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56</v>
      </c>
      <c r="O246" s="13"/>
      <c r="P246" s="13"/>
      <c r="T246" s="57">
        <f>T174</f>
        <v>3036.9200000000005</v>
      </c>
      <c r="U246" s="57">
        <f>U174</f>
        <v>10283.141741664744</v>
      </c>
      <c r="V246" s="57">
        <f>V174</f>
        <v>125976.22965992746</v>
      </c>
      <c r="W246" s="57">
        <f>W174</f>
        <v>42537.389960688102</v>
      </c>
      <c r="X246" s="57">
        <f>X174</f>
        <v>15547.378637719703</v>
      </c>
      <c r="AB246">
        <v>25</v>
      </c>
      <c r="AC246">
        <v>756</v>
      </c>
      <c r="AD246">
        <v>751</v>
      </c>
      <c r="AE246">
        <v>740</v>
      </c>
    </row>
    <row r="247" spans="1:41" x14ac:dyDescent="0.3">
      <c r="A247" t="s">
        <v>3</v>
      </c>
      <c r="B247" s="13">
        <v>0</v>
      </c>
      <c r="C247" s="26">
        <v>259</v>
      </c>
      <c r="D247" s="3">
        <v>0</v>
      </c>
      <c r="E247" s="3">
        <v>0</v>
      </c>
      <c r="F247" s="3">
        <v>0</v>
      </c>
      <c r="G247" s="4">
        <v>0</v>
      </c>
      <c r="H247" s="1">
        <f>SUM(C247:G247)</f>
        <v>259</v>
      </c>
      <c r="I247" s="10">
        <f>C247/H247</f>
        <v>1</v>
      </c>
      <c r="J247" s="11">
        <f>1-I247</f>
        <v>0</v>
      </c>
      <c r="K247">
        <f>H247-C252</f>
        <v>0</v>
      </c>
      <c r="N247" s="10">
        <f>2*(C253*I247)/(C253+I247)</f>
        <v>1</v>
      </c>
      <c r="O247" s="1"/>
      <c r="P247" s="1"/>
      <c r="T247" s="57">
        <f>T184</f>
        <v>2984.9</v>
      </c>
      <c r="U247" s="57">
        <f>U184</f>
        <v>9656.9919602887257</v>
      </c>
      <c r="V247" s="57">
        <f>V184</f>
        <v>126904.81868409444</v>
      </c>
      <c r="W247" s="57">
        <f>W184</f>
        <v>41473.159103378763</v>
      </c>
      <c r="X247" s="57">
        <f>X184</f>
        <v>16361.200252238072</v>
      </c>
      <c r="AB247">
        <v>26</v>
      </c>
      <c r="AC247">
        <v>785</v>
      </c>
      <c r="AD247">
        <v>780</v>
      </c>
      <c r="AE247">
        <v>769</v>
      </c>
      <c r="AN247" s="78"/>
      <c r="AO247" s="78"/>
    </row>
    <row r="248" spans="1:41" x14ac:dyDescent="0.3">
      <c r="A248" t="s">
        <v>4</v>
      </c>
      <c r="B248" s="13">
        <v>1</v>
      </c>
      <c r="C248" s="5">
        <v>0</v>
      </c>
      <c r="D248" s="27">
        <v>313</v>
      </c>
      <c r="E248" s="1">
        <v>32</v>
      </c>
      <c r="F248" s="1">
        <v>0</v>
      </c>
      <c r="G248" s="6">
        <v>2</v>
      </c>
      <c r="H248" s="1">
        <f>SUM(C248:G248)</f>
        <v>347</v>
      </c>
      <c r="I248" s="10">
        <f>D248/H248</f>
        <v>0.90201729106628237</v>
      </c>
      <c r="J248" s="11">
        <f>1-I248</f>
        <v>9.7982708933717633E-2</v>
      </c>
      <c r="K248">
        <f>H248-D252</f>
        <v>-74</v>
      </c>
      <c r="N248" s="10">
        <f>2*(D253*I248)/(D253+I248)</f>
        <v>0.81510416666666663</v>
      </c>
      <c r="O248" s="1"/>
      <c r="P248" s="1"/>
      <c r="T248" s="57">
        <f>T194</f>
        <v>3001.71</v>
      </c>
      <c r="U248" s="57">
        <f>U194</f>
        <v>9626.1495188765839</v>
      </c>
      <c r="V248" s="57">
        <f>V194</f>
        <v>125243.0649532183</v>
      </c>
      <c r="W248" s="57">
        <f>W194</f>
        <v>43068.05707419425</v>
      </c>
      <c r="X248" s="57">
        <f>X194</f>
        <v>16442.068453710835</v>
      </c>
      <c r="AB248">
        <v>27</v>
      </c>
      <c r="AC248">
        <v>814</v>
      </c>
      <c r="AD248">
        <v>809</v>
      </c>
      <c r="AE248">
        <v>798</v>
      </c>
    </row>
    <row r="249" spans="1:41" x14ac:dyDescent="0.3">
      <c r="A249" t="s">
        <v>5</v>
      </c>
      <c r="B249" s="13">
        <v>2</v>
      </c>
      <c r="C249" s="5">
        <v>0</v>
      </c>
      <c r="D249" s="1">
        <v>97</v>
      </c>
      <c r="E249" s="27">
        <v>7206</v>
      </c>
      <c r="F249" s="1">
        <v>35</v>
      </c>
      <c r="G249" s="6">
        <v>12</v>
      </c>
      <c r="H249" s="1">
        <f>SUM(C249:G249)</f>
        <v>7350</v>
      </c>
      <c r="I249" s="10">
        <f>E249/H249</f>
        <v>0.98040816326530611</v>
      </c>
      <c r="J249" s="11">
        <f>1-I249</f>
        <v>1.959183673469389E-2</v>
      </c>
      <c r="K249">
        <f>H249-E252</f>
        <v>-74</v>
      </c>
      <c r="N249" s="10">
        <f>2*(E253*I249)/(E253+I249)</f>
        <v>0.97549749560037902</v>
      </c>
      <c r="O249" s="1"/>
      <c r="P249" s="1"/>
      <c r="T249" s="57">
        <f>T204</f>
        <v>2998.1300000000006</v>
      </c>
      <c r="U249" s="57">
        <f>U204</f>
        <v>9932.6639970710748</v>
      </c>
      <c r="V249" s="57">
        <f>V204</f>
        <v>125945.94007025108</v>
      </c>
      <c r="W249" s="57">
        <f>W204</f>
        <v>42454.643875579924</v>
      </c>
      <c r="X249" s="57">
        <f>X204</f>
        <v>16049.682057097925</v>
      </c>
      <c r="AB249">
        <v>28</v>
      </c>
      <c r="AC249">
        <v>843</v>
      </c>
      <c r="AD249">
        <v>838</v>
      </c>
      <c r="AE249">
        <v>827</v>
      </c>
      <c r="AN249" s="78"/>
      <c r="AO249" s="78"/>
    </row>
    <row r="250" spans="1:41" x14ac:dyDescent="0.3">
      <c r="A250" t="s">
        <v>6</v>
      </c>
      <c r="B250" s="13">
        <v>3</v>
      </c>
      <c r="C250" s="5">
        <v>0</v>
      </c>
      <c r="D250" s="1">
        <v>10</v>
      </c>
      <c r="E250" s="1">
        <v>173</v>
      </c>
      <c r="F250" s="27">
        <v>2340</v>
      </c>
      <c r="G250" s="6">
        <v>115</v>
      </c>
      <c r="H250" s="1">
        <f>SUM(C250:G250)</f>
        <v>2638</v>
      </c>
      <c r="I250" s="10">
        <f>F250/H250</f>
        <v>0.88703563305534494</v>
      </c>
      <c r="J250" s="11">
        <f>1-I250</f>
        <v>0.11296436694465506</v>
      </c>
      <c r="K250">
        <f>H250-F252</f>
        <v>64</v>
      </c>
      <c r="N250" s="10">
        <f>2*(F253*I250)/(F253+I250)</f>
        <v>0.89792785878741366</v>
      </c>
      <c r="O250" s="1"/>
      <c r="P250" s="1"/>
      <c r="T250" s="57">
        <f>T214</f>
        <v>3008.11</v>
      </c>
      <c r="U250" s="57">
        <f>U214</f>
        <v>9590.441673360634</v>
      </c>
      <c r="V250" s="57">
        <f>V214</f>
        <v>126400.21012942813</v>
      </c>
      <c r="W250" s="57">
        <f>W214</f>
        <v>42167.930075850207</v>
      </c>
      <c r="X250" s="57">
        <f>X214</f>
        <v>16214.368121361034</v>
      </c>
      <c r="AB250">
        <v>29</v>
      </c>
      <c r="AC250">
        <v>872</v>
      </c>
      <c r="AD250">
        <v>867</v>
      </c>
      <c r="AE250">
        <v>856</v>
      </c>
    </row>
    <row r="251" spans="1:41" x14ac:dyDescent="0.3">
      <c r="A251" t="s">
        <v>7</v>
      </c>
      <c r="B251" s="13">
        <v>4</v>
      </c>
      <c r="C251" s="7">
        <v>0</v>
      </c>
      <c r="D251" s="8">
        <v>1</v>
      </c>
      <c r="E251" s="8">
        <v>13</v>
      </c>
      <c r="F251" s="8">
        <v>199</v>
      </c>
      <c r="G251" s="28">
        <v>777</v>
      </c>
      <c r="H251" s="1">
        <f>SUM(C251:G251)</f>
        <v>990</v>
      </c>
      <c r="I251" s="10">
        <f>G251/H251</f>
        <v>0.7848484848484848</v>
      </c>
      <c r="J251" s="11">
        <f>1-I251</f>
        <v>0.2151515151515152</v>
      </c>
      <c r="K251">
        <f>H251-G252</f>
        <v>84</v>
      </c>
      <c r="N251" s="10">
        <f>2*(G253*I251)/(G253+I251)</f>
        <v>0.819620253164557</v>
      </c>
      <c r="O251" s="1"/>
      <c r="P251" s="1"/>
      <c r="AN251" s="78"/>
      <c r="AO251" s="78"/>
    </row>
    <row r="252" spans="1:41" ht="15.6" x14ac:dyDescent="0.35">
      <c r="B252" s="1" t="s">
        <v>19</v>
      </c>
      <c r="C252" s="1">
        <f>SUM(C247:C251)</f>
        <v>259</v>
      </c>
      <c r="D252" s="1">
        <f>SUM(D247:D251)</f>
        <v>421</v>
      </c>
      <c r="E252" s="1">
        <f>SUM(E247:E251)</f>
        <v>7424</v>
      </c>
      <c r="F252" s="1">
        <f>SUM(F247:F251)</f>
        <v>2574</v>
      </c>
      <c r="G252" s="1">
        <f>SUM(G247:G251)</f>
        <v>906</v>
      </c>
      <c r="H252" s="1">
        <f>SUM(H246:H251)</f>
        <v>11584</v>
      </c>
      <c r="I252" s="13" t="s">
        <v>12</v>
      </c>
      <c r="N252" s="16"/>
      <c r="O252" s="1"/>
      <c r="P252" s="1"/>
    </row>
    <row r="253" spans="1:41" x14ac:dyDescent="0.3">
      <c r="A253" s="1" t="s">
        <v>321</v>
      </c>
      <c r="B253" s="1" t="s">
        <v>2</v>
      </c>
      <c r="C253" s="10">
        <f>C247/C252</f>
        <v>1</v>
      </c>
      <c r="D253" s="10">
        <f>D248/D252</f>
        <v>0.74346793349168649</v>
      </c>
      <c r="E253" s="10">
        <f>E249/E252</f>
        <v>0.97063577586206895</v>
      </c>
      <c r="F253" s="10">
        <f>F250/F252</f>
        <v>0.90909090909090906</v>
      </c>
      <c r="G253" s="10">
        <f>G251/G252</f>
        <v>0.85761589403973515</v>
      </c>
      <c r="H253" s="10"/>
      <c r="I253" s="14">
        <f>(C247+D248+E249+F250+G251)/H252</f>
        <v>0.94052140883977897</v>
      </c>
      <c r="AN253" s="78"/>
      <c r="AO253" s="78"/>
    </row>
    <row r="254" spans="1:41" x14ac:dyDescent="0.3">
      <c r="B254" s="1" t="s">
        <v>14</v>
      </c>
      <c r="C254" s="11">
        <f>1-C253</f>
        <v>0</v>
      </c>
      <c r="D254" s="11">
        <f>1-D253</f>
        <v>0.25653206650831351</v>
      </c>
      <c r="E254" s="11">
        <f>1-E253</f>
        <v>2.936422413793105E-2</v>
      </c>
      <c r="F254" s="11">
        <f>1-F253</f>
        <v>9.0909090909090939E-2</v>
      </c>
      <c r="G254" s="11">
        <f>1-G253</f>
        <v>0.14238410596026485</v>
      </c>
    </row>
    <row r="255" spans="1:41" x14ac:dyDescent="0.3">
      <c r="C255" s="2"/>
      <c r="AN255" s="78"/>
      <c r="AO255" s="78"/>
    </row>
    <row r="256" spans="1:41" ht="15.6" x14ac:dyDescent="0.35">
      <c r="A256" t="s">
        <v>322</v>
      </c>
      <c r="B256" s="15" t="s">
        <v>23</v>
      </c>
      <c r="N256" s="12" t="s">
        <v>17</v>
      </c>
      <c r="O256" s="1" t="s">
        <v>27</v>
      </c>
      <c r="P256" s="1" t="s">
        <v>33</v>
      </c>
    </row>
    <row r="257" spans="1:41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N257" s="78"/>
      <c r="AO257" s="78"/>
    </row>
    <row r="258" spans="1:41" x14ac:dyDescent="0.3">
      <c r="A258" t="s">
        <v>3</v>
      </c>
      <c r="B258" s="13">
        <v>0</v>
      </c>
      <c r="C258" s="29">
        <f>(C247/$L258)*$O258</f>
        <v>1.5128654434794582</v>
      </c>
      <c r="D258" s="31">
        <f>(D247/$L258)*$O258</f>
        <v>0</v>
      </c>
      <c r="E258" s="31">
        <f>(E247/$L258)*$O258</f>
        <v>0</v>
      </c>
      <c r="F258" s="31">
        <f>(F247/$L258)*$O258</f>
        <v>0</v>
      </c>
      <c r="G258" s="32">
        <f>(G247/$L258)*$O258</f>
        <v>0</v>
      </c>
      <c r="H258" s="17">
        <f>SUM(C258:G258)</f>
        <v>1.5128654434794582</v>
      </c>
      <c r="I258" s="17">
        <f>C258/H258*100</f>
        <v>100</v>
      </c>
      <c r="J258" s="17">
        <f>SQRT(I258*(100-I258)/(L258-1))</f>
        <v>0</v>
      </c>
      <c r="K258" s="18">
        <f>100-I258</f>
        <v>0</v>
      </c>
      <c r="L258" s="1">
        <f>H247</f>
        <v>259</v>
      </c>
      <c r="M258">
        <v>0</v>
      </c>
      <c r="N258" s="1">
        <v>2986.11</v>
      </c>
      <c r="O258" s="17">
        <f>N258/N263*100</f>
        <v>1.5128654434794582</v>
      </c>
      <c r="P258" s="52">
        <f>((O258*O258*(I258/100)*(K258/100))/(L258-1))</f>
        <v>0</v>
      </c>
    </row>
    <row r="259" spans="1:41" x14ac:dyDescent="0.3">
      <c r="A259" t="s">
        <v>4</v>
      </c>
      <c r="B259" s="13">
        <v>1</v>
      </c>
      <c r="C259" s="33">
        <f t="shared" ref="C259:G262" si="38">(C248/$L259)*$O259</f>
        <v>0</v>
      </c>
      <c r="D259" s="34">
        <f t="shared" si="38"/>
        <v>3.910076150713043</v>
      </c>
      <c r="E259" s="19">
        <f t="shared" si="38"/>
        <v>0.39975219432210024</v>
      </c>
      <c r="F259" s="18">
        <f t="shared" si="38"/>
        <v>0</v>
      </c>
      <c r="G259" s="20">
        <f t="shared" si="38"/>
        <v>2.4984512145131265E-2</v>
      </c>
      <c r="H259" s="17">
        <f>SUM(C259:G259)</f>
        <v>4.3348128571802746</v>
      </c>
      <c r="I259" s="17">
        <f>D259/H259*100</f>
        <v>90.201729106628235</v>
      </c>
      <c r="J259" s="17">
        <f>SQRT(I259*(100-I259)/(L259-1))</f>
        <v>1.5982477551409069</v>
      </c>
      <c r="K259" s="18">
        <f>100-I259</f>
        <v>9.7982708933717646</v>
      </c>
      <c r="L259" s="1">
        <f>H248</f>
        <v>347</v>
      </c>
      <c r="M259">
        <v>1</v>
      </c>
      <c r="N259" s="1">
        <v>8556.1</v>
      </c>
      <c r="O259" s="17">
        <f>N259/N263*100</f>
        <v>4.3348128571802746</v>
      </c>
      <c r="P259" s="52">
        <f>((O259*O259*(I259/100)*(K259/100))/(L259-1))</f>
        <v>4.7998637754044209E-3</v>
      </c>
      <c r="AN259" s="78"/>
      <c r="AO259" s="78"/>
    </row>
    <row r="260" spans="1:41" x14ac:dyDescent="0.3">
      <c r="A260" t="s">
        <v>5</v>
      </c>
      <c r="B260" s="13">
        <v>2</v>
      </c>
      <c r="C260" s="33">
        <f t="shared" si="38"/>
        <v>0</v>
      </c>
      <c r="D260" s="19">
        <f t="shared" si="38"/>
        <v>0.83554817485342259</v>
      </c>
      <c r="E260" s="34">
        <f t="shared" si="38"/>
        <v>62.071754103028482</v>
      </c>
      <c r="F260" s="19">
        <f t="shared" si="38"/>
        <v>0.30148645484401848</v>
      </c>
      <c r="G260" s="20">
        <f t="shared" si="38"/>
        <v>0.10336678451794919</v>
      </c>
      <c r="H260" s="17">
        <f>SUM(C260:G260)</f>
        <v>63.312155517243873</v>
      </c>
      <c r="I260" s="17">
        <f>E260/H260*100</f>
        <v>98.040816326530617</v>
      </c>
      <c r="J260" s="17">
        <f>SQRT(I260*(100-I260)/(L260-1))</f>
        <v>0.16166905962127792</v>
      </c>
      <c r="K260" s="18">
        <f>100-I260</f>
        <v>1.9591836734693828</v>
      </c>
      <c r="L260" s="1">
        <f>H249</f>
        <v>7350</v>
      </c>
      <c r="M260">
        <v>2</v>
      </c>
      <c r="N260" s="1">
        <v>124966.21</v>
      </c>
      <c r="O260" s="17">
        <f>N260/N263*100</f>
        <v>63.312155517243873</v>
      </c>
      <c r="P260" s="52">
        <f>((O260*O260*(I260/100)*(K260/100))/(L260-1))</f>
        <v>1.0476784810481194E-2</v>
      </c>
    </row>
    <row r="261" spans="1:41" x14ac:dyDescent="0.3">
      <c r="A261" t="s">
        <v>6</v>
      </c>
      <c r="B261" s="13">
        <v>3</v>
      </c>
      <c r="C261" s="33">
        <f t="shared" si="38"/>
        <v>0</v>
      </c>
      <c r="D261" s="19">
        <f t="shared" si="38"/>
        <v>8.1747309879086794E-2</v>
      </c>
      <c r="E261" s="19">
        <f t="shared" si="38"/>
        <v>1.4142284609082016</v>
      </c>
      <c r="F261" s="34">
        <f t="shared" si="38"/>
        <v>19.12887051170631</v>
      </c>
      <c r="G261" s="20">
        <f t="shared" si="38"/>
        <v>0.94009406360949821</v>
      </c>
      <c r="H261" s="17">
        <f>SUM(C261:G261)</f>
        <v>21.564940346103096</v>
      </c>
      <c r="I261" s="17">
        <f>F261/H261*100</f>
        <v>88.703563305534487</v>
      </c>
      <c r="J261" s="17">
        <f>SQRT(I261*(100-I261)/(L261-1))</f>
        <v>0.61643346064050231</v>
      </c>
      <c r="K261" s="18">
        <f>100-I261</f>
        <v>11.296436694465513</v>
      </c>
      <c r="L261" s="1">
        <f>H250</f>
        <v>2638</v>
      </c>
      <c r="M261">
        <v>3</v>
      </c>
      <c r="N261" s="1">
        <v>42565.11</v>
      </c>
      <c r="O261" s="17">
        <f>N261/N263*100</f>
        <v>21.564940346103096</v>
      </c>
      <c r="P261" s="52">
        <f>((O261*O261*(I261/100)*(K261/100))/(L261-1))</f>
        <v>1.7671317565282518E-2</v>
      </c>
      <c r="AN261" s="78"/>
      <c r="AO261" s="78"/>
    </row>
    <row r="262" spans="1:41" x14ac:dyDescent="0.3">
      <c r="A262" t="s">
        <v>7</v>
      </c>
      <c r="B262" s="13">
        <v>4</v>
      </c>
      <c r="C262" s="35">
        <f t="shared" si="38"/>
        <v>0</v>
      </c>
      <c r="D262" s="36">
        <f t="shared" si="38"/>
        <v>9.3689149858518055E-3</v>
      </c>
      <c r="E262" s="21">
        <f t="shared" si="38"/>
        <v>0.12179589481607347</v>
      </c>
      <c r="F262" s="21">
        <f t="shared" si="38"/>
        <v>1.8644140821845092</v>
      </c>
      <c r="G262" s="37">
        <f t="shared" si="38"/>
        <v>7.2796469440068527</v>
      </c>
      <c r="H262" s="17">
        <f>SUM(C262:G262)</f>
        <v>9.2752258359932878</v>
      </c>
      <c r="I262" s="17">
        <f>G262/H262*100</f>
        <v>78.484848484848484</v>
      </c>
      <c r="J262" s="17">
        <f>SQRT(I262*(100-I262)/(L262-1))</f>
        <v>1.306673160753907</v>
      </c>
      <c r="K262" s="18">
        <f>100-I262</f>
        <v>21.515151515151516</v>
      </c>
      <c r="L262" s="1">
        <f>H251</f>
        <v>990</v>
      </c>
      <c r="M262">
        <v>4</v>
      </c>
      <c r="N262" s="1">
        <v>18307.54</v>
      </c>
      <c r="O262" s="17">
        <f>N262/N263*100</f>
        <v>9.2752258359932878</v>
      </c>
      <c r="P262" s="52">
        <f>((O262*O262*(I262/100)*(K262/100))/(L262-1))</f>
        <v>1.4688685321105796E-2</v>
      </c>
    </row>
    <row r="263" spans="1:41" x14ac:dyDescent="0.3">
      <c r="B263" t="s">
        <v>28</v>
      </c>
      <c r="C263" s="17">
        <f>SUM(C258:C262)</f>
        <v>1.5128654434794582</v>
      </c>
      <c r="D263" s="17">
        <f>SUM(D258:D262)</f>
        <v>4.8367405504314043</v>
      </c>
      <c r="E263" s="17">
        <f>SUM(E258:E262)</f>
        <v>64.007530653074852</v>
      </c>
      <c r="F263" s="17">
        <f>SUM(F258:F262)</f>
        <v>21.294771048734837</v>
      </c>
      <c r="G263" s="17">
        <f>SUM(G258:G262)</f>
        <v>8.3480923042794313</v>
      </c>
      <c r="H263" s="1">
        <f>SUM(H257:H262)</f>
        <v>99.999999999999986</v>
      </c>
      <c r="I263" s="13" t="s">
        <v>24</v>
      </c>
      <c r="J263" s="12" t="s">
        <v>29</v>
      </c>
      <c r="N263" s="1">
        <f>SUM(N258:N262)</f>
        <v>197381.07000000004</v>
      </c>
      <c r="O263" s="17">
        <f>SUM(O258:O262)</f>
        <v>99.999999999999986</v>
      </c>
      <c r="AM263" s="78"/>
      <c r="AN263" s="78"/>
      <c r="AO263" s="78"/>
    </row>
    <row r="264" spans="1:41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0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0.11243571710280123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0.1641265507028831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0.18494759177366918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0.15239126580448578</v>
      </c>
      <c r="H264" s="1"/>
      <c r="I264" s="56">
        <f>(C258+D259+E260+F261+G262)/H263</f>
        <v>0.93903213152934151</v>
      </c>
      <c r="J264" s="53">
        <f>SQRT(SUM(P258:P262))/100</f>
        <v>2.182582220038318E-3</v>
      </c>
      <c r="M264" s="1"/>
      <c r="N264" s="9"/>
    </row>
    <row r="265" spans="1:41" x14ac:dyDescent="0.3">
      <c r="B265" s="1" t="s">
        <v>30</v>
      </c>
      <c r="C265" s="17">
        <f>C258/C263*100</f>
        <v>100</v>
      </c>
      <c r="D265" s="17">
        <f>D259/D263*100</f>
        <v>80.841138984895338</v>
      </c>
      <c r="E265" s="17">
        <f>E260/E263*100</f>
        <v>96.975704998622106</v>
      </c>
      <c r="F265" s="17">
        <f>F261/F263*100</f>
        <v>89.828955981392397</v>
      </c>
      <c r="G265" s="17">
        <f>G262/G263*100</f>
        <v>87.201323112768307</v>
      </c>
      <c r="H265" s="1"/>
      <c r="AM265" s="78"/>
      <c r="AN265" s="78"/>
      <c r="AO265" s="78"/>
    </row>
    <row r="266" spans="1:41" x14ac:dyDescent="0.3">
      <c r="B266" s="16" t="s">
        <v>39</v>
      </c>
      <c r="C266" s="18">
        <f>SQRT((C269+C270)/(C263*C263))</f>
        <v>0</v>
      </c>
      <c r="D266" s="18">
        <f>SQRT((D269+D270)/(D263*D263))</f>
        <v>3.1186695005346681</v>
      </c>
      <c r="E266" s="18">
        <f>SQRT((E269+E270)/(E263*E263))</f>
        <v>0.20042137254346792</v>
      </c>
      <c r="F266" s="18">
        <f>SQRT((F269+F270)/(F263*F263))</f>
        <v>0.83530533910954952</v>
      </c>
      <c r="G266" s="18">
        <f>SQRT((G269+G270)/(G263*G263))</f>
        <v>2.0942249326891909</v>
      </c>
      <c r="H266" s="1"/>
    </row>
    <row r="267" spans="1:41" x14ac:dyDescent="0.3">
      <c r="B267" s="1" t="s">
        <v>37</v>
      </c>
      <c r="C267" s="18">
        <f>100-C265</f>
        <v>0</v>
      </c>
      <c r="D267" s="18">
        <f>100-D265</f>
        <v>19.158861015104662</v>
      </c>
      <c r="E267" s="18">
        <f>100-E265</f>
        <v>3.0242950013778938</v>
      </c>
      <c r="F267" s="18">
        <f>100-F265</f>
        <v>10.171044018607603</v>
      </c>
      <c r="G267" s="18">
        <f>100-G265</f>
        <v>12.798676887231693</v>
      </c>
      <c r="AM267" s="78"/>
      <c r="AN267" s="78"/>
      <c r="AO267" s="78"/>
    </row>
    <row r="268" spans="1:41" ht="15.6" x14ac:dyDescent="0.35">
      <c r="B268" s="1" t="s">
        <v>25</v>
      </c>
      <c r="C268" s="1">
        <f>C252</f>
        <v>259</v>
      </c>
      <c r="D268" s="1">
        <f>D252</f>
        <v>421</v>
      </c>
      <c r="E268" s="1">
        <f>E252</f>
        <v>7424</v>
      </c>
      <c r="F268" s="1">
        <f>F252</f>
        <v>2574</v>
      </c>
      <c r="G268" s="1">
        <f>G252</f>
        <v>906</v>
      </c>
    </row>
    <row r="269" spans="1:41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176.18473830348404</v>
      </c>
      <c r="E269" s="18">
        <f>(O260*O260*(100-E265)*(100-E265)*(I260)*(100-I260))/((L260-1)*100)</f>
        <v>9.5824448194537357</v>
      </c>
      <c r="F269" s="18">
        <f>(O261*O261*(100-F265)*(100-F265)*(I261)*(100-I261))/((L261-1)*100)</f>
        <v>182.81002129990026</v>
      </c>
      <c r="G269" s="18">
        <f>(O262*O262*(100-G265)*(100-G265)*(I262)*(100-I262))/((L262-1)*100)</f>
        <v>240.60966981746799</v>
      </c>
      <c r="AM269" s="78"/>
      <c r="AN269" s="78"/>
      <c r="AO269" s="78"/>
    </row>
    <row r="270" spans="1:41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51.348207633277568</v>
      </c>
      <c r="E270" s="18">
        <f>E265*E265*(SUM((H258*E258*(1-E247/H247))/(H247-1),(H259*E259*(1-E248/H248))/(H248-1), (H261*E261*(1-E250/H250))/(H250-1),(H262*E262*(1-E251/H251))/(H251-1)))</f>
        <v>154.98738108157352</v>
      </c>
      <c r="F270" s="18">
        <f>F265*F265*(SUM((H258*F258*(1-F247/H247))/(H247-1),(H259*F259*(1-F248/H248))/(H248-1), (H260*F260*(1-F249/H249))/(H249-1),(H262*F262*(1-F251/H251))/(H251-1)))</f>
        <v>133.58997146538235</v>
      </c>
      <c r="G270" s="18">
        <f>G265*G265*(SUM((H258*G258*(1-G247/H247))/(H247-1),(H259*G259*(1-G248/H248))/(H248-1), (H260*G260*(1-G249/H249))/(H249-1),(H261*G261*(1-G250/H250))/(H250-1)))</f>
        <v>65.038033146551541</v>
      </c>
    </row>
    <row r="271" spans="1:41" x14ac:dyDescent="0.3">
      <c r="AM271" s="78"/>
      <c r="AN271" s="78"/>
      <c r="AO271" s="78"/>
    </row>
    <row r="272" spans="1:41" x14ac:dyDescent="0.3">
      <c r="T272" s="2"/>
    </row>
    <row r="273" spans="1:41" x14ac:dyDescent="0.3">
      <c r="A273" s="361" t="s">
        <v>455</v>
      </c>
      <c r="B273" s="361"/>
      <c r="C273" s="361"/>
      <c r="D273" s="361"/>
      <c r="E273" s="361"/>
      <c r="F273" s="361"/>
      <c r="G273" s="361"/>
      <c r="H273" s="361"/>
      <c r="I273" s="361"/>
      <c r="J273" s="361"/>
      <c r="K273" s="361"/>
      <c r="L273" s="361" t="s">
        <v>87</v>
      </c>
      <c r="M273" s="361"/>
      <c r="N273" s="361"/>
      <c r="O273" s="361"/>
      <c r="P273" s="361"/>
      <c r="AM273" s="78"/>
      <c r="AN273" s="78"/>
      <c r="AO273" s="78"/>
    </row>
    <row r="274" spans="1:41" ht="15" thickBot="1" x14ac:dyDescent="0.35">
      <c r="A274" t="s">
        <v>320</v>
      </c>
      <c r="B274" t="s">
        <v>21</v>
      </c>
      <c r="I274" s="1" t="s">
        <v>58</v>
      </c>
      <c r="O274" s="143"/>
      <c r="P274" s="143"/>
      <c r="R274" s="59" t="s">
        <v>78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77</v>
      </c>
      <c r="AA274" s="12" t="s">
        <v>29</v>
      </c>
    </row>
    <row r="275" spans="1:41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56</v>
      </c>
      <c r="O275" s="13"/>
      <c r="P275" s="13"/>
      <c r="S275" t="s">
        <v>28</v>
      </c>
      <c r="T275" s="57">
        <f t="shared" ref="T275:X276" si="39">AVERAGE(T16,T26,T36,T46,T56)</f>
        <v>1.5175903757919484</v>
      </c>
      <c r="U275" s="57">
        <f t="shared" si="39"/>
        <v>5.00128808556659</v>
      </c>
      <c r="V275" s="57">
        <f t="shared" si="39"/>
        <v>63.658888739922205</v>
      </c>
      <c r="W275" s="57">
        <f t="shared" si="39"/>
        <v>21.579124098647846</v>
      </c>
      <c r="X275" s="57">
        <f t="shared" si="39"/>
        <v>8.2431087000714207</v>
      </c>
      <c r="Z275" s="14">
        <f>AVERAGE(AE16,AE17,AE18,AE19,AE20)</f>
        <v>0.93765874885913958</v>
      </c>
      <c r="AA275" s="72">
        <f>AVERAGE(AF16,AF17,AF18,AF19,AF20)</f>
        <v>2.2065855959032903E-3</v>
      </c>
      <c r="AM275" s="78"/>
      <c r="AN275" s="78"/>
      <c r="AO275" s="78"/>
    </row>
    <row r="276" spans="1:41" x14ac:dyDescent="0.3">
      <c r="A276" t="s">
        <v>3</v>
      </c>
      <c r="B276" s="13">
        <v>0</v>
      </c>
      <c r="C276" s="26">
        <v>259</v>
      </c>
      <c r="D276" s="3">
        <v>0</v>
      </c>
      <c r="E276" s="3">
        <v>0</v>
      </c>
      <c r="F276" s="3">
        <v>0</v>
      </c>
      <c r="G276" s="4">
        <v>0</v>
      </c>
      <c r="H276" s="1">
        <f>SUM(C276:G276)</f>
        <v>259</v>
      </c>
      <c r="I276" s="10">
        <f>C276/H276</f>
        <v>1</v>
      </c>
      <c r="J276" s="11">
        <f>1-I276</f>
        <v>0</v>
      </c>
      <c r="K276">
        <f>H276-C281</f>
        <v>0</v>
      </c>
      <c r="N276" s="10">
        <f>2*(C282*I276)/(C282+I276)</f>
        <v>1</v>
      </c>
      <c r="O276" s="1"/>
      <c r="P276" s="1"/>
      <c r="S276" t="s">
        <v>39</v>
      </c>
      <c r="T276" s="57">
        <f t="shared" si="39"/>
        <v>0</v>
      </c>
      <c r="U276" s="57">
        <f t="shared" si="39"/>
        <v>0.11494551779858678</v>
      </c>
      <c r="V276" s="57">
        <f t="shared" si="39"/>
        <v>0.16656880045094982</v>
      </c>
      <c r="W276" s="57">
        <f t="shared" si="39"/>
        <v>0.18683664709917289</v>
      </c>
      <c r="X276" s="57">
        <f t="shared" si="39"/>
        <v>0.1522810572901854</v>
      </c>
    </row>
    <row r="277" spans="1:41" x14ac:dyDescent="0.3">
      <c r="A277" t="s">
        <v>4</v>
      </c>
      <c r="B277" s="13">
        <v>1</v>
      </c>
      <c r="C277" s="5">
        <v>0</v>
      </c>
      <c r="D277" s="27">
        <v>316</v>
      </c>
      <c r="E277" s="1">
        <v>29</v>
      </c>
      <c r="F277" s="1">
        <v>0</v>
      </c>
      <c r="G277" s="6">
        <v>2</v>
      </c>
      <c r="H277" s="1">
        <f>SUM(C277:G277)</f>
        <v>347</v>
      </c>
      <c r="I277" s="10">
        <f>D277/H277</f>
        <v>0.91066282420749278</v>
      </c>
      <c r="J277" s="11">
        <f>1-I277</f>
        <v>8.9337175792507217E-2</v>
      </c>
      <c r="K277">
        <f>H277-D281</f>
        <v>-88</v>
      </c>
      <c r="N277" s="10">
        <f>2*(D282*I277)/(D282+I277)</f>
        <v>0.80818414322250653</v>
      </c>
      <c r="O277" s="1"/>
      <c r="P277" s="1"/>
      <c r="S277" s="66" t="s">
        <v>65</v>
      </c>
      <c r="T277" s="67">
        <f>1.96*T276</f>
        <v>0</v>
      </c>
      <c r="U277" s="67">
        <f>1.96*U276</f>
        <v>0.22529321488523008</v>
      </c>
      <c r="V277" s="67">
        <f>1.96*V276</f>
        <v>0.32647484888386163</v>
      </c>
      <c r="W277" s="67">
        <f>1.96*W276</f>
        <v>0.36619982831437886</v>
      </c>
      <c r="X277" s="67">
        <f>1.96*X276</f>
        <v>0.2984708722887634</v>
      </c>
      <c r="AM277" s="78"/>
      <c r="AN277" s="78"/>
      <c r="AO277" s="78"/>
    </row>
    <row r="278" spans="1:41" x14ac:dyDescent="0.3">
      <c r="A278" t="s">
        <v>5</v>
      </c>
      <c r="B278" s="13">
        <v>2</v>
      </c>
      <c r="C278" s="5">
        <v>0</v>
      </c>
      <c r="D278" s="1">
        <v>108</v>
      </c>
      <c r="E278" s="27">
        <v>7185</v>
      </c>
      <c r="F278" s="1">
        <v>49</v>
      </c>
      <c r="G278" s="6">
        <v>8</v>
      </c>
      <c r="H278" s="1">
        <f>SUM(C278:G278)</f>
        <v>7350</v>
      </c>
      <c r="I278" s="10">
        <f>E278/H278</f>
        <v>0.97755102040816322</v>
      </c>
      <c r="J278" s="11">
        <f>1-I278</f>
        <v>2.2448979591836782E-2</v>
      </c>
      <c r="K278">
        <f>H278-E281</f>
        <v>-35</v>
      </c>
      <c r="N278" s="10">
        <f>2*(E282*I278)/(E282+I278)</f>
        <v>0.97522904648795383</v>
      </c>
      <c r="O278" s="1"/>
      <c r="P278" s="1"/>
      <c r="S278" t="s">
        <v>30</v>
      </c>
      <c r="T278" s="57">
        <f t="shared" ref="T278:X279" si="40">AVERAGE(T18,T28,T38,T48,T58)</f>
        <v>100</v>
      </c>
      <c r="U278" s="57">
        <f t="shared" si="40"/>
        <v>79.858069708468548</v>
      </c>
      <c r="V278" s="57">
        <f t="shared" si="40"/>
        <v>97.028865988508457</v>
      </c>
      <c r="W278" s="57">
        <f t="shared" si="40"/>
        <v>89.582700966253725</v>
      </c>
      <c r="X278" s="57">
        <f t="shared" si="40"/>
        <v>86.814430953971396</v>
      </c>
    </row>
    <row r="279" spans="1:41" x14ac:dyDescent="0.3">
      <c r="A279" t="s">
        <v>6</v>
      </c>
      <c r="B279" s="13">
        <v>3</v>
      </c>
      <c r="C279" s="5">
        <v>0</v>
      </c>
      <c r="D279" s="1">
        <v>10</v>
      </c>
      <c r="E279" s="1">
        <v>164</v>
      </c>
      <c r="F279" s="27">
        <v>2345</v>
      </c>
      <c r="G279" s="6">
        <v>119</v>
      </c>
      <c r="H279" s="1">
        <f>SUM(C279:G279)</f>
        <v>2638</v>
      </c>
      <c r="I279" s="10">
        <f>F279/H279</f>
        <v>0.88893100833965122</v>
      </c>
      <c r="J279" s="11">
        <f>1-I279</f>
        <v>0.11106899166034878</v>
      </c>
      <c r="K279">
        <f>H279-F281</f>
        <v>36</v>
      </c>
      <c r="N279" s="10">
        <f>2*(F282*I279)/(F282+I279)</f>
        <v>0.89503816793893132</v>
      </c>
      <c r="O279" s="1"/>
      <c r="P279" s="1"/>
      <c r="S279" t="s">
        <v>39</v>
      </c>
      <c r="T279" s="57">
        <f t="shared" si="40"/>
        <v>0</v>
      </c>
      <c r="U279" s="57">
        <f t="shared" si="40"/>
        <v>3.1319821106781967</v>
      </c>
      <c r="V279" s="57">
        <f t="shared" si="40"/>
        <v>0.20056323210215088</v>
      </c>
      <c r="W279" s="57">
        <f t="shared" si="40"/>
        <v>0.84328125073596694</v>
      </c>
      <c r="X279" s="57">
        <f t="shared" si="40"/>
        <v>2.1614028748506797</v>
      </c>
      <c r="AM279" s="78"/>
      <c r="AN279" s="78"/>
      <c r="AO279" s="78"/>
    </row>
    <row r="280" spans="1:41" x14ac:dyDescent="0.3">
      <c r="A280" t="s">
        <v>7</v>
      </c>
      <c r="B280" s="13">
        <v>4</v>
      </c>
      <c r="C280" s="7">
        <v>0</v>
      </c>
      <c r="D280" s="8">
        <v>1</v>
      </c>
      <c r="E280" s="8">
        <v>7</v>
      </c>
      <c r="F280" s="8">
        <v>208</v>
      </c>
      <c r="G280" s="28">
        <v>774</v>
      </c>
      <c r="H280" s="1">
        <f>SUM(C280:G280)</f>
        <v>990</v>
      </c>
      <c r="I280" s="10">
        <f>G280/H280</f>
        <v>0.78181818181818186</v>
      </c>
      <c r="J280" s="11">
        <f>1-I280</f>
        <v>0.21818181818181814</v>
      </c>
      <c r="K280">
        <f>H280-G281</f>
        <v>87</v>
      </c>
      <c r="N280" s="10">
        <f>2*(G282*I280)/(G282+I280)</f>
        <v>0.81774960380348649</v>
      </c>
      <c r="O280" s="1"/>
      <c r="P280" s="1"/>
      <c r="S280" s="66" t="s">
        <v>65</v>
      </c>
      <c r="T280" s="67">
        <f>1.96*T279</f>
        <v>0</v>
      </c>
      <c r="U280" s="67">
        <f>1.96*U279</f>
        <v>6.1386849369292653</v>
      </c>
      <c r="V280" s="67">
        <f>1.96*V279</f>
        <v>0.39310393492021573</v>
      </c>
      <c r="W280" s="67">
        <f>1.96*W279</f>
        <v>1.6528312514424952</v>
      </c>
      <c r="X280" s="67">
        <f>1.96*X279</f>
        <v>4.2363496347073326</v>
      </c>
    </row>
    <row r="281" spans="1:41" ht="15.6" x14ac:dyDescent="0.35">
      <c r="B281" s="1" t="s">
        <v>19</v>
      </c>
      <c r="C281" s="1">
        <f>SUM(C276:C280)</f>
        <v>259</v>
      </c>
      <c r="D281" s="1">
        <f>SUM(D276:D280)</f>
        <v>435</v>
      </c>
      <c r="E281" s="1">
        <f>SUM(E276:E280)</f>
        <v>7385</v>
      </c>
      <c r="F281" s="1">
        <f>SUM(F276:F280)</f>
        <v>2602</v>
      </c>
      <c r="G281" s="1">
        <f>SUM(G276:G280)</f>
        <v>903</v>
      </c>
      <c r="H281" s="1">
        <f>SUM(H275:H280)</f>
        <v>11584</v>
      </c>
      <c r="I281" s="13" t="s">
        <v>12</v>
      </c>
      <c r="N281" s="16"/>
      <c r="O281" s="1"/>
      <c r="P281" s="1"/>
      <c r="S281" t="s">
        <v>31</v>
      </c>
      <c r="T281" s="57">
        <f t="shared" ref="T281:X282" si="41">AVERAGE(T20,T30,T40,T50,T60)</f>
        <v>100</v>
      </c>
      <c r="U281" s="57">
        <f t="shared" si="41"/>
        <v>90.720461095100859</v>
      </c>
      <c r="V281" s="57">
        <f t="shared" si="41"/>
        <v>97.825850340136057</v>
      </c>
      <c r="W281" s="57">
        <f t="shared" si="41"/>
        <v>88.726307808946174</v>
      </c>
      <c r="X281" s="57">
        <f t="shared" si="41"/>
        <v>78.181818181818173</v>
      </c>
      <c r="AM281" s="78"/>
      <c r="AN281" s="78"/>
      <c r="AO281" s="78"/>
    </row>
    <row r="282" spans="1:41" x14ac:dyDescent="0.3">
      <c r="A282" s="1" t="s">
        <v>321</v>
      </c>
      <c r="B282" s="1" t="s">
        <v>2</v>
      </c>
      <c r="C282" s="10">
        <f>C276/C281</f>
        <v>1</v>
      </c>
      <c r="D282" s="10">
        <f>D277/D281</f>
        <v>0.72643678160919545</v>
      </c>
      <c r="E282" s="10">
        <f>E278/E281</f>
        <v>0.97291807718348</v>
      </c>
      <c r="F282" s="10">
        <f>F279/F281</f>
        <v>0.90122982321291312</v>
      </c>
      <c r="G282" s="10">
        <f>G280/G281</f>
        <v>0.8571428571428571</v>
      </c>
      <c r="H282" s="10"/>
      <c r="I282" s="14">
        <f>(C276+D277+E278+F279+G280)/H281</f>
        <v>0.93914019337016574</v>
      </c>
      <c r="S282" t="s">
        <v>39</v>
      </c>
      <c r="T282" s="57">
        <f t="shared" si="41"/>
        <v>0</v>
      </c>
      <c r="U282" s="57">
        <f t="shared" si="41"/>
        <v>1.5578883163865853</v>
      </c>
      <c r="V282" s="57">
        <f t="shared" si="41"/>
        <v>0.1700878005263492</v>
      </c>
      <c r="W282" s="57">
        <f t="shared" si="41"/>
        <v>0.61588239212968598</v>
      </c>
      <c r="X282" s="57">
        <f t="shared" si="41"/>
        <v>1.3127175394591479</v>
      </c>
    </row>
    <row r="283" spans="1:41" x14ac:dyDescent="0.3">
      <c r="B283" s="1" t="s">
        <v>14</v>
      </c>
      <c r="C283" s="11">
        <f>1-C282</f>
        <v>0</v>
      </c>
      <c r="D283" s="11">
        <f>1-D282</f>
        <v>0.27356321839080455</v>
      </c>
      <c r="E283" s="11">
        <f>1-E282</f>
        <v>2.7081922816519999E-2</v>
      </c>
      <c r="F283" s="11">
        <f>1-F282</f>
        <v>9.8770176787086883E-2</v>
      </c>
      <c r="G283" s="11">
        <f>1-G282</f>
        <v>0.1428571428571429</v>
      </c>
      <c r="S283" s="66" t="s">
        <v>65</v>
      </c>
      <c r="T283" s="67">
        <f>1.96*T282</f>
        <v>0</v>
      </c>
      <c r="U283" s="67">
        <f>1.96*U282</f>
        <v>3.053461100117707</v>
      </c>
      <c r="V283" s="67">
        <f>1.96*V282</f>
        <v>0.33337208903164445</v>
      </c>
      <c r="W283" s="67">
        <f>1.96*W282</f>
        <v>1.2071294885741846</v>
      </c>
      <c r="X283" s="67">
        <f>1.96*X282</f>
        <v>2.5729263773399298</v>
      </c>
      <c r="AM283" s="78"/>
      <c r="AN283" s="78"/>
      <c r="AO283" s="78"/>
    </row>
    <row r="284" spans="1:41" x14ac:dyDescent="0.3">
      <c r="C284" s="2"/>
      <c r="S284" t="s">
        <v>56</v>
      </c>
      <c r="T284" s="57">
        <f>AVERAGE(T22,T32,T42,T52,T62)</f>
        <v>100</v>
      </c>
      <c r="U284" s="57">
        <f>AVERAGE(U22,U32,U42,U52,U62)</f>
        <v>80.780149428036765</v>
      </c>
      <c r="V284" s="57">
        <f>AVERAGE(V22,V32,V42,V52,V62)</f>
        <v>97.482335210950851</v>
      </c>
      <c r="W284" s="57">
        <f>AVERAGE(W22,W32,W42,W52,W62)</f>
        <v>89.596142469339554</v>
      </c>
      <c r="X284" s="57">
        <f>AVERAGE(X22,X32,X42,X52,X62)</f>
        <v>81.728378146354089</v>
      </c>
    </row>
    <row r="285" spans="1:41" ht="15.6" x14ac:dyDescent="0.35">
      <c r="A285" t="s">
        <v>322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</v>
      </c>
      <c r="U285" s="57">
        <f>_xlfn.STDEV.S(U22,U32,U42,U52,U62)</f>
        <v>0.61742951320882933</v>
      </c>
      <c r="V285" s="57">
        <f>_xlfn.STDEV.S(V22,V32,V42,V52,V62)</f>
        <v>8.2217512628584635E-2</v>
      </c>
      <c r="W285" s="57">
        <f>_xlfn.STDEV.S(W22,W32,W42,W52,W62)</f>
        <v>0.16389514954816858</v>
      </c>
      <c r="X285" s="57">
        <f>_xlfn.STDEV.S(X22,X32,X42,X52,X62)</f>
        <v>0.62991521299854725</v>
      </c>
      <c r="AM285" s="78"/>
      <c r="AN285" s="78"/>
      <c r="AO285" s="78"/>
    </row>
    <row r="286" spans="1:41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65</v>
      </c>
      <c r="T286" s="67">
        <f>1.96*T285</f>
        <v>0</v>
      </c>
      <c r="U286" s="67">
        <f>1.96*U285</f>
        <v>1.2101618458893055</v>
      </c>
      <c r="V286" s="67">
        <f>1.96*V285</f>
        <v>0.16114632475202589</v>
      </c>
      <c r="W286" s="67">
        <f>1.96*W285</f>
        <v>0.32123449311441044</v>
      </c>
      <c r="X286" s="67">
        <f>1.96*X285</f>
        <v>1.2346338174771525</v>
      </c>
    </row>
    <row r="287" spans="1:41" x14ac:dyDescent="0.3">
      <c r="A287" t="s">
        <v>3</v>
      </c>
      <c r="B287" s="13">
        <v>0</v>
      </c>
      <c r="C287" s="29">
        <f>(C276/$L287)*$O287</f>
        <v>1.5169337160853367</v>
      </c>
      <c r="D287" s="31">
        <f>(D276/$L287)*$O287</f>
        <v>0</v>
      </c>
      <c r="E287" s="31">
        <f>(E276/$L287)*$O287</f>
        <v>0</v>
      </c>
      <c r="F287" s="31">
        <f>(F276/$L287)*$O287</f>
        <v>0</v>
      </c>
      <c r="G287" s="32">
        <f>(G276/$L287)*$O287</f>
        <v>0</v>
      </c>
      <c r="H287" s="17">
        <f>SUM(C287:G287)</f>
        <v>1.5169337160853367</v>
      </c>
      <c r="I287" s="17">
        <f>C287/H287*100</f>
        <v>100</v>
      </c>
      <c r="J287" s="17">
        <f>SQRT(I287*(100-I287)/(L287-1))</f>
        <v>0</v>
      </c>
      <c r="K287" s="18">
        <f>100-I287</f>
        <v>0</v>
      </c>
      <c r="L287" s="1">
        <f>H276</f>
        <v>259</v>
      </c>
      <c r="M287">
        <v>0</v>
      </c>
      <c r="N287" s="1">
        <v>2994.14</v>
      </c>
      <c r="O287" s="17">
        <f>N287/N292*100</f>
        <v>1.5169337160853367</v>
      </c>
      <c r="P287" s="52">
        <f>((O287*O287*(I287/100)*(K287/100))/(L287-1))</f>
        <v>0</v>
      </c>
      <c r="R287" s="16" t="s">
        <v>75</v>
      </c>
      <c r="S287" t="s">
        <v>9</v>
      </c>
      <c r="T287" s="57">
        <f>AVERAGE(T23,T33,T43,T53,T63)</f>
        <v>2995.4359999999997</v>
      </c>
      <c r="U287" s="57">
        <f>AVERAGE(U23,U33,U43,U53,U63)</f>
        <v>8689.5840000000007</v>
      </c>
      <c r="V287" s="57">
        <f>AVERAGE(V23,V33,V43,V53,V63)</f>
        <v>124626.96600000001</v>
      </c>
      <c r="W287" s="57">
        <f>AVERAGE(W23,W33,W43,W53,W63)</f>
        <v>43002.827999999994</v>
      </c>
      <c r="X287" s="57">
        <f>AVERAGE(X23,X33,X43,X53,X63)</f>
        <v>18066.248</v>
      </c>
      <c r="Z287" t="s">
        <v>36</v>
      </c>
      <c r="AA287" s="57">
        <f>AVERAGE(AA23,AA33,AA43,AA53,AA63)</f>
        <v>197381.06199999998</v>
      </c>
      <c r="AM287" s="78"/>
      <c r="AN287" s="78"/>
      <c r="AO287" s="78"/>
    </row>
    <row r="288" spans="1:41" x14ac:dyDescent="0.3">
      <c r="A288" t="s">
        <v>4</v>
      </c>
      <c r="B288" s="13">
        <v>1</v>
      </c>
      <c r="C288" s="33">
        <f t="shared" ref="C288:G291" si="42">(C277/$L288)*$O288</f>
        <v>0</v>
      </c>
      <c r="D288" s="34">
        <f t="shared" si="42"/>
        <v>4.0161821421388559</v>
      </c>
      <c r="E288" s="19">
        <f t="shared" si="42"/>
        <v>0.36857367760135062</v>
      </c>
      <c r="F288" s="18">
        <f t="shared" si="42"/>
        <v>0</v>
      </c>
      <c r="G288" s="20">
        <f t="shared" si="42"/>
        <v>2.5418874317334528E-2</v>
      </c>
      <c r="H288" s="17">
        <f>SUM(C288:G288)</f>
        <v>4.4101746940575408</v>
      </c>
      <c r="I288" s="17">
        <f>D288/H288*100</f>
        <v>91.066282420749289</v>
      </c>
      <c r="J288" s="17">
        <f>SQRT(I288*(100-I288)/(L288-1))</f>
        <v>1.53340496117919</v>
      </c>
      <c r="K288" s="18">
        <f>100-I288</f>
        <v>8.9337175792507111</v>
      </c>
      <c r="L288" s="1">
        <f>H277</f>
        <v>347</v>
      </c>
      <c r="M288">
        <v>1</v>
      </c>
      <c r="N288" s="1">
        <v>8704.85</v>
      </c>
      <c r="O288" s="17">
        <f>N288/N292*100</f>
        <v>4.4101746940575408</v>
      </c>
      <c r="P288" s="52">
        <f>((O288*O288*(I288/100)*(K288/100))/(L288-1))</f>
        <v>4.5732539050622476E-3</v>
      </c>
      <c r="S288" t="s">
        <v>29</v>
      </c>
      <c r="T288" s="57">
        <f>_xlfn.STDEV.S(T23,T33,T43,T53,T63)</f>
        <v>23.920128135108214</v>
      </c>
      <c r="U288" s="57">
        <f>_xlfn.STDEV.S(U23,U33,U43,U53,U63)</f>
        <v>75.932212729512585</v>
      </c>
      <c r="V288" s="57">
        <f>_xlfn.STDEV.S(V23,V33,V43,V53,V63)</f>
        <v>287.7216319291984</v>
      </c>
      <c r="W288" s="57">
        <f>_xlfn.STDEV.S(W23,W33,W43,W53,W63)</f>
        <v>353.83902126532121</v>
      </c>
      <c r="X288" s="57">
        <f>_xlfn.STDEV.S(X23,X33,X43,X53,X63)</f>
        <v>155.8758992596357</v>
      </c>
      <c r="Z288" t="s">
        <v>29</v>
      </c>
      <c r="AA288" s="57">
        <f>_xlfn.STDEV.S(AA23,AA33,AA43,AA53,AA63)</f>
        <v>8.3666002644363253E-3</v>
      </c>
    </row>
    <row r="289" spans="1:41" x14ac:dyDescent="0.3">
      <c r="A289" t="s">
        <v>5</v>
      </c>
      <c r="B289" s="13">
        <v>2</v>
      </c>
      <c r="C289" s="33">
        <f t="shared" si="42"/>
        <v>0</v>
      </c>
      <c r="D289" s="19">
        <f t="shared" si="42"/>
        <v>0.92857328502388059</v>
      </c>
      <c r="E289" s="34">
        <f t="shared" si="42"/>
        <v>61.775917156449836</v>
      </c>
      <c r="F289" s="19">
        <f t="shared" si="42"/>
        <v>0.4212971385756496</v>
      </c>
      <c r="G289" s="20">
        <f t="shared" si="42"/>
        <v>6.8783206298065239E-2</v>
      </c>
      <c r="H289" s="17">
        <f>SUM(C289:G289)</f>
        <v>63.194570786347427</v>
      </c>
      <c r="I289" s="17">
        <f>E289/H289*100</f>
        <v>97.75510204081634</v>
      </c>
      <c r="J289" s="17">
        <f>SQRT(I289*(100-I289)/(L289-1))</f>
        <v>0.17280404155168955</v>
      </c>
      <c r="K289" s="18">
        <f>100-I289</f>
        <v>2.2448979591836604</v>
      </c>
      <c r="L289" s="1">
        <f>H278</f>
        <v>7350</v>
      </c>
      <c r="M289">
        <v>2</v>
      </c>
      <c r="N289" s="1">
        <v>124734.12</v>
      </c>
      <c r="O289" s="17">
        <f>N289/N292*100</f>
        <v>63.194570786347434</v>
      </c>
      <c r="P289" s="52">
        <f>((O289*O289*(I289/100)*(K289/100))/(L289-1))</f>
        <v>1.1925245491121271E-2</v>
      </c>
      <c r="S289" t="s">
        <v>65</v>
      </c>
      <c r="T289" s="57">
        <f>1.96*T288</f>
        <v>46.883451144812099</v>
      </c>
      <c r="U289" s="57">
        <f>1.96*U288</f>
        <v>148.82713694984466</v>
      </c>
      <c r="V289" s="57">
        <f>1.96*V288</f>
        <v>563.93439858122883</v>
      </c>
      <c r="W289" s="57">
        <f>1.96*W288</f>
        <v>693.52448168002957</v>
      </c>
      <c r="X289" s="57">
        <f>1.96*X288</f>
        <v>305.51676254888599</v>
      </c>
      <c r="AM289" s="78"/>
      <c r="AN289" s="78"/>
      <c r="AO289" s="78"/>
    </row>
    <row r="290" spans="1:41" x14ac:dyDescent="0.3">
      <c r="A290" t="s">
        <v>6</v>
      </c>
      <c r="B290" s="13">
        <v>3</v>
      </c>
      <c r="C290" s="33">
        <f t="shared" si="42"/>
        <v>0</v>
      </c>
      <c r="D290" s="19">
        <f t="shared" si="42"/>
        <v>8.2315842560982969E-2</v>
      </c>
      <c r="E290" s="19">
        <f t="shared" si="42"/>
        <v>1.3499798180001208</v>
      </c>
      <c r="F290" s="34">
        <f t="shared" si="42"/>
        <v>19.303065080550507</v>
      </c>
      <c r="G290" s="20">
        <f t="shared" si="42"/>
        <v>0.97955852647569741</v>
      </c>
      <c r="H290" s="17">
        <f>SUM(C290:G290)</f>
        <v>21.714919267587305</v>
      </c>
      <c r="I290" s="17">
        <f>F290/H290*100</f>
        <v>88.893100833965136</v>
      </c>
      <c r="J290" s="17">
        <f>SQRT(I290*(100-I290)/(L290-1))</f>
        <v>0.61189284876437944</v>
      </c>
      <c r="K290" s="18">
        <f>100-I290</f>
        <v>11.106899166034864</v>
      </c>
      <c r="L290" s="1">
        <f>H279</f>
        <v>2638</v>
      </c>
      <c r="M290">
        <v>3</v>
      </c>
      <c r="N290" s="1">
        <v>42861.14</v>
      </c>
      <c r="O290" s="17">
        <f>N290/N292*100</f>
        <v>21.714919267587309</v>
      </c>
      <c r="P290" s="52">
        <f>((O290*O290*(I290/100)*(K290/100))/(L290-1))</f>
        <v>1.7654978512388914E-2</v>
      </c>
      <c r="R290" s="16" t="s">
        <v>74</v>
      </c>
      <c r="S290" t="s">
        <v>9</v>
      </c>
      <c r="T290" s="57">
        <f>AVERAGE(T24,T34,T44,T54,T64)</f>
        <v>2995.4359999999997</v>
      </c>
      <c r="U290" s="57">
        <f>AVERAGE(U24,U34,U44,U54,U64)</f>
        <v>9871.5955341370827</v>
      </c>
      <c r="V290" s="57">
        <f>AVERAGE(V24,V34,V44,V54,V64)</f>
        <v>125650.59064820975</v>
      </c>
      <c r="W290" s="57">
        <f>AVERAGE(W24,W34,W44,W54,W64)</f>
        <v>42593.104327566907</v>
      </c>
      <c r="X290" s="57">
        <f>AVERAGE(X24,X34,X44,X54,X64)</f>
        <v>16270.335490086272</v>
      </c>
      <c r="Z290" t="s">
        <v>36</v>
      </c>
      <c r="AA290" s="24">
        <f>SUM(T290:X290)</f>
        <v>197381.06200000001</v>
      </c>
    </row>
    <row r="291" spans="1:41" x14ac:dyDescent="0.3">
      <c r="A291" t="s">
        <v>7</v>
      </c>
      <c r="B291" s="13">
        <v>4</v>
      </c>
      <c r="C291" s="35">
        <f t="shared" si="42"/>
        <v>0</v>
      </c>
      <c r="D291" s="36">
        <f t="shared" si="42"/>
        <v>9.2559611473963278E-3</v>
      </c>
      <c r="E291" s="21">
        <f t="shared" si="42"/>
        <v>6.4791728031774298E-2</v>
      </c>
      <c r="F291" s="21">
        <f t="shared" si="42"/>
        <v>1.9252399186584361</v>
      </c>
      <c r="G291" s="37">
        <f t="shared" si="42"/>
        <v>7.1641139280847579</v>
      </c>
      <c r="H291" s="17">
        <f>SUM(C291:G291)</f>
        <v>9.1634015359223646</v>
      </c>
      <c r="I291" s="17">
        <f>G291/H291*100</f>
        <v>78.181818181818187</v>
      </c>
      <c r="J291" s="17">
        <f>SQRT(I291*(100-I291)/(L291-1))</f>
        <v>1.3133002154811184</v>
      </c>
      <c r="K291" s="18">
        <f>100-I291</f>
        <v>21.818181818181813</v>
      </c>
      <c r="L291" s="1">
        <f>H280</f>
        <v>990</v>
      </c>
      <c r="M291">
        <v>4</v>
      </c>
      <c r="N291" s="1">
        <v>18086.82</v>
      </c>
      <c r="O291" s="17">
        <f>N291/N292*100</f>
        <v>9.1634015359223646</v>
      </c>
      <c r="P291" s="52">
        <f>((O291*O291*(I291/100)*(K291/100))/(L291-1))</f>
        <v>1.4482430937873259E-2</v>
      </c>
      <c r="S291" t="s">
        <v>29</v>
      </c>
      <c r="T291" s="57">
        <f>_xlfn.STDEV.S(T24,T34,T44,T54,T64)</f>
        <v>23.920128135108193</v>
      </c>
      <c r="U291" s="57">
        <f>_xlfn.STDEV.S(U24,U34,U44,U54,U64)</f>
        <v>124.29860079481287</v>
      </c>
      <c r="V291" s="57">
        <f>_xlfn.STDEV.S(V24,V34,V44,V54,V64)</f>
        <v>247.38046331333382</v>
      </c>
      <c r="W291" s="57">
        <f>_xlfn.STDEV.S(W24,W34,W44,W54,W64)</f>
        <v>488.70007010323837</v>
      </c>
      <c r="X291" s="57">
        <f>_xlfn.STDEV.S(X24,X34,X44,X54,X64)</f>
        <v>309.10588823866198</v>
      </c>
      <c r="AM291" s="78"/>
      <c r="AN291" s="78"/>
      <c r="AO291" s="78"/>
    </row>
    <row r="292" spans="1:41" x14ac:dyDescent="0.3">
      <c r="B292" t="s">
        <v>28</v>
      </c>
      <c r="C292" s="17">
        <f>SUM(C287:C291)</f>
        <v>1.5169337160853367</v>
      </c>
      <c r="D292" s="17">
        <f>SUM(D287:D291)</f>
        <v>5.0363272308711151</v>
      </c>
      <c r="E292" s="17">
        <f>SUM(E287:E291)</f>
        <v>63.559262380083076</v>
      </c>
      <c r="F292" s="17">
        <f>SUM(F287:F291)</f>
        <v>21.649602137784594</v>
      </c>
      <c r="G292" s="17">
        <f>SUM(G287:G291)</f>
        <v>8.2378745351758553</v>
      </c>
      <c r="H292" s="1">
        <f>SUM(H286:H291)</f>
        <v>99.999999999999972</v>
      </c>
      <c r="I292" s="13" t="s">
        <v>24</v>
      </c>
      <c r="J292" s="12" t="s">
        <v>29</v>
      </c>
      <c r="N292" s="1">
        <f>SUM(N287:N291)</f>
        <v>197381.07</v>
      </c>
      <c r="O292" s="17">
        <f>SUM(O287:O291)</f>
        <v>99.999999999999972</v>
      </c>
      <c r="S292" s="66" t="s">
        <v>65</v>
      </c>
      <c r="T292" s="67">
        <f>1.96*T291</f>
        <v>46.883451144812057</v>
      </c>
      <c r="U292" s="67">
        <f>1.96*U291</f>
        <v>243.62525755783321</v>
      </c>
      <c r="V292" s="67">
        <f>1.96*V291</f>
        <v>484.86570809413428</v>
      </c>
      <c r="W292" s="67">
        <f>1.96*W291</f>
        <v>957.85213740234724</v>
      </c>
      <c r="X292" s="67">
        <f>1.96*X291</f>
        <v>605.84754094777747</v>
      </c>
    </row>
    <row r="293" spans="1:41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0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0.11483531806704737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0.16502604853661382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0.18794245324652198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0.15191882726719175</v>
      </c>
      <c r="H293" s="1"/>
      <c r="I293" s="56">
        <f>(C287+D288+E289+F290+G291)/H292</f>
        <v>0.93776212023309324</v>
      </c>
      <c r="J293" s="53">
        <f>SQRT(SUM(P287:P291))/100</f>
        <v>2.2053550472984091E-3</v>
      </c>
      <c r="M293" s="1"/>
      <c r="N293" s="9"/>
      <c r="AM293" s="78"/>
      <c r="AN293" s="78"/>
      <c r="AO293" s="78"/>
    </row>
    <row r="294" spans="1:41" x14ac:dyDescent="0.3">
      <c r="B294" s="1" t="s">
        <v>30</v>
      </c>
      <c r="C294" s="17">
        <f>C287/C292*100</f>
        <v>100</v>
      </c>
      <c r="D294" s="17">
        <f>D288/D292*100</f>
        <v>79.744265176434766</v>
      </c>
      <c r="E294" s="17">
        <f>E289/E292*100</f>
        <v>97.194200881424848</v>
      </c>
      <c r="F294" s="17">
        <f>F290/F292*100</f>
        <v>89.161292469487336</v>
      </c>
      <c r="G294" s="17">
        <f>G291/G292*100</f>
        <v>86.965562506370759</v>
      </c>
      <c r="H294" s="1"/>
    </row>
    <row r="295" spans="1:41" x14ac:dyDescent="0.3">
      <c r="B295" s="16" t="s">
        <v>39</v>
      </c>
      <c r="C295" s="18">
        <f>SQRT((C298+C299)/(C292*C292))</f>
        <v>0</v>
      </c>
      <c r="D295" s="18">
        <f>SQRT((D298+D299)/(D292*D292))</f>
        <v>3.092068810168294</v>
      </c>
      <c r="E295" s="18">
        <f>SQRT((E298+E299)/(E292*E292))</f>
        <v>0.19535808315875389</v>
      </c>
      <c r="F295" s="18">
        <f>SQRT((F298+F299)/(F292*F292))</f>
        <v>0.86170180105995964</v>
      </c>
      <c r="G295" s="18">
        <f>SQRT((G298+G299)/(G292*G292))</f>
        <v>2.1414690631990618</v>
      </c>
      <c r="H295" s="1"/>
      <c r="AM295" s="78"/>
      <c r="AN295" s="78"/>
      <c r="AO295" s="78"/>
    </row>
    <row r="296" spans="1:41" x14ac:dyDescent="0.3">
      <c r="B296" s="1" t="s">
        <v>37</v>
      </c>
      <c r="C296" s="18">
        <f>100-C294</f>
        <v>0</v>
      </c>
      <c r="D296" s="18">
        <f>100-D294</f>
        <v>20.255734823565234</v>
      </c>
      <c r="E296" s="18">
        <f>100-E294</f>
        <v>2.8057991185751519</v>
      </c>
      <c r="F296" s="18">
        <f>100-F294</f>
        <v>10.838707530512664</v>
      </c>
      <c r="G296" s="18">
        <f>100-G294</f>
        <v>13.034437493629241</v>
      </c>
    </row>
    <row r="297" spans="1:41" ht="15.6" x14ac:dyDescent="0.35">
      <c r="B297" s="1" t="s">
        <v>25</v>
      </c>
      <c r="C297" s="1">
        <f>C281</f>
        <v>259</v>
      </c>
      <c r="D297" s="1">
        <f>D281</f>
        <v>435</v>
      </c>
      <c r="E297" s="1">
        <f>E281</f>
        <v>7385</v>
      </c>
      <c r="F297" s="1">
        <f>F281</f>
        <v>2602</v>
      </c>
      <c r="G297" s="1">
        <f>G281</f>
        <v>903</v>
      </c>
      <c r="AM297" s="78"/>
      <c r="AN297" s="78"/>
      <c r="AO297" s="78"/>
    </row>
    <row r="298" spans="1:41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187.63822654233977</v>
      </c>
      <c r="E298" s="18">
        <f>(O289*O289*(100-E294)*(100-E294)*(I289)*(100-I289))/((L289-1)*100)</f>
        <v>9.3881598804516848</v>
      </c>
      <c r="F298" s="18">
        <f>(O290*O290*(100-F294)*(100-F294)*(I290)*(100-I290))/((L290-1)*100)</f>
        <v>207.40641670417475</v>
      </c>
      <c r="G298" s="18">
        <f>(O291*O291*(100-G294)*(100-G294)*(I291)*(100-I291))/((L291-1)*100)</f>
        <v>246.05152080108709</v>
      </c>
    </row>
    <row r="299" spans="1:41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54.869835236906276</v>
      </c>
      <c r="E299" s="18">
        <f>E294*E294*(SUM((H287*E287*(1-E276/H276))/(H276-1),(H288*E288*(1-E277/H277))/(H277-1), (H290*E290*(1-E279/H279))/(H279-1),(H291*E291*(1-E280/H280))/(H280-1)))</f>
        <v>144.78915139197815</v>
      </c>
      <c r="F299" s="18">
        <f>F294*F294*(SUM((H287*F287*(1-F276/H276))/(H276-1),(H288*F288*(1-F277/H277))/(H277-1), (H289*F289*(1-F278/H278))/(H278-1),(H291*F291*(1-F280/H280))/(H280-1)))</f>
        <v>140.6213066161726</v>
      </c>
      <c r="G299" s="18">
        <f>G294*G294*(SUM((H287*G287*(1-G276/H276))/(H276-1),(H288*G288*(1-G277/H277))/(H277-1), (H289*G289*(1-G278/H278))/(H278-1),(H290*G290*(1-G279/H279))/(H279-1)))</f>
        <v>65.158774725003227</v>
      </c>
      <c r="AM299" s="78"/>
      <c r="AN299" s="78"/>
      <c r="AO299" s="78"/>
    </row>
    <row r="301" spans="1:41" x14ac:dyDescent="0.3">
      <c r="AM301" s="78"/>
      <c r="AN301" s="78"/>
      <c r="AO301" s="78"/>
    </row>
    <row r="302" spans="1:41" x14ac:dyDescent="0.3">
      <c r="A302" s="361" t="s">
        <v>455</v>
      </c>
      <c r="B302" s="361"/>
      <c r="C302" s="361"/>
      <c r="D302" s="361"/>
      <c r="E302" s="361"/>
      <c r="F302" s="361"/>
      <c r="G302" s="361"/>
      <c r="H302" s="361"/>
      <c r="I302" s="361"/>
      <c r="J302" s="361"/>
      <c r="K302" s="361"/>
      <c r="L302" s="361" t="s">
        <v>88</v>
      </c>
      <c r="M302" s="361"/>
      <c r="N302" s="361"/>
      <c r="O302" s="361"/>
      <c r="P302" s="361"/>
    </row>
    <row r="303" spans="1:41" x14ac:dyDescent="0.3">
      <c r="A303" t="s">
        <v>320</v>
      </c>
      <c r="B303" t="s">
        <v>21</v>
      </c>
      <c r="I303" s="1" t="s">
        <v>58</v>
      </c>
      <c r="O303" s="143"/>
      <c r="P303" s="143"/>
      <c r="AM303" s="78"/>
      <c r="AN303" s="78"/>
      <c r="AO303" s="78"/>
    </row>
    <row r="304" spans="1:41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56</v>
      </c>
      <c r="O304" s="13"/>
      <c r="P304" s="13"/>
    </row>
    <row r="305" spans="1:41" x14ac:dyDescent="0.3">
      <c r="A305" t="s">
        <v>3</v>
      </c>
      <c r="B305" s="13">
        <v>0</v>
      </c>
      <c r="C305" s="26">
        <v>259</v>
      </c>
      <c r="D305" s="3">
        <v>0</v>
      </c>
      <c r="E305" s="3">
        <v>0</v>
      </c>
      <c r="F305" s="3">
        <v>0</v>
      </c>
      <c r="G305" s="4">
        <v>0</v>
      </c>
      <c r="H305" s="1">
        <f>SUM(C305:G305)</f>
        <v>259</v>
      </c>
      <c r="I305" s="10">
        <f>C305/H305</f>
        <v>1</v>
      </c>
      <c r="J305" s="11">
        <f>1-I305</f>
        <v>0</v>
      </c>
      <c r="K305">
        <f>H305-C310</f>
        <v>0</v>
      </c>
      <c r="N305" s="10">
        <f>2*(C311*I305)/(C311+I305)</f>
        <v>1</v>
      </c>
      <c r="O305" s="1"/>
      <c r="P305" s="1"/>
      <c r="AM305" s="78"/>
      <c r="AN305" s="78"/>
      <c r="AO305" s="78"/>
    </row>
    <row r="306" spans="1:41" x14ac:dyDescent="0.3">
      <c r="A306" t="s">
        <v>4</v>
      </c>
      <c r="B306" s="13">
        <v>1</v>
      </c>
      <c r="C306" s="5">
        <v>0</v>
      </c>
      <c r="D306" s="27">
        <v>315</v>
      </c>
      <c r="E306" s="1">
        <v>30</v>
      </c>
      <c r="F306" s="1">
        <v>0</v>
      </c>
      <c r="G306" s="6">
        <v>2</v>
      </c>
      <c r="H306" s="1">
        <f>SUM(C306:G306)</f>
        <v>347</v>
      </c>
      <c r="I306" s="10">
        <f>D306/H306</f>
        <v>0.90778097982708938</v>
      </c>
      <c r="J306" s="11">
        <f>1-I306</f>
        <v>9.2219020172910615E-2</v>
      </c>
      <c r="K306">
        <f>H306-D310</f>
        <v>-92</v>
      </c>
      <c r="N306" s="10">
        <f>2*(D311*I306)/(D311+I306)</f>
        <v>0.80152671755725191</v>
      </c>
      <c r="O306" s="1"/>
      <c r="P306" s="1"/>
    </row>
    <row r="307" spans="1:41" x14ac:dyDescent="0.3">
      <c r="A307" t="s">
        <v>5</v>
      </c>
      <c r="B307" s="13">
        <v>2</v>
      </c>
      <c r="C307" s="5">
        <v>0</v>
      </c>
      <c r="D307" s="1">
        <v>115</v>
      </c>
      <c r="E307" s="27">
        <v>7190</v>
      </c>
      <c r="F307" s="1">
        <v>37</v>
      </c>
      <c r="G307" s="6">
        <v>8</v>
      </c>
      <c r="H307" s="1">
        <f>SUM(C307:G307)</f>
        <v>7350</v>
      </c>
      <c r="I307" s="10">
        <f>E307/H307</f>
        <v>0.9782312925170068</v>
      </c>
      <c r="J307" s="11">
        <f>1-I307</f>
        <v>2.1768707482993199E-2</v>
      </c>
      <c r="K307">
        <f>H307-E310</f>
        <v>-58</v>
      </c>
      <c r="N307" s="10">
        <f>2*(E311*I307)/(E311+I307)</f>
        <v>0.9743867732755116</v>
      </c>
      <c r="O307" s="1"/>
      <c r="P307" s="1"/>
      <c r="AM307" s="78"/>
      <c r="AN307" s="78"/>
      <c r="AO307" s="78"/>
    </row>
    <row r="308" spans="1:41" x14ac:dyDescent="0.3">
      <c r="A308" t="s">
        <v>6</v>
      </c>
      <c r="B308" s="13">
        <v>3</v>
      </c>
      <c r="C308" s="5">
        <v>0</v>
      </c>
      <c r="D308" s="1">
        <v>9</v>
      </c>
      <c r="E308" s="1">
        <v>178</v>
      </c>
      <c r="F308" s="27">
        <v>2330</v>
      </c>
      <c r="G308" s="6">
        <v>121</v>
      </c>
      <c r="H308" s="1">
        <f>SUM(C308:G308)</f>
        <v>2638</v>
      </c>
      <c r="I308" s="10">
        <f>F308/H308</f>
        <v>0.88324488248673239</v>
      </c>
      <c r="J308" s="11">
        <f>1-I308</f>
        <v>0.11675511751326761</v>
      </c>
      <c r="K308">
        <f>H308-F310</f>
        <v>62</v>
      </c>
      <c r="N308" s="10">
        <f>2*(F311*I308)/(F311+I308)</f>
        <v>0.89374760260836206</v>
      </c>
      <c r="O308" s="1"/>
      <c r="P308" s="1"/>
    </row>
    <row r="309" spans="1:41" x14ac:dyDescent="0.3">
      <c r="A309" t="s">
        <v>7</v>
      </c>
      <c r="B309" s="13">
        <v>4</v>
      </c>
      <c r="C309" s="7">
        <v>0</v>
      </c>
      <c r="D309" s="8">
        <v>0</v>
      </c>
      <c r="E309" s="8">
        <v>10</v>
      </c>
      <c r="F309" s="8">
        <v>209</v>
      </c>
      <c r="G309" s="28">
        <v>771</v>
      </c>
      <c r="H309" s="1">
        <f>SUM(C309:G309)</f>
        <v>990</v>
      </c>
      <c r="I309" s="10">
        <f>G309/H309</f>
        <v>0.77878787878787881</v>
      </c>
      <c r="J309" s="11">
        <f>1-I309</f>
        <v>0.22121212121212119</v>
      </c>
      <c r="K309">
        <f>H309-G310</f>
        <v>88</v>
      </c>
      <c r="N309" s="10">
        <f>2*(G311*I309)/(G311+I309)</f>
        <v>0.81501057082452433</v>
      </c>
      <c r="O309" s="1"/>
      <c r="P309" s="1"/>
      <c r="AM309" s="78"/>
      <c r="AN309" s="78"/>
      <c r="AO309" s="78"/>
    </row>
    <row r="310" spans="1:41" ht="15.6" x14ac:dyDescent="0.35">
      <c r="B310" s="1" t="s">
        <v>19</v>
      </c>
      <c r="C310" s="1">
        <f>SUM(C305:C309)</f>
        <v>259</v>
      </c>
      <c r="D310" s="1">
        <f>SUM(D305:D309)</f>
        <v>439</v>
      </c>
      <c r="E310" s="1">
        <f>SUM(E305:E309)</f>
        <v>7408</v>
      </c>
      <c r="F310" s="1">
        <f>SUM(F305:F309)</f>
        <v>2576</v>
      </c>
      <c r="G310" s="1">
        <f>SUM(G305:G309)</f>
        <v>902</v>
      </c>
      <c r="H310" s="1">
        <f>SUM(H304:H309)</f>
        <v>11584</v>
      </c>
      <c r="I310" s="13" t="s">
        <v>12</v>
      </c>
      <c r="N310" s="16" t="s">
        <v>36</v>
      </c>
      <c r="O310" s="1"/>
      <c r="P310" s="1"/>
    </row>
    <row r="311" spans="1:41" x14ac:dyDescent="0.3">
      <c r="A311" s="1" t="s">
        <v>321</v>
      </c>
      <c r="B311" s="1" t="s">
        <v>2</v>
      </c>
      <c r="C311" s="10">
        <f>C305/C310</f>
        <v>1</v>
      </c>
      <c r="D311" s="10">
        <f>D306/D310</f>
        <v>0.71753986332574027</v>
      </c>
      <c r="E311" s="10">
        <f>E307/E310</f>
        <v>0.9705723542116631</v>
      </c>
      <c r="F311" s="10">
        <f>F308/F310</f>
        <v>0.90450310559006208</v>
      </c>
      <c r="G311" s="10">
        <f>G309/G310</f>
        <v>0.85476718403547669</v>
      </c>
      <c r="H311" s="10"/>
      <c r="I311" s="14">
        <f>(C305+D306+E307+F308+G309)/H310</f>
        <v>0.93793162983425415</v>
      </c>
      <c r="AM311" s="78"/>
      <c r="AN311" s="78"/>
      <c r="AO311" s="78"/>
    </row>
    <row r="312" spans="1:41" x14ac:dyDescent="0.3">
      <c r="B312" s="1" t="s">
        <v>14</v>
      </c>
      <c r="C312" s="11">
        <f>1-C311</f>
        <v>0</v>
      </c>
      <c r="D312" s="11">
        <f>1-D311</f>
        <v>0.28246013667425973</v>
      </c>
      <c r="E312" s="11">
        <f>1-E311</f>
        <v>2.9427645788336898E-2</v>
      </c>
      <c r="F312" s="11">
        <f>1-F311</f>
        <v>9.5496894409937916E-2</v>
      </c>
      <c r="G312" s="11">
        <f>1-G311</f>
        <v>0.14523281596452331</v>
      </c>
      <c r="Q312" s="25"/>
    </row>
    <row r="313" spans="1:41" x14ac:dyDescent="0.3">
      <c r="C313" s="2"/>
      <c r="Q313" s="25"/>
      <c r="AM313" s="78"/>
      <c r="AN313" s="78"/>
      <c r="AO313" s="78"/>
    </row>
    <row r="314" spans="1:41" ht="15.6" x14ac:dyDescent="0.35">
      <c r="A314" t="s">
        <v>322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1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  <c r="AO315" s="78"/>
    </row>
    <row r="316" spans="1:41" x14ac:dyDescent="0.3">
      <c r="A316" t="s">
        <v>3</v>
      </c>
      <c r="B316" s="13">
        <v>0</v>
      </c>
      <c r="C316" s="29">
        <f>(C305/$L316)*$O316</f>
        <v>1.4877010736339684</v>
      </c>
      <c r="D316" s="31">
        <f>(D305/$L316)*$O316</f>
        <v>0</v>
      </c>
      <c r="E316" s="31">
        <f>(E305/$L316)*$O316</f>
        <v>0</v>
      </c>
      <c r="F316" s="31">
        <f>(F305/$L316)*$O316</f>
        <v>0</v>
      </c>
      <c r="G316" s="32">
        <f>(G305/$L316)*$O316</f>
        <v>0</v>
      </c>
      <c r="H316" s="17">
        <f>SUM(C316:G316)</f>
        <v>1.4877010736339684</v>
      </c>
      <c r="I316" s="17">
        <f>C316/H316*100</f>
        <v>100</v>
      </c>
      <c r="J316" s="17">
        <f>SQRT(I316*(100-I316)/(L316-1))</f>
        <v>0</v>
      </c>
      <c r="K316" s="18">
        <f>100-I316</f>
        <v>0</v>
      </c>
      <c r="L316" s="1">
        <f>H305</f>
        <v>259</v>
      </c>
      <c r="M316">
        <v>0</v>
      </c>
      <c r="N316" s="1">
        <v>2936.44</v>
      </c>
      <c r="O316" s="17">
        <f>N316/N321*100</f>
        <v>1.4877010736339684</v>
      </c>
      <c r="P316" s="52">
        <f>((O316*O316*(I316/100)*(K316/100))/(L316-1))</f>
        <v>0</v>
      </c>
    </row>
    <row r="317" spans="1:41" x14ac:dyDescent="0.3">
      <c r="A317" t="s">
        <v>4</v>
      </c>
      <c r="B317" s="13">
        <v>1</v>
      </c>
      <c r="C317" s="33">
        <f t="shared" ref="C317:G320" si="43">(C306/$L317)*$O317</f>
        <v>0</v>
      </c>
      <c r="D317" s="34">
        <f t="shared" si="43"/>
        <v>3.976802759549444</v>
      </c>
      <c r="E317" s="19">
        <f t="shared" si="43"/>
        <v>0.37874311995708987</v>
      </c>
      <c r="F317" s="18">
        <f t="shared" si="43"/>
        <v>0</v>
      </c>
      <c r="G317" s="20">
        <f t="shared" si="43"/>
        <v>2.5249541330472657E-2</v>
      </c>
      <c r="H317" s="17">
        <f>SUM(C317:G317)</f>
        <v>4.3807954208370061</v>
      </c>
      <c r="I317" s="17">
        <f>D317/H317*100</f>
        <v>90.778097982708942</v>
      </c>
      <c r="J317" s="17">
        <f>SQRT(I317*(100-I317)/(L317-1))</f>
        <v>1.555473948656704</v>
      </c>
      <c r="K317" s="18">
        <f>100-I317</f>
        <v>9.2219020172910575</v>
      </c>
      <c r="L317" s="1">
        <f>H306</f>
        <v>347</v>
      </c>
      <c r="M317">
        <v>1</v>
      </c>
      <c r="N317" s="1">
        <v>8646.86</v>
      </c>
      <c r="O317" s="17">
        <f>N317/N321*100</f>
        <v>4.3807954208370061</v>
      </c>
      <c r="P317" s="52">
        <f>((O317*O317*(I317/100)*(K317/100))/(L317-1))</f>
        <v>4.6433500874164769E-3</v>
      </c>
      <c r="AM317" s="78"/>
      <c r="AN317" s="78"/>
      <c r="AO317" s="78"/>
    </row>
    <row r="318" spans="1:41" x14ac:dyDescent="0.3">
      <c r="A318" t="s">
        <v>5</v>
      </c>
      <c r="B318" s="13">
        <v>2</v>
      </c>
      <c r="C318" s="33">
        <f t="shared" si="43"/>
        <v>0</v>
      </c>
      <c r="D318" s="19">
        <f t="shared" si="43"/>
        <v>0.98820840321245618</v>
      </c>
      <c r="E318" s="34">
        <f t="shared" si="43"/>
        <v>61.78450799215269</v>
      </c>
      <c r="F318" s="19">
        <f t="shared" si="43"/>
        <v>0.31794531233792067</v>
      </c>
      <c r="G318" s="20">
        <f t="shared" si="43"/>
        <v>6.8744932397388256E-2</v>
      </c>
      <c r="H318" s="17">
        <f>SUM(C318:G318)</f>
        <v>63.15940664010045</v>
      </c>
      <c r="I318" s="17">
        <f>E318/H318*100</f>
        <v>97.823129251700692</v>
      </c>
      <c r="J318" s="17">
        <f>SQRT(I318*(100-I318)/(L318-1))</f>
        <v>0.17022485532657228</v>
      </c>
      <c r="K318" s="18">
        <f>100-I318</f>
        <v>2.1768707482993079</v>
      </c>
      <c r="L318" s="1">
        <f>H307</f>
        <v>7350</v>
      </c>
      <c r="M318">
        <v>2</v>
      </c>
      <c r="N318" s="1">
        <v>124664.7</v>
      </c>
      <c r="O318" s="17">
        <f>N318/N321*100</f>
        <v>63.159406640100457</v>
      </c>
      <c r="P318" s="52">
        <f>((O318*O318*(I318/100)*(K318/100))/(L318-1))</f>
        <v>1.155904701354309E-2</v>
      </c>
    </row>
    <row r="319" spans="1:41" x14ac:dyDescent="0.3">
      <c r="A319" t="s">
        <v>6</v>
      </c>
      <c r="B319" s="13">
        <v>3</v>
      </c>
      <c r="C319" s="33">
        <f t="shared" si="43"/>
        <v>0</v>
      </c>
      <c r="D319" s="19">
        <f t="shared" si="43"/>
        <v>7.5124390917819486E-2</v>
      </c>
      <c r="E319" s="19">
        <f t="shared" si="43"/>
        <v>1.485793509263541</v>
      </c>
      <c r="F319" s="34">
        <f t="shared" si="43"/>
        <v>19.448870093168821</v>
      </c>
      <c r="G319" s="20">
        <f t="shared" si="43"/>
        <v>1.0100057001173508</v>
      </c>
      <c r="H319" s="17">
        <f>SUM(C319:G319)</f>
        <v>22.01979369346753</v>
      </c>
      <c r="I319" s="17">
        <f>F319/H319*100</f>
        <v>88.324488248673248</v>
      </c>
      <c r="J319" s="17">
        <f>SQRT(I319*(100-I319)/(L319-1))</f>
        <v>0.62535044417880203</v>
      </c>
      <c r="K319" s="18">
        <f>100-I319</f>
        <v>11.675511751326752</v>
      </c>
      <c r="L319" s="1">
        <f>H308</f>
        <v>2638</v>
      </c>
      <c r="M319">
        <v>3</v>
      </c>
      <c r="N319" s="1">
        <v>43462.9</v>
      </c>
      <c r="O319" s="17">
        <f>N319/N321*100</f>
        <v>22.019793693467534</v>
      </c>
      <c r="P319" s="52">
        <f>((O319*O319*(I319/100)*(K319/100))/(L319-1))</f>
        <v>1.8961531710910688E-2</v>
      </c>
      <c r="AM319" s="78"/>
      <c r="AN319" s="78"/>
      <c r="AO319" s="78"/>
    </row>
    <row r="320" spans="1:41" x14ac:dyDescent="0.3">
      <c r="A320" t="s">
        <v>7</v>
      </c>
      <c r="B320" s="13">
        <v>4</v>
      </c>
      <c r="C320" s="35">
        <f t="shared" si="43"/>
        <v>0</v>
      </c>
      <c r="D320" s="36">
        <f t="shared" si="43"/>
        <v>0</v>
      </c>
      <c r="E320" s="21">
        <f t="shared" si="43"/>
        <v>9.0427304767283223E-2</v>
      </c>
      <c r="F320" s="21">
        <f t="shared" si="43"/>
        <v>1.889930669636219</v>
      </c>
      <c r="G320" s="37">
        <f t="shared" si="43"/>
        <v>6.9719451975575355</v>
      </c>
      <c r="H320" s="17">
        <f>SUM(C320:G320)</f>
        <v>8.952303171961038</v>
      </c>
      <c r="I320" s="17">
        <f>G320/H320*100</f>
        <v>77.878787878787875</v>
      </c>
      <c r="J320" s="17">
        <f>SQRT(I320*(100-I320)/(L320-1))</f>
        <v>1.3198236494056259</v>
      </c>
      <c r="K320" s="18">
        <f>100-I320</f>
        <v>22.121212121212125</v>
      </c>
      <c r="L320" s="1">
        <f>H309</f>
        <v>990</v>
      </c>
      <c r="M320">
        <v>4</v>
      </c>
      <c r="N320" s="1">
        <v>17670.150000000001</v>
      </c>
      <c r="O320" s="17">
        <f>N320/N321*100</f>
        <v>8.952303171961038</v>
      </c>
      <c r="P320" s="52">
        <f>((O320*O320*(I320/100)*(K320/100))/(L320-1))</f>
        <v>1.3960512911109476E-2</v>
      </c>
    </row>
    <row r="321" spans="1:41" x14ac:dyDescent="0.3">
      <c r="B321" t="s">
        <v>28</v>
      </c>
      <c r="C321" s="17">
        <f t="shared" ref="C321:H321" si="44">SUM(C316:C320)</f>
        <v>1.4877010736339684</v>
      </c>
      <c r="D321" s="17">
        <f t="shared" si="44"/>
        <v>5.0401355536797201</v>
      </c>
      <c r="E321" s="17">
        <f t="shared" si="44"/>
        <v>63.73947192614061</v>
      </c>
      <c r="F321" s="17">
        <f t="shared" si="44"/>
        <v>21.656746075142959</v>
      </c>
      <c r="G321" s="17">
        <f t="shared" si="44"/>
        <v>8.0759453714027476</v>
      </c>
      <c r="H321" s="18">
        <f t="shared" si="44"/>
        <v>100</v>
      </c>
      <c r="I321" s="13" t="s">
        <v>24</v>
      </c>
      <c r="J321" s="12" t="s">
        <v>29</v>
      </c>
      <c r="N321" s="1">
        <f>SUM(N316:N320)</f>
        <v>197381.05</v>
      </c>
      <c r="O321" s="17">
        <f>SUM(O316:O320)</f>
        <v>100</v>
      </c>
      <c r="AM321" s="78"/>
      <c r="AN321" s="78"/>
      <c r="AO321" s="78"/>
    </row>
    <row r="322" spans="1:41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0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0.11667831607927787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0.16822719166319425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0.18749652774135511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0.15131889784555239</v>
      </c>
      <c r="H322" s="1"/>
      <c r="I322" s="14">
        <f>(C316+D317+E318+F319+G320)/H321</f>
        <v>0.93669827116062454</v>
      </c>
      <c r="J322" s="53">
        <f>SQRT(SUM(P316:P320))/100</f>
        <v>2.2164034317555936E-3</v>
      </c>
      <c r="M322" s="1"/>
      <c r="N322" s="9"/>
    </row>
    <row r="323" spans="1:41" x14ac:dyDescent="0.3">
      <c r="B323" s="1" t="s">
        <v>30</v>
      </c>
      <c r="C323" s="17">
        <f>C316/C321*100</f>
        <v>100</v>
      </c>
      <c r="D323" s="17">
        <f>D317/D321*100</f>
        <v>78.902694524674956</v>
      </c>
      <c r="E323" s="17">
        <f>E318/E321*100</f>
        <v>96.932883384642295</v>
      </c>
      <c r="F323" s="17">
        <f>F319/F321*100</f>
        <v>89.805135202151732</v>
      </c>
      <c r="G323" s="17">
        <f>G320/G321*100</f>
        <v>86.329771648102991</v>
      </c>
      <c r="H323" s="1"/>
      <c r="AM323" s="78"/>
      <c r="AN323" s="78"/>
      <c r="AO323" s="78"/>
    </row>
    <row r="324" spans="1:41" x14ac:dyDescent="0.3">
      <c r="B324" s="16" t="s">
        <v>39</v>
      </c>
      <c r="C324" s="18">
        <f>SQRT((C327+C328)/(C321*C321))</f>
        <v>0</v>
      </c>
      <c r="D324" s="18">
        <f>SQRT((D327+D328)/(D321*D321))</f>
        <v>3.2152559795395783</v>
      </c>
      <c r="E324" s="18">
        <f>SQRT((E327+E328)/(E321*E321))</f>
        <v>0.20356718541804722</v>
      </c>
      <c r="F324" s="18">
        <f>SQRT((F327+F328)/(F321*F321))</f>
        <v>0.8360700212512695</v>
      </c>
      <c r="G324" s="18">
        <f>SQRT((G327+G328)/(G321*G321))</f>
        <v>2.2412842297323734</v>
      </c>
      <c r="H324" s="1"/>
    </row>
    <row r="325" spans="1:41" x14ac:dyDescent="0.3">
      <c r="B325" s="1" t="s">
        <v>37</v>
      </c>
      <c r="C325" s="18">
        <f>100-C323</f>
        <v>0</v>
      </c>
      <c r="D325" s="18">
        <f>100-D323</f>
        <v>21.097305475325044</v>
      </c>
      <c r="E325" s="18">
        <f>100-E323</f>
        <v>3.0671166153577047</v>
      </c>
      <c r="F325" s="18">
        <f>100-F323</f>
        <v>10.194864797848268</v>
      </c>
      <c r="G325" s="18">
        <f>100-G323</f>
        <v>13.670228351897009</v>
      </c>
      <c r="AM325" s="78"/>
      <c r="AN325" s="78"/>
      <c r="AO325" s="78"/>
    </row>
    <row r="326" spans="1:41" ht="15.6" x14ac:dyDescent="0.35">
      <c r="B326" s="1" t="s">
        <v>25</v>
      </c>
      <c r="C326" s="1">
        <f>C310</f>
        <v>259</v>
      </c>
      <c r="D326" s="1">
        <f>D310</f>
        <v>439</v>
      </c>
      <c r="E326" s="1">
        <f>E310</f>
        <v>7408</v>
      </c>
      <c r="F326" s="1">
        <f>F310</f>
        <v>2576</v>
      </c>
      <c r="G326" s="1">
        <f>G310</f>
        <v>902</v>
      </c>
    </row>
    <row r="327" spans="1:41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206.6737935709115</v>
      </c>
      <c r="E327" s="18">
        <f>(O318*O318*(100-E323)*(100-E323)*(I318)*(100-I318))/((L318-1)*100)</f>
        <v>10.87383171419442</v>
      </c>
      <c r="F327" s="18">
        <f>(O319*O319*(100-F323)*(100-F323)*(I319)*(100-I319))/((L319-1)*100)</f>
        <v>197.07718847362324</v>
      </c>
      <c r="G327" s="18">
        <f>(O320*O320*(100-G323)*(100-G323)*(I320)*(100-I320))/((L320-1)*100)</f>
        <v>260.88728493114309</v>
      </c>
      <c r="AM327" s="78"/>
    </row>
    <row r="328" spans="1:41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55.938796438859178</v>
      </c>
      <c r="E328" s="18">
        <f>E323*E323*(SUM((H316*E316*(1-E305/H305))/(H305-1),(H317*E317*(1-E306/H306))/(H306-1), (H319*E319*(1-E308/H308))/(H308-1),(H320*E320*(1-E309/H309))/(H309-1)))</f>
        <v>157.48366751193984</v>
      </c>
      <c r="F328" s="18">
        <f>F323*F323*(SUM((H316*F316*(1-F305/H305))/(H305-1),(H317*F317*(1-F306/H306))/(H306-1), (H318*F318*(1-F307/H307))/(H307-1),(H320*F320*(1-F309/H309))/(H309-1)))</f>
        <v>130.77018718576434</v>
      </c>
      <c r="G328" s="18">
        <f>G323*G323*(SUM((H316*G316*(1-G305/H305))/(H305-1),(H317*G317*(1-G306/H306))/(H306-1), (H318*G318*(1-G307/H307))/(H307-1),(H319*G319*(1-G308/H308))/(H308-1)))</f>
        <v>66.740417147984743</v>
      </c>
    </row>
    <row r="329" spans="1:41" x14ac:dyDescent="0.3">
      <c r="AM329" s="78"/>
    </row>
    <row r="331" spans="1:41" x14ac:dyDescent="0.3">
      <c r="A331" s="361" t="s">
        <v>455</v>
      </c>
      <c r="B331" s="361"/>
      <c r="C331" s="361"/>
      <c r="D331" s="361"/>
      <c r="E331" s="361"/>
      <c r="F331" s="361"/>
      <c r="G331" s="361"/>
      <c r="H331" s="361"/>
      <c r="I331" s="361"/>
      <c r="J331" s="361"/>
      <c r="K331" s="361"/>
      <c r="L331" s="361" t="s">
        <v>89</v>
      </c>
      <c r="M331" s="361"/>
      <c r="N331" s="361"/>
      <c r="O331" s="361"/>
      <c r="P331" s="361"/>
      <c r="AM331" s="78"/>
    </row>
    <row r="332" spans="1:41" x14ac:dyDescent="0.3">
      <c r="A332" t="s">
        <v>320</v>
      </c>
      <c r="B332" t="s">
        <v>21</v>
      </c>
      <c r="I332" s="1" t="s">
        <v>58</v>
      </c>
      <c r="O332" s="143"/>
      <c r="P332" s="143"/>
    </row>
    <row r="333" spans="1:41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56</v>
      </c>
      <c r="O333" s="13"/>
      <c r="P333" s="13"/>
      <c r="AM333" s="78"/>
    </row>
    <row r="334" spans="1:41" x14ac:dyDescent="0.3">
      <c r="A334" t="s">
        <v>3</v>
      </c>
      <c r="B334" s="13">
        <v>0</v>
      </c>
      <c r="C334" s="26">
        <v>259</v>
      </c>
      <c r="D334" s="3">
        <v>0</v>
      </c>
      <c r="E334" s="3">
        <v>0</v>
      </c>
      <c r="F334" s="3">
        <v>0</v>
      </c>
      <c r="G334" s="4">
        <v>0</v>
      </c>
      <c r="H334" s="1">
        <f>SUM(C334:G334)</f>
        <v>259</v>
      </c>
      <c r="I334" s="10">
        <f>C334/H334</f>
        <v>1</v>
      </c>
      <c r="J334" s="11">
        <f>1-I334</f>
        <v>0</v>
      </c>
      <c r="K334">
        <f>H334-C339</f>
        <v>0</v>
      </c>
      <c r="N334" s="10">
        <f>2*(C340*I334)/(C340+I334)</f>
        <v>1</v>
      </c>
      <c r="O334" s="1"/>
      <c r="P334" s="1"/>
    </row>
    <row r="335" spans="1:41" x14ac:dyDescent="0.3">
      <c r="A335" t="s">
        <v>4</v>
      </c>
      <c r="B335" s="13">
        <v>1</v>
      </c>
      <c r="C335" s="5">
        <v>0</v>
      </c>
      <c r="D335" s="27">
        <v>311</v>
      </c>
      <c r="E335" s="1">
        <v>33</v>
      </c>
      <c r="F335" s="1">
        <v>0</v>
      </c>
      <c r="G335" s="6">
        <v>3</v>
      </c>
      <c r="H335" s="1">
        <f>SUM(C335:G335)</f>
        <v>347</v>
      </c>
      <c r="I335" s="10">
        <f>D335/H335</f>
        <v>0.89625360230547546</v>
      </c>
      <c r="J335" s="11">
        <f>1-I335</f>
        <v>0.10374639769452454</v>
      </c>
      <c r="K335">
        <f>H335-D339</f>
        <v>-81</v>
      </c>
      <c r="N335" s="10">
        <f>2*(D340*I335)/(D340+I335)</f>
        <v>0.80258064516129046</v>
      </c>
      <c r="O335" s="1"/>
      <c r="P335" s="1"/>
      <c r="AM335" s="78"/>
    </row>
    <row r="336" spans="1:41" x14ac:dyDescent="0.3">
      <c r="A336" t="s">
        <v>5</v>
      </c>
      <c r="B336" s="13">
        <v>2</v>
      </c>
      <c r="C336" s="5">
        <v>0</v>
      </c>
      <c r="D336" s="1">
        <v>110</v>
      </c>
      <c r="E336" s="27">
        <v>7189</v>
      </c>
      <c r="F336" s="1">
        <v>39</v>
      </c>
      <c r="G336" s="6">
        <v>12</v>
      </c>
      <c r="H336" s="1">
        <f>SUM(C336:G336)</f>
        <v>7350</v>
      </c>
      <c r="I336" s="10">
        <f>E336/H336</f>
        <v>0.97809523809523813</v>
      </c>
      <c r="J336" s="11">
        <f>1-I336</f>
        <v>2.1904761904761871E-2</v>
      </c>
      <c r="K336">
        <f>H336-E339</f>
        <v>-57</v>
      </c>
      <c r="N336" s="10">
        <f>2*(E340*I336)/(E340+I336)</f>
        <v>0.97431727315850114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7</v>
      </c>
      <c r="E337" s="1">
        <v>176</v>
      </c>
      <c r="F337" s="27">
        <v>2341</v>
      </c>
      <c r="G337" s="6">
        <v>114</v>
      </c>
      <c r="H337" s="1">
        <f>SUM(C337:G337)</f>
        <v>2638</v>
      </c>
      <c r="I337" s="10">
        <f>F337/H337</f>
        <v>0.88741470811220624</v>
      </c>
      <c r="J337" s="11">
        <f>1-I337</f>
        <v>0.11258529188779376</v>
      </c>
      <c r="K337">
        <f>H337-F339</f>
        <v>39</v>
      </c>
      <c r="N337" s="10">
        <f>2*(F340*I337)/(F340+I337)</f>
        <v>0.89402329578002682</v>
      </c>
      <c r="O337" s="1"/>
      <c r="P337" s="1"/>
      <c r="AM337" s="78"/>
    </row>
    <row r="338" spans="1:40" x14ac:dyDescent="0.3">
      <c r="A338" t="s">
        <v>7</v>
      </c>
      <c r="B338" s="13">
        <v>4</v>
      </c>
      <c r="C338" s="7">
        <v>0</v>
      </c>
      <c r="D338" s="8">
        <v>0</v>
      </c>
      <c r="E338" s="8">
        <v>9</v>
      </c>
      <c r="F338" s="8">
        <v>219</v>
      </c>
      <c r="G338" s="28">
        <v>762</v>
      </c>
      <c r="H338" s="1">
        <f>SUM(C338:G338)</f>
        <v>990</v>
      </c>
      <c r="I338" s="10">
        <f>G338/H338</f>
        <v>0.76969696969696966</v>
      </c>
      <c r="J338" s="11">
        <f>1-I338</f>
        <v>0.23030303030303034</v>
      </c>
      <c r="K338">
        <f>H338-G339</f>
        <v>99</v>
      </c>
      <c r="N338" s="10">
        <f>2*(G340*I338)/(G340+I338)</f>
        <v>0.81020733652312604</v>
      </c>
      <c r="O338" s="1"/>
      <c r="P338" s="1"/>
    </row>
    <row r="339" spans="1:40" ht="15.6" x14ac:dyDescent="0.35">
      <c r="B339" s="1" t="s">
        <v>19</v>
      </c>
      <c r="C339" s="1">
        <f>SUM(C334:C338)</f>
        <v>259</v>
      </c>
      <c r="D339" s="1">
        <f>SUM(D334:D338)</f>
        <v>428</v>
      </c>
      <c r="E339" s="1">
        <f>SUM(E334:E338)</f>
        <v>7407</v>
      </c>
      <c r="F339" s="1">
        <f>SUM(F334:F338)</f>
        <v>2599</v>
      </c>
      <c r="G339" s="1">
        <f>SUM(G334:G338)</f>
        <v>891</v>
      </c>
      <c r="H339" s="1">
        <f>SUM(H333:H338)</f>
        <v>11584</v>
      </c>
      <c r="I339" s="13" t="s">
        <v>12</v>
      </c>
      <c r="N339" s="16"/>
      <c r="O339" s="1"/>
      <c r="P339" s="1"/>
      <c r="AM339" s="78"/>
    </row>
    <row r="340" spans="1:40" x14ac:dyDescent="0.3">
      <c r="A340" s="1" t="s">
        <v>321</v>
      </c>
      <c r="B340" s="1" t="s">
        <v>2</v>
      </c>
      <c r="C340" s="10">
        <f>C334/C339</f>
        <v>1</v>
      </c>
      <c r="D340" s="10">
        <f>D335/D339</f>
        <v>0.72663551401869164</v>
      </c>
      <c r="E340" s="10">
        <f>E336/E339</f>
        <v>0.97056838126096934</v>
      </c>
      <c r="F340" s="10">
        <f>F337/F339</f>
        <v>0.90073105040400159</v>
      </c>
      <c r="G340" s="10">
        <f>G338/G339</f>
        <v>0.85521885521885521</v>
      </c>
      <c r="H340" s="10"/>
      <c r="I340" s="14">
        <f>(C334+D335+E336+F337+G338)/H339</f>
        <v>0.93767265193370164</v>
      </c>
    </row>
    <row r="341" spans="1:40" x14ac:dyDescent="0.3">
      <c r="B341" s="1" t="s">
        <v>14</v>
      </c>
      <c r="C341" s="11">
        <f>1-C340</f>
        <v>0</v>
      </c>
      <c r="D341" s="11">
        <f>1-D340</f>
        <v>0.27336448598130836</v>
      </c>
      <c r="E341" s="11">
        <f>1-E340</f>
        <v>2.9431618739030663E-2</v>
      </c>
      <c r="F341" s="11">
        <f>1-F340</f>
        <v>9.9268949595998413E-2</v>
      </c>
      <c r="G341" s="11">
        <f>1-G340</f>
        <v>0.14478114478114479</v>
      </c>
      <c r="AM341" s="78"/>
      <c r="AN341" s="78"/>
    </row>
    <row r="342" spans="1:40" x14ac:dyDescent="0.3">
      <c r="C342" s="2"/>
    </row>
    <row r="343" spans="1:40" ht="15.6" x14ac:dyDescent="0.35">
      <c r="A343" t="s">
        <v>322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1.5168679304893793</v>
      </c>
      <c r="D345" s="31">
        <f>(D334/$L345)*$O345</f>
        <v>0</v>
      </c>
      <c r="E345" s="31">
        <f>(E334/$L345)*$O345</f>
        <v>0</v>
      </c>
      <c r="F345" s="31">
        <f>(F334/$L345)*$O345</f>
        <v>0</v>
      </c>
      <c r="G345" s="32">
        <f>(G334/$L345)*$O345</f>
        <v>0</v>
      </c>
      <c r="H345" s="17">
        <f>SUM(C345:G345)</f>
        <v>1.5168679304893793</v>
      </c>
      <c r="I345" s="17">
        <f>C345/H345*100</f>
        <v>100</v>
      </c>
      <c r="J345" s="17">
        <f>SQRT(I345*(100-I345)/(L345-1))</f>
        <v>0</v>
      </c>
      <c r="K345" s="18">
        <f>100-I345</f>
        <v>0</v>
      </c>
      <c r="L345" s="1">
        <f>H334</f>
        <v>259</v>
      </c>
      <c r="M345">
        <v>0</v>
      </c>
      <c r="N345" s="1">
        <v>2994.01</v>
      </c>
      <c r="O345" s="17">
        <f>N345/N350*100</f>
        <v>1.5168679304893793</v>
      </c>
      <c r="P345" s="52">
        <f>((O345*O345*(I345/100)*(K345/100))/(L345-1))</f>
        <v>0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45">(C335/$L346)*$O346</f>
        <v>0</v>
      </c>
      <c r="D346" s="34">
        <f t="shared" si="45"/>
        <v>4.0319253397784971</v>
      </c>
      <c r="E346" s="19">
        <f t="shared" si="45"/>
        <v>0.42782487528196272</v>
      </c>
      <c r="F346" s="18">
        <f t="shared" si="45"/>
        <v>0</v>
      </c>
      <c r="G346" s="20">
        <f t="shared" si="45"/>
        <v>3.8893170480178429E-2</v>
      </c>
      <c r="H346" s="17">
        <f>SUM(C346:G346)</f>
        <v>4.498643385540638</v>
      </c>
      <c r="I346" s="17">
        <f>D346/H346*100</f>
        <v>89.625360230547557</v>
      </c>
      <c r="J346" s="17">
        <f>SQRT(I346*(100-I346)/(L346-1))</f>
        <v>1.639320691997745</v>
      </c>
      <c r="K346" s="18">
        <f>100-I346</f>
        <v>10.374639769452443</v>
      </c>
      <c r="L346" s="1">
        <f>H335</f>
        <v>347</v>
      </c>
      <c r="M346">
        <v>1</v>
      </c>
      <c r="N346" s="1">
        <v>8879.4699999999993</v>
      </c>
      <c r="O346" s="17">
        <f>N346/N350*100</f>
        <v>4.498643385540638</v>
      </c>
      <c r="P346" s="52">
        <f>((O346*O346*(I346/100)*(K346/100))/(L346-1))</f>
        <v>5.4386483099429948E-3</v>
      </c>
    </row>
    <row r="347" spans="1:40" x14ac:dyDescent="0.3">
      <c r="A347" t="s">
        <v>5</v>
      </c>
      <c r="B347" s="13">
        <v>2</v>
      </c>
      <c r="C347" s="33">
        <f t="shared" si="45"/>
        <v>0</v>
      </c>
      <c r="D347" s="19">
        <f t="shared" si="45"/>
        <v>0.93715156899059726</v>
      </c>
      <c r="E347" s="34">
        <f t="shared" si="45"/>
        <v>61.247114813394582</v>
      </c>
      <c r="F347" s="19">
        <f t="shared" si="45"/>
        <v>0.33226282900575727</v>
      </c>
      <c r="G347" s="20">
        <f t="shared" si="45"/>
        <v>0.10223471661715608</v>
      </c>
      <c r="H347" s="17">
        <f>SUM(C347:G347)</f>
        <v>62.618763928008093</v>
      </c>
      <c r="I347" s="17">
        <f>E347/H347*100</f>
        <v>97.80952380952381</v>
      </c>
      <c r="J347" s="17">
        <f>SQRT(I347*(100-I347)/(L347-1))</f>
        <v>0.17074410445127566</v>
      </c>
      <c r="K347" s="18">
        <f>100-I347</f>
        <v>2.1904761904761898</v>
      </c>
      <c r="L347" s="1">
        <f>H336</f>
        <v>7350</v>
      </c>
      <c r="M347">
        <v>2</v>
      </c>
      <c r="N347" s="1">
        <v>123597.58</v>
      </c>
      <c r="O347" s="17">
        <f>N347/N350*100</f>
        <v>62.618763928008093</v>
      </c>
      <c r="P347" s="52">
        <f>((O347*O347*(I347/100)*(K347/100))/(L347-1))</f>
        <v>1.143142615409235E-2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45"/>
        <v>0</v>
      </c>
      <c r="D348" s="19">
        <f t="shared" si="45"/>
        <v>5.8980489511226315E-2</v>
      </c>
      <c r="E348" s="19">
        <f t="shared" si="45"/>
        <v>1.4829380219965473</v>
      </c>
      <c r="F348" s="34">
        <f t="shared" si="45"/>
        <v>19.724760849397256</v>
      </c>
      <c r="G348" s="20">
        <f t="shared" si="45"/>
        <v>0.96053940061139997</v>
      </c>
      <c r="H348" s="17">
        <f>SUM(C348:G348)</f>
        <v>22.227218761516429</v>
      </c>
      <c r="I348" s="17">
        <f>F348/H348*100</f>
        <v>88.741470811220623</v>
      </c>
      <c r="J348" s="17">
        <f>SQRT(I348*(100-I348)/(L348-1))</f>
        <v>0.61552978848258844</v>
      </c>
      <c r="K348" s="18">
        <f>100-I348</f>
        <v>11.258529188779377</v>
      </c>
      <c r="L348" s="1">
        <f>H337</f>
        <v>2638</v>
      </c>
      <c r="M348">
        <v>3</v>
      </c>
      <c r="N348" s="1">
        <v>43872.32</v>
      </c>
      <c r="O348" s="17">
        <f>N348/N350*100</f>
        <v>22.227218761516429</v>
      </c>
      <c r="P348" s="52">
        <f>((O348*O348*(I348/100)*(K348/100))/(L348-1))</f>
        <v>1.8718385988711665E-2</v>
      </c>
    </row>
    <row r="349" spans="1:40" x14ac:dyDescent="0.3">
      <c r="A349" t="s">
        <v>7</v>
      </c>
      <c r="B349" s="13">
        <v>4</v>
      </c>
      <c r="C349" s="35">
        <f t="shared" si="45"/>
        <v>0</v>
      </c>
      <c r="D349" s="36">
        <f t="shared" si="45"/>
        <v>0</v>
      </c>
      <c r="E349" s="21">
        <f t="shared" si="45"/>
        <v>8.307732722223149E-2</v>
      </c>
      <c r="F349" s="21">
        <f t="shared" si="45"/>
        <v>2.0215482957409665</v>
      </c>
      <c r="G349" s="37">
        <f t="shared" si="45"/>
        <v>7.0338803714822662</v>
      </c>
      <c r="H349" s="17">
        <f>SUM(C349:G349)</f>
        <v>9.1385059944454632</v>
      </c>
      <c r="I349" s="17">
        <f>G349/H349*100</f>
        <v>76.969696969696983</v>
      </c>
      <c r="J349" s="17">
        <f>SQRT(I349*(100-I349)/(L349-1))</f>
        <v>1.3387872533640994</v>
      </c>
      <c r="K349" s="18">
        <f>100-I349</f>
        <v>23.030303030303017</v>
      </c>
      <c r="L349" s="1">
        <f>H338</f>
        <v>990</v>
      </c>
      <c r="M349">
        <v>4</v>
      </c>
      <c r="N349" s="1">
        <v>18037.68</v>
      </c>
      <c r="O349" s="17">
        <f>N349/N350*100</f>
        <v>9.138505994445465</v>
      </c>
      <c r="P349" s="52">
        <f>((O349*O349*(I349/100)*(K349/100))/(L349-1))</f>
        <v>1.4968336560848809E-2</v>
      </c>
      <c r="AM349" s="78"/>
      <c r="AN349" s="78"/>
    </row>
    <row r="350" spans="1:40" x14ac:dyDescent="0.3">
      <c r="B350" t="s">
        <v>28</v>
      </c>
      <c r="C350" s="17">
        <f t="shared" ref="C350:H350" si="46">SUM(C345:C349)</f>
        <v>1.5168679304893793</v>
      </c>
      <c r="D350" s="17">
        <f t="shared" si="46"/>
        <v>5.0280573982803203</v>
      </c>
      <c r="E350" s="17">
        <f t="shared" si="46"/>
        <v>63.240955037895326</v>
      </c>
      <c r="F350" s="17">
        <f t="shared" si="46"/>
        <v>22.07857197414398</v>
      </c>
      <c r="G350" s="17">
        <f t="shared" si="46"/>
        <v>8.1355476591910012</v>
      </c>
      <c r="H350" s="18">
        <f t="shared" si="46"/>
        <v>100</v>
      </c>
      <c r="I350" s="13" t="s">
        <v>24</v>
      </c>
      <c r="J350" s="12" t="s">
        <v>29</v>
      </c>
      <c r="N350" s="1">
        <f>SUM(N345:N349)</f>
        <v>197381.06</v>
      </c>
      <c r="O350" s="17">
        <f>SUM(O345:O349)</f>
        <v>100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0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0.1174020515407682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0.16991195739965959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0.18989366186636905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0.15513286612172497</v>
      </c>
      <c r="H351" s="1"/>
      <c r="I351" s="14">
        <f>(C345+D346+E347+F348+G349)/H350</f>
        <v>0.93554549304541978</v>
      </c>
      <c r="J351" s="53">
        <f>SQRT(SUM(P345:P349))/100</f>
        <v>2.2484838672669149E-3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80.188530488086371</v>
      </c>
      <c r="E352" s="17">
        <f>E347/E350*100</f>
        <v>96.847232583211323</v>
      </c>
      <c r="F352" s="17">
        <f>F348/F350*100</f>
        <v>89.33893402388864</v>
      </c>
      <c r="G352" s="17">
        <f>G349/G350*100</f>
        <v>86.458597087017935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3.251191065361581</v>
      </c>
      <c r="E353" s="18">
        <f>SQRT((E356+E357)/(E350*E350))</f>
        <v>0.20925545213666488</v>
      </c>
      <c r="F353" s="18">
        <f>SQRT((F356+F357)/(F350*F350))</f>
        <v>0.8489648727959761</v>
      </c>
      <c r="G353" s="18">
        <f>SQRT((G356+G357)/(G350*G350))</f>
        <v>2.2752258651603743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19.811469511913629</v>
      </c>
      <c r="E354" s="18">
        <f>100-E352</f>
        <v>3.1527674167886772</v>
      </c>
      <c r="F354" s="18">
        <f>100-F352</f>
        <v>10.66106597611136</v>
      </c>
      <c r="G354" s="18">
        <f>100-G352</f>
        <v>13.541402912982065</v>
      </c>
    </row>
    <row r="355" spans="1:40" ht="15.6" x14ac:dyDescent="0.35">
      <c r="B355" s="1" t="s">
        <v>25</v>
      </c>
      <c r="C355" s="1">
        <f>C339</f>
        <v>259</v>
      </c>
      <c r="D355" s="1">
        <f>D339</f>
        <v>428</v>
      </c>
      <c r="E355" s="1">
        <f>E339</f>
        <v>7407</v>
      </c>
      <c r="F355" s="1">
        <f>F339</f>
        <v>2599</v>
      </c>
      <c r="G355" s="1">
        <f>G339</f>
        <v>891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213.46385930893874</v>
      </c>
      <c r="E356" s="18">
        <f>(O347*O347*(100-E352)*(100-E352)*(I347)*(100-I347))/((L347-1)*100)</f>
        <v>11.362771734279368</v>
      </c>
      <c r="F356" s="18">
        <f>(O348*O348*(100-F352)*(100-F352)*(I348)*(100-I348))/((L348-1)*100)</f>
        <v>212.75004495998294</v>
      </c>
      <c r="G356" s="18">
        <f>(O349*O349*(100-G352)*(100-G352)*(I349)*(100-I349))/((L349-1)*100)</f>
        <v>274.47377808303474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53.76628063389461</v>
      </c>
      <c r="E357" s="18">
        <f>E352*E352*(SUM((H345*E345*(1-E334/H334))/(H334-1),(H346*E346*(1-E335/H335))/(H335-1), (H348*E348*(1-E337/H337))/(H337-1),(H349*E349*(1-E338/H338))/(H338-1)))</f>
        <v>163.76313799306064</v>
      </c>
      <c r="F357" s="18">
        <f>F352*F352*(SUM((H345*F345*(1-F334/H334))/(H334-1),(H346*F346*(1-F335/H335))/(H335-1), (H347*F347*(1-F336/H336))/(H336-1),(H349*F349*(1-F338/H338))/(H338-1)))</f>
        <v>138.58494364303706</v>
      </c>
      <c r="G357" s="18">
        <f>G352*G352*(SUM((H345*G345*(1-G334/H334))/(H334-1),(H346*G346*(1-G335/H335))/(H335-1), (H347*G347*(1-G336/H336))/(H336-1),(H348*G348*(1-G337/H337))/(H337-1)))</f>
        <v>68.154039202793427</v>
      </c>
      <c r="AM357" s="78"/>
      <c r="AN357" s="78"/>
    </row>
    <row r="359" spans="1:40" x14ac:dyDescent="0.3">
      <c r="AM359" s="78"/>
      <c r="AN359" s="78"/>
    </row>
    <row r="360" spans="1:40" x14ac:dyDescent="0.3">
      <c r="A360" s="361" t="s">
        <v>455</v>
      </c>
      <c r="B360" s="361"/>
      <c r="C360" s="361"/>
      <c r="D360" s="361"/>
      <c r="E360" s="361"/>
      <c r="F360" s="361"/>
      <c r="G360" s="361"/>
      <c r="H360" s="361"/>
      <c r="I360" s="361"/>
      <c r="J360" s="361"/>
      <c r="K360" s="361"/>
      <c r="L360" s="361" t="s">
        <v>90</v>
      </c>
      <c r="M360" s="361"/>
      <c r="N360" s="361"/>
      <c r="O360" s="361"/>
      <c r="P360" s="361"/>
    </row>
    <row r="361" spans="1:40" x14ac:dyDescent="0.3">
      <c r="A361" t="s">
        <v>15</v>
      </c>
      <c r="B361" t="s">
        <v>21</v>
      </c>
      <c r="I361" s="1" t="s">
        <v>58</v>
      </c>
      <c r="O361" s="143"/>
      <c r="P361" s="143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56</v>
      </c>
      <c r="O362" s="13"/>
      <c r="P362" s="13"/>
    </row>
    <row r="363" spans="1:40" x14ac:dyDescent="0.3">
      <c r="A363" t="s">
        <v>3</v>
      </c>
      <c r="B363" s="13">
        <v>0</v>
      </c>
      <c r="C363" s="26">
        <v>259</v>
      </c>
      <c r="D363" s="3">
        <v>0</v>
      </c>
      <c r="E363" s="3">
        <v>0</v>
      </c>
      <c r="F363" s="3">
        <v>0</v>
      </c>
      <c r="G363" s="4">
        <v>0</v>
      </c>
      <c r="H363" s="1">
        <f>SUM(C363:G363)</f>
        <v>259</v>
      </c>
      <c r="I363" s="10">
        <f>C363/H363</f>
        <v>1</v>
      </c>
      <c r="J363" s="11">
        <f>1-I363</f>
        <v>0</v>
      </c>
      <c r="K363">
        <f>H363-C368</f>
        <v>0</v>
      </c>
      <c r="N363" s="10">
        <f>2*(C369*I363)/(C369+I363)</f>
        <v>1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314</v>
      </c>
      <c r="E364" s="1">
        <v>30</v>
      </c>
      <c r="F364" s="1">
        <v>0</v>
      </c>
      <c r="G364" s="6">
        <v>3</v>
      </c>
      <c r="H364" s="1">
        <f>SUM(C364:G364)</f>
        <v>347</v>
      </c>
      <c r="I364" s="10">
        <f>D364/H364</f>
        <v>0.90489913544668588</v>
      </c>
      <c r="J364" s="11">
        <f>1-I364</f>
        <v>9.5100864553314124E-2</v>
      </c>
      <c r="K364">
        <f>H364-D368</f>
        <v>-85</v>
      </c>
      <c r="N364" s="10">
        <f>2*(D369*I364)/(D369+I364)</f>
        <v>0.80616174582798461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111</v>
      </c>
      <c r="E365" s="27">
        <v>7193</v>
      </c>
      <c r="F365" s="1">
        <v>40</v>
      </c>
      <c r="G365" s="6">
        <v>6</v>
      </c>
      <c r="H365" s="1">
        <f>SUM(C365:G365)</f>
        <v>7350</v>
      </c>
      <c r="I365" s="10">
        <f>E365/H365</f>
        <v>0.97863945578231293</v>
      </c>
      <c r="J365" s="11">
        <f>1-I365</f>
        <v>2.1360544217687072E-2</v>
      </c>
      <c r="K365">
        <f>H365-E368</f>
        <v>-60</v>
      </c>
      <c r="N365" s="10">
        <f>2*(E369*I365)/(E369+I365)</f>
        <v>0.97466124661246611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7</v>
      </c>
      <c r="E366" s="1">
        <v>176</v>
      </c>
      <c r="F366" s="27">
        <v>2320</v>
      </c>
      <c r="G366" s="6">
        <v>135</v>
      </c>
      <c r="H366" s="1">
        <f>SUM(C366:G366)</f>
        <v>2638</v>
      </c>
      <c r="I366" s="10">
        <f>F366/H366</f>
        <v>0.87945413191811983</v>
      </c>
      <c r="J366" s="11">
        <f>1-I366</f>
        <v>0.12054586808188017</v>
      </c>
      <c r="K366">
        <f>H366-F368</f>
        <v>76</v>
      </c>
      <c r="N366" s="10">
        <f>2*(F369*I366)/(F369+I366)</f>
        <v>0.89230769230769225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0</v>
      </c>
      <c r="E367" s="8">
        <v>11</v>
      </c>
      <c r="F367" s="8">
        <v>202</v>
      </c>
      <c r="G367" s="28">
        <v>777</v>
      </c>
      <c r="H367" s="1">
        <f>SUM(C367:G367)</f>
        <v>990</v>
      </c>
      <c r="I367" s="10">
        <f>G367/H367</f>
        <v>0.7848484848484848</v>
      </c>
      <c r="J367" s="11">
        <f>1-I367</f>
        <v>0.2151515151515152</v>
      </c>
      <c r="K367">
        <f>H367-G368</f>
        <v>69</v>
      </c>
      <c r="N367" s="10">
        <f>2*(G369*I367)/(G369+I367)</f>
        <v>0.81318681318681318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259</v>
      </c>
      <c r="D368" s="1">
        <f>SUM(D363:D367)</f>
        <v>432</v>
      </c>
      <c r="E368" s="1">
        <f>SUM(E363:E367)</f>
        <v>7410</v>
      </c>
      <c r="F368" s="1">
        <f>SUM(F363:F367)</f>
        <v>2562</v>
      </c>
      <c r="G368" s="1">
        <f>SUM(G363:G367)</f>
        <v>921</v>
      </c>
      <c r="H368" s="1">
        <f>SUM(H362:H367)</f>
        <v>11584</v>
      </c>
      <c r="I368" s="13" t="s">
        <v>12</v>
      </c>
      <c r="N368" s="16"/>
      <c r="O368" s="1"/>
      <c r="P368" s="1"/>
    </row>
    <row r="369" spans="1:40" x14ac:dyDescent="0.3">
      <c r="A369" s="1" t="s">
        <v>57</v>
      </c>
      <c r="B369" s="1" t="s">
        <v>2</v>
      </c>
      <c r="C369" s="10">
        <f>C363/C368</f>
        <v>1</v>
      </c>
      <c r="D369" s="10">
        <f>D364/D368</f>
        <v>0.72685185185185186</v>
      </c>
      <c r="E369" s="10">
        <f>E365/E368</f>
        <v>0.97071524966261813</v>
      </c>
      <c r="F369" s="10">
        <f>F366/F368</f>
        <v>0.90554254488680719</v>
      </c>
      <c r="G369" s="10">
        <f>G367/G368</f>
        <v>0.84364820846905542</v>
      </c>
      <c r="H369" s="10"/>
      <c r="I369" s="14">
        <f>(C363+D364+E365+F366+G367)/H368</f>
        <v>0.93775897790055252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0.27314814814814814</v>
      </c>
      <c r="E370" s="11">
        <f>1-E369</f>
        <v>2.9284750337381871E-2</v>
      </c>
      <c r="F370" s="11">
        <f>1-F369</f>
        <v>9.4457455113192812E-2</v>
      </c>
      <c r="G370" s="11">
        <f>1-G369</f>
        <v>0.15635179153094458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1.5050278886940822</v>
      </c>
      <c r="D374" s="31">
        <f>(D363/$L374)*$O374</f>
        <v>0</v>
      </c>
      <c r="E374" s="31">
        <f>(E363/$L374)*$O374</f>
        <v>0</v>
      </c>
      <c r="F374" s="31">
        <f>(F363/$L374)*$O374</f>
        <v>0</v>
      </c>
      <c r="G374" s="32">
        <f>(G363/$L374)*$O374</f>
        <v>0</v>
      </c>
      <c r="H374" s="17">
        <f>SUM(C374:G374)</f>
        <v>1.5050278886940822</v>
      </c>
      <c r="I374" s="17">
        <f>C374/H374*100</f>
        <v>100</v>
      </c>
      <c r="J374" s="17">
        <f>SQRT(I374*(100-I374)/(L374-1))</f>
        <v>0</v>
      </c>
      <c r="K374" s="18">
        <f>100-I374</f>
        <v>0</v>
      </c>
      <c r="L374" s="1">
        <f>H363</f>
        <v>259</v>
      </c>
      <c r="M374">
        <v>0</v>
      </c>
      <c r="N374" s="1">
        <v>2970.64</v>
      </c>
      <c r="O374" s="17">
        <f>N374/N379*100</f>
        <v>1.5050278886940822</v>
      </c>
      <c r="P374" s="52">
        <f>((O374*O374*(I374/100)*(K374/100))/(L374-1))</f>
        <v>0</v>
      </c>
    </row>
    <row r="375" spans="1:40" x14ac:dyDescent="0.3">
      <c r="A375" t="s">
        <v>4</v>
      </c>
      <c r="B375" s="13">
        <v>1</v>
      </c>
      <c r="C375" s="33">
        <f t="shared" ref="C375:G378" si="47">(C364/$L375)*$O375</f>
        <v>0</v>
      </c>
      <c r="D375" s="34">
        <f t="shared" si="47"/>
        <v>4.1296334290185888</v>
      </c>
      <c r="E375" s="19">
        <f t="shared" si="47"/>
        <v>0.39455096455591615</v>
      </c>
      <c r="F375" s="18">
        <f t="shared" si="47"/>
        <v>0</v>
      </c>
      <c r="G375" s="20">
        <f t="shared" si="47"/>
        <v>3.9455096455591615E-2</v>
      </c>
      <c r="H375" s="17">
        <f>SUM(C375:G375)</f>
        <v>4.5636394900300958</v>
      </c>
      <c r="I375" s="17">
        <f>D375/H375*100</f>
        <v>90.489913544668596</v>
      </c>
      <c r="J375" s="17">
        <f>SQRT(I375*(100-I375)/(L375-1))</f>
        <v>1.57708198124395</v>
      </c>
      <c r="K375" s="18">
        <f>100-I375</f>
        <v>9.510086455331404</v>
      </c>
      <c r="L375" s="1">
        <f>H364</f>
        <v>347</v>
      </c>
      <c r="M375">
        <v>1</v>
      </c>
      <c r="N375" s="1">
        <v>9007.76</v>
      </c>
      <c r="O375" s="17">
        <f>N375/N379*100</f>
        <v>4.5636394900300967</v>
      </c>
      <c r="P375" s="52">
        <f>((O375*O375*(I375/100)*(K375/100))/(L375-1))</f>
        <v>5.1800171617046309E-3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47"/>
        <v>0</v>
      </c>
      <c r="D376" s="19">
        <f t="shared" si="47"/>
        <v>0.94814866725101099</v>
      </c>
      <c r="E376" s="34">
        <f t="shared" si="47"/>
        <v>61.441742013842543</v>
      </c>
      <c r="F376" s="19">
        <f t="shared" si="47"/>
        <v>0.34167519540576968</v>
      </c>
      <c r="G376" s="20">
        <f t="shared" si="47"/>
        <v>5.1251279310865462E-2</v>
      </c>
      <c r="H376" s="17">
        <f>SUM(C376:G376)</f>
        <v>62.782817155810193</v>
      </c>
      <c r="I376" s="17">
        <f>E376/H376*100</f>
        <v>97.863945578231281</v>
      </c>
      <c r="J376" s="17">
        <f>SQRT(I376*(100-I376)/(L376-1))</f>
        <v>0.16865662041807594</v>
      </c>
      <c r="K376" s="18">
        <f>100-I376</f>
        <v>2.1360544217687192</v>
      </c>
      <c r="L376" s="1">
        <f>H365</f>
        <v>7350</v>
      </c>
      <c r="M376">
        <v>2</v>
      </c>
      <c r="N376" s="1">
        <v>123921.39</v>
      </c>
      <c r="O376" s="17">
        <f>N376/N379*100</f>
        <v>62.782817155810186</v>
      </c>
      <c r="P376" s="52">
        <f>((O376*O376*(I376/100)*(K376/100))/(L376-1))</f>
        <v>1.1212136738869755E-2</v>
      </c>
    </row>
    <row r="377" spans="1:40" x14ac:dyDescent="0.3">
      <c r="A377" t="s">
        <v>6</v>
      </c>
      <c r="B377" s="13">
        <v>3</v>
      </c>
      <c r="C377" s="33">
        <f t="shared" si="47"/>
        <v>0</v>
      </c>
      <c r="D377" s="19">
        <f t="shared" si="47"/>
        <v>5.8446507026738169E-2</v>
      </c>
      <c r="E377" s="19">
        <f t="shared" si="47"/>
        <v>1.4695121766722739</v>
      </c>
      <c r="F377" s="34">
        <f t="shared" si="47"/>
        <v>19.370842328861794</v>
      </c>
      <c r="G377" s="20">
        <f t="shared" si="47"/>
        <v>1.1271826355156647</v>
      </c>
      <c r="H377" s="17">
        <f>SUM(C377:G377)</f>
        <v>22.025983648076473</v>
      </c>
      <c r="I377" s="17">
        <f>F377/H377*100</f>
        <v>87.945413191811966</v>
      </c>
      <c r="J377" s="17">
        <f>SQRT(I377*(100-I377)/(L377-1))</f>
        <v>0.6340561164281322</v>
      </c>
      <c r="K377" s="18">
        <f>100-I377</f>
        <v>12.054586808188034</v>
      </c>
      <c r="L377" s="1">
        <f>H366</f>
        <v>2638</v>
      </c>
      <c r="M377">
        <v>3</v>
      </c>
      <c r="N377" s="1">
        <v>43475.12</v>
      </c>
      <c r="O377" s="17">
        <f>N377/N379*100</f>
        <v>22.025983648076469</v>
      </c>
      <c r="P377" s="52">
        <f>((O377*O377*(I377/100)*(K377/100))/(L377-1))</f>
        <v>1.9504104609538733E-2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47"/>
        <v>0</v>
      </c>
      <c r="D378" s="36">
        <f t="shared" si="47"/>
        <v>0</v>
      </c>
      <c r="E378" s="21">
        <f t="shared" si="47"/>
        <v>0.10136146463765741</v>
      </c>
      <c r="F378" s="21">
        <f t="shared" si="47"/>
        <v>1.8613650778915269</v>
      </c>
      <c r="G378" s="37">
        <f t="shared" si="47"/>
        <v>7.1598052748599814</v>
      </c>
      <c r="H378" s="17">
        <f>SUM(C378:G378)</f>
        <v>9.1225318173891665</v>
      </c>
      <c r="I378" s="17">
        <f>G378/H378*100</f>
        <v>78.484848484848484</v>
      </c>
      <c r="J378" s="17">
        <f>SQRT(I378*(100-I378)/(L378-1))</f>
        <v>1.306673160753907</v>
      </c>
      <c r="K378" s="18">
        <f>100-I378</f>
        <v>21.515151515151516</v>
      </c>
      <c r="L378" s="1">
        <f>H367</f>
        <v>990</v>
      </c>
      <c r="M378">
        <v>4</v>
      </c>
      <c r="N378" s="1">
        <v>18006.150000000001</v>
      </c>
      <c r="O378" s="17">
        <f>N378/N379*100</f>
        <v>9.1225318173891665</v>
      </c>
      <c r="P378" s="52">
        <f>((O378*O378*(I378/100)*(K378/100))/(L378-1))</f>
        <v>1.4209039284436956E-2</v>
      </c>
    </row>
    <row r="379" spans="1:40" x14ac:dyDescent="0.3">
      <c r="B379" t="s">
        <v>28</v>
      </c>
      <c r="C379" s="17">
        <f t="shared" ref="C379:H379" si="48">SUM(C374:C378)</f>
        <v>1.5050278886940822</v>
      </c>
      <c r="D379" s="17">
        <f t="shared" si="48"/>
        <v>5.1362286032963373</v>
      </c>
      <c r="E379" s="17">
        <f t="shared" si="48"/>
        <v>63.407166619708391</v>
      </c>
      <c r="F379" s="17">
        <f t="shared" si="48"/>
        <v>21.573882602159092</v>
      </c>
      <c r="G379" s="17">
        <f t="shared" si="48"/>
        <v>8.3776942861421038</v>
      </c>
      <c r="H379" s="18">
        <f t="shared" si="48"/>
        <v>100</v>
      </c>
      <c r="I379" s="13" t="s">
        <v>24</v>
      </c>
      <c r="J379" s="12" t="s">
        <v>29</v>
      </c>
      <c r="N379" s="1">
        <f>SUM(N374:N378)</f>
        <v>197381.06</v>
      </c>
      <c r="O379" s="17">
        <f>SUM(O374:O378)</f>
        <v>100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0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0.1167409715225277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0.16830251857488954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0.18987253763471063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0.15516542541417444</v>
      </c>
      <c r="H380" s="1"/>
      <c r="I380" s="14">
        <f>(C374+D375+E376+F377+G378)/H379</f>
        <v>0.93607050935276992</v>
      </c>
      <c r="J380" s="53">
        <f>SQRT(SUM(P374:P378))/100</f>
        <v>2.2384212694341087E-3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80.402056605663262</v>
      </c>
      <c r="E381" s="17">
        <f>E376/E379*100</f>
        <v>96.900311572580264</v>
      </c>
      <c r="F381" s="17">
        <f>F377/F379*100</f>
        <v>89.788392224416668</v>
      </c>
      <c r="G381" s="17">
        <f>G378/G379*100</f>
        <v>85.462718384261365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3.1009378752210046</v>
      </c>
      <c r="E382" s="18">
        <f>SQRT((E385+E386)/(E379*E379))</f>
        <v>0.20662910889022942</v>
      </c>
      <c r="F382" s="18">
        <f>SQRT((F385+F386)/(F379*F379))</f>
        <v>0.85086781449930005</v>
      </c>
      <c r="G382" s="18">
        <f>SQRT((G385+G386)/(G379*G379))</f>
        <v>2.3037471094265043</v>
      </c>
      <c r="H382" s="1"/>
    </row>
    <row r="383" spans="1:40" x14ac:dyDescent="0.3">
      <c r="B383" s="1" t="s">
        <v>37</v>
      </c>
      <c r="C383" s="18">
        <f>100-C381</f>
        <v>0</v>
      </c>
      <c r="D383" s="18">
        <f>100-D381</f>
        <v>19.597943394336738</v>
      </c>
      <c r="E383" s="18">
        <f>100-E381</f>
        <v>3.0996884274197356</v>
      </c>
      <c r="F383" s="18">
        <f>100-F381</f>
        <v>10.211607775583332</v>
      </c>
      <c r="G383" s="18">
        <f>100-G381</f>
        <v>14.537281615738635</v>
      </c>
      <c r="AM383" s="78"/>
      <c r="AN383" s="78"/>
    </row>
    <row r="384" spans="1:40" ht="15.6" x14ac:dyDescent="0.35">
      <c r="B384" s="1" t="s">
        <v>25</v>
      </c>
      <c r="C384" s="1">
        <f>C368</f>
        <v>259</v>
      </c>
      <c r="D384" s="1">
        <f>D368</f>
        <v>432</v>
      </c>
      <c r="E384" s="1">
        <f>E368</f>
        <v>7410</v>
      </c>
      <c r="F384" s="1">
        <f>F368</f>
        <v>2562</v>
      </c>
      <c r="G384" s="1">
        <f>G368</f>
        <v>921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198.95378072468731</v>
      </c>
      <c r="E385" s="18">
        <f>(O376*O376*(100-E381)*(100-E381)*(I376)*(100-I376))/((L376-1)*100)</f>
        <v>10.772697610386539</v>
      </c>
      <c r="F385" s="18">
        <f>(O377*O377*(100-F381)*(100-F381)*(I377)*(100-I377))/((L377-1)*100)</f>
        <v>203.38282166612515</v>
      </c>
      <c r="G385" s="18">
        <f>(O378*O378*(100-G381)*(100-G381)*(I378)*(100-I378))/((L378-1)*100)</f>
        <v>300.28326013006347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54.719555898787959</v>
      </c>
      <c r="E386" s="18">
        <f>E381*E381*(SUM((H374*E374*(1-E363/H363))/(H363-1),(H375*E375*(1-E364/H364))/(H364-1), (H377*E377*(1-E366/H366))/(H366-1),(H378*E378*(1-E367/H367))/(H367-1)))</f>
        <v>160.88358350973363</v>
      </c>
      <c r="F386" s="18">
        <f>F381*F381*(SUM((H374*F374*(1-F363/H363))/(H363-1),(H375*F375*(1-F364/H364))/(H364-1), (H376*F376*(1-F365/H365))/(H365-1),(H378*F378*(1-F367/H367))/(H367-1)))</f>
        <v>133.57909075145676</v>
      </c>
      <c r="G386" s="18">
        <f>G381*G381*(SUM((H374*G374*(1-G363/H363))/(H363-1),(H375*G375*(1-G364/H364))/(H364-1), (H376*G376*(1-G365/H365))/(H365-1),(H377*G377*(1-G366/H366))/(H366-1)))</f>
        <v>72.210175098706856</v>
      </c>
    </row>
    <row r="387" spans="1:40" x14ac:dyDescent="0.3">
      <c r="AM387" s="78"/>
      <c r="AN387" s="78"/>
    </row>
    <row r="389" spans="1:40" x14ac:dyDescent="0.3">
      <c r="A389" s="361" t="s">
        <v>455</v>
      </c>
      <c r="B389" s="361"/>
      <c r="C389" s="361"/>
      <c r="D389" s="361"/>
      <c r="E389" s="361"/>
      <c r="F389" s="361"/>
      <c r="G389" s="361"/>
      <c r="H389" s="361"/>
      <c r="I389" s="361"/>
      <c r="J389" s="361"/>
      <c r="K389" s="361"/>
      <c r="L389" s="361" t="s">
        <v>91</v>
      </c>
      <c r="M389" s="361"/>
      <c r="N389" s="361"/>
      <c r="O389" s="361"/>
      <c r="P389" s="361"/>
      <c r="AM389" s="78"/>
      <c r="AN389" s="78"/>
    </row>
    <row r="390" spans="1:40" x14ac:dyDescent="0.3">
      <c r="A390" t="s">
        <v>15</v>
      </c>
      <c r="B390" t="s">
        <v>21</v>
      </c>
      <c r="I390" s="1" t="s">
        <v>58</v>
      </c>
      <c r="O390" s="143"/>
      <c r="P390" s="143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56</v>
      </c>
      <c r="O391" s="13"/>
      <c r="P391" s="13"/>
      <c r="AM391" s="78"/>
      <c r="AN391" s="78"/>
    </row>
    <row r="392" spans="1:40" x14ac:dyDescent="0.3">
      <c r="A392" t="s">
        <v>3</v>
      </c>
      <c r="B392" s="13">
        <v>0</v>
      </c>
      <c r="C392" s="26">
        <v>259</v>
      </c>
      <c r="D392" s="3">
        <v>0</v>
      </c>
      <c r="E392" s="3">
        <v>0</v>
      </c>
      <c r="F392" s="3">
        <v>0</v>
      </c>
      <c r="G392" s="4">
        <v>0</v>
      </c>
      <c r="H392" s="1">
        <f>SUM(C392:G392)</f>
        <v>259</v>
      </c>
      <c r="I392" s="10">
        <f>C392/H392</f>
        <v>1</v>
      </c>
      <c r="J392" s="11">
        <f>1-I392</f>
        <v>0</v>
      </c>
      <c r="K392">
        <f>H392-C397</f>
        <v>0</v>
      </c>
      <c r="N392" s="10">
        <f>2*(C398*I392)/(C398+I392)</f>
        <v>1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311</v>
      </c>
      <c r="E393" s="1">
        <v>34</v>
      </c>
      <c r="F393" s="1">
        <v>0</v>
      </c>
      <c r="G393" s="6">
        <v>2</v>
      </c>
      <c r="H393" s="1">
        <f>SUM(C393:G393)</f>
        <v>347</v>
      </c>
      <c r="I393" s="10">
        <f>D393/H393</f>
        <v>0.89625360230547546</v>
      </c>
      <c r="J393" s="11">
        <f>1-I393</f>
        <v>0.10374639769452454</v>
      </c>
      <c r="K393">
        <f>H393-D397</f>
        <v>-79</v>
      </c>
      <c r="N393" s="10">
        <f>2*(D398*I393)/(D398+I393)</f>
        <v>0.80465717981888751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106</v>
      </c>
      <c r="E394" s="27">
        <v>7196</v>
      </c>
      <c r="F394" s="1">
        <v>38</v>
      </c>
      <c r="G394" s="6">
        <v>10</v>
      </c>
      <c r="H394" s="1">
        <f>SUM(C394:G394)</f>
        <v>7350</v>
      </c>
      <c r="I394" s="10">
        <f>E394/H394</f>
        <v>0.97904761904761906</v>
      </c>
      <c r="J394" s="11">
        <f>1-I394</f>
        <v>2.0952380952380945E-2</v>
      </c>
      <c r="K394">
        <f>H394-E397</f>
        <v>-59</v>
      </c>
      <c r="N394" s="10">
        <f>2*(E398*I394)/(E398+I394)</f>
        <v>0.97513381665424492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9</v>
      </c>
      <c r="E395" s="1">
        <v>167</v>
      </c>
      <c r="F395" s="27">
        <v>2346</v>
      </c>
      <c r="G395" s="6">
        <v>116</v>
      </c>
      <c r="H395" s="1">
        <f>SUM(C395:G395)</f>
        <v>2638</v>
      </c>
      <c r="I395" s="10">
        <f>F395/H395</f>
        <v>0.88931008339651252</v>
      </c>
      <c r="J395" s="11">
        <f>1-I395</f>
        <v>0.11068991660348748</v>
      </c>
      <c r="K395">
        <f>H395-F397</f>
        <v>49</v>
      </c>
      <c r="N395" s="10">
        <f>2*(F398*I395)/(F398+I395)</f>
        <v>0.89764683374784771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0</v>
      </c>
      <c r="E396" s="8">
        <v>12</v>
      </c>
      <c r="F396" s="8">
        <v>205</v>
      </c>
      <c r="G396" s="28">
        <v>773</v>
      </c>
      <c r="H396" s="1">
        <f>SUM(C396:G396)</f>
        <v>990</v>
      </c>
      <c r="I396" s="10">
        <f>G396/H396</f>
        <v>0.78080808080808084</v>
      </c>
      <c r="J396" s="11">
        <f>1-I396</f>
        <v>0.21919191919191916</v>
      </c>
      <c r="K396">
        <f>H396-G397</f>
        <v>89</v>
      </c>
      <c r="N396" s="10">
        <f>2*(G398*I396)/(G398+I396)</f>
        <v>0.81755684822845065</v>
      </c>
      <c r="O396" s="1"/>
      <c r="P396" s="1"/>
    </row>
    <row r="397" spans="1:40" ht="15.6" x14ac:dyDescent="0.35">
      <c r="B397" s="1" t="s">
        <v>19</v>
      </c>
      <c r="C397" s="1">
        <f>SUM(C392:C396)</f>
        <v>259</v>
      </c>
      <c r="D397" s="1">
        <f>SUM(D392:D396)</f>
        <v>426</v>
      </c>
      <c r="E397" s="1">
        <f>SUM(E392:E396)</f>
        <v>7409</v>
      </c>
      <c r="F397" s="1">
        <f>SUM(F392:F396)</f>
        <v>2589</v>
      </c>
      <c r="G397" s="1">
        <f>SUM(G392:G396)</f>
        <v>901</v>
      </c>
      <c r="H397" s="1">
        <f>SUM(H391:H396)</f>
        <v>11584</v>
      </c>
      <c r="I397" s="13" t="s">
        <v>12</v>
      </c>
      <c r="N397" s="16"/>
      <c r="O397" s="1"/>
      <c r="P397" s="1"/>
      <c r="AM397" s="78"/>
      <c r="AN397" s="78"/>
    </row>
    <row r="398" spans="1:40" x14ac:dyDescent="0.3">
      <c r="A398" s="1" t="s">
        <v>57</v>
      </c>
      <c r="B398" s="1" t="s">
        <v>2</v>
      </c>
      <c r="C398" s="10">
        <f>C392/C397</f>
        <v>1</v>
      </c>
      <c r="D398" s="10">
        <f>D393/D397</f>
        <v>0.7300469483568075</v>
      </c>
      <c r="E398" s="10">
        <f>E394/E397</f>
        <v>0.97125118099608587</v>
      </c>
      <c r="F398" s="10">
        <f>F395/F397</f>
        <v>0.90614136732329087</v>
      </c>
      <c r="G398" s="10">
        <f>G396/G397</f>
        <v>0.85793562708102111</v>
      </c>
      <c r="H398" s="10"/>
      <c r="I398" s="14">
        <f>(C392+D393+E394+F395+G396)/H397</f>
        <v>0.93965814917127077</v>
      </c>
    </row>
    <row r="399" spans="1:40" x14ac:dyDescent="0.3">
      <c r="B399" s="1" t="s">
        <v>14</v>
      </c>
      <c r="C399" s="11">
        <f>1-C398</f>
        <v>0</v>
      </c>
      <c r="D399" s="11">
        <f>1-D398</f>
        <v>0.2699530516431925</v>
      </c>
      <c r="E399" s="11">
        <f>1-E398</f>
        <v>2.8748819003914128E-2</v>
      </c>
      <c r="F399" s="11">
        <f>1-F398</f>
        <v>9.3858632676709131E-2</v>
      </c>
      <c r="G399" s="11">
        <f>1-G398</f>
        <v>0.14206437291897889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1.5155860691200023</v>
      </c>
      <c r="D403" s="31">
        <f>(D392/$L403)*$O403</f>
        <v>0</v>
      </c>
      <c r="E403" s="31">
        <f>(E392/$L403)*$O403</f>
        <v>0</v>
      </c>
      <c r="F403" s="31">
        <f>(F392/$L403)*$O403</f>
        <v>0</v>
      </c>
      <c r="G403" s="32">
        <f>(G392/$L403)*$O403</f>
        <v>0</v>
      </c>
      <c r="H403" s="17">
        <f>SUM(C403:G403)</f>
        <v>1.5155860691200023</v>
      </c>
      <c r="I403" s="17">
        <f>C403/H403*100</f>
        <v>100</v>
      </c>
      <c r="J403" s="17">
        <f>SQRT(I403*(100-I403)/(L403-1))</f>
        <v>0</v>
      </c>
      <c r="K403" s="18">
        <f>100-I403</f>
        <v>0</v>
      </c>
      <c r="L403" s="1">
        <f>H392</f>
        <v>259</v>
      </c>
      <c r="M403">
        <v>0</v>
      </c>
      <c r="N403" s="1">
        <v>2991.48</v>
      </c>
      <c r="O403" s="17">
        <f>N403/N408*100</f>
        <v>1.5155860691200023</v>
      </c>
      <c r="P403" s="52">
        <f>((O403*O403*(I403/100)*(K403/100))/(L403-1))</f>
        <v>0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49">(C393/$L404)*$O404</f>
        <v>0</v>
      </c>
      <c r="D404" s="34">
        <f t="shared" si="49"/>
        <v>3.8995402326632633</v>
      </c>
      <c r="E404" s="19">
        <f t="shared" si="49"/>
        <v>0.4263162955323182</v>
      </c>
      <c r="F404" s="18">
        <f t="shared" si="49"/>
        <v>0</v>
      </c>
      <c r="G404" s="20">
        <f t="shared" si="49"/>
        <v>2.5077429148959895E-2</v>
      </c>
      <c r="H404" s="17">
        <f>SUM(C404:G404)</f>
        <v>4.3509339573445409</v>
      </c>
      <c r="I404" s="17">
        <f>D404/H404*100</f>
        <v>89.625360230547557</v>
      </c>
      <c r="J404" s="17">
        <f>SQRT(I404*(100-I404)/(L404-1))</f>
        <v>1.639320691997745</v>
      </c>
      <c r="K404" s="18">
        <f>100-I404</f>
        <v>10.374639769452443</v>
      </c>
      <c r="L404" s="1">
        <f>H393</f>
        <v>347</v>
      </c>
      <c r="M404">
        <v>1</v>
      </c>
      <c r="N404" s="1">
        <v>8587.92</v>
      </c>
      <c r="O404" s="17">
        <f>N404/N408*100</f>
        <v>4.3509339573445418</v>
      </c>
      <c r="P404" s="52">
        <f>((O404*O404*(I404/100)*(K404/100))/(L404-1))</f>
        <v>5.0873641334288075E-3</v>
      </c>
    </row>
    <row r="405" spans="1:40" x14ac:dyDescent="0.3">
      <c r="A405" t="s">
        <v>5</v>
      </c>
      <c r="B405" s="13">
        <v>2</v>
      </c>
      <c r="C405" s="33">
        <f t="shared" si="49"/>
        <v>0</v>
      </c>
      <c r="D405" s="19">
        <f t="shared" si="49"/>
        <v>0.91112730679334353</v>
      </c>
      <c r="E405" s="34">
        <f t="shared" si="49"/>
        <v>61.853510374385849</v>
      </c>
      <c r="F405" s="19">
        <f t="shared" si="49"/>
        <v>0.32663054394478352</v>
      </c>
      <c r="G405" s="20">
        <f t="shared" si="49"/>
        <v>8.5955406301258822E-2</v>
      </c>
      <c r="H405" s="17">
        <f>SUM(C405:G405)</f>
        <v>63.177223631425235</v>
      </c>
      <c r="I405" s="17">
        <f>E405/H405*100</f>
        <v>97.904761904761912</v>
      </c>
      <c r="J405" s="17">
        <f>SQRT(I405*(100-I405)/(L405-1))</f>
        <v>0.16707230908562332</v>
      </c>
      <c r="K405" s="18">
        <f>100-I405</f>
        <v>2.0952380952380878</v>
      </c>
      <c r="L405" s="1">
        <f>H394</f>
        <v>7350</v>
      </c>
      <c r="M405">
        <v>2</v>
      </c>
      <c r="N405" s="1">
        <v>124699.88</v>
      </c>
      <c r="O405" s="17">
        <f>N405/N408*100</f>
        <v>63.177223631425235</v>
      </c>
      <c r="P405" s="52">
        <f>((O405*O405*(I405/100)*(K405/100))/(L405-1))</f>
        <v>1.1141150044495503E-2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49"/>
        <v>0</v>
      </c>
      <c r="D406" s="19">
        <f t="shared" si="49"/>
        <v>7.4252594142809505E-2</v>
      </c>
      <c r="E406" s="19">
        <f t="shared" si="49"/>
        <v>1.3777981357610209</v>
      </c>
      <c r="F406" s="34">
        <f t="shared" si="49"/>
        <v>19.355176206559012</v>
      </c>
      <c r="G406" s="20">
        <f t="shared" si="49"/>
        <v>0.95703343561843368</v>
      </c>
      <c r="H406" s="17">
        <f>SUM(C406:G406)</f>
        <v>21.764260372081278</v>
      </c>
      <c r="I406" s="17">
        <f>F406/H406*100</f>
        <v>88.931008339651243</v>
      </c>
      <c r="J406" s="17">
        <f>SQRT(I406*(100-I406)/(L406-1))</f>
        <v>0.61097800139332159</v>
      </c>
      <c r="K406" s="18">
        <f>100-I406</f>
        <v>11.068991660348757</v>
      </c>
      <c r="L406" s="1">
        <f>H395</f>
        <v>2638</v>
      </c>
      <c r="M406">
        <v>3</v>
      </c>
      <c r="N406" s="1">
        <v>42958.53</v>
      </c>
      <c r="O406" s="17">
        <f>N406/N408*100</f>
        <v>21.764260372081274</v>
      </c>
      <c r="P406" s="52">
        <f>((O406*O406*(I406/100)*(K406/100))/(L406-1))</f>
        <v>1.7682308881347981E-2</v>
      </c>
    </row>
    <row r="407" spans="1:40" x14ac:dyDescent="0.3">
      <c r="A407" t="s">
        <v>7</v>
      </c>
      <c r="B407" s="13">
        <v>4</v>
      </c>
      <c r="C407" s="35">
        <f t="shared" si="49"/>
        <v>0</v>
      </c>
      <c r="D407" s="36">
        <f t="shared" si="49"/>
        <v>0</v>
      </c>
      <c r="E407" s="21">
        <f t="shared" si="49"/>
        <v>0.11141813297004773</v>
      </c>
      <c r="F407" s="21">
        <f t="shared" si="49"/>
        <v>1.9033931049049819</v>
      </c>
      <c r="G407" s="37">
        <f t="shared" si="49"/>
        <v>7.1771847321539077</v>
      </c>
      <c r="H407" s="17">
        <f>SUM(C407:G407)</f>
        <v>9.1919959700289375</v>
      </c>
      <c r="I407" s="17">
        <f>G407/H407*100</f>
        <v>78.080808080808083</v>
      </c>
      <c r="J407" s="17">
        <f>SQRT(I407*(100-I407)/(L407-1))</f>
        <v>1.3154861302486107</v>
      </c>
      <c r="K407" s="18">
        <f>100-I407</f>
        <v>21.919191919191917</v>
      </c>
      <c r="L407" s="1">
        <f>H396</f>
        <v>990</v>
      </c>
      <c r="M407">
        <v>4</v>
      </c>
      <c r="N407" s="1">
        <v>18143.259999999998</v>
      </c>
      <c r="O407" s="17">
        <f>N407/N408*100</f>
        <v>9.1919959700289375</v>
      </c>
      <c r="P407" s="52">
        <f>((O407*O407*(I407/100)*(K407/100))/(L407-1))</f>
        <v>1.4621509054245479E-2</v>
      </c>
      <c r="AM407" s="78"/>
      <c r="AN407" s="78"/>
    </row>
    <row r="408" spans="1:40" x14ac:dyDescent="0.3">
      <c r="B408" t="s">
        <v>28</v>
      </c>
      <c r="C408" s="17">
        <f t="shared" ref="C408:H408" si="50">SUM(C403:C407)</f>
        <v>1.5155860691200023</v>
      </c>
      <c r="D408" s="17">
        <f t="shared" si="50"/>
        <v>4.8849201335994161</v>
      </c>
      <c r="E408" s="17">
        <f t="shared" si="50"/>
        <v>63.769042938649228</v>
      </c>
      <c r="F408" s="17">
        <f t="shared" si="50"/>
        <v>21.585199855408778</v>
      </c>
      <c r="G408" s="17">
        <f t="shared" si="50"/>
        <v>8.2452510032225597</v>
      </c>
      <c r="H408" s="18">
        <f t="shared" si="50"/>
        <v>100</v>
      </c>
      <c r="I408" s="13" t="s">
        <v>24</v>
      </c>
      <c r="J408" s="12" t="s">
        <v>29</v>
      </c>
      <c r="N408" s="1">
        <f>SUM(N403:N407)</f>
        <v>197381.07</v>
      </c>
      <c r="O408" s="17">
        <f>SUM(O403:O407)</f>
        <v>99.999999999999986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0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0.11576659379042346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0.16622549084816465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0.18569293278402388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0.15233448772544475</v>
      </c>
      <c r="H409" s="1"/>
      <c r="I409" s="56">
        <f>(C403+D404+E405+F406+G407)/H408</f>
        <v>0.9380099761488202</v>
      </c>
      <c r="J409" s="53">
        <f>SQRT(SUM(P403:P407))/100</f>
        <v>2.2030054950797958E-3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79.8281266840266</v>
      </c>
      <c r="E410" s="17">
        <f>E405/E408*100</f>
        <v>96.996140327672364</v>
      </c>
      <c r="F410" s="17">
        <f>F406/F408*100</f>
        <v>89.668737543372927</v>
      </c>
      <c r="G410" s="17">
        <f>G407/G408*100</f>
        <v>87.04628554484016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3.3014686356290679</v>
      </c>
      <c r="E411" s="18">
        <f>SQRT((E414+E415)/(E408*E408))</f>
        <v>0.20166901389637643</v>
      </c>
      <c r="F411" s="18">
        <f>SQRT((F414+F415)/(F408*F408))</f>
        <v>0.83387835101196994</v>
      </c>
      <c r="G411" s="18">
        <f>SQRT((G414+G415)/(G408*G408))</f>
        <v>2.1372199090750525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20.1718733159734</v>
      </c>
      <c r="E412" s="18">
        <f>100-E410</f>
        <v>3.0038596723276356</v>
      </c>
      <c r="F412" s="18">
        <f>100-F410</f>
        <v>10.331262456627073</v>
      </c>
      <c r="G412" s="18">
        <f>100-G410</f>
        <v>12.95371445515984</v>
      </c>
    </row>
    <row r="413" spans="1:40" ht="15.6" x14ac:dyDescent="0.35">
      <c r="B413" s="1" t="s">
        <v>25</v>
      </c>
      <c r="C413" s="1">
        <f>C397</f>
        <v>259</v>
      </c>
      <c r="D413" s="1">
        <f>D397</f>
        <v>426</v>
      </c>
      <c r="E413" s="1">
        <f>E397</f>
        <v>7409</v>
      </c>
      <c r="F413" s="1">
        <f>F397</f>
        <v>2589</v>
      </c>
      <c r="G413" s="1">
        <f>G397</f>
        <v>901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207.00712220569611</v>
      </c>
      <c r="E414" s="18">
        <f>(O405*O405*(100-E410)*(100-E410)*(I405)*(100-I405))/((L405-1)*100)</f>
        <v>10.052852350210559</v>
      </c>
      <c r="F414" s="18">
        <f>(O406*O406*(100-F410)*(100-F410)*(I406)*(100-I406))/((L406-1)*100)</f>
        <v>188.7320954609163</v>
      </c>
      <c r="G414" s="18">
        <f>(O407*O407*(100-G410)*(100-G410)*(I407)*(100-I407))/((L407-1)*100)</f>
        <v>245.34704772447085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53.086250733701405</v>
      </c>
      <c r="E415" s="18">
        <f>E410*E410*(SUM((H403*E403*(1-E392/H392))/(H392-1),(H404*E404*(1-E393/H393))/(H393-1), (H406*E406*(1-E395/H395))/(H395-1),(H407*E407*(1-E396/H396))/(H396-1)))</f>
        <v>155.33292067593769</v>
      </c>
      <c r="F415" s="18">
        <f>F410*F410*(SUM((H403*F403*(1-F392/H392))/(H392-1),(H404*F404*(1-F393/H393))/(H393-1), (H405*F405*(1-F394/H394))/(H394-1),(H407*F407*(1-F396/H396))/(H396-1)))</f>
        <v>135.24741588391714</v>
      </c>
      <c r="G415" s="18">
        <f>G410*G410*(SUM((H403*G403*(1-G392/H392))/(H392-1),(H404*G404*(1-G393/H393))/(H393-1), (H405*G405*(1-G394/H394))/(H394-1),(H406*G406*(1-G395/H395))/(H395-1)))</f>
        <v>65.184826424368723</v>
      </c>
      <c r="AM415" s="78"/>
      <c r="AN415" s="78"/>
    </row>
    <row r="417" spans="1:40" x14ac:dyDescent="0.3">
      <c r="AM417" s="78"/>
      <c r="AN417" s="78"/>
    </row>
    <row r="418" spans="1:40" x14ac:dyDescent="0.3">
      <c r="A418" s="361" t="s">
        <v>455</v>
      </c>
      <c r="B418" s="361"/>
      <c r="C418" s="361"/>
      <c r="D418" s="361"/>
      <c r="E418" s="361"/>
      <c r="F418" s="361"/>
      <c r="G418" s="361"/>
      <c r="H418" s="361"/>
      <c r="I418" s="361"/>
      <c r="J418" s="361"/>
      <c r="K418" s="361"/>
      <c r="L418" s="361" t="s">
        <v>92</v>
      </c>
      <c r="M418" s="361"/>
      <c r="N418" s="361"/>
      <c r="O418" s="361"/>
      <c r="P418" s="361"/>
    </row>
    <row r="419" spans="1:40" x14ac:dyDescent="0.3">
      <c r="A419" t="s">
        <v>15</v>
      </c>
      <c r="B419" t="s">
        <v>21</v>
      </c>
      <c r="I419" s="1" t="s">
        <v>58</v>
      </c>
      <c r="O419" s="143"/>
      <c r="P419" s="143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56</v>
      </c>
      <c r="O420" s="13"/>
      <c r="P420" s="13"/>
    </row>
    <row r="421" spans="1:40" x14ac:dyDescent="0.3">
      <c r="A421" t="s">
        <v>3</v>
      </c>
      <c r="B421" s="13">
        <v>0</v>
      </c>
      <c r="C421" s="26">
        <v>259</v>
      </c>
      <c r="D421" s="3">
        <v>0</v>
      </c>
      <c r="E421" s="3">
        <v>0</v>
      </c>
      <c r="F421" s="3">
        <v>0</v>
      </c>
      <c r="G421" s="4">
        <v>0</v>
      </c>
      <c r="H421" s="1">
        <f>SUM(C421:G421)</f>
        <v>259</v>
      </c>
      <c r="I421" s="10">
        <f>C421/H421</f>
        <v>1</v>
      </c>
      <c r="J421" s="11">
        <f>1-I421</f>
        <v>0</v>
      </c>
      <c r="K421">
        <f>H421-C426</f>
        <v>0</v>
      </c>
      <c r="N421" s="10">
        <f>2*(C427*I421)/(C427+I421)</f>
        <v>1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315</v>
      </c>
      <c r="E422" s="1">
        <v>30</v>
      </c>
      <c r="F422" s="1">
        <v>0</v>
      </c>
      <c r="G422" s="6">
        <v>2</v>
      </c>
      <c r="H422" s="1">
        <f>SUM(C422:G422)</f>
        <v>347</v>
      </c>
      <c r="I422" s="10">
        <f>D422/H422</f>
        <v>0.90778097982708938</v>
      </c>
      <c r="J422" s="11">
        <f>1-I422</f>
        <v>9.2219020172910615E-2</v>
      </c>
      <c r="K422">
        <f>H422-D426</f>
        <v>-86</v>
      </c>
      <c r="N422" s="10">
        <f>2*(D427*I422)/(D427+I422)</f>
        <v>0.80769230769230771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109</v>
      </c>
      <c r="E423" s="27">
        <v>7194</v>
      </c>
      <c r="F423" s="1">
        <v>39</v>
      </c>
      <c r="G423" s="6">
        <v>8</v>
      </c>
      <c r="H423" s="1">
        <f>SUM(C423:G423)</f>
        <v>7350</v>
      </c>
      <c r="I423" s="10">
        <f>E423/H423</f>
        <v>0.9787755102040816</v>
      </c>
      <c r="J423" s="11">
        <f>1-I423</f>
        <v>2.12244897959184E-2</v>
      </c>
      <c r="K423">
        <f>H423-E426</f>
        <v>-52</v>
      </c>
      <c r="N423" s="10">
        <f>2*(E427*I423)/(E427+I423)</f>
        <v>0.97532537960954446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8</v>
      </c>
      <c r="E424" s="1">
        <v>168</v>
      </c>
      <c r="F424" s="27">
        <v>2349</v>
      </c>
      <c r="G424" s="6">
        <v>113</v>
      </c>
      <c r="H424" s="1">
        <f>SUM(C424:G424)</f>
        <v>2638</v>
      </c>
      <c r="I424" s="10">
        <f>F424/H424</f>
        <v>0.89044730856709631</v>
      </c>
      <c r="J424" s="11">
        <f>1-I424</f>
        <v>0.10955269143290369</v>
      </c>
      <c r="K424">
        <f>H424-F426</f>
        <v>44</v>
      </c>
      <c r="N424" s="10">
        <f>2*(F427*I424)/(F427+I424)</f>
        <v>0.89793577981651385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1</v>
      </c>
      <c r="E425" s="8">
        <v>10</v>
      </c>
      <c r="F425" s="8">
        <v>206</v>
      </c>
      <c r="G425" s="28">
        <v>773</v>
      </c>
      <c r="H425" s="1">
        <f>SUM(C425:G425)</f>
        <v>990</v>
      </c>
      <c r="I425" s="10">
        <f>G425/H425</f>
        <v>0.78080808080808084</v>
      </c>
      <c r="J425" s="11">
        <f>1-I425</f>
        <v>0.21919191919191916</v>
      </c>
      <c r="K425">
        <f>H425-G426</f>
        <v>94</v>
      </c>
      <c r="N425" s="10">
        <f>2*(G427*I425)/(G427+I425)</f>
        <v>0.81972428419936372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259</v>
      </c>
      <c r="D426" s="1">
        <f>SUM(D421:D425)</f>
        <v>433</v>
      </c>
      <c r="E426" s="1">
        <f>SUM(E421:E425)</f>
        <v>7402</v>
      </c>
      <c r="F426" s="1">
        <f>SUM(F421:F425)</f>
        <v>2594</v>
      </c>
      <c r="G426" s="1">
        <f>SUM(G421:G425)</f>
        <v>896</v>
      </c>
      <c r="H426" s="1">
        <f>SUM(H420:H425)</f>
        <v>11584</v>
      </c>
      <c r="I426" s="13" t="s">
        <v>12</v>
      </c>
      <c r="N426" s="16"/>
      <c r="O426" s="1"/>
      <c r="P426" s="1"/>
    </row>
    <row r="427" spans="1:40" x14ac:dyDescent="0.3">
      <c r="A427" s="1" t="s">
        <v>57</v>
      </c>
      <c r="B427" s="1" t="s">
        <v>2</v>
      </c>
      <c r="C427" s="10">
        <f>C421/C426</f>
        <v>1</v>
      </c>
      <c r="D427" s="10">
        <f>D422/D426</f>
        <v>0.72748267898383367</v>
      </c>
      <c r="E427" s="10">
        <f>E423/E426</f>
        <v>0.9718994866252364</v>
      </c>
      <c r="F427" s="10">
        <f>F424/F426</f>
        <v>0.90555127216653819</v>
      </c>
      <c r="G427" s="10">
        <f>G425/G426</f>
        <v>0.8627232142857143</v>
      </c>
      <c r="H427" s="10"/>
      <c r="I427" s="14">
        <f>(C421+D422+E423+F424+G425)/H426</f>
        <v>0.94008977900552482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0.27251732101616633</v>
      </c>
      <c r="E428" s="11">
        <f>1-E427</f>
        <v>2.8100513374763603E-2</v>
      </c>
      <c r="F428" s="11">
        <f>1-F427</f>
        <v>9.444872783346181E-2</v>
      </c>
      <c r="G428" s="11">
        <f>1-G427</f>
        <v>0.1372767857142857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1.5168476651204525</v>
      </c>
      <c r="D432" s="31">
        <f>(D421/$L432)*$O432</f>
        <v>0</v>
      </c>
      <c r="E432" s="31">
        <f>(E421/$L432)*$O432</f>
        <v>0</v>
      </c>
      <c r="F432" s="31">
        <f>(F421/$L432)*$O432</f>
        <v>0</v>
      </c>
      <c r="G432" s="32">
        <f>(G421/$L432)*$O432</f>
        <v>0</v>
      </c>
      <c r="H432" s="17">
        <f>SUM(C432:G432)</f>
        <v>1.5168476651204525</v>
      </c>
      <c r="I432" s="17">
        <f>C432/H432*100</f>
        <v>100</v>
      </c>
      <c r="J432" s="17">
        <f>SQRT(I432*(100-I432)/(L432-1))</f>
        <v>0</v>
      </c>
      <c r="K432" s="18">
        <f>100-I432</f>
        <v>0</v>
      </c>
      <c r="L432" s="1">
        <f>H421</f>
        <v>259</v>
      </c>
      <c r="M432">
        <v>0</v>
      </c>
      <c r="N432" s="1">
        <v>2993.97</v>
      </c>
      <c r="O432" s="17">
        <f>N432/N437*100</f>
        <v>1.5168476651204525</v>
      </c>
      <c r="P432" s="52">
        <f>((O432*O432*(I432/100)*(K432/100))/(L432-1))</f>
        <v>0</v>
      </c>
    </row>
    <row r="433" spans="1:40" x14ac:dyDescent="0.3">
      <c r="A433" t="s">
        <v>4</v>
      </c>
      <c r="B433" s="13">
        <v>1</v>
      </c>
      <c r="C433" s="33">
        <f t="shared" ref="C433:G436" si="51">(C422/$L433)*$O433</f>
        <v>0</v>
      </c>
      <c r="D433" s="34">
        <f t="shared" si="51"/>
        <v>3.8770382493049604</v>
      </c>
      <c r="E433" s="19">
        <f t="shared" si="51"/>
        <v>0.36924173802904386</v>
      </c>
      <c r="F433" s="18">
        <f t="shared" si="51"/>
        <v>0</v>
      </c>
      <c r="G433" s="20">
        <f t="shared" si="51"/>
        <v>2.461611586860292E-2</v>
      </c>
      <c r="H433" s="17">
        <f>SUM(C433:G433)</f>
        <v>4.2708961032026069</v>
      </c>
      <c r="I433" s="17">
        <f>D433/H433*100</f>
        <v>90.778097982708942</v>
      </c>
      <c r="J433" s="17">
        <f>SQRT(I433*(100-I433)/(L433-1))</f>
        <v>1.555473948656704</v>
      </c>
      <c r="K433" s="18">
        <f>100-I433</f>
        <v>9.2219020172910575</v>
      </c>
      <c r="L433" s="1">
        <f>H422</f>
        <v>347</v>
      </c>
      <c r="M433">
        <v>1</v>
      </c>
      <c r="N433" s="1">
        <v>8429.94</v>
      </c>
      <c r="O433" s="17">
        <f>N433/N437*100</f>
        <v>4.2708961032026069</v>
      </c>
      <c r="P433" s="52">
        <f>((O433*O433*(I433/100)*(K433/100))/(L433-1))</f>
        <v>4.4133004750009815E-3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51"/>
        <v>0</v>
      </c>
      <c r="D434" s="19">
        <f t="shared" si="51"/>
        <v>0.93518853507900657</v>
      </c>
      <c r="E434" s="34">
        <f t="shared" si="51"/>
        <v>61.722443315214427</v>
      </c>
      <c r="F434" s="19">
        <f t="shared" si="51"/>
        <v>0.33460874190900236</v>
      </c>
      <c r="G434" s="20">
        <f t="shared" si="51"/>
        <v>6.8637690648000474E-2</v>
      </c>
      <c r="H434" s="17">
        <f>SUM(C434:G434)</f>
        <v>63.060878282850439</v>
      </c>
      <c r="I434" s="17">
        <f>E434/H434*100</f>
        <v>97.877551020408163</v>
      </c>
      <c r="J434" s="17">
        <f>SQRT(I434*(100-I434)/(L434-1))</f>
        <v>0.16813032525799282</v>
      </c>
      <c r="K434" s="18">
        <f>100-I434</f>
        <v>2.1224489795918373</v>
      </c>
      <c r="L434" s="1">
        <f>H423</f>
        <v>7350</v>
      </c>
      <c r="M434">
        <v>2</v>
      </c>
      <c r="N434" s="1">
        <v>124470.23</v>
      </c>
      <c r="O434" s="17">
        <f>N434/N437*100</f>
        <v>63.060878282850439</v>
      </c>
      <c r="P434" s="52">
        <f>((O434*O434*(I434/100)*(K434/100))/(L434-1))</f>
        <v>1.1241186068990945E-2</v>
      </c>
    </row>
    <row r="435" spans="1:40" x14ac:dyDescent="0.3">
      <c r="A435" t="s">
        <v>6</v>
      </c>
      <c r="B435" s="13">
        <v>3</v>
      </c>
      <c r="C435" s="33">
        <f t="shared" si="51"/>
        <v>0</v>
      </c>
      <c r="D435" s="19">
        <f t="shared" si="51"/>
        <v>6.6200722420962352E-2</v>
      </c>
      <c r="E435" s="19">
        <f t="shared" si="51"/>
        <v>1.3902151708402095</v>
      </c>
      <c r="F435" s="34">
        <f t="shared" si="51"/>
        <v>19.438187120855069</v>
      </c>
      <c r="G435" s="20">
        <f t="shared" si="51"/>
        <v>0.9350852041960932</v>
      </c>
      <c r="H435" s="17">
        <f>SUM(C435:G435)</f>
        <v>21.829688218312334</v>
      </c>
      <c r="I435" s="17">
        <f>F435/H435*100</f>
        <v>89.044730856709634</v>
      </c>
      <c r="J435" s="17">
        <f>SQRT(I435*(100-I435)/(L435-1))</f>
        <v>0.60821982743562353</v>
      </c>
      <c r="K435" s="18">
        <f>100-I435</f>
        <v>10.955269143290366</v>
      </c>
      <c r="L435" s="1">
        <f>H424</f>
        <v>2638</v>
      </c>
      <c r="M435">
        <v>3</v>
      </c>
      <c r="N435" s="1">
        <v>43087.67</v>
      </c>
      <c r="O435" s="17">
        <f>N435/N437*100</f>
        <v>21.829688218312334</v>
      </c>
      <c r="P435" s="52">
        <f>((O435*O435*(I435/100)*(K435/100))/(L435-1))</f>
        <v>1.7628534634851933E-2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51"/>
        <v>0</v>
      </c>
      <c r="D436" s="36">
        <f t="shared" si="51"/>
        <v>9.4158482126405693E-3</v>
      </c>
      <c r="E436" s="21">
        <f t="shared" si="51"/>
        <v>9.4158482126405707E-2</v>
      </c>
      <c r="F436" s="21">
        <f t="shared" si="51"/>
        <v>1.9396647318039575</v>
      </c>
      <c r="G436" s="37">
        <f t="shared" si="51"/>
        <v>7.2784506683711605</v>
      </c>
      <c r="H436" s="17">
        <f>SUM(C436:G436)</f>
        <v>9.3216897305141639</v>
      </c>
      <c r="I436" s="17">
        <f>G436/H436*100</f>
        <v>78.080808080808083</v>
      </c>
      <c r="J436" s="17">
        <f>SQRT(I436*(100-I436)/(L436-1))</f>
        <v>1.3154861302486107</v>
      </c>
      <c r="K436" s="18">
        <f>100-I436</f>
        <v>21.919191919191917</v>
      </c>
      <c r="L436" s="1">
        <f>H425</f>
        <v>990</v>
      </c>
      <c r="M436">
        <v>4</v>
      </c>
      <c r="N436" s="1">
        <v>18399.25</v>
      </c>
      <c r="O436" s="17">
        <f>N436/N437*100</f>
        <v>9.3216897305141639</v>
      </c>
      <c r="P436" s="52">
        <f>((O436*O436*(I436/100)*(K436/100))/(L436-1))</f>
        <v>1.5037021959046314E-2</v>
      </c>
    </row>
    <row r="437" spans="1:40" x14ac:dyDescent="0.3">
      <c r="B437" t="s">
        <v>28</v>
      </c>
      <c r="C437" s="17">
        <f t="shared" ref="C437:H437" si="52">SUM(C432:C436)</f>
        <v>1.5168476651204525</v>
      </c>
      <c r="D437" s="17">
        <f t="shared" si="52"/>
        <v>4.8878433550175693</v>
      </c>
      <c r="E437" s="17">
        <f t="shared" si="52"/>
        <v>63.576058706210084</v>
      </c>
      <c r="F437" s="17">
        <f t="shared" si="52"/>
        <v>21.712460594568029</v>
      </c>
      <c r="G437" s="17">
        <f t="shared" si="52"/>
        <v>8.3067896790838578</v>
      </c>
      <c r="H437" s="18">
        <f t="shared" si="52"/>
        <v>99.999999999999986</v>
      </c>
      <c r="I437" s="13" t="s">
        <v>24</v>
      </c>
      <c r="J437" s="12" t="s">
        <v>29</v>
      </c>
      <c r="N437" s="1">
        <f>SUM(N432:N436)</f>
        <v>197381.06</v>
      </c>
      <c r="O437" s="17">
        <f>SUM(O432:O436)</f>
        <v>99.999999999999986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0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0.11375396187272782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0.16444008404992655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0.18692445493356599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0.15270157556346176</v>
      </c>
      <c r="H438" s="1"/>
      <c r="I438" s="56">
        <f>(C432+D433+E434+F435+G436)/H437</f>
        <v>0.93832967018866087</v>
      </c>
      <c r="J438" s="53">
        <f>SQRT(SUM(P432:P436))/100</f>
        <v>2.1981820474630889E-3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79.320018415177401</v>
      </c>
      <c r="E439" s="17">
        <f>E434/E437*100</f>
        <v>97.084412861197706</v>
      </c>
      <c r="F439" s="17">
        <f>F435/F437*100</f>
        <v>89.525491761712487</v>
      </c>
      <c r="G439" s="17">
        <f>G436/G437*100</f>
        <v>87.620500211989111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3.18578637305614</v>
      </c>
      <c r="E440" s="18">
        <f>SQRT((E443+E444)/(E437*E437))</f>
        <v>0.19811607647346927</v>
      </c>
      <c r="F440" s="18">
        <f>SQRT((F443+F444)/(F437*F437))</f>
        <v>0.83961915901001061</v>
      </c>
      <c r="G440" s="18">
        <f>SQRT((G443+G444)/(G437*G437))</f>
        <v>2.0647256439387616</v>
      </c>
      <c r="H440" s="1"/>
    </row>
    <row r="441" spans="1:40" x14ac:dyDescent="0.3">
      <c r="B441" s="1" t="s">
        <v>37</v>
      </c>
      <c r="C441" s="18">
        <f>100-C439</f>
        <v>0</v>
      </c>
      <c r="D441" s="18">
        <f>100-D439</f>
        <v>20.679981584822599</v>
      </c>
      <c r="E441" s="18">
        <f>100-E439</f>
        <v>2.9155871388022945</v>
      </c>
      <c r="F441" s="18">
        <f>100-F439</f>
        <v>10.474508238287513</v>
      </c>
      <c r="G441" s="18">
        <f>100-G439</f>
        <v>12.379499788010889</v>
      </c>
      <c r="AM441" s="78"/>
      <c r="AN441" s="78"/>
    </row>
    <row r="442" spans="1:40" ht="15.6" x14ac:dyDescent="0.35">
      <c r="B442" s="1" t="s">
        <v>25</v>
      </c>
      <c r="C442" s="1">
        <f>C426</f>
        <v>259</v>
      </c>
      <c r="D442" s="1">
        <f>D426</f>
        <v>433</v>
      </c>
      <c r="E442" s="1">
        <f>E426</f>
        <v>7402</v>
      </c>
      <c r="F442" s="1">
        <f>F426</f>
        <v>2594</v>
      </c>
      <c r="G442" s="1">
        <f>G426</f>
        <v>896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188.73993116635828</v>
      </c>
      <c r="E443" s="18">
        <f>(O434*O434*(100-E439)*(100-E439)*(I434)*(100-I434))/((L434-1)*100)</f>
        <v>9.5557369966218122</v>
      </c>
      <c r="F443" s="18">
        <f>(O435*O435*(100-F439)*(100-F439)*(I435)*(100-I435))/((L435-1)*100)</f>
        <v>193.41203685523013</v>
      </c>
      <c r="G443" s="18">
        <f>(O436*O436*(100-G439)*(100-G439)*(I436)*(100-I436))/((L436-1)*100)</f>
        <v>230.44539148435709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53.7355663145214</v>
      </c>
      <c r="E444" s="18">
        <f>E439*E439*(SUM((H432*E432*(1-E421/H421))/(H421-1),(H433*E433*(1-E422/H422))/(H422-1), (H435*E435*(1-E424/H424))/(H424-1),(H436*E436*(1-E425/H425))/(H425-1)))</f>
        <v>149.08935437802143</v>
      </c>
      <c r="F444" s="18">
        <f>F439*F439*(SUM((H432*F432*(1-F421/H421))/(H421-1),(H433*F433*(1-F422/H422))/(H422-1), (H434*F434*(1-F423/H423))/(H423-1),(H436*F436*(1-F425/H425))/(H425-1)))</f>
        <v>138.92807878015395</v>
      </c>
      <c r="G444" s="18">
        <f>G439*G439*(SUM((H432*G432*(1-G421/H421))/(H421-1),(H433*G433*(1-G422/H422))/(H422-1), (H434*G434*(1-G423/H423))/(H423-1),(H435*G435*(1-G424/H424))/(H424-1)))</f>
        <v>63.719699311297781</v>
      </c>
    </row>
    <row r="445" spans="1:40" x14ac:dyDescent="0.3">
      <c r="AM445" s="78"/>
      <c r="AN445" s="78"/>
    </row>
    <row r="447" spans="1:40" x14ac:dyDescent="0.3">
      <c r="A447" s="361" t="s">
        <v>455</v>
      </c>
      <c r="B447" s="361"/>
      <c r="C447" s="361"/>
      <c r="D447" s="361"/>
      <c r="E447" s="361"/>
      <c r="F447" s="361"/>
      <c r="G447" s="361"/>
      <c r="H447" s="361"/>
      <c r="I447" s="361"/>
      <c r="J447" s="361"/>
      <c r="K447" s="361"/>
      <c r="L447" s="361" t="s">
        <v>93</v>
      </c>
      <c r="M447" s="361"/>
      <c r="N447" s="361"/>
      <c r="O447" s="361"/>
      <c r="P447" s="361"/>
      <c r="AM447" s="78"/>
      <c r="AN447" s="78"/>
    </row>
    <row r="448" spans="1:40" x14ac:dyDescent="0.3">
      <c r="A448" t="s">
        <v>15</v>
      </c>
      <c r="B448" t="s">
        <v>21</v>
      </c>
      <c r="I448" s="1" t="s">
        <v>58</v>
      </c>
      <c r="O448" s="143"/>
      <c r="P448" s="143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56</v>
      </c>
      <c r="O449" s="13"/>
      <c r="P449" s="13"/>
      <c r="AM449" s="78"/>
      <c r="AN449" s="78"/>
    </row>
    <row r="450" spans="1:40" x14ac:dyDescent="0.3">
      <c r="A450" t="s">
        <v>3</v>
      </c>
      <c r="B450" s="13">
        <v>0</v>
      </c>
      <c r="C450" s="26">
        <v>259</v>
      </c>
      <c r="D450" s="3">
        <v>0</v>
      </c>
      <c r="E450" s="3">
        <v>0</v>
      </c>
      <c r="F450" s="3">
        <v>0</v>
      </c>
      <c r="G450" s="4">
        <v>0</v>
      </c>
      <c r="H450" s="1">
        <f>SUM(C450:G450)</f>
        <v>259</v>
      </c>
      <c r="I450" s="10">
        <f>C450/H450</f>
        <v>1</v>
      </c>
      <c r="J450" s="11">
        <f>1-I450</f>
        <v>0</v>
      </c>
      <c r="K450">
        <f>H450-C455</f>
        <v>0</v>
      </c>
      <c r="N450" s="10">
        <f>2*(C456*I450)/(C456+I450)</f>
        <v>1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311</v>
      </c>
      <c r="E451" s="1">
        <v>34</v>
      </c>
      <c r="F451" s="1">
        <v>0</v>
      </c>
      <c r="G451" s="6">
        <v>2</v>
      </c>
      <c r="H451" s="1">
        <f>SUM(C451:G451)</f>
        <v>347</v>
      </c>
      <c r="I451" s="10">
        <f>D451/H451</f>
        <v>0.89625360230547546</v>
      </c>
      <c r="J451" s="11">
        <f>1-I451</f>
        <v>0.10374639769452454</v>
      </c>
      <c r="K451">
        <f>H451-D455</f>
        <v>-93</v>
      </c>
      <c r="N451" s="10">
        <f>2*(D456*I451)/(D456+I451)</f>
        <v>0.79034307496823375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119</v>
      </c>
      <c r="E452" s="27">
        <v>7189</v>
      </c>
      <c r="F452" s="1">
        <v>36</v>
      </c>
      <c r="G452" s="6">
        <v>6</v>
      </c>
      <c r="H452" s="1">
        <f>SUM(C452:G452)</f>
        <v>7350</v>
      </c>
      <c r="I452" s="10">
        <f>E452/H452</f>
        <v>0.97809523809523813</v>
      </c>
      <c r="J452" s="11">
        <f>1-I452</f>
        <v>2.1904761904761871E-2</v>
      </c>
      <c r="K452">
        <f>H452-E455</f>
        <v>-68</v>
      </c>
      <c r="N452" s="10">
        <f>2*(E456*I452)/(E456+I452)</f>
        <v>0.97359154929577463</v>
      </c>
      <c r="O452" s="1"/>
      <c r="P452" s="1"/>
    </row>
    <row r="453" spans="1:40" x14ac:dyDescent="0.3">
      <c r="A453" t="s">
        <v>6</v>
      </c>
      <c r="B453" s="13">
        <v>3</v>
      </c>
      <c r="C453" s="5">
        <v>0</v>
      </c>
      <c r="D453" s="1">
        <v>10</v>
      </c>
      <c r="E453" s="1">
        <v>181</v>
      </c>
      <c r="F453" s="27">
        <v>2331</v>
      </c>
      <c r="G453" s="6">
        <v>116</v>
      </c>
      <c r="H453" s="1">
        <f>SUM(C453:G453)</f>
        <v>2638</v>
      </c>
      <c r="I453" s="10">
        <f>F453/H453</f>
        <v>0.88362395754359369</v>
      </c>
      <c r="J453" s="11">
        <f>1-I453</f>
        <v>0.11637604245640631</v>
      </c>
      <c r="K453">
        <f>H453-F455</f>
        <v>47</v>
      </c>
      <c r="N453" s="10">
        <f>2*(F456*I453)/(F456+I453)</f>
        <v>0.89156626506024095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0</v>
      </c>
      <c r="E454" s="8">
        <v>14</v>
      </c>
      <c r="F454" s="8">
        <v>224</v>
      </c>
      <c r="G454" s="28">
        <v>752</v>
      </c>
      <c r="H454" s="1">
        <f>SUM(C454:G454)</f>
        <v>990</v>
      </c>
      <c r="I454" s="10">
        <f>G454/H454</f>
        <v>0.7595959595959596</v>
      </c>
      <c r="J454" s="11">
        <f>1-I454</f>
        <v>0.2404040404040404</v>
      </c>
      <c r="K454">
        <f>H454-G455</f>
        <v>114</v>
      </c>
      <c r="N454" s="10">
        <f>2*(G456*I454)/(G456+I454)</f>
        <v>0.80600214362272238</v>
      </c>
      <c r="O454" s="1"/>
      <c r="P454" s="1"/>
    </row>
    <row r="455" spans="1:40" ht="15.6" x14ac:dyDescent="0.35">
      <c r="B455" s="1" t="s">
        <v>19</v>
      </c>
      <c r="C455" s="1">
        <f>SUM(C450:C454)</f>
        <v>259</v>
      </c>
      <c r="D455" s="1">
        <f>SUM(D450:D454)</f>
        <v>440</v>
      </c>
      <c r="E455" s="1">
        <f>SUM(E450:E454)</f>
        <v>7418</v>
      </c>
      <c r="F455" s="1">
        <f>SUM(F450:F454)</f>
        <v>2591</v>
      </c>
      <c r="G455" s="1">
        <f>SUM(G450:G454)</f>
        <v>876</v>
      </c>
      <c r="H455" s="1">
        <f>SUM(H449:H454)</f>
        <v>11584</v>
      </c>
      <c r="I455" s="13" t="s">
        <v>12</v>
      </c>
      <c r="N455" s="16"/>
      <c r="O455" s="1"/>
      <c r="P455" s="1"/>
      <c r="AM455" s="78"/>
      <c r="AN455" s="78"/>
    </row>
    <row r="456" spans="1:40" x14ac:dyDescent="0.3">
      <c r="A456" s="1" t="s">
        <v>57</v>
      </c>
      <c r="B456" s="1" t="s">
        <v>2</v>
      </c>
      <c r="C456" s="10">
        <f>C450/C455</f>
        <v>1</v>
      </c>
      <c r="D456" s="10">
        <f>D451/D455</f>
        <v>0.70681818181818179</v>
      </c>
      <c r="E456" s="10">
        <f>E452/E455</f>
        <v>0.9691291453221893</v>
      </c>
      <c r="F456" s="10">
        <f>F453/F455</f>
        <v>0.89965264376688536</v>
      </c>
      <c r="G456" s="10">
        <f>G454/G455</f>
        <v>0.85844748858447484</v>
      </c>
      <c r="H456" s="10"/>
      <c r="I456" s="14">
        <f>(C450+D451+E452+F453+G454)/H455</f>
        <v>0.93594613259668513</v>
      </c>
    </row>
    <row r="457" spans="1:40" x14ac:dyDescent="0.3">
      <c r="B457" s="1" t="s">
        <v>14</v>
      </c>
      <c r="C457" s="11">
        <f>1-C456</f>
        <v>0</v>
      </c>
      <c r="D457" s="11">
        <f>1-D456</f>
        <v>0.29318181818181821</v>
      </c>
      <c r="E457" s="11">
        <f>1-E456</f>
        <v>3.08708546778107E-2</v>
      </c>
      <c r="F457" s="11">
        <f>1-F456</f>
        <v>0.10034735623311464</v>
      </c>
      <c r="G457" s="11">
        <f>1-G456</f>
        <v>0.14155251141552516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1.5386076050052626</v>
      </c>
      <c r="D461" s="31">
        <f>(D450/$L461)*$O461</f>
        <v>0</v>
      </c>
      <c r="E461" s="31">
        <f>(E450/$L461)*$O461</f>
        <v>0</v>
      </c>
      <c r="F461" s="31">
        <f>(F450/$L461)*$O461</f>
        <v>0</v>
      </c>
      <c r="G461" s="32">
        <f>(G450/$L461)*$O461</f>
        <v>0</v>
      </c>
      <c r="H461" s="17">
        <f>SUM(C461:G461)</f>
        <v>1.5386076050052626</v>
      </c>
      <c r="I461" s="17">
        <f>C461/H461*100</f>
        <v>100</v>
      </c>
      <c r="J461" s="17">
        <f>SQRT(I461*(100-I461)/(L461-1))</f>
        <v>0</v>
      </c>
      <c r="K461" s="18">
        <f>100-I461</f>
        <v>0</v>
      </c>
      <c r="L461" s="1">
        <f>H450</f>
        <v>259</v>
      </c>
      <c r="M461">
        <v>0</v>
      </c>
      <c r="N461" s="1">
        <v>3036.92</v>
      </c>
      <c r="O461" s="17">
        <f>N461/N466*100</f>
        <v>1.5386076050052626</v>
      </c>
      <c r="P461" s="52">
        <f>((O461*O461*(I461/100)*(K461/100))/(L461-1))</f>
        <v>0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53">(C451/$L462)*$O462</f>
        <v>0</v>
      </c>
      <c r="D462" s="34">
        <f t="shared" si="53"/>
        <v>4.105149111050058</v>
      </c>
      <c r="E462" s="19">
        <f t="shared" si="53"/>
        <v>0.44879443657781987</v>
      </c>
      <c r="F462" s="18">
        <f t="shared" si="53"/>
        <v>0</v>
      </c>
      <c r="G462" s="20">
        <f t="shared" si="53"/>
        <v>2.6399672739871757E-2</v>
      </c>
      <c r="H462" s="17">
        <f>SUM(C462:G462)</f>
        <v>4.580343220367749</v>
      </c>
      <c r="I462" s="17">
        <f>D462/H462*100</f>
        <v>89.625360230547557</v>
      </c>
      <c r="J462" s="17">
        <f>SQRT(I462*(100-I462)/(L462-1))</f>
        <v>1.639320691997745</v>
      </c>
      <c r="K462" s="18">
        <f>100-I462</f>
        <v>10.374639769452443</v>
      </c>
      <c r="L462" s="1">
        <f>H451</f>
        <v>347</v>
      </c>
      <c r="M462">
        <v>1</v>
      </c>
      <c r="N462" s="1">
        <v>9040.73</v>
      </c>
      <c r="O462" s="17">
        <f>N462/N466*100</f>
        <v>4.5803432203677499</v>
      </c>
      <c r="P462" s="52">
        <f>((O462*O462*(I462/100)*(K462/100))/(L462-1))</f>
        <v>5.6379846111033081E-3</v>
      </c>
    </row>
    <row r="463" spans="1:40" x14ac:dyDescent="0.3">
      <c r="A463" t="s">
        <v>5</v>
      </c>
      <c r="B463" s="13">
        <v>2</v>
      </c>
      <c r="C463" s="33">
        <f t="shared" si="53"/>
        <v>0</v>
      </c>
      <c r="D463" s="19">
        <f t="shared" si="53"/>
        <v>1.0222605041474693</v>
      </c>
      <c r="E463" s="34">
        <f t="shared" si="53"/>
        <v>61.756561044673589</v>
      </c>
      <c r="F463" s="19">
        <f t="shared" si="53"/>
        <v>0.30925527856562096</v>
      </c>
      <c r="G463" s="20">
        <f t="shared" si="53"/>
        <v>5.1542546427603496E-2</v>
      </c>
      <c r="H463" s="17">
        <f>SUM(C463:G463)</f>
        <v>63.139619373814284</v>
      </c>
      <c r="I463" s="17">
        <f>E463/H463*100</f>
        <v>97.809523809523796</v>
      </c>
      <c r="J463" s="17">
        <f>SQRT(I463*(100-I463)/(L463-1))</f>
        <v>0.17074410445127619</v>
      </c>
      <c r="K463" s="18">
        <f>100-I463</f>
        <v>2.190476190476204</v>
      </c>
      <c r="L463" s="1">
        <f>H452</f>
        <v>7350</v>
      </c>
      <c r="M463">
        <v>2</v>
      </c>
      <c r="N463" s="1">
        <v>124625.65</v>
      </c>
      <c r="O463" s="17">
        <f>N463/N466*100</f>
        <v>63.139619373814284</v>
      </c>
      <c r="P463" s="52">
        <f>((O463*O463*(I463/100)*(K463/100))/(L463-1))</f>
        <v>1.1622387553670163E-2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53"/>
        <v>0</v>
      </c>
      <c r="D464" s="19">
        <f t="shared" si="53"/>
        <v>8.238191275593712E-2</v>
      </c>
      <c r="E464" s="19">
        <f t="shared" si="53"/>
        <v>1.4911126208824619</v>
      </c>
      <c r="F464" s="34">
        <f t="shared" si="53"/>
        <v>19.203223863408944</v>
      </c>
      <c r="G464" s="20">
        <f t="shared" si="53"/>
        <v>0.95563018796887056</v>
      </c>
      <c r="H464" s="17">
        <f>SUM(C464:G464)</f>
        <v>21.732348585016215</v>
      </c>
      <c r="I464" s="17">
        <f>F464/H464*100</f>
        <v>88.362395754359355</v>
      </c>
      <c r="J464" s="17">
        <f>SQRT(I464*(100-I464)/(L464-1))</f>
        <v>0.62446840251211277</v>
      </c>
      <c r="K464" s="18">
        <f>100-I464</f>
        <v>11.637604245640645</v>
      </c>
      <c r="L464" s="1">
        <f>H453</f>
        <v>2638</v>
      </c>
      <c r="M464">
        <v>3</v>
      </c>
      <c r="N464" s="1">
        <v>42895.54</v>
      </c>
      <c r="O464" s="17">
        <f>N464/N466*100</f>
        <v>21.732348585016211</v>
      </c>
      <c r="P464" s="52">
        <f>((O464*O464*(I464/100)*(K464/100))/(L464-1))</f>
        <v>1.8417651955823379E-2</v>
      </c>
    </row>
    <row r="465" spans="1:40" x14ac:dyDescent="0.3">
      <c r="A465" t="s">
        <v>7</v>
      </c>
      <c r="B465" s="13">
        <v>4</v>
      </c>
      <c r="C465" s="35">
        <f t="shared" si="53"/>
        <v>0</v>
      </c>
      <c r="D465" s="36">
        <f t="shared" si="53"/>
        <v>0</v>
      </c>
      <c r="E465" s="21">
        <f t="shared" si="53"/>
        <v>0.12740114850621304</v>
      </c>
      <c r="F465" s="21">
        <f t="shared" si="53"/>
        <v>2.0384183760994086</v>
      </c>
      <c r="G465" s="37">
        <f t="shared" si="53"/>
        <v>6.8432616911908708</v>
      </c>
      <c r="H465" s="17">
        <f>SUM(C465:G465)</f>
        <v>9.0090812157964919</v>
      </c>
      <c r="I465" s="17">
        <f>G465/H465*100</f>
        <v>75.959595959595958</v>
      </c>
      <c r="J465" s="17">
        <f>SQRT(I465*(100-I465)/(L465-1))</f>
        <v>1.3588266579533017</v>
      </c>
      <c r="K465" s="18">
        <f>100-I465</f>
        <v>24.040404040404042</v>
      </c>
      <c r="L465" s="1">
        <f>H454</f>
        <v>990</v>
      </c>
      <c r="M465">
        <v>4</v>
      </c>
      <c r="N465" s="1">
        <v>17782.22</v>
      </c>
      <c r="O465" s="17">
        <f>N465/N466*100</f>
        <v>9.0090812157964919</v>
      </c>
      <c r="P465" s="52">
        <f>((O465*O465*(I465/100)*(K465/100))/(L465-1))</f>
        <v>1.4986117070542846E-2</v>
      </c>
      <c r="AM465" s="78"/>
      <c r="AN465" s="78"/>
    </row>
    <row r="466" spans="1:40" x14ac:dyDescent="0.3">
      <c r="B466" t="s">
        <v>28</v>
      </c>
      <c r="C466" s="17">
        <f t="shared" ref="C466:H466" si="54">SUM(C461:C465)</f>
        <v>1.5386076050052626</v>
      </c>
      <c r="D466" s="17">
        <f t="shared" si="54"/>
        <v>5.2097915279534641</v>
      </c>
      <c r="E466" s="17">
        <f t="shared" si="54"/>
        <v>63.823869250640087</v>
      </c>
      <c r="F466" s="17">
        <f t="shared" si="54"/>
        <v>21.550897518073974</v>
      </c>
      <c r="G466" s="17">
        <f t="shared" si="54"/>
        <v>7.8768340983272171</v>
      </c>
      <c r="H466" s="18">
        <f t="shared" si="54"/>
        <v>100</v>
      </c>
      <c r="I466" s="13" t="s">
        <v>24</v>
      </c>
      <c r="J466" s="12" t="s">
        <v>29</v>
      </c>
      <c r="N466" s="1">
        <f>SUM(N461:N465)</f>
        <v>197381.06</v>
      </c>
      <c r="O466" s="17">
        <f>SUM(O461:O465)</f>
        <v>100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0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0.12221830687237194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0.17189695624268012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0.18816733524690563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0.15259860838551514</v>
      </c>
      <c r="H467" s="1"/>
      <c r="I467" s="14">
        <f>(C461+D462+E463+F464+G465)/H466</f>
        <v>0.93446803315328719</v>
      </c>
      <c r="J467" s="53">
        <f>SQRT(SUM(P461:P465))/100</f>
        <v>2.2508696361881932E-3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100</v>
      </c>
      <c r="D468" s="17">
        <f>D462/D466*100</f>
        <v>78.79680192621187</v>
      </c>
      <c r="E468" s="17">
        <f>E463/E466*100</f>
        <v>96.760916832152461</v>
      </c>
      <c r="F468" s="17">
        <f>F464/F466*100</f>
        <v>89.106376415663803</v>
      </c>
      <c r="G468" s="17">
        <f>G465/G466*100</f>
        <v>86.878327076155585</v>
      </c>
      <c r="H468" s="1"/>
    </row>
    <row r="469" spans="1:40" x14ac:dyDescent="0.3">
      <c r="B469" s="16" t="s">
        <v>39</v>
      </c>
      <c r="C469" s="18">
        <f>SQRT((C472+C473)/(C466*C466))</f>
        <v>0</v>
      </c>
      <c r="D469" s="18">
        <f>SQRT((D472+D473)/(D466*D466))</f>
        <v>3.3867434228239124</v>
      </c>
      <c r="E469" s="18">
        <f>SQRT((E472+E473)/(E466*E466))</f>
        <v>0.21035091623431554</v>
      </c>
      <c r="F469" s="18">
        <f>SQRT((F472+F473)/(F466*F466))</f>
        <v>0.87259010317951047</v>
      </c>
      <c r="G469" s="18">
        <f>SQRT((G472+G473)/(G466*G466))</f>
        <v>2.2739435545779765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0</v>
      </c>
      <c r="D470" s="18">
        <f>100-D468</f>
        <v>21.20319807378813</v>
      </c>
      <c r="E470" s="18">
        <f>100-E468</f>
        <v>3.2390831678475394</v>
      </c>
      <c r="F470" s="18">
        <f>100-F468</f>
        <v>10.893623584336197</v>
      </c>
      <c r="G470" s="18">
        <f>100-G468</f>
        <v>13.121672923844415</v>
      </c>
    </row>
    <row r="471" spans="1:40" ht="15.6" x14ac:dyDescent="0.35">
      <c r="B471" s="1" t="s">
        <v>25</v>
      </c>
      <c r="C471" s="1">
        <f>C455</f>
        <v>259</v>
      </c>
      <c r="D471" s="1">
        <f>D455</f>
        <v>440</v>
      </c>
      <c r="E471" s="1">
        <f>E455</f>
        <v>7418</v>
      </c>
      <c r="F471" s="1">
        <f>F455</f>
        <v>2591</v>
      </c>
      <c r="G471" s="1">
        <f>G455</f>
        <v>876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253.47003625677829</v>
      </c>
      <c r="E472" s="18">
        <f>(O463*O463*(100-E468)*(100-E468)*(I463)*(100-I463))/((L463-1)*100)</f>
        <v>12.193813590765613</v>
      </c>
      <c r="F472" s="18">
        <f>(O464*O464*(100-F468)*(100-F468)*(I464)*(100-I464))/((L464-1)*100)</f>
        <v>218.56418161323415</v>
      </c>
      <c r="G472" s="18">
        <f>(O465*O465*(100-G468)*(100-G468)*(I465)*(100-I465))/((L465-1)*100)</f>
        <v>258.02841656078732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57.848716931317583</v>
      </c>
      <c r="E473" s="18">
        <f>E468*E468*(SUM((H461*E461*(1-E450/H450))/(H450-1),(H462*E462*(1-E451/H451))/(H451-1), (H464*E464*(1-E453/H453))/(H453-1),(H465*E465*(1-E454/H454))/(H454-1)))</f>
        <v>168.04780328191325</v>
      </c>
      <c r="F473" s="18">
        <f>F468*F468*(SUM((H461*F461*(1-F450/H450))/(H450-1),(H462*F462*(1-F451/H451))/(H451-1), (H463*F463*(1-F452/H452))/(H452-1),(H465*F465*(1-F454/H454))/(H454-1)))</f>
        <v>135.06760021854433</v>
      </c>
      <c r="G473" s="18">
        <f>G468*G468*(SUM((H461*G461*(1-G450/H450))/(H450-1),(H462*G462*(1-G451/H451))/(H451-1), (H463*G463*(1-G452/H452))/(H452-1),(H464*G464*(1-G453/H453))/(H453-1)))</f>
        <v>62.792560536424112</v>
      </c>
      <c r="AM473" s="78"/>
      <c r="AN473" s="78"/>
    </row>
    <row r="475" spans="1:40" x14ac:dyDescent="0.3">
      <c r="AM475" s="78"/>
      <c r="AN475" s="78"/>
    </row>
    <row r="476" spans="1:40" x14ac:dyDescent="0.3">
      <c r="A476" s="361" t="s">
        <v>455</v>
      </c>
      <c r="B476" s="361"/>
      <c r="C476" s="361"/>
      <c r="D476" s="361"/>
      <c r="E476" s="361"/>
      <c r="F476" s="361"/>
      <c r="G476" s="361"/>
      <c r="H476" s="361"/>
      <c r="I476" s="361"/>
      <c r="J476" s="361"/>
      <c r="K476" s="361"/>
      <c r="L476" s="361" t="s">
        <v>94</v>
      </c>
      <c r="M476" s="361"/>
      <c r="N476" s="361"/>
      <c r="O476" s="361"/>
      <c r="P476" s="361"/>
    </row>
    <row r="477" spans="1:40" x14ac:dyDescent="0.3">
      <c r="A477" t="s">
        <v>15</v>
      </c>
      <c r="B477" t="s">
        <v>21</v>
      </c>
      <c r="I477" s="1" t="s">
        <v>58</v>
      </c>
      <c r="O477" s="143"/>
      <c r="P477" s="143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56</v>
      </c>
      <c r="O478" s="13"/>
      <c r="P478" s="13"/>
    </row>
    <row r="479" spans="1:40" x14ac:dyDescent="0.3">
      <c r="A479" t="s">
        <v>3</v>
      </c>
      <c r="B479" s="13">
        <v>0</v>
      </c>
      <c r="C479" s="26">
        <v>259</v>
      </c>
      <c r="D479" s="3">
        <v>0</v>
      </c>
      <c r="E479" s="3">
        <v>0</v>
      </c>
      <c r="F479" s="3">
        <v>0</v>
      </c>
      <c r="G479" s="4">
        <v>0</v>
      </c>
      <c r="H479" s="1">
        <f>SUM(C479:G479)</f>
        <v>259</v>
      </c>
      <c r="I479" s="10">
        <f>C479/H479</f>
        <v>1</v>
      </c>
      <c r="J479" s="11">
        <f>1-I479</f>
        <v>0</v>
      </c>
      <c r="K479">
        <f>H479-C484</f>
        <v>0</v>
      </c>
      <c r="N479" s="10">
        <f>2*(C485*I479)/(C485+I479)</f>
        <v>1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314</v>
      </c>
      <c r="E480" s="1">
        <v>31</v>
      </c>
      <c r="F480" s="1">
        <v>0</v>
      </c>
      <c r="G480" s="6">
        <v>2</v>
      </c>
      <c r="H480" s="1">
        <f>SUM(C480:G480)</f>
        <v>347</v>
      </c>
      <c r="I480" s="10">
        <f>D480/H480</f>
        <v>0.90489913544668588</v>
      </c>
      <c r="J480" s="11">
        <f>1-I480</f>
        <v>9.5100864553314124E-2</v>
      </c>
      <c r="K480">
        <f>H480-D484</f>
        <v>-80</v>
      </c>
      <c r="N480" s="10">
        <f>2*(D485*I480)/(D485+I480)</f>
        <v>0.81136950904392768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105</v>
      </c>
      <c r="E481" s="27">
        <v>7198</v>
      </c>
      <c r="F481" s="1">
        <v>37</v>
      </c>
      <c r="G481" s="6">
        <v>10</v>
      </c>
      <c r="H481" s="1">
        <f>SUM(C481:G481)</f>
        <v>7350</v>
      </c>
      <c r="I481" s="10">
        <f>E481/H481</f>
        <v>0.97931972789115651</v>
      </c>
      <c r="J481" s="11">
        <f>1-I481</f>
        <v>2.0680272108843489E-2</v>
      </c>
      <c r="K481">
        <f>H481-E484</f>
        <v>-70</v>
      </c>
      <c r="N481" s="10">
        <f>2*(E485*I481)/(E485+I481)</f>
        <v>0.97467840216655388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8</v>
      </c>
      <c r="E482" s="1">
        <v>180</v>
      </c>
      <c r="F482" s="27">
        <v>2333</v>
      </c>
      <c r="G482" s="6">
        <v>117</v>
      </c>
      <c r="H482" s="1">
        <f>SUM(C482:G482)</f>
        <v>2638</v>
      </c>
      <c r="I482" s="10">
        <f>F482/H482</f>
        <v>0.88438210765731617</v>
      </c>
      <c r="J482" s="11">
        <f>1-I482</f>
        <v>0.11561789234268383</v>
      </c>
      <c r="K482">
        <f>H482-F484</f>
        <v>61</v>
      </c>
      <c r="N482" s="10">
        <f>2*(F485*I482)/(F485+I482)</f>
        <v>0.89472674976030675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0</v>
      </c>
      <c r="E483" s="8">
        <v>11</v>
      </c>
      <c r="F483" s="8">
        <v>207</v>
      </c>
      <c r="G483" s="28">
        <v>772</v>
      </c>
      <c r="H483" s="1">
        <f>SUM(C483:G483)</f>
        <v>990</v>
      </c>
      <c r="I483" s="10">
        <f>G483/H483</f>
        <v>0.77979797979797982</v>
      </c>
      <c r="J483" s="11">
        <f>1-I483</f>
        <v>0.22020202020202018</v>
      </c>
      <c r="K483">
        <f>H483-G484</f>
        <v>89</v>
      </c>
      <c r="N483" s="10">
        <f>2*(G485*I483)/(G485+I483)</f>
        <v>0.81649920676890531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259</v>
      </c>
      <c r="D484" s="1">
        <f>SUM(D479:D483)</f>
        <v>427</v>
      </c>
      <c r="E484" s="1">
        <f>SUM(E479:E483)</f>
        <v>7420</v>
      </c>
      <c r="F484" s="1">
        <f>SUM(F479:F483)</f>
        <v>2577</v>
      </c>
      <c r="G484" s="1">
        <f>SUM(G479:G483)</f>
        <v>901</v>
      </c>
      <c r="H484" s="1">
        <f>SUM(H478:H483)</f>
        <v>11584</v>
      </c>
      <c r="I484" s="13" t="s">
        <v>12</v>
      </c>
      <c r="N484" s="16"/>
      <c r="O484" s="1"/>
      <c r="P484" s="1"/>
    </row>
    <row r="485" spans="1:40" x14ac:dyDescent="0.3">
      <c r="A485" s="1" t="s">
        <v>57</v>
      </c>
      <c r="B485" s="1" t="s">
        <v>2</v>
      </c>
      <c r="C485" s="10">
        <f>C479/C484</f>
        <v>1</v>
      </c>
      <c r="D485" s="10">
        <f>D480/D484</f>
        <v>0.73536299765807966</v>
      </c>
      <c r="E485" s="10">
        <f>E481/E484</f>
        <v>0.97008086253369274</v>
      </c>
      <c r="F485" s="10">
        <f>F482/F484</f>
        <v>0.90531625921614278</v>
      </c>
      <c r="G485" s="10">
        <f>G483/G484</f>
        <v>0.85682574916759158</v>
      </c>
      <c r="H485" s="10"/>
      <c r="I485" s="14">
        <f>(C479+D480+E481+F482+G483)/H484</f>
        <v>0.93888121546961323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0.26463700234192034</v>
      </c>
      <c r="E486" s="11">
        <f>1-E485</f>
        <v>2.9919137466307255E-2</v>
      </c>
      <c r="F486" s="11">
        <f>1-F485</f>
        <v>9.4683740783857218E-2</v>
      </c>
      <c r="G486" s="11">
        <f>1-G485</f>
        <v>0.14317425083240842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1.5122524161004902</v>
      </c>
      <c r="D490" s="31">
        <f>(D479/$L490)*$O490</f>
        <v>0</v>
      </c>
      <c r="E490" s="31">
        <f>(E479/$L490)*$O490</f>
        <v>0</v>
      </c>
      <c r="F490" s="31">
        <f>(F479/$L490)*$O490</f>
        <v>0</v>
      </c>
      <c r="G490" s="32">
        <f>(G479/$L490)*$O490</f>
        <v>0</v>
      </c>
      <c r="H490" s="17">
        <f>SUM(C490:G490)</f>
        <v>1.5122524161004902</v>
      </c>
      <c r="I490" s="17">
        <f>C490/H490*100</f>
        <v>100</v>
      </c>
      <c r="J490" s="17">
        <f>SQRT(I490*(100-I490)/(L490-1))</f>
        <v>0</v>
      </c>
      <c r="K490" s="18">
        <f>100-I490</f>
        <v>0</v>
      </c>
      <c r="L490" s="1">
        <f>H479</f>
        <v>259</v>
      </c>
      <c r="M490">
        <v>0</v>
      </c>
      <c r="N490" s="1">
        <v>2984.9</v>
      </c>
      <c r="O490" s="17">
        <f>N490/N495*100</f>
        <v>1.5122524161004902</v>
      </c>
      <c r="P490" s="52">
        <f>((O490*O490*(I490/100)*(K490/100))/(L490-1))</f>
        <v>0</v>
      </c>
    </row>
    <row r="491" spans="1:40" x14ac:dyDescent="0.3">
      <c r="A491" t="s">
        <v>4</v>
      </c>
      <c r="B491" s="13">
        <v>1</v>
      </c>
      <c r="C491" s="33">
        <f t="shared" ref="C491:G494" si="55">(C480/$L491)*$O491</f>
        <v>0</v>
      </c>
      <c r="D491" s="34">
        <f t="shared" si="55"/>
        <v>3.9186302968273004</v>
      </c>
      <c r="E491" s="19">
        <f t="shared" si="55"/>
        <v>0.38687114395428762</v>
      </c>
      <c r="F491" s="18">
        <f t="shared" si="55"/>
        <v>0</v>
      </c>
      <c r="G491" s="20">
        <f t="shared" si="55"/>
        <v>2.4959428642212102E-2</v>
      </c>
      <c r="H491" s="17">
        <f>SUM(C491:G491)</f>
        <v>4.3304608694238</v>
      </c>
      <c r="I491" s="17">
        <f>D491/H491*100</f>
        <v>90.489913544668582</v>
      </c>
      <c r="J491" s="17">
        <f>SQRT(I491*(100-I491)/(L491-1))</f>
        <v>1.5770819812439512</v>
      </c>
      <c r="K491" s="18">
        <f>100-I491</f>
        <v>9.5100864553314182</v>
      </c>
      <c r="L491" s="1">
        <f>H480</f>
        <v>347</v>
      </c>
      <c r="M491">
        <v>1</v>
      </c>
      <c r="N491" s="1">
        <v>8547.51</v>
      </c>
      <c r="O491" s="17">
        <f>N491/N495*100</f>
        <v>4.3304608694238</v>
      </c>
      <c r="P491" s="52">
        <f>((O491*O491*(I491/100)*(K491/100))/(L491-1))</f>
        <v>4.6641958350762411E-3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55"/>
        <v>0</v>
      </c>
      <c r="D492" s="19">
        <f t="shared" si="55"/>
        <v>0.90963499474102838</v>
      </c>
      <c r="E492" s="34">
        <f t="shared" si="55"/>
        <v>62.357644687104028</v>
      </c>
      <c r="F492" s="19">
        <f t="shared" si="55"/>
        <v>0.32053804576588618</v>
      </c>
      <c r="G492" s="20">
        <f t="shared" si="55"/>
        <v>8.6631904261050316E-2</v>
      </c>
      <c r="H492" s="17">
        <f>SUM(C492:G492)</f>
        <v>63.674449631871987</v>
      </c>
      <c r="I492" s="17">
        <f>E492/H492*100</f>
        <v>97.931972789115648</v>
      </c>
      <c r="J492" s="17">
        <f>SQRT(I492*(100-I492)/(L492-1))</f>
        <v>0.16600694307610453</v>
      </c>
      <c r="K492" s="18">
        <f>100-I492</f>
        <v>2.0680272108843525</v>
      </c>
      <c r="L492" s="1">
        <f>H481</f>
        <v>7350</v>
      </c>
      <c r="M492">
        <v>2</v>
      </c>
      <c r="N492" s="1">
        <v>125681.31</v>
      </c>
      <c r="O492" s="17">
        <f>N492/N495*100</f>
        <v>63.674449631871987</v>
      </c>
      <c r="P492" s="52">
        <f>((O492*O492*(I492/100)*(K492/100))/(L492-1))</f>
        <v>1.1173337170780017E-2</v>
      </c>
    </row>
    <row r="493" spans="1:40" x14ac:dyDescent="0.3">
      <c r="A493" t="s">
        <v>6</v>
      </c>
      <c r="B493" s="13">
        <v>3</v>
      </c>
      <c r="C493" s="33">
        <f t="shared" si="55"/>
        <v>0</v>
      </c>
      <c r="D493" s="19">
        <f t="shared" si="55"/>
        <v>6.4297080440662222E-2</v>
      </c>
      <c r="E493" s="19">
        <f t="shared" si="55"/>
        <v>1.4466843099149</v>
      </c>
      <c r="F493" s="34">
        <f t="shared" si="55"/>
        <v>18.75063608350812</v>
      </c>
      <c r="G493" s="20">
        <f t="shared" si="55"/>
        <v>0.94034480144468502</v>
      </c>
      <c r="H493" s="17">
        <f>SUM(C493:G493)</f>
        <v>21.201962275308365</v>
      </c>
      <c r="I493" s="17">
        <f>F493/H493*100</f>
        <v>88.438210765731625</v>
      </c>
      <c r="J493" s="17">
        <f>SQRT(I493*(100-I493)/(L493-1))</f>
        <v>0.62269794568641035</v>
      </c>
      <c r="K493" s="18">
        <f>100-I493</f>
        <v>11.561789234268375</v>
      </c>
      <c r="L493" s="1">
        <f>H482</f>
        <v>2638</v>
      </c>
      <c r="M493">
        <v>3</v>
      </c>
      <c r="N493" s="1">
        <v>41848.660000000003</v>
      </c>
      <c r="O493" s="17">
        <f>N493/N495*100</f>
        <v>21.201962275308368</v>
      </c>
      <c r="P493" s="52">
        <f>((O493*O493*(I493/100)*(K493/100))/(L493-1))</f>
        <v>1.7430385037701262E-2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55"/>
        <v>0</v>
      </c>
      <c r="D494" s="36">
        <f t="shared" si="55"/>
        <v>0</v>
      </c>
      <c r="E494" s="21">
        <f t="shared" si="55"/>
        <v>0.10312083119217055</v>
      </c>
      <c r="F494" s="21">
        <f t="shared" si="55"/>
        <v>1.9405465506163002</v>
      </c>
      <c r="G494" s="37">
        <f t="shared" si="55"/>
        <v>7.2372074254868792</v>
      </c>
      <c r="H494" s="17">
        <f>SUM(C494:G494)</f>
        <v>9.2808748072953495</v>
      </c>
      <c r="I494" s="17">
        <f>G494/H494*100</f>
        <v>77.979797979797979</v>
      </c>
      <c r="J494" s="17">
        <f>SQRT(I494*(100-I494)/(L494-1))</f>
        <v>1.317660589349805</v>
      </c>
      <c r="K494" s="18">
        <f>100-I494</f>
        <v>22.020202020202021</v>
      </c>
      <c r="L494" s="1">
        <f>H483</f>
        <v>990</v>
      </c>
      <c r="M494">
        <v>4</v>
      </c>
      <c r="N494" s="1">
        <v>18318.689999999999</v>
      </c>
      <c r="O494" s="17">
        <f>N494/N495*100</f>
        <v>9.2808748072953495</v>
      </c>
      <c r="P494" s="52">
        <f>((O494*O494*(I494/100)*(K494/100))/(L494-1))</f>
        <v>1.495494919196117E-2</v>
      </c>
    </row>
    <row r="495" spans="1:40" x14ac:dyDescent="0.3">
      <c r="B495" t="s">
        <v>28</v>
      </c>
      <c r="C495" s="17">
        <f t="shared" ref="C495:H495" si="56">SUM(C490:C494)</f>
        <v>1.5122524161004902</v>
      </c>
      <c r="D495" s="17">
        <f t="shared" si="56"/>
        <v>4.8925623720089906</v>
      </c>
      <c r="E495" s="17">
        <f t="shared" si="56"/>
        <v>64.29432097216538</v>
      </c>
      <c r="F495" s="17">
        <f t="shared" si="56"/>
        <v>21.011720679890306</v>
      </c>
      <c r="G495" s="17">
        <f t="shared" si="56"/>
        <v>8.2891435598348266</v>
      </c>
      <c r="H495" s="18">
        <f t="shared" si="56"/>
        <v>99.999999999999986</v>
      </c>
      <c r="I495" s="13" t="s">
        <v>24</v>
      </c>
      <c r="J495" s="12" t="s">
        <v>29</v>
      </c>
      <c r="N495" s="1">
        <f>SUM(N490:N494)</f>
        <v>197381.07</v>
      </c>
      <c r="O495" s="17">
        <f>SUM(O490:O494)</f>
        <v>99.999999999999986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0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0.11372649824518369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0.16540358176468725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0.18594303121935113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0.15238603502057269</v>
      </c>
      <c r="H496" s="1"/>
      <c r="I496" s="14">
        <f>(C490+D491+E492+F493+G494)/H495</f>
        <v>0.93776370909026818</v>
      </c>
      <c r="J496" s="53">
        <f>SQRT(SUM(P490:P494))/100</f>
        <v>2.1959705652744685E-3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80.093619638787089</v>
      </c>
      <c r="E497" s="17">
        <f>E492/E495*100</f>
        <v>96.987795724758044</v>
      </c>
      <c r="F497" s="17">
        <f>F493/F495*100</f>
        <v>89.238936540089256</v>
      </c>
      <c r="G497" s="17">
        <f>G494/G495*100</f>
        <v>87.309471397683097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3.1529950461342993</v>
      </c>
      <c r="E498" s="18">
        <f>SQRT((E501+E502)/(E495*E495))</f>
        <v>0.19830890514516736</v>
      </c>
      <c r="F498" s="18">
        <f>SQRT((F501+F502)/(F495*F495))</f>
        <v>0.87568531852340969</v>
      </c>
      <c r="G498" s="18">
        <f>SQRT((G501+G502)/(G495*G495))</f>
        <v>2.1034526191048353</v>
      </c>
      <c r="H498" s="1"/>
    </row>
    <row r="499" spans="1:40" x14ac:dyDescent="0.3">
      <c r="B499" s="1" t="s">
        <v>37</v>
      </c>
      <c r="C499" s="18">
        <f>100-C497</f>
        <v>0</v>
      </c>
      <c r="D499" s="18">
        <f>100-D497</f>
        <v>19.906380361212911</v>
      </c>
      <c r="E499" s="18">
        <f>100-E497</f>
        <v>3.012204275241956</v>
      </c>
      <c r="F499" s="18">
        <f>100-F497</f>
        <v>10.761063459910744</v>
      </c>
      <c r="G499" s="18">
        <f>100-G497</f>
        <v>12.690528602316903</v>
      </c>
      <c r="AM499" s="78"/>
      <c r="AN499" s="78"/>
    </row>
    <row r="500" spans="1:40" ht="15.6" x14ac:dyDescent="0.35">
      <c r="B500" s="1" t="s">
        <v>25</v>
      </c>
      <c r="C500" s="1">
        <f>C484</f>
        <v>259</v>
      </c>
      <c r="D500" s="1">
        <f>D484</f>
        <v>427</v>
      </c>
      <c r="E500" s="1">
        <f>E484</f>
        <v>7420</v>
      </c>
      <c r="F500" s="1">
        <f>F484</f>
        <v>2577</v>
      </c>
      <c r="G500" s="1">
        <f>G484</f>
        <v>901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184.82528008403159</v>
      </c>
      <c r="E501" s="18">
        <f>(O492*O492*(100-E497)*(100-E497)*(I492)*(100-I492))/((L492-1)*100)</f>
        <v>10.137987363550589</v>
      </c>
      <c r="F501" s="18">
        <f>(O493*O493*(100-F497)*(100-F497)*(I493)*(100-I493))/((L493-1)*100)</f>
        <v>201.84470722720204</v>
      </c>
      <c r="G501" s="18">
        <f>(O494*O494*(100-G497)*(100-G497)*(I494)*(100-I494))/((L494-1)*100)</f>
        <v>240.84873322539977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53.143135255394945</v>
      </c>
      <c r="E502" s="18">
        <f>E497*E497*(SUM((H490*E490*(1-E479/H479))/(H479-1),(H491*E491*(1-E480/H480))/(H480-1), (H493*E493*(1-E482/H482))/(H482-1),(H494*E494*(1-E483/H483))/(H483-1)))</f>
        <v>152.42799083062738</v>
      </c>
      <c r="F502" s="18">
        <f>F497*F497*(SUM((H490*F490*(1-F479/H479))/(H479-1),(H491*F491*(1-F480/H480))/(H480-1), (H492*F492*(1-F481/H481))/(H481-1),(H494*F494*(1-F483/H483))/(H483-1)))</f>
        <v>136.70260853124819</v>
      </c>
      <c r="G502" s="18">
        <f>G497*G497*(SUM((H490*G490*(1-G479/H479))/(H479-1),(H491*G491*(1-G480/H480))/(H480-1), (H492*G492*(1-G481/H481))/(H481-1),(H493*G493*(1-G482/H482))/(H482-1)))</f>
        <v>63.159111340629501</v>
      </c>
    </row>
    <row r="503" spans="1:40" x14ac:dyDescent="0.3">
      <c r="AM503" s="78"/>
      <c r="AN503" s="78"/>
    </row>
    <row r="505" spans="1:40" x14ac:dyDescent="0.3">
      <c r="A505" s="361" t="s">
        <v>455</v>
      </c>
      <c r="B505" s="361"/>
      <c r="C505" s="361"/>
      <c r="D505" s="361"/>
      <c r="E505" s="361"/>
      <c r="F505" s="361"/>
      <c r="G505" s="361"/>
      <c r="H505" s="361"/>
      <c r="I505" s="361"/>
      <c r="J505" s="361"/>
      <c r="K505" s="361"/>
      <c r="L505" s="361" t="s">
        <v>95</v>
      </c>
      <c r="M505" s="361"/>
      <c r="N505" s="361"/>
      <c r="O505" s="361"/>
      <c r="P505" s="361"/>
      <c r="AM505" s="78"/>
      <c r="AN505" s="78"/>
    </row>
    <row r="506" spans="1:40" x14ac:dyDescent="0.3">
      <c r="A506" t="s">
        <v>15</v>
      </c>
      <c r="B506" t="s">
        <v>21</v>
      </c>
      <c r="I506" s="1" t="s">
        <v>58</v>
      </c>
      <c r="O506" s="143"/>
      <c r="P506" s="143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56</v>
      </c>
      <c r="O507" s="13"/>
      <c r="P507" s="13"/>
      <c r="AM507" s="78"/>
      <c r="AN507" s="78"/>
    </row>
    <row r="508" spans="1:40" x14ac:dyDescent="0.3">
      <c r="A508" t="s">
        <v>3</v>
      </c>
      <c r="B508" s="13">
        <v>0</v>
      </c>
      <c r="C508" s="26">
        <v>259</v>
      </c>
      <c r="D508" s="3">
        <v>0</v>
      </c>
      <c r="E508" s="3">
        <v>0</v>
      </c>
      <c r="F508" s="3">
        <v>0</v>
      </c>
      <c r="G508" s="4">
        <v>0</v>
      </c>
      <c r="H508" s="1">
        <f>SUM(C508:G508)</f>
        <v>259</v>
      </c>
      <c r="I508" s="10">
        <f>C508/H508</f>
        <v>1</v>
      </c>
      <c r="J508" s="11">
        <f>1-I508</f>
        <v>0</v>
      </c>
      <c r="K508">
        <f>H508-C513</f>
        <v>0</v>
      </c>
      <c r="N508" s="10">
        <f>2*(C514*I508)/(C514+I508)</f>
        <v>1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313</v>
      </c>
      <c r="E509" s="1">
        <v>32</v>
      </c>
      <c r="F509" s="1">
        <v>0</v>
      </c>
      <c r="G509" s="6">
        <v>2</v>
      </c>
      <c r="H509" s="1">
        <f>SUM(C509:G509)</f>
        <v>347</v>
      </c>
      <c r="I509" s="10">
        <f>D509/H509</f>
        <v>0.90201729106628237</v>
      </c>
      <c r="J509" s="11">
        <f>1-I509</f>
        <v>9.7982708933717633E-2</v>
      </c>
      <c r="K509">
        <f>H509-D513</f>
        <v>-83</v>
      </c>
      <c r="N509" s="10">
        <f>2*(D514*I509)/(D514+I509)</f>
        <v>0.80566280566280557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109</v>
      </c>
      <c r="E510" s="27">
        <v>7190</v>
      </c>
      <c r="F510" s="1">
        <v>39</v>
      </c>
      <c r="G510" s="6">
        <v>12</v>
      </c>
      <c r="H510" s="1">
        <f>SUM(C510:G510)</f>
        <v>7350</v>
      </c>
      <c r="I510" s="10">
        <f>E510/H510</f>
        <v>0.9782312925170068</v>
      </c>
      <c r="J510" s="11">
        <f>1-I510</f>
        <v>2.1768707482993199E-2</v>
      </c>
      <c r="K510">
        <f>H510-E513</f>
        <v>-51</v>
      </c>
      <c r="N510" s="10">
        <f>2*(E514*I510)/(E514+I510)</f>
        <v>0.97484916276862577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8</v>
      </c>
      <c r="E511" s="1">
        <v>169</v>
      </c>
      <c r="F511" s="27">
        <v>2344</v>
      </c>
      <c r="G511" s="6">
        <v>117</v>
      </c>
      <c r="H511" s="1">
        <f>SUM(C511:G511)</f>
        <v>2638</v>
      </c>
      <c r="I511" s="10">
        <f>F511/H511</f>
        <v>0.88855193328279003</v>
      </c>
      <c r="J511" s="11">
        <f>1-I511</f>
        <v>0.11144806671720997</v>
      </c>
      <c r="K511">
        <f>H511-F513</f>
        <v>41</v>
      </c>
      <c r="N511" s="10">
        <f>2*(F514*I511)/(F514+I511)</f>
        <v>0.89551098376313276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0</v>
      </c>
      <c r="E512" s="8">
        <v>10</v>
      </c>
      <c r="F512" s="8">
        <v>214</v>
      </c>
      <c r="G512" s="28">
        <v>766</v>
      </c>
      <c r="H512" s="1">
        <f>SUM(C512:G512)</f>
        <v>990</v>
      </c>
      <c r="I512" s="10">
        <f>G512/H512</f>
        <v>0.77373737373737372</v>
      </c>
      <c r="J512" s="11">
        <f>1-I512</f>
        <v>0.22626262626262628</v>
      </c>
      <c r="K512">
        <f>H512-G513</f>
        <v>93</v>
      </c>
      <c r="N512" s="10">
        <f>2*(G514*I512)/(G514+I512)</f>
        <v>0.81187069422363534</v>
      </c>
      <c r="O512" s="1"/>
      <c r="P512" s="1"/>
    </row>
    <row r="513" spans="1:40" ht="15.6" x14ac:dyDescent="0.35">
      <c r="B513" s="1" t="s">
        <v>19</v>
      </c>
      <c r="C513" s="1">
        <f>SUM(C508:C512)</f>
        <v>259</v>
      </c>
      <c r="D513" s="1">
        <f>SUM(D508:D512)</f>
        <v>430</v>
      </c>
      <c r="E513" s="1">
        <f>SUM(E508:E512)</f>
        <v>7401</v>
      </c>
      <c r="F513" s="1">
        <f>SUM(F508:F512)</f>
        <v>2597</v>
      </c>
      <c r="G513" s="1">
        <f>SUM(G508:G512)</f>
        <v>897</v>
      </c>
      <c r="H513" s="1">
        <f>SUM(H507:H512)</f>
        <v>11584</v>
      </c>
      <c r="I513" s="13" t="s">
        <v>12</v>
      </c>
      <c r="N513" s="16"/>
      <c r="O513" s="1"/>
      <c r="P513" s="1"/>
      <c r="AM513" s="78"/>
      <c r="AN513" s="78"/>
    </row>
    <row r="514" spans="1:40" x14ac:dyDescent="0.3">
      <c r="A514" s="1" t="s">
        <v>57</v>
      </c>
      <c r="B514" s="1" t="s">
        <v>2</v>
      </c>
      <c r="C514" s="10">
        <f>C508/C513</f>
        <v>1</v>
      </c>
      <c r="D514" s="10">
        <f>D509/D513</f>
        <v>0.72790697674418603</v>
      </c>
      <c r="E514" s="10">
        <f>E510/E513</f>
        <v>0.97149033914335903</v>
      </c>
      <c r="F514" s="10">
        <f>F511/F513</f>
        <v>0.90257989988448206</v>
      </c>
      <c r="G514" s="10">
        <f>G512/G513</f>
        <v>0.85395763656633217</v>
      </c>
      <c r="H514" s="10"/>
      <c r="I514" s="14">
        <f>(C508+D509+E510+F511+G512)/H513</f>
        <v>0.93853591160220995</v>
      </c>
    </row>
    <row r="515" spans="1:40" x14ac:dyDescent="0.3">
      <c r="B515" s="1" t="s">
        <v>14</v>
      </c>
      <c r="C515" s="11">
        <f>1-C514</f>
        <v>0</v>
      </c>
      <c r="D515" s="11">
        <f>1-D514</f>
        <v>0.27209302325581397</v>
      </c>
      <c r="E515" s="11">
        <f>1-E514</f>
        <v>2.8509660856640973E-2</v>
      </c>
      <c r="F515" s="11">
        <f>1-F514</f>
        <v>9.7420100115517938E-2</v>
      </c>
      <c r="G515" s="11">
        <f>1-G514</f>
        <v>0.14604236343366783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1.5207690910550937</v>
      </c>
      <c r="D519" s="31">
        <f>(D508/$L519)*$O519</f>
        <v>0</v>
      </c>
      <c r="E519" s="31">
        <f>(E508/$L519)*$O519</f>
        <v>0</v>
      </c>
      <c r="F519" s="31">
        <f>(F508/$L519)*$O519</f>
        <v>0</v>
      </c>
      <c r="G519" s="32">
        <f>(G508/$L519)*$O519</f>
        <v>0</v>
      </c>
      <c r="H519" s="17">
        <f>SUM(C519:G519)</f>
        <v>1.5207690910550937</v>
      </c>
      <c r="I519" s="17">
        <f>C519/H519*100</f>
        <v>100</v>
      </c>
      <c r="J519" s="17">
        <f>SQRT(I519*(100-I519)/(L519-1))</f>
        <v>0</v>
      </c>
      <c r="K519" s="18">
        <f>100-I519</f>
        <v>0</v>
      </c>
      <c r="L519" s="1">
        <f>H508</f>
        <v>259</v>
      </c>
      <c r="M519">
        <v>0</v>
      </c>
      <c r="N519" s="1">
        <v>3001.71</v>
      </c>
      <c r="O519" s="17">
        <f>N519/N524*100</f>
        <v>1.5207690910550937</v>
      </c>
      <c r="P519" s="52">
        <f>((O519*O519*(I519/100)*(K519/100))/(L519-1))</f>
        <v>0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57">(C509/$L520)*$O520</f>
        <v>0</v>
      </c>
      <c r="D520" s="34">
        <f t="shared" si="57"/>
        <v>3.877282739799643</v>
      </c>
      <c r="E520" s="19">
        <f t="shared" si="57"/>
        <v>0.3963995133341488</v>
      </c>
      <c r="F520" s="18">
        <f t="shared" si="57"/>
        <v>0</v>
      </c>
      <c r="G520" s="20">
        <f t="shared" si="57"/>
        <v>2.47749695833843E-2</v>
      </c>
      <c r="H520" s="17">
        <f>SUM(C520:G520)</f>
        <v>4.2984572227171762</v>
      </c>
      <c r="I520" s="17">
        <f>D520/H520*100</f>
        <v>90.201729106628235</v>
      </c>
      <c r="J520" s="17">
        <f>SQRT(I520*(100-I520)/(L520-1))</f>
        <v>1.5982477551409069</v>
      </c>
      <c r="K520" s="18">
        <f>100-I520</f>
        <v>9.7982708933717646</v>
      </c>
      <c r="L520" s="1">
        <f>H509</f>
        <v>347</v>
      </c>
      <c r="M520">
        <v>1</v>
      </c>
      <c r="N520" s="1">
        <v>8484.34</v>
      </c>
      <c r="O520" s="17">
        <f>N520/N524*100</f>
        <v>4.2984572227171762</v>
      </c>
      <c r="P520" s="52">
        <f>((O520*O520*(I520/100)*(K520/100))/(L520-1))</f>
        <v>4.7196894597115371E-3</v>
      </c>
    </row>
    <row r="521" spans="1:40" x14ac:dyDescent="0.3">
      <c r="A521" t="s">
        <v>5</v>
      </c>
      <c r="B521" s="13">
        <v>2</v>
      </c>
      <c r="C521" s="33">
        <f t="shared" si="57"/>
        <v>0</v>
      </c>
      <c r="D521" s="19">
        <f t="shared" si="57"/>
        <v>0.93321843144289196</v>
      </c>
      <c r="E521" s="34">
        <f t="shared" si="57"/>
        <v>61.558169927288006</v>
      </c>
      <c r="F521" s="19">
        <f t="shared" si="57"/>
        <v>0.33390384244286958</v>
      </c>
      <c r="G521" s="20">
        <f t="shared" si="57"/>
        <v>0.10273964382857526</v>
      </c>
      <c r="H521" s="17">
        <f>SUM(C521:G521)</f>
        <v>62.928031845002344</v>
      </c>
      <c r="I521" s="17">
        <f>E521/H521*100</f>
        <v>97.823129251700678</v>
      </c>
      <c r="J521" s="17">
        <f>SQRT(I521*(100-I521)/(L521-1))</f>
        <v>0.1702248553265728</v>
      </c>
      <c r="K521" s="18">
        <f>100-I521</f>
        <v>2.1768707482993221</v>
      </c>
      <c r="L521" s="1">
        <f>H510</f>
        <v>7350</v>
      </c>
      <c r="M521">
        <v>2</v>
      </c>
      <c r="N521" s="1">
        <v>124208.01</v>
      </c>
      <c r="O521" s="17">
        <f>N521/N524*100</f>
        <v>62.928031845002344</v>
      </c>
      <c r="P521" s="52">
        <f>((O521*O521*(I521/100)*(K521/100))/(L521-1))</f>
        <v>1.1474512546956028E-2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57"/>
        <v>0</v>
      </c>
      <c r="D522" s="19">
        <f t="shared" si="57"/>
        <v>6.6435859377467862E-2</v>
      </c>
      <c r="E522" s="19">
        <f t="shared" si="57"/>
        <v>1.4034575293490086</v>
      </c>
      <c r="F522" s="34">
        <f t="shared" si="57"/>
        <v>19.465706797598084</v>
      </c>
      <c r="G522" s="20">
        <f t="shared" si="57"/>
        <v>0.9716244433954675</v>
      </c>
      <c r="H522" s="17">
        <f>SUM(C522:G522)</f>
        <v>21.907224629720027</v>
      </c>
      <c r="I522" s="17">
        <f>F522/H522*100</f>
        <v>88.855193328279</v>
      </c>
      <c r="J522" s="17">
        <f>SQRT(I522*(100-I522)/(L522-1))</f>
        <v>0.61280544114137681</v>
      </c>
      <c r="K522" s="18">
        <f>100-I522</f>
        <v>11.144806671721</v>
      </c>
      <c r="L522" s="1">
        <f>H511</f>
        <v>2638</v>
      </c>
      <c r="M522">
        <v>3</v>
      </c>
      <c r="N522" s="1">
        <v>43240.71</v>
      </c>
      <c r="O522" s="17">
        <f>N522/N524*100</f>
        <v>21.907224629720027</v>
      </c>
      <c r="P522" s="52">
        <f>((O522*O522*(I522/100)*(K522/100))/(L522-1))</f>
        <v>1.8022703929159292E-2</v>
      </c>
    </row>
    <row r="523" spans="1:40" x14ac:dyDescent="0.3">
      <c r="A523" t="s">
        <v>7</v>
      </c>
      <c r="B523" s="13">
        <v>4</v>
      </c>
      <c r="C523" s="35">
        <f t="shared" si="57"/>
        <v>0</v>
      </c>
      <c r="D523" s="36">
        <f t="shared" si="57"/>
        <v>0</v>
      </c>
      <c r="E523" s="21">
        <f t="shared" si="57"/>
        <v>9.4399163752579396E-2</v>
      </c>
      <c r="F523" s="21">
        <f t="shared" si="57"/>
        <v>2.020142104305199</v>
      </c>
      <c r="G523" s="37">
        <f t="shared" si="57"/>
        <v>7.2309759434475813</v>
      </c>
      <c r="H523" s="17">
        <f>SUM(C523:G523)</f>
        <v>9.34551721150536</v>
      </c>
      <c r="I523" s="17">
        <f>G523/H523*100</f>
        <v>77.37373737373737</v>
      </c>
      <c r="J523" s="17">
        <f>SQRT(I523*(100-I523)/(L523-1))</f>
        <v>1.3304698996544058</v>
      </c>
      <c r="K523" s="18">
        <f>100-I523</f>
        <v>22.62626262626263</v>
      </c>
      <c r="L523" s="1">
        <f>H512</f>
        <v>990</v>
      </c>
      <c r="M523">
        <v>4</v>
      </c>
      <c r="N523" s="1">
        <v>18446.28</v>
      </c>
      <c r="O523" s="17">
        <f>N523/N524*100</f>
        <v>9.34551721150536</v>
      </c>
      <c r="P523" s="52">
        <f>((O523*O523*(I523/100)*(K523/100))/(L523-1))</f>
        <v>1.5460259899649081E-2</v>
      </c>
      <c r="AM523" s="78"/>
      <c r="AN523" s="78"/>
    </row>
    <row r="524" spans="1:40" x14ac:dyDescent="0.3">
      <c r="B524" t="s">
        <v>28</v>
      </c>
      <c r="C524" s="17">
        <f>SUM(C519:C523)</f>
        <v>1.5207690910550937</v>
      </c>
      <c r="D524" s="17">
        <f>SUM(D519:D523)</f>
        <v>4.8769370306200033</v>
      </c>
      <c r="E524" s="17">
        <f>SUM(E519:E523)</f>
        <v>63.452426133723741</v>
      </c>
      <c r="F524" s="17">
        <f>SUM(F519:F523)</f>
        <v>21.819752744346154</v>
      </c>
      <c r="G524" s="17">
        <f>SUM(G519:G523)</f>
        <v>8.3301150002550077</v>
      </c>
      <c r="H524" s="1">
        <f>SUM(H518:H523)</f>
        <v>100</v>
      </c>
      <c r="I524" s="13" t="s">
        <v>24</v>
      </c>
      <c r="J524" s="12" t="s">
        <v>29</v>
      </c>
      <c r="N524" s="1">
        <f>SUM(N519:N523)</f>
        <v>197381.05</v>
      </c>
      <c r="O524" s="17">
        <f>SUM(O519:O523)</f>
        <v>100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0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0.11457538323140939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0.16649612183510554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0.18922801842757375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0.156009385444976</v>
      </c>
      <c r="H525" s="1"/>
      <c r="I525" s="14">
        <f>(C519+D520+E521+F522+G523)/H524</f>
        <v>0.93652904499188405</v>
      </c>
      <c r="J525" s="53">
        <f>SQRT(SUM(P519:P523))/100</f>
        <v>2.2288374959937283E-3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100</v>
      </c>
      <c r="D526" s="17">
        <f>D520/D524*100</f>
        <v>79.502415459867549</v>
      </c>
      <c r="E526" s="17">
        <f>E521/E524*100</f>
        <v>97.014682775968794</v>
      </c>
      <c r="F526" s="17">
        <f>F522/F524*100</f>
        <v>89.211399531747489</v>
      </c>
      <c r="G526" s="17">
        <f>G523/G524*100</f>
        <v>86.805235500665006</v>
      </c>
      <c r="H526" s="1"/>
    </row>
    <row r="527" spans="1:40" x14ac:dyDescent="0.3">
      <c r="B527" s="16" t="s">
        <v>39</v>
      </c>
      <c r="C527" s="18">
        <f>SQRT((C530+C531)/(C524*C524))</f>
        <v>0</v>
      </c>
      <c r="D527" s="18">
        <f>SQRT((D530+D531)/(D524*D524))</f>
        <v>3.2520119468501183</v>
      </c>
      <c r="E527" s="18">
        <f>SQRT((E530+E531)/(E524*E524))</f>
        <v>0.2014046891539909</v>
      </c>
      <c r="F527" s="18">
        <f>SQRT((F530+F531)/(F524*F524))</f>
        <v>0.8592274106001786</v>
      </c>
      <c r="G527" s="18">
        <f>SQRT((G530+G531)/(G524*G524))</f>
        <v>2.2011909368599301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0</v>
      </c>
      <c r="D528" s="18">
        <f>100-D526</f>
        <v>20.497584540132451</v>
      </c>
      <c r="E528" s="18">
        <f>100-E526</f>
        <v>2.9853172240312063</v>
      </c>
      <c r="F528" s="18">
        <f>100-F526</f>
        <v>10.788600468252511</v>
      </c>
      <c r="G528" s="18">
        <f>100-G526</f>
        <v>13.194764499334994</v>
      </c>
    </row>
    <row r="529" spans="1:40" ht="15.6" x14ac:dyDescent="0.35">
      <c r="B529" s="1" t="s">
        <v>25</v>
      </c>
      <c r="C529" s="1">
        <f>C513</f>
        <v>259</v>
      </c>
      <c r="D529" s="1">
        <f>D513</f>
        <v>430</v>
      </c>
      <c r="E529" s="1">
        <f>E513</f>
        <v>7401</v>
      </c>
      <c r="F529" s="1">
        <f>F513</f>
        <v>2597</v>
      </c>
      <c r="G529" s="1">
        <f>G513</f>
        <v>897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198.29821139409819</v>
      </c>
      <c r="E530" s="18">
        <f>(O521*O521*(100-E526)*(100-E526)*(I521)*(100-I521))/((L521-1)*100)</f>
        <v>10.22622204604178</v>
      </c>
      <c r="F530" s="18">
        <f>(O522*O522*(100-F526)*(100-F526)*(I522)*(100-I522))/((L522-1)*100)</f>
        <v>209.77328000060268</v>
      </c>
      <c r="G530" s="18">
        <f>(O523*O523*(100-G526)*(100-G526)*(I523)*(100-I523))/((L523-1)*100)</f>
        <v>269.16592345817787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53.236868133263982</v>
      </c>
      <c r="E531" s="18">
        <f>E526*E526*(SUM((H519*E519*(1-E508/H508))/(H508-1),(H520*E520*(1-E509/H509))/(H509-1), (H522*E522*(1-E511/H511))/(H511-1),(H523*E523*(1-E512/H512))/(H512-1)))</f>
        <v>153.09236718997647</v>
      </c>
      <c r="F531" s="18">
        <f>F526*F526*(SUM((H519*F519*(1-F508/H508))/(H508-1),(H520*F520*(1-F509/H509))/(H509-1), (H521*F521*(1-F510/H510))/(H510-1),(H523*F523*(1-F512/H512))/(H512-1)))</f>
        <v>141.71908538988049</v>
      </c>
      <c r="G531" s="18">
        <f>G526*G526*(SUM((H519*G519*(1-G508/H508))/(H508-1),(H520*G520*(1-G509/H509))/(H509-1), (H521*G521*(1-G510/H510))/(H510-1),(H522*G522*(1-G511/H511))/(H511-1)))</f>
        <v>67.049340355345365</v>
      </c>
      <c r="AM531" s="78"/>
      <c r="AN531" s="78"/>
    </row>
    <row r="533" spans="1:40" x14ac:dyDescent="0.3">
      <c r="AM533" s="78"/>
      <c r="AN533" s="78"/>
    </row>
    <row r="534" spans="1:40" x14ac:dyDescent="0.3">
      <c r="A534" s="361" t="s">
        <v>455</v>
      </c>
      <c r="B534" s="361"/>
      <c r="C534" s="361"/>
      <c r="D534" s="361"/>
      <c r="E534" s="361"/>
      <c r="F534" s="361"/>
      <c r="G534" s="361"/>
      <c r="H534" s="361"/>
      <c r="I534" s="361"/>
      <c r="J534" s="361"/>
      <c r="K534" s="361"/>
      <c r="L534" s="361" t="s">
        <v>96</v>
      </c>
      <c r="M534" s="361"/>
      <c r="N534" s="361"/>
      <c r="O534" s="361"/>
      <c r="P534" s="361"/>
    </row>
    <row r="535" spans="1:40" x14ac:dyDescent="0.3">
      <c r="A535" t="s">
        <v>15</v>
      </c>
      <c r="B535" t="s">
        <v>21</v>
      </c>
      <c r="I535" s="1" t="s">
        <v>58</v>
      </c>
      <c r="O535" s="143"/>
      <c r="P535" s="143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56</v>
      </c>
      <c r="O536" s="13"/>
      <c r="P536" s="13"/>
    </row>
    <row r="537" spans="1:40" x14ac:dyDescent="0.3">
      <c r="A537" t="s">
        <v>3</v>
      </c>
      <c r="B537" s="13">
        <v>0</v>
      </c>
      <c r="C537" s="26">
        <v>259</v>
      </c>
      <c r="D537" s="3">
        <v>0</v>
      </c>
      <c r="E537" s="3">
        <v>0</v>
      </c>
      <c r="F537" s="3">
        <v>0</v>
      </c>
      <c r="G537" s="4">
        <v>0</v>
      </c>
      <c r="H537" s="1">
        <f>SUM(C537:G537)</f>
        <v>259</v>
      </c>
      <c r="I537" s="10">
        <f>C537/H537</f>
        <v>1</v>
      </c>
      <c r="J537" s="11">
        <f>1-I537</f>
        <v>0</v>
      </c>
      <c r="K537">
        <f>H537-C542</f>
        <v>0</v>
      </c>
      <c r="N537" s="10">
        <f>2*(C543*I537)/(C543+I537)</f>
        <v>1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316</v>
      </c>
      <c r="E538" s="1">
        <v>29</v>
      </c>
      <c r="F538" s="1">
        <v>0</v>
      </c>
      <c r="G538" s="6">
        <v>2</v>
      </c>
      <c r="H538" s="1">
        <f>SUM(C538:G538)</f>
        <v>347</v>
      </c>
      <c r="I538" s="10">
        <f>D538/H538</f>
        <v>0.91066282420749278</v>
      </c>
      <c r="J538" s="11">
        <f>1-I538</f>
        <v>8.9337175792507217E-2</v>
      </c>
      <c r="K538">
        <f>H538-D542</f>
        <v>-86</v>
      </c>
      <c r="N538" s="10">
        <f>2*(D543*I538)/(D543+I538)</f>
        <v>0.81025641025641038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107</v>
      </c>
      <c r="E539" s="27">
        <v>7197</v>
      </c>
      <c r="F539" s="1">
        <v>39</v>
      </c>
      <c r="G539" s="6">
        <v>7</v>
      </c>
      <c r="H539" s="1">
        <f>SUM(C539:G539)</f>
        <v>7350</v>
      </c>
      <c r="I539" s="10">
        <f>E539/H539</f>
        <v>0.97918367346938773</v>
      </c>
      <c r="J539" s="11">
        <f>1-I539</f>
        <v>2.0816326530612272E-2</v>
      </c>
      <c r="K539">
        <f>H539-E542</f>
        <v>-61</v>
      </c>
      <c r="N539" s="10">
        <f>2*(E543*I539)/(E543+I539)</f>
        <v>0.9751371858275184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0</v>
      </c>
      <c r="D540" s="1">
        <v>8</v>
      </c>
      <c r="E540" s="1">
        <v>176</v>
      </c>
      <c r="F540" s="27">
        <v>2336</v>
      </c>
      <c r="G540" s="6">
        <v>118</v>
      </c>
      <c r="H540" s="1">
        <f>SUM(C540:G540)</f>
        <v>2638</v>
      </c>
      <c r="I540" s="10">
        <f>F540/H540</f>
        <v>0.88551933282789996</v>
      </c>
      <c r="J540" s="11">
        <f>1-I540</f>
        <v>0.11448066717210004</v>
      </c>
      <c r="K540">
        <f>H540-F542</f>
        <v>51</v>
      </c>
      <c r="N540" s="10">
        <f>2*(F543*I540)/(F543+I540)</f>
        <v>0.89416267942583727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2</v>
      </c>
      <c r="E541" s="8">
        <v>9</v>
      </c>
      <c r="F541" s="8">
        <v>212</v>
      </c>
      <c r="G541" s="28">
        <v>767</v>
      </c>
      <c r="H541" s="1">
        <f>SUM(C541:G541)</f>
        <v>990</v>
      </c>
      <c r="I541" s="10">
        <f>G541/H541</f>
        <v>0.77474747474747474</v>
      </c>
      <c r="J541" s="11">
        <f>1-I541</f>
        <v>0.22525252525252526</v>
      </c>
      <c r="K541">
        <f>H541-G542</f>
        <v>96</v>
      </c>
      <c r="N541" s="10">
        <f>2*(G543*I541)/(G543+I541)</f>
        <v>0.81422505307855619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259</v>
      </c>
      <c r="D542" s="1">
        <f>SUM(D537:D541)</f>
        <v>433</v>
      </c>
      <c r="E542" s="1">
        <f>SUM(E537:E541)</f>
        <v>7411</v>
      </c>
      <c r="F542" s="1">
        <f>SUM(F537:F541)</f>
        <v>2587</v>
      </c>
      <c r="G542" s="1">
        <f>SUM(G537:G541)</f>
        <v>894</v>
      </c>
      <c r="H542" s="1">
        <f>SUM(H536:H541)</f>
        <v>11584</v>
      </c>
      <c r="I542" s="13" t="s">
        <v>12</v>
      </c>
      <c r="N542" s="16"/>
      <c r="O542" s="1"/>
      <c r="P542" s="1"/>
    </row>
    <row r="543" spans="1:40" x14ac:dyDescent="0.3">
      <c r="A543" s="1" t="s">
        <v>57</v>
      </c>
      <c r="B543" s="1" t="s">
        <v>2</v>
      </c>
      <c r="C543" s="10">
        <f>C537/C542</f>
        <v>1</v>
      </c>
      <c r="D543" s="10">
        <f>D538/D542</f>
        <v>0.72979214780600465</v>
      </c>
      <c r="E543" s="10">
        <f>E539/E542</f>
        <v>0.97112400485764405</v>
      </c>
      <c r="F543" s="10">
        <f>F540/F542</f>
        <v>0.90297642056436023</v>
      </c>
      <c r="G543" s="10">
        <f>G541/G542</f>
        <v>0.85794183445190153</v>
      </c>
      <c r="H543" s="10"/>
      <c r="I543" s="14">
        <f>(C537+D538+E539+F540+G541)/H542</f>
        <v>0.93879488950276246</v>
      </c>
    </row>
    <row r="544" spans="1:40" x14ac:dyDescent="0.3">
      <c r="B544" s="1" t="s">
        <v>14</v>
      </c>
      <c r="C544" s="11">
        <f>1-C543</f>
        <v>0</v>
      </c>
      <c r="D544" s="11">
        <f>1-D543</f>
        <v>0.27020785219399535</v>
      </c>
      <c r="E544" s="11">
        <f>1-E543</f>
        <v>2.8875995142355948E-2</v>
      </c>
      <c r="F544" s="11">
        <f>1-F543</f>
        <v>9.7023579435639773E-2</v>
      </c>
      <c r="G544" s="11">
        <f>1-G543</f>
        <v>0.14205816554809847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1.5189552634888071</v>
      </c>
      <c r="D548" s="31">
        <f>(D537/$L548)*$O548</f>
        <v>0</v>
      </c>
      <c r="E548" s="31">
        <f>(E537/$L548)*$O548</f>
        <v>0</v>
      </c>
      <c r="F548" s="31">
        <f>(F537/$L548)*$O548</f>
        <v>0</v>
      </c>
      <c r="G548" s="32">
        <f>(G537/$L548)*$O548</f>
        <v>0</v>
      </c>
      <c r="H548" s="17">
        <f>SUM(C548:G548)</f>
        <v>1.5189552634888071</v>
      </c>
      <c r="I548" s="17">
        <f>C548/H548*100</f>
        <v>100</v>
      </c>
      <c r="J548" s="17">
        <f>SQRT(I548*(100-I548)/(L548-1))</f>
        <v>0</v>
      </c>
      <c r="K548" s="18">
        <f>100-I548</f>
        <v>0</v>
      </c>
      <c r="L548" s="1">
        <f>H537</f>
        <v>259</v>
      </c>
      <c r="M548">
        <v>0</v>
      </c>
      <c r="N548" s="1">
        <v>2998.13</v>
      </c>
      <c r="O548" s="17">
        <f>N548/N553*100</f>
        <v>1.5189552634888071</v>
      </c>
      <c r="P548" s="52">
        <f>((O548*O548*(I548/100)*(K548/100))/(L548-1))</f>
        <v>0</v>
      </c>
    </row>
    <row r="549" spans="1:16" x14ac:dyDescent="0.3">
      <c r="A549" t="s">
        <v>4</v>
      </c>
      <c r="B549" s="13">
        <v>1</v>
      </c>
      <c r="C549" s="33">
        <f t="shared" ref="C549:G552" si="58">(C538/$L549)*$O549</f>
        <v>0</v>
      </c>
      <c r="D549" s="34">
        <f t="shared" si="58"/>
        <v>4.027559802621159</v>
      </c>
      <c r="E549" s="19">
        <f t="shared" si="58"/>
        <v>0.36961782998738479</v>
      </c>
      <c r="F549" s="18">
        <f t="shared" si="58"/>
        <v>0</v>
      </c>
      <c r="G549" s="20">
        <f t="shared" si="58"/>
        <v>2.5490884826716194E-2</v>
      </c>
      <c r="H549" s="17">
        <f>SUM(C549:G549)</f>
        <v>4.4226685174352598</v>
      </c>
      <c r="I549" s="17">
        <f>D549/H549*100</f>
        <v>91.066282420749289</v>
      </c>
      <c r="J549" s="17">
        <f>SQRT(I549*(100-I549)/(L549-1))</f>
        <v>1.53340496117919</v>
      </c>
      <c r="K549" s="18">
        <f>100-I549</f>
        <v>8.9337175792507111</v>
      </c>
      <c r="L549" s="1">
        <f>H538</f>
        <v>347</v>
      </c>
      <c r="M549">
        <v>1</v>
      </c>
      <c r="N549" s="1">
        <v>8729.51</v>
      </c>
      <c r="O549" s="17">
        <f>N549/N553*100</f>
        <v>4.4226685174352598</v>
      </c>
      <c r="P549" s="52">
        <f>((O549*O549*(I549/100)*(K549/100))/(L549-1))</f>
        <v>4.5992022469669904E-3</v>
      </c>
    </row>
    <row r="550" spans="1:16" x14ac:dyDescent="0.3">
      <c r="A550" t="s">
        <v>5</v>
      </c>
      <c r="B550" s="13">
        <v>2</v>
      </c>
      <c r="C550" s="33">
        <f t="shared" si="58"/>
        <v>0</v>
      </c>
      <c r="D550" s="19">
        <f t="shared" si="58"/>
        <v>0.92040453693607538</v>
      </c>
      <c r="E550" s="34">
        <f t="shared" si="58"/>
        <v>61.907957498401252</v>
      </c>
      <c r="F550" s="19">
        <f t="shared" si="58"/>
        <v>0.33547455084585925</v>
      </c>
      <c r="G550" s="20">
        <f t="shared" si="58"/>
        <v>6.0213380921051662E-2</v>
      </c>
      <c r="H550" s="17">
        <f>SUM(C550:G550)</f>
        <v>63.224049967104236</v>
      </c>
      <c r="I550" s="17">
        <f>E550/H550*100</f>
        <v>97.91836734693878</v>
      </c>
      <c r="J550" s="17">
        <f>SQRT(I550*(100-I550)/(L550-1))</f>
        <v>0.16654055360342157</v>
      </c>
      <c r="K550" s="18">
        <f>100-I550</f>
        <v>2.0816326530612201</v>
      </c>
      <c r="L550" s="1">
        <f>H539</f>
        <v>7350</v>
      </c>
      <c r="M550">
        <v>2</v>
      </c>
      <c r="N550" s="1">
        <v>124792.3</v>
      </c>
      <c r="O550" s="17">
        <f>N550/N553*100</f>
        <v>63.224049967104243</v>
      </c>
      <c r="P550" s="52">
        <f>((O550*O550*(I550/100)*(K550/100))/(L550-1))</f>
        <v>1.108675964300317E-2</v>
      </c>
    </row>
    <row r="551" spans="1:16" x14ac:dyDescent="0.3">
      <c r="A551" t="s">
        <v>6</v>
      </c>
      <c r="B551" s="13">
        <v>3</v>
      </c>
      <c r="C551" s="33">
        <f t="shared" si="58"/>
        <v>0</v>
      </c>
      <c r="D551" s="19">
        <f t="shared" si="58"/>
        <v>6.5815081207880696E-2</v>
      </c>
      <c r="E551" s="19">
        <f t="shared" si="58"/>
        <v>1.4479317865733754</v>
      </c>
      <c r="F551" s="34">
        <f t="shared" si="58"/>
        <v>19.218003712701165</v>
      </c>
      <c r="G551" s="20">
        <f t="shared" si="58"/>
        <v>0.97077244781624039</v>
      </c>
      <c r="H551" s="17">
        <f>SUM(C551:G551)</f>
        <v>21.702523028298661</v>
      </c>
      <c r="I551" s="17">
        <f>F551/H551*100</f>
        <v>88.551933282790003</v>
      </c>
      <c r="J551" s="17">
        <f>SQRT(I551*(100-I551)/(L551-1))</f>
        <v>0.6200261900591274</v>
      </c>
      <c r="K551" s="18">
        <f>100-I551</f>
        <v>11.448066717209997</v>
      </c>
      <c r="L551" s="1">
        <f>H540</f>
        <v>2638</v>
      </c>
      <c r="M551">
        <v>3</v>
      </c>
      <c r="N551" s="1">
        <v>42836.67</v>
      </c>
      <c r="O551" s="17">
        <f>N551/N553*100</f>
        <v>21.702523028298661</v>
      </c>
      <c r="P551" s="52">
        <f>((O551*O551*(I551/100)*(K551/100))/(L551-1))</f>
        <v>1.8106750637630037E-2</v>
      </c>
    </row>
    <row r="552" spans="1:16" x14ac:dyDescent="0.3">
      <c r="A552" t="s">
        <v>7</v>
      </c>
      <c r="B552" s="13">
        <v>4</v>
      </c>
      <c r="C552" s="35">
        <f t="shared" si="58"/>
        <v>0</v>
      </c>
      <c r="D552" s="36">
        <f t="shared" si="58"/>
        <v>1.844808732055158E-2</v>
      </c>
      <c r="E552" s="21">
        <f t="shared" si="58"/>
        <v>8.3016392942482101E-2</v>
      </c>
      <c r="F552" s="21">
        <f t="shared" si="58"/>
        <v>1.9554972559784674</v>
      </c>
      <c r="G552" s="37">
        <f t="shared" si="58"/>
        <v>7.0748414874315309</v>
      </c>
      <c r="H552" s="17">
        <f>SUM(C552:G552)</f>
        <v>9.1318032236730318</v>
      </c>
      <c r="I552" s="17">
        <f>G552/H552*100</f>
        <v>77.474747474747474</v>
      </c>
      <c r="J552" s="17">
        <f>SQRT(I552*(100-I552)/(L552-1))</f>
        <v>1.3283630084823213</v>
      </c>
      <c r="K552" s="18">
        <f>100-I552</f>
        <v>22.525252525252526</v>
      </c>
      <c r="L552" s="1">
        <f>H541</f>
        <v>990</v>
      </c>
      <c r="M552">
        <v>4</v>
      </c>
      <c r="N552" s="1">
        <v>18024.45</v>
      </c>
      <c r="O552" s="17">
        <f>N552/N553*100</f>
        <v>9.1318032236730318</v>
      </c>
      <c r="P552" s="52">
        <f>((O552*O552*(I552/100)*(K552/100))/(L552-1))</f>
        <v>1.4714538149262454E-2</v>
      </c>
    </row>
    <row r="553" spans="1:16" x14ac:dyDescent="0.3">
      <c r="B553" t="s">
        <v>28</v>
      </c>
      <c r="C553" s="17">
        <f>SUM(C548:C552)</f>
        <v>1.5189552634888071</v>
      </c>
      <c r="D553" s="17">
        <f>SUM(D548:D552)</f>
        <v>5.0322275080856675</v>
      </c>
      <c r="E553" s="17">
        <f>SUM(E548:E552)</f>
        <v>63.808523507904496</v>
      </c>
      <c r="F553" s="17">
        <f>SUM(F548:F552)</f>
        <v>21.508975519525492</v>
      </c>
      <c r="G553" s="17">
        <f>SUM(G548:G552)</f>
        <v>8.1313182009955387</v>
      </c>
      <c r="H553" s="1">
        <f>SUM(H547:H552)</f>
        <v>99.999999999999986</v>
      </c>
      <c r="I553" s="13" t="s">
        <v>24</v>
      </c>
      <c r="J553" s="12" t="s">
        <v>29</v>
      </c>
      <c r="N553" s="1">
        <f>SUM(N548:N552)</f>
        <v>197381.06</v>
      </c>
      <c r="O553" s="17">
        <f>SUM(O548:O552)</f>
        <v>100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0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0.11444458059703401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0.16516205617791804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0.18747078128201189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0.15221479994404033</v>
      </c>
      <c r="H554" s="1"/>
      <c r="I554" s="56">
        <f>(C548+D549+E550+F551+G552)/H553</f>
        <v>0.93747317764643923</v>
      </c>
      <c r="J554" s="53">
        <f>SQRT(SUM(P548:P552))/100</f>
        <v>2.2024361665406479E-3</v>
      </c>
      <c r="M554" s="1"/>
      <c r="N554" s="9"/>
    </row>
    <row r="555" spans="1:16" x14ac:dyDescent="0.3">
      <c r="B555" s="1" t="s">
        <v>30</v>
      </c>
      <c r="C555" s="17">
        <f>C548/C553*100</f>
        <v>100</v>
      </c>
      <c r="D555" s="17">
        <f>D549/D553*100</f>
        <v>80.035328214985682</v>
      </c>
      <c r="E555" s="17">
        <f>E550/E553*100</f>
        <v>97.02145433710308</v>
      </c>
      <c r="F555" s="17">
        <f>F551/F553*100</f>
        <v>89.348763706831974</v>
      </c>
      <c r="G555" s="17">
        <f>G552/G553*100</f>
        <v>87.007313113946765</v>
      </c>
      <c r="H555" s="1"/>
    </row>
    <row r="556" spans="1:16" x14ac:dyDescent="0.3">
      <c r="B556" s="16" t="s">
        <v>39</v>
      </c>
      <c r="C556" s="18">
        <f>SQRT((C559+C560)/(C553*C553))</f>
        <v>0</v>
      </c>
      <c r="D556" s="18">
        <f>SQRT((D559+D560)/(D553*D553))</f>
        <v>3.0647261691443517</v>
      </c>
      <c r="E556" s="18">
        <f>SQRT((E559+E560)/(E553*E553))</f>
        <v>0.19973509611940579</v>
      </c>
      <c r="F556" s="18">
        <f>SQRT((F559+F560)/(F553*F553))</f>
        <v>0.85930580484212704</v>
      </c>
      <c r="G556" s="18">
        <f>SQRT((G559+G560)/(G553*G553))</f>
        <v>2.1741728793604547</v>
      </c>
      <c r="H556" s="1"/>
    </row>
    <row r="557" spans="1:16" x14ac:dyDescent="0.3">
      <c r="B557" s="1" t="s">
        <v>37</v>
      </c>
      <c r="C557" s="18">
        <f>100-C555</f>
        <v>0</v>
      </c>
      <c r="D557" s="18">
        <f>100-D555</f>
        <v>19.964671785014318</v>
      </c>
      <c r="E557" s="18">
        <f>100-E555</f>
        <v>2.97854566289692</v>
      </c>
      <c r="F557" s="18">
        <f>100-F555</f>
        <v>10.651236293168026</v>
      </c>
      <c r="G557" s="18">
        <f>100-G555</f>
        <v>12.992686886053235</v>
      </c>
    </row>
    <row r="558" spans="1:16" ht="15.6" x14ac:dyDescent="0.35">
      <c r="B558" s="1" t="s">
        <v>25</v>
      </c>
      <c r="C558" s="1">
        <f>C542</f>
        <v>259</v>
      </c>
      <c r="D558" s="1">
        <f>D542</f>
        <v>433</v>
      </c>
      <c r="E558" s="1">
        <f>E542</f>
        <v>7411</v>
      </c>
      <c r="F558" s="1">
        <f>F542</f>
        <v>2587</v>
      </c>
      <c r="G558" s="1">
        <f>G542</f>
        <v>894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183.31873747421557</v>
      </c>
      <c r="E559" s="18">
        <f>(O550*O550*(100-E555)*(100-E555)*(I550)*(100-I550))/((L550-1)*100)</f>
        <v>9.8358785423316437</v>
      </c>
      <c r="F559" s="18">
        <f>(O551*O551*(100-F555)*(100-F555)*(I551)*(100-I551))/((L551-1)*100)</f>
        <v>205.41897577412371</v>
      </c>
      <c r="G559" s="18">
        <f>(O552*O552*(100-G555)*(100-G555)*(I552)*(100-I552))/((L552-1)*100)</f>
        <v>248.39598977347731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54.531663715949591</v>
      </c>
      <c r="E560" s="18">
        <f>E555*E555*(SUM((H548*E548*(1-E537/H537))/(H537-1),(H549*E549*(1-E538/H538))/(H538-1), (H551*E551*(1-E540/H540))/(H540-1),(H552*E552*(1-E541/H541))/(H541-1)))</f>
        <v>152.59408867154053</v>
      </c>
      <c r="F560" s="18">
        <f>F555*F555*(SUM((H548*F548*(1-F537/H537))/(H537-1),(H549*F549*(1-F538/H538))/(H538-1), (H550*F550*(1-F539/H539))/(H539-1),(H552*F552*(1-F541/H541))/(H541-1)))</f>
        <v>136.19445874035139</v>
      </c>
      <c r="G560" s="18">
        <f>G555*G555*(SUM((H548*G548*(1-G537/H537))/(H537-1),(H549*G549*(1-G538/H538))/(H538-1), (H550*G550*(1-G539/H539))/(H539-1),(H551*G551*(1-G540/H540))/(H540-1)))</f>
        <v>64.147215109370208</v>
      </c>
    </row>
    <row r="563" spans="1:16" x14ac:dyDescent="0.3">
      <c r="A563" s="361" t="s">
        <v>455</v>
      </c>
      <c r="B563" s="361"/>
      <c r="C563" s="361"/>
      <c r="D563" s="361"/>
      <c r="E563" s="361"/>
      <c r="F563" s="361"/>
      <c r="G563" s="361"/>
      <c r="H563" s="361"/>
      <c r="I563" s="361"/>
      <c r="J563" s="361"/>
      <c r="K563" s="361"/>
      <c r="L563" s="361" t="s">
        <v>97</v>
      </c>
      <c r="M563" s="361"/>
      <c r="N563" s="361"/>
      <c r="O563" s="361"/>
      <c r="P563" s="361"/>
    </row>
    <row r="564" spans="1:16" x14ac:dyDescent="0.3">
      <c r="A564" t="s">
        <v>15</v>
      </c>
      <c r="B564" t="s">
        <v>21</v>
      </c>
      <c r="I564" s="1" t="s">
        <v>58</v>
      </c>
      <c r="O564" s="143"/>
      <c r="P564" s="143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56</v>
      </c>
      <c r="O565" s="13"/>
      <c r="P565" s="13"/>
    </row>
    <row r="566" spans="1:16" x14ac:dyDescent="0.3">
      <c r="A566" t="s">
        <v>3</v>
      </c>
      <c r="B566" s="13">
        <v>0</v>
      </c>
      <c r="C566" s="26">
        <v>259</v>
      </c>
      <c r="D566" s="3">
        <v>0</v>
      </c>
      <c r="E566" s="3">
        <v>0</v>
      </c>
      <c r="F566" s="3">
        <v>0</v>
      </c>
      <c r="G566" s="4">
        <v>0</v>
      </c>
      <c r="H566" s="1">
        <f>SUM(C566:G566)</f>
        <v>259</v>
      </c>
      <c r="I566" s="10">
        <f>C566/H566</f>
        <v>1</v>
      </c>
      <c r="J566" s="11">
        <f>1-I566</f>
        <v>0</v>
      </c>
      <c r="K566">
        <f>H566-C571</f>
        <v>0</v>
      </c>
      <c r="N566" s="10">
        <f>2*(C572*I566)/(C572+I566)</f>
        <v>1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313</v>
      </c>
      <c r="E567" s="1">
        <v>31</v>
      </c>
      <c r="F567" s="1">
        <v>0</v>
      </c>
      <c r="G567" s="6">
        <v>3</v>
      </c>
      <c r="H567" s="1">
        <f>SUM(C567:G567)</f>
        <v>347</v>
      </c>
      <c r="I567" s="10">
        <f>D567/H567</f>
        <v>0.90201729106628237</v>
      </c>
      <c r="J567" s="11">
        <f>1-I567</f>
        <v>9.7982708933717633E-2</v>
      </c>
      <c r="K567">
        <f>H567-D571</f>
        <v>-76</v>
      </c>
      <c r="N567" s="10">
        <f>2*(D572*I567)/(D572+I567)</f>
        <v>0.81298701298701292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99</v>
      </c>
      <c r="E568" s="27">
        <v>7202</v>
      </c>
      <c r="F568" s="1">
        <v>41</v>
      </c>
      <c r="G568" s="6">
        <v>8</v>
      </c>
      <c r="H568" s="1">
        <f>SUM(C568:G568)</f>
        <v>7350</v>
      </c>
      <c r="I568" s="10">
        <f>E568/H568</f>
        <v>0.97986394557823131</v>
      </c>
      <c r="J568" s="11">
        <f>1-I568</f>
        <v>2.013605442176869E-2</v>
      </c>
      <c r="K568">
        <f>H568-E571</f>
        <v>-79</v>
      </c>
      <c r="N568" s="10">
        <f>2*(E572*I568)/(E572+I568)</f>
        <v>0.97462615873875103</v>
      </c>
      <c r="O568" s="1"/>
      <c r="P568" s="1"/>
    </row>
    <row r="569" spans="1:16" x14ac:dyDescent="0.3">
      <c r="A569" t="s">
        <v>6</v>
      </c>
      <c r="B569" s="13">
        <v>3</v>
      </c>
      <c r="C569" s="5">
        <v>0</v>
      </c>
      <c r="D569" s="1">
        <v>9</v>
      </c>
      <c r="E569" s="1">
        <v>180</v>
      </c>
      <c r="F569" s="27">
        <v>2336</v>
      </c>
      <c r="G569" s="6">
        <v>113</v>
      </c>
      <c r="H569" s="1">
        <f>SUM(C569:G569)</f>
        <v>2638</v>
      </c>
      <c r="I569" s="10">
        <f>F569/H569</f>
        <v>0.88551933282789996</v>
      </c>
      <c r="J569" s="11">
        <f>1-I569</f>
        <v>0.11448066717210004</v>
      </c>
      <c r="K569">
        <f>H569-F571</f>
        <v>50</v>
      </c>
      <c r="N569" s="10">
        <f>2*(F572*I569)/(F572+I569)</f>
        <v>0.89399158055874473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2</v>
      </c>
      <c r="E570" s="8">
        <v>16</v>
      </c>
      <c r="F570" s="8">
        <v>211</v>
      </c>
      <c r="G570" s="28">
        <v>761</v>
      </c>
      <c r="H570" s="1">
        <f>SUM(C570:G570)</f>
        <v>990</v>
      </c>
      <c r="I570" s="10">
        <f>G570/H570</f>
        <v>0.76868686868686864</v>
      </c>
      <c r="J570" s="11">
        <f>1-I570</f>
        <v>0.23131313131313136</v>
      </c>
      <c r="K570">
        <f>H570-G571</f>
        <v>105</v>
      </c>
      <c r="N570" s="10">
        <f>2*(G572*I570)/(G572+I570)</f>
        <v>0.81173333333333342</v>
      </c>
      <c r="O570" s="1"/>
      <c r="P570" s="1"/>
    </row>
    <row r="571" spans="1:16" ht="15.6" x14ac:dyDescent="0.35">
      <c r="B571" s="1" t="s">
        <v>19</v>
      </c>
      <c r="C571" s="1">
        <f>SUM(C566:C570)</f>
        <v>259</v>
      </c>
      <c r="D571" s="1">
        <f>SUM(D566:D570)</f>
        <v>423</v>
      </c>
      <c r="E571" s="1">
        <f>SUM(E566:E570)</f>
        <v>7429</v>
      </c>
      <c r="F571" s="1">
        <f>SUM(F566:F570)</f>
        <v>2588</v>
      </c>
      <c r="G571" s="1">
        <f>SUM(G566:G570)</f>
        <v>885</v>
      </c>
      <c r="H571" s="1">
        <f>SUM(H565:H570)</f>
        <v>11584</v>
      </c>
      <c r="I571" s="13" t="s">
        <v>12</v>
      </c>
      <c r="N571" s="16"/>
      <c r="O571" s="1"/>
      <c r="P571" s="1"/>
    </row>
    <row r="572" spans="1:16" x14ac:dyDescent="0.3">
      <c r="A572" s="1" t="s">
        <v>57</v>
      </c>
      <c r="B572" s="1" t="s">
        <v>2</v>
      </c>
      <c r="C572" s="10">
        <f>C566/C571</f>
        <v>1</v>
      </c>
      <c r="D572" s="10">
        <f>D567/D571</f>
        <v>0.73995271867612289</v>
      </c>
      <c r="E572" s="10">
        <f>E568/E571</f>
        <v>0.9694440705343923</v>
      </c>
      <c r="F572" s="10">
        <f>F569/F571</f>
        <v>0.90262751159196286</v>
      </c>
      <c r="G572" s="10">
        <f>G570/G571</f>
        <v>0.85988700564971754</v>
      </c>
      <c r="H572" s="10"/>
      <c r="I572" s="14">
        <f>(C566+D567+E568+F569+G570)/H571</f>
        <v>0.93844958563535907</v>
      </c>
    </row>
    <row r="573" spans="1:16" x14ac:dyDescent="0.3">
      <c r="B573" s="1" t="s">
        <v>14</v>
      </c>
      <c r="C573" s="11">
        <f>1-C572</f>
        <v>0</v>
      </c>
      <c r="D573" s="11">
        <f>1-D572</f>
        <v>0.26004728132387711</v>
      </c>
      <c r="E573" s="11">
        <f>1-E572</f>
        <v>3.0555929465607701E-2</v>
      </c>
      <c r="F573" s="11">
        <f>1-F572</f>
        <v>9.7372488408037139E-2</v>
      </c>
      <c r="G573" s="11">
        <f>1-G572</f>
        <v>0.14011299435028246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1.5240114730359642</v>
      </c>
      <c r="D577" s="31">
        <f>(D566/$L577)*$O577</f>
        <v>0</v>
      </c>
      <c r="E577" s="31">
        <f>(E566/$L577)*$O577</f>
        <v>0</v>
      </c>
      <c r="F577" s="31">
        <f>(F566/$L577)*$O577</f>
        <v>0</v>
      </c>
      <c r="G577" s="32">
        <f>(G566/$L577)*$O577</f>
        <v>0</v>
      </c>
      <c r="H577" s="17">
        <f>SUM(C577:G577)</f>
        <v>1.5240114730359642</v>
      </c>
      <c r="I577" s="17">
        <f>C577/H577*100</f>
        <v>100</v>
      </c>
      <c r="J577" s="17">
        <f>SQRT(I577*(100-I577)/(L577-1))</f>
        <v>0</v>
      </c>
      <c r="K577" s="18">
        <f>100-I577</f>
        <v>0</v>
      </c>
      <c r="L577" s="1">
        <f>H566</f>
        <v>259</v>
      </c>
      <c r="M577">
        <v>0</v>
      </c>
      <c r="N577" s="1">
        <v>3008.11</v>
      </c>
      <c r="O577" s="17">
        <f>N577/N582*100</f>
        <v>1.5240114730359642</v>
      </c>
      <c r="P577" s="52">
        <f>((O577*O577*(I577/100)*(K577/100))/(L577-1))</f>
        <v>0</v>
      </c>
    </row>
    <row r="578" spans="1:16" x14ac:dyDescent="0.3">
      <c r="A578" t="s">
        <v>4</v>
      </c>
      <c r="B578" s="13">
        <v>1</v>
      </c>
      <c r="C578" s="33">
        <f t="shared" ref="C578:G581" si="59">(C567/$L578)*$O578</f>
        <v>0</v>
      </c>
      <c r="D578" s="34">
        <f t="shared" si="59"/>
        <v>3.9139470780770709</v>
      </c>
      <c r="E578" s="19">
        <f t="shared" si="59"/>
        <v>0.38764332083191438</v>
      </c>
      <c r="F578" s="18">
        <f t="shared" si="59"/>
        <v>0</v>
      </c>
      <c r="G578" s="20">
        <f t="shared" si="59"/>
        <v>3.7513869757927198E-2</v>
      </c>
      <c r="H578" s="17">
        <f>SUM(C578:G578)</f>
        <v>4.3391042686669126</v>
      </c>
      <c r="I578" s="17">
        <f>D578/H578*100</f>
        <v>90.201729106628235</v>
      </c>
      <c r="J578" s="17">
        <f>SQRT(I578*(100-I578)/(L578-1))</f>
        <v>1.5982477551409069</v>
      </c>
      <c r="K578" s="18">
        <f>100-I578</f>
        <v>9.7982708933717646</v>
      </c>
      <c r="L578" s="1">
        <f>H567</f>
        <v>347</v>
      </c>
      <c r="M578">
        <v>1</v>
      </c>
      <c r="N578" s="1">
        <v>8564.57</v>
      </c>
      <c r="O578" s="17">
        <f>N578/N582*100</f>
        <v>4.3391042686669126</v>
      </c>
      <c r="P578" s="52">
        <f>((O578*O578*(I578/100)*(K578/100))/(L578-1))</f>
        <v>4.8093720920016408E-3</v>
      </c>
    </row>
    <row r="579" spans="1:16" x14ac:dyDescent="0.3">
      <c r="A579" t="s">
        <v>5</v>
      </c>
      <c r="B579" s="13">
        <v>2</v>
      </c>
      <c r="C579" s="33">
        <f t="shared" si="59"/>
        <v>0</v>
      </c>
      <c r="D579" s="19">
        <f t="shared" si="59"/>
        <v>0.85273759606035604</v>
      </c>
      <c r="E579" s="34">
        <f t="shared" si="59"/>
        <v>62.034506735623076</v>
      </c>
      <c r="F579" s="19">
        <f t="shared" si="59"/>
        <v>0.35315395392398585</v>
      </c>
      <c r="G579" s="20">
        <f t="shared" si="59"/>
        <v>6.8908088570533821E-2</v>
      </c>
      <c r="H579" s="17">
        <f>SUM(C579:G579)</f>
        <v>63.30930637417795</v>
      </c>
      <c r="I579" s="17">
        <f>E579/H579*100</f>
        <v>97.986394557823132</v>
      </c>
      <c r="J579" s="17">
        <f>SQRT(I579*(100-I579)/(L579-1))</f>
        <v>0.16385358709926462</v>
      </c>
      <c r="K579" s="18">
        <f>100-I579</f>
        <v>2.0136054421768677</v>
      </c>
      <c r="L579" s="1">
        <f>H568</f>
        <v>7350</v>
      </c>
      <c r="M579">
        <v>2</v>
      </c>
      <c r="N579" s="1">
        <v>124960.58</v>
      </c>
      <c r="O579" s="17">
        <f>N579/N582*100</f>
        <v>63.30930637417795</v>
      </c>
      <c r="P579" s="52">
        <f>((O579*O579*(I579/100)*(K579/100))/(L579-1))</f>
        <v>1.0760860901415455E-2</v>
      </c>
    </row>
    <row r="580" spans="1:16" x14ac:dyDescent="0.3">
      <c r="A580" t="s">
        <v>6</v>
      </c>
      <c r="B580" s="13">
        <v>3</v>
      </c>
      <c r="C580" s="33">
        <f t="shared" si="59"/>
        <v>0</v>
      </c>
      <c r="D580" s="19">
        <f t="shared" si="59"/>
        <v>7.3269322281208124E-2</v>
      </c>
      <c r="E580" s="19">
        <f t="shared" si="59"/>
        <v>1.4653864456241623</v>
      </c>
      <c r="F580" s="34">
        <f t="shared" si="59"/>
        <v>19.017459649878017</v>
      </c>
      <c r="G580" s="20">
        <f t="shared" si="59"/>
        <v>0.91993704641961305</v>
      </c>
      <c r="H580" s="17">
        <f>SUM(C580:G580)</f>
        <v>21.476052464203001</v>
      </c>
      <c r="I580" s="17">
        <f>F580/H580*100</f>
        <v>88.551933282789989</v>
      </c>
      <c r="J580" s="17">
        <f>SQRT(I580*(100-I580)/(L580-1))</f>
        <v>0.62002619005912774</v>
      </c>
      <c r="K580" s="18">
        <f>100-I580</f>
        <v>11.448066717210011</v>
      </c>
      <c r="L580" s="1">
        <f>H569</f>
        <v>2638</v>
      </c>
      <c r="M580">
        <v>3</v>
      </c>
      <c r="N580" s="1">
        <v>42389.66</v>
      </c>
      <c r="O580" s="17">
        <f>N580/N582*100</f>
        <v>21.476052464203001</v>
      </c>
      <c r="P580" s="52">
        <f>((O580*O580*(I580/100)*(K580/100))/(L580-1))</f>
        <v>1.7730826561207971E-2</v>
      </c>
    </row>
    <row r="581" spans="1:16" x14ac:dyDescent="0.3">
      <c r="A581" t="s">
        <v>7</v>
      </c>
      <c r="B581" s="13">
        <v>4</v>
      </c>
      <c r="C581" s="35">
        <f t="shared" si="59"/>
        <v>0</v>
      </c>
      <c r="D581" s="36">
        <f t="shared" si="59"/>
        <v>1.8891970545285207E-2</v>
      </c>
      <c r="E581" s="21">
        <f t="shared" si="59"/>
        <v>0.15113576436228165</v>
      </c>
      <c r="F581" s="21">
        <f t="shared" si="59"/>
        <v>1.9931028925275893</v>
      </c>
      <c r="G581" s="37">
        <f t="shared" si="59"/>
        <v>7.1883947924810201</v>
      </c>
      <c r="H581" s="17">
        <f>SUM(C581:G581)</f>
        <v>9.3515254199161753</v>
      </c>
      <c r="I581" s="17">
        <f>G581/H581*100</f>
        <v>76.868686868686879</v>
      </c>
      <c r="J581" s="17">
        <f>SQRT(I581*(100-I581)/(L581-1))</f>
        <v>1.3408392954153312</v>
      </c>
      <c r="K581" s="18">
        <f>100-I581</f>
        <v>23.131313131313121</v>
      </c>
      <c r="L581" s="1">
        <f>H570</f>
        <v>990</v>
      </c>
      <c r="M581">
        <v>4</v>
      </c>
      <c r="N581" s="1">
        <v>18458.14</v>
      </c>
      <c r="O581" s="17">
        <f>N581/N582*100</f>
        <v>9.351525419916177</v>
      </c>
      <c r="P581" s="52">
        <f>((O581*O581*(I581/100)*(K581/100))/(L581-1))</f>
        <v>1.5722383152387338E-2</v>
      </c>
    </row>
    <row r="582" spans="1:16" x14ac:dyDescent="0.3">
      <c r="B582" t="s">
        <v>28</v>
      </c>
      <c r="C582" s="17">
        <f t="shared" ref="C582:H582" si="60">SUM(C577:C581)</f>
        <v>1.5240114730359642</v>
      </c>
      <c r="D582" s="17">
        <f t="shared" si="60"/>
        <v>4.8588459669639192</v>
      </c>
      <c r="E582" s="17">
        <f t="shared" si="60"/>
        <v>64.038672266441438</v>
      </c>
      <c r="F582" s="17">
        <f t="shared" si="60"/>
        <v>21.363716496329591</v>
      </c>
      <c r="G582" s="17">
        <f t="shared" si="60"/>
        <v>8.2147537972290934</v>
      </c>
      <c r="H582" s="18">
        <f t="shared" si="60"/>
        <v>99.999999999999986</v>
      </c>
      <c r="I582" s="13" t="s">
        <v>24</v>
      </c>
      <c r="J582" s="12" t="s">
        <v>29</v>
      </c>
      <c r="N582" s="1">
        <f>SUM(N577:N581)</f>
        <v>197381.06</v>
      </c>
      <c r="O582" s="17">
        <f>SUM(O577:O581)</f>
        <v>99.999999999999986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0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0.11319977626285738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0.16641511579305454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0.18858225770754966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0.1547025305026242</v>
      </c>
      <c r="H583" s="1"/>
      <c r="I583" s="56">
        <f>(C577+D578+E579+F580+G581)/H582</f>
        <v>0.93678319729095161</v>
      </c>
      <c r="J583" s="53">
        <f>SQRT(SUM(P577:P581))/100</f>
        <v>2.2141238155760938E-3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80.553018241134438</v>
      </c>
      <c r="E584" s="17">
        <f>E579/E582*100</f>
        <v>96.870382442534464</v>
      </c>
      <c r="F584" s="17">
        <f>F580/F582*100</f>
        <v>89.017562338207043</v>
      </c>
      <c r="G584" s="17">
        <f>G581/G582*100</f>
        <v>87.505906688350493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3.1477779567527242</v>
      </c>
      <c r="E585" s="18">
        <f>SQRT((E588+E589)/(E582*E582))</f>
        <v>0.2033769904371398</v>
      </c>
      <c r="F585" s="18">
        <f>SQRT((F588+F589)/(F582*F582))</f>
        <v>0.88235911307021309</v>
      </c>
      <c r="G585" s="18">
        <f>SQRT((G588+G589)/(G582*G582))</f>
        <v>2.1379635817025138</v>
      </c>
      <c r="H585" s="1"/>
    </row>
    <row r="586" spans="1:16" x14ac:dyDescent="0.3">
      <c r="B586" s="1" t="s">
        <v>37</v>
      </c>
      <c r="C586" s="18">
        <f>100-C584</f>
        <v>0</v>
      </c>
      <c r="D586" s="18">
        <f>100-D584</f>
        <v>19.446981758865562</v>
      </c>
      <c r="E586" s="18">
        <f>100-E584</f>
        <v>3.1296175574655365</v>
      </c>
      <c r="F586" s="18">
        <f>100-F584</f>
        <v>10.982437661792957</v>
      </c>
      <c r="G586" s="18">
        <f>100-G584</f>
        <v>12.494093311649507</v>
      </c>
    </row>
    <row r="587" spans="1:16" ht="15.6" x14ac:dyDescent="0.35">
      <c r="B587" s="1" t="s">
        <v>25</v>
      </c>
      <c r="C587" s="1">
        <f>C571</f>
        <v>259</v>
      </c>
      <c r="D587" s="1">
        <f>D571</f>
        <v>423</v>
      </c>
      <c r="E587" s="1">
        <f>E571</f>
        <v>7429</v>
      </c>
      <c r="F587" s="1">
        <f>F571</f>
        <v>2588</v>
      </c>
      <c r="G587" s="1">
        <f>G571</f>
        <v>885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181.8832863288761</v>
      </c>
      <c r="E588" s="18">
        <f>(O579*O579*(100-E584)*(100-E584)*(I579)*(100-I579))/((L579-1)*100)</f>
        <v>10.539731726665019</v>
      </c>
      <c r="F588" s="18">
        <f>(O580*O580*(100-F584)*(100-F584)*(I580)*(100-I580))/((L580-1)*100)</f>
        <v>213.85847977257961</v>
      </c>
      <c r="G588" s="18">
        <f>(O581*O581*(100-G584)*(100-G584)*(I581)*(100-I581))/((L581-1)*100)</f>
        <v>245.43012356630274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52.040531015265103</v>
      </c>
      <c r="E589" s="18">
        <f>E584*E584*(SUM((H577*E577*(1-E566/H566))/(H566-1),(H578*E578*(1-E567/H567))/(H567-1), (H580*E580*(1-E569/H569))/(H569-1),(H581*E581*(1-E570/H570))/(H570-1)))</f>
        <v>159.0846472759938</v>
      </c>
      <c r="F589" s="18">
        <f>F584*F584*(SUM((H577*F577*(1-F566/H566))/(H566-1),(H578*F578*(1-F567/H567))/(H567-1), (H579*F579*(1-F568/H568))/(H568-1),(H581*F581*(1-F570/H570))/(H570-1)))</f>
        <v>141.48173717061269</v>
      </c>
      <c r="G589" s="18">
        <f>G584*G584*(SUM((H577*G577*(1-G566/H566))/(H566-1),(H578*G578*(1-G567/H567))/(H567-1), (H579*G579*(1-G568/H568))/(H568-1),(H580*G580*(1-G569/H569))/(H569-1)))</f>
        <v>63.023381648223236</v>
      </c>
    </row>
    <row r="592" spans="1:16" x14ac:dyDescent="0.3">
      <c r="A592" s="361"/>
      <c r="B592" s="361"/>
      <c r="C592" s="361"/>
      <c r="D592" s="361"/>
      <c r="E592" s="361"/>
      <c r="F592" s="361"/>
      <c r="G592" s="361"/>
      <c r="H592" s="361"/>
      <c r="I592" s="361"/>
      <c r="J592" s="361"/>
      <c r="K592" s="361"/>
      <c r="L592" s="361"/>
      <c r="M592" s="361"/>
      <c r="N592" s="361"/>
      <c r="O592" s="361"/>
      <c r="P592" s="361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61"/>
      <c r="B621" s="361"/>
      <c r="C621" s="361"/>
      <c r="D621" s="361"/>
      <c r="E621" s="361"/>
      <c r="F621" s="361"/>
      <c r="G621" s="361"/>
      <c r="H621" s="361"/>
      <c r="I621" s="361"/>
      <c r="J621" s="361"/>
      <c r="K621" s="361"/>
      <c r="L621" s="361"/>
      <c r="M621" s="361"/>
      <c r="N621" s="361"/>
      <c r="O621" s="361"/>
      <c r="P621" s="361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61"/>
      <c r="B650" s="361"/>
      <c r="C650" s="361"/>
      <c r="D650" s="361"/>
      <c r="E650" s="361"/>
      <c r="F650" s="361"/>
      <c r="G650" s="361"/>
      <c r="H650" s="361"/>
      <c r="I650" s="361"/>
      <c r="J650" s="361"/>
      <c r="K650" s="361"/>
      <c r="L650" s="361"/>
      <c r="M650" s="361"/>
      <c r="N650" s="361"/>
      <c r="O650" s="361"/>
      <c r="P650" s="361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61"/>
      <c r="B679" s="361"/>
      <c r="C679" s="361"/>
      <c r="D679" s="361"/>
      <c r="E679" s="361"/>
      <c r="F679" s="361"/>
      <c r="G679" s="361"/>
      <c r="H679" s="361"/>
      <c r="I679" s="361"/>
      <c r="J679" s="361"/>
      <c r="K679" s="361"/>
      <c r="L679" s="361"/>
      <c r="M679" s="361"/>
      <c r="N679" s="361"/>
      <c r="O679" s="361"/>
      <c r="P679" s="361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61"/>
      <c r="B708" s="361"/>
      <c r="C708" s="361"/>
      <c r="D708" s="361"/>
      <c r="E708" s="361"/>
      <c r="F708" s="361"/>
      <c r="G708" s="361"/>
      <c r="H708" s="361"/>
      <c r="I708" s="361"/>
      <c r="J708" s="361"/>
      <c r="K708" s="361"/>
      <c r="L708" s="361"/>
      <c r="M708" s="361"/>
      <c r="N708" s="361"/>
      <c r="O708" s="361"/>
      <c r="P708" s="361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61"/>
      <c r="B737" s="361"/>
      <c r="C737" s="361"/>
      <c r="D737" s="361"/>
      <c r="E737" s="361"/>
      <c r="F737" s="361"/>
      <c r="G737" s="361"/>
      <c r="H737" s="361"/>
      <c r="I737" s="361"/>
      <c r="J737" s="361"/>
      <c r="K737" s="361"/>
      <c r="L737" s="361"/>
      <c r="M737" s="361"/>
      <c r="N737" s="361"/>
      <c r="O737" s="361"/>
      <c r="P737" s="361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61"/>
      <c r="B766" s="361"/>
      <c r="C766" s="361"/>
      <c r="D766" s="361"/>
      <c r="E766" s="361"/>
      <c r="F766" s="361"/>
      <c r="G766" s="361"/>
      <c r="H766" s="361"/>
      <c r="I766" s="361"/>
      <c r="J766" s="361"/>
      <c r="K766" s="361"/>
      <c r="L766" s="361"/>
      <c r="M766" s="361"/>
      <c r="N766" s="361"/>
      <c r="O766" s="361"/>
      <c r="P766" s="361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61"/>
      <c r="B795" s="361"/>
      <c r="C795" s="361"/>
      <c r="D795" s="361"/>
      <c r="E795" s="361"/>
      <c r="F795" s="361"/>
      <c r="G795" s="361"/>
      <c r="H795" s="361"/>
      <c r="I795" s="361"/>
      <c r="J795" s="361"/>
      <c r="K795" s="361"/>
      <c r="L795" s="361"/>
      <c r="M795" s="361"/>
      <c r="N795" s="361"/>
      <c r="O795" s="361"/>
      <c r="P795" s="361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61"/>
      <c r="B824" s="361"/>
      <c r="C824" s="361"/>
      <c r="D824" s="361"/>
      <c r="E824" s="361"/>
      <c r="F824" s="361"/>
      <c r="G824" s="361"/>
      <c r="H824" s="361"/>
      <c r="I824" s="361"/>
      <c r="J824" s="361"/>
      <c r="K824" s="361"/>
      <c r="L824" s="361"/>
      <c r="M824" s="361"/>
      <c r="N824" s="361"/>
      <c r="O824" s="361"/>
      <c r="P824" s="361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61"/>
      <c r="B853" s="361"/>
      <c r="C853" s="361"/>
      <c r="D853" s="361"/>
      <c r="E853" s="361"/>
      <c r="F853" s="361"/>
      <c r="G853" s="361"/>
      <c r="H853" s="361"/>
      <c r="I853" s="361"/>
      <c r="J853" s="361"/>
      <c r="K853" s="361"/>
      <c r="L853" s="361"/>
      <c r="M853" s="361"/>
      <c r="N853" s="361"/>
      <c r="O853" s="361"/>
      <c r="P853" s="361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61"/>
      <c r="B882" s="361"/>
      <c r="C882" s="361"/>
      <c r="D882" s="361"/>
      <c r="E882" s="361"/>
      <c r="F882" s="361"/>
      <c r="G882" s="361"/>
      <c r="H882" s="361"/>
      <c r="I882" s="361"/>
      <c r="J882" s="361"/>
      <c r="K882" s="361"/>
      <c r="L882" s="361"/>
      <c r="M882" s="361"/>
      <c r="N882" s="361"/>
      <c r="O882" s="361"/>
      <c r="P882" s="361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61"/>
      <c r="B911" s="361"/>
      <c r="C911" s="361"/>
      <c r="D911" s="361"/>
      <c r="E911" s="361"/>
      <c r="F911" s="361"/>
      <c r="G911" s="361"/>
      <c r="H911" s="361"/>
      <c r="I911" s="361"/>
      <c r="J911" s="361"/>
      <c r="K911" s="361"/>
      <c r="L911" s="361"/>
      <c r="M911" s="361"/>
      <c r="N911" s="361"/>
      <c r="O911" s="361"/>
      <c r="P911" s="361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61"/>
      <c r="B940" s="361"/>
      <c r="C940" s="361"/>
      <c r="D940" s="361"/>
      <c r="E940" s="361"/>
      <c r="F940" s="361"/>
      <c r="G940" s="361"/>
      <c r="H940" s="361"/>
      <c r="I940" s="361"/>
      <c r="J940" s="361"/>
      <c r="K940" s="361"/>
      <c r="L940" s="361"/>
      <c r="M940" s="361"/>
      <c r="N940" s="361"/>
      <c r="O940" s="361"/>
      <c r="P940" s="361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61"/>
      <c r="B969" s="361"/>
      <c r="C969" s="361"/>
      <c r="D969" s="361"/>
      <c r="E969" s="361"/>
      <c r="F969" s="361"/>
      <c r="G969" s="361"/>
      <c r="H969" s="361"/>
      <c r="I969" s="361"/>
      <c r="J969" s="361"/>
      <c r="K969" s="361"/>
      <c r="L969" s="361"/>
      <c r="M969" s="361"/>
      <c r="N969" s="361"/>
      <c r="O969" s="361"/>
      <c r="P969" s="361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61"/>
      <c r="B998" s="361"/>
      <c r="C998" s="361"/>
      <c r="D998" s="361"/>
      <c r="E998" s="361"/>
      <c r="F998" s="361"/>
      <c r="G998" s="361"/>
      <c r="H998" s="361"/>
      <c r="I998" s="361"/>
      <c r="J998" s="361"/>
      <c r="K998" s="361"/>
      <c r="L998" s="361"/>
      <c r="M998" s="361"/>
      <c r="N998" s="361"/>
      <c r="O998" s="361"/>
      <c r="P998" s="361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61"/>
      <c r="B1027" s="361"/>
      <c r="C1027" s="361"/>
      <c r="D1027" s="361"/>
      <c r="E1027" s="361"/>
      <c r="F1027" s="361"/>
      <c r="G1027" s="361"/>
      <c r="H1027" s="361"/>
      <c r="I1027" s="361"/>
      <c r="J1027" s="361"/>
      <c r="K1027" s="361"/>
      <c r="L1027" s="361"/>
      <c r="M1027" s="361"/>
      <c r="N1027" s="361"/>
      <c r="O1027" s="361"/>
      <c r="P1027" s="361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61"/>
      <c r="B1056" s="361"/>
      <c r="C1056" s="361"/>
      <c r="D1056" s="361"/>
      <c r="E1056" s="361"/>
      <c r="F1056" s="361"/>
      <c r="G1056" s="361"/>
      <c r="H1056" s="361"/>
      <c r="I1056" s="361"/>
      <c r="J1056" s="361"/>
      <c r="K1056" s="361"/>
      <c r="L1056" s="361"/>
      <c r="M1056" s="361"/>
      <c r="N1056" s="361"/>
      <c r="O1056" s="361"/>
      <c r="P1056" s="361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61"/>
      <c r="B1085" s="361"/>
      <c r="C1085" s="361"/>
      <c r="D1085" s="361"/>
      <c r="E1085" s="361"/>
      <c r="F1085" s="361"/>
      <c r="G1085" s="361"/>
      <c r="H1085" s="361"/>
      <c r="I1085" s="361"/>
      <c r="J1085" s="361"/>
      <c r="K1085" s="361"/>
      <c r="L1085" s="361"/>
      <c r="M1085" s="361"/>
      <c r="N1085" s="361"/>
      <c r="O1085" s="361"/>
      <c r="P1085" s="361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61"/>
      <c r="B1114" s="361"/>
      <c r="C1114" s="361"/>
      <c r="D1114" s="361"/>
      <c r="E1114" s="361"/>
      <c r="F1114" s="361"/>
      <c r="G1114" s="361"/>
      <c r="H1114" s="361"/>
      <c r="I1114" s="361"/>
      <c r="J1114" s="361"/>
      <c r="K1114" s="361"/>
      <c r="L1114" s="361"/>
      <c r="M1114" s="361"/>
      <c r="N1114" s="361"/>
      <c r="O1114" s="361"/>
      <c r="P1114" s="361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61"/>
      <c r="B1143" s="361"/>
      <c r="C1143" s="361"/>
      <c r="D1143" s="361"/>
      <c r="E1143" s="361"/>
      <c r="F1143" s="361"/>
      <c r="G1143" s="361"/>
      <c r="H1143" s="361"/>
      <c r="I1143" s="361"/>
      <c r="J1143" s="361"/>
      <c r="K1143" s="361"/>
      <c r="L1143" s="361"/>
      <c r="M1143" s="361"/>
      <c r="N1143" s="361"/>
      <c r="O1143" s="361"/>
      <c r="P1143" s="361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61"/>
      <c r="B1172" s="361"/>
      <c r="C1172" s="361"/>
      <c r="D1172" s="361"/>
      <c r="E1172" s="361"/>
      <c r="F1172" s="361"/>
      <c r="G1172" s="361"/>
      <c r="H1172" s="361"/>
      <c r="I1172" s="361"/>
      <c r="J1172" s="361"/>
      <c r="K1172" s="361"/>
      <c r="L1172" s="361"/>
      <c r="M1172" s="361"/>
      <c r="N1172" s="361"/>
      <c r="O1172" s="361"/>
      <c r="P1172" s="361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61"/>
      <c r="B1201" s="361"/>
      <c r="C1201" s="361"/>
      <c r="D1201" s="361"/>
      <c r="E1201" s="361"/>
      <c r="F1201" s="361"/>
      <c r="G1201" s="361"/>
      <c r="H1201" s="361"/>
      <c r="I1201" s="361"/>
      <c r="J1201" s="361"/>
      <c r="K1201" s="361"/>
      <c r="L1201" s="361"/>
      <c r="M1201" s="361"/>
      <c r="N1201" s="361"/>
      <c r="O1201" s="361"/>
      <c r="P1201" s="361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61"/>
      <c r="B1230" s="361"/>
      <c r="C1230" s="361"/>
      <c r="D1230" s="361"/>
      <c r="E1230" s="361"/>
      <c r="F1230" s="361"/>
      <c r="G1230" s="361"/>
      <c r="H1230" s="361"/>
      <c r="I1230" s="361"/>
      <c r="J1230" s="361"/>
      <c r="K1230" s="361"/>
      <c r="L1230" s="361"/>
      <c r="M1230" s="361"/>
      <c r="N1230" s="361"/>
      <c r="O1230" s="361"/>
      <c r="P1230" s="361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61"/>
      <c r="B1259" s="361"/>
      <c r="C1259" s="361"/>
      <c r="D1259" s="361"/>
      <c r="E1259" s="361"/>
      <c r="F1259" s="361"/>
      <c r="G1259" s="361"/>
      <c r="H1259" s="361"/>
      <c r="I1259" s="361"/>
      <c r="J1259" s="361"/>
      <c r="K1259" s="361"/>
      <c r="L1259" s="361"/>
      <c r="M1259" s="361"/>
      <c r="N1259" s="361"/>
      <c r="O1259" s="361"/>
      <c r="P1259" s="361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61"/>
      <c r="B1288" s="361"/>
      <c r="C1288" s="361"/>
      <c r="D1288" s="361"/>
      <c r="E1288" s="361"/>
      <c r="F1288" s="361"/>
      <c r="G1288" s="361"/>
      <c r="H1288" s="361"/>
      <c r="I1288" s="361"/>
      <c r="J1288" s="361"/>
      <c r="K1288" s="361"/>
      <c r="L1288" s="361"/>
      <c r="M1288" s="361"/>
      <c r="N1288" s="361"/>
      <c r="O1288" s="361"/>
      <c r="P1288" s="361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61"/>
      <c r="B1317" s="361"/>
      <c r="C1317" s="361"/>
      <c r="D1317" s="361"/>
      <c r="E1317" s="361"/>
      <c r="F1317" s="361"/>
      <c r="G1317" s="361"/>
      <c r="H1317" s="361"/>
      <c r="I1317" s="361"/>
      <c r="J1317" s="361"/>
      <c r="K1317" s="361"/>
      <c r="L1317" s="361"/>
      <c r="M1317" s="361"/>
      <c r="N1317" s="361"/>
      <c r="O1317" s="361"/>
      <c r="P1317" s="361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61"/>
      <c r="B1346" s="361"/>
      <c r="C1346" s="361"/>
      <c r="D1346" s="361"/>
      <c r="E1346" s="361"/>
      <c r="F1346" s="361"/>
      <c r="G1346" s="361"/>
      <c r="H1346" s="361"/>
      <c r="I1346" s="361"/>
      <c r="J1346" s="361"/>
      <c r="K1346" s="361"/>
      <c r="L1346" s="361"/>
      <c r="M1346" s="361"/>
      <c r="N1346" s="361"/>
      <c r="O1346" s="361"/>
      <c r="P1346" s="361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61"/>
      <c r="B1375" s="361"/>
      <c r="C1375" s="361"/>
      <c r="D1375" s="361"/>
      <c r="E1375" s="361"/>
      <c r="F1375" s="361"/>
      <c r="G1375" s="361"/>
      <c r="H1375" s="361"/>
      <c r="I1375" s="361"/>
      <c r="J1375" s="361"/>
      <c r="K1375" s="361"/>
      <c r="L1375" s="361"/>
      <c r="M1375" s="361"/>
      <c r="N1375" s="361"/>
      <c r="O1375" s="361"/>
      <c r="P1375" s="361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61"/>
      <c r="B1404" s="361"/>
      <c r="C1404" s="361"/>
      <c r="D1404" s="361"/>
      <c r="E1404" s="361"/>
      <c r="F1404" s="361"/>
      <c r="G1404" s="361"/>
      <c r="H1404" s="361"/>
      <c r="I1404" s="361"/>
      <c r="J1404" s="361"/>
      <c r="K1404" s="361"/>
      <c r="L1404" s="361"/>
      <c r="M1404" s="361"/>
      <c r="N1404" s="361"/>
      <c r="O1404" s="361"/>
      <c r="P1404" s="361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61"/>
      <c r="B1433" s="361"/>
      <c r="C1433" s="361"/>
      <c r="D1433" s="361"/>
      <c r="E1433" s="361"/>
      <c r="F1433" s="361"/>
      <c r="G1433" s="361"/>
      <c r="H1433" s="361"/>
      <c r="I1433" s="361"/>
      <c r="J1433" s="361"/>
      <c r="K1433" s="361"/>
      <c r="L1433" s="361"/>
      <c r="M1433" s="361"/>
      <c r="N1433" s="361"/>
      <c r="O1433" s="361"/>
      <c r="P1433" s="361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mergeCells count="102">
    <mergeCell ref="A12:K12"/>
    <mergeCell ref="L12:P12"/>
    <mergeCell ref="A41:K41"/>
    <mergeCell ref="L41:P41"/>
    <mergeCell ref="A70:K70"/>
    <mergeCell ref="L70:P70"/>
    <mergeCell ref="A157:K157"/>
    <mergeCell ref="L157:P157"/>
    <mergeCell ref="A186:K186"/>
    <mergeCell ref="L186:P186"/>
    <mergeCell ref="A215:K215"/>
    <mergeCell ref="L215:P215"/>
    <mergeCell ref="AJ80:AT80"/>
    <mergeCell ref="AU80:AY80"/>
    <mergeCell ref="A99:K99"/>
    <mergeCell ref="L99:P99"/>
    <mergeCell ref="A128:K128"/>
    <mergeCell ref="L128:P128"/>
    <mergeCell ref="A331:K331"/>
    <mergeCell ref="L331:P331"/>
    <mergeCell ref="A360:K360"/>
    <mergeCell ref="L360:P360"/>
    <mergeCell ref="A389:K389"/>
    <mergeCell ref="L389:P389"/>
    <mergeCell ref="A244:K244"/>
    <mergeCell ref="L244:P244"/>
    <mergeCell ref="A273:K273"/>
    <mergeCell ref="L273:P273"/>
    <mergeCell ref="A302:K302"/>
    <mergeCell ref="L302:P302"/>
    <mergeCell ref="A505:K505"/>
    <mergeCell ref="L505:P505"/>
    <mergeCell ref="A534:K534"/>
    <mergeCell ref="L534:P534"/>
    <mergeCell ref="A563:K563"/>
    <mergeCell ref="L563:P563"/>
    <mergeCell ref="A418:K418"/>
    <mergeCell ref="L418:P418"/>
    <mergeCell ref="A447:K447"/>
    <mergeCell ref="L447:P447"/>
    <mergeCell ref="A476:K476"/>
    <mergeCell ref="L476:P476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D06BC-DEA0-454A-8E52-C41106B1A704}">
  <dimension ref="A1:BE1459"/>
  <sheetViews>
    <sheetView topLeftCell="AC107" zoomScale="80" zoomScaleNormal="80" workbookViewId="0">
      <selection activeCell="AL109" sqref="AL109:AS135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</cols>
  <sheetData>
    <row r="1" spans="1:57" x14ac:dyDescent="0.3">
      <c r="A1" s="12"/>
      <c r="B1" s="12" t="s">
        <v>10</v>
      </c>
      <c r="C1" s="12"/>
      <c r="D1" s="12"/>
      <c r="E1" s="12"/>
      <c r="F1" s="12"/>
      <c r="G1" t="s">
        <v>47</v>
      </c>
    </row>
    <row r="2" spans="1:57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G2" t="s">
        <v>46</v>
      </c>
      <c r="AG2" s="51" t="s">
        <v>127</v>
      </c>
      <c r="AH2" s="51" t="s">
        <v>131</v>
      </c>
    </row>
    <row r="3" spans="1:57" x14ac:dyDescent="0.3">
      <c r="A3" s="12" t="s">
        <v>3</v>
      </c>
      <c r="B3" s="103">
        <v>175.36</v>
      </c>
      <c r="C3" s="22">
        <f>B3/$B$8</f>
        <v>5.8291477331276827E-2</v>
      </c>
      <c r="D3" s="85">
        <v>0.02</v>
      </c>
      <c r="E3" s="86">
        <f>D3-C3</f>
        <v>-3.829147733127683E-2</v>
      </c>
      <c r="F3" s="12" t="s">
        <v>49</v>
      </c>
      <c r="G3" t="s">
        <v>50</v>
      </c>
      <c r="AG3" s="51" t="s">
        <v>128</v>
      </c>
      <c r="AH3" s="51" t="s">
        <v>134</v>
      </c>
    </row>
    <row r="4" spans="1:57" x14ac:dyDescent="0.3">
      <c r="A4" s="12" t="s">
        <v>4</v>
      </c>
      <c r="B4" s="103">
        <v>249.32</v>
      </c>
      <c r="C4" s="22">
        <f>B4/$B$8</f>
        <v>8.2876546123596809E-2</v>
      </c>
      <c r="D4" s="85">
        <v>7.0000000000000007E-2</v>
      </c>
      <c r="E4" s="86">
        <f>D4-C4</f>
        <v>-1.2876546123596802E-2</v>
      </c>
      <c r="F4" s="12" t="s">
        <v>49</v>
      </c>
      <c r="G4" t="s">
        <v>55</v>
      </c>
      <c r="AG4" s="51" t="s">
        <v>129</v>
      </c>
      <c r="AH4" s="51" t="s">
        <v>132</v>
      </c>
    </row>
    <row r="5" spans="1:57" x14ac:dyDescent="0.3">
      <c r="A5" s="12" t="s">
        <v>5</v>
      </c>
      <c r="B5" s="103">
        <v>1402.65</v>
      </c>
      <c r="C5" s="22">
        <f>B5/$B$8</f>
        <v>0.46625536427187181</v>
      </c>
      <c r="D5" s="85">
        <v>0.48</v>
      </c>
      <c r="E5" s="86">
        <f>D5-C5</f>
        <v>1.3744635728128174E-2</v>
      </c>
      <c r="F5" s="12"/>
      <c r="AG5" s="51" t="s">
        <v>130</v>
      </c>
      <c r="AH5" s="51" t="s">
        <v>133</v>
      </c>
    </row>
    <row r="6" spans="1:57" x14ac:dyDescent="0.3">
      <c r="A6" s="12" t="s">
        <v>6</v>
      </c>
      <c r="B6" s="103">
        <v>728.96</v>
      </c>
      <c r="C6" s="22">
        <f>B6/$B$8</f>
        <v>0.2423138418989938</v>
      </c>
      <c r="D6" s="85">
        <v>0.28000000000000003</v>
      </c>
      <c r="E6" s="86">
        <f>D6-C6</f>
        <v>3.7686158101006229E-2</v>
      </c>
      <c r="F6" s="12"/>
      <c r="I6" s="12"/>
      <c r="J6" s="12" t="s">
        <v>54</v>
      </c>
      <c r="K6" s="12"/>
      <c r="AG6" s="51" t="s">
        <v>155</v>
      </c>
      <c r="AH6" s="51" t="s">
        <v>157</v>
      </c>
    </row>
    <row r="7" spans="1:57" x14ac:dyDescent="0.3">
      <c r="A7" s="12" t="s">
        <v>7</v>
      </c>
      <c r="B7" s="103">
        <v>452.04</v>
      </c>
      <c r="C7" s="22">
        <f>B7/$B$8</f>
        <v>0.15026277037426081</v>
      </c>
      <c r="D7" s="85">
        <v>0.15</v>
      </c>
      <c r="E7" s="86">
        <f>D7-C7</f>
        <v>-2.6277037426081229E-4</v>
      </c>
      <c r="F7" s="12"/>
      <c r="I7" s="12"/>
      <c r="J7" s="12">
        <v>21620</v>
      </c>
      <c r="K7" s="12"/>
      <c r="AG7" s="51" t="s">
        <v>156</v>
      </c>
      <c r="AH7" s="51" t="s">
        <v>158</v>
      </c>
    </row>
    <row r="8" spans="1:57" x14ac:dyDescent="0.3">
      <c r="A8" s="12"/>
      <c r="B8" s="103">
        <f>SUM(B3:B7)</f>
        <v>3008.33</v>
      </c>
      <c r="C8" s="61">
        <f>SUM(C3:C7)</f>
        <v>1</v>
      </c>
      <c r="D8" s="12"/>
      <c r="E8" s="12" t="s">
        <v>16</v>
      </c>
      <c r="F8" s="12">
        <v>198071.37</v>
      </c>
      <c r="I8" s="12" t="s">
        <v>60</v>
      </c>
      <c r="J8" s="12" t="s">
        <v>54</v>
      </c>
      <c r="K8" s="12" t="s">
        <v>59</v>
      </c>
      <c r="AG8" s="51" t="s">
        <v>210</v>
      </c>
      <c r="AH8" s="51" t="s">
        <v>215</v>
      </c>
    </row>
    <row r="9" spans="1:57" x14ac:dyDescent="0.3">
      <c r="A9" s="12"/>
      <c r="B9" s="87">
        <f>B8/0.09</f>
        <v>33425.888888888891</v>
      </c>
      <c r="C9" s="12" t="s">
        <v>48</v>
      </c>
      <c r="D9" s="12"/>
      <c r="E9" s="12" t="s">
        <v>51</v>
      </c>
      <c r="F9" s="88">
        <f>B8/F8</f>
        <v>1.5188111234854387E-2</v>
      </c>
      <c r="I9" s="12">
        <v>11584</v>
      </c>
      <c r="J9" s="12">
        <v>19787</v>
      </c>
      <c r="K9" s="89">
        <f>(J7-J9)/J7</f>
        <v>8.478260869565217E-2</v>
      </c>
      <c r="AG9" s="51" t="s">
        <v>211</v>
      </c>
      <c r="AH9" s="51" t="s">
        <v>216</v>
      </c>
    </row>
    <row r="10" spans="1:57" x14ac:dyDescent="0.3">
      <c r="A10" s="130" t="s">
        <v>417</v>
      </c>
      <c r="B10" s="131">
        <v>43418</v>
      </c>
      <c r="F10" s="46"/>
      <c r="I10" s="89">
        <f>I9/(I9+J9)</f>
        <v>0.36925823212521119</v>
      </c>
      <c r="J10" s="89">
        <f>J9/(J9+I9)</f>
        <v>0.63074176787478886</v>
      </c>
      <c r="K10" s="12"/>
      <c r="AG10" s="51" t="s">
        <v>212</v>
      </c>
      <c r="AH10" s="51" t="s">
        <v>217</v>
      </c>
    </row>
    <row r="11" spans="1:57" x14ac:dyDescent="0.3">
      <c r="B11" s="18"/>
      <c r="F11" s="46"/>
      <c r="I11" s="45"/>
      <c r="J11" s="45"/>
      <c r="AG11" s="51" t="s">
        <v>213</v>
      </c>
      <c r="AH11" s="51" t="s">
        <v>218</v>
      </c>
    </row>
    <row r="12" spans="1:57" x14ac:dyDescent="0.3">
      <c r="A12" s="361" t="s">
        <v>461</v>
      </c>
      <c r="B12" s="361"/>
      <c r="C12" s="361"/>
      <c r="D12" s="361"/>
      <c r="E12" s="361"/>
      <c r="F12" s="361"/>
      <c r="G12" s="361"/>
      <c r="H12" s="361"/>
      <c r="I12" s="361"/>
      <c r="J12" s="361"/>
      <c r="K12" s="361"/>
      <c r="L12" s="361" t="s">
        <v>52</v>
      </c>
      <c r="M12" s="361"/>
      <c r="N12" s="361"/>
      <c r="O12" s="361"/>
      <c r="P12" s="361"/>
      <c r="R12" s="47" t="s">
        <v>461</v>
      </c>
      <c r="S12" s="47" t="s">
        <v>41</v>
      </c>
      <c r="T12" s="47"/>
      <c r="U12" s="47"/>
      <c r="V12" s="47"/>
      <c r="W12" s="47"/>
      <c r="X12" s="47"/>
      <c r="Y12" s="47"/>
      <c r="Z12" s="47"/>
      <c r="AA12" s="47"/>
      <c r="AB12" s="47" t="s">
        <v>63</v>
      </c>
      <c r="AC12" s="47"/>
      <c r="AD12" s="47"/>
      <c r="AE12" s="47"/>
      <c r="AF12" s="47"/>
      <c r="AG12" s="51" t="s">
        <v>214</v>
      </c>
      <c r="AH12" s="51" t="s">
        <v>219</v>
      </c>
      <c r="AW12" s="66"/>
      <c r="AX12" s="77" t="s">
        <v>328</v>
      </c>
      <c r="AY12" s="77" t="s">
        <v>331</v>
      </c>
      <c r="AZ12" s="77" t="s">
        <v>329</v>
      </c>
      <c r="BA12" s="77" t="s">
        <v>330</v>
      </c>
      <c r="BB12" s="77" t="s">
        <v>332</v>
      </c>
      <c r="BC12" s="77" t="s">
        <v>333</v>
      </c>
      <c r="BD12" s="77" t="s">
        <v>372</v>
      </c>
      <c r="BE12" s="13"/>
    </row>
    <row r="13" spans="1:57" x14ac:dyDescent="0.3">
      <c r="A13" t="s">
        <v>320</v>
      </c>
      <c r="B13" t="s">
        <v>21</v>
      </c>
      <c r="I13" s="1" t="s">
        <v>58</v>
      </c>
      <c r="AG13" s="51" t="s">
        <v>324</v>
      </c>
      <c r="AH13" s="51" t="s">
        <v>326</v>
      </c>
      <c r="AW13" s="51" t="s">
        <v>131</v>
      </c>
      <c r="AX13" s="80">
        <f>MIN($AE$16:$AE$20)</f>
        <v>0.9345011988785159</v>
      </c>
      <c r="AY13" s="80">
        <f>_xlfn.QUARTILE.EXC($AE$16:$AE$20,1)</f>
        <v>0.93474118479655222</v>
      </c>
      <c r="AZ13" s="80">
        <f>MEDIAN($AE$16:$AE$20)</f>
        <v>0.9350845963593245</v>
      </c>
      <c r="BA13" s="80">
        <f>AVERAGE($AE$16:$AE$20)</f>
        <v>0.93536843704908534</v>
      </c>
      <c r="BB13" s="80">
        <f>_xlfn.QUARTILE.EXC(AE16:AE20,3)</f>
        <v>0.93613760964649884</v>
      </c>
      <c r="BC13" s="80">
        <f>MAX(AE16:AE20)</f>
        <v>0.9368663498807025</v>
      </c>
      <c r="BD13" s="80">
        <f>(BB13-AY13)/AZ13</f>
        <v>1.4933673973279919E-3</v>
      </c>
      <c r="BE13" s="80"/>
    </row>
    <row r="14" spans="1:57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56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325</v>
      </c>
      <c r="AH14" s="51" t="s">
        <v>327</v>
      </c>
      <c r="AW14" s="51" t="s">
        <v>134</v>
      </c>
      <c r="AX14" s="80">
        <f>MIN($AE$16:$AE$25)</f>
        <v>0.93252681074925703</v>
      </c>
      <c r="AY14" s="80">
        <f>_xlfn.QUARTILE.EXC($AE$16:$AE$25,1)</f>
        <v>0.93458540073577856</v>
      </c>
      <c r="AZ14" s="80">
        <f>MEDIAN($AE$16:$AE$25)</f>
        <v>0.93503288353695657</v>
      </c>
      <c r="BA14" s="80">
        <f>AVERAGE($AE$16:$AE$25)</f>
        <v>0.93494660751978009</v>
      </c>
      <c r="BB14" s="80">
        <f>_xlfn.QUARTILE.EXC($AE$16:$AE$25,3)</f>
        <v>0.93541634118052963</v>
      </c>
      <c r="BC14" s="80">
        <f>MAX($AE$16:$AE$25)</f>
        <v>0.9368663498807025</v>
      </c>
      <c r="BD14" s="80">
        <f t="shared" ref="BD14:BD23" si="0">(BB14-AY14)/AZ14</f>
        <v>8.8867510371171794E-4</v>
      </c>
      <c r="BE14" s="80"/>
    </row>
    <row r="15" spans="1:57" x14ac:dyDescent="0.3">
      <c r="A15" t="s">
        <v>3</v>
      </c>
      <c r="B15" s="13">
        <v>0</v>
      </c>
      <c r="C15" s="26">
        <v>259</v>
      </c>
      <c r="D15" s="3">
        <v>0</v>
      </c>
      <c r="E15" s="3">
        <v>0</v>
      </c>
      <c r="F15" s="3">
        <v>0</v>
      </c>
      <c r="G15" s="4">
        <v>0</v>
      </c>
      <c r="H15" s="1">
        <f>SUM(C15:G15)</f>
        <v>259</v>
      </c>
      <c r="I15" s="10">
        <f>C15/H15</f>
        <v>1</v>
      </c>
      <c r="J15" s="11">
        <f>1-I15</f>
        <v>0</v>
      </c>
      <c r="K15">
        <f>H15-C20</f>
        <v>0</v>
      </c>
      <c r="N15" s="10">
        <f>2*(C21*I15)/(C21+I15)</f>
        <v>1</v>
      </c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77</v>
      </c>
      <c r="AF15" s="12" t="s">
        <v>29</v>
      </c>
      <c r="AH15" t="s">
        <v>125</v>
      </c>
      <c r="AI15" t="s">
        <v>126</v>
      </c>
      <c r="AW15" s="51" t="s">
        <v>132</v>
      </c>
      <c r="AX15" s="80">
        <f>MIN($AE$16:$AE$35)</f>
        <v>0.93125251514319896</v>
      </c>
      <c r="AY15" s="80">
        <f>_xlfn.QUARTILE.EXC($AE$16:$AE$35,1)</f>
        <v>0.93451430065908381</v>
      </c>
      <c r="AZ15" s="126">
        <f>MEDIAN($AE$16:$AE$35)</f>
        <v>0.9351360398005355</v>
      </c>
      <c r="BA15" s="126">
        <f>AVERAGE($AE$16:$AE$35)</f>
        <v>0.9348328754460411</v>
      </c>
      <c r="BB15" s="80">
        <f>_xlfn.QUARTILE.EXC($AE$16:$AE$35,3)</f>
        <v>0.93554941850198914</v>
      </c>
      <c r="BC15" s="80">
        <f>MAX($AE$16:$AE$35)</f>
        <v>0.93722852514063038</v>
      </c>
      <c r="BD15" s="80">
        <f t="shared" si="0"/>
        <v>1.1069168536442266E-3</v>
      </c>
      <c r="BE15" s="80"/>
    </row>
    <row r="16" spans="1:57" x14ac:dyDescent="0.3">
      <c r="A16" t="s">
        <v>4</v>
      </c>
      <c r="B16" s="13">
        <v>1</v>
      </c>
      <c r="C16" s="5">
        <v>0</v>
      </c>
      <c r="D16" s="27">
        <v>306</v>
      </c>
      <c r="E16" s="1">
        <v>38</v>
      </c>
      <c r="F16" s="1">
        <v>0</v>
      </c>
      <c r="G16" s="6">
        <v>3</v>
      </c>
      <c r="H16" s="1">
        <f>SUM(C16:G16)</f>
        <v>347</v>
      </c>
      <c r="I16" s="10">
        <f>D16/H16</f>
        <v>0.88184438040345825</v>
      </c>
      <c r="J16" s="11">
        <f>1-I16</f>
        <v>0.11815561959654175</v>
      </c>
      <c r="K16">
        <f>H16-D20</f>
        <v>-254</v>
      </c>
      <c r="N16" s="10">
        <f>2*(D21*I16)/(D21+I16)</f>
        <v>0.64556962025316467</v>
      </c>
      <c r="R16" t="s">
        <v>70</v>
      </c>
      <c r="S16" t="s">
        <v>28</v>
      </c>
      <c r="T16" s="57">
        <f t="shared" ref="T16:X19" si="1">C31</f>
        <v>1.6531821490959029</v>
      </c>
      <c r="U16" s="57">
        <f t="shared" si="1"/>
        <v>7.0324446310016153</v>
      </c>
      <c r="V16" s="57">
        <f t="shared" si="1"/>
        <v>61.798859338743419</v>
      </c>
      <c r="W16" s="57">
        <f t="shared" si="1"/>
        <v>20.169093078599236</v>
      </c>
      <c r="X16" s="57">
        <f t="shared" si="1"/>
        <v>9.3464208025598339</v>
      </c>
      <c r="AC16" t="s">
        <v>70</v>
      </c>
      <c r="AD16" s="51">
        <f>I21</f>
        <v>0.93680939226519333</v>
      </c>
      <c r="AE16" s="55">
        <f>I32</f>
        <v>0.93498117071458853</v>
      </c>
      <c r="AF16" s="55">
        <f>J32</f>
        <v>2.3349727762977828E-3</v>
      </c>
      <c r="AH16">
        <v>21</v>
      </c>
      <c r="AI16">
        <v>32</v>
      </c>
      <c r="AW16" s="51" t="s">
        <v>133</v>
      </c>
      <c r="AX16" s="80">
        <f>MIN($AE$16:$AE$45)</f>
        <v>0.93125251514319896</v>
      </c>
      <c r="AY16" s="80">
        <f>_xlfn.QUARTILE.EXC($AE$16:$AE$45,1)</f>
        <v>0.93451430065908381</v>
      </c>
      <c r="AZ16" s="80">
        <f>MEDIAN($AE$16:$AE$45)</f>
        <v>0.9351360398005355</v>
      </c>
      <c r="BA16" s="80">
        <f>AVERAGE($AE$16:$AE$45)</f>
        <v>0.9348328754460411</v>
      </c>
      <c r="BB16" s="80">
        <f>_xlfn.QUARTILE.EXC($AE$16:$AE$45,3)</f>
        <v>0.93554941850198914</v>
      </c>
      <c r="BC16" s="80">
        <f>MAX($AE$16:$AE$45)</f>
        <v>0.93722852514063038</v>
      </c>
      <c r="BD16" s="80">
        <f t="shared" si="0"/>
        <v>1.1069168536442266E-3</v>
      </c>
      <c r="BE16" s="80"/>
    </row>
    <row r="17" spans="1:57" x14ac:dyDescent="0.3">
      <c r="A17" t="s">
        <v>5</v>
      </c>
      <c r="B17" s="13">
        <v>2</v>
      </c>
      <c r="C17" s="5">
        <v>0</v>
      </c>
      <c r="D17" s="1">
        <v>286</v>
      </c>
      <c r="E17" s="27">
        <v>7023</v>
      </c>
      <c r="F17" s="1">
        <v>18</v>
      </c>
      <c r="G17" s="6">
        <v>23</v>
      </c>
      <c r="H17" s="1">
        <f>SUM(C17:G17)</f>
        <v>7350</v>
      </c>
      <c r="I17" s="10">
        <f>E17/H17</f>
        <v>0.95551020408163267</v>
      </c>
      <c r="J17" s="11">
        <f>1-I17</f>
        <v>4.4489795918367325E-2</v>
      </c>
      <c r="K17">
        <f>H17-E20</f>
        <v>174</v>
      </c>
      <c r="N17" s="10">
        <f>2*(E21*I17)/(E21+I17)</f>
        <v>0.96695580338703024</v>
      </c>
      <c r="S17" s="66" t="s">
        <v>39</v>
      </c>
      <c r="T17" s="67">
        <f t="shared" si="1"/>
        <v>0</v>
      </c>
      <c r="U17" s="67">
        <f t="shared" si="1"/>
        <v>0.16931864480018771</v>
      </c>
      <c r="V17" s="67">
        <f t="shared" si="1"/>
        <v>0.19286933748095936</v>
      </c>
      <c r="W17" s="67">
        <f t="shared" si="1"/>
        <v>0.15694226062027328</v>
      </c>
      <c r="X17" s="67">
        <f t="shared" si="1"/>
        <v>0.13995077383497956</v>
      </c>
      <c r="AC17" t="s">
        <v>71</v>
      </c>
      <c r="AD17" s="51">
        <f>I50</f>
        <v>0.93637776243093918</v>
      </c>
      <c r="AE17" s="55">
        <f>I61</f>
        <v>0.9345011988785159</v>
      </c>
      <c r="AF17" s="55">
        <f>J61</f>
        <v>2.3495586051600304E-3</v>
      </c>
      <c r="AH17">
        <v>50</v>
      </c>
      <c r="AI17">
        <v>61</v>
      </c>
      <c r="AW17" s="51" t="s">
        <v>157</v>
      </c>
      <c r="AX17" s="80">
        <f>MIN($AE$16:$AE$55)</f>
        <v>0.93125251514319896</v>
      </c>
      <c r="AY17" s="80">
        <f>_xlfn.QUARTILE.EXC($AE$16:$AE$55,1)</f>
        <v>0.93451430065908381</v>
      </c>
      <c r="AZ17" s="80">
        <f>MEDIAN($AE$16:$AE$55)</f>
        <v>0.9351360398005355</v>
      </c>
      <c r="BA17" s="80">
        <f>AVERAGE($AE$16:$AE$55)</f>
        <v>0.9348328754460411</v>
      </c>
      <c r="BB17" s="80">
        <f>_xlfn.QUARTILE.EXC($AE$16:$AE$55,3)</f>
        <v>0.93554941850198914</v>
      </c>
      <c r="BC17" s="80">
        <f>MAX($AE$16:$AE$55)</f>
        <v>0.93722852514063038</v>
      </c>
      <c r="BD17" s="80">
        <f t="shared" si="0"/>
        <v>1.1069168536442266E-3</v>
      </c>
      <c r="BE17" s="80"/>
    </row>
    <row r="18" spans="1:57" x14ac:dyDescent="0.3">
      <c r="A18" t="s">
        <v>6</v>
      </c>
      <c r="B18" s="13">
        <v>3</v>
      </c>
      <c r="C18" s="5">
        <v>0</v>
      </c>
      <c r="D18" s="1">
        <v>9</v>
      </c>
      <c r="E18" s="1">
        <v>111</v>
      </c>
      <c r="F18" s="27">
        <v>2410</v>
      </c>
      <c r="G18" s="6">
        <v>108</v>
      </c>
      <c r="H18" s="1">
        <f>SUM(C18:G18)</f>
        <v>2638</v>
      </c>
      <c r="I18" s="10">
        <f>F18/H18</f>
        <v>0.91357088703563305</v>
      </c>
      <c r="J18" s="11">
        <f>1-I18</f>
        <v>8.642911296436695E-2</v>
      </c>
      <c r="K18">
        <f>H18-F20</f>
        <v>78</v>
      </c>
      <c r="N18" s="10">
        <f>2*(F21*I18)/(F21+I18)</f>
        <v>0.92727972297037331</v>
      </c>
      <c r="S18" s="70" t="s">
        <v>30</v>
      </c>
      <c r="T18" s="64">
        <f t="shared" si="1"/>
        <v>100</v>
      </c>
      <c r="U18" s="64">
        <f t="shared" si="1"/>
        <v>64.064793045265915</v>
      </c>
      <c r="V18" s="64">
        <f t="shared" si="1"/>
        <v>97.635579989022602</v>
      </c>
      <c r="W18" s="64">
        <f t="shared" si="1"/>
        <v>92.899346107858875</v>
      </c>
      <c r="X18" s="64">
        <f t="shared" si="1"/>
        <v>88.429396345376361</v>
      </c>
      <c r="AC18" t="s">
        <v>72</v>
      </c>
      <c r="AD18" s="51">
        <f>I79</f>
        <v>0.93905386740331487</v>
      </c>
      <c r="AE18" s="55">
        <f>I90</f>
        <v>0.9368663498807025</v>
      </c>
      <c r="AF18" s="55">
        <f>J90</f>
        <v>2.3069428620764404E-3</v>
      </c>
      <c r="AH18">
        <v>79</v>
      </c>
      <c r="AI18">
        <v>90</v>
      </c>
      <c r="AW18" s="51" t="s">
        <v>158</v>
      </c>
      <c r="AX18" s="80">
        <f>MIN($AE$16:$AE$65)</f>
        <v>0.93125251514319896</v>
      </c>
      <c r="AY18" s="80">
        <f>_xlfn.QUARTILE.EXC($AE$16:$AE$65,1)</f>
        <v>0.93451430065908381</v>
      </c>
      <c r="AZ18" s="80">
        <f>MEDIAN($AE$16:$AE$65)</f>
        <v>0.9351360398005355</v>
      </c>
      <c r="BA18" s="80">
        <f>AVERAGE($AE$16:$AE$65)</f>
        <v>0.9348328754460411</v>
      </c>
      <c r="BB18" s="80">
        <f>_xlfn.QUARTILE.EXC($AE$16:$AE$65,3)</f>
        <v>0.93554941850198914</v>
      </c>
      <c r="BC18" s="80">
        <f>MAX($AE$16:$AE$65)</f>
        <v>0.93722852514063038</v>
      </c>
      <c r="BD18" s="80">
        <f t="shared" si="0"/>
        <v>1.1069168536442266E-3</v>
      </c>
      <c r="BE18" s="80"/>
    </row>
    <row r="19" spans="1:57" x14ac:dyDescent="0.3">
      <c r="A19" t="s">
        <v>7</v>
      </c>
      <c r="B19" s="13">
        <v>4</v>
      </c>
      <c r="C19" s="7">
        <v>0</v>
      </c>
      <c r="D19" s="8">
        <v>0</v>
      </c>
      <c r="E19" s="8">
        <v>4</v>
      </c>
      <c r="F19" s="8">
        <v>132</v>
      </c>
      <c r="G19" s="28">
        <v>854</v>
      </c>
      <c r="H19" s="1">
        <f>SUM(C19:G19)</f>
        <v>990</v>
      </c>
      <c r="I19" s="10">
        <f>G19/H19</f>
        <v>0.86262626262626263</v>
      </c>
      <c r="J19" s="11">
        <f>1-I19</f>
        <v>0.13737373737373737</v>
      </c>
      <c r="K19">
        <f>H19-G20</f>
        <v>2</v>
      </c>
      <c r="N19" s="10">
        <f>2*(G21*I19)/(G21+I19)</f>
        <v>0.86349848331648127</v>
      </c>
      <c r="S19" s="66" t="s">
        <v>39</v>
      </c>
      <c r="T19" s="67">
        <f t="shared" si="1"/>
        <v>0</v>
      </c>
      <c r="U19" s="67">
        <f t="shared" si="1"/>
        <v>4.7173289075202955</v>
      </c>
      <c r="V19" s="67">
        <f t="shared" si="1"/>
        <v>0.19677350373305377</v>
      </c>
      <c r="W19" s="67">
        <f t="shared" si="1"/>
        <v>0.64170601080034195</v>
      </c>
      <c r="X19" s="67">
        <f t="shared" si="1"/>
        <v>1.5670974582468447</v>
      </c>
      <c r="AC19" t="s">
        <v>73</v>
      </c>
      <c r="AD19" s="51">
        <f>I108</f>
        <v>0.93741367403314912</v>
      </c>
      <c r="AE19" s="73">
        <f>I119</f>
        <v>0.9350845963593245</v>
      </c>
      <c r="AF19" s="73">
        <f>J119</f>
        <v>2.340247664236779E-3</v>
      </c>
      <c r="AH19">
        <v>108</v>
      </c>
      <c r="AI19">
        <v>119</v>
      </c>
      <c r="AW19" s="51" t="s">
        <v>215</v>
      </c>
      <c r="AX19" s="80">
        <f>MIN($AE$16:$AE$75)</f>
        <v>0.93125251514319896</v>
      </c>
      <c r="AY19" s="80">
        <f>_xlfn.QUARTILE.EXC($AE$16:$AE$75,1)</f>
        <v>0.93451430065908381</v>
      </c>
      <c r="AZ19" s="80">
        <f>MEDIAN($AE$16:$AE$75)</f>
        <v>0.9351360398005355</v>
      </c>
      <c r="BA19" s="80">
        <f>AVERAGE($AE$16:$AE$75)</f>
        <v>0.9348328754460411</v>
      </c>
      <c r="BB19" s="80">
        <f>_xlfn.QUARTILE.EXC($AE$16:$AE$75,3)</f>
        <v>0.93554941850198914</v>
      </c>
      <c r="BC19" s="80">
        <f>MAX($AE$16:$AE$75)</f>
        <v>0.93722852514063038</v>
      </c>
      <c r="BD19" s="80">
        <f t="shared" si="0"/>
        <v>1.1069168536442266E-3</v>
      </c>
      <c r="BE19" s="80"/>
    </row>
    <row r="20" spans="1:57" ht="15.6" x14ac:dyDescent="0.35">
      <c r="B20" s="1" t="s">
        <v>19</v>
      </c>
      <c r="C20" s="1">
        <f>SUM(C15:C19)</f>
        <v>259</v>
      </c>
      <c r="D20" s="1">
        <f>SUM(D15:D19)</f>
        <v>601</v>
      </c>
      <c r="E20" s="1">
        <f>SUM(E15:E19)</f>
        <v>7176</v>
      </c>
      <c r="F20" s="1">
        <f>SUM(F15:F19)</f>
        <v>2560</v>
      </c>
      <c r="G20" s="1">
        <f>SUM(G15:G19)</f>
        <v>988</v>
      </c>
      <c r="H20" s="1">
        <f>SUM(H14:H19)</f>
        <v>11584</v>
      </c>
      <c r="I20" s="13" t="s">
        <v>12</v>
      </c>
      <c r="N20" s="16"/>
      <c r="S20" s="70" t="s">
        <v>31</v>
      </c>
      <c r="T20" s="64">
        <f>I26</f>
        <v>100</v>
      </c>
      <c r="U20" s="64">
        <f>I27</f>
        <v>88.18443804034581</v>
      </c>
      <c r="V20" s="64">
        <f>I28</f>
        <v>95.551020408163268</v>
      </c>
      <c r="W20" s="64">
        <f>I29</f>
        <v>91.357088703563292</v>
      </c>
      <c r="X20" s="64">
        <f>I30</f>
        <v>86.26262626262627</v>
      </c>
      <c r="AC20" t="s">
        <v>76</v>
      </c>
      <c r="AD20" s="51">
        <f>I137</f>
        <v>0.93767265193370164</v>
      </c>
      <c r="AE20" s="73">
        <f>I148</f>
        <v>0.93540886941229529</v>
      </c>
      <c r="AF20" s="73">
        <f>J148</f>
        <v>2.3359710475774815E-3</v>
      </c>
      <c r="AH20">
        <v>137</v>
      </c>
      <c r="AI20">
        <v>148</v>
      </c>
      <c r="AW20" s="51" t="s">
        <v>216</v>
      </c>
      <c r="AX20" s="80">
        <f>MIN($AE$16:$AE$85)</f>
        <v>0.93125251514319896</v>
      </c>
      <c r="AY20" s="80">
        <f>_xlfn.QUARTILE.EXC($AE$16:$AE$85,1)</f>
        <v>0.93451430065908381</v>
      </c>
      <c r="AZ20" s="80">
        <f>MEDIAN($AE$16:$AE$85)</f>
        <v>0.9351360398005355</v>
      </c>
      <c r="BA20" s="80">
        <f>AVERAGE($AE$16:$AE$85)</f>
        <v>0.9348328754460411</v>
      </c>
      <c r="BB20" s="80">
        <f>_xlfn.QUARTILE.EXC($AE$16:$AE$85,3)</f>
        <v>0.93554941850198914</v>
      </c>
      <c r="BC20" s="80">
        <f>MAX($AE$16:$AE$85)</f>
        <v>0.93722852514063038</v>
      </c>
      <c r="BD20" s="80">
        <f t="shared" si="0"/>
        <v>1.1069168536442266E-3</v>
      </c>
      <c r="BE20" s="80"/>
    </row>
    <row r="21" spans="1:57" x14ac:dyDescent="0.3">
      <c r="A21" s="1" t="s">
        <v>321</v>
      </c>
      <c r="B21" s="1" t="s">
        <v>2</v>
      </c>
      <c r="C21" s="10">
        <f>C15/C20</f>
        <v>1</v>
      </c>
      <c r="D21" s="10">
        <f>D16/D20</f>
        <v>0.50915141430948418</v>
      </c>
      <c r="E21" s="10">
        <f>E17/E20</f>
        <v>0.97867892976588633</v>
      </c>
      <c r="F21" s="10">
        <f>F18/F20</f>
        <v>0.94140625</v>
      </c>
      <c r="G21" s="10">
        <f>G19/G20</f>
        <v>0.86437246963562753</v>
      </c>
      <c r="H21" s="10"/>
      <c r="I21" s="14">
        <f>(C15+D16+E17+F18+G19)/H20</f>
        <v>0.93680939226519333</v>
      </c>
      <c r="S21" s="66" t="s">
        <v>39</v>
      </c>
      <c r="T21" s="67">
        <f>J26</f>
        <v>0</v>
      </c>
      <c r="U21" s="67">
        <f>J27</f>
        <v>1.7353421574154893</v>
      </c>
      <c r="V21" s="67">
        <f>J28</f>
        <v>0.24051033750890041</v>
      </c>
      <c r="W21" s="67">
        <f>J29</f>
        <v>0.54719999996035862</v>
      </c>
      <c r="X21" s="67">
        <f>J30</f>
        <v>1.094624209626478</v>
      </c>
      <c r="AC21" t="s">
        <v>98</v>
      </c>
      <c r="AD21" s="51">
        <f>I166</f>
        <v>0.93646408839779005</v>
      </c>
      <c r="AE21" s="55">
        <f>I177</f>
        <v>0.93461346802153278</v>
      </c>
      <c r="AF21" s="55">
        <f>J177</f>
        <v>2.3407689751925361E-3</v>
      </c>
      <c r="AH21">
        <v>166</v>
      </c>
      <c r="AI21">
        <v>177</v>
      </c>
      <c r="AW21" s="51" t="s">
        <v>217</v>
      </c>
      <c r="AX21" s="80">
        <f>MIN($AE$16:$AE$95)</f>
        <v>0.93125251514319896</v>
      </c>
      <c r="AY21" s="80">
        <f>_xlfn.QUARTILE.EXC($AE$16:$AE$95,1)</f>
        <v>0.93451430065908381</v>
      </c>
      <c r="AZ21" s="80">
        <f>MEDIAN($AE$16:$AE$95)</f>
        <v>0.9351360398005355</v>
      </c>
      <c r="BA21" s="80">
        <f>AVERAGE($AE$16:$AE$95)</f>
        <v>0.9348328754460411</v>
      </c>
      <c r="BB21" s="80">
        <f>_xlfn.QUARTILE.EXC($AE$16:$AE$95,3)</f>
        <v>0.93554941850198914</v>
      </c>
      <c r="BC21" s="80">
        <f>MAX($AE$16:$AE$95)</f>
        <v>0.93722852514063038</v>
      </c>
      <c r="BD21" s="80">
        <f t="shared" si="0"/>
        <v>1.1069168536442266E-3</v>
      </c>
      <c r="BE21" s="80"/>
    </row>
    <row r="22" spans="1:57" x14ac:dyDescent="0.3">
      <c r="B22" s="1" t="s">
        <v>14</v>
      </c>
      <c r="C22" s="11">
        <f>1-C21</f>
        <v>0</v>
      </c>
      <c r="D22" s="11">
        <f>1-D21</f>
        <v>0.49084858569051582</v>
      </c>
      <c r="E22" s="11">
        <f>1-E21</f>
        <v>2.132107023411367E-2</v>
      </c>
      <c r="F22" s="11">
        <f>1-F21</f>
        <v>5.859375E-2</v>
      </c>
      <c r="G22" s="11">
        <f>1-G21</f>
        <v>0.13562753036437247</v>
      </c>
      <c r="S22" s="68" t="s">
        <v>56</v>
      </c>
      <c r="T22" s="65">
        <f>N15*100</f>
        <v>100</v>
      </c>
      <c r="U22" s="65">
        <f>N16*100</f>
        <v>64.556962025316466</v>
      </c>
      <c r="V22" s="65">
        <f>N17*100</f>
        <v>96.695580338703024</v>
      </c>
      <c r="W22" s="65">
        <f>N18*100</f>
        <v>92.727972297037326</v>
      </c>
      <c r="X22" s="65">
        <f>N19*100</f>
        <v>86.349848331648133</v>
      </c>
      <c r="Y22" s="46"/>
      <c r="Z22" s="46"/>
      <c r="AA22" s="46"/>
      <c r="AC22" t="s">
        <v>99</v>
      </c>
      <c r="AD22" s="51">
        <f>I195</f>
        <v>0.93715469613259672</v>
      </c>
      <c r="AE22" s="55">
        <f>I206</f>
        <v>0.93538332185261219</v>
      </c>
      <c r="AF22" s="55">
        <f>J206</f>
        <v>2.3321368151569904E-3</v>
      </c>
      <c r="AH22">
        <v>195</v>
      </c>
      <c r="AI22">
        <v>206</v>
      </c>
      <c r="AW22" s="51" t="s">
        <v>218</v>
      </c>
      <c r="AX22" s="80">
        <f>MIN($AE$16:$AE$105)</f>
        <v>0.93125251514319896</v>
      </c>
      <c r="AY22" s="80">
        <f>_xlfn.QUARTILE.EXC($AE$16:$AE$105,1)</f>
        <v>0.93451430065908381</v>
      </c>
      <c r="AZ22" s="80">
        <f>MEDIAN($AE$16:$AE$105)</f>
        <v>0.9351360398005355</v>
      </c>
      <c r="BA22" s="80">
        <f>AVERAGE($AE$16:$AE$105)</f>
        <v>0.9348328754460411</v>
      </c>
      <c r="BB22" s="80">
        <f>_xlfn.QUARTILE.EXC($AE$16:$AE$105,3)</f>
        <v>0.93554941850198914</v>
      </c>
      <c r="BC22" s="80">
        <f>MAX($AE$16:$AE$105)</f>
        <v>0.93722852514063038</v>
      </c>
      <c r="BD22" s="80">
        <f t="shared" si="0"/>
        <v>1.1069168536442266E-3</v>
      </c>
      <c r="BE22" s="80"/>
    </row>
    <row r="23" spans="1:57" x14ac:dyDescent="0.3">
      <c r="C23" s="2"/>
      <c r="R23" s="16" t="s">
        <v>66</v>
      </c>
      <c r="S23" t="s">
        <v>9</v>
      </c>
      <c r="T23" s="30">
        <f>N26</f>
        <v>3274.75</v>
      </c>
      <c r="U23" s="30">
        <f>N27</f>
        <v>10120.25</v>
      </c>
      <c r="V23" s="30">
        <f>N28</f>
        <v>125086.57</v>
      </c>
      <c r="W23" s="30">
        <f>N29</f>
        <v>40626.949999999997</v>
      </c>
      <c r="X23" s="30">
        <f>N30</f>
        <v>18979.150000000001</v>
      </c>
      <c r="Z23" t="s">
        <v>36</v>
      </c>
      <c r="AA23" s="1">
        <f>N31</f>
        <v>198087.67</v>
      </c>
      <c r="AC23" t="s">
        <v>100</v>
      </c>
      <c r="AD23" s="51">
        <f>I224</f>
        <v>0.93482389502762431</v>
      </c>
      <c r="AE23" s="55">
        <f>I235</f>
        <v>0.93252681074925703</v>
      </c>
      <c r="AF23" s="55">
        <f>J235</f>
        <v>2.3877501066254182E-3</v>
      </c>
      <c r="AH23">
        <v>224</v>
      </c>
      <c r="AI23">
        <v>235</v>
      </c>
      <c r="AW23" s="51" t="s">
        <v>219</v>
      </c>
      <c r="AX23" s="80">
        <f>MIN($AE$16:$AE$115)</f>
        <v>0.93125251514319896</v>
      </c>
      <c r="AY23" s="80">
        <f>_xlfn.QUARTILE.EXC($AE$16:$AE$115,1)</f>
        <v>0.93451430065908381</v>
      </c>
      <c r="AZ23" s="126">
        <f>MEDIAN($AE$16:$AE$115)</f>
        <v>0.9351360398005355</v>
      </c>
      <c r="BA23" s="126">
        <f>AVERAGE($AE$16:$AE$115)</f>
        <v>0.9348328754460411</v>
      </c>
      <c r="BB23" s="80">
        <f>_xlfn.QUARTILE.EXC($AE$16:$AE$115,3)</f>
        <v>0.93554941850198914</v>
      </c>
      <c r="BC23" s="80">
        <f>MAX($AE$16:$AE$115)</f>
        <v>0.93722852514063038</v>
      </c>
      <c r="BD23" s="80">
        <f t="shared" si="0"/>
        <v>1.1069168536442266E-3</v>
      </c>
      <c r="BE23" s="80"/>
    </row>
    <row r="24" spans="1:57" ht="15.6" x14ac:dyDescent="0.35">
      <c r="A24" t="s">
        <v>322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323</v>
      </c>
      <c r="S24" t="s">
        <v>68</v>
      </c>
      <c r="T24" s="57">
        <f>$AA23*T16/100</f>
        <v>3274.7500000000005</v>
      </c>
      <c r="U24" s="57">
        <f>$AA23*U16/100</f>
        <v>13930.405713591199</v>
      </c>
      <c r="V24" s="57">
        <f>$AA23*V16/100</f>
        <v>122415.92055069427</v>
      </c>
      <c r="W24" s="57">
        <f>$AA23*W16/100</f>
        <v>39952.486539528494</v>
      </c>
      <c r="X24" s="57">
        <f>$AA23*X16/100</f>
        <v>18514.107196186076</v>
      </c>
      <c r="Z24" t="s">
        <v>36</v>
      </c>
      <c r="AA24" s="25">
        <f>SUM(T24:X24)</f>
        <v>198087.67000000007</v>
      </c>
      <c r="AC24" t="s">
        <v>101</v>
      </c>
      <c r="AD24" s="51">
        <f>I253</f>
        <v>0.93758632596685088</v>
      </c>
      <c r="AE24" s="55">
        <f>I264</f>
        <v>0.93543875648523267</v>
      </c>
      <c r="AF24" s="55">
        <f>J264</f>
        <v>2.3317217979172329E-3</v>
      </c>
      <c r="AH24">
        <v>253</v>
      </c>
      <c r="AI24">
        <v>264</v>
      </c>
      <c r="BE24" s="80"/>
    </row>
    <row r="25" spans="1:57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67</v>
      </c>
      <c r="T25" s="67">
        <f>$AA23*T17/100</f>
        <v>0</v>
      </c>
      <c r="U25" s="67">
        <f>$AA23*U17/100</f>
        <v>335.39935836026802</v>
      </c>
      <c r="V25" s="67">
        <f>$AA23*V17/100</f>
        <v>382.05037676046908</v>
      </c>
      <c r="W25" s="67">
        <f>$AA23*W17/100</f>
        <v>310.88326730802692</v>
      </c>
      <c r="X25" s="67">
        <f>$AA23*X17/100</f>
        <v>277.22522703668068</v>
      </c>
      <c r="AA25" s="1"/>
      <c r="AC25" t="s">
        <v>102</v>
      </c>
      <c r="AD25" s="51">
        <f>I282</f>
        <v>0.93637776243093918</v>
      </c>
      <c r="AE25" s="55">
        <f>I293</f>
        <v>0.93466153284373876</v>
      </c>
      <c r="AF25" s="55">
        <f>J293</f>
        <v>2.3478613847768147E-3</v>
      </c>
      <c r="AH25">
        <v>282</v>
      </c>
      <c r="AI25">
        <v>293</v>
      </c>
      <c r="BE25" s="80"/>
    </row>
    <row r="26" spans="1:57" x14ac:dyDescent="0.3">
      <c r="A26" t="s">
        <v>3</v>
      </c>
      <c r="B26" s="13">
        <v>0</v>
      </c>
      <c r="C26" s="29">
        <f>(C15/$L26)*$O26</f>
        <v>1.6531821490959029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0</v>
      </c>
      <c r="G26" s="32">
        <f t="shared" si="2"/>
        <v>0</v>
      </c>
      <c r="H26" s="17">
        <f>SUM(C26:G26)</f>
        <v>1.6531821490959029</v>
      </c>
      <c r="I26" s="17">
        <f>C26/H26*100</f>
        <v>100</v>
      </c>
      <c r="J26" s="17">
        <f>SQRT(I26*(100-I26)/(L26-1))</f>
        <v>0</v>
      </c>
      <c r="K26" s="18">
        <f>100-I26</f>
        <v>0</v>
      </c>
      <c r="L26" s="1">
        <f>H15</f>
        <v>259</v>
      </c>
      <c r="M26">
        <v>0</v>
      </c>
      <c r="N26" s="1">
        <v>3274.75</v>
      </c>
      <c r="O26" s="17">
        <f>N26/N31*100</f>
        <v>1.6531821490959029</v>
      </c>
      <c r="P26" s="52">
        <f>((O26*O26*(I26/100)*(K26/100))/(L26-1))</f>
        <v>0</v>
      </c>
      <c r="R26" t="s">
        <v>71</v>
      </c>
      <c r="S26" s="70" t="s">
        <v>28</v>
      </c>
      <c r="T26" s="64">
        <f t="shared" ref="T26:X29" si="3">C60</f>
        <v>1.6922253822145832</v>
      </c>
      <c r="U26" s="64">
        <f t="shared" si="3"/>
        <v>7.2089405417157488</v>
      </c>
      <c r="V26" s="64">
        <f t="shared" si="3"/>
        <v>61.538464418817753</v>
      </c>
      <c r="W26" s="64">
        <f t="shared" si="3"/>
        <v>20.188024794744234</v>
      </c>
      <c r="X26" s="64">
        <f t="shared" si="3"/>
        <v>9.3723448625076884</v>
      </c>
      <c r="Y26" s="13"/>
      <c r="Z26" s="74"/>
      <c r="AA26" s="12"/>
      <c r="AC26" t="s">
        <v>103</v>
      </c>
      <c r="AD26" s="51">
        <f>I311</f>
        <v>0.93344267955801108</v>
      </c>
      <c r="AE26" s="55">
        <f>I322</f>
        <v>0.93125251514319896</v>
      </c>
      <c r="AF26" s="55">
        <f>J322</f>
        <v>2.3966580543927874E-3</v>
      </c>
      <c r="AH26">
        <v>311</v>
      </c>
      <c r="AI26">
        <v>322</v>
      </c>
    </row>
    <row r="27" spans="1:57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4.5053210988740986</v>
      </c>
      <c r="E27" s="19">
        <f t="shared" si="2"/>
        <v>0.55948431946802535</v>
      </c>
      <c r="F27" s="18">
        <f t="shared" si="2"/>
        <v>0</v>
      </c>
      <c r="G27" s="20">
        <f t="shared" si="2"/>
        <v>4.4169814694844101E-2</v>
      </c>
      <c r="H27" s="17">
        <f>SUM(C27:G27)</f>
        <v>5.1089752330369684</v>
      </c>
      <c r="I27" s="17">
        <f>D27/H27*100</f>
        <v>88.18443804034581</v>
      </c>
      <c r="J27" s="17">
        <f>SQRT(I27*(100-I27)/(L27-1))</f>
        <v>1.7353421574154893</v>
      </c>
      <c r="K27" s="18">
        <f>100-I27</f>
        <v>11.81556195965419</v>
      </c>
      <c r="L27" s="1">
        <f>H16</f>
        <v>347</v>
      </c>
      <c r="M27">
        <v>1</v>
      </c>
      <c r="N27" s="1">
        <v>10120.25</v>
      </c>
      <c r="O27" s="17">
        <f>N27/N31*100</f>
        <v>5.1089752330369675</v>
      </c>
      <c r="P27" s="52">
        <f>((O27*O27*(I27/100)*(K27/100))/(L27-1))</f>
        <v>7.860276610018941E-3</v>
      </c>
      <c r="S27" s="66" t="s">
        <v>39</v>
      </c>
      <c r="T27" s="67">
        <f t="shared" si="3"/>
        <v>0</v>
      </c>
      <c r="U27" s="67">
        <f t="shared" si="3"/>
        <v>0.17355031662247003</v>
      </c>
      <c r="V27" s="67">
        <f t="shared" si="3"/>
        <v>0.19663833827356866</v>
      </c>
      <c r="W27" s="67">
        <f t="shared" si="3"/>
        <v>0.15453849070799405</v>
      </c>
      <c r="X27" s="67">
        <f t="shared" si="3"/>
        <v>0.13694316893422698</v>
      </c>
      <c r="AC27" t="s">
        <v>104</v>
      </c>
      <c r="AD27" s="51">
        <f>I340</f>
        <v>0.93655041436464093</v>
      </c>
      <c r="AE27" s="55">
        <f>I351</f>
        <v>0.93455360600078752</v>
      </c>
      <c r="AF27" s="55">
        <f>J351</f>
        <v>2.3476126399684855E-3</v>
      </c>
      <c r="AH27">
        <v>340</v>
      </c>
      <c r="AI27">
        <v>351</v>
      </c>
    </row>
    <row r="28" spans="1:57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2.4571514988191607</v>
      </c>
      <c r="E28" s="34">
        <f t="shared" si="2"/>
        <v>60.337674741982397</v>
      </c>
      <c r="F28" s="19">
        <f t="shared" si="2"/>
        <v>0.15464589852708002</v>
      </c>
      <c r="G28" s="20">
        <f>(G17/$L28)*$O28</f>
        <v>0.19760309256238004</v>
      </c>
      <c r="H28" s="17">
        <f>SUM(C28:G28)</f>
        <v>63.147075231891016</v>
      </c>
      <c r="I28" s="17">
        <f>E28/H28*100</f>
        <v>95.551020408163268</v>
      </c>
      <c r="J28" s="17">
        <f>SQRT(I28*(100-I28)/(L28-1))</f>
        <v>0.24051033750890041</v>
      </c>
      <c r="K28" s="18">
        <f>100-I28</f>
        <v>4.4489795918367321</v>
      </c>
      <c r="L28" s="1">
        <f>H17</f>
        <v>7350</v>
      </c>
      <c r="M28">
        <v>2</v>
      </c>
      <c r="N28" s="1">
        <v>125086.57</v>
      </c>
      <c r="O28" s="17">
        <f>N28/N31*100</f>
        <v>63.147075231891016</v>
      </c>
      <c r="P28" s="52">
        <f>((O28*O28*(I28/100)*(K28/100))/(L28-1))</f>
        <v>2.3066089669352599E-2</v>
      </c>
      <c r="S28" t="s">
        <v>30</v>
      </c>
      <c r="T28" s="57">
        <f t="shared" si="3"/>
        <v>100</v>
      </c>
      <c r="U28" s="57">
        <f t="shared" si="3"/>
        <v>63.506790411016603</v>
      </c>
      <c r="V28" s="57">
        <f t="shared" si="3"/>
        <v>97.524652810207215</v>
      </c>
      <c r="W28" s="57">
        <f t="shared" si="3"/>
        <v>93.529957382595029</v>
      </c>
      <c r="X28" s="57">
        <f t="shared" si="3"/>
        <v>88.373860654565362</v>
      </c>
      <c r="AC28" t="s">
        <v>105</v>
      </c>
      <c r="AD28" s="51">
        <f>I369</f>
        <v>0.93784530386740328</v>
      </c>
      <c r="AE28" s="55">
        <f>I380</f>
        <v>0.93558630584090796</v>
      </c>
      <c r="AF28" s="55">
        <f>J380</f>
        <v>2.3360006449540463E-3</v>
      </c>
      <c r="AH28">
        <v>369</v>
      </c>
      <c r="AI28">
        <v>380</v>
      </c>
    </row>
    <row r="29" spans="1:57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6.9972033308355622E-2</v>
      </c>
      <c r="E29" s="19">
        <f t="shared" si="2"/>
        <v>0.86298841080305266</v>
      </c>
      <c r="F29" s="34">
        <f t="shared" si="2"/>
        <v>18.736955585904113</v>
      </c>
      <c r="G29" s="20">
        <f t="shared" si="2"/>
        <v>0.83966439970026729</v>
      </c>
      <c r="H29" s="17">
        <f>SUM(C29:G29)</f>
        <v>20.50958042971579</v>
      </c>
      <c r="I29" s="17">
        <f>F29/H29*100</f>
        <v>91.357088703563292</v>
      </c>
      <c r="J29" s="17">
        <f>SQRT(I29*(100-I29)/(L29-1))</f>
        <v>0.54719999996035862</v>
      </c>
      <c r="K29" s="18">
        <f>100-I29</f>
        <v>8.6429112964367079</v>
      </c>
      <c r="L29" s="1">
        <f>H18</f>
        <v>2638</v>
      </c>
      <c r="M29">
        <v>3</v>
      </c>
      <c r="N29" s="1">
        <v>40626.949999999997</v>
      </c>
      <c r="O29" s="17">
        <f>N29/N31*100</f>
        <v>20.50958042971579</v>
      </c>
      <c r="P29" s="52">
        <f>((O29*O29*(I29/100)*(K29/100))/(L29-1))</f>
        <v>1.2595219176704447E-2</v>
      </c>
      <c r="S29" s="66" t="s">
        <v>39</v>
      </c>
      <c r="T29" s="67">
        <f t="shared" si="3"/>
        <v>0</v>
      </c>
      <c r="U29" s="67">
        <f t="shared" si="3"/>
        <v>4.8612947060458662</v>
      </c>
      <c r="V29" s="67">
        <f t="shared" si="3"/>
        <v>0.20371864730379502</v>
      </c>
      <c r="W29" s="67">
        <f t="shared" si="3"/>
        <v>0.60695305271146316</v>
      </c>
      <c r="X29" s="67">
        <f t="shared" si="3"/>
        <v>1.5231248578036853</v>
      </c>
      <c r="AC29" t="s">
        <v>106</v>
      </c>
      <c r="AD29" s="51">
        <f>I398</f>
        <v>0.93905386740331487</v>
      </c>
      <c r="AE29" s="55">
        <f>I409</f>
        <v>0.93722852514063038</v>
      </c>
      <c r="AF29" s="55">
        <f>J409</f>
        <v>2.3032264167497153E-3</v>
      </c>
      <c r="AH29">
        <v>398</v>
      </c>
      <c r="AI29">
        <v>409</v>
      </c>
    </row>
    <row r="30" spans="1:57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0</v>
      </c>
      <c r="E30" s="21">
        <f t="shared" si="2"/>
        <v>3.8711866489940711E-2</v>
      </c>
      <c r="F30" s="21">
        <f t="shared" si="2"/>
        <v>1.2774915941680436</v>
      </c>
      <c r="G30" s="37">
        <f t="shared" si="2"/>
        <v>8.2649834956023422</v>
      </c>
      <c r="H30" s="17">
        <f>SUM(C30:G30)</f>
        <v>9.5811869562603267</v>
      </c>
      <c r="I30" s="17">
        <f>G30/H30*100</f>
        <v>86.26262626262627</v>
      </c>
      <c r="J30" s="17">
        <f>SQRT(I30*(100-I30)/(L30-1))</f>
        <v>1.094624209626478</v>
      </c>
      <c r="K30" s="18">
        <f>100-I30</f>
        <v>13.73737373737373</v>
      </c>
      <c r="L30" s="1">
        <f>H19</f>
        <v>990</v>
      </c>
      <c r="M30">
        <v>4</v>
      </c>
      <c r="N30" s="1">
        <v>18979.150000000001</v>
      </c>
      <c r="O30" s="17">
        <f>N30/N31*100</f>
        <v>9.5811869562603267</v>
      </c>
      <c r="P30" s="52">
        <f>((O30*O30*(I30/100)*(K30/100))/(L30-1))</f>
        <v>1.0999393204441781E-2</v>
      </c>
      <c r="S30" t="s">
        <v>31</v>
      </c>
      <c r="T30" s="57">
        <f>I55</f>
        <v>100</v>
      </c>
      <c r="U30" s="57">
        <f>I56</f>
        <v>87.608069164265117</v>
      </c>
      <c r="V30" s="57">
        <f>I57</f>
        <v>95.387755102040828</v>
      </c>
      <c r="W30" s="57">
        <f>I58</f>
        <v>91.281273692191064</v>
      </c>
      <c r="X30" s="57">
        <f>I59</f>
        <v>87.37373737373737</v>
      </c>
      <c r="AC30" t="s">
        <v>107</v>
      </c>
      <c r="AD30" s="51">
        <f>I427</f>
        <v>0.93741367403314912</v>
      </c>
      <c r="AE30" s="55">
        <f>I438</f>
        <v>0.93537046077433061</v>
      </c>
      <c r="AF30" s="55">
        <f>J438</f>
        <v>2.3349766449278172E-3</v>
      </c>
      <c r="AH30">
        <v>427</v>
      </c>
      <c r="AI30">
        <v>438</v>
      </c>
    </row>
    <row r="31" spans="1:57" x14ac:dyDescent="0.3">
      <c r="B31" t="s">
        <v>28</v>
      </c>
      <c r="C31" s="17">
        <f>SUM(C26:C30)</f>
        <v>1.6531821490959029</v>
      </c>
      <c r="D31" s="17">
        <f>SUM(D26:D30)</f>
        <v>7.0324446310016153</v>
      </c>
      <c r="E31" s="17">
        <f>SUM(E26:E30)</f>
        <v>61.798859338743419</v>
      </c>
      <c r="F31" s="17">
        <f>SUM(F26:F30)</f>
        <v>20.169093078599236</v>
      </c>
      <c r="G31" s="17">
        <f>SUM(G26:G30)</f>
        <v>9.3464208025598339</v>
      </c>
      <c r="H31" s="1">
        <f>SUM(H25:H30)</f>
        <v>100</v>
      </c>
      <c r="I31" s="13" t="s">
        <v>24</v>
      </c>
      <c r="J31" s="12" t="s">
        <v>29</v>
      </c>
      <c r="N31" s="1">
        <f>SUM(N26:N30)</f>
        <v>198087.67</v>
      </c>
      <c r="O31" s="17">
        <f>SUM(O26:O30)</f>
        <v>100</v>
      </c>
      <c r="S31" s="66" t="s">
        <v>39</v>
      </c>
      <c r="T31" s="67">
        <f>J55</f>
        <v>0</v>
      </c>
      <c r="U31" s="67">
        <f>J56</f>
        <v>1.7713463852611111</v>
      </c>
      <c r="V31" s="67">
        <f>J57</f>
        <v>0.24467430866705053</v>
      </c>
      <c r="W31" s="67">
        <f>J58</f>
        <v>0.54936666480994656</v>
      </c>
      <c r="X31" s="67">
        <f>J59</f>
        <v>1.0561600107800841</v>
      </c>
      <c r="AC31" t="s">
        <v>108</v>
      </c>
      <c r="AD31" s="51">
        <f>I456</f>
        <v>0.93827693370165743</v>
      </c>
      <c r="AE31" s="55">
        <f>I467</f>
        <v>0.93615652017229134</v>
      </c>
      <c r="AF31" s="55">
        <f>J467</f>
        <v>2.327071857549514E-3</v>
      </c>
      <c r="AH31">
        <v>456</v>
      </c>
      <c r="AI31">
        <v>467</v>
      </c>
    </row>
    <row r="32" spans="1:57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0</v>
      </c>
      <c r="D32" s="18">
        <f>SQRT(SUM((O26*O26*(D26/O26)*(1-D26/O26))/L26,(O27*O27*(D27/O27)*(1-D27/O27))/L27,(O28*O28*(D28/O28)*(1-D28/O28))/L28,(O29*O29*(D29/O29)*(1-D29/O29))/L29,(O30*O30*(D30/O30)*(1-D30/O30))/L30))</f>
        <v>0.16931864480018771</v>
      </c>
      <c r="E32" s="18">
        <f>SQRT(SUM((O26*O26*(E26/O26)*(1-E26/O26))/L26,(O27*O27*(E27/O27)*(1-E27/O27))/L27,(O28*O28*(E28/O28)*(1-E28/O28))/L28,(O29*O29*(E29/O29)*(1-E29/O29))/L29,(O30*O30*(E30/O30)*(1-E30/O30))/L30))</f>
        <v>0.19286933748095936</v>
      </c>
      <c r="F32" s="18">
        <f>SQRT(SUM((O26*O26*(F26/O26)*(1-F26/O26))/L26,(O27*O27*(F27/O27)*(1-F27/O27))/L27,(O28*O28*(F28/O28)*(1-F28/O28))/L28,(O29*O29*(F29/O29)*(1-F29/O29))/L29,(O30*O30*(F30/O30)*(1-F30/O30))/L30))</f>
        <v>0.15694226062027328</v>
      </c>
      <c r="G32" s="18">
        <f>SQRT(SUM((O26*O26*(G26/O26)*(1-G26/O26))/L26,(O27*O27*(G27/O27)*(1-G27/O27))/L27,(O28*O28*(G28/O28)*(1-G28/O28))/L28,(O29*O29*(G29/O29)*(1-G29/O29))/L29,(O30*O30*(G30/O30)*(1-G30/O30))/L30))</f>
        <v>0.13995077383497956</v>
      </c>
      <c r="H32" s="1"/>
      <c r="I32" s="14">
        <f>(C26+D27+E28+F29+G30)/H31</f>
        <v>0.93498117071458853</v>
      </c>
      <c r="J32" s="53">
        <f>SQRT(SUM(P26:P30))/100</f>
        <v>2.3349727762977828E-3</v>
      </c>
      <c r="M32" s="1"/>
      <c r="N32" s="9"/>
      <c r="S32" s="66" t="s">
        <v>56</v>
      </c>
      <c r="T32" s="67">
        <f>N44*100</f>
        <v>100</v>
      </c>
      <c r="U32" s="67">
        <f>N45*100</f>
        <v>63.399374348279459</v>
      </c>
      <c r="V32" s="67">
        <f>N46*100</f>
        <v>96.58355145336823</v>
      </c>
      <c r="W32" s="67">
        <f>N47*100</f>
        <v>92.901234567901241</v>
      </c>
      <c r="X32" s="67">
        <f>N48*100</f>
        <v>86.978381096028158</v>
      </c>
      <c r="AC32" t="s">
        <v>109</v>
      </c>
      <c r="AD32" s="51">
        <f>I485</f>
        <v>0.93560082872928174</v>
      </c>
      <c r="AE32" s="55">
        <f>I496</f>
        <v>0.93299499155037191</v>
      </c>
      <c r="AF32" s="55">
        <f>J496</f>
        <v>2.3804951584780261E-3</v>
      </c>
      <c r="AH32">
        <v>485</v>
      </c>
      <c r="AI32">
        <v>496</v>
      </c>
    </row>
    <row r="33" spans="1:35" x14ac:dyDescent="0.3">
      <c r="B33" s="1" t="s">
        <v>30</v>
      </c>
      <c r="C33" s="17">
        <f>C26/C31*100</f>
        <v>100</v>
      </c>
      <c r="D33" s="17">
        <f>D27/D31*100</f>
        <v>64.064793045265915</v>
      </c>
      <c r="E33" s="17">
        <f>E28/E31*100</f>
        <v>97.635579989022602</v>
      </c>
      <c r="F33" s="17">
        <f>F29/F31*100</f>
        <v>92.899346107858875</v>
      </c>
      <c r="G33" s="17">
        <f>G30/G31*100</f>
        <v>88.429396345376361</v>
      </c>
      <c r="H33" s="1"/>
      <c r="R33" s="16" t="s">
        <v>66</v>
      </c>
      <c r="S33" t="s">
        <v>9</v>
      </c>
      <c r="T33" s="30">
        <f>N55</f>
        <v>3352.09</v>
      </c>
      <c r="U33" s="30">
        <f>N56</f>
        <v>10351.540000000001</v>
      </c>
      <c r="V33" s="30">
        <f>N57</f>
        <v>124630.95</v>
      </c>
      <c r="W33" s="30">
        <f>N58</f>
        <v>40975.129999999997</v>
      </c>
      <c r="X33" s="30">
        <f>N59</f>
        <v>18777.97</v>
      </c>
      <c r="Z33" t="s">
        <v>36</v>
      </c>
      <c r="AA33" s="1">
        <f>N60</f>
        <v>198087.67999999999</v>
      </c>
      <c r="AC33" t="s">
        <v>110</v>
      </c>
      <c r="AD33" s="51">
        <f>I514</f>
        <v>0.93698204419889508</v>
      </c>
      <c r="AE33" s="55">
        <f>I525</f>
        <v>0.9351874832417465</v>
      </c>
      <c r="AF33" s="55">
        <f>J525</f>
        <v>2.3260313289759963E-3</v>
      </c>
      <c r="AH33">
        <v>514</v>
      </c>
      <c r="AI33">
        <v>525</v>
      </c>
    </row>
    <row r="34" spans="1:35" ht="15.6" x14ac:dyDescent="0.35">
      <c r="B34" s="16" t="s">
        <v>39</v>
      </c>
      <c r="C34" s="18">
        <f>SQRT((C37+C38)/(C31*C31))</f>
        <v>0</v>
      </c>
      <c r="D34" s="18">
        <f>SQRT((D37+D38)/(D31*D31))</f>
        <v>4.7173289075202955</v>
      </c>
      <c r="E34" s="18">
        <f>SQRT((E37+E38)/(E31*E31))</f>
        <v>0.19677350373305377</v>
      </c>
      <c r="F34" s="18">
        <f>SQRT((F37+F38)/(F31*F31))</f>
        <v>0.64170601080034195</v>
      </c>
      <c r="G34" s="18">
        <f>SQRT((G37+G38)/(G31*G31))</f>
        <v>1.5670974582468447</v>
      </c>
      <c r="H34" s="1"/>
      <c r="R34" s="16" t="s">
        <v>323</v>
      </c>
      <c r="S34" t="s">
        <v>68</v>
      </c>
      <c r="T34" s="57">
        <f>$AA33*T26/100</f>
        <v>3352.0900000000006</v>
      </c>
      <c r="U34" s="57">
        <f>$AA33*U26/100</f>
        <v>14280.02307166416</v>
      </c>
      <c r="V34" s="57">
        <f>$AA33*V26/100</f>
        <v>121900.11647486156</v>
      </c>
      <c r="W34" s="57">
        <f>$AA33*W26/100</f>
        <v>39989.98995373361</v>
      </c>
      <c r="X34" s="57">
        <f>$AA33*X26/100</f>
        <v>18565.460499740668</v>
      </c>
      <c r="Z34" t="s">
        <v>36</v>
      </c>
      <c r="AA34" s="25">
        <f>SUM(T34:X34)</f>
        <v>198087.67999999999</v>
      </c>
      <c r="AB34" s="25"/>
      <c r="AC34" t="s">
        <v>111</v>
      </c>
      <c r="AD34" s="51">
        <f>I543</f>
        <v>0.93473756906077343</v>
      </c>
      <c r="AE34" s="55">
        <f>I554</f>
        <v>0.93263486387903294</v>
      </c>
      <c r="AF34" s="55">
        <f>J554</f>
        <v>2.3775921479216372E-3</v>
      </c>
      <c r="AH34">
        <v>543</v>
      </c>
      <c r="AI34">
        <v>554</v>
      </c>
    </row>
    <row r="35" spans="1:35" x14ac:dyDescent="0.3">
      <c r="B35" s="1" t="s">
        <v>37</v>
      </c>
      <c r="C35" s="18">
        <f>100-C33</f>
        <v>0</v>
      </c>
      <c r="D35" s="18">
        <f>100-D33</f>
        <v>35.935206954734085</v>
      </c>
      <c r="E35" s="18">
        <f>100-E33</f>
        <v>2.3644200109773976</v>
      </c>
      <c r="F35" s="18">
        <f>100-F33</f>
        <v>7.1006538921411249</v>
      </c>
      <c r="G35" s="18">
        <f>100-G33</f>
        <v>11.570603654623639</v>
      </c>
      <c r="R35" s="66"/>
      <c r="S35" s="66" t="s">
        <v>67</v>
      </c>
      <c r="T35" s="67">
        <f>$AA33*T27/100</f>
        <v>0</v>
      </c>
      <c r="U35" s="67">
        <f>$AA33*U27/100</f>
        <v>343.78179583010524</v>
      </c>
      <c r="V35" s="67">
        <f>$AA33*V27/100</f>
        <v>389.5163222766642</v>
      </c>
      <c r="W35" s="67">
        <f>$AA33*W27/100</f>
        <v>306.12171095048097</v>
      </c>
      <c r="X35" s="67">
        <f>$AA33*X27/100</f>
        <v>271.26754626029094</v>
      </c>
      <c r="AA35" s="1"/>
      <c r="AB35" s="25"/>
      <c r="AC35" s="58" t="s">
        <v>112</v>
      </c>
      <c r="AD35" s="120">
        <f>I572</f>
        <v>0.93844958563535907</v>
      </c>
      <c r="AE35" s="121">
        <f>I583</f>
        <v>0.9362261619797233</v>
      </c>
      <c r="AF35" s="121">
        <f>J583</f>
        <v>2.3223638513485746E-3</v>
      </c>
      <c r="AH35">
        <v>572</v>
      </c>
      <c r="AI35">
        <v>583</v>
      </c>
    </row>
    <row r="36" spans="1:35" ht="15.6" x14ac:dyDescent="0.35">
      <c r="B36" s="1" t="s">
        <v>25</v>
      </c>
      <c r="C36" s="1">
        <f>C20</f>
        <v>259</v>
      </c>
      <c r="D36" s="1">
        <f>D20</f>
        <v>601</v>
      </c>
      <c r="E36" s="1">
        <f>E20</f>
        <v>7176</v>
      </c>
      <c r="F36" s="1">
        <f>F20</f>
        <v>2560</v>
      </c>
      <c r="G36" s="1">
        <f>G20</f>
        <v>988</v>
      </c>
      <c r="R36" t="s">
        <v>72</v>
      </c>
      <c r="S36" t="s">
        <v>28</v>
      </c>
      <c r="T36" s="57">
        <f t="shared" ref="T36:X39" si="4">C89</f>
        <v>1.7237922986322165</v>
      </c>
      <c r="U36" s="57">
        <f t="shared" si="4"/>
        <v>6.7258106167763154</v>
      </c>
      <c r="V36" s="57">
        <f t="shared" si="4"/>
        <v>62.064116040876058</v>
      </c>
      <c r="W36" s="57">
        <f t="shared" si="4"/>
        <v>20.501341709614724</v>
      </c>
      <c r="X36" s="57">
        <f t="shared" si="4"/>
        <v>8.984939334100682</v>
      </c>
      <c r="Y36" s="13"/>
      <c r="Z36" s="74"/>
      <c r="AA36" s="12"/>
      <c r="AC36" t="s">
        <v>113</v>
      </c>
      <c r="AD36" s="51"/>
      <c r="AE36" s="51"/>
      <c r="AH36">
        <v>601</v>
      </c>
      <c r="AI36">
        <v>612</v>
      </c>
    </row>
    <row r="37" spans="1:3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1015.028251452601</v>
      </c>
      <c r="E37" s="18">
        <f>(O28*O28*(100-E33)*(100-E33)*(I28)*(100-I28))/((L28-1)*100)</f>
        <v>12.89505588372673</v>
      </c>
      <c r="F37" s="18">
        <f>(O29*O29*(100-F33)*(100-F33)*(I29)*(100-I29))/((L29-1)*100)</f>
        <v>63.504195407373381</v>
      </c>
      <c r="G37" s="18">
        <f>(O30*O30*(100-G33)*(100-G33)*(I30)*(100-I30))/((L30-1)*100)</f>
        <v>147.25863211532817</v>
      </c>
      <c r="S37" s="66" t="s">
        <v>39</v>
      </c>
      <c r="T37" s="67">
        <f t="shared" si="4"/>
        <v>0</v>
      </c>
      <c r="U37" s="67">
        <f t="shared" si="4"/>
        <v>0.16932568990208877</v>
      </c>
      <c r="V37" s="67">
        <f t="shared" si="4"/>
        <v>0.19290625681422371</v>
      </c>
      <c r="W37" s="67">
        <f t="shared" si="4"/>
        <v>0.15230990709064932</v>
      </c>
      <c r="X37" s="67">
        <f t="shared" si="4"/>
        <v>0.13531757581987164</v>
      </c>
      <c r="AC37" t="s">
        <v>114</v>
      </c>
      <c r="AD37" s="51"/>
      <c r="AE37" s="51"/>
      <c r="AH37">
        <v>630</v>
      </c>
      <c r="AI37">
        <v>641</v>
      </c>
    </row>
    <row r="38" spans="1:35" x14ac:dyDescent="0.3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85.509534977938827</v>
      </c>
      <c r="E38" s="18">
        <f>E33*E33*(SUM((H26*E26*(1-E15/H15))/(H15-1),(H27*E27*(1-E16/H16))/(H16-1), (H29*E29*(1-E18/H18))/(H18-1),(H30*E30*(1-E19/H19))/(H19-1)))</f>
        <v>134.97973913540648</v>
      </c>
      <c r="F38" s="18">
        <f>F33*F33*(SUM((H26*F26*(1-F15/H15))/(H15-1),(H27*F27*(1-F16/H16))/(H16-1), (H28*F28*(1-F17/H17))/(H17-1),(H30*F30*(1-F19/H19))/(H19-1)))</f>
        <v>104.00743089321696</v>
      </c>
      <c r="G38" s="18">
        <f>G33*G33*(SUM((H26*G26*(1-G15/H15))/(H15-1),(H27*G27*(1-G16/H16))/(H16-1), (H28*G28*(1-G17/H17))/(H17-1),(H29*G29*(1-G18/H18))/(H18-1)))</f>
        <v>67.268720335865623</v>
      </c>
      <c r="S38" t="s">
        <v>30</v>
      </c>
      <c r="T38" s="57">
        <f t="shared" si="4"/>
        <v>100</v>
      </c>
      <c r="U38" s="57">
        <f t="shared" si="4"/>
        <v>64.436738525682429</v>
      </c>
      <c r="V38" s="57">
        <f t="shared" si="4"/>
        <v>97.476971563581571</v>
      </c>
      <c r="W38" s="57">
        <f t="shared" si="4"/>
        <v>93.344386588415233</v>
      </c>
      <c r="X38" s="57">
        <f t="shared" si="4"/>
        <v>88.969741316407053</v>
      </c>
      <c r="Z38" s="50"/>
      <c r="AA38" s="54"/>
      <c r="AC38" t="s">
        <v>115</v>
      </c>
      <c r="AD38" s="51"/>
      <c r="AE38" s="51"/>
      <c r="AH38">
        <v>659</v>
      </c>
      <c r="AI38">
        <v>670</v>
      </c>
    </row>
    <row r="39" spans="1:35" x14ac:dyDescent="0.3">
      <c r="S39" s="66" t="s">
        <v>39</v>
      </c>
      <c r="T39" s="67">
        <f t="shared" si="4"/>
        <v>0</v>
      </c>
      <c r="U39" s="67">
        <f t="shared" si="4"/>
        <v>5.1740596906467147</v>
      </c>
      <c r="V39" s="67">
        <f t="shared" si="4"/>
        <v>0.20346116682640208</v>
      </c>
      <c r="W39" s="67">
        <f t="shared" si="4"/>
        <v>0.59847747952204577</v>
      </c>
      <c r="X39" s="67">
        <f t="shared" si="4"/>
        <v>1.5292709343603528</v>
      </c>
      <c r="AC39" t="s">
        <v>116</v>
      </c>
      <c r="AD39" s="51"/>
      <c r="AE39" s="51"/>
      <c r="AH39">
        <v>688</v>
      </c>
      <c r="AI39">
        <v>699</v>
      </c>
    </row>
    <row r="40" spans="1:35" x14ac:dyDescent="0.3">
      <c r="S40" t="s">
        <v>31</v>
      </c>
      <c r="T40" s="57">
        <f>I84</f>
        <v>100</v>
      </c>
      <c r="U40" s="57">
        <f>I85</f>
        <v>85.878962536023053</v>
      </c>
      <c r="V40" s="57">
        <f>I86</f>
        <v>95.782312925170061</v>
      </c>
      <c r="W40" s="57">
        <f>I87</f>
        <v>92.001516300227451</v>
      </c>
      <c r="X40" s="57">
        <f>I88</f>
        <v>86.26262626262627</v>
      </c>
      <c r="AC40" t="s">
        <v>117</v>
      </c>
      <c r="AD40" s="51"/>
      <c r="AE40" s="51"/>
      <c r="AH40">
        <v>717</v>
      </c>
      <c r="AI40">
        <v>728</v>
      </c>
    </row>
    <row r="41" spans="1:35" x14ac:dyDescent="0.3">
      <c r="A41" s="361" t="s">
        <v>461</v>
      </c>
      <c r="B41" s="361"/>
      <c r="C41" s="361"/>
      <c r="D41" s="361"/>
      <c r="E41" s="361"/>
      <c r="F41" s="361"/>
      <c r="G41" s="361"/>
      <c r="H41" s="361"/>
      <c r="I41" s="361"/>
      <c r="J41" s="361"/>
      <c r="K41" s="361"/>
      <c r="L41" s="361" t="s">
        <v>53</v>
      </c>
      <c r="M41" s="361"/>
      <c r="N41" s="361"/>
      <c r="O41" s="361"/>
      <c r="P41" s="361"/>
      <c r="S41" s="66" t="s">
        <v>39</v>
      </c>
      <c r="T41" s="67">
        <f>J84</f>
        <v>0</v>
      </c>
      <c r="U41" s="67">
        <f>J85</f>
        <v>1.8721414026762528</v>
      </c>
      <c r="V41" s="67">
        <f>J86</f>
        <v>0.23445835507447221</v>
      </c>
      <c r="W41" s="67">
        <f>J87</f>
        <v>0.52825821520793326</v>
      </c>
      <c r="X41" s="67">
        <f>J88</f>
        <v>1.094624209626478</v>
      </c>
      <c r="AC41" t="s">
        <v>118</v>
      </c>
      <c r="AD41" s="51"/>
      <c r="AE41" s="51"/>
      <c r="AH41">
        <v>746</v>
      </c>
      <c r="AI41">
        <v>757</v>
      </c>
    </row>
    <row r="42" spans="1:35" x14ac:dyDescent="0.3">
      <c r="A42" t="s">
        <v>320</v>
      </c>
      <c r="B42" t="s">
        <v>21</v>
      </c>
      <c r="I42" s="1" t="s">
        <v>58</v>
      </c>
      <c r="S42" s="66" t="s">
        <v>56</v>
      </c>
      <c r="T42" s="67">
        <f>N73*100</f>
        <v>100</v>
      </c>
      <c r="U42" s="67">
        <f>N74*100</f>
        <v>64.50216450216449</v>
      </c>
      <c r="V42" s="67">
        <f>N75*100</f>
        <v>96.776410749879716</v>
      </c>
      <c r="W42" s="67">
        <f>N76*100</f>
        <v>93.131235610130474</v>
      </c>
      <c r="X42" s="67">
        <f>N77*100</f>
        <v>86.921119592875314</v>
      </c>
      <c r="AC42" t="s">
        <v>119</v>
      </c>
      <c r="AD42" s="51"/>
      <c r="AE42" s="51"/>
      <c r="AH42">
        <v>775</v>
      </c>
      <c r="AI42">
        <v>786</v>
      </c>
    </row>
    <row r="43" spans="1:3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56</v>
      </c>
      <c r="R43" s="16" t="s">
        <v>66</v>
      </c>
      <c r="S43" t="s">
        <v>9</v>
      </c>
      <c r="T43" s="30">
        <f>N84</f>
        <v>3414.62</v>
      </c>
      <c r="U43" s="30">
        <f>N85</f>
        <v>9996.52</v>
      </c>
      <c r="V43" s="30">
        <f>N86</f>
        <v>125116.54</v>
      </c>
      <c r="W43" s="30">
        <f>N87</f>
        <v>41203.39</v>
      </c>
      <c r="X43" s="30">
        <f>N88</f>
        <v>18356.599999999999</v>
      </c>
      <c r="Z43" t="s">
        <v>36</v>
      </c>
      <c r="AA43" s="1">
        <f>N89</f>
        <v>198087.67</v>
      </c>
      <c r="AC43" t="s">
        <v>120</v>
      </c>
      <c r="AD43" s="51"/>
      <c r="AE43" s="51"/>
      <c r="AH43">
        <v>804</v>
      </c>
      <c r="AI43">
        <v>815</v>
      </c>
    </row>
    <row r="44" spans="1:35" ht="15.6" x14ac:dyDescent="0.35">
      <c r="A44" t="s">
        <v>3</v>
      </c>
      <c r="B44" s="13">
        <v>0</v>
      </c>
      <c r="C44" s="26">
        <v>259</v>
      </c>
      <c r="D44" s="3">
        <v>0</v>
      </c>
      <c r="E44" s="3">
        <v>0</v>
      </c>
      <c r="F44" s="3">
        <v>0</v>
      </c>
      <c r="G44" s="4">
        <v>0</v>
      </c>
      <c r="H44" s="1">
        <f>SUM(C44:G44)</f>
        <v>259</v>
      </c>
      <c r="I44" s="10">
        <f>C44/H44</f>
        <v>1</v>
      </c>
      <c r="J44" s="11">
        <f>1-I44</f>
        <v>0</v>
      </c>
      <c r="K44">
        <f>H44-C49</f>
        <v>0</v>
      </c>
      <c r="N44" s="10">
        <f>2*(C50*I44)/(C50+I44)</f>
        <v>1</v>
      </c>
      <c r="R44" s="16" t="s">
        <v>323</v>
      </c>
      <c r="S44" t="s">
        <v>68</v>
      </c>
      <c r="T44" s="57">
        <f>$AA43*T36/100</f>
        <v>3414.62</v>
      </c>
      <c r="U44" s="57">
        <f>$AA43*U36/100</f>
        <v>13323.001539384832</v>
      </c>
      <c r="V44" s="57">
        <f>$AA43*V36/100</f>
        <v>122941.36137146763</v>
      </c>
      <c r="W44" s="57">
        <f>$AA43*W36/100</f>
        <v>40610.630111313978</v>
      </c>
      <c r="X44" s="57">
        <f>$AA43*X36/100</f>
        <v>17798.056977833559</v>
      </c>
      <c r="Z44" t="s">
        <v>36</v>
      </c>
      <c r="AA44" s="25">
        <f>SUM(T44:X44)</f>
        <v>198087.67</v>
      </c>
      <c r="AC44" t="s">
        <v>121</v>
      </c>
      <c r="AD44" s="51"/>
      <c r="AE44" s="51"/>
      <c r="AH44">
        <v>833</v>
      </c>
      <c r="AI44">
        <v>844</v>
      </c>
    </row>
    <row r="45" spans="1:35" x14ac:dyDescent="0.3">
      <c r="A45" t="s">
        <v>4</v>
      </c>
      <c r="B45" s="13">
        <v>1</v>
      </c>
      <c r="C45" s="5">
        <v>0</v>
      </c>
      <c r="D45" s="27">
        <v>304</v>
      </c>
      <c r="E45" s="1">
        <v>40</v>
      </c>
      <c r="F45" s="1">
        <v>0</v>
      </c>
      <c r="G45" s="6">
        <v>3</v>
      </c>
      <c r="H45" s="1">
        <f>SUM(C45:G45)</f>
        <v>347</v>
      </c>
      <c r="I45" s="10">
        <f>D45/H45</f>
        <v>0.87608069164265134</v>
      </c>
      <c r="J45" s="11">
        <f>1-I45</f>
        <v>0.12391930835734866</v>
      </c>
      <c r="K45">
        <f>H45-D49</f>
        <v>-265</v>
      </c>
      <c r="N45" s="10">
        <f>2*(D50*I45)/(D50+I45)</f>
        <v>0.63399374348279458</v>
      </c>
      <c r="R45" s="66"/>
      <c r="S45" s="66" t="s">
        <v>67</v>
      </c>
      <c r="T45" s="67">
        <f>$AA43*T37/100</f>
        <v>0</v>
      </c>
      <c r="U45" s="67">
        <f>$AA43*U37/100</f>
        <v>335.41331383847296</v>
      </c>
      <c r="V45" s="67">
        <f>$AA43*V37/100</f>
        <v>382.12350940751202</v>
      </c>
      <c r="W45" s="67">
        <f>$AA43*W37/100</f>
        <v>301.70714613503208</v>
      </c>
      <c r="X45" s="67">
        <f>$AA43*X37/100</f>
        <v>268.04743304206715</v>
      </c>
      <c r="AA45" s="1"/>
      <c r="AC45" t="s">
        <v>122</v>
      </c>
      <c r="AD45" s="51"/>
      <c r="AE45" s="51"/>
      <c r="AH45">
        <v>862</v>
      </c>
      <c r="AI45">
        <v>873</v>
      </c>
    </row>
    <row r="46" spans="1:35" x14ac:dyDescent="0.3">
      <c r="A46" t="s">
        <v>5</v>
      </c>
      <c r="B46" s="13">
        <v>2</v>
      </c>
      <c r="C46" s="5">
        <v>0</v>
      </c>
      <c r="D46" s="1">
        <v>300</v>
      </c>
      <c r="E46" s="27">
        <v>7011</v>
      </c>
      <c r="F46" s="1">
        <v>15</v>
      </c>
      <c r="G46" s="6">
        <v>24</v>
      </c>
      <c r="H46" s="1">
        <f>SUM(C46:G46)</f>
        <v>7350</v>
      </c>
      <c r="I46" s="10">
        <f>E46/H46</f>
        <v>0.95387755102040817</v>
      </c>
      <c r="J46" s="11">
        <f>1-I46</f>
        <v>4.6122448979591835E-2</v>
      </c>
      <c r="K46">
        <f>H46-E49</f>
        <v>182</v>
      </c>
      <c r="N46" s="10">
        <f>2*(E50*I46)/(E50+I46)</f>
        <v>0.96583551453368233</v>
      </c>
      <c r="R46" t="s">
        <v>73</v>
      </c>
      <c r="S46" t="s">
        <v>28</v>
      </c>
      <c r="T46" s="57">
        <f t="shared" ref="T46:X49" si="5">C118</f>
        <v>1.6428433755035519</v>
      </c>
      <c r="U46" s="57">
        <f t="shared" si="5"/>
        <v>6.758236085898079</v>
      </c>
      <c r="V46" s="57">
        <f t="shared" si="5"/>
        <v>61.959194889199487</v>
      </c>
      <c r="W46" s="57">
        <f t="shared" si="5"/>
        <v>20.216158321946086</v>
      </c>
      <c r="X46" s="57">
        <f t="shared" si="5"/>
        <v>9.4235673274527727</v>
      </c>
      <c r="Y46" s="60"/>
      <c r="Z46" s="74"/>
      <c r="AA46" s="12"/>
      <c r="AC46" t="s">
        <v>135</v>
      </c>
      <c r="AD46" s="51"/>
      <c r="AE46" s="51"/>
      <c r="AH46">
        <v>891</v>
      </c>
      <c r="AI46">
        <v>902</v>
      </c>
    </row>
    <row r="47" spans="1:35" x14ac:dyDescent="0.3">
      <c r="A47" t="s">
        <v>6</v>
      </c>
      <c r="B47" s="13">
        <v>3</v>
      </c>
      <c r="C47" s="5">
        <v>0</v>
      </c>
      <c r="D47" s="1">
        <v>8</v>
      </c>
      <c r="E47" s="1">
        <v>115</v>
      </c>
      <c r="F47" s="27">
        <v>2408</v>
      </c>
      <c r="G47" s="6">
        <v>107</v>
      </c>
      <c r="H47" s="1">
        <f>SUM(C47:G47)</f>
        <v>2638</v>
      </c>
      <c r="I47" s="10">
        <f>F47/H47</f>
        <v>0.91281273692191056</v>
      </c>
      <c r="J47" s="11">
        <f>1-I47</f>
        <v>8.7187263078089439E-2</v>
      </c>
      <c r="K47">
        <f>H47-F49</f>
        <v>92</v>
      </c>
      <c r="N47" s="10">
        <f>2*(F50*I47)/(F50+I47)</f>
        <v>0.92901234567901236</v>
      </c>
      <c r="S47" s="66" t="s">
        <v>39</v>
      </c>
      <c r="T47" s="67">
        <f t="shared" si="5"/>
        <v>0</v>
      </c>
      <c r="U47" s="67">
        <f t="shared" si="5"/>
        <v>0.16867775844081331</v>
      </c>
      <c r="V47" s="67">
        <f t="shared" si="5"/>
        <v>0.19209330630642898</v>
      </c>
      <c r="W47" s="67">
        <f t="shared" si="5"/>
        <v>0.15797166534769555</v>
      </c>
      <c r="X47" s="67">
        <f t="shared" si="5"/>
        <v>0.14230352388635467</v>
      </c>
      <c r="AC47" t="s">
        <v>136</v>
      </c>
      <c r="AD47" s="51"/>
      <c r="AE47" s="51"/>
      <c r="AH47">
        <v>920</v>
      </c>
      <c r="AI47">
        <v>931</v>
      </c>
    </row>
    <row r="48" spans="1:35" x14ac:dyDescent="0.3">
      <c r="A48" t="s">
        <v>7</v>
      </c>
      <c r="B48" s="13">
        <v>4</v>
      </c>
      <c r="C48" s="7">
        <v>0</v>
      </c>
      <c r="D48" s="8">
        <v>0</v>
      </c>
      <c r="E48" s="8">
        <v>2</v>
      </c>
      <c r="F48" s="8">
        <v>123</v>
      </c>
      <c r="G48" s="28">
        <v>865</v>
      </c>
      <c r="H48" s="1">
        <f>SUM(C48:G48)</f>
        <v>990</v>
      </c>
      <c r="I48" s="10">
        <f>G48/H48</f>
        <v>0.8737373737373737</v>
      </c>
      <c r="J48" s="11">
        <f>1-I48</f>
        <v>0.1262626262626263</v>
      </c>
      <c r="K48">
        <f>H48-G49</f>
        <v>-9</v>
      </c>
      <c r="N48" s="10">
        <f>2*(G50*I48)/(G50+I48)</f>
        <v>0.86978381096028157</v>
      </c>
      <c r="S48" t="s">
        <v>30</v>
      </c>
      <c r="T48" s="57">
        <f t="shared" si="5"/>
        <v>100</v>
      </c>
      <c r="U48" s="57">
        <f t="shared" si="5"/>
        <v>65.028454908024457</v>
      </c>
      <c r="V48" s="57">
        <f t="shared" si="5"/>
        <v>97.528173691479807</v>
      </c>
      <c r="W48" s="57">
        <f t="shared" si="5"/>
        <v>92.783922097214869</v>
      </c>
      <c r="X48" s="57">
        <f t="shared" si="5"/>
        <v>87.926617054345002</v>
      </c>
      <c r="AC48" t="s">
        <v>137</v>
      </c>
      <c r="AD48" s="51"/>
      <c r="AE48" s="51"/>
      <c r="AH48">
        <v>949</v>
      </c>
      <c r="AI48">
        <v>960</v>
      </c>
    </row>
    <row r="49" spans="1:35" ht="15.6" x14ac:dyDescent="0.35">
      <c r="B49" s="1" t="s">
        <v>19</v>
      </c>
      <c r="C49" s="1">
        <f>SUM(C44:C48)</f>
        <v>259</v>
      </c>
      <c r="D49" s="1">
        <f>SUM(D44:D48)</f>
        <v>612</v>
      </c>
      <c r="E49" s="1">
        <f>SUM(E44:E48)</f>
        <v>7168</v>
      </c>
      <c r="F49" s="1">
        <f>SUM(F44:F48)</f>
        <v>2546</v>
      </c>
      <c r="G49" s="1">
        <f>SUM(G44:G48)</f>
        <v>999</v>
      </c>
      <c r="H49" s="1">
        <f>SUM(H43:H48)</f>
        <v>11584</v>
      </c>
      <c r="I49" s="13" t="s">
        <v>12</v>
      </c>
      <c r="S49" s="66" t="s">
        <v>39</v>
      </c>
      <c r="T49" s="67">
        <f t="shared" si="5"/>
        <v>0</v>
      </c>
      <c r="U49" s="67">
        <f t="shared" si="5"/>
        <v>5.07964084301409</v>
      </c>
      <c r="V49" s="67">
        <f t="shared" si="5"/>
        <v>0.20192398503198999</v>
      </c>
      <c r="W49" s="67">
        <f t="shared" si="5"/>
        <v>0.64840955600307448</v>
      </c>
      <c r="X49" s="67">
        <f t="shared" si="5"/>
        <v>1.6220648107305029</v>
      </c>
      <c r="AC49" t="s">
        <v>138</v>
      </c>
      <c r="AD49" s="51"/>
      <c r="AE49" s="51"/>
      <c r="AH49">
        <v>978</v>
      </c>
      <c r="AI49">
        <v>989</v>
      </c>
    </row>
    <row r="50" spans="1:35" x14ac:dyDescent="0.3">
      <c r="A50" s="1" t="s">
        <v>321</v>
      </c>
      <c r="B50" s="1" t="s">
        <v>2</v>
      </c>
      <c r="C50" s="10">
        <f>C44/C49</f>
        <v>1</v>
      </c>
      <c r="D50" s="10">
        <f>D45/D49</f>
        <v>0.49673202614379086</v>
      </c>
      <c r="E50" s="10">
        <f>E46/E49</f>
        <v>0.9780970982142857</v>
      </c>
      <c r="F50" s="10">
        <f>F47/F49</f>
        <v>0.94579732914375492</v>
      </c>
      <c r="G50" s="10">
        <f>G48/G49</f>
        <v>0.86586586586586589</v>
      </c>
      <c r="H50" s="10"/>
      <c r="I50" s="14">
        <f>(C44+D45+E46+F47+G48)/H49</f>
        <v>0.93637776243093918</v>
      </c>
      <c r="S50" s="15" t="s">
        <v>31</v>
      </c>
      <c r="T50" s="71">
        <f>I113</f>
        <v>100</v>
      </c>
      <c r="U50" s="71">
        <f>I114</f>
        <v>86.1671469740634</v>
      </c>
      <c r="V50" s="71">
        <f>I115</f>
        <v>95.782312925170075</v>
      </c>
      <c r="W50" s="71">
        <f>I116</f>
        <v>91.319181197877171</v>
      </c>
      <c r="X50" s="71">
        <f>I117</f>
        <v>86.060606060606048</v>
      </c>
      <c r="AC50" t="s">
        <v>139</v>
      </c>
      <c r="AD50" s="51"/>
      <c r="AE50" s="51"/>
      <c r="AH50">
        <v>1007</v>
      </c>
      <c r="AI50">
        <v>1018</v>
      </c>
    </row>
    <row r="51" spans="1:35" x14ac:dyDescent="0.3">
      <c r="B51" s="1" t="s">
        <v>14</v>
      </c>
      <c r="C51" s="11">
        <f>1-C50</f>
        <v>0</v>
      </c>
      <c r="D51" s="11">
        <f>1-D50</f>
        <v>0.50326797385620914</v>
      </c>
      <c r="E51" s="11">
        <f>1-E50</f>
        <v>2.1902901785714302E-2</v>
      </c>
      <c r="F51" s="11">
        <f>1-F50</f>
        <v>5.4202670856245083E-2</v>
      </c>
      <c r="G51" s="11">
        <f>1-G50</f>
        <v>0.13413413413413411</v>
      </c>
      <c r="S51" s="75" t="s">
        <v>39</v>
      </c>
      <c r="T51" s="76">
        <f>J113</f>
        <v>0</v>
      </c>
      <c r="U51" s="76">
        <f>J114</f>
        <v>1.8560457997735205</v>
      </c>
      <c r="V51" s="76">
        <f>J115</f>
        <v>0.23445835507447182</v>
      </c>
      <c r="W51" s="76">
        <f>J116</f>
        <v>0.54828489958229842</v>
      </c>
      <c r="X51" s="76">
        <f>J117</f>
        <v>1.1013516332959159</v>
      </c>
      <c r="AC51" t="s">
        <v>140</v>
      </c>
      <c r="AD51" s="51"/>
      <c r="AE51" s="51"/>
      <c r="AH51">
        <v>1036</v>
      </c>
      <c r="AI51">
        <v>1047</v>
      </c>
    </row>
    <row r="52" spans="1:35" x14ac:dyDescent="0.3">
      <c r="C52" s="2"/>
      <c r="S52" s="66" t="s">
        <v>56</v>
      </c>
      <c r="T52" s="67">
        <f>N102*100</f>
        <v>100</v>
      </c>
      <c r="U52" s="67">
        <f>N103*100</f>
        <v>64.859002169197396</v>
      </c>
      <c r="V52" s="67">
        <f>N104*100</f>
        <v>96.79637013611989</v>
      </c>
      <c r="W52" s="67">
        <f>N105*100</f>
        <v>92.671667628390082</v>
      </c>
      <c r="X52" s="67">
        <f>N106*100</f>
        <v>85.930408472012104</v>
      </c>
      <c r="AC52" t="s">
        <v>141</v>
      </c>
      <c r="AD52" s="51"/>
      <c r="AE52" s="51"/>
      <c r="AH52">
        <v>1065</v>
      </c>
      <c r="AI52">
        <v>1076</v>
      </c>
    </row>
    <row r="53" spans="1:35" ht="15.6" x14ac:dyDescent="0.35">
      <c r="A53" t="s">
        <v>322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66</v>
      </c>
      <c r="S53" t="s">
        <v>9</v>
      </c>
      <c r="T53" s="30">
        <f>N113</f>
        <v>3254.27</v>
      </c>
      <c r="U53" s="30">
        <f>N114</f>
        <v>10103.049999999999</v>
      </c>
      <c r="V53" s="30">
        <f>N115</f>
        <v>124970.63</v>
      </c>
      <c r="W53" s="30">
        <f>N116</f>
        <v>40688.04</v>
      </c>
      <c r="X53" s="30">
        <f>N117</f>
        <v>19071.669999999998</v>
      </c>
      <c r="Z53" t="s">
        <v>36</v>
      </c>
      <c r="AA53" s="1">
        <f>N118</f>
        <v>198087.66000000003</v>
      </c>
      <c r="AC53" t="s">
        <v>142</v>
      </c>
      <c r="AD53" s="51"/>
      <c r="AE53" s="51"/>
      <c r="AH53">
        <v>1094</v>
      </c>
      <c r="AI53">
        <v>1105</v>
      </c>
    </row>
    <row r="54" spans="1:35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323</v>
      </c>
      <c r="S54" t="s">
        <v>68</v>
      </c>
      <c r="T54" s="57">
        <f>$AA53*T46/100</f>
        <v>3254.2699999999995</v>
      </c>
      <c r="U54" s="57">
        <f>$AA53*U46/100</f>
        <v>13387.231719831098</v>
      </c>
      <c r="V54" s="57">
        <f>$AA53*V46/100</f>
        <v>122733.51931085488</v>
      </c>
      <c r="W54" s="57">
        <f>$AA53*W46/100</f>
        <v>40045.714961838275</v>
      </c>
      <c r="X54" s="57">
        <f>$AA53*X46/100</f>
        <v>18666.924007475736</v>
      </c>
      <c r="Z54" t="s">
        <v>36</v>
      </c>
      <c r="AA54" s="25">
        <f>SUM(T54:X54)</f>
        <v>198087.65999999997</v>
      </c>
      <c r="AC54" t="s">
        <v>143</v>
      </c>
      <c r="AD54" s="51"/>
      <c r="AE54" s="51"/>
      <c r="AH54">
        <v>1123</v>
      </c>
      <c r="AI54">
        <v>1134</v>
      </c>
    </row>
    <row r="55" spans="1:35" x14ac:dyDescent="0.3">
      <c r="A55" t="s">
        <v>3</v>
      </c>
      <c r="B55" s="13">
        <v>0</v>
      </c>
      <c r="C55" s="29">
        <f>(C44/$L55)*$O55</f>
        <v>1.6922253822145832</v>
      </c>
      <c r="D55" s="31">
        <f>(D44/$L55)*$O55</f>
        <v>0</v>
      </c>
      <c r="E55" s="31">
        <f>(E44/$L55)*$O55</f>
        <v>0</v>
      </c>
      <c r="F55" s="31">
        <f>(F44/$L55)*$O55</f>
        <v>0</v>
      </c>
      <c r="G55" s="32">
        <f>(G44/$L55)*$O55</f>
        <v>0</v>
      </c>
      <c r="H55" s="17">
        <f>SUM(C55:G55)</f>
        <v>1.6922253822145832</v>
      </c>
      <c r="I55" s="17">
        <f>C55/H55*100</f>
        <v>100</v>
      </c>
      <c r="J55" s="17">
        <f>SQRT(I55*(100-I55)/(L55-1))</f>
        <v>0</v>
      </c>
      <c r="K55" s="18">
        <f>100-I55</f>
        <v>0</v>
      </c>
      <c r="L55" s="1">
        <f>H44</f>
        <v>259</v>
      </c>
      <c r="M55">
        <v>0</v>
      </c>
      <c r="N55" s="1">
        <v>3352.09</v>
      </c>
      <c r="O55" s="17">
        <f>N55/N60*100</f>
        <v>1.6922253822145832</v>
      </c>
      <c r="P55" s="52">
        <f>((O55*O55*(I55/100)*(K55/100))/(L55-1))</f>
        <v>0</v>
      </c>
      <c r="R55" s="66"/>
      <c r="S55" s="66" t="s">
        <v>67</v>
      </c>
      <c r="T55" s="67">
        <f>$AA53*T47/100</f>
        <v>0</v>
      </c>
      <c r="U55" s="67">
        <f>$AA53*U47/100</f>
        <v>334.12982463585962</v>
      </c>
      <c r="V55" s="67">
        <f>$AA53*V47/100</f>
        <v>380.51313547903766</v>
      </c>
      <c r="W55" s="67">
        <f>$AA53*W47/100</f>
        <v>312.92237535028102</v>
      </c>
      <c r="X55" s="67">
        <f>$AA53*X47/100</f>
        <v>281.88572056402109</v>
      </c>
      <c r="AA55" s="1"/>
      <c r="AC55" t="s">
        <v>144</v>
      </c>
      <c r="AD55" s="51"/>
      <c r="AE55" s="51"/>
      <c r="AH55">
        <v>1152</v>
      </c>
      <c r="AI55">
        <v>1163</v>
      </c>
    </row>
    <row r="56" spans="1:35" x14ac:dyDescent="0.3">
      <c r="A56" t="s">
        <v>4</v>
      </c>
      <c r="B56" s="13">
        <v>1</v>
      </c>
      <c r="C56" s="33">
        <f t="shared" ref="C56:G59" si="6">(C45/$L56)*$O56</f>
        <v>0</v>
      </c>
      <c r="D56" s="34">
        <f t="shared" si="6"/>
        <v>4.5781667606822252</v>
      </c>
      <c r="E56" s="19">
        <f t="shared" si="6"/>
        <v>0.60239036324766115</v>
      </c>
      <c r="F56" s="18">
        <f t="shared" si="6"/>
        <v>0</v>
      </c>
      <c r="G56" s="20">
        <f t="shared" si="6"/>
        <v>4.5179277243574595E-2</v>
      </c>
      <c r="H56" s="17">
        <f>SUM(C56:G56)</f>
        <v>5.2257364011734611</v>
      </c>
      <c r="I56" s="17">
        <f>D56/H56*100</f>
        <v>87.608069164265117</v>
      </c>
      <c r="J56" s="17">
        <f>SQRT(I56*(100-I56)/(L56-1))</f>
        <v>1.7713463852611111</v>
      </c>
      <c r="K56" s="18">
        <f>100-I56</f>
        <v>12.391930835734883</v>
      </c>
      <c r="L56" s="1">
        <f>H45</f>
        <v>347</v>
      </c>
      <c r="M56">
        <v>1</v>
      </c>
      <c r="N56" s="1">
        <v>10351.540000000001</v>
      </c>
      <c r="O56" s="17">
        <f>N56/N60*100</f>
        <v>5.2257364011734611</v>
      </c>
      <c r="P56" s="52">
        <f>((O56*O56*(I56/100)*(K56/100))/(L56-1))</f>
        <v>8.5684445182772143E-3</v>
      </c>
      <c r="R56" t="s">
        <v>76</v>
      </c>
      <c r="S56" t="s">
        <v>28</v>
      </c>
      <c r="T56" s="57">
        <f t="shared" ref="T56:X59" si="7">C147</f>
        <v>1.698177291995141</v>
      </c>
      <c r="U56" s="57">
        <f t="shared" si="7"/>
        <v>6.8610777652806076</v>
      </c>
      <c r="V56" s="57">
        <f t="shared" si="7"/>
        <v>61.979826986445737</v>
      </c>
      <c r="W56" s="57">
        <f t="shared" si="7"/>
        <v>20.291278992920894</v>
      </c>
      <c r="X56" s="57">
        <f t="shared" si="7"/>
        <v>9.169638963357631</v>
      </c>
      <c r="Y56" s="13"/>
      <c r="Z56" s="74"/>
      <c r="AA56" s="12"/>
      <c r="AC56" t="s">
        <v>145</v>
      </c>
      <c r="AD56" s="51"/>
      <c r="AE56" s="51"/>
      <c r="AH56">
        <v>1181</v>
      </c>
      <c r="AI56">
        <v>1192</v>
      </c>
    </row>
    <row r="57" spans="1:35" x14ac:dyDescent="0.3">
      <c r="A57" t="s">
        <v>5</v>
      </c>
      <c r="B57" s="13">
        <v>2</v>
      </c>
      <c r="C57" s="33">
        <f t="shared" si="6"/>
        <v>0</v>
      </c>
      <c r="D57" s="19">
        <f t="shared" si="6"/>
        <v>2.5680433790836505</v>
      </c>
      <c r="E57" s="34">
        <f t="shared" si="6"/>
        <v>60.015173769184912</v>
      </c>
      <c r="F57" s="19">
        <f t="shared" si="6"/>
        <v>0.12840216895418255</v>
      </c>
      <c r="G57" s="20">
        <f t="shared" si="6"/>
        <v>0.20544347032669205</v>
      </c>
      <c r="H57" s="17">
        <f>SUM(C57:G57)</f>
        <v>62.917062787549433</v>
      </c>
      <c r="I57" s="17">
        <f>E57/H57*100</f>
        <v>95.387755102040828</v>
      </c>
      <c r="J57" s="17">
        <f>SQRT(I57*(100-I57)/(L57-1))</f>
        <v>0.24467430866705053</v>
      </c>
      <c r="K57" s="18">
        <f>100-I57</f>
        <v>4.6122448979591724</v>
      </c>
      <c r="L57" s="1">
        <f>H46</f>
        <v>7350</v>
      </c>
      <c r="M57">
        <v>2</v>
      </c>
      <c r="N57" s="1">
        <v>124630.95</v>
      </c>
      <c r="O57" s="17">
        <f>N57/N60*100</f>
        <v>62.91706278754944</v>
      </c>
      <c r="P57" s="52">
        <f>((O57*O57*(I57/100)*(K57/100))/(L57-1))</f>
        <v>2.3698105006944619E-2</v>
      </c>
      <c r="S57" s="66" t="s">
        <v>39</v>
      </c>
      <c r="T57" s="67">
        <f t="shared" si="7"/>
        <v>0</v>
      </c>
      <c r="U57" s="67">
        <f t="shared" si="7"/>
        <v>0.1721460717576668</v>
      </c>
      <c r="V57" s="67">
        <f t="shared" si="7"/>
        <v>0.19642442959116102</v>
      </c>
      <c r="W57" s="67">
        <f t="shared" si="7"/>
        <v>0.15409807617040361</v>
      </c>
      <c r="X57" s="67">
        <f t="shared" si="7"/>
        <v>0.13443225360321837</v>
      </c>
      <c r="AC57" t="s">
        <v>146</v>
      </c>
      <c r="AD57" s="51"/>
      <c r="AE57" s="51"/>
      <c r="AH57">
        <v>1210</v>
      </c>
      <c r="AI57">
        <v>1221</v>
      </c>
    </row>
    <row r="58" spans="1:35" x14ac:dyDescent="0.3">
      <c r="A58" t="s">
        <v>6</v>
      </c>
      <c r="B58" s="13">
        <v>3</v>
      </c>
      <c r="C58" s="33">
        <f t="shared" si="6"/>
        <v>0</v>
      </c>
      <c r="D58" s="19">
        <f t="shared" si="6"/>
        <v>6.2730401949873754E-2</v>
      </c>
      <c r="E58" s="19">
        <f t="shared" si="6"/>
        <v>0.90174952802943531</v>
      </c>
      <c r="F58" s="34">
        <f t="shared" si="6"/>
        <v>18.881850986911999</v>
      </c>
      <c r="G58" s="20">
        <f t="shared" si="6"/>
        <v>0.83901912607956142</v>
      </c>
      <c r="H58" s="17">
        <f>SUM(C58:G58)</f>
        <v>20.685350042970867</v>
      </c>
      <c r="I58" s="17">
        <f>F58/H58*100</f>
        <v>91.281273692191064</v>
      </c>
      <c r="J58" s="17">
        <f>SQRT(I58*(100-I58)/(L58-1))</f>
        <v>0.54936666480994656</v>
      </c>
      <c r="K58" s="18">
        <f>100-I58</f>
        <v>8.7187263078089359</v>
      </c>
      <c r="L58" s="1">
        <f>H47</f>
        <v>2638</v>
      </c>
      <c r="M58">
        <v>3</v>
      </c>
      <c r="N58" s="1">
        <v>40975.129999999997</v>
      </c>
      <c r="O58" s="17">
        <f>N58/N60*100</f>
        <v>20.685350042970871</v>
      </c>
      <c r="P58" s="52">
        <f>((O58*O58*(I58/100)*(K58/100))/(L58-1))</f>
        <v>1.2913689962662121E-2</v>
      </c>
      <c r="S58" t="s">
        <v>30</v>
      </c>
      <c r="T58" s="57">
        <f t="shared" si="7"/>
        <v>100</v>
      </c>
      <c r="U58" s="57">
        <f t="shared" si="7"/>
        <v>63.609558694941882</v>
      </c>
      <c r="V58" s="57">
        <f t="shared" si="7"/>
        <v>97.422133086416977</v>
      </c>
      <c r="W58" s="57">
        <f t="shared" si="7"/>
        <v>93.068242666928029</v>
      </c>
      <c r="X58" s="57">
        <f t="shared" si="7"/>
        <v>89.552076008831477</v>
      </c>
      <c r="AC58" t="s">
        <v>147</v>
      </c>
      <c r="AD58" s="51"/>
      <c r="AE58" s="51"/>
      <c r="AH58">
        <v>1239</v>
      </c>
      <c r="AI58">
        <v>1250</v>
      </c>
    </row>
    <row r="59" spans="1:35" x14ac:dyDescent="0.3">
      <c r="A59" t="s">
        <v>7</v>
      </c>
      <c r="B59" s="13">
        <v>4</v>
      </c>
      <c r="C59" s="35">
        <f t="shared" si="6"/>
        <v>0</v>
      </c>
      <c r="D59" s="36">
        <f t="shared" si="6"/>
        <v>0</v>
      </c>
      <c r="E59" s="21">
        <f t="shared" si="6"/>
        <v>1.9150758355740718E-2</v>
      </c>
      <c r="F59" s="21">
        <f t="shared" si="6"/>
        <v>1.1777716388780541</v>
      </c>
      <c r="G59" s="37">
        <f t="shared" si="6"/>
        <v>8.28270298885786</v>
      </c>
      <c r="H59" s="17">
        <f>SUM(C59:G59)</f>
        <v>9.4796253860916551</v>
      </c>
      <c r="I59" s="17">
        <f>G59/H59*100</f>
        <v>87.37373737373737</v>
      </c>
      <c r="J59" s="17">
        <f>SQRT(I59*(100-I59)/(L59-1))</f>
        <v>1.0561600107800841</v>
      </c>
      <c r="K59" s="18">
        <f>100-I59</f>
        <v>12.62626262626263</v>
      </c>
      <c r="L59" s="1">
        <f>H48</f>
        <v>990</v>
      </c>
      <c r="M59">
        <v>4</v>
      </c>
      <c r="N59" s="1">
        <v>18777.97</v>
      </c>
      <c r="O59" s="17">
        <f>N59/N60*100</f>
        <v>9.4796253860916551</v>
      </c>
      <c r="P59" s="52">
        <f>((O59*O59*(I59/100)*(K59/100))/(L59-1))</f>
        <v>1.0024016902931516E-2</v>
      </c>
      <c r="S59" s="66" t="s">
        <v>39</v>
      </c>
      <c r="T59" s="67">
        <f t="shared" si="7"/>
        <v>0</v>
      </c>
      <c r="U59" s="67">
        <f t="shared" si="7"/>
        <v>5.2187555968607127</v>
      </c>
      <c r="V59" s="67">
        <f t="shared" si="7"/>
        <v>0.20614288910580567</v>
      </c>
      <c r="W59" s="67">
        <f t="shared" si="7"/>
        <v>0.62246196602581672</v>
      </c>
      <c r="X59" s="67">
        <f t="shared" si="7"/>
        <v>1.4444165507101538</v>
      </c>
      <c r="AC59" t="s">
        <v>148</v>
      </c>
      <c r="AD59" s="51"/>
      <c r="AE59" s="51"/>
      <c r="AH59">
        <v>1268</v>
      </c>
      <c r="AI59">
        <v>1279</v>
      </c>
    </row>
    <row r="60" spans="1:35" x14ac:dyDescent="0.3">
      <c r="B60" t="s">
        <v>28</v>
      </c>
      <c r="C60" s="17">
        <f>SUM(C55:C59)</f>
        <v>1.6922253822145832</v>
      </c>
      <c r="D60" s="17">
        <f>SUM(D55:D59)</f>
        <v>7.2089405417157488</v>
      </c>
      <c r="E60" s="17">
        <f>SUM(E55:E59)</f>
        <v>61.538464418817753</v>
      </c>
      <c r="F60" s="17">
        <f>SUM(F55:F59)</f>
        <v>20.188024794744234</v>
      </c>
      <c r="G60" s="17">
        <f>SUM(G55:G59)</f>
        <v>9.3723448625076884</v>
      </c>
      <c r="H60" s="1">
        <f>SUM(H54:H59)</f>
        <v>100</v>
      </c>
      <c r="I60" s="13" t="s">
        <v>24</v>
      </c>
      <c r="J60" s="12" t="s">
        <v>29</v>
      </c>
      <c r="N60" s="1">
        <f>SUM(N55:N59)</f>
        <v>198087.67999999999</v>
      </c>
      <c r="O60" s="17">
        <f>SUM(O55:O59)</f>
        <v>100.00000000000001</v>
      </c>
      <c r="S60" s="15" t="s">
        <v>31</v>
      </c>
      <c r="T60" s="71">
        <f>I142</f>
        <v>100</v>
      </c>
      <c r="U60" s="71">
        <f>I143</f>
        <v>85.878962536023053</v>
      </c>
      <c r="V60" s="71">
        <f>I144</f>
        <v>95.56462585034015</v>
      </c>
      <c r="W60" s="71">
        <f>I145</f>
        <v>91.849886277482938</v>
      </c>
      <c r="X60" s="71">
        <f>I146</f>
        <v>86.666666666666671</v>
      </c>
      <c r="AC60" t="s">
        <v>149</v>
      </c>
      <c r="AD60" s="51"/>
      <c r="AE60" s="51"/>
      <c r="AH60">
        <v>1297</v>
      </c>
      <c r="AI60">
        <v>1308</v>
      </c>
    </row>
    <row r="61" spans="1:35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0</v>
      </c>
      <c r="D61" s="18">
        <f>SQRT(SUM((O55*O55*(D55/O55)*(1-D55/O55))/L55,(O56*O56*(D56/O56)*(1-D56/O56))/L56,(O57*O57*(D57/O57)*(1-D57/O57))/L57,(O58*O58*(D58/O58)*(1-D58/O58))/L58,(O59*O59*(D59/O59)*(1-D59/O59))/L59))</f>
        <v>0.17355031662247003</v>
      </c>
      <c r="E61" s="18">
        <f>SQRT(SUM((O55*O55*(E55/O55)*(1-E55/O55))/L55,(O56*O56*(E56/O56)*(1-E56/O56))/L56,(O57*O57*(E57/O57)*(1-E57/O57))/L57,(O58*O58*(E58/O58)*(1-E58/O58))/L58,(O59*O59*(E59/O59)*(1-E59/O59))/L59))</f>
        <v>0.19663833827356866</v>
      </c>
      <c r="F61" s="18">
        <f>SQRT(SUM((O55*O55*(F55/O55)*(1-F55/O55))/L55,(O56*O56*(F56/O56)*(1-F56/O56))/L56,(O57*O57*(F57/O57)*(1-F57/O57))/L57,(O58*O58*(F58/O58)*(1-F58/O58))/L58,(O59*O59*(F59/O59)*(1-F59/O59))/L59))</f>
        <v>0.15453849070799405</v>
      </c>
      <c r="G61" s="18">
        <f>SQRT(SUM((O55*O55*(G55/O55)*(1-G55/O55))/L55,(O56*O56*(G56/O56)*(1-G56/O56))/L56,(O57*O57*(G57/O57)*(1-G57/O57))/L57,(O58*O58*(G58/O58)*(1-G58/O58))/L58,(O59*O59*(G59/O59)*(1-G59/O59))/L59))</f>
        <v>0.13694316893422698</v>
      </c>
      <c r="H61" s="1"/>
      <c r="I61" s="14">
        <f>(C55+D56+E57+F58+G59)/H60</f>
        <v>0.9345011988785159</v>
      </c>
      <c r="J61" s="53">
        <f>SQRT(SUM(P55:P59))/100</f>
        <v>2.3495586051600304E-3</v>
      </c>
      <c r="M61" s="1"/>
      <c r="N61" s="9"/>
      <c r="S61" s="75" t="s">
        <v>39</v>
      </c>
      <c r="T61" s="76">
        <f>J142</f>
        <v>0</v>
      </c>
      <c r="U61" s="76">
        <f>J143</f>
        <v>1.8721414026762528</v>
      </c>
      <c r="V61" s="76">
        <f>J144</f>
        <v>0.2401593993496848</v>
      </c>
      <c r="W61" s="76">
        <f>J145</f>
        <v>0.53280228772143301</v>
      </c>
      <c r="X61" s="76">
        <f>J146</f>
        <v>1.0809292502472099</v>
      </c>
      <c r="AC61" t="s">
        <v>150</v>
      </c>
      <c r="AD61" s="51"/>
      <c r="AE61" s="51"/>
      <c r="AH61">
        <v>1326</v>
      </c>
      <c r="AI61">
        <v>1337</v>
      </c>
    </row>
    <row r="62" spans="1:35" x14ac:dyDescent="0.3">
      <c r="B62" s="1" t="s">
        <v>30</v>
      </c>
      <c r="C62" s="17">
        <f>C55/C60*100</f>
        <v>100</v>
      </c>
      <c r="D62" s="17">
        <f>D56/D60*100</f>
        <v>63.506790411016603</v>
      </c>
      <c r="E62" s="17">
        <f>E57/E60*100</f>
        <v>97.524652810207215</v>
      </c>
      <c r="F62" s="17">
        <f>F58/F60*100</f>
        <v>93.529957382595029</v>
      </c>
      <c r="G62" s="17">
        <f>G59/G60*100</f>
        <v>88.373860654565362</v>
      </c>
      <c r="H62" s="1"/>
      <c r="S62" s="66" t="s">
        <v>56</v>
      </c>
      <c r="T62" s="67">
        <f>N131*100</f>
        <v>100</v>
      </c>
      <c r="U62" s="67">
        <f>N132*100</f>
        <v>63.675213675213669</v>
      </c>
      <c r="V62" s="67">
        <f>N133*100</f>
        <v>96.636169773680948</v>
      </c>
      <c r="W62" s="67">
        <f>N134*100</f>
        <v>93.013435700575826</v>
      </c>
      <c r="X62" s="67">
        <f>N135*100</f>
        <v>87.239450940518566</v>
      </c>
      <c r="AC62" t="s">
        <v>151</v>
      </c>
      <c r="AD62" s="51"/>
      <c r="AE62" s="51"/>
      <c r="AH62">
        <v>1355</v>
      </c>
      <c r="AI62">
        <v>1366</v>
      </c>
    </row>
    <row r="63" spans="1:35" x14ac:dyDescent="0.3">
      <c r="B63" s="16" t="s">
        <v>39</v>
      </c>
      <c r="C63" s="18">
        <f>SQRT((C66+C67)/(C60*C60))</f>
        <v>0</v>
      </c>
      <c r="D63" s="18">
        <f>SQRT((D66+D67)/(D60*D60))</f>
        <v>4.8612947060458662</v>
      </c>
      <c r="E63" s="18">
        <f>SQRT((E66+E67)/(E60*E60))</f>
        <v>0.20371864730379502</v>
      </c>
      <c r="F63" s="18">
        <f>SQRT((F66+F67)/(F60*F60))</f>
        <v>0.60695305271146316</v>
      </c>
      <c r="G63" s="18">
        <f>SQRT((G66+G67)/(G60*G60))</f>
        <v>1.5231248578036853</v>
      </c>
      <c r="H63" s="1"/>
      <c r="R63" s="16" t="s">
        <v>66</v>
      </c>
      <c r="S63" t="s">
        <v>9</v>
      </c>
      <c r="T63" s="30">
        <f>N142</f>
        <v>3363.88</v>
      </c>
      <c r="U63" s="30">
        <f>N143</f>
        <v>10066.66</v>
      </c>
      <c r="V63" s="30">
        <f>N144</f>
        <v>125160.79</v>
      </c>
      <c r="W63" s="30">
        <f>N145</f>
        <v>40727.69</v>
      </c>
      <c r="X63" s="30">
        <f>N146</f>
        <v>18768.66</v>
      </c>
      <c r="Z63" t="s">
        <v>36</v>
      </c>
      <c r="AA63" s="1">
        <f>N147</f>
        <v>198087.67999999999</v>
      </c>
      <c r="AC63" t="s">
        <v>152</v>
      </c>
      <c r="AD63" s="51"/>
      <c r="AE63" s="51"/>
      <c r="AH63">
        <v>1384</v>
      </c>
      <c r="AI63">
        <v>1395</v>
      </c>
    </row>
    <row r="64" spans="1:35" ht="15.6" x14ac:dyDescent="0.35">
      <c r="B64" s="1" t="s">
        <v>37</v>
      </c>
      <c r="C64" s="18">
        <f>100-C62</f>
        <v>0</v>
      </c>
      <c r="D64" s="18">
        <f>100-D62</f>
        <v>36.493209588983397</v>
      </c>
      <c r="E64" s="18">
        <f>100-E62</f>
        <v>2.4753471897927852</v>
      </c>
      <c r="F64" s="18">
        <f>100-F62</f>
        <v>6.470042617404971</v>
      </c>
      <c r="G64" s="18">
        <f>100-G62</f>
        <v>11.626139345434638</v>
      </c>
      <c r="R64" s="16" t="s">
        <v>323</v>
      </c>
      <c r="S64" t="s">
        <v>68</v>
      </c>
      <c r="T64" s="57">
        <f>$AA63*T56/100</f>
        <v>3363.8800000000006</v>
      </c>
      <c r="U64" s="57">
        <f>$AA63*U56/100</f>
        <v>13590.9497682402</v>
      </c>
      <c r="V64" s="57">
        <f>$AA63*V56/100</f>
        <v>122774.40134546427</v>
      </c>
      <c r="W64" s="57">
        <f>$AA63*W56/100</f>
        <v>40194.523799404364</v>
      </c>
      <c r="X64" s="57">
        <f>$AA63*X56/100</f>
        <v>18163.92508689118</v>
      </c>
      <c r="Z64" t="s">
        <v>36</v>
      </c>
      <c r="AA64" s="25">
        <f>SUM(T64:X64)</f>
        <v>198087.68000000002</v>
      </c>
      <c r="AC64" t="s">
        <v>153</v>
      </c>
      <c r="AD64" s="51"/>
      <c r="AE64" s="51"/>
      <c r="AH64">
        <v>1413</v>
      </c>
      <c r="AI64">
        <v>1424</v>
      </c>
    </row>
    <row r="65" spans="1:51" ht="15.6" x14ac:dyDescent="0.35">
      <c r="B65" s="1" t="s">
        <v>25</v>
      </c>
      <c r="C65" s="1">
        <f>C49</f>
        <v>259</v>
      </c>
      <c r="D65" s="1">
        <f>D49</f>
        <v>612</v>
      </c>
      <c r="E65" s="1">
        <f>E49</f>
        <v>7168</v>
      </c>
      <c r="F65" s="1">
        <f>F49</f>
        <v>2546</v>
      </c>
      <c r="G65" s="1">
        <f>G49</f>
        <v>999</v>
      </c>
      <c r="R65" s="66"/>
      <c r="S65" s="66" t="s">
        <v>67</v>
      </c>
      <c r="T65" s="67">
        <f>$AA63*T57/100</f>
        <v>0</v>
      </c>
      <c r="U65" s="67">
        <f>$AA63*U57/100</f>
        <v>341.00015975589741</v>
      </c>
      <c r="V65" s="67">
        <f>$AA63*V57/100</f>
        <v>389.09259553036435</v>
      </c>
      <c r="W65" s="67">
        <f>$AA63*W57/100</f>
        <v>305.24930401058532</v>
      </c>
      <c r="X65" s="67">
        <f>$AA63*X57/100</f>
        <v>266.29373233433165</v>
      </c>
      <c r="AA65" s="1"/>
      <c r="AC65" t="s">
        <v>154</v>
      </c>
      <c r="AD65" s="51"/>
      <c r="AE65" s="51"/>
      <c r="AH65">
        <v>1442</v>
      </c>
      <c r="AI65">
        <v>1453</v>
      </c>
    </row>
    <row r="66" spans="1:51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1141.1063226579272</v>
      </c>
      <c r="E66" s="18">
        <f>(O57*O57*(100-E62)*(100-E62)*(I57)*(100-I57))/((L57-1)*100)</f>
        <v>14.520643465357804</v>
      </c>
      <c r="F66" s="18">
        <f>(O58*O58*(100-F62)*(100-F62)*(I58)*(100-I58))/((L58-1)*100)</f>
        <v>54.058580568399243</v>
      </c>
      <c r="G66" s="18">
        <f>(O59*O59*(100-G62)*(100-G62)*(I59)*(100-I59))/((L59-1)*100)</f>
        <v>135.4917456301047</v>
      </c>
      <c r="R66" t="s">
        <v>98</v>
      </c>
      <c r="S66" t="s">
        <v>28</v>
      </c>
      <c r="T66" s="57">
        <f>C176</f>
        <v>1.6895397881150298</v>
      </c>
      <c r="U66" s="57">
        <f t="shared" ref="U66:X69" si="8">D176</f>
        <v>6.940556951893976</v>
      </c>
      <c r="V66" s="57">
        <f t="shared" si="8"/>
        <v>62.116505778387094</v>
      </c>
      <c r="W66" s="57">
        <f t="shared" si="8"/>
        <v>19.935973666293503</v>
      </c>
      <c r="X66" s="57">
        <f t="shared" si="8"/>
        <v>9.3174238153103985</v>
      </c>
      <c r="Y66" s="13"/>
      <c r="Z66" s="74"/>
      <c r="AA66" s="12"/>
      <c r="AC66" t="s">
        <v>163</v>
      </c>
      <c r="AD66" s="51"/>
      <c r="AE66" s="51"/>
      <c r="AH66" s="78"/>
    </row>
    <row r="67" spans="1:51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87.03059740771775</v>
      </c>
      <c r="E67" s="18">
        <f>E62*E62*(SUM((H55*E55*(1-E44/H44))/(H44-1),(H56*E56*(1-E45/H45))/(H45-1), (H58*E58*(1-E47/H47))/(H47-1),(H59*E59*(1-E48/H48))/(H48-1)))</f>
        <v>142.64400938875465</v>
      </c>
      <c r="F67" s="18">
        <f>F62*F62*(SUM((H55*F55*(1-F44/H44))/(H44-1),(H56*F56*(1-F45/H45))/(H45-1), (H57*F57*(1-F46/H46))/(H46-1),(H59*F59*(1-F48/H48))/(H48-1)))</f>
        <v>96.081919860781326</v>
      </c>
      <c r="G67" s="18">
        <f>G62*G62*(SUM((H55*G55*(1-G44/H44))/(H44-1),(H56*G56*(1-G45/H45))/(H45-1), (H57*G57*(1-G46/H46))/(H46-1),(H58*G58*(1-G47/H47))/(H47-1)))</f>
        <v>68.291057930747613</v>
      </c>
      <c r="S67" s="66" t="s">
        <v>39</v>
      </c>
      <c r="T67" s="67">
        <f>C177</f>
        <v>0</v>
      </c>
      <c r="U67" s="67">
        <f t="shared" si="8"/>
        <v>0.17089171776494033</v>
      </c>
      <c r="V67" s="67">
        <f t="shared" si="8"/>
        <v>0.19428361665853586</v>
      </c>
      <c r="W67" s="67">
        <f t="shared" si="8"/>
        <v>0.15616578509745094</v>
      </c>
      <c r="X67" s="67">
        <f t="shared" si="8"/>
        <v>0.13847729991198418</v>
      </c>
      <c r="AC67" t="s">
        <v>164</v>
      </c>
      <c r="AD67" s="51"/>
      <c r="AE67" s="51"/>
      <c r="AI67" s="78"/>
    </row>
    <row r="68" spans="1:51" x14ac:dyDescent="0.3">
      <c r="S68" t="s">
        <v>30</v>
      </c>
      <c r="T68" s="57">
        <f>C178</f>
        <v>100</v>
      </c>
      <c r="U68" s="57">
        <f t="shared" si="8"/>
        <v>63.747340822409129</v>
      </c>
      <c r="V68" s="57">
        <f t="shared" si="8"/>
        <v>97.498185486594124</v>
      </c>
      <c r="W68" s="57">
        <f t="shared" si="8"/>
        <v>93.063442909300861</v>
      </c>
      <c r="X68" s="57">
        <f t="shared" si="8"/>
        <v>88.348637876355269</v>
      </c>
      <c r="AC68" t="s">
        <v>165</v>
      </c>
      <c r="AD68" s="51"/>
      <c r="AE68" s="51"/>
      <c r="AH68" s="2"/>
      <c r="AI68" s="2"/>
    </row>
    <row r="69" spans="1:51" x14ac:dyDescent="0.3">
      <c r="S69" s="66" t="s">
        <v>39</v>
      </c>
      <c r="T69" s="67">
        <f>C179</f>
        <v>0</v>
      </c>
      <c r="U69" s="67">
        <f t="shared" si="8"/>
        <v>4.975445306923814</v>
      </c>
      <c r="V69" s="67">
        <f t="shared" si="8"/>
        <v>0.20194547516499561</v>
      </c>
      <c r="W69" s="67">
        <f t="shared" si="8"/>
        <v>0.63841406013621715</v>
      </c>
      <c r="X69" s="67">
        <f t="shared" si="8"/>
        <v>1.563461674929699</v>
      </c>
      <c r="AC69" t="s">
        <v>166</v>
      </c>
      <c r="AD69" s="51"/>
      <c r="AE69" s="51"/>
    </row>
    <row r="70" spans="1:51" x14ac:dyDescent="0.3">
      <c r="A70" s="361" t="s">
        <v>461</v>
      </c>
      <c r="B70" s="361"/>
      <c r="C70" s="361"/>
      <c r="D70" s="361"/>
      <c r="E70" s="361"/>
      <c r="F70" s="361"/>
      <c r="G70" s="361"/>
      <c r="H70" s="361"/>
      <c r="I70" s="361"/>
      <c r="J70" s="361"/>
      <c r="K70" s="361"/>
      <c r="L70" s="361" t="s">
        <v>61</v>
      </c>
      <c r="M70" s="361"/>
      <c r="N70" s="361"/>
      <c r="O70" s="361"/>
      <c r="P70" s="361"/>
      <c r="S70" s="15" t="s">
        <v>31</v>
      </c>
      <c r="T70" s="71">
        <f>I171</f>
        <v>100</v>
      </c>
      <c r="U70" s="71">
        <f>I172</f>
        <v>87.031700288184439</v>
      </c>
      <c r="V70" s="71">
        <f>I173</f>
        <v>95.646258503401356</v>
      </c>
      <c r="W70" s="71">
        <f>I174</f>
        <v>91.053828658074281</v>
      </c>
      <c r="X70" s="71">
        <f>I175</f>
        <v>86.36363636363636</v>
      </c>
      <c r="AC70" t="s">
        <v>167</v>
      </c>
      <c r="AD70" s="51"/>
      <c r="AE70" s="51"/>
      <c r="AH70" s="2"/>
      <c r="AI70" s="2"/>
    </row>
    <row r="71" spans="1:51" x14ac:dyDescent="0.3">
      <c r="A71" t="s">
        <v>320</v>
      </c>
      <c r="B71" t="s">
        <v>21</v>
      </c>
      <c r="I71" s="1" t="s">
        <v>58</v>
      </c>
      <c r="O71" s="143"/>
      <c r="P71" s="143"/>
      <c r="S71" s="75" t="s">
        <v>39</v>
      </c>
      <c r="T71" s="76">
        <f>J171</f>
        <v>0</v>
      </c>
      <c r="U71" s="76">
        <f>J172</f>
        <v>1.8061017115288707</v>
      </c>
      <c r="V71" s="76">
        <f>J173</f>
        <v>0.23804068365697986</v>
      </c>
      <c r="W71" s="76">
        <f>J174</f>
        <v>0.5557924550888278</v>
      </c>
      <c r="X71" s="76">
        <f>J175</f>
        <v>1.0912307642300259</v>
      </c>
      <c r="AC71" t="s">
        <v>168</v>
      </c>
      <c r="AD71" s="51"/>
      <c r="AE71" s="51"/>
    </row>
    <row r="72" spans="1:51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56</v>
      </c>
      <c r="O72" s="13"/>
      <c r="P72" s="13"/>
      <c r="S72" s="66" t="s">
        <v>56</v>
      </c>
      <c r="T72" s="67">
        <f>N160*100</f>
        <v>100</v>
      </c>
      <c r="U72" s="67">
        <f>N161*100</f>
        <v>64.118895966029726</v>
      </c>
      <c r="V72" s="67">
        <f>N162*100</f>
        <v>96.69211195928753</v>
      </c>
      <c r="W72" s="67">
        <f>N163*100</f>
        <v>92.651880424300884</v>
      </c>
      <c r="X72" s="67">
        <f>N164*100</f>
        <v>86.276488395560037</v>
      </c>
      <c r="AC72" t="s">
        <v>159</v>
      </c>
      <c r="AD72" s="51"/>
      <c r="AE72" s="51"/>
      <c r="AH72" s="2"/>
      <c r="AI72" s="2"/>
    </row>
    <row r="73" spans="1:51" x14ac:dyDescent="0.3">
      <c r="A73" t="s">
        <v>3</v>
      </c>
      <c r="B73" s="13">
        <v>0</v>
      </c>
      <c r="C73" s="26">
        <v>259</v>
      </c>
      <c r="D73" s="3">
        <v>0</v>
      </c>
      <c r="E73" s="3">
        <v>0</v>
      </c>
      <c r="F73" s="3">
        <v>0</v>
      </c>
      <c r="G73" s="4">
        <v>0</v>
      </c>
      <c r="H73" s="1">
        <f>SUM(C73:G73)</f>
        <v>259</v>
      </c>
      <c r="I73" s="10">
        <f>C73/H73</f>
        <v>1</v>
      </c>
      <c r="J73" s="11">
        <f>1-I73</f>
        <v>0</v>
      </c>
      <c r="K73">
        <f>H73-C78</f>
        <v>0</v>
      </c>
      <c r="N73" s="10">
        <f>2*(C79*I73)/(C79+I73)</f>
        <v>1</v>
      </c>
      <c r="O73" s="1"/>
      <c r="P73" s="1"/>
      <c r="R73" s="16" t="s">
        <v>66</v>
      </c>
      <c r="S73" t="s">
        <v>9</v>
      </c>
      <c r="T73" s="1">
        <f>N171</f>
        <v>3346.77</v>
      </c>
      <c r="U73" s="1">
        <f>N172</f>
        <v>10070.16</v>
      </c>
      <c r="V73" s="1">
        <f>N173</f>
        <v>125427.57</v>
      </c>
      <c r="W73" s="1">
        <f>N174</f>
        <v>40362.29</v>
      </c>
      <c r="X73" s="1">
        <f>N175</f>
        <v>18880.88</v>
      </c>
      <c r="Z73" t="s">
        <v>36</v>
      </c>
      <c r="AA73" s="1">
        <f>N176</f>
        <v>198087.67</v>
      </c>
      <c r="AC73" t="s">
        <v>169</v>
      </c>
      <c r="AD73" s="51"/>
      <c r="AE73" s="51"/>
    </row>
    <row r="74" spans="1:51" ht="15.6" x14ac:dyDescent="0.35">
      <c r="A74" t="s">
        <v>4</v>
      </c>
      <c r="B74" s="13">
        <v>1</v>
      </c>
      <c r="C74" s="5">
        <v>0</v>
      </c>
      <c r="D74" s="27">
        <v>298</v>
      </c>
      <c r="E74" s="1">
        <v>46</v>
      </c>
      <c r="F74" s="1">
        <v>0</v>
      </c>
      <c r="G74" s="6">
        <v>3</v>
      </c>
      <c r="H74" s="1">
        <f>SUM(C74:G74)</f>
        <v>347</v>
      </c>
      <c r="I74" s="10">
        <f>D74/H74</f>
        <v>0.85878962536023051</v>
      </c>
      <c r="J74" s="11">
        <f>1-I74</f>
        <v>0.14121037463976949</v>
      </c>
      <c r="K74">
        <f>H74-D78</f>
        <v>-230</v>
      </c>
      <c r="N74" s="10">
        <f>2*(D79*I74)/(D79+I74)</f>
        <v>0.64502164502164494</v>
      </c>
      <c r="O74" s="1"/>
      <c r="P74" s="1"/>
      <c r="R74" s="16" t="s">
        <v>323</v>
      </c>
      <c r="S74" t="s">
        <v>68</v>
      </c>
      <c r="T74" s="57">
        <f>$AA73*T66/100</f>
        <v>3346.7699999999995</v>
      </c>
      <c r="U74" s="57">
        <f>$AA73*U66/100</f>
        <v>13748.3875510298</v>
      </c>
      <c r="V74" s="57">
        <f>$AA73*V66/100</f>
        <v>123045.13898182235</v>
      </c>
      <c r="W74" s="57">
        <f>$AA73*W66/100</f>
        <v>39490.705727374378</v>
      </c>
      <c r="X74" s="57">
        <f>$AA73*X66/100</f>
        <v>18456.667739773471</v>
      </c>
      <c r="Z74" t="s">
        <v>36</v>
      </c>
      <c r="AA74" s="25">
        <f>SUM(T74:X74)</f>
        <v>198087.67</v>
      </c>
      <c r="AC74" t="s">
        <v>170</v>
      </c>
      <c r="AD74" s="51"/>
      <c r="AE74" s="51"/>
      <c r="AH74" s="2"/>
      <c r="AI74" s="2"/>
    </row>
    <row r="75" spans="1:51" x14ac:dyDescent="0.3">
      <c r="A75" t="s">
        <v>5</v>
      </c>
      <c r="B75" s="13">
        <v>2</v>
      </c>
      <c r="C75" s="5">
        <v>0</v>
      </c>
      <c r="D75" s="1">
        <v>271</v>
      </c>
      <c r="E75" s="27">
        <v>7040</v>
      </c>
      <c r="F75" s="1">
        <v>15</v>
      </c>
      <c r="G75" s="6">
        <v>24</v>
      </c>
      <c r="H75" s="1">
        <f>SUM(C75:G75)</f>
        <v>7350</v>
      </c>
      <c r="I75" s="10">
        <f>E75/H75</f>
        <v>0.95782312925170066</v>
      </c>
      <c r="J75" s="11">
        <f>1-I75</f>
        <v>4.2176870748299344E-2</v>
      </c>
      <c r="K75">
        <f>H75-E78</f>
        <v>151</v>
      </c>
      <c r="N75" s="10">
        <f>2*(E79*I75)/(E79+I75)</f>
        <v>0.96776410749879715</v>
      </c>
      <c r="O75" s="1"/>
      <c r="P75" s="1"/>
      <c r="R75" s="66"/>
      <c r="S75" s="66" t="s">
        <v>67</v>
      </c>
      <c r="T75" s="67">
        <f>$AA73*T67/100</f>
        <v>0</v>
      </c>
      <c r="U75" s="67">
        <f>$AA73*U67/100</f>
        <v>338.51542194354641</v>
      </c>
      <c r="V75" s="67">
        <f>$AA73*V67/100</f>
        <v>384.85188943062553</v>
      </c>
      <c r="W75" s="67">
        <f>$AA73*W67/100</f>
        <v>309.3451650367478</v>
      </c>
      <c r="X75" s="67">
        <f>$AA73*X67/100</f>
        <v>274.30645687456149</v>
      </c>
      <c r="AA75" s="1"/>
      <c r="AC75" t="s">
        <v>171</v>
      </c>
      <c r="AD75" s="51"/>
      <c r="AE75" s="51"/>
    </row>
    <row r="76" spans="1:51" x14ac:dyDescent="0.3">
      <c r="A76" t="s">
        <v>6</v>
      </c>
      <c r="B76" s="13">
        <v>3</v>
      </c>
      <c r="C76" s="5">
        <v>0</v>
      </c>
      <c r="D76" s="1">
        <v>8</v>
      </c>
      <c r="E76" s="1">
        <v>109</v>
      </c>
      <c r="F76" s="27">
        <v>2427</v>
      </c>
      <c r="G76" s="6">
        <v>94</v>
      </c>
      <c r="H76" s="1">
        <f>SUM(C76:G76)</f>
        <v>2638</v>
      </c>
      <c r="I76" s="10">
        <f>F76/H76</f>
        <v>0.92001516300227448</v>
      </c>
      <c r="J76" s="11">
        <f>1-I76</f>
        <v>7.9984836997725517E-2</v>
      </c>
      <c r="K76">
        <f>H76-F78</f>
        <v>64</v>
      </c>
      <c r="N76" s="10">
        <f>2*(F79*I76)/(F79+I76)</f>
        <v>0.93131235610130469</v>
      </c>
      <c r="O76" s="1"/>
      <c r="P76" s="1"/>
      <c r="R76" t="s">
        <v>99</v>
      </c>
      <c r="S76" t="s">
        <v>28</v>
      </c>
      <c r="T76" s="57">
        <f>C205</f>
        <v>1.7286284538240839</v>
      </c>
      <c r="U76" s="57">
        <f t="shared" ref="U76:X79" si="9">D205</f>
        <v>7.2265145208663029</v>
      </c>
      <c r="V76" s="57">
        <f t="shared" si="9"/>
        <v>61.862244115207076</v>
      </c>
      <c r="W76" s="57">
        <f t="shared" si="9"/>
        <v>20.076626613090845</v>
      </c>
      <c r="X76" s="57">
        <f t="shared" si="9"/>
        <v>9.1059862970116807</v>
      </c>
      <c r="AC76" t="s">
        <v>172</v>
      </c>
      <c r="AD76" s="51"/>
      <c r="AE76" s="51"/>
      <c r="AH76" s="78"/>
      <c r="AI76" s="78"/>
    </row>
    <row r="77" spans="1:51" x14ac:dyDescent="0.3">
      <c r="A77" t="s">
        <v>7</v>
      </c>
      <c r="B77" s="13">
        <v>4</v>
      </c>
      <c r="C77" s="7">
        <v>0</v>
      </c>
      <c r="D77" s="8">
        <v>0</v>
      </c>
      <c r="E77" s="8">
        <v>4</v>
      </c>
      <c r="F77" s="8">
        <v>132</v>
      </c>
      <c r="G77" s="28">
        <v>854</v>
      </c>
      <c r="H77" s="1">
        <f>SUM(C77:G77)</f>
        <v>990</v>
      </c>
      <c r="I77" s="10">
        <f>G77/H77</f>
        <v>0.86262626262626263</v>
      </c>
      <c r="J77" s="11">
        <f>1-I77</f>
        <v>0.13737373737373737</v>
      </c>
      <c r="K77">
        <f>H77-G78</f>
        <v>15</v>
      </c>
      <c r="N77" s="10">
        <f>2*(G79*I77)/(G79+I77)</f>
        <v>0.86921119592875318</v>
      </c>
      <c r="O77" s="1"/>
      <c r="P77" s="1"/>
      <c r="S77" s="66" t="s">
        <v>39</v>
      </c>
      <c r="T77" s="67">
        <f>C206</f>
        <v>0</v>
      </c>
      <c r="U77" s="67">
        <f t="shared" si="9"/>
        <v>0.17297058738571364</v>
      </c>
      <c r="V77" s="67">
        <f t="shared" si="9"/>
        <v>0.19615180053669101</v>
      </c>
      <c r="W77" s="67">
        <f t="shared" si="9"/>
        <v>0.15171585809420446</v>
      </c>
      <c r="X77" s="67">
        <f t="shared" si="9"/>
        <v>0.13532748466634162</v>
      </c>
      <c r="AC77" t="s">
        <v>173</v>
      </c>
      <c r="AD77" s="51"/>
      <c r="AE77" s="51"/>
    </row>
    <row r="78" spans="1:51" ht="15.6" x14ac:dyDescent="0.35">
      <c r="B78" s="1" t="s">
        <v>19</v>
      </c>
      <c r="C78" s="1">
        <f>SUM(C73:C77)</f>
        <v>259</v>
      </c>
      <c r="D78" s="1">
        <f>SUM(D73:D77)</f>
        <v>577</v>
      </c>
      <c r="E78" s="1">
        <f>SUM(E73:E77)</f>
        <v>7199</v>
      </c>
      <c r="F78" s="1">
        <f>SUM(F73:F77)</f>
        <v>2574</v>
      </c>
      <c r="G78" s="1">
        <f>SUM(G73:G77)</f>
        <v>975</v>
      </c>
      <c r="H78" s="1">
        <f>SUM(H72:H77)</f>
        <v>11584</v>
      </c>
      <c r="I78" s="13" t="s">
        <v>12</v>
      </c>
      <c r="N78" s="16"/>
      <c r="O78" s="1"/>
      <c r="P78" s="1"/>
      <c r="S78" s="70" t="s">
        <v>30</v>
      </c>
      <c r="T78" s="64">
        <f>C207</f>
        <v>100</v>
      </c>
      <c r="U78" s="64">
        <f t="shared" si="9"/>
        <v>63.955991771136489</v>
      </c>
      <c r="V78" s="64">
        <f t="shared" si="9"/>
        <v>97.484250089613397</v>
      </c>
      <c r="W78" s="64">
        <f t="shared" si="9"/>
        <v>93.595636467409904</v>
      </c>
      <c r="X78" s="64">
        <f t="shared" si="9"/>
        <v>88.854992871708532</v>
      </c>
      <c r="AC78" t="s">
        <v>174</v>
      </c>
      <c r="AD78" s="51"/>
      <c r="AE78" s="51"/>
      <c r="AH78" s="78"/>
      <c r="AI78" s="78"/>
    </row>
    <row r="79" spans="1:51" x14ac:dyDescent="0.3">
      <c r="A79" s="1" t="s">
        <v>321</v>
      </c>
      <c r="B79" s="1" t="s">
        <v>2</v>
      </c>
      <c r="C79" s="10">
        <f>C73/C78</f>
        <v>1</v>
      </c>
      <c r="D79" s="10">
        <f>D74/D78</f>
        <v>0.5164644714038128</v>
      </c>
      <c r="E79" s="10">
        <f>E75/E78</f>
        <v>0.97791359911098763</v>
      </c>
      <c r="F79" s="10">
        <f>F76/F78</f>
        <v>0.94289044289044288</v>
      </c>
      <c r="G79" s="10">
        <f>G77/G78</f>
        <v>0.87589743589743585</v>
      </c>
      <c r="H79" s="10"/>
      <c r="I79" s="14">
        <f>(C73+D74+E75+F76+G77)/H78</f>
        <v>0.93905386740331487</v>
      </c>
      <c r="S79" s="66" t="s">
        <v>39</v>
      </c>
      <c r="T79" s="67">
        <f>C208</f>
        <v>0</v>
      </c>
      <c r="U79" s="67">
        <f t="shared" si="9"/>
        <v>4.7779995858679865</v>
      </c>
      <c r="V79" s="67">
        <f t="shared" si="9"/>
        <v>0.20461614390463836</v>
      </c>
      <c r="W79" s="67">
        <f t="shared" si="9"/>
        <v>0.59747387433855437</v>
      </c>
      <c r="X79" s="67">
        <f t="shared" si="9"/>
        <v>1.5184874960734116</v>
      </c>
      <c r="AC79" t="s">
        <v>175</v>
      </c>
      <c r="AD79" s="51"/>
      <c r="AE79" s="51"/>
    </row>
    <row r="80" spans="1:51" x14ac:dyDescent="0.3">
      <c r="B80" s="1" t="s">
        <v>14</v>
      </c>
      <c r="C80" s="11">
        <f>1-C79</f>
        <v>0</v>
      </c>
      <c r="D80" s="11">
        <f>1-D79</f>
        <v>0.4835355285961872</v>
      </c>
      <c r="E80" s="11">
        <f>1-E79</f>
        <v>2.208640088901237E-2</v>
      </c>
      <c r="F80" s="11">
        <f>1-F79</f>
        <v>5.7109557109557119E-2</v>
      </c>
      <c r="G80" s="11">
        <f>1-G79</f>
        <v>0.12410256410256415</v>
      </c>
      <c r="S80" s="70" t="s">
        <v>31</v>
      </c>
      <c r="T80" s="64">
        <f>I200</f>
        <v>100</v>
      </c>
      <c r="U80" s="64">
        <f>I201</f>
        <v>87.896253602305478</v>
      </c>
      <c r="V80" s="64">
        <f>I202</f>
        <v>95.523809523809518</v>
      </c>
      <c r="W80" s="64">
        <f>I203</f>
        <v>91.508718726307819</v>
      </c>
      <c r="X80" s="64">
        <f>I204</f>
        <v>86.565656565656568</v>
      </c>
      <c r="AC80" t="s">
        <v>176</v>
      </c>
      <c r="AD80" s="51"/>
      <c r="AE80" s="51"/>
      <c r="AH80" s="78"/>
      <c r="AI80" s="78"/>
      <c r="AJ80" s="361" t="s">
        <v>462</v>
      </c>
      <c r="AK80" s="361"/>
      <c r="AL80" s="361"/>
      <c r="AM80" s="361"/>
      <c r="AN80" s="361"/>
      <c r="AO80" s="361"/>
      <c r="AP80" s="361"/>
      <c r="AQ80" s="361"/>
      <c r="AR80" s="361"/>
      <c r="AS80" s="361"/>
      <c r="AT80" s="361"/>
      <c r="AU80" s="361" t="s">
        <v>374</v>
      </c>
      <c r="AV80" s="361"/>
      <c r="AW80" s="361"/>
      <c r="AX80" s="361"/>
      <c r="AY80" s="361"/>
    </row>
    <row r="81" spans="1:51" x14ac:dyDescent="0.3">
      <c r="C81" s="2"/>
      <c r="S81" s="66" t="s">
        <v>39</v>
      </c>
      <c r="T81" s="67">
        <f>J200</f>
        <v>0</v>
      </c>
      <c r="U81" s="67">
        <f>J201</f>
        <v>1.7535051296256741</v>
      </c>
      <c r="V81" s="67">
        <f>J202</f>
        <v>0.24121036881683383</v>
      </c>
      <c r="W81" s="67">
        <f>J203</f>
        <v>0.54282868085058522</v>
      </c>
      <c r="X81" s="67">
        <f>J204</f>
        <v>1.0843834758386202</v>
      </c>
      <c r="AC81" t="s">
        <v>177</v>
      </c>
      <c r="AD81" s="51"/>
      <c r="AE81" s="51"/>
      <c r="AJ81" t="s">
        <v>320</v>
      </c>
      <c r="AK81" t="s">
        <v>21</v>
      </c>
      <c r="AR81" s="1" t="s">
        <v>58</v>
      </c>
    </row>
    <row r="82" spans="1:51" ht="15.6" x14ac:dyDescent="0.35">
      <c r="A82" t="s">
        <v>322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56</v>
      </c>
      <c r="T82" s="65">
        <f>N189*100</f>
        <v>100</v>
      </c>
      <c r="U82" s="65">
        <f>N190*100</f>
        <v>63.807531380753147</v>
      </c>
      <c r="V82" s="65">
        <f>N191*100</f>
        <v>96.628131021194605</v>
      </c>
      <c r="W82" s="65">
        <f>N192*100</f>
        <v>93.042975525149359</v>
      </c>
      <c r="X82" s="65">
        <f>N193*100</f>
        <v>86.872782564622426</v>
      </c>
      <c r="Z82" s="46"/>
      <c r="AA82" s="46"/>
      <c r="AC82" t="s">
        <v>178</v>
      </c>
      <c r="AD82" s="51"/>
      <c r="AE82" s="51"/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56</v>
      </c>
    </row>
    <row r="83" spans="1:51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66</v>
      </c>
      <c r="S83" t="s">
        <v>9</v>
      </c>
      <c r="T83" s="30">
        <f>N200</f>
        <v>3424.2</v>
      </c>
      <c r="U83" s="30">
        <f>N201</f>
        <v>10415.91</v>
      </c>
      <c r="V83" s="30">
        <f>N202</f>
        <v>125056.41</v>
      </c>
      <c r="W83" s="30">
        <f>N203</f>
        <v>40676.29</v>
      </c>
      <c r="X83" s="30">
        <f>N204</f>
        <v>18514.87</v>
      </c>
      <c r="Z83" t="s">
        <v>36</v>
      </c>
      <c r="AA83" s="1">
        <f>N205</f>
        <v>198087.68000000002</v>
      </c>
      <c r="AC83" t="s">
        <v>179</v>
      </c>
      <c r="AD83" s="51"/>
      <c r="AE83" s="51"/>
      <c r="AJ83" t="s">
        <v>3</v>
      </c>
      <c r="AK83" s="13">
        <v>0</v>
      </c>
      <c r="AL83" s="26">
        <v>259</v>
      </c>
      <c r="AM83" s="3">
        <v>0</v>
      </c>
      <c r="AN83" s="3">
        <v>0</v>
      </c>
      <c r="AO83" s="3">
        <v>0</v>
      </c>
      <c r="AP83" s="4">
        <v>0</v>
      </c>
      <c r="AQ83" s="1">
        <f>SUM(AL83:AP83)</f>
        <v>259</v>
      </c>
      <c r="AR83" s="10">
        <f>AL83/AQ83</f>
        <v>1</v>
      </c>
      <c r="AS83" s="11">
        <f>1-AR83</f>
        <v>0</v>
      </c>
      <c r="AT83">
        <f>AQ83-AL88</f>
        <v>0</v>
      </c>
      <c r="AW83" s="10">
        <f>2*(AL89*AR83)/(AL89+AR83)</f>
        <v>1</v>
      </c>
    </row>
    <row r="84" spans="1:51" ht="15.6" x14ac:dyDescent="0.35">
      <c r="A84" t="s">
        <v>3</v>
      </c>
      <c r="B84" s="13">
        <v>0</v>
      </c>
      <c r="C84" s="29">
        <f>(C73/$L84)*$O84</f>
        <v>1.7237922986322165</v>
      </c>
      <c r="D84" s="31">
        <f>(D73/$L84)*$O84</f>
        <v>0</v>
      </c>
      <c r="E84" s="31">
        <f>(E73/$L84)*$O84</f>
        <v>0</v>
      </c>
      <c r="F84" s="31">
        <f>(F73/$L84)*$O84</f>
        <v>0</v>
      </c>
      <c r="G84" s="32">
        <f>(G73/$L84)*$O84</f>
        <v>0</v>
      </c>
      <c r="H84" s="17">
        <f>SUM(C84:G84)</f>
        <v>1.7237922986322165</v>
      </c>
      <c r="I84" s="17">
        <f>C84/H84*100</f>
        <v>100</v>
      </c>
      <c r="J84" s="17">
        <f>SQRT(I84*(100-I84)/(L84-1))</f>
        <v>0</v>
      </c>
      <c r="K84" s="18">
        <f>100-I84</f>
        <v>0</v>
      </c>
      <c r="L84" s="1">
        <f>H73</f>
        <v>259</v>
      </c>
      <c r="M84">
        <v>0</v>
      </c>
      <c r="N84" s="1">
        <v>3414.62</v>
      </c>
      <c r="O84" s="17">
        <f>N84/N89*100</f>
        <v>1.7237922986322165</v>
      </c>
      <c r="P84" s="52">
        <f>((O84*O84*(I84/100)*(K84/100))/(L84-1))</f>
        <v>0</v>
      </c>
      <c r="R84" s="16" t="s">
        <v>323</v>
      </c>
      <c r="S84" t="s">
        <v>68</v>
      </c>
      <c r="T84" s="57">
        <f>$AA83*T76/100</f>
        <v>3424.1999999999994</v>
      </c>
      <c r="U84" s="57">
        <f>$AA83*U76/100</f>
        <v>14314.834959247177</v>
      </c>
      <c r="V84" s="57">
        <f>$AA83*V76/100</f>
        <v>122541.48416375024</v>
      </c>
      <c r="W84" s="57">
        <f>$AA83*W76/100</f>
        <v>39769.323880134238</v>
      </c>
      <c r="X84" s="57">
        <f>$AA83*X76/100</f>
        <v>18037.836996868351</v>
      </c>
      <c r="Z84" t="s">
        <v>36</v>
      </c>
      <c r="AA84" s="25">
        <f>SUM(T84:X84)</f>
        <v>198087.67999999999</v>
      </c>
      <c r="AC84" t="s">
        <v>180</v>
      </c>
      <c r="AD84" s="51"/>
      <c r="AE84" s="51"/>
      <c r="AH84" s="78"/>
      <c r="AI84" s="78"/>
      <c r="AJ84" t="s">
        <v>4</v>
      </c>
      <c r="AK84" s="13">
        <v>1</v>
      </c>
      <c r="AL84" s="5">
        <v>0</v>
      </c>
      <c r="AM84" s="27">
        <v>291</v>
      </c>
      <c r="AN84" s="1">
        <v>51</v>
      </c>
      <c r="AO84" s="1">
        <v>1</v>
      </c>
      <c r="AP84" s="6">
        <v>4</v>
      </c>
      <c r="AQ84" s="1">
        <f>SUM(AL84:AP84)</f>
        <v>347</v>
      </c>
      <c r="AR84" s="10">
        <f>AM84/AQ84</f>
        <v>0.83861671469740628</v>
      </c>
      <c r="AS84" s="11">
        <f>1-AR84</f>
        <v>0.16138328530259372</v>
      </c>
      <c r="AT84">
        <f>AQ84-AM88</f>
        <v>-273</v>
      </c>
      <c r="AW84" s="10">
        <f>2*(AM89*AR84)/(AM89+AR84)</f>
        <v>0.60186142709410551</v>
      </c>
    </row>
    <row r="85" spans="1:51" x14ac:dyDescent="0.3">
      <c r="A85" t="s">
        <v>4</v>
      </c>
      <c r="B85" s="13">
        <v>1</v>
      </c>
      <c r="C85" s="33">
        <f t="shared" ref="C85:G88" si="10">(C74/$L85)*$O85</f>
        <v>0</v>
      </c>
      <c r="D85" s="34">
        <f t="shared" si="10"/>
        <v>4.3338930008647436</v>
      </c>
      <c r="E85" s="19">
        <f t="shared" si="10"/>
        <v>0.66899019476435639</v>
      </c>
      <c r="F85" s="18">
        <f t="shared" si="10"/>
        <v>0</v>
      </c>
      <c r="G85" s="20">
        <f t="shared" si="10"/>
        <v>4.3629795310718901E-2</v>
      </c>
      <c r="H85" s="17">
        <f>SUM(C85:G85)</f>
        <v>5.046512990939819</v>
      </c>
      <c r="I85" s="17">
        <f>D85/H85*100</f>
        <v>85.878962536023053</v>
      </c>
      <c r="J85" s="17">
        <f>SQRT(I85*(100-I85)/(L85-1))</f>
        <v>1.8721414026762528</v>
      </c>
      <c r="K85" s="18">
        <f>100-I85</f>
        <v>14.121037463976947</v>
      </c>
      <c r="L85" s="1">
        <f>H74</f>
        <v>347</v>
      </c>
      <c r="M85">
        <v>1</v>
      </c>
      <c r="N85" s="1">
        <v>9996.52</v>
      </c>
      <c r="O85" s="17">
        <f>N85/N89*100</f>
        <v>5.046512990939819</v>
      </c>
      <c r="P85" s="52">
        <f>((O85*O85*(I85/100)*(K85/100))/(L85-1))</f>
        <v>8.9260658591406705E-3</v>
      </c>
      <c r="R85" s="66"/>
      <c r="S85" s="66" t="s">
        <v>67</v>
      </c>
      <c r="T85" s="67">
        <f>$AA83*T77/100</f>
        <v>0</v>
      </c>
      <c r="U85" s="67">
        <f>$AA83*U77/100</f>
        <v>342.63342363473282</v>
      </c>
      <c r="V85" s="67">
        <f>$AA83*V77/100</f>
        <v>388.5525509613588</v>
      </c>
      <c r="W85" s="67">
        <f>$AA83*W77/100</f>
        <v>300.53042349090185</v>
      </c>
      <c r="X85" s="67">
        <f>$AA83*X77/100</f>
        <v>268.0670747779119</v>
      </c>
      <c r="AA85" s="1"/>
      <c r="AC85" t="s">
        <v>181</v>
      </c>
      <c r="AD85" s="51"/>
      <c r="AE85" s="51"/>
      <c r="AJ85" t="s">
        <v>5</v>
      </c>
      <c r="AK85" s="13">
        <v>2</v>
      </c>
      <c r="AL85" s="5">
        <v>0</v>
      </c>
      <c r="AM85" s="1">
        <v>325</v>
      </c>
      <c r="AN85" s="27">
        <v>6935</v>
      </c>
      <c r="AO85" s="1">
        <v>42</v>
      </c>
      <c r="AP85" s="6">
        <v>46</v>
      </c>
      <c r="AQ85" s="1">
        <f>SUM(AL85:AP85)</f>
        <v>7348</v>
      </c>
      <c r="AR85" s="10">
        <f>AN85/AQ85</f>
        <v>0.94379422972237348</v>
      </c>
      <c r="AS85" s="11">
        <f>1-AR85</f>
        <v>5.6205770277626521E-2</v>
      </c>
      <c r="AT85">
        <f>AQ85-AN88</f>
        <v>242</v>
      </c>
      <c r="AW85" s="10">
        <f>2*(AN89*AR85)/(AN89+AR85)</f>
        <v>0.95959595959595956</v>
      </c>
    </row>
    <row r="86" spans="1:51" x14ac:dyDescent="0.3">
      <c r="A86" t="s">
        <v>5</v>
      </c>
      <c r="B86" s="13">
        <v>2</v>
      </c>
      <c r="C86" s="33">
        <f t="shared" si="10"/>
        <v>0</v>
      </c>
      <c r="D86" s="19">
        <f t="shared" si="10"/>
        <v>2.3288377587669986</v>
      </c>
      <c r="E86" s="34">
        <f t="shared" si="10"/>
        <v>60.498220744353027</v>
      </c>
      <c r="F86" s="19">
        <f t="shared" si="10"/>
        <v>0.12890245897234312</v>
      </c>
      <c r="G86" s="20">
        <f t="shared" si="10"/>
        <v>0.20624393435574895</v>
      </c>
      <c r="H86" s="17">
        <f>SUM(C86:G86)</f>
        <v>63.162204896448117</v>
      </c>
      <c r="I86" s="17">
        <f>E86/H86*100</f>
        <v>95.782312925170061</v>
      </c>
      <c r="J86" s="17">
        <f>SQRT(I86*(100-I86)/(L86-1))</f>
        <v>0.23445835507447221</v>
      </c>
      <c r="K86" s="18">
        <f>100-I86</f>
        <v>4.2176870748299393</v>
      </c>
      <c r="L86" s="1">
        <f>H75</f>
        <v>7350</v>
      </c>
      <c r="M86">
        <v>2</v>
      </c>
      <c r="N86" s="1">
        <v>125116.54</v>
      </c>
      <c r="O86" s="17">
        <f>N86/N89*100</f>
        <v>63.162204896448117</v>
      </c>
      <c r="P86" s="52">
        <f>((O86*O86*(I86/100)*(K86/100))/(L86-1))</f>
        <v>2.1930371655042479E-2</v>
      </c>
      <c r="R86" t="s">
        <v>100</v>
      </c>
      <c r="S86" s="70" t="s">
        <v>28</v>
      </c>
      <c r="T86" s="64">
        <f>C234</f>
        <v>1.6660553211643769</v>
      </c>
      <c r="U86" s="64">
        <f t="shared" ref="U86:X89" si="11">D234</f>
        <v>7.1837753268287496</v>
      </c>
      <c r="V86" s="64">
        <f t="shared" si="11"/>
        <v>61.713317701968705</v>
      </c>
      <c r="W86" s="64">
        <f t="shared" si="11"/>
        <v>20.121903077178771</v>
      </c>
      <c r="X86" s="64">
        <f t="shared" si="11"/>
        <v>9.3149485728593699</v>
      </c>
      <c r="AA86" s="12"/>
      <c r="AC86" t="s">
        <v>182</v>
      </c>
      <c r="AD86" s="51"/>
      <c r="AE86" s="51"/>
      <c r="AH86" s="78"/>
      <c r="AI86" s="78"/>
      <c r="AJ86" t="s">
        <v>6</v>
      </c>
      <c r="AK86" s="13">
        <v>3</v>
      </c>
      <c r="AL86" s="5">
        <v>0</v>
      </c>
      <c r="AM86" s="1">
        <v>3</v>
      </c>
      <c r="AN86" s="1">
        <v>115</v>
      </c>
      <c r="AO86" s="27">
        <v>2415</v>
      </c>
      <c r="AP86" s="6">
        <v>105</v>
      </c>
      <c r="AQ86" s="1">
        <f>SUM(AL86:AP86)</f>
        <v>2638</v>
      </c>
      <c r="AR86" s="10">
        <f>AO86/AQ86</f>
        <v>0.91546626231993933</v>
      </c>
      <c r="AS86" s="11">
        <f>1-AR86</f>
        <v>8.4533737680060672E-2</v>
      </c>
      <c r="AT86">
        <f>AQ86-AO88</f>
        <v>57</v>
      </c>
      <c r="AW86" s="10">
        <f>2*(AO89*AR86)/(AO89+AR86)</f>
        <v>0.92546464840007669</v>
      </c>
    </row>
    <row r="87" spans="1:51" x14ac:dyDescent="0.3">
      <c r="A87" t="s">
        <v>6</v>
      </c>
      <c r="B87" s="13">
        <v>3</v>
      </c>
      <c r="C87" s="33">
        <f t="shared" si="10"/>
        <v>0</v>
      </c>
      <c r="D87" s="19">
        <f t="shared" si="10"/>
        <v>6.3079857144572843E-2</v>
      </c>
      <c r="E87" s="19">
        <f t="shared" si="10"/>
        <v>0.8594630535948049</v>
      </c>
      <c r="F87" s="34">
        <f t="shared" si="10"/>
        <v>19.136851661234786</v>
      </c>
      <c r="G87" s="20">
        <f t="shared" si="10"/>
        <v>0.74118832144873092</v>
      </c>
      <c r="H87" s="17">
        <f>SUM(C87:G87)</f>
        <v>20.800582893422895</v>
      </c>
      <c r="I87" s="17">
        <f>F87/H87*100</f>
        <v>92.001516300227451</v>
      </c>
      <c r="J87" s="17">
        <f>SQRT(I87*(100-I87)/(L87-1))</f>
        <v>0.52825821520793326</v>
      </c>
      <c r="K87" s="18">
        <f>100-I87</f>
        <v>7.9984836997725495</v>
      </c>
      <c r="L87" s="1">
        <f>H76</f>
        <v>2638</v>
      </c>
      <c r="M87">
        <v>3</v>
      </c>
      <c r="N87" s="1">
        <v>41203.39</v>
      </c>
      <c r="O87" s="17">
        <f>N87/N89*100</f>
        <v>20.800582893422895</v>
      </c>
      <c r="P87" s="52">
        <f>((O87*O87*(I87/100)*(K87/100))/(L87-1))</f>
        <v>1.2073787559555247E-2</v>
      </c>
      <c r="S87" s="66" t="s">
        <v>39</v>
      </c>
      <c r="T87" s="67">
        <f>C235</f>
        <v>0</v>
      </c>
      <c r="U87" s="67">
        <f t="shared" si="11"/>
        <v>0.17558376116090141</v>
      </c>
      <c r="V87" s="67">
        <f t="shared" si="11"/>
        <v>0.19949658402499415</v>
      </c>
      <c r="W87" s="67">
        <f t="shared" si="11"/>
        <v>0.15690937676444208</v>
      </c>
      <c r="X87" s="67">
        <f t="shared" si="11"/>
        <v>0.1406903588609108</v>
      </c>
      <c r="AC87" t="s">
        <v>183</v>
      </c>
      <c r="AD87" s="51"/>
      <c r="AE87" s="51"/>
      <c r="AJ87" t="s">
        <v>7</v>
      </c>
      <c r="AK87" s="13">
        <v>4</v>
      </c>
      <c r="AL87" s="7">
        <v>0</v>
      </c>
      <c r="AM87" s="8">
        <v>1</v>
      </c>
      <c r="AN87" s="8">
        <v>5</v>
      </c>
      <c r="AO87" s="8">
        <v>123</v>
      </c>
      <c r="AP87" s="28">
        <v>861</v>
      </c>
      <c r="AQ87" s="1">
        <f>SUM(AL87:AP87)</f>
        <v>990</v>
      </c>
      <c r="AR87" s="10">
        <f>AP87/AQ87</f>
        <v>0.86969696969696975</v>
      </c>
      <c r="AS87" s="11">
        <f>1-AR87</f>
        <v>0.13030303030303025</v>
      </c>
      <c r="AT87">
        <f>AQ87-AP88</f>
        <v>-26</v>
      </c>
      <c r="AW87" s="10">
        <f>2*(AP89*AR87)/(AP89+AR87)</f>
        <v>0.85842472582253249</v>
      </c>
    </row>
    <row r="88" spans="1:51" ht="15.6" x14ac:dyDescent="0.35">
      <c r="A88" t="s">
        <v>7</v>
      </c>
      <c r="B88" s="13">
        <v>4</v>
      </c>
      <c r="C88" s="35">
        <f t="shared" si="10"/>
        <v>0</v>
      </c>
      <c r="D88" s="36">
        <f t="shared" si="10"/>
        <v>0</v>
      </c>
      <c r="E88" s="21">
        <f t="shared" si="10"/>
        <v>3.7442048163866433E-2</v>
      </c>
      <c r="F88" s="21">
        <f t="shared" si="10"/>
        <v>1.2355875894075923</v>
      </c>
      <c r="G88" s="37">
        <f t="shared" si="10"/>
        <v>7.9938772829854825</v>
      </c>
      <c r="H88" s="17">
        <f>SUM(C88:G88)</f>
        <v>9.2669069205569414</v>
      </c>
      <c r="I88" s="17">
        <f>G88/H88*100</f>
        <v>86.26262626262627</v>
      </c>
      <c r="J88" s="17">
        <f>SQRT(I88*(100-I88)/(L88-1))</f>
        <v>1.094624209626478</v>
      </c>
      <c r="K88" s="18">
        <f>100-I88</f>
        <v>13.73737373737373</v>
      </c>
      <c r="L88" s="1">
        <f>H77</f>
        <v>990</v>
      </c>
      <c r="M88">
        <v>4</v>
      </c>
      <c r="N88" s="1">
        <v>18356.599999999999</v>
      </c>
      <c r="O88" s="17">
        <f>N88/N89*100</f>
        <v>9.2669069205569414</v>
      </c>
      <c r="P88" s="52">
        <f>((O88*O88*(I88/100)*(K88/100))/(L88-1))</f>
        <v>1.0289628615115997E-2</v>
      </c>
      <c r="S88" t="s">
        <v>30</v>
      </c>
      <c r="T88" s="57">
        <f>C236</f>
        <v>100</v>
      </c>
      <c r="U88" s="57">
        <f t="shared" si="11"/>
        <v>63.830661869094961</v>
      </c>
      <c r="V88" s="57">
        <f t="shared" si="11"/>
        <v>97.363698784581928</v>
      </c>
      <c r="W88" s="57">
        <f t="shared" si="11"/>
        <v>92.985991260179929</v>
      </c>
      <c r="X88" s="57">
        <f t="shared" si="11"/>
        <v>88.076220252229945</v>
      </c>
      <c r="AC88" t="s">
        <v>184</v>
      </c>
      <c r="AD88" s="51"/>
      <c r="AE88" s="51"/>
      <c r="AH88" s="78"/>
      <c r="AI88" s="78"/>
      <c r="AK88" s="1" t="s">
        <v>19</v>
      </c>
      <c r="AL88" s="1">
        <f>SUM(AL83:AL87)</f>
        <v>259</v>
      </c>
      <c r="AM88" s="1">
        <f>SUM(AM83:AM87)</f>
        <v>620</v>
      </c>
      <c r="AN88" s="1">
        <f>SUM(AN83:AN87)</f>
        <v>7106</v>
      </c>
      <c r="AO88" s="1">
        <f>SUM(AO83:AO87)</f>
        <v>2581</v>
      </c>
      <c r="AP88" s="1">
        <f>SUM(AP83:AP87)</f>
        <v>1016</v>
      </c>
      <c r="AQ88" s="1">
        <f>SUM(AQ82:AQ87)</f>
        <v>11582</v>
      </c>
      <c r="AR88" s="13" t="s">
        <v>12</v>
      </c>
    </row>
    <row r="89" spans="1:51" x14ac:dyDescent="0.3">
      <c r="B89" t="s">
        <v>28</v>
      </c>
      <c r="C89" s="17">
        <f>SUM(C84:C88)</f>
        <v>1.7237922986322165</v>
      </c>
      <c r="D89" s="17">
        <f>SUM(D84:D88)</f>
        <v>6.7258106167763154</v>
      </c>
      <c r="E89" s="17">
        <f>SUM(E84:E88)</f>
        <v>62.064116040876058</v>
      </c>
      <c r="F89" s="17">
        <f>SUM(F84:F88)</f>
        <v>20.501341709614724</v>
      </c>
      <c r="G89" s="17">
        <f>SUM(G84:G88)</f>
        <v>8.984939334100682</v>
      </c>
      <c r="H89" s="1">
        <f>SUM(H83:H88)</f>
        <v>100</v>
      </c>
      <c r="I89" s="13" t="s">
        <v>24</v>
      </c>
      <c r="J89" s="12" t="s">
        <v>29</v>
      </c>
      <c r="N89" s="1">
        <f>SUM(N84:N88)</f>
        <v>198087.67</v>
      </c>
      <c r="O89" s="17">
        <f>SUM(O84:O88)</f>
        <v>100</v>
      </c>
      <c r="S89" s="66" t="s">
        <v>39</v>
      </c>
      <c r="T89" s="67">
        <f>C237</f>
        <v>0</v>
      </c>
      <c r="U89" s="67">
        <f t="shared" si="11"/>
        <v>5.0812764485390405</v>
      </c>
      <c r="V89" s="67">
        <f t="shared" si="11"/>
        <v>0.21140110049910818</v>
      </c>
      <c r="W89" s="67">
        <f t="shared" si="11"/>
        <v>0.6385325439194417</v>
      </c>
      <c r="X89" s="67">
        <f t="shared" si="11"/>
        <v>1.6098880101434609</v>
      </c>
      <c r="AC89" t="s">
        <v>185</v>
      </c>
      <c r="AD89" s="51"/>
      <c r="AE89" s="51"/>
      <c r="AJ89" s="1" t="s">
        <v>321</v>
      </c>
      <c r="AK89" s="1" t="s">
        <v>2</v>
      </c>
      <c r="AL89" s="10">
        <f>AL83/AL88</f>
        <v>1</v>
      </c>
      <c r="AM89" s="10">
        <f>AM84/AM88</f>
        <v>0.46935483870967742</v>
      </c>
      <c r="AN89" s="10">
        <f>AN85/AN88</f>
        <v>0.97593582887700536</v>
      </c>
      <c r="AO89" s="10">
        <f>AO86/AO88</f>
        <v>0.93568384347152267</v>
      </c>
      <c r="AP89" s="10">
        <f>AP87/AP88</f>
        <v>0.84744094488188981</v>
      </c>
      <c r="AQ89" s="10"/>
      <c r="AR89" s="14">
        <f>(AL83+AM84+AN85+AO86+AP87)/AQ88</f>
        <v>0.92911414263512349</v>
      </c>
    </row>
    <row r="90" spans="1:51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0</v>
      </c>
      <c r="D90" s="18">
        <f>SQRT(SUM((O84*O84*(D84/O84)*(1-D84/O84))/L84,(O85*O85*(D85/O85)*(1-D85/O85))/L85,(O86*O86*(D86/O86)*(1-D86/O86))/L86,(O87*O87*(D87/O87)*(1-D87/O87))/L87,(O88*O88*(D88/O88)*(1-D88/O88))/L88))</f>
        <v>0.16932568990208877</v>
      </c>
      <c r="E90" s="18">
        <f>SQRT(SUM((O84*O84*(E84/O84)*(1-E84/O84))/L84,(O85*O85*(E85/O85)*(1-E85/O85))/L85,(O86*O86*(E86/O86)*(1-E86/O86))/L86,(O87*O87*(E87/O87)*(1-E87/O87))/L87,(O88*O88*(E88/O88)*(1-E88/O88))/L88))</f>
        <v>0.19290625681422371</v>
      </c>
      <c r="F90" s="18">
        <f>SQRT(SUM((O84*O84*(F84/O84)*(1-F84/O84))/L84,(O85*O85*(F85/O85)*(1-F85/O85))/L85,(O86*O86*(F86/O86)*(1-F86/O86))/L86,(O87*O87*(F87/O87)*(1-F87/O87))/L87,(O88*O88*(F88/O88)*(1-F88/O88))/L88))</f>
        <v>0.15230990709064932</v>
      </c>
      <c r="G90" s="18">
        <f>SQRT(SUM((O84*O84*(G84/O84)*(1-G84/O84))/L84,(O85*O85*(G85/O85)*(1-G85/O85))/L85,(O86*O86*(G86/O86)*(1-G86/O86))/L86,(O87*O87*(G87/O87)*(1-G87/O87))/L87,(O88*O88*(G88/O88)*(1-G88/O88))/L88))</f>
        <v>0.13531757581987164</v>
      </c>
      <c r="H90" s="1"/>
      <c r="I90" s="14">
        <f>(C84+D85+E86+F87+G88)/H89</f>
        <v>0.9368663498807025</v>
      </c>
      <c r="J90" s="53">
        <f>SQRT(SUM(P84:P88))/100</f>
        <v>2.3069428620764404E-3</v>
      </c>
      <c r="M90" s="1"/>
      <c r="N90" s="9"/>
      <c r="S90" t="s">
        <v>31</v>
      </c>
      <c r="T90" s="57">
        <f>I229</f>
        <v>100</v>
      </c>
      <c r="U90" s="57">
        <f>I230</f>
        <v>86.455331412103732</v>
      </c>
      <c r="V90" s="57">
        <f>I231</f>
        <v>95.414965986394563</v>
      </c>
      <c r="W90" s="57">
        <f>I232</f>
        <v>91.167551175132672</v>
      </c>
      <c r="X90" s="57">
        <f>I233</f>
        <v>86.060606060606062</v>
      </c>
      <c r="AC90" t="s">
        <v>186</v>
      </c>
      <c r="AD90" s="51"/>
      <c r="AE90" s="51"/>
      <c r="AH90" s="78"/>
      <c r="AI90" s="78"/>
      <c r="AK90" s="1" t="s">
        <v>14</v>
      </c>
      <c r="AL90" s="11">
        <f>1-AL89</f>
        <v>0</v>
      </c>
      <c r="AM90" s="11">
        <f>1-AM89</f>
        <v>0.53064516129032258</v>
      </c>
      <c r="AN90" s="11">
        <f>1-AN89</f>
        <v>2.4064171122994638E-2</v>
      </c>
      <c r="AO90" s="11">
        <f>1-AO89</f>
        <v>6.4316156528477331E-2</v>
      </c>
      <c r="AP90" s="11">
        <f>1-AP89</f>
        <v>0.15255905511811019</v>
      </c>
    </row>
    <row r="91" spans="1:51" x14ac:dyDescent="0.3">
      <c r="B91" s="1" t="s">
        <v>30</v>
      </c>
      <c r="C91" s="17">
        <f>C84/C89*100</f>
        <v>100</v>
      </c>
      <c r="D91" s="17">
        <f>D85/D89*100</f>
        <v>64.436738525682429</v>
      </c>
      <c r="E91" s="17">
        <f>E86/E89*100</f>
        <v>97.476971563581571</v>
      </c>
      <c r="F91" s="17">
        <f>F87/F89*100</f>
        <v>93.344386588415233</v>
      </c>
      <c r="G91" s="17">
        <f>G88/G89*100</f>
        <v>88.969741316407053</v>
      </c>
      <c r="H91" s="1"/>
      <c r="S91" s="66" t="s">
        <v>39</v>
      </c>
      <c r="T91" s="67">
        <f>J229</f>
        <v>0</v>
      </c>
      <c r="U91" s="67">
        <f>J230</f>
        <v>1.8396789205546678</v>
      </c>
      <c r="V91" s="67">
        <f>J231</f>
        <v>0.24398628091238156</v>
      </c>
      <c r="W91" s="67">
        <f>J232</f>
        <v>0.55259333793865084</v>
      </c>
      <c r="X91" s="67">
        <f>J233</f>
        <v>1.1013516332959155</v>
      </c>
      <c r="AC91" t="s">
        <v>187</v>
      </c>
      <c r="AD91" s="51"/>
      <c r="AE91" s="51"/>
      <c r="AL91" s="2"/>
    </row>
    <row r="92" spans="1:51" ht="15.6" x14ac:dyDescent="0.35">
      <c r="B92" s="16" t="s">
        <v>39</v>
      </c>
      <c r="C92" s="18">
        <f>SQRT((C95+C96)/(C89*C89))</f>
        <v>0</v>
      </c>
      <c r="D92" s="18">
        <f>SQRT((D95+D96)/(D89*D89))</f>
        <v>5.1740596906467147</v>
      </c>
      <c r="E92" s="18">
        <f>SQRT((E95+E96)/(E89*E89))</f>
        <v>0.20346116682640208</v>
      </c>
      <c r="F92" s="18">
        <f>SQRT((F95+F96)/(F89*F89))</f>
        <v>0.59847747952204577</v>
      </c>
      <c r="G92" s="18">
        <f>SQRT((G95+G96)/(G89*G89))</f>
        <v>1.5292709343603528</v>
      </c>
      <c r="H92" s="1"/>
      <c r="S92" s="66" t="s">
        <v>56</v>
      </c>
      <c r="T92" s="67">
        <f>N218*100</f>
        <v>100</v>
      </c>
      <c r="U92" s="67">
        <f>N219*100</f>
        <v>63.09148264984227</v>
      </c>
      <c r="V92" s="67">
        <f>N220*100</f>
        <v>96.544603524229075</v>
      </c>
      <c r="W92" s="67">
        <f>N221*100</f>
        <v>92.660373723752656</v>
      </c>
      <c r="X92" s="67">
        <f>N222*100</f>
        <v>86.060606060606048</v>
      </c>
      <c r="AC92" t="s">
        <v>188</v>
      </c>
      <c r="AD92" s="51"/>
      <c r="AE92" s="51"/>
      <c r="AH92" s="78"/>
      <c r="AI92" s="78"/>
      <c r="AJ92" t="s">
        <v>322</v>
      </c>
      <c r="AK92" s="15" t="s">
        <v>23</v>
      </c>
      <c r="AW92" s="12" t="s">
        <v>17</v>
      </c>
      <c r="AX92" s="1" t="s">
        <v>27</v>
      </c>
      <c r="AY92" s="1" t="s">
        <v>33</v>
      </c>
    </row>
    <row r="93" spans="1:51" ht="15.6" x14ac:dyDescent="0.35">
      <c r="B93" s="1" t="s">
        <v>37</v>
      </c>
      <c r="C93" s="18">
        <f>100-C91</f>
        <v>0</v>
      </c>
      <c r="D93" s="18">
        <f>100-D91</f>
        <v>35.563261474317571</v>
      </c>
      <c r="E93" s="18">
        <f>100-E91</f>
        <v>2.5230284364184286</v>
      </c>
      <c r="F93" s="18">
        <f>100-F91</f>
        <v>6.6556134115847669</v>
      </c>
      <c r="G93" s="18">
        <f>100-G91</f>
        <v>11.030258683592947</v>
      </c>
      <c r="R93" s="16" t="s">
        <v>66</v>
      </c>
      <c r="S93" t="s">
        <v>9</v>
      </c>
      <c r="T93" s="30">
        <f>N229</f>
        <v>3300.25</v>
      </c>
      <c r="U93" s="30">
        <f>N230</f>
        <v>10506.25</v>
      </c>
      <c r="V93" s="30">
        <f>N231</f>
        <v>124743.2</v>
      </c>
      <c r="W93" s="30">
        <f>N232</f>
        <v>40654.04</v>
      </c>
      <c r="X93" s="30">
        <f>N233</f>
        <v>18883.919999999998</v>
      </c>
      <c r="Z93" t="s">
        <v>36</v>
      </c>
      <c r="AA93" s="1">
        <f>N234</f>
        <v>198087.66000000003</v>
      </c>
      <c r="AC93" t="s">
        <v>189</v>
      </c>
      <c r="AD93" s="51"/>
      <c r="AE93" s="51"/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</row>
    <row r="94" spans="1:51" ht="15.6" x14ac:dyDescent="0.35">
      <c r="B94" s="1" t="s">
        <v>25</v>
      </c>
      <c r="C94" s="1">
        <f>C78</f>
        <v>259</v>
      </c>
      <c r="D94" s="1">
        <f>D78</f>
        <v>577</v>
      </c>
      <c r="E94" s="1">
        <f>E78</f>
        <v>7199</v>
      </c>
      <c r="F94" s="1">
        <f>F78</f>
        <v>2574</v>
      </c>
      <c r="G94" s="1">
        <f>G78</f>
        <v>975</v>
      </c>
      <c r="R94" s="16" t="s">
        <v>323</v>
      </c>
      <c r="S94" t="s">
        <v>68</v>
      </c>
      <c r="T94" s="57">
        <f>$AA93*T86/100</f>
        <v>3300.2499999999995</v>
      </c>
      <c r="U94" s="57">
        <f>$AA93*U86/100</f>
        <v>14230.172444572425</v>
      </c>
      <c r="V94" s="57">
        <f>$AA93*V86/100</f>
        <v>122246.46694419561</v>
      </c>
      <c r="W94" s="57">
        <f>$AA93*W86/100</f>
        <v>39859.00695305143</v>
      </c>
      <c r="X94" s="57">
        <f>$AA93*X86/100</f>
        <v>18451.763658180524</v>
      </c>
      <c r="Z94" t="s">
        <v>36</v>
      </c>
      <c r="AA94" s="25">
        <f>SUM(T94:X94)</f>
        <v>198087.65999999997</v>
      </c>
      <c r="AC94" t="s">
        <v>190</v>
      </c>
      <c r="AD94" s="51"/>
      <c r="AE94" s="51"/>
      <c r="AH94" s="78"/>
      <c r="AI94" s="78"/>
      <c r="AJ94" t="s">
        <v>3</v>
      </c>
      <c r="AK94" s="13">
        <v>0</v>
      </c>
      <c r="AL94" s="29">
        <f>(AL83/$AU94)*$AX94</f>
        <v>1.7058103616444171</v>
      </c>
      <c r="AM94" s="31">
        <f t="shared" ref="AM94:AO95" si="12">(AM83/$AU94)*$AX94</f>
        <v>0</v>
      </c>
      <c r="AN94" s="31">
        <f t="shared" si="12"/>
        <v>0</v>
      </c>
      <c r="AO94" s="31">
        <f t="shared" si="12"/>
        <v>0</v>
      </c>
      <c r="AP94" s="32">
        <f>(AP83/$AU94)*$AX94</f>
        <v>0</v>
      </c>
      <c r="AQ94" s="17">
        <f>SUM(AL94:AP94)</f>
        <v>1.7058103616444171</v>
      </c>
      <c r="AR94" s="17">
        <f>AL94/AQ94*100</f>
        <v>100</v>
      </c>
      <c r="AS94" s="17">
        <f>SQRT(AR94*(100-AR94)/(AU94-1))</f>
        <v>0</v>
      </c>
      <c r="AT94" s="18">
        <f>100-AR94</f>
        <v>0</v>
      </c>
      <c r="AU94" s="1">
        <f>AQ83</f>
        <v>259</v>
      </c>
      <c r="AV94">
        <v>0</v>
      </c>
      <c r="AW94" s="1">
        <v>3379</v>
      </c>
      <c r="AX94" s="17">
        <f>AW94/AW99*100</f>
        <v>1.7058103616444171</v>
      </c>
      <c r="AY94" s="52">
        <f>((AX94*AX94*(AR94/100)*(AT94/100))/(AU94-1))</f>
        <v>0</v>
      </c>
    </row>
    <row r="95" spans="1:51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1128.9202223337202</v>
      </c>
      <c r="E95" s="18">
        <f>(O86*O86*(100-E91)*(100-E91)*(I86)*(100-I86))/((L86-1)*100)</f>
        <v>13.960156356138418</v>
      </c>
      <c r="F95" s="18">
        <f>(O87*O87*(100-F91)*(100-F91)*(I87)*(100-I87))/((L87-1)*100)</f>
        <v>53.483486015033442</v>
      </c>
      <c r="G95" s="18">
        <f>(O88*O88*(100-G91)*(100-G91)*(I88)*(100-I88))/((L88-1)*100)</f>
        <v>125.19041970530107</v>
      </c>
      <c r="R95" s="66"/>
      <c r="S95" s="66" t="s">
        <v>67</v>
      </c>
      <c r="T95" s="67">
        <f>$AA93*T87/100</f>
        <v>0</v>
      </c>
      <c r="U95" s="67">
        <f>$AA93*U87/100</f>
        <v>347.80976382361848</v>
      </c>
      <c r="V95" s="67">
        <f>$AA93*V87/100</f>
        <v>395.17811507504479</v>
      </c>
      <c r="W95" s="67">
        <f>$AA93*W87/100</f>
        <v>310.81811275326709</v>
      </c>
      <c r="X95" s="67">
        <f>$AA93*X87/100</f>
        <v>278.69023971318092</v>
      </c>
      <c r="AA95" s="1"/>
      <c r="AC95" t="s">
        <v>191</v>
      </c>
      <c r="AD95" s="51"/>
      <c r="AE95" s="51"/>
      <c r="AJ95" t="s">
        <v>4</v>
      </c>
      <c r="AK95" s="13">
        <v>1</v>
      </c>
      <c r="AL95" s="33">
        <f t="shared" ref="AL95:AO98" si="13">(AL84/$AU95)*$AX95</f>
        <v>0</v>
      </c>
      <c r="AM95" s="34">
        <f>(AM84/$AU95)*$AX95</f>
        <v>4.2839851656059782</v>
      </c>
      <c r="AN95" s="19">
        <f t="shared" si="12"/>
        <v>0.75080152386908894</v>
      </c>
      <c r="AO95" s="18">
        <f t="shared" si="12"/>
        <v>1.4721598507237038E-2</v>
      </c>
      <c r="AP95" s="20">
        <f>(AP84/$AU95)*$AX95</f>
        <v>5.8886394028948151E-2</v>
      </c>
      <c r="AQ95" s="17">
        <f>SUM(AL95:AP95)</f>
        <v>5.1083946820112525</v>
      </c>
      <c r="AR95" s="17">
        <f>AM95/AQ95*100</f>
        <v>83.861671469740628</v>
      </c>
      <c r="AS95" s="17">
        <f>SQRT(AR95*(100-AR95)/(AU95-1))</f>
        <v>1.9777572436142541</v>
      </c>
      <c r="AT95" s="18">
        <f>100-AR95</f>
        <v>16.138328530259372</v>
      </c>
      <c r="AU95" s="1">
        <f>AQ84</f>
        <v>347</v>
      </c>
      <c r="AV95">
        <v>1</v>
      </c>
      <c r="AW95" s="1">
        <v>10119.1</v>
      </c>
      <c r="AX95" s="17">
        <f>AW95/AW99*100</f>
        <v>5.1083946820112525</v>
      </c>
      <c r="AY95" s="52">
        <f>((AX95*AX95*(AR95/100)*(AT95/100))/(AU95-1))</f>
        <v>1.0207393464348539E-2</v>
      </c>
    </row>
    <row r="96" spans="1:51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82.1020714343489</v>
      </c>
      <c r="E96" s="18">
        <f>E91*E91*(SUM((H84*E84*(1-E73/H73))/(H73-1),(H85*E85*(1-E74/H74))/(H74-1), (H87*E87*(1-E76/H76))/(H76-1),(H88*E88*(1-E77/H77))/(H77-1)))</f>
        <v>145.49707166017561</v>
      </c>
      <c r="F96" s="18">
        <f>F91*F91*(SUM((H84*F84*(1-F73/H73))/(H73-1),(H85*F85*(1-F74/H74))/(H74-1), (H86*F86*(1-F75/H75))/(H75-1),(H88*F88*(1-F77/H77))/(H77-1)))</f>
        <v>97.059384977684104</v>
      </c>
      <c r="G96" s="18">
        <f>G91*G91*(SUM((H84*G84*(1-G73/H73))/(H73-1),(H85*G85*(1-G74/H74))/(H74-1), (H86*G86*(1-G75/H75))/(H75-1),(H87*G87*(1-G76/H76))/(H76-1)))</f>
        <v>63.608353020944968</v>
      </c>
      <c r="R96" t="s">
        <v>101</v>
      </c>
      <c r="S96" t="s">
        <v>28</v>
      </c>
      <c r="T96" s="57">
        <f>C263</f>
        <v>1.6937903457701156</v>
      </c>
      <c r="U96" s="57">
        <f t="shared" ref="U96:X99" si="14">D263</f>
        <v>7.0197601152069584</v>
      </c>
      <c r="V96" s="57">
        <f t="shared" si="14"/>
        <v>61.833511906046674</v>
      </c>
      <c r="W96" s="57">
        <f t="shared" si="14"/>
        <v>20.477373407294724</v>
      </c>
      <c r="X96" s="57">
        <f t="shared" si="14"/>
        <v>8.9755642256815165</v>
      </c>
      <c r="Y96" s="13"/>
      <c r="Z96" s="74"/>
      <c r="AA96" s="12"/>
      <c r="AC96" t="s">
        <v>192</v>
      </c>
      <c r="AD96" s="51"/>
      <c r="AE96" s="51"/>
      <c r="AH96" s="78"/>
      <c r="AI96" s="78"/>
      <c r="AJ96" t="s">
        <v>5</v>
      </c>
      <c r="AK96" s="13">
        <v>2</v>
      </c>
      <c r="AL96" s="33">
        <f t="shared" si="13"/>
        <v>0</v>
      </c>
      <c r="AM96" s="19">
        <f t="shared" si="13"/>
        <v>2.7988499641241931</v>
      </c>
      <c r="AN96" s="34">
        <f t="shared" si="13"/>
        <v>59.723152311388553</v>
      </c>
      <c r="AO96" s="19">
        <f t="shared" si="13"/>
        <v>0.36169753382528036</v>
      </c>
      <c r="AP96" s="20">
        <f>(AP85/$AU96)*$AX96</f>
        <v>0.39614491799911655</v>
      </c>
      <c r="AQ96" s="17">
        <f>SUM(AL96:AP96)</f>
        <v>63.279844727337142</v>
      </c>
      <c r="AR96" s="17">
        <f>AN96/AQ96*100</f>
        <v>94.37942297223735</v>
      </c>
      <c r="AS96" s="17">
        <f>SQRT(AR96*(100-AR96)/(AU96-1))</f>
        <v>0.26870397492424902</v>
      </c>
      <c r="AT96" s="18">
        <f>100-AR96</f>
        <v>5.6205770277626499</v>
      </c>
      <c r="AU96" s="1">
        <f>AQ85</f>
        <v>7348</v>
      </c>
      <c r="AV96">
        <v>2</v>
      </c>
      <c r="AW96" s="1">
        <v>125349.57</v>
      </c>
      <c r="AX96" s="17">
        <f>AW96/AW99*100</f>
        <v>63.279844727337142</v>
      </c>
      <c r="AY96" s="52">
        <f>((AX96*AX96*(AR96/100)*(AT96/100))/(AU96-1))</f>
        <v>2.8912057014081657E-2</v>
      </c>
    </row>
    <row r="97" spans="1:51" x14ac:dyDescent="0.3">
      <c r="S97" s="66" t="s">
        <v>39</v>
      </c>
      <c r="T97" s="67">
        <f>C264</f>
        <v>0</v>
      </c>
      <c r="U97" s="67">
        <f t="shared" si="14"/>
        <v>0.17352384282159794</v>
      </c>
      <c r="V97" s="67">
        <f t="shared" si="14"/>
        <v>0.19545319486396751</v>
      </c>
      <c r="W97" s="67">
        <f t="shared" si="14"/>
        <v>0.15204233841165443</v>
      </c>
      <c r="X97" s="67">
        <f t="shared" si="14"/>
        <v>0.13472537827271916</v>
      </c>
      <c r="AC97" t="s">
        <v>193</v>
      </c>
      <c r="AD97" s="51"/>
      <c r="AE97" s="51"/>
      <c r="AJ97" t="s">
        <v>6</v>
      </c>
      <c r="AK97" s="13">
        <v>3</v>
      </c>
      <c r="AL97" s="33">
        <f t="shared" si="13"/>
        <v>0</v>
      </c>
      <c r="AM97" s="19">
        <f t="shared" si="13"/>
        <v>2.3320606678238456E-2</v>
      </c>
      <c r="AN97" s="19">
        <f t="shared" si="13"/>
        <v>0.89395658933247413</v>
      </c>
      <c r="AO97" s="34">
        <f t="shared" si="13"/>
        <v>18.773088375981956</v>
      </c>
      <c r="AP97" s="20">
        <f>(AP86/$AU97)*$AX97</f>
        <v>0.81622123373834587</v>
      </c>
      <c r="AQ97" s="17">
        <f>SUM(AL97:AP97)</f>
        <v>20.506586805731015</v>
      </c>
      <c r="AR97" s="17">
        <f>AO97/AQ97*100</f>
        <v>91.546626231993926</v>
      </c>
      <c r="AS97" s="17">
        <f>SQRT(AR97*(100-AR97)/(AU97-1))</f>
        <v>0.54172782493243543</v>
      </c>
      <c r="AT97" s="18">
        <f>100-AR97</f>
        <v>8.4533737680060739</v>
      </c>
      <c r="AU97" s="1">
        <f>AQ86</f>
        <v>2638</v>
      </c>
      <c r="AV97">
        <v>3</v>
      </c>
      <c r="AW97" s="1">
        <v>40621.019999999997</v>
      </c>
      <c r="AX97" s="17">
        <f>AW97/AW99*100</f>
        <v>20.506586805731015</v>
      </c>
      <c r="AY97" s="52">
        <f>((AX97*AX97*(AR97/100)*(AT97/100))/(AU97-1))</f>
        <v>1.2340962920479733E-2</v>
      </c>
    </row>
    <row r="98" spans="1:51" x14ac:dyDescent="0.3">
      <c r="S98" t="s">
        <v>30</v>
      </c>
      <c r="T98" s="57">
        <f>C265</f>
        <v>100</v>
      </c>
      <c r="U98" s="57">
        <f t="shared" si="14"/>
        <v>62.715827664683907</v>
      </c>
      <c r="V98" s="57">
        <f t="shared" si="14"/>
        <v>97.596038707663737</v>
      </c>
      <c r="W98" s="57">
        <f t="shared" si="14"/>
        <v>93.097993331840669</v>
      </c>
      <c r="X98" s="57">
        <f t="shared" si="14"/>
        <v>89.537576702293464</v>
      </c>
      <c r="AA98" s="54"/>
      <c r="AC98" t="s">
        <v>194</v>
      </c>
      <c r="AD98" s="51"/>
      <c r="AE98" s="51"/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13"/>
        <v>9.4943064881577444E-3</v>
      </c>
      <c r="AN98" s="21">
        <f t="shared" si="13"/>
        <v>4.7471532440788729E-2</v>
      </c>
      <c r="AO98" s="21">
        <f t="shared" si="13"/>
        <v>1.1677996980434024</v>
      </c>
      <c r="AP98" s="37">
        <f>(AP87/$AU98)*$AX98</f>
        <v>8.1745978863038182</v>
      </c>
      <c r="AQ98" s="17">
        <f>SUM(AL98:AP98)</f>
        <v>9.3993634232761671</v>
      </c>
      <c r="AR98" s="17">
        <f>AP98/AQ98*100</f>
        <v>86.969696969696969</v>
      </c>
      <c r="AS98" s="17">
        <f>SQRT(AR98*(100-AR98)/(AU98-1))</f>
        <v>1.070441875992074</v>
      </c>
      <c r="AT98" s="18">
        <f>100-AR98</f>
        <v>13.030303030303031</v>
      </c>
      <c r="AU98" s="1">
        <f>AQ87</f>
        <v>990</v>
      </c>
      <c r="AV98">
        <v>4</v>
      </c>
      <c r="AW98" s="1">
        <v>18618.98</v>
      </c>
      <c r="AX98" s="17">
        <f>AW98/AW99*100</f>
        <v>9.3993634232761671</v>
      </c>
      <c r="AY98" s="52">
        <f>((AX98*AX98*(AR98/100)*(AT98/100))/(AU98-1))</f>
        <v>1.0123322315219339E-2</v>
      </c>
    </row>
    <row r="99" spans="1:51" x14ac:dyDescent="0.3">
      <c r="A99" s="361" t="s">
        <v>461</v>
      </c>
      <c r="B99" s="361"/>
      <c r="C99" s="361"/>
      <c r="D99" s="361"/>
      <c r="E99" s="361"/>
      <c r="F99" s="361"/>
      <c r="G99" s="361"/>
      <c r="H99" s="361"/>
      <c r="I99" s="361"/>
      <c r="J99" s="361"/>
      <c r="K99" s="361"/>
      <c r="L99" s="361" t="s">
        <v>62</v>
      </c>
      <c r="M99" s="361"/>
      <c r="N99" s="361"/>
      <c r="O99" s="361"/>
      <c r="P99" s="361"/>
      <c r="S99" s="66" t="s">
        <v>39</v>
      </c>
      <c r="T99" s="67">
        <f>C266</f>
        <v>0</v>
      </c>
      <c r="U99" s="67">
        <f t="shared" si="14"/>
        <v>5.0864903722951871</v>
      </c>
      <c r="V99" s="67">
        <f t="shared" si="14"/>
        <v>0.20009891815837164</v>
      </c>
      <c r="W99" s="67">
        <f t="shared" si="14"/>
        <v>0.60876813106735972</v>
      </c>
      <c r="X99" s="67">
        <f t="shared" si="14"/>
        <v>1.4817385943629582</v>
      </c>
      <c r="AC99" t="s">
        <v>195</v>
      </c>
      <c r="AD99" s="51"/>
      <c r="AE99" s="51"/>
      <c r="AK99" t="s">
        <v>28</v>
      </c>
      <c r="AL99" s="17">
        <f t="shared" ref="AL99:AQ99" si="15">SUM(AL94:AL98)</f>
        <v>1.7058103616444171</v>
      </c>
      <c r="AM99" s="17">
        <f t="shared" si="15"/>
        <v>7.1156500428965668</v>
      </c>
      <c r="AN99" s="17">
        <f t="shared" si="15"/>
        <v>61.415381957030903</v>
      </c>
      <c r="AO99" s="17">
        <f t="shared" si="15"/>
        <v>20.317307206357878</v>
      </c>
      <c r="AP99" s="17">
        <f t="shared" si="15"/>
        <v>9.4458504320702286</v>
      </c>
      <c r="AQ99" s="18">
        <f t="shared" si="15"/>
        <v>100</v>
      </c>
      <c r="AR99" s="13" t="s">
        <v>24</v>
      </c>
      <c r="AS99" s="12" t="s">
        <v>29</v>
      </c>
      <c r="AW99" s="1">
        <f>SUM(AW94:AW98)</f>
        <v>198087.67</v>
      </c>
      <c r="AX99" s="17">
        <f>SUM(AX94:AX98)</f>
        <v>100</v>
      </c>
    </row>
    <row r="100" spans="1:51" x14ac:dyDescent="0.3">
      <c r="A100" t="s">
        <v>320</v>
      </c>
      <c r="B100" t="s">
        <v>21</v>
      </c>
      <c r="I100" s="1" t="s">
        <v>58</v>
      </c>
      <c r="O100" s="143"/>
      <c r="P100" s="143"/>
      <c r="S100" t="s">
        <v>31</v>
      </c>
      <c r="T100" s="57">
        <f>I258</f>
        <v>100</v>
      </c>
      <c r="U100" s="57">
        <f>I259</f>
        <v>86.743515850144092</v>
      </c>
      <c r="V100" s="57">
        <f>I260</f>
        <v>95.455782312925166</v>
      </c>
      <c r="W100" s="57">
        <f>I261</f>
        <v>92.266868840030327</v>
      </c>
      <c r="X100" s="57">
        <f>I262</f>
        <v>85.959595959595958</v>
      </c>
      <c r="AC100" t="s">
        <v>196</v>
      </c>
      <c r="AD100" s="51"/>
      <c r="AE100" s="51"/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0</v>
      </c>
      <c r="AM100" s="18">
        <f>SQRT(SUM((AX94*AM94-AM94*AM94)/AU94,(AX95*AM95-AM95*AM95)/AU95,(AX96*AM96-AM96*AM96)/AU96,(AX97*AM97-AM97*AM97)/AU97,(AX98*AM98-AM98*AM98)/AU98))</f>
        <v>0.18299259499826884</v>
      </c>
      <c r="AN100" s="18">
        <f>SQRT(SUM((AX94*AN94-AN94*AN94)/AU94,(AX95*AN95-AN95*AN95)/AU95,(AX96*AN96-AN96*AN96)/AU96,(AX97*AN97-AN97*AN97)/AU97,(AX98*AN98-AN98*AN98)/AU98))</f>
        <v>0.21314622235046171</v>
      </c>
      <c r="AO100" s="18">
        <f>SQRT(SUM((AX94*AO94-AO94*AO94)/AU94,(AX95*AO95-AO95*AO95)/AU95,(AX96*AO96-AO96*AO96)/AU96,(AX97*AO97-AO97*AO97)/AU97,(AX98*AO98-AO98*AO98)/AU98))</f>
        <v>0.15924629276799968</v>
      </c>
      <c r="AP100" s="18">
        <f>SQRT(SUM((AX94*AP94-AP94*AP94)/AU94,(AX95*AP95-AP95*AP95)/AU95,(AX96*AP96-AP96*AP96)/AU96,(AX97*AP97-AP97*AP97)/AU97,(AX98*AP98-AP98*AP98)/AU98))</f>
        <v>0.14301246828884673</v>
      </c>
      <c r="AQ100" s="1"/>
      <c r="AR100" s="56">
        <f>(AL94+AM95+AN96+AO97+AP98)/AQ99</f>
        <v>0.92660634100924721</v>
      </c>
      <c r="AS100" s="53">
        <f>SQRT(SUM(AY94:AY98))/100</f>
        <v>2.4816070541914823E-3</v>
      </c>
      <c r="AV100" s="1"/>
      <c r="AW100" s="9"/>
    </row>
    <row r="101" spans="1:51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56</v>
      </c>
      <c r="O101" s="13"/>
      <c r="P101" s="13"/>
      <c r="S101" s="66" t="s">
        <v>39</v>
      </c>
      <c r="T101" s="67">
        <f>J258</f>
        <v>0</v>
      </c>
      <c r="U101" s="67">
        <f>J259</f>
        <v>1.8230334586187336</v>
      </c>
      <c r="V101" s="67">
        <f>J260</f>
        <v>0.24294980835172764</v>
      </c>
      <c r="W101" s="67">
        <f>J261</f>
        <v>0.52017025539701933</v>
      </c>
      <c r="X101" s="67">
        <f>J262</f>
        <v>1.1046859737176093</v>
      </c>
      <c r="AC101" t="s">
        <v>197</v>
      </c>
      <c r="AD101" s="51"/>
      <c r="AE101" s="51"/>
      <c r="AK101" s="1" t="s">
        <v>30</v>
      </c>
      <c r="AL101" s="17">
        <f>AL94/AL99*100</f>
        <v>100</v>
      </c>
      <c r="AM101" s="17">
        <f>AM95/AM99*100</f>
        <v>60.205113233226079</v>
      </c>
      <c r="AN101" s="17">
        <f>AN96/AN99*100</f>
        <v>97.244615938680781</v>
      </c>
      <c r="AO101" s="17">
        <f>AO97/AO99*100</f>
        <v>92.399490667283459</v>
      </c>
      <c r="AP101" s="17">
        <f>AP98/AP99*100</f>
        <v>86.541682457195208</v>
      </c>
      <c r="AQ101" s="1"/>
    </row>
    <row r="102" spans="1:51" x14ac:dyDescent="0.3">
      <c r="A102" t="s">
        <v>3</v>
      </c>
      <c r="B102" s="13">
        <v>0</v>
      </c>
      <c r="C102" s="26">
        <v>259</v>
      </c>
      <c r="D102" s="3">
        <v>0</v>
      </c>
      <c r="E102" s="3">
        <v>0</v>
      </c>
      <c r="F102" s="3">
        <v>0</v>
      </c>
      <c r="G102" s="4">
        <v>0</v>
      </c>
      <c r="H102" s="1">
        <f>SUM(C102:G102)</f>
        <v>259</v>
      </c>
      <c r="I102" s="10">
        <f>C102/H102</f>
        <v>1</v>
      </c>
      <c r="J102" s="11">
        <f>1-I102</f>
        <v>0</v>
      </c>
      <c r="K102">
        <f>H102-C107</f>
        <v>0</v>
      </c>
      <c r="N102" s="10">
        <f>2*(C108*I102)/(C108+I102)</f>
        <v>1</v>
      </c>
      <c r="O102" s="1"/>
      <c r="P102" s="1"/>
      <c r="S102" s="66" t="s">
        <v>56</v>
      </c>
      <c r="T102" s="67">
        <f>N247*100</f>
        <v>100</v>
      </c>
      <c r="U102" s="67">
        <f>N248*100</f>
        <v>63.16894018887723</v>
      </c>
      <c r="V102" s="67">
        <f>N249*100</f>
        <v>96.659089343528279</v>
      </c>
      <c r="W102" s="67">
        <f>N250*100</f>
        <v>93.203139957878605</v>
      </c>
      <c r="X102" s="67">
        <f>N251*100</f>
        <v>86.969851814001004</v>
      </c>
      <c r="AC102" t="s">
        <v>198</v>
      </c>
      <c r="AD102" s="51"/>
      <c r="AE102" s="51"/>
      <c r="AH102" s="78"/>
      <c r="AI102" s="78"/>
      <c r="AK102" s="16" t="s">
        <v>39</v>
      </c>
      <c r="AL102" s="18">
        <f>SQRT((AL105+AL106)/(AL99*AL99))</f>
        <v>0</v>
      </c>
      <c r="AM102" s="18">
        <f>SQRT((AM105+AM106)/(AM99*AM99))</f>
        <v>5.7960769034715485</v>
      </c>
      <c r="AN102" s="18">
        <f>SQRT((AN105+AN106)/(AN99*AN99))</f>
        <v>0.21753413587565898</v>
      </c>
      <c r="AO102" s="18">
        <f>SQRT((AO105+AO106)/(AO99*AO99))</f>
        <v>0.66504223515134753</v>
      </c>
      <c r="AP102" s="18">
        <f>SQRT((AP105+AP106)/(AP99*AP99))</f>
        <v>1.7097909686991446</v>
      </c>
      <c r="AQ102" s="1"/>
    </row>
    <row r="103" spans="1:51" x14ac:dyDescent="0.3">
      <c r="A103" t="s">
        <v>4</v>
      </c>
      <c r="B103" s="13">
        <v>1</v>
      </c>
      <c r="C103" s="5">
        <v>0</v>
      </c>
      <c r="D103" s="27">
        <v>299</v>
      </c>
      <c r="E103" s="1">
        <v>45</v>
      </c>
      <c r="F103" s="1">
        <v>0</v>
      </c>
      <c r="G103" s="6">
        <v>3</v>
      </c>
      <c r="H103" s="1">
        <f>SUM(C103:G103)</f>
        <v>347</v>
      </c>
      <c r="I103" s="10">
        <f>D103/H103</f>
        <v>0.86167146974063402</v>
      </c>
      <c r="J103" s="11">
        <f>1-I103</f>
        <v>0.13832853025936598</v>
      </c>
      <c r="K103">
        <f>H103-D107</f>
        <v>-228</v>
      </c>
      <c r="N103" s="10">
        <f>2*(D108*I103)/(D108+I103)</f>
        <v>0.64859002169197399</v>
      </c>
      <c r="O103" s="1"/>
      <c r="P103" s="1"/>
      <c r="R103" s="16" t="s">
        <v>66</v>
      </c>
      <c r="S103" t="s">
        <v>9</v>
      </c>
      <c r="T103" s="30">
        <f>N258</f>
        <v>3355.19</v>
      </c>
      <c r="U103" s="30">
        <f>N259</f>
        <v>10053.56</v>
      </c>
      <c r="V103" s="30">
        <f>N260</f>
        <v>125230.85</v>
      </c>
      <c r="W103" s="30">
        <f>N261</f>
        <v>40928.54</v>
      </c>
      <c r="X103" s="30">
        <f>N262</f>
        <v>18519.54</v>
      </c>
      <c r="Z103" t="s">
        <v>36</v>
      </c>
      <c r="AA103" s="1">
        <f>N263</f>
        <v>198087.68000000002</v>
      </c>
      <c r="AC103" t="s">
        <v>199</v>
      </c>
      <c r="AD103" s="51"/>
      <c r="AE103" s="51"/>
      <c r="AK103" s="1" t="s">
        <v>37</v>
      </c>
      <c r="AL103" s="18">
        <f>100-AL101</f>
        <v>0</v>
      </c>
      <c r="AM103" s="18">
        <f>100-AM101</f>
        <v>39.794886766773921</v>
      </c>
      <c r="AN103" s="18">
        <f>100-AN101</f>
        <v>2.7553840613192193</v>
      </c>
      <c r="AO103" s="18">
        <f>100-AO101</f>
        <v>7.6005093327165412</v>
      </c>
      <c r="AP103" s="18">
        <f>100-AP101</f>
        <v>13.458317542804792</v>
      </c>
    </row>
    <row r="104" spans="1:51" ht="15.6" x14ac:dyDescent="0.35">
      <c r="A104" t="s">
        <v>5</v>
      </c>
      <c r="B104" s="13">
        <v>2</v>
      </c>
      <c r="C104" s="5">
        <v>0</v>
      </c>
      <c r="D104" s="1">
        <v>269</v>
      </c>
      <c r="E104" s="27">
        <v>7040</v>
      </c>
      <c r="F104" s="1">
        <v>17</v>
      </c>
      <c r="G104" s="6">
        <v>24</v>
      </c>
      <c r="H104" s="1">
        <f>SUM(C104:G104)</f>
        <v>7350</v>
      </c>
      <c r="I104" s="10">
        <f>E104/H104</f>
        <v>0.95782312925170066</v>
      </c>
      <c r="J104" s="11">
        <f>1-I104</f>
        <v>4.2176870748299344E-2</v>
      </c>
      <c r="K104">
        <f>H104-E107</f>
        <v>154</v>
      </c>
      <c r="N104" s="10">
        <f>2*(E108*I104)/(E108+I104)</f>
        <v>0.96796370136119891</v>
      </c>
      <c r="O104" s="1"/>
      <c r="P104" s="1"/>
      <c r="R104" s="16" t="s">
        <v>323</v>
      </c>
      <c r="S104" t="s">
        <v>68</v>
      </c>
      <c r="T104" s="57">
        <f>$AA103*T96/100</f>
        <v>3355.1900000000005</v>
      </c>
      <c r="U104" s="57">
        <f>$AA103*U96/100</f>
        <v>13905.279953778794</v>
      </c>
      <c r="V104" s="57">
        <f>$AA103*V96/100</f>
        <v>122484.56919721166</v>
      </c>
      <c r="W104" s="57">
        <f>$AA103*W96/100</f>
        <v>40563.153907447078</v>
      </c>
      <c r="X104" s="57">
        <f>$AA103*X96/100</f>
        <v>17779.486941562482</v>
      </c>
      <c r="Z104" t="s">
        <v>36</v>
      </c>
      <c r="AA104" s="25">
        <f>SUM(T104:X104)</f>
        <v>198087.68000000002</v>
      </c>
      <c r="AC104" t="s">
        <v>200</v>
      </c>
      <c r="AD104" s="51"/>
      <c r="AE104" s="51"/>
      <c r="AH104" s="78"/>
      <c r="AI104" s="78"/>
      <c r="AK104" s="1" t="s">
        <v>25</v>
      </c>
      <c r="AL104" s="1">
        <f>AL88</f>
        <v>259</v>
      </c>
      <c r="AM104" s="1">
        <f>AM88</f>
        <v>620</v>
      </c>
      <c r="AN104" s="1">
        <f>AN88</f>
        <v>7106</v>
      </c>
      <c r="AO104" s="1">
        <f>AO88</f>
        <v>2581</v>
      </c>
      <c r="AP104" s="1">
        <f>AP88</f>
        <v>1016</v>
      </c>
    </row>
    <row r="105" spans="1:51" x14ac:dyDescent="0.3">
      <c r="A105" t="s">
        <v>6</v>
      </c>
      <c r="B105" s="13">
        <v>3</v>
      </c>
      <c r="C105" s="5">
        <v>0</v>
      </c>
      <c r="D105" s="1">
        <v>7</v>
      </c>
      <c r="E105" s="1">
        <v>108</v>
      </c>
      <c r="F105" s="27">
        <v>2409</v>
      </c>
      <c r="G105" s="6">
        <v>114</v>
      </c>
      <c r="H105" s="1">
        <f>SUM(C105:G105)</f>
        <v>2638</v>
      </c>
      <c r="I105" s="10">
        <f>F105/H105</f>
        <v>0.91319181197877175</v>
      </c>
      <c r="J105" s="11">
        <f>1-I105</f>
        <v>8.680818802122825E-2</v>
      </c>
      <c r="K105">
        <f>H105-F107</f>
        <v>77</v>
      </c>
      <c r="N105" s="10">
        <f>2*(F108*I105)/(F108+I105)</f>
        <v>0.92671667628390075</v>
      </c>
      <c r="O105" s="1"/>
      <c r="P105" s="1"/>
      <c r="R105" s="66"/>
      <c r="S105" s="66" t="s">
        <v>67</v>
      </c>
      <c r="T105" s="67">
        <f>$AA103*T97/100</f>
        <v>0</v>
      </c>
      <c r="U105" s="67">
        <f>$AA103*U97/100</f>
        <v>343.72935449214992</v>
      </c>
      <c r="V105" s="67">
        <f>$AA103*V97/100</f>
        <v>387.16869919191248</v>
      </c>
      <c r="W105" s="67">
        <f>$AA103*W97/100</f>
        <v>301.17714077739515</v>
      </c>
      <c r="X105" s="67">
        <f>$AA103*X97/100</f>
        <v>266.87437619165348</v>
      </c>
      <c r="AA105" s="1"/>
      <c r="AC105" t="s">
        <v>201</v>
      </c>
      <c r="AD105" s="51"/>
      <c r="AE105" s="51"/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1616.4765264580815</v>
      </c>
      <c r="AN105" s="18">
        <f>(AX96*AX96*(100-AN101)*(100-AN101)*(AR96)*(100-AR96))/((AU96-1)*100)</f>
        <v>21.950442285812063</v>
      </c>
      <c r="AO105" s="18">
        <f>(AX97*AX97*(100-AO101)*(100-AO101)*(AR97)*(100-AR97))/((AU97-1)*100)</f>
        <v>71.290956346216873</v>
      </c>
      <c r="AP105" s="18">
        <f>(AX98*AX98*(100-AP101)*(100-AP101)*(AR98)*(100-AR98))/((AU98-1)*100)</f>
        <v>183.3600026859562</v>
      </c>
    </row>
    <row r="106" spans="1:51" x14ac:dyDescent="0.3">
      <c r="A106" t="s">
        <v>7</v>
      </c>
      <c r="B106" s="13">
        <v>4</v>
      </c>
      <c r="C106" s="7">
        <v>0</v>
      </c>
      <c r="D106" s="8">
        <v>0</v>
      </c>
      <c r="E106" s="8">
        <v>3</v>
      </c>
      <c r="F106" s="8">
        <v>135</v>
      </c>
      <c r="G106" s="28">
        <v>852</v>
      </c>
      <c r="H106" s="1">
        <f>SUM(C106:G106)</f>
        <v>990</v>
      </c>
      <c r="I106" s="10">
        <f>G106/H106</f>
        <v>0.8606060606060606</v>
      </c>
      <c r="J106" s="11">
        <f>1-I106</f>
        <v>0.1393939393939394</v>
      </c>
      <c r="K106">
        <f>H106-G107</f>
        <v>-3</v>
      </c>
      <c r="N106" s="10">
        <f>2*(G108*I106)/(G108+I106)</f>
        <v>0.85930408472012099</v>
      </c>
      <c r="O106" s="1"/>
      <c r="P106" s="1"/>
      <c r="R106" t="s">
        <v>102</v>
      </c>
      <c r="S106" t="s">
        <v>28</v>
      </c>
      <c r="T106" s="57">
        <f>C292</f>
        <v>1.6992476109189432</v>
      </c>
      <c r="U106" s="57">
        <f t="shared" ref="U106:X109" si="16">D292</f>
        <v>7.3625655882628154</v>
      </c>
      <c r="V106" s="57">
        <f t="shared" si="16"/>
        <v>61.572867662191065</v>
      </c>
      <c r="W106" s="57">
        <f t="shared" si="16"/>
        <v>19.882466112109658</v>
      </c>
      <c r="X106" s="57">
        <f t="shared" si="16"/>
        <v>9.4828530265175246</v>
      </c>
      <c r="Y106" s="60"/>
      <c r="Z106" s="74"/>
      <c r="AA106" s="12"/>
      <c r="AC106" t="s">
        <v>202</v>
      </c>
      <c r="AD106" s="51"/>
      <c r="AE106" s="51"/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84.496551107424565</v>
      </c>
      <c r="AN106" s="18">
        <f>AN101*AN101*(SUM((AQ94*AN94*(1-AN83/AQ83))/(AQ83-1),(AQ95*AN95*(1-AN84/AQ84))/(AQ84-1), (AQ97*AN97*(1-AN86/AQ86))/(AQ86-1),(AQ98*AN98*(1-AN87/AQ87))/(AQ87-1)))</f>
        <v>156.53760911976684</v>
      </c>
      <c r="AO106" s="18">
        <f>AO101*AO101*(SUM((AQ94*AO94*(1-AO83/AQ83))/(AQ83-1),(AQ95*AO95*(1-AO84/AQ84))/(AQ84-1), (AQ96*AO96*(1-AO85/AQ85))/(AQ85-1),(AQ98*AO98*(1-AO87/AQ87))/(AQ87-1)))</f>
        <v>111.27960420175552</v>
      </c>
      <c r="AP106" s="18">
        <f>AP101*AP101*(SUM((AQ94*AP94*(1-AP83/AQ83))/(AQ83-1),(AQ95*AP95*(1-AP84/AQ84))/(AQ84-1), (AQ96*AP96*(1-AP85/AQ85))/(AQ85-1),(AQ97*AP97*(1-AP86/AQ86))/(AQ86-1)))</f>
        <v>77.476378760839665</v>
      </c>
    </row>
    <row r="107" spans="1:51" ht="15.6" x14ac:dyDescent="0.35">
      <c r="B107" s="1" t="s">
        <v>19</v>
      </c>
      <c r="C107" s="1">
        <f>SUM(C102:C106)</f>
        <v>259</v>
      </c>
      <c r="D107" s="1">
        <f>SUM(D102:D106)</f>
        <v>575</v>
      </c>
      <c r="E107" s="1">
        <f>SUM(E102:E106)</f>
        <v>7196</v>
      </c>
      <c r="F107" s="1">
        <f>SUM(F102:F106)</f>
        <v>2561</v>
      </c>
      <c r="G107" s="1">
        <f>SUM(G102:G106)</f>
        <v>993</v>
      </c>
      <c r="H107" s="1">
        <f>SUM(H101:H106)</f>
        <v>11584</v>
      </c>
      <c r="I107" s="13" t="s">
        <v>12</v>
      </c>
      <c r="N107" s="16"/>
      <c r="O107" s="1"/>
      <c r="P107" s="1"/>
      <c r="S107" s="66" t="s">
        <v>39</v>
      </c>
      <c r="T107" s="67">
        <f>C293</f>
        <v>0</v>
      </c>
      <c r="U107" s="67">
        <f t="shared" si="16"/>
        <v>0.17296350593826496</v>
      </c>
      <c r="V107" s="67">
        <f t="shared" si="16"/>
        <v>0.19557537728510938</v>
      </c>
      <c r="W107" s="67">
        <f t="shared" si="16"/>
        <v>0.15482255320314242</v>
      </c>
      <c r="X107" s="67">
        <f t="shared" si="16"/>
        <v>0.13799313937504781</v>
      </c>
      <c r="AC107" t="s">
        <v>203</v>
      </c>
      <c r="AD107" s="51"/>
      <c r="AE107" s="51"/>
    </row>
    <row r="108" spans="1:51" x14ac:dyDescent="0.3">
      <c r="A108" s="1" t="s">
        <v>321</v>
      </c>
      <c r="B108" s="1" t="s">
        <v>2</v>
      </c>
      <c r="C108" s="10">
        <f>C102/C107</f>
        <v>1</v>
      </c>
      <c r="D108" s="10">
        <f>D103/D107</f>
        <v>0.52</v>
      </c>
      <c r="E108" s="10">
        <f>E104/E107</f>
        <v>0.97832128960533626</v>
      </c>
      <c r="F108" s="10">
        <f>F105/F107</f>
        <v>0.94064818430300667</v>
      </c>
      <c r="G108" s="10">
        <f>G106/G107</f>
        <v>0.85800604229607247</v>
      </c>
      <c r="H108" s="10"/>
      <c r="I108" s="14">
        <f>(C102+D103+E104+F105+G106)/H107</f>
        <v>0.93741367403314912</v>
      </c>
      <c r="S108" t="s">
        <v>30</v>
      </c>
      <c r="T108" s="57">
        <f>C294</f>
        <v>100</v>
      </c>
      <c r="U108" s="57">
        <f t="shared" si="16"/>
        <v>64.494176288124152</v>
      </c>
      <c r="V108" s="57">
        <f t="shared" si="16"/>
        <v>97.591958644413737</v>
      </c>
      <c r="W108" s="57">
        <f t="shared" si="16"/>
        <v>93.399828212363246</v>
      </c>
      <c r="X108" s="57">
        <f t="shared" si="16"/>
        <v>88.13932771184713</v>
      </c>
      <c r="AC108" t="s">
        <v>204</v>
      </c>
      <c r="AD108" s="51"/>
      <c r="AE108" s="51"/>
      <c r="AH108" s="78"/>
      <c r="AI108" s="78"/>
      <c r="AJ108" s="118" t="s">
        <v>375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</row>
    <row r="109" spans="1:51" x14ac:dyDescent="0.3">
      <c r="B109" s="1" t="s">
        <v>14</v>
      </c>
      <c r="C109" s="11">
        <f>1-C108</f>
        <v>0</v>
      </c>
      <c r="D109" s="11">
        <f>1-D108</f>
        <v>0.48</v>
      </c>
      <c r="E109" s="11">
        <f>1-E108</f>
        <v>2.1678710394663736E-2</v>
      </c>
      <c r="F109" s="11">
        <f>1-F108</f>
        <v>5.9351815696993326E-2</v>
      </c>
      <c r="G109" s="11">
        <f>1-G108</f>
        <v>0.14199395770392753</v>
      </c>
      <c r="S109" s="66" t="s">
        <v>39</v>
      </c>
      <c r="T109" s="67">
        <f>C295</f>
        <v>0</v>
      </c>
      <c r="U109" s="67">
        <f t="shared" si="16"/>
        <v>4.6251989305490682</v>
      </c>
      <c r="V109" s="67">
        <f t="shared" si="16"/>
        <v>0.20243976070155731</v>
      </c>
      <c r="W109" s="67">
        <f t="shared" si="16"/>
        <v>0.6223700155268338</v>
      </c>
      <c r="X109" s="67">
        <f t="shared" si="16"/>
        <v>1.540901194283133</v>
      </c>
      <c r="AC109" t="s">
        <v>205</v>
      </c>
      <c r="AD109" s="51"/>
      <c r="AE109" s="51"/>
      <c r="AJ109" s="106" t="s">
        <v>463</v>
      </c>
      <c r="AK109" s="107" t="s">
        <v>28</v>
      </c>
      <c r="AL109" s="108">
        <f t="shared" ref="AL109:AP112" si="17">AL99</f>
        <v>1.7058103616444171</v>
      </c>
      <c r="AM109" s="108">
        <f t="shared" si="17"/>
        <v>7.1156500428965668</v>
      </c>
      <c r="AN109" s="108">
        <f t="shared" si="17"/>
        <v>61.415381957030903</v>
      </c>
      <c r="AO109" s="108">
        <f t="shared" si="17"/>
        <v>20.317307206357878</v>
      </c>
      <c r="AP109" s="108">
        <f t="shared" si="17"/>
        <v>9.4458504320702286</v>
      </c>
      <c r="AQ109" s="107"/>
      <c r="AR109" s="232" t="s">
        <v>77</v>
      </c>
      <c r="AS109" s="233">
        <f>AR100</f>
        <v>0.92660634100924721</v>
      </c>
    </row>
    <row r="110" spans="1:51" x14ac:dyDescent="0.3">
      <c r="C110" s="2"/>
      <c r="S110" s="15" t="s">
        <v>31</v>
      </c>
      <c r="T110" s="71">
        <f>I287</f>
        <v>100</v>
      </c>
      <c r="U110" s="71">
        <f>I288</f>
        <v>88.472622478386171</v>
      </c>
      <c r="V110" s="71">
        <f>I289</f>
        <v>95.455782312925166</v>
      </c>
      <c r="W110" s="71">
        <f>I290</f>
        <v>91.053828658074309</v>
      </c>
      <c r="X110" s="71">
        <f>I291</f>
        <v>87.171717171717162</v>
      </c>
      <c r="AC110" t="s">
        <v>206</v>
      </c>
      <c r="AD110" s="51"/>
      <c r="AE110" s="51"/>
      <c r="AH110" s="78"/>
      <c r="AI110" s="78"/>
      <c r="AJ110" s="107"/>
      <c r="AK110" s="109" t="s">
        <v>39</v>
      </c>
      <c r="AL110" s="110">
        <f t="shared" si="17"/>
        <v>0</v>
      </c>
      <c r="AM110" s="110">
        <f t="shared" si="17"/>
        <v>0.18299259499826884</v>
      </c>
      <c r="AN110" s="110">
        <f t="shared" si="17"/>
        <v>0.21314622235046171</v>
      </c>
      <c r="AO110" s="110">
        <f t="shared" si="17"/>
        <v>0.15924629276799968</v>
      </c>
      <c r="AP110" s="110">
        <f t="shared" si="17"/>
        <v>0.14301246828884673</v>
      </c>
      <c r="AQ110" s="107"/>
      <c r="AR110" s="232" t="s">
        <v>29</v>
      </c>
      <c r="AS110" s="234">
        <f>AS100</f>
        <v>2.4816070541914823E-3</v>
      </c>
      <c r="AX110" s="103" t="s">
        <v>386</v>
      </c>
    </row>
    <row r="111" spans="1:51" ht="15.6" x14ac:dyDescent="0.35">
      <c r="A111" t="s">
        <v>322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</v>
      </c>
      <c r="U111" s="76">
        <f>J288</f>
        <v>1.7168472580917817</v>
      </c>
      <c r="V111" s="76">
        <f>J289</f>
        <v>0.24294980835172764</v>
      </c>
      <c r="W111" s="76">
        <f>J290</f>
        <v>0.55579245508882691</v>
      </c>
      <c r="X111" s="76">
        <f>J291</f>
        <v>1.063344325801014</v>
      </c>
      <c r="AC111" t="s">
        <v>160</v>
      </c>
      <c r="AD111" s="51"/>
      <c r="AE111" s="51"/>
      <c r="AJ111" s="107"/>
      <c r="AK111" s="107" t="s">
        <v>30</v>
      </c>
      <c r="AL111" s="108">
        <f t="shared" si="17"/>
        <v>100</v>
      </c>
      <c r="AM111" s="108">
        <f t="shared" si="17"/>
        <v>60.205113233226079</v>
      </c>
      <c r="AN111" s="108">
        <f t="shared" si="17"/>
        <v>97.244615938680781</v>
      </c>
      <c r="AO111" s="108">
        <f t="shared" si="17"/>
        <v>92.399490667283459</v>
      </c>
      <c r="AP111" s="108">
        <f t="shared" si="17"/>
        <v>86.541682457195208</v>
      </c>
      <c r="AQ111" s="107"/>
      <c r="AR111" s="107"/>
      <c r="AS111" s="107"/>
      <c r="AU111" s="103" t="s">
        <v>386</v>
      </c>
      <c r="AW111" s="101"/>
      <c r="AX111" s="1" t="s">
        <v>380</v>
      </c>
      <c r="AY111" s="96"/>
    </row>
    <row r="112" spans="1:51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56</v>
      </c>
      <c r="T112" s="67">
        <f>N276*100</f>
        <v>100</v>
      </c>
      <c r="U112" s="67">
        <f>N277*100</f>
        <v>63.958333333333314</v>
      </c>
      <c r="V112" s="67">
        <f>N278*100</f>
        <v>96.652431464389039</v>
      </c>
      <c r="W112" s="67">
        <f>N279*100</f>
        <v>92.795055051187944</v>
      </c>
      <c r="X112" s="67">
        <f>N280*100</f>
        <v>86.516290726817033</v>
      </c>
      <c r="AC112" t="s">
        <v>207</v>
      </c>
      <c r="AD112" s="51"/>
      <c r="AE112" s="51"/>
      <c r="AH112" s="78"/>
      <c r="AI112" s="78"/>
      <c r="AJ112" s="107"/>
      <c r="AK112" s="109" t="s">
        <v>39</v>
      </c>
      <c r="AL112" s="110">
        <f t="shared" si="17"/>
        <v>0</v>
      </c>
      <c r="AM112" s="110">
        <f t="shared" si="17"/>
        <v>5.7960769034715485</v>
      </c>
      <c r="AN112" s="110">
        <f t="shared" si="17"/>
        <v>0.21753413587565898</v>
      </c>
      <c r="AO112" s="110">
        <f t="shared" si="17"/>
        <v>0.66504223515134753</v>
      </c>
      <c r="AP112" s="110">
        <f t="shared" si="17"/>
        <v>1.7097909686991446</v>
      </c>
      <c r="AQ112" s="107"/>
      <c r="AR112" s="107"/>
      <c r="AS112" s="107"/>
      <c r="AU112" s="93"/>
      <c r="AV112" s="1" t="s">
        <v>380</v>
      </c>
      <c r="AW112" s="97"/>
      <c r="AX112" s="71" t="s">
        <v>381</v>
      </c>
      <c r="AY112" s="95"/>
    </row>
    <row r="113" spans="1:51" x14ac:dyDescent="0.3">
      <c r="A113" t="s">
        <v>3</v>
      </c>
      <c r="B113" s="13">
        <v>0</v>
      </c>
      <c r="C113" s="29">
        <f>(C102/$L113)*$O113</f>
        <v>1.6428433755035519</v>
      </c>
      <c r="D113" s="31">
        <f>(D102/$L113)*$O113</f>
        <v>0</v>
      </c>
      <c r="E113" s="31">
        <f>(E102/$L113)*$O113</f>
        <v>0</v>
      </c>
      <c r="F113" s="31">
        <f>(F102/$L113)*$O113</f>
        <v>0</v>
      </c>
      <c r="G113" s="32">
        <f>(G102/$L113)*$O113</f>
        <v>0</v>
      </c>
      <c r="H113" s="17">
        <f>SUM(C113:G113)</f>
        <v>1.6428433755035519</v>
      </c>
      <c r="I113" s="17">
        <f>C113/H113*100</f>
        <v>100</v>
      </c>
      <c r="J113" s="17">
        <f>SQRT(I113*(100-I113)/(L113-1))</f>
        <v>0</v>
      </c>
      <c r="K113" s="18">
        <f>100-I113</f>
        <v>0</v>
      </c>
      <c r="L113" s="1">
        <f>H102</f>
        <v>259</v>
      </c>
      <c r="M113">
        <v>0</v>
      </c>
      <c r="N113" s="1">
        <v>3254.27</v>
      </c>
      <c r="O113" s="17">
        <f>N113/N118*100</f>
        <v>1.6428433755035519</v>
      </c>
      <c r="P113" s="52">
        <f>((O113*O113*(I113/100)*(K113/100))/(L113-1))</f>
        <v>0</v>
      </c>
      <c r="R113" s="16" t="s">
        <v>66</v>
      </c>
      <c r="S113" t="s">
        <v>9</v>
      </c>
      <c r="T113" s="30">
        <f>N287</f>
        <v>3366</v>
      </c>
      <c r="U113" s="30">
        <f>N288</f>
        <v>10631.59</v>
      </c>
      <c r="V113" s="30">
        <f>N289</f>
        <v>124697.75</v>
      </c>
      <c r="W113" s="30">
        <f>N290</f>
        <v>40399.46</v>
      </c>
      <c r="X113" s="30">
        <f>N291</f>
        <v>18992.87</v>
      </c>
      <c r="Z113" t="s">
        <v>36</v>
      </c>
      <c r="AA113" s="1">
        <f>N292</f>
        <v>198087.66999999998</v>
      </c>
      <c r="AC113" t="s">
        <v>161</v>
      </c>
      <c r="AD113" s="51"/>
      <c r="AE113" s="51"/>
      <c r="AJ113" s="107"/>
      <c r="AK113" s="111" t="s">
        <v>31</v>
      </c>
      <c r="AL113" s="112">
        <f>AR94</f>
        <v>100</v>
      </c>
      <c r="AM113" s="112">
        <f>AR95</f>
        <v>83.861671469740628</v>
      </c>
      <c r="AN113" s="112">
        <f>AR96</f>
        <v>94.37942297223735</v>
      </c>
      <c r="AO113" s="112">
        <f>AR97</f>
        <v>91.546626231993926</v>
      </c>
      <c r="AP113" s="112">
        <f>AR98</f>
        <v>86.969696969696969</v>
      </c>
      <c r="AQ113" s="107"/>
      <c r="AR113" s="107"/>
      <c r="AS113" s="107"/>
      <c r="AU113" s="94"/>
      <c r="AV113" s="71" t="s">
        <v>383</v>
      </c>
      <c r="AW113" s="98"/>
      <c r="AX113" s="71" t="s">
        <v>382</v>
      </c>
      <c r="AY113" s="93"/>
    </row>
    <row r="114" spans="1:51" ht="15.6" x14ac:dyDescent="0.35">
      <c r="A114" t="s">
        <v>4</v>
      </c>
      <c r="B114" s="13">
        <v>1</v>
      </c>
      <c r="C114" s="33">
        <f t="shared" ref="C114:G117" si="18">(C103/$L114)*$O114</f>
        <v>0</v>
      </c>
      <c r="D114" s="34">
        <f t="shared" si="18"/>
        <v>4.3947765056960693</v>
      </c>
      <c r="E114" s="19">
        <f t="shared" si="18"/>
        <v>0.66142121323184988</v>
      </c>
      <c r="F114" s="18">
        <f t="shared" si="18"/>
        <v>0</v>
      </c>
      <c r="G114" s="20">
        <f t="shared" si="18"/>
        <v>4.4094747548789996E-2</v>
      </c>
      <c r="H114" s="17">
        <f>SUM(C114:G114)</f>
        <v>5.1002924664767093</v>
      </c>
      <c r="I114" s="17">
        <f>D114/H114*100</f>
        <v>86.1671469740634</v>
      </c>
      <c r="J114" s="17">
        <f>SQRT(I114*(100-I114)/(L114-1))</f>
        <v>1.8560457997735205</v>
      </c>
      <c r="K114" s="18">
        <f>100-I114</f>
        <v>13.8328530259366</v>
      </c>
      <c r="L114" s="1">
        <f>H103</f>
        <v>347</v>
      </c>
      <c r="M114">
        <v>1</v>
      </c>
      <c r="N114" s="1">
        <v>10103.049999999999</v>
      </c>
      <c r="O114" s="17">
        <f>N114/N118*100</f>
        <v>5.1002924664767093</v>
      </c>
      <c r="P114" s="52">
        <f>((O114*O114*(I114/100)*(K114/100))/(L114-1))</f>
        <v>8.9612282336194969E-3</v>
      </c>
      <c r="R114" s="16" t="s">
        <v>323</v>
      </c>
      <c r="S114" t="s">
        <v>68</v>
      </c>
      <c r="T114" s="57">
        <f>$AA113*T106/100</f>
        <v>3366</v>
      </c>
      <c r="U114" s="57">
        <f>$AA113*U106/100</f>
        <v>14584.334626011603</v>
      </c>
      <c r="V114" s="57">
        <f>$AA113*V106/100</f>
        <v>121968.25890421774</v>
      </c>
      <c r="W114" s="57">
        <f>$AA113*W106/100</f>
        <v>39384.713860017604</v>
      </c>
      <c r="X114" s="57">
        <f>$AA113*X106/100</f>
        <v>18784.362609753047</v>
      </c>
      <c r="Z114" t="s">
        <v>36</v>
      </c>
      <c r="AA114" s="25">
        <f>SUM(T114:X114)</f>
        <v>198087.66999999998</v>
      </c>
      <c r="AC114" t="s">
        <v>208</v>
      </c>
      <c r="AD114" s="51"/>
      <c r="AE114" s="51"/>
      <c r="AH114" s="78"/>
      <c r="AI114" s="78"/>
      <c r="AJ114" s="107"/>
      <c r="AK114" s="113" t="s">
        <v>39</v>
      </c>
      <c r="AL114" s="114">
        <f>AS94</f>
        <v>0</v>
      </c>
      <c r="AM114" s="114">
        <f>AS95</f>
        <v>1.9777572436142541</v>
      </c>
      <c r="AN114" s="114">
        <f>AS96</f>
        <v>0.26870397492424902</v>
      </c>
      <c r="AO114" s="114">
        <f>AS97</f>
        <v>0.54172782493243543</v>
      </c>
      <c r="AP114" s="114">
        <f>AS98</f>
        <v>1.070441875992074</v>
      </c>
      <c r="AQ114" s="107"/>
      <c r="AR114" s="107"/>
      <c r="AS114" s="107"/>
      <c r="AU114" s="95"/>
      <c r="AV114" s="1" t="s">
        <v>384</v>
      </c>
      <c r="AW114" s="99"/>
      <c r="AX114" s="1" t="s">
        <v>387</v>
      </c>
      <c r="AY114" s="99"/>
    </row>
    <row r="115" spans="1:51" x14ac:dyDescent="0.3">
      <c r="A115" t="s">
        <v>5</v>
      </c>
      <c r="B115" s="13">
        <v>2</v>
      </c>
      <c r="C115" s="33">
        <f t="shared" si="18"/>
        <v>0</v>
      </c>
      <c r="D115" s="19">
        <f t="shared" si="18"/>
        <v>2.3089550504720848</v>
      </c>
      <c r="E115" s="34">
        <f t="shared" si="18"/>
        <v>60.427671209380961</v>
      </c>
      <c r="F115" s="19">
        <f t="shared" si="18"/>
        <v>0.14591909240901654</v>
      </c>
      <c r="G115" s="20">
        <f t="shared" si="18"/>
        <v>0.20600342457743512</v>
      </c>
      <c r="H115" s="17">
        <f>SUM(C115:G115)</f>
        <v>63.088548776839495</v>
      </c>
      <c r="I115" s="17">
        <f>E115/H115*100</f>
        <v>95.782312925170075</v>
      </c>
      <c r="J115" s="17">
        <f>SQRT(I115*(100-I115)/(L115-1))</f>
        <v>0.23445835507447182</v>
      </c>
      <c r="K115" s="18">
        <f>100-I115</f>
        <v>4.2176870748299251</v>
      </c>
      <c r="L115" s="1">
        <f>H104</f>
        <v>7350</v>
      </c>
      <c r="M115">
        <v>2</v>
      </c>
      <c r="N115" s="1">
        <v>124970.63</v>
      </c>
      <c r="O115" s="17">
        <f>N115/N118*100</f>
        <v>63.088548776839502</v>
      </c>
      <c r="P115" s="52">
        <f>((O115*O115*(I115/100)*(K115/100))/(L115-1))</f>
        <v>2.1879253609307613E-2</v>
      </c>
      <c r="R115" s="66"/>
      <c r="S115" s="66" t="s">
        <v>67</v>
      </c>
      <c r="T115" s="67">
        <f>$AA113*T107/100</f>
        <v>0</v>
      </c>
      <c r="U115" s="67">
        <f>$AA113*U107/100</f>
        <v>342.61937886342065</v>
      </c>
      <c r="V115" s="67">
        <f>$AA113*V107/100</f>
        <v>387.41070795778234</v>
      </c>
      <c r="W115" s="67">
        <f>$AA113*W107/100</f>
        <v>306.68438827461517</v>
      </c>
      <c r="X115" s="67">
        <f>$AA113*X107/100</f>
        <v>273.34739454788473</v>
      </c>
      <c r="AA115" s="1"/>
      <c r="AC115" t="s">
        <v>209</v>
      </c>
      <c r="AD115" s="51"/>
      <c r="AE115" s="51"/>
      <c r="AJ115" s="107"/>
      <c r="AK115" s="109" t="s">
        <v>56</v>
      </c>
      <c r="AL115" s="110">
        <f>AW83*100</f>
        <v>100</v>
      </c>
      <c r="AM115" s="110">
        <f>AW84*100</f>
        <v>60.186142709410554</v>
      </c>
      <c r="AN115" s="110">
        <f>AW85*100</f>
        <v>95.959595959595958</v>
      </c>
      <c r="AO115" s="110">
        <f>AW86*100</f>
        <v>92.546464840007673</v>
      </c>
      <c r="AP115" s="110">
        <f>AW87*100</f>
        <v>85.842472582253251</v>
      </c>
      <c r="AQ115" s="107"/>
      <c r="AR115" s="107"/>
      <c r="AS115" s="107"/>
      <c r="AU115" s="96"/>
      <c r="AV115" s="1" t="s">
        <v>385</v>
      </c>
      <c r="AW115" s="100"/>
      <c r="AX115" s="71" t="s">
        <v>388</v>
      </c>
      <c r="AY115" s="102"/>
    </row>
    <row r="116" spans="1:51" x14ac:dyDescent="0.3">
      <c r="A116" t="s">
        <v>6</v>
      </c>
      <c r="B116" s="13">
        <v>3</v>
      </c>
      <c r="C116" s="33">
        <f t="shared" si="18"/>
        <v>0</v>
      </c>
      <c r="D116" s="19">
        <f t="shared" si="18"/>
        <v>5.4504529729924679E-2</v>
      </c>
      <c r="E116" s="19">
        <f t="shared" si="18"/>
        <v>0.84092703011883785</v>
      </c>
      <c r="F116" s="34">
        <f t="shared" si="18"/>
        <v>18.757344588484077</v>
      </c>
      <c r="G116" s="20">
        <f t="shared" si="18"/>
        <v>0.88764519845877343</v>
      </c>
      <c r="H116" s="17">
        <f>SUM(C116:G116)</f>
        <v>20.540421346791614</v>
      </c>
      <c r="I116" s="17">
        <f>F116/H116*100</f>
        <v>91.319181197877171</v>
      </c>
      <c r="J116" s="17">
        <f>SQRT(I116*(100-I116)/(L116-1))</f>
        <v>0.54828489958229842</v>
      </c>
      <c r="K116" s="18">
        <f>100-I116</f>
        <v>8.680818802122829</v>
      </c>
      <c r="L116" s="1">
        <f>H105</f>
        <v>2638</v>
      </c>
      <c r="M116">
        <v>3</v>
      </c>
      <c r="N116" s="1">
        <v>40688.04</v>
      </c>
      <c r="O116" s="17">
        <f>N116/N118*100</f>
        <v>20.540421346791614</v>
      </c>
      <c r="P116" s="52">
        <f>((O116*O116*(I116/100)*(K116/100))/(L116-1))</f>
        <v>1.2683270831737439E-2</v>
      </c>
      <c r="R116" t="s">
        <v>103</v>
      </c>
      <c r="S116" t="s">
        <v>28</v>
      </c>
      <c r="T116" s="57">
        <f>C321</f>
        <v>1.7177343748856253</v>
      </c>
      <c r="U116" s="57">
        <f t="shared" ref="U116:X119" si="19">D321</f>
        <v>7.1585637096080816</v>
      </c>
      <c r="V116" s="57">
        <f t="shared" si="19"/>
        <v>61.423812783048611</v>
      </c>
      <c r="W116" s="57">
        <f t="shared" si="19"/>
        <v>20.626240778888622</v>
      </c>
      <c r="X116" s="57">
        <f t="shared" si="19"/>
        <v>9.0736483535690766</v>
      </c>
      <c r="Z116" s="74"/>
      <c r="AA116" s="12"/>
      <c r="AD116" s="51"/>
      <c r="AE116" s="51"/>
      <c r="AH116" s="78"/>
      <c r="AI116" s="78"/>
      <c r="AJ116" s="115" t="s">
        <v>379</v>
      </c>
      <c r="AK116" s="107" t="s">
        <v>9</v>
      </c>
      <c r="AL116" s="116">
        <f>AW94</f>
        <v>3379</v>
      </c>
      <c r="AM116" s="116">
        <f>AW95</f>
        <v>10119.1</v>
      </c>
      <c r="AN116" s="116">
        <f>AW96</f>
        <v>125349.57</v>
      </c>
      <c r="AO116" s="116">
        <f>AW97</f>
        <v>40621.019999999997</v>
      </c>
      <c r="AP116" s="116">
        <f>AW98</f>
        <v>18618.98</v>
      </c>
      <c r="AQ116" s="107"/>
      <c r="AR116" s="115" t="s">
        <v>36</v>
      </c>
      <c r="AS116" s="137">
        <f>AW99</f>
        <v>198087.67</v>
      </c>
      <c r="AW116" s="102"/>
      <c r="AX116" s="1" t="s">
        <v>385</v>
      </c>
      <c r="AY116" s="104"/>
    </row>
    <row r="117" spans="1:51" ht="15.6" x14ac:dyDescent="0.35">
      <c r="A117" t="s">
        <v>7</v>
      </c>
      <c r="B117" s="13">
        <v>4</v>
      </c>
      <c r="C117" s="35">
        <f t="shared" si="18"/>
        <v>0</v>
      </c>
      <c r="D117" s="36">
        <f t="shared" si="18"/>
        <v>0</v>
      </c>
      <c r="E117" s="21">
        <f t="shared" si="18"/>
        <v>2.9175436467844273E-2</v>
      </c>
      <c r="F117" s="21">
        <f t="shared" si="18"/>
        <v>1.3128946410529923</v>
      </c>
      <c r="G117" s="37">
        <f t="shared" si="18"/>
        <v>8.2858239568677732</v>
      </c>
      <c r="H117" s="17">
        <f>SUM(C117:G117)</f>
        <v>9.6278940343886106</v>
      </c>
      <c r="I117" s="17">
        <f>G117/H117*100</f>
        <v>86.060606060606048</v>
      </c>
      <c r="J117" s="17">
        <f>SQRT(I117*(100-I117)/(L117-1))</f>
        <v>1.1013516332959159</v>
      </c>
      <c r="K117" s="18">
        <f>100-I117</f>
        <v>13.939393939393952</v>
      </c>
      <c r="L117" s="1">
        <f>H106</f>
        <v>990</v>
      </c>
      <c r="M117">
        <v>4</v>
      </c>
      <c r="N117" s="1">
        <v>19071.669999999998</v>
      </c>
      <c r="O117" s="17">
        <f>N117/N118*100</f>
        <v>9.6278940343886106</v>
      </c>
      <c r="P117" s="52">
        <f>((O117*O117*(I117/100)*(K117/100))/(L117-1))</f>
        <v>1.1243838624992465E-2</v>
      </c>
      <c r="S117" s="66" t="s">
        <v>39</v>
      </c>
      <c r="T117" s="67">
        <f>C322</f>
        <v>0</v>
      </c>
      <c r="U117" s="67">
        <f t="shared" si="19"/>
        <v>0.17453975530270058</v>
      </c>
      <c r="V117" s="67">
        <f t="shared" si="19"/>
        <v>0.19795627213578018</v>
      </c>
      <c r="W117" s="67">
        <f t="shared" si="19"/>
        <v>0.16042274913969701</v>
      </c>
      <c r="X117" s="67">
        <f t="shared" si="19"/>
        <v>0.14326512221606688</v>
      </c>
      <c r="AD117" s="51"/>
      <c r="AE117" s="51"/>
      <c r="AJ117" s="115" t="s">
        <v>378</v>
      </c>
      <c r="AK117" s="107" t="s">
        <v>68</v>
      </c>
      <c r="AL117" s="108">
        <f>$AS116*AL109/100</f>
        <v>3379</v>
      </c>
      <c r="AM117" s="108">
        <f>$AS116*AM109/100</f>
        <v>14095.225375327811</v>
      </c>
      <c r="AN117" s="108">
        <f>$AS116*AN109/100</f>
        <v>121656.29914028292</v>
      </c>
      <c r="AO117" s="108">
        <f>$AS116*AO109/100</f>
        <v>40246.080451816415</v>
      </c>
      <c r="AP117" s="108">
        <f>$AS116*AP109/100</f>
        <v>18711.065032572849</v>
      </c>
      <c r="AQ117" s="107"/>
      <c r="AR117" s="115" t="s">
        <v>36</v>
      </c>
      <c r="AS117" s="137">
        <f>SUM(AL117:AP117)</f>
        <v>198087.66999999998</v>
      </c>
    </row>
    <row r="118" spans="1:51" x14ac:dyDescent="0.3">
      <c r="B118" t="s">
        <v>28</v>
      </c>
      <c r="C118" s="17">
        <f t="shared" ref="C118:H118" si="20">SUM(C113:C117)</f>
        <v>1.6428433755035519</v>
      </c>
      <c r="D118" s="17">
        <f t="shared" si="20"/>
        <v>6.758236085898079</v>
      </c>
      <c r="E118" s="17">
        <f t="shared" si="20"/>
        <v>61.959194889199487</v>
      </c>
      <c r="F118" s="17">
        <f t="shared" si="20"/>
        <v>20.216158321946086</v>
      </c>
      <c r="G118" s="17">
        <f t="shared" si="20"/>
        <v>9.4235673274527727</v>
      </c>
      <c r="H118" s="18">
        <f t="shared" si="20"/>
        <v>99.999999999999972</v>
      </c>
      <c r="I118" s="13" t="s">
        <v>24</v>
      </c>
      <c r="J118" s="12" t="s">
        <v>29</v>
      </c>
      <c r="N118" s="1">
        <f>SUM(N113:N117)</f>
        <v>198087.66000000003</v>
      </c>
      <c r="O118" s="17">
        <f>SUM(O113:O117)</f>
        <v>100</v>
      </c>
      <c r="S118" t="s">
        <v>30</v>
      </c>
      <c r="T118" s="57">
        <f>C323</f>
        <v>100</v>
      </c>
      <c r="U118" s="57">
        <f t="shared" si="19"/>
        <v>62.834815908494775</v>
      </c>
      <c r="V118" s="57">
        <f t="shared" si="19"/>
        <v>97.478167181965816</v>
      </c>
      <c r="W118" s="57">
        <f t="shared" si="19"/>
        <v>92.525323810326242</v>
      </c>
      <c r="X118" s="57">
        <f t="shared" si="19"/>
        <v>87.617940615039515</v>
      </c>
      <c r="AD118" s="51"/>
      <c r="AE118" s="51"/>
      <c r="AH118" s="78"/>
      <c r="AI118" s="78"/>
      <c r="AJ118" s="109"/>
      <c r="AK118" s="109" t="s">
        <v>377</v>
      </c>
      <c r="AL118" s="110">
        <f>$AS116*AL110/100</f>
        <v>0</v>
      </c>
      <c r="AM118" s="110">
        <f>$AS116*AM110/100</f>
        <v>362.48576770460727</v>
      </c>
      <c r="AN118" s="110">
        <f>$AS116*AN110/100</f>
        <v>422.21638554704884</v>
      </c>
      <c r="AO118" s="110">
        <f>$AS116*AO110/100</f>
        <v>315.44727090550907</v>
      </c>
      <c r="AP118" s="110">
        <f>$AS116*AP110/100</f>
        <v>283.29006624286535</v>
      </c>
      <c r="AQ118" s="107"/>
      <c r="AR118" s="107"/>
      <c r="AS118" s="107"/>
    </row>
    <row r="119" spans="1:51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0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0.16867775844081331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0.19209330630642898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0.15797166534769555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0.14230352388635467</v>
      </c>
      <c r="H119" s="1"/>
      <c r="I119" s="56">
        <f>(C113+D114+E115+F116+G117)/H118</f>
        <v>0.9350845963593245</v>
      </c>
      <c r="J119" s="53">
        <f>SQRT(SUM(P113:P117))/100</f>
        <v>2.340247664236779E-3</v>
      </c>
      <c r="M119" s="1"/>
      <c r="N119" s="9"/>
      <c r="S119" s="66" t="s">
        <v>39</v>
      </c>
      <c r="T119" s="67">
        <f>C324</f>
        <v>0</v>
      </c>
      <c r="U119" s="67">
        <f t="shared" si="19"/>
        <v>5.0163375810263853</v>
      </c>
      <c r="V119" s="67">
        <f t="shared" si="19"/>
        <v>0.20652541139389632</v>
      </c>
      <c r="W119" s="67">
        <f t="shared" si="19"/>
        <v>0.65233579500186922</v>
      </c>
      <c r="X119" s="67">
        <f t="shared" si="19"/>
        <v>1.7300401485759607</v>
      </c>
      <c r="AD119" s="51"/>
      <c r="AE119" s="51"/>
      <c r="AJ119" s="115" t="s">
        <v>410</v>
      </c>
      <c r="AK119" s="122" t="s">
        <v>9</v>
      </c>
      <c r="AL119" s="136">
        <f>AVERAGE(AR195:AR214)</f>
        <v>3357.8015000000005</v>
      </c>
      <c r="AM119" s="136">
        <f>AVERAGE(AS195:AS214)</f>
        <v>10233.491500000002</v>
      </c>
      <c r="AN119" s="136">
        <f>AVERAGE(AT195:AT214)</f>
        <v>124925.49850000002</v>
      </c>
      <c r="AO119" s="136">
        <f>AVERAGE(AU195:AU214)</f>
        <v>40790.301999999996</v>
      </c>
      <c r="AP119" s="136">
        <f>AVERAGE(AV195:AV214)</f>
        <v>18780.578500000003</v>
      </c>
      <c r="AQ119" s="107"/>
      <c r="AR119" s="115" t="s">
        <v>36</v>
      </c>
      <c r="AS119" s="137">
        <f>SUM(AL119:AP119)</f>
        <v>198087.67200000002</v>
      </c>
    </row>
    <row r="120" spans="1:51" x14ac:dyDescent="0.3">
      <c r="B120" s="1" t="s">
        <v>30</v>
      </c>
      <c r="C120" s="17">
        <f>C113/C118*100</f>
        <v>100</v>
      </c>
      <c r="D120" s="17">
        <f>D114/D118*100</f>
        <v>65.028454908024457</v>
      </c>
      <c r="E120" s="17">
        <f>E115/E118*100</f>
        <v>97.528173691479807</v>
      </c>
      <c r="F120" s="17">
        <f>F116/F118*100</f>
        <v>92.783922097214869</v>
      </c>
      <c r="G120" s="17">
        <f>G117/G118*100</f>
        <v>87.926617054345002</v>
      </c>
      <c r="H120" s="1"/>
      <c r="S120" s="15" t="s">
        <v>31</v>
      </c>
      <c r="T120" s="71">
        <f>I316</f>
        <v>100</v>
      </c>
      <c r="U120" s="71">
        <f>I317</f>
        <v>87.031700288184439</v>
      </c>
      <c r="V120" s="71">
        <f>I318</f>
        <v>95.333333333333343</v>
      </c>
      <c r="W120" s="71">
        <f>I319</f>
        <v>91.243366186504943</v>
      </c>
      <c r="X120" s="71">
        <f>I320</f>
        <v>84.646464646464651</v>
      </c>
      <c r="AD120" s="51"/>
      <c r="AE120" s="51"/>
      <c r="AH120" s="78"/>
      <c r="AI120" s="78"/>
      <c r="AJ120" s="141"/>
      <c r="AK120" s="129" t="s">
        <v>394</v>
      </c>
      <c r="AL120" s="125">
        <f>_xlfn.STDEV.S(AR195:AR214)/SQRT($AK$108)</f>
        <v>10.619743957538905</v>
      </c>
      <c r="AM120" s="125">
        <f>_xlfn.STDEV.S(AS195:AS214)/SQRT($AK$108)</f>
        <v>42.966357434594904</v>
      </c>
      <c r="AN120" s="125">
        <f>_xlfn.STDEV.S(AT195:AT214)/SQRT($AK$108)</f>
        <v>87.2725594519992</v>
      </c>
      <c r="AO120" s="125">
        <f>_xlfn.STDEV.S(AU195:AU214)/SQRT($AK$108)</f>
        <v>94.188909542695583</v>
      </c>
      <c r="AP120" s="125">
        <f>_xlfn.STDEV.S(AV195:AV214)/SQRT($AK$108)</f>
        <v>52.207349983024386</v>
      </c>
      <c r="AQ120" s="107"/>
      <c r="AR120" s="107"/>
      <c r="AS120" s="107"/>
    </row>
    <row r="121" spans="1:51" x14ac:dyDescent="0.3">
      <c r="B121" s="16" t="s">
        <v>39</v>
      </c>
      <c r="C121" s="18">
        <f>SQRT((C124+C125)/(C118*C118))</f>
        <v>0</v>
      </c>
      <c r="D121" s="18">
        <f>SQRT((D124+D125)/(D118*D118))</f>
        <v>5.07964084301409</v>
      </c>
      <c r="E121" s="18">
        <f>SQRT((E124+E125)/(E118*E118))</f>
        <v>0.20192398503198999</v>
      </c>
      <c r="F121" s="18">
        <f>SQRT((F124+F125)/(F118*F118))</f>
        <v>0.64840955600307448</v>
      </c>
      <c r="G121" s="18">
        <f>SQRT((G124+G125)/(G118*G118))</f>
        <v>1.6220648107305029</v>
      </c>
      <c r="H121" s="1"/>
      <c r="S121" s="75" t="s">
        <v>39</v>
      </c>
      <c r="T121" s="76">
        <f>J316</f>
        <v>0</v>
      </c>
      <c r="U121" s="76">
        <f>J317</f>
        <v>1.8061017115288707</v>
      </c>
      <c r="V121" s="76">
        <f>J318</f>
        <v>0.24604336386390907</v>
      </c>
      <c r="W121" s="76">
        <f>J319</f>
        <v>0.55044531412295339</v>
      </c>
      <c r="X121" s="76">
        <f>J320</f>
        <v>1.1463321238723592</v>
      </c>
      <c r="AD121" s="51"/>
      <c r="AE121" s="51"/>
      <c r="AJ121" s="119" t="s">
        <v>464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</row>
    <row r="122" spans="1:51" x14ac:dyDescent="0.3">
      <c r="B122" s="1" t="s">
        <v>37</v>
      </c>
      <c r="C122" s="18">
        <f>100-C120</f>
        <v>0</v>
      </c>
      <c r="D122" s="18">
        <f>100-D120</f>
        <v>34.971545091975543</v>
      </c>
      <c r="E122" s="18">
        <f>100-E120</f>
        <v>2.4718263085201926</v>
      </c>
      <c r="F122" s="18">
        <f>100-F120</f>
        <v>7.2160779027851305</v>
      </c>
      <c r="G122" s="18">
        <f>100-G120</f>
        <v>12.073382945654998</v>
      </c>
      <c r="S122" s="66" t="s">
        <v>56</v>
      </c>
      <c r="T122" s="67">
        <f>N305*100</f>
        <v>100</v>
      </c>
      <c r="U122" s="67">
        <f>N306*100</f>
        <v>62.85119667013528</v>
      </c>
      <c r="V122" s="67">
        <f>N307*100</f>
        <v>96.555050296265691</v>
      </c>
      <c r="W122" s="67">
        <f>N308*100</f>
        <v>92.416970627759653</v>
      </c>
      <c r="X122" s="67">
        <f>N309*100</f>
        <v>85.249237029501529</v>
      </c>
      <c r="AD122" s="51"/>
      <c r="AE122" s="51"/>
      <c r="AH122" s="78"/>
      <c r="AI122" s="78"/>
      <c r="AJ122" s="115" t="s">
        <v>409</v>
      </c>
      <c r="AK122" s="122" t="s">
        <v>9</v>
      </c>
      <c r="AL122" s="136">
        <v>194.96</v>
      </c>
      <c r="AM122" s="136">
        <v>1750.14</v>
      </c>
      <c r="AN122" s="136">
        <v>16995.509999999998</v>
      </c>
      <c r="AO122" s="136">
        <v>2043.64</v>
      </c>
      <c r="AP122" s="136">
        <v>1091.94</v>
      </c>
      <c r="AQ122" s="107"/>
      <c r="AR122" s="115" t="s">
        <v>36</v>
      </c>
      <c r="AS122" s="137">
        <f>SUM(AL122:AP122)</f>
        <v>22076.189999999995</v>
      </c>
      <c r="AU122">
        <v>1</v>
      </c>
      <c r="AV122">
        <v>68</v>
      </c>
    </row>
    <row r="123" spans="1:51" ht="15.6" x14ac:dyDescent="0.35">
      <c r="B123" s="1" t="s">
        <v>25</v>
      </c>
      <c r="C123" s="1">
        <f>C107</f>
        <v>259</v>
      </c>
      <c r="D123" s="1">
        <f>D107</f>
        <v>575</v>
      </c>
      <c r="E123" s="1">
        <f>E107</f>
        <v>7196</v>
      </c>
      <c r="F123" s="1">
        <f>F107</f>
        <v>2561</v>
      </c>
      <c r="G123" s="1">
        <f>G107</f>
        <v>993</v>
      </c>
      <c r="R123" s="16" t="s">
        <v>66</v>
      </c>
      <c r="S123" t="s">
        <v>9</v>
      </c>
      <c r="T123" s="30">
        <f>N316</f>
        <v>3402.62</v>
      </c>
      <c r="U123" s="30">
        <f>N317</f>
        <v>10237.790000000001</v>
      </c>
      <c r="V123" s="30">
        <f>N318</f>
        <v>124410.43</v>
      </c>
      <c r="W123" s="30">
        <f>N319</f>
        <v>41432.089999999997</v>
      </c>
      <c r="X123" s="30">
        <f>N320</f>
        <v>18604.740000000002</v>
      </c>
      <c r="Z123" t="s">
        <v>36</v>
      </c>
      <c r="AA123" s="1">
        <f>N321</f>
        <v>198087.66999999998</v>
      </c>
      <c r="AD123" s="51"/>
      <c r="AE123" s="51"/>
      <c r="AJ123" s="107"/>
      <c r="AK123" s="107" t="s">
        <v>391</v>
      </c>
      <c r="AL123" s="108">
        <f>(AL122/$AS122)*100</f>
        <v>0.88312340127531075</v>
      </c>
      <c r="AM123" s="108">
        <f>(AM122/$AS122)*100</f>
        <v>7.9277266593556242</v>
      </c>
      <c r="AN123" s="108">
        <f>(AN122/$AS122)*100</f>
        <v>76.985702695981516</v>
      </c>
      <c r="AO123" s="108">
        <f>(AO122/$AS122)*100</f>
        <v>9.2572133144351483</v>
      </c>
      <c r="AP123" s="108">
        <f>(AP122/$AS122)*100</f>
        <v>4.9462339289524158</v>
      </c>
      <c r="AQ123" s="107"/>
      <c r="AR123" s="107"/>
      <c r="AS123" s="107"/>
      <c r="AU123">
        <v>2</v>
      </c>
      <c r="AV123">
        <v>97</v>
      </c>
    </row>
    <row r="124" spans="1:51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1095.9662477165041</v>
      </c>
      <c r="E124" s="18">
        <f>(O115*O115*(100-E120)*(100-E120)*(I115)*(100-I115))/((L115-1)*100)</f>
        <v>13.368060516152255</v>
      </c>
      <c r="F124" s="18">
        <f>(O116*O116*(100-F120)*(100-F120)*(I116)*(100-I116))/((L116-1)*100)</f>
        <v>66.044049222375648</v>
      </c>
      <c r="G124" s="18">
        <f>(O117*O117*(100-G120)*(100-G120)*(I117)*(100-I117))/((L117-1)*100)</f>
        <v>163.89758546780962</v>
      </c>
      <c r="R124" s="16" t="s">
        <v>323</v>
      </c>
      <c r="S124" t="s">
        <v>68</v>
      </c>
      <c r="T124" s="57">
        <f>$AA123*T116/100</f>
        <v>3402.62</v>
      </c>
      <c r="U124" s="57">
        <f>$AA123*U116/100</f>
        <v>14180.232057828214</v>
      </c>
      <c r="V124" s="57">
        <f>$AA123*V116/100</f>
        <v>121672.99956710315</v>
      </c>
      <c r="W124" s="57">
        <f>$AA123*W116/100</f>
        <v>40858.039767490322</v>
      </c>
      <c r="X124" s="57">
        <f>$AA123*X116/100</f>
        <v>17973.778607578344</v>
      </c>
      <c r="Z124" t="s">
        <v>36</v>
      </c>
      <c r="AA124" s="25">
        <f>SUM(T124:X124)</f>
        <v>198087.67</v>
      </c>
      <c r="AD124" s="51"/>
      <c r="AE124" s="51"/>
      <c r="AH124" s="78"/>
      <c r="AI124" s="78"/>
      <c r="AJ124" s="115" t="s">
        <v>410</v>
      </c>
      <c r="AK124" s="122" t="s">
        <v>9</v>
      </c>
      <c r="AL124" s="136">
        <f>AVERAGE(AR216:AR235)</f>
        <v>194.61449999999999</v>
      </c>
      <c r="AM124" s="136">
        <f>AVERAGE(AS216:AS235)</f>
        <v>1782.2685000000001</v>
      </c>
      <c r="AN124" s="136">
        <f>AVERAGE(AT216:AT235)</f>
        <v>16942.253499999999</v>
      </c>
      <c r="AO124" s="136">
        <f>AVERAGE(AU216:AU235)</f>
        <v>2059.7585000000004</v>
      </c>
      <c r="AP124" s="136">
        <f>AVERAGE(AV216:AV235)</f>
        <v>1097.2799999999997</v>
      </c>
      <c r="AQ124" s="107"/>
      <c r="AR124" s="115" t="s">
        <v>36</v>
      </c>
      <c r="AS124" s="137">
        <f>SUM(AL124:AP124)</f>
        <v>22076.174999999999</v>
      </c>
      <c r="AU124">
        <v>3</v>
      </c>
      <c r="AV124">
        <v>126</v>
      </c>
    </row>
    <row r="125" spans="1:51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82.5422838901479</v>
      </c>
      <c r="E125" s="18">
        <f>E120*E120*(SUM((H113*E113*(1-E102/H102))/(H102-1),(H114*E114*(1-E103/H103))/(H103-1), (H116*E116*(1-E105/H105))/(H105-1),(H117*E117*(1-E106/H106))/(H106-1)))</f>
        <v>143.15825006704043</v>
      </c>
      <c r="F125" s="18">
        <f>F120*F120*(SUM((H113*F113*(1-F102/H102))/(H102-1),(H114*F114*(1-F103/H103))/(H103-1), (H115*F115*(1-F104/H104))/(H104-1),(H117*F117*(1-F106/H106))/(H106-1)))</f>
        <v>105.7847968346276</v>
      </c>
      <c r="G125" s="18">
        <f>G120*G120*(SUM((H113*G113*(1-G102/H102))/(H102-1),(H114*G114*(1-G103/H103))/(H103-1), (H115*G115*(1-G104/H104))/(H104-1),(H116*G116*(1-G105/H105))/(H105-1)))</f>
        <v>69.753111603669183</v>
      </c>
      <c r="R125" s="66"/>
      <c r="S125" s="66" t="s">
        <v>67</v>
      </c>
      <c r="T125" s="67">
        <f>$AA123*T117/100</f>
        <v>0</v>
      </c>
      <c r="U125" s="67">
        <f>$AA123*U117/100</f>
        <v>345.74173450282098</v>
      </c>
      <c r="V125" s="67">
        <f>$AA123*V117/100</f>
        <v>392.12696709262616</v>
      </c>
      <c r="W125" s="67">
        <f>$AA123*W117/100</f>
        <v>317.77768592077081</v>
      </c>
      <c r="X125" s="67">
        <f>$AA123*X117/100</f>
        <v>283.79054252045921</v>
      </c>
      <c r="AA125" s="1"/>
      <c r="AD125" s="51"/>
      <c r="AE125" s="51"/>
      <c r="AJ125" s="107"/>
      <c r="AK125" s="129" t="s">
        <v>394</v>
      </c>
      <c r="AL125" s="125">
        <f>_xlfn.STDEV.S(AR216:AR235)/SQRT($AK$108)</f>
        <v>0.38716545830595872</v>
      </c>
      <c r="AM125" s="125">
        <f>_xlfn.STDEV.S(AS216:AS235)/SQRT($AK$108)</f>
        <v>12.269730174938214</v>
      </c>
      <c r="AN125" s="125">
        <f>_xlfn.STDEV.S(AT216:AT235)/SQRT($AK$108)</f>
        <v>12.400120442432918</v>
      </c>
      <c r="AO125" s="125">
        <f>_xlfn.STDEV.S(AU216:AU235)/SQRT($AK$108)</f>
        <v>6.2469345019019249</v>
      </c>
      <c r="AP125" s="125">
        <f>_xlfn.STDEV.S(AV216:AV235)/SQRT($AK$108)</f>
        <v>4.7878067168479923</v>
      </c>
      <c r="AQ125" s="107"/>
      <c r="AR125" s="107"/>
      <c r="AS125" s="142"/>
      <c r="AU125">
        <v>4</v>
      </c>
      <c r="AV125">
        <v>155</v>
      </c>
    </row>
    <row r="126" spans="1:51" x14ac:dyDescent="0.3">
      <c r="R126" t="s">
        <v>104</v>
      </c>
      <c r="S126" t="s">
        <v>28</v>
      </c>
      <c r="T126" s="57">
        <f>C350</f>
        <v>1.6762931281891502</v>
      </c>
      <c r="U126" s="57">
        <f t="shared" ref="U126:X129" si="21">D350</f>
        <v>6.9120435630943975</v>
      </c>
      <c r="V126" s="57">
        <f t="shared" si="21"/>
        <v>62.186559674965487</v>
      </c>
      <c r="W126" s="57">
        <f t="shared" si="21"/>
        <v>19.880123348068096</v>
      </c>
      <c r="X126" s="57">
        <f t="shared" si="21"/>
        <v>9.3449802856828832</v>
      </c>
      <c r="Y126" s="13"/>
      <c r="Z126" s="74"/>
      <c r="AA126" s="12"/>
      <c r="AD126" s="51"/>
      <c r="AE126" s="51"/>
      <c r="AH126" s="78"/>
      <c r="AI126" s="78"/>
      <c r="AJ126" s="119" t="s">
        <v>465</v>
      </c>
      <c r="AK126" s="107"/>
      <c r="AL126" s="116"/>
      <c r="AM126" s="116"/>
      <c r="AN126" s="116"/>
      <c r="AO126" s="116"/>
      <c r="AP126" s="116"/>
      <c r="AQ126" s="107"/>
      <c r="AR126" s="107"/>
      <c r="AS126" s="142"/>
      <c r="AU126">
        <v>5</v>
      </c>
      <c r="AV126">
        <v>184</v>
      </c>
    </row>
    <row r="127" spans="1:51" x14ac:dyDescent="0.3">
      <c r="S127" s="66" t="s">
        <v>39</v>
      </c>
      <c r="T127" s="67">
        <f>C351</f>
        <v>0</v>
      </c>
      <c r="U127" s="67">
        <f t="shared" si="21"/>
        <v>0.17310897300588091</v>
      </c>
      <c r="V127" s="67">
        <f t="shared" si="21"/>
        <v>0.1979139628367477</v>
      </c>
      <c r="W127" s="67">
        <f t="shared" si="21"/>
        <v>0.15395503694489523</v>
      </c>
      <c r="X127" s="67">
        <f t="shared" si="21"/>
        <v>0.13566139263671664</v>
      </c>
      <c r="AD127" s="51"/>
      <c r="AE127" s="51"/>
      <c r="AJ127" s="115" t="s">
        <v>409</v>
      </c>
      <c r="AK127" s="122" t="s">
        <v>9</v>
      </c>
      <c r="AL127" s="136">
        <v>133.96</v>
      </c>
      <c r="AM127" s="136">
        <v>774.86</v>
      </c>
      <c r="AN127" s="136">
        <v>18334.84</v>
      </c>
      <c r="AO127" s="136">
        <v>14076.14</v>
      </c>
      <c r="AP127" s="136">
        <v>9908.2099999999991</v>
      </c>
      <c r="AQ127" s="107"/>
      <c r="AR127" s="115" t="s">
        <v>36</v>
      </c>
      <c r="AS127" s="137">
        <f>SUM(AL127:AP127)</f>
        <v>43228.01</v>
      </c>
      <c r="AU127">
        <v>6</v>
      </c>
      <c r="AV127">
        <v>213</v>
      </c>
    </row>
    <row r="128" spans="1:51" x14ac:dyDescent="0.3">
      <c r="A128" s="361" t="s">
        <v>461</v>
      </c>
      <c r="B128" s="361"/>
      <c r="C128" s="361"/>
      <c r="D128" s="361"/>
      <c r="E128" s="361"/>
      <c r="F128" s="361"/>
      <c r="G128" s="361"/>
      <c r="H128" s="361"/>
      <c r="I128" s="361"/>
      <c r="J128" s="361"/>
      <c r="K128" s="361"/>
      <c r="L128" s="361" t="s">
        <v>64</v>
      </c>
      <c r="M128" s="361"/>
      <c r="N128" s="361"/>
      <c r="O128" s="361"/>
      <c r="P128" s="361"/>
      <c r="S128" t="s">
        <v>30</v>
      </c>
      <c r="T128" s="57">
        <f>C352</f>
        <v>100</v>
      </c>
      <c r="U128" s="57">
        <f t="shared" si="21"/>
        <v>63.57075138236511</v>
      </c>
      <c r="V128" s="57">
        <f t="shared" si="21"/>
        <v>97.317868210408776</v>
      </c>
      <c r="W128" s="57">
        <f t="shared" si="21"/>
        <v>93.528987284874333</v>
      </c>
      <c r="X128" s="57">
        <f t="shared" si="21"/>
        <v>88.525785636234644</v>
      </c>
      <c r="AD128" s="51"/>
      <c r="AE128" s="51"/>
      <c r="AH128" s="78"/>
      <c r="AI128" s="78"/>
      <c r="AJ128" s="107"/>
      <c r="AK128" s="107" t="s">
        <v>391</v>
      </c>
      <c r="AL128" s="108">
        <f>(AL127/$AS127)*100</f>
        <v>0.30989166514951766</v>
      </c>
      <c r="AM128" s="108">
        <f>(AM127/$AS127)*100</f>
        <v>1.7924951900399764</v>
      </c>
      <c r="AN128" s="108">
        <f>(AN127/$AS127)*100</f>
        <v>42.414258717900729</v>
      </c>
      <c r="AO128" s="108">
        <f>(AO127/$AS127)*100</f>
        <v>32.562544516853769</v>
      </c>
      <c r="AP128" s="108">
        <f>(AP127/$AS127)*100</f>
        <v>22.920809910056001</v>
      </c>
      <c r="AQ128" s="107"/>
      <c r="AR128" s="107"/>
      <c r="AS128" s="142"/>
      <c r="AU128">
        <v>7</v>
      </c>
      <c r="AV128">
        <v>242</v>
      </c>
    </row>
    <row r="129" spans="1:48" x14ac:dyDescent="0.3">
      <c r="A129" t="s">
        <v>320</v>
      </c>
      <c r="B129" t="s">
        <v>21</v>
      </c>
      <c r="I129" s="1" t="s">
        <v>58</v>
      </c>
      <c r="O129" s="143"/>
      <c r="P129" s="143"/>
      <c r="S129" s="66" t="s">
        <v>39</v>
      </c>
      <c r="T129" s="67">
        <f>C353</f>
        <v>0</v>
      </c>
      <c r="U129" s="67">
        <f t="shared" si="21"/>
        <v>5.2199758475484508</v>
      </c>
      <c r="V129" s="67">
        <f t="shared" si="21"/>
        <v>0.20935486261378786</v>
      </c>
      <c r="W129" s="67">
        <f t="shared" si="21"/>
        <v>0.61344410337965738</v>
      </c>
      <c r="X129" s="67">
        <f t="shared" si="21"/>
        <v>1.5043350520591665</v>
      </c>
      <c r="AD129" s="51"/>
      <c r="AE129" s="51"/>
      <c r="AJ129" s="115" t="s">
        <v>410</v>
      </c>
      <c r="AK129" s="122" t="s">
        <v>9</v>
      </c>
      <c r="AL129" s="136">
        <f>AVERAGE(AL195:AL214)</f>
        <v>128.2825</v>
      </c>
      <c r="AM129" s="136">
        <f>AVERAGE(AM195:AM214)</f>
        <v>823.54099999999994</v>
      </c>
      <c r="AN129" s="136">
        <f>AVERAGE(AN195:AN214)</f>
        <v>18237.765999999996</v>
      </c>
      <c r="AO129" s="136">
        <f>AVERAGE(AO195:AO214)</f>
        <v>14101.803</v>
      </c>
      <c r="AP129" s="136">
        <f>AVERAGE(AP195:AP214)</f>
        <v>9936.6260000000002</v>
      </c>
      <c r="AQ129" s="107"/>
      <c r="AR129" s="115" t="s">
        <v>36</v>
      </c>
      <c r="AS129" s="137">
        <f>SUM(AL129:AP129)</f>
        <v>43228.018499999991</v>
      </c>
      <c r="AU129">
        <v>8</v>
      </c>
      <c r="AV129">
        <v>271</v>
      </c>
    </row>
    <row r="130" spans="1:48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56</v>
      </c>
      <c r="O130" s="13"/>
      <c r="P130" s="13"/>
      <c r="S130" s="15" t="s">
        <v>31</v>
      </c>
      <c r="T130" s="71">
        <f>I345</f>
        <v>100</v>
      </c>
      <c r="U130" s="71">
        <f>I346</f>
        <v>85.878962536023039</v>
      </c>
      <c r="V130" s="71">
        <f>I347</f>
        <v>95.578231292517003</v>
      </c>
      <c r="W130" s="71">
        <f>I348</f>
        <v>91.053828658074295</v>
      </c>
      <c r="X130" s="71">
        <f>I349</f>
        <v>87.373737373737384</v>
      </c>
      <c r="AD130" s="51"/>
      <c r="AE130" s="51"/>
      <c r="AH130" s="78"/>
      <c r="AI130" s="78"/>
      <c r="AJ130" s="107"/>
      <c r="AK130" s="129" t="s">
        <v>394</v>
      </c>
      <c r="AL130" s="125">
        <f>_xlfn.STDEV.S(AL195:AL214)/SQRT($AK$108)</f>
        <v>4.0395335110433512</v>
      </c>
      <c r="AM130" s="125">
        <f>_xlfn.STDEV.S(AM195:AM214)/SQRT($AK$108)</f>
        <v>12.421602890465506</v>
      </c>
      <c r="AN130" s="125">
        <f>_xlfn.STDEV.S(AN195:AN214)/SQRT($AK$108)</f>
        <v>20.186996327756145</v>
      </c>
      <c r="AO130" s="125">
        <f>_xlfn.STDEV.S(AO195:AO214)/SQRT($AK$108)</f>
        <v>23.529148664895118</v>
      </c>
      <c r="AP130" s="125">
        <f>_xlfn.STDEV.S(AP195:AP214)/SQRT($AK$108)</f>
        <v>16.386174249235697</v>
      </c>
      <c r="AQ130" s="107"/>
      <c r="AR130" s="107"/>
      <c r="AS130" s="142"/>
      <c r="AU130">
        <v>9</v>
      </c>
      <c r="AV130">
        <v>300</v>
      </c>
    </row>
    <row r="131" spans="1:48" x14ac:dyDescent="0.3">
      <c r="A131" t="s">
        <v>3</v>
      </c>
      <c r="B131" s="13">
        <v>0</v>
      </c>
      <c r="C131" s="26">
        <v>259</v>
      </c>
      <c r="D131" s="3">
        <v>0</v>
      </c>
      <c r="E131" s="3">
        <v>0</v>
      </c>
      <c r="F131" s="3">
        <v>0</v>
      </c>
      <c r="G131" s="4">
        <v>0</v>
      </c>
      <c r="H131" s="1">
        <f>SUM(C131:G131)</f>
        <v>259</v>
      </c>
      <c r="I131" s="10">
        <f>C131/H131</f>
        <v>1</v>
      </c>
      <c r="J131" s="11">
        <f>1-I131</f>
        <v>0</v>
      </c>
      <c r="K131">
        <f>H131-C136</f>
        <v>0</v>
      </c>
      <c r="N131" s="10">
        <f>2*(C137*I131)/(C137+I131)</f>
        <v>1</v>
      </c>
      <c r="O131" s="1"/>
      <c r="P131" s="1"/>
      <c r="S131" s="75" t="s">
        <v>39</v>
      </c>
      <c r="T131" s="76">
        <f>J345</f>
        <v>0</v>
      </c>
      <c r="U131" s="76">
        <f>J346</f>
        <v>1.8721414026762537</v>
      </c>
      <c r="V131" s="76">
        <f>J347</f>
        <v>0.23980784258852905</v>
      </c>
      <c r="W131" s="76">
        <f>J348</f>
        <v>0.55579245508882735</v>
      </c>
      <c r="X131" s="76">
        <f>J349</f>
        <v>1.0561600107800835</v>
      </c>
      <c r="AD131" s="51"/>
      <c r="AE131" s="51"/>
      <c r="AJ131" s="119" t="s">
        <v>466</v>
      </c>
      <c r="AK131" s="107"/>
      <c r="AL131" s="116"/>
      <c r="AM131" s="116"/>
      <c r="AN131" s="116"/>
      <c r="AO131" s="116"/>
      <c r="AP131" s="116"/>
      <c r="AQ131" s="107"/>
      <c r="AR131" s="107"/>
      <c r="AS131" s="142"/>
      <c r="AU131">
        <v>10</v>
      </c>
      <c r="AV131">
        <v>329</v>
      </c>
    </row>
    <row r="132" spans="1:48" x14ac:dyDescent="0.3">
      <c r="A132" t="s">
        <v>4</v>
      </c>
      <c r="B132" s="13">
        <v>1</v>
      </c>
      <c r="C132" s="5">
        <v>0</v>
      </c>
      <c r="D132" s="27">
        <v>298</v>
      </c>
      <c r="E132" s="1">
        <v>47</v>
      </c>
      <c r="F132" s="1">
        <v>0</v>
      </c>
      <c r="G132" s="6">
        <v>2</v>
      </c>
      <c r="H132" s="1">
        <f>SUM(C132:G132)</f>
        <v>347</v>
      </c>
      <c r="I132" s="10">
        <f>D132/H132</f>
        <v>0.85878962536023051</v>
      </c>
      <c r="J132" s="11">
        <f>1-I132</f>
        <v>0.14121037463976949</v>
      </c>
      <c r="K132">
        <f>H132-D136</f>
        <v>-242</v>
      </c>
      <c r="N132" s="10">
        <f>2*(D137*I132)/(D137+I132)</f>
        <v>0.63675213675213671</v>
      </c>
      <c r="O132" s="1"/>
      <c r="P132" s="1"/>
      <c r="S132" s="66" t="s">
        <v>56</v>
      </c>
      <c r="T132" s="67">
        <f>N334*100</f>
        <v>100</v>
      </c>
      <c r="U132" s="67">
        <f>N335*100</f>
        <v>63.539445628997868</v>
      </c>
      <c r="V132" s="67">
        <f>N336*100</f>
        <v>96.583488004399527</v>
      </c>
      <c r="W132" s="67">
        <f>N337*100</f>
        <v>92.812982998454416</v>
      </c>
      <c r="X132" s="67">
        <f>N338*100</f>
        <v>86.978381096028158</v>
      </c>
      <c r="AD132" s="51"/>
      <c r="AE132" s="51"/>
      <c r="AH132" s="78"/>
      <c r="AI132" s="78"/>
      <c r="AJ132" s="115" t="s">
        <v>409</v>
      </c>
      <c r="AK132" s="122" t="s">
        <v>9</v>
      </c>
      <c r="AL132" s="136">
        <v>0.22</v>
      </c>
      <c r="AM132" s="136">
        <v>62</v>
      </c>
      <c r="AN132" s="136">
        <v>1403.24</v>
      </c>
      <c r="AO132" s="136">
        <v>308.97000000000003</v>
      </c>
      <c r="AP132" s="136">
        <v>78.900000000000006</v>
      </c>
      <c r="AQ132" s="107"/>
      <c r="AR132" s="115" t="s">
        <v>36</v>
      </c>
      <c r="AS132" s="137">
        <f>SUM(AL132:AP132)</f>
        <v>1853.3300000000002</v>
      </c>
      <c r="AU132">
        <v>11</v>
      </c>
      <c r="AV132">
        <v>358</v>
      </c>
    </row>
    <row r="133" spans="1:48" x14ac:dyDescent="0.3">
      <c r="A133" t="s">
        <v>5</v>
      </c>
      <c r="B133" s="13">
        <v>2</v>
      </c>
      <c r="C133" s="5">
        <v>0</v>
      </c>
      <c r="D133" s="1">
        <v>285</v>
      </c>
      <c r="E133" s="27">
        <v>7024</v>
      </c>
      <c r="F133" s="1">
        <v>20</v>
      </c>
      <c r="G133" s="6">
        <v>21</v>
      </c>
      <c r="H133" s="1">
        <f>SUM(C133:G133)</f>
        <v>7350</v>
      </c>
      <c r="I133" s="10">
        <f>E133/H133</f>
        <v>0.95564625850340135</v>
      </c>
      <c r="J133" s="11">
        <f>1-I133</f>
        <v>4.4353741496598653E-2</v>
      </c>
      <c r="K133">
        <f>H133-E136</f>
        <v>163</v>
      </c>
      <c r="N133" s="10">
        <f>2*(E137*I133)/(E137+I133)</f>
        <v>0.96636169773680947</v>
      </c>
      <c r="O133" s="1"/>
      <c r="P133" s="1"/>
      <c r="R133" s="16" t="s">
        <v>66</v>
      </c>
      <c r="S133" t="s">
        <v>9</v>
      </c>
      <c r="T133" s="30">
        <f>N345</f>
        <v>3320.53</v>
      </c>
      <c r="U133" s="30">
        <f>N346</f>
        <v>10135.25</v>
      </c>
      <c r="V133" s="30">
        <f>N347</f>
        <v>125426</v>
      </c>
      <c r="W133" s="30">
        <f>N348</f>
        <v>40450.559999999998</v>
      </c>
      <c r="X133" s="30">
        <f>N349</f>
        <v>18755.330000000002</v>
      </c>
      <c r="Z133" t="s">
        <v>36</v>
      </c>
      <c r="AA133" s="1">
        <f>N350</f>
        <v>198087.66999999998</v>
      </c>
      <c r="AD133" s="51"/>
      <c r="AE133" s="51"/>
      <c r="AJ133" s="107"/>
      <c r="AK133" s="107" t="s">
        <v>391</v>
      </c>
      <c r="AL133" s="108">
        <f>(AL132/$AS132)*100</f>
        <v>1.1870524946987314E-2</v>
      </c>
      <c r="AM133" s="108">
        <f>(AM132/$AS132)*100</f>
        <v>3.3453297577873338</v>
      </c>
      <c r="AN133" s="108">
        <f>(AN132/$AS132)*100</f>
        <v>75.714524666411265</v>
      </c>
      <c r="AO133" s="108">
        <f>(AO132/$AS132)*100</f>
        <v>16.671073149412138</v>
      </c>
      <c r="AP133" s="108">
        <f>(AP132/$AS132)*100</f>
        <v>4.2572019014422686</v>
      </c>
      <c r="AQ133" s="107"/>
      <c r="AR133" s="107"/>
      <c r="AS133" s="142"/>
      <c r="AU133">
        <v>12</v>
      </c>
      <c r="AV133">
        <v>387</v>
      </c>
    </row>
    <row r="134" spans="1:48" ht="15.6" x14ac:dyDescent="0.35">
      <c r="A134" t="s">
        <v>6</v>
      </c>
      <c r="B134" s="13">
        <v>3</v>
      </c>
      <c r="C134" s="5">
        <v>0</v>
      </c>
      <c r="D134" s="1">
        <v>6</v>
      </c>
      <c r="E134" s="1">
        <v>113</v>
      </c>
      <c r="F134" s="27">
        <v>2423</v>
      </c>
      <c r="G134" s="6">
        <v>96</v>
      </c>
      <c r="H134" s="1">
        <f>SUM(C134:G134)</f>
        <v>2638</v>
      </c>
      <c r="I134" s="10">
        <f>F134/H134</f>
        <v>0.91849886277482939</v>
      </c>
      <c r="J134" s="11">
        <f>1-I134</f>
        <v>8.1501137225170606E-2</v>
      </c>
      <c r="K134">
        <f>H134-F136</f>
        <v>66</v>
      </c>
      <c r="N134" s="10">
        <f>2*(F137*I134)/(F137+I134)</f>
        <v>0.93013435700575819</v>
      </c>
      <c r="O134" s="1"/>
      <c r="P134" s="1"/>
      <c r="R134" s="16" t="s">
        <v>323</v>
      </c>
      <c r="S134" t="s">
        <v>68</v>
      </c>
      <c r="T134" s="57">
        <f>$AA133*T126/100</f>
        <v>3320.5300000000007</v>
      </c>
      <c r="U134" s="57">
        <f>$AA133*U126/100</f>
        <v>13691.906043518669</v>
      </c>
      <c r="V134" s="57">
        <f>$AA133*V126/100</f>
        <v>123183.9071132987</v>
      </c>
      <c r="W134" s="57">
        <f>$AA133*W126/100</f>
        <v>39380.073133314079</v>
      </c>
      <c r="X134" s="57">
        <f>$AA133*X126/100</f>
        <v>18511.253709868564</v>
      </c>
      <c r="Z134" t="s">
        <v>36</v>
      </c>
      <c r="AA134" s="25">
        <f>SUM(T134:X134)</f>
        <v>198087.67</v>
      </c>
      <c r="AD134" s="51"/>
      <c r="AE134" s="51"/>
      <c r="AH134" s="78"/>
      <c r="AI134" s="78"/>
      <c r="AJ134" s="115" t="s">
        <v>410</v>
      </c>
      <c r="AK134" s="122" t="s">
        <v>9</v>
      </c>
      <c r="AL134" s="136">
        <f>AVERAGE(AL216:AL235)</f>
        <v>0.22649999999999998</v>
      </c>
      <c r="AM134" s="136">
        <f>AVERAGE(AM216:AM235)</f>
        <v>66.571999999999974</v>
      </c>
      <c r="AN134" s="136">
        <f>AVERAGE(AN216:AN235)</f>
        <v>1396.4585</v>
      </c>
      <c r="AO134" s="136">
        <f>AVERAGE(AO216:AO235)</f>
        <v>310.15399999999994</v>
      </c>
      <c r="AP134" s="136">
        <f>AVERAGE(AP216:AP235)</f>
        <v>79.926500000000004</v>
      </c>
      <c r="AQ134" s="107"/>
      <c r="AR134" s="115" t="s">
        <v>36</v>
      </c>
      <c r="AS134" s="137">
        <f>SUM(AL134:AP134)</f>
        <v>1853.3374999999999</v>
      </c>
      <c r="AU134">
        <v>13</v>
      </c>
      <c r="AV134">
        <v>416</v>
      </c>
    </row>
    <row r="135" spans="1:48" x14ac:dyDescent="0.3">
      <c r="A135" t="s">
        <v>7</v>
      </c>
      <c r="B135" s="13">
        <v>4</v>
      </c>
      <c r="C135" s="7">
        <v>0</v>
      </c>
      <c r="D135" s="8">
        <v>0</v>
      </c>
      <c r="E135" s="8">
        <v>3</v>
      </c>
      <c r="F135" s="8">
        <v>129</v>
      </c>
      <c r="G135" s="28">
        <v>858</v>
      </c>
      <c r="H135" s="1">
        <f>SUM(C135:G135)</f>
        <v>990</v>
      </c>
      <c r="I135" s="10">
        <f>G135/H135</f>
        <v>0.8666666666666667</v>
      </c>
      <c r="J135" s="11">
        <f>1-I135</f>
        <v>0.1333333333333333</v>
      </c>
      <c r="K135">
        <f>H135-G136</f>
        <v>13</v>
      </c>
      <c r="N135" s="10">
        <f>2*(G137*I135)/(G137+I135)</f>
        <v>0.87239450940518559</v>
      </c>
      <c r="O135" s="1"/>
      <c r="P135" s="1"/>
      <c r="R135" s="66"/>
      <c r="S135" s="66" t="s">
        <v>67</v>
      </c>
      <c r="T135" s="67">
        <f>$AA133*T127/100</f>
        <v>0</v>
      </c>
      <c r="U135" s="67">
        <f>$AA133*U127/100</f>
        <v>342.90753118827843</v>
      </c>
      <c r="V135" s="67">
        <f>$AA133*V127/100</f>
        <v>392.04315758797935</v>
      </c>
      <c r="W135" s="67">
        <f>$AA133*W127/100</f>
        <v>304.96594553178215</v>
      </c>
      <c r="X135" s="67">
        <f>$AA133*X127/100</f>
        <v>268.72849176362354</v>
      </c>
      <c r="AA135" s="1"/>
      <c r="AD135" s="51"/>
      <c r="AE135" s="51"/>
      <c r="AJ135" s="107"/>
      <c r="AK135" s="129" t="s">
        <v>394</v>
      </c>
      <c r="AL135" s="125">
        <f>_xlfn.STDEV.S(AL216:AL235)/SQRT($AK$108)</f>
        <v>1.667451569564201E-2</v>
      </c>
      <c r="AM135" s="125">
        <f>_xlfn.STDEV.S(AM216:AM235)/SQRT($AK$108)</f>
        <v>1.1084675528807659</v>
      </c>
      <c r="AN135" s="125">
        <f>_xlfn.STDEV.S(AN216:AN235)/SQRT($AK$108)</f>
        <v>1.100741203629817</v>
      </c>
      <c r="AO135" s="125">
        <f>_xlfn.STDEV.S(AO216:AO235)/SQRT($AK$108)</f>
        <v>0.63632183184628366</v>
      </c>
      <c r="AP135" s="125">
        <f>_xlfn.STDEV.S(AP216:AP235)/SQRT($AK$108)</f>
        <v>0.4134414456091316</v>
      </c>
      <c r="AQ135" s="107"/>
      <c r="AR135" s="107"/>
      <c r="AS135" s="107"/>
      <c r="AU135">
        <v>14</v>
      </c>
      <c r="AV135">
        <v>445</v>
      </c>
    </row>
    <row r="136" spans="1:48" ht="15.6" x14ac:dyDescent="0.35">
      <c r="B136" s="1" t="s">
        <v>19</v>
      </c>
      <c r="C136" s="1">
        <f>SUM(C131:C135)</f>
        <v>259</v>
      </c>
      <c r="D136" s="1">
        <f>SUM(D131:D135)</f>
        <v>589</v>
      </c>
      <c r="E136" s="1">
        <f>SUM(E131:E135)</f>
        <v>7187</v>
      </c>
      <c r="F136" s="1">
        <f>SUM(F131:F135)</f>
        <v>2572</v>
      </c>
      <c r="G136" s="1">
        <f>SUM(G131:G135)</f>
        <v>977</v>
      </c>
      <c r="H136" s="1">
        <f>SUM(H130:H135)</f>
        <v>11584</v>
      </c>
      <c r="I136" s="13" t="s">
        <v>12</v>
      </c>
      <c r="N136" s="16"/>
      <c r="O136" s="1"/>
      <c r="P136" s="1"/>
      <c r="R136" t="s">
        <v>105</v>
      </c>
      <c r="S136" t="s">
        <v>28</v>
      </c>
      <c r="T136" s="57">
        <f>C379</f>
        <v>1.7275330665457371</v>
      </c>
      <c r="U136" s="57">
        <f t="shared" ref="U136:X139" si="22">D379</f>
        <v>7.0158405313233887</v>
      </c>
      <c r="V136" s="57">
        <f t="shared" si="22"/>
        <v>61.601818626698098</v>
      </c>
      <c r="W136" s="57">
        <f t="shared" si="22"/>
        <v>20.278621209559127</v>
      </c>
      <c r="X136" s="57">
        <f t="shared" si="22"/>
        <v>9.3761865658736312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</row>
    <row r="137" spans="1:48" x14ac:dyDescent="0.3">
      <c r="A137" s="1" t="s">
        <v>321</v>
      </c>
      <c r="B137" s="1" t="s">
        <v>2</v>
      </c>
      <c r="C137" s="10">
        <f>C131/C136</f>
        <v>1</v>
      </c>
      <c r="D137" s="10">
        <f>D132/D136</f>
        <v>0.50594227504244482</v>
      </c>
      <c r="E137" s="10">
        <f>E133/E136</f>
        <v>0.97732016140253231</v>
      </c>
      <c r="F137" s="10">
        <f>F134/F136</f>
        <v>0.94206842923794709</v>
      </c>
      <c r="G137" s="10">
        <f>G135/G136</f>
        <v>0.87819856704196519</v>
      </c>
      <c r="H137" s="10"/>
      <c r="I137" s="14">
        <f>(C131+D132+E133+F134+G135)/H136</f>
        <v>0.93767265193370164</v>
      </c>
      <c r="S137" s="66" t="s">
        <v>39</v>
      </c>
      <c r="T137" s="67">
        <f>C380</f>
        <v>0</v>
      </c>
      <c r="U137" s="67">
        <f t="shared" si="22"/>
        <v>0.1705618542957002</v>
      </c>
      <c r="V137" s="67">
        <f t="shared" si="22"/>
        <v>0.19285128103225979</v>
      </c>
      <c r="W137" s="67">
        <f t="shared" si="22"/>
        <v>0.15576012150419452</v>
      </c>
      <c r="X137" s="67">
        <f t="shared" si="22"/>
        <v>0.1398035763786705</v>
      </c>
      <c r="AD137" s="51"/>
      <c r="AE137" s="51"/>
      <c r="AU137">
        <v>16</v>
      </c>
      <c r="AV137">
        <v>503</v>
      </c>
    </row>
    <row r="138" spans="1:48" x14ac:dyDescent="0.3">
      <c r="B138" s="1" t="s">
        <v>14</v>
      </c>
      <c r="C138" s="11">
        <f>1-C137</f>
        <v>0</v>
      </c>
      <c r="D138" s="11">
        <f>1-D137</f>
        <v>0.49405772495755518</v>
      </c>
      <c r="E138" s="11">
        <f>1-E137</f>
        <v>2.2679838597467694E-2</v>
      </c>
      <c r="F138" s="11">
        <f>1-F137</f>
        <v>5.7931570762052909E-2</v>
      </c>
      <c r="G138" s="11">
        <f>1-G137</f>
        <v>0.12180143295803481</v>
      </c>
      <c r="S138" t="s">
        <v>30</v>
      </c>
      <c r="T138" s="57">
        <f>C381</f>
        <v>100</v>
      </c>
      <c r="U138" s="57">
        <f t="shared" si="22"/>
        <v>65.018981745613829</v>
      </c>
      <c r="V138" s="57">
        <f t="shared" si="22"/>
        <v>97.542455544799552</v>
      </c>
      <c r="W138" s="57">
        <f t="shared" si="22"/>
        <v>93.137541021588873</v>
      </c>
      <c r="X138" s="57">
        <f t="shared" si="22"/>
        <v>88.463830028417163</v>
      </c>
      <c r="AA138" s="54"/>
      <c r="AD138" s="51"/>
      <c r="AE138" s="51"/>
      <c r="AH138" s="78"/>
      <c r="AI138" s="78"/>
      <c r="AU138">
        <v>17</v>
      </c>
      <c r="AV138">
        <v>532</v>
      </c>
    </row>
    <row r="139" spans="1:48" x14ac:dyDescent="0.3">
      <c r="C139" s="2"/>
      <c r="S139" s="66" t="s">
        <v>39</v>
      </c>
      <c r="T139" s="67">
        <f>C382</f>
        <v>0</v>
      </c>
      <c r="U139" s="67">
        <f t="shared" si="22"/>
        <v>4.8999267952698</v>
      </c>
      <c r="V139" s="67">
        <f t="shared" si="22"/>
        <v>0.203713832056754</v>
      </c>
      <c r="W139" s="67">
        <f t="shared" si="22"/>
        <v>0.62536131202115819</v>
      </c>
      <c r="X139" s="67">
        <f t="shared" si="22"/>
        <v>1.5576215066735775</v>
      </c>
      <c r="AD139" s="51"/>
      <c r="AE139" s="51"/>
      <c r="AU139">
        <v>18</v>
      </c>
      <c r="AV139">
        <v>561</v>
      </c>
    </row>
    <row r="140" spans="1:48" ht="15.6" x14ac:dyDescent="0.35">
      <c r="A140" t="s">
        <v>322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100</v>
      </c>
      <c r="U140" s="57">
        <f>I375</f>
        <v>87.031700288184439</v>
      </c>
      <c r="V140" s="57">
        <f>I376</f>
        <v>95.700680272108841</v>
      </c>
      <c r="W140" s="57">
        <f>I377</f>
        <v>91.508718726307819</v>
      </c>
      <c r="X140" s="57">
        <f>I378</f>
        <v>86.36363636363636</v>
      </c>
      <c r="AD140" s="51"/>
      <c r="AE140" s="51"/>
      <c r="AH140" s="78"/>
      <c r="AI140" s="78"/>
      <c r="AU140">
        <v>19</v>
      </c>
      <c r="AV140">
        <v>590</v>
      </c>
    </row>
    <row r="141" spans="1:48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</v>
      </c>
      <c r="U141" s="67">
        <f>J375</f>
        <v>1.8061017115288707</v>
      </c>
      <c r="V141" s="67">
        <f>J376</f>
        <v>0.23661553809489932</v>
      </c>
      <c r="W141" s="67">
        <f>J377</f>
        <v>0.54282868085058522</v>
      </c>
      <c r="X141" s="67">
        <f>J378</f>
        <v>1.0912307642300259</v>
      </c>
      <c r="AD141" s="51"/>
      <c r="AE141" s="51"/>
    </row>
    <row r="142" spans="1:48" x14ac:dyDescent="0.3">
      <c r="A142" t="s">
        <v>3</v>
      </c>
      <c r="B142" s="13">
        <v>0</v>
      </c>
      <c r="C142" s="29">
        <f>(C131/$L142)*$O142</f>
        <v>1.698177291995141</v>
      </c>
      <c r="D142" s="31">
        <f>(D131/$L142)*$O142</f>
        <v>0</v>
      </c>
      <c r="E142" s="31">
        <f>(E131/$L142)*$O142</f>
        <v>0</v>
      </c>
      <c r="F142" s="31">
        <f>(F131/$L142)*$O142</f>
        <v>0</v>
      </c>
      <c r="G142" s="32">
        <f>(G131/$L142)*$O142</f>
        <v>0</v>
      </c>
      <c r="H142" s="17">
        <f>SUM(C142:G142)</f>
        <v>1.698177291995141</v>
      </c>
      <c r="I142" s="17">
        <f>C142/H142*100</f>
        <v>100</v>
      </c>
      <c r="J142" s="17">
        <f>SQRT(I142*(100-I142)/(L142-1))</f>
        <v>0</v>
      </c>
      <c r="K142" s="18">
        <f>100-I142</f>
        <v>0</v>
      </c>
      <c r="L142" s="1">
        <f>H131</f>
        <v>259</v>
      </c>
      <c r="M142">
        <v>0</v>
      </c>
      <c r="N142" s="1">
        <v>3363.88</v>
      </c>
      <c r="O142" s="17">
        <f>N142/N147*100</f>
        <v>1.698177291995141</v>
      </c>
      <c r="P142" s="52">
        <f>((O142*O142*(I142/100)*(K142/100))/(L142-1))</f>
        <v>0</v>
      </c>
      <c r="S142" s="66" t="s">
        <v>56</v>
      </c>
      <c r="T142" s="67">
        <f>N363*100</f>
        <v>100</v>
      </c>
      <c r="U142" s="67">
        <f>N364*100</f>
        <v>64.46104589114195</v>
      </c>
      <c r="V142" s="67">
        <f>N365*100</f>
        <v>96.773749742037552</v>
      </c>
      <c r="W142" s="67">
        <f>N366*100</f>
        <v>92.899749855685968</v>
      </c>
      <c r="X142" s="67">
        <f>N367*100</f>
        <v>86.407276402223346</v>
      </c>
      <c r="AD142" s="51"/>
      <c r="AE142" s="51"/>
      <c r="AH142" s="78"/>
      <c r="AI142" s="78"/>
    </row>
    <row r="143" spans="1:48" x14ac:dyDescent="0.3">
      <c r="A143" t="s">
        <v>4</v>
      </c>
      <c r="B143" s="13">
        <v>1</v>
      </c>
      <c r="C143" s="33">
        <f t="shared" ref="C143:G146" si="23">(C132/$L143)*$O143</f>
        <v>0</v>
      </c>
      <c r="D143" s="34">
        <f t="shared" si="23"/>
        <v>4.3643012882117747</v>
      </c>
      <c r="E143" s="19">
        <f t="shared" si="23"/>
        <v>0.68832939780521274</v>
      </c>
      <c r="F143" s="18">
        <f t="shared" si="23"/>
        <v>0</v>
      </c>
      <c r="G143" s="20">
        <f t="shared" si="23"/>
        <v>2.9290612672562246E-2</v>
      </c>
      <c r="H143" s="17">
        <f>SUM(C143:G143)</f>
        <v>5.0819212986895499</v>
      </c>
      <c r="I143" s="17">
        <f>D143/H143*100</f>
        <v>85.878962536023053</v>
      </c>
      <c r="J143" s="17">
        <f>SQRT(I143*(100-I143)/(L143-1))</f>
        <v>1.8721414026762528</v>
      </c>
      <c r="K143" s="18">
        <f>100-I143</f>
        <v>14.121037463976947</v>
      </c>
      <c r="L143" s="1">
        <f>H132</f>
        <v>347</v>
      </c>
      <c r="M143">
        <v>1</v>
      </c>
      <c r="N143" s="1">
        <v>10066.66</v>
      </c>
      <c r="O143" s="17">
        <f>N143/N147*100</f>
        <v>5.0819212986895499</v>
      </c>
      <c r="P143" s="52">
        <f>((O143*O143*(I143/100)*(K143/100))/(L143-1))</f>
        <v>9.0517628213141639E-3</v>
      </c>
      <c r="R143" s="16" t="s">
        <v>66</v>
      </c>
      <c r="S143" t="s">
        <v>9</v>
      </c>
      <c r="T143" s="30">
        <f>N374</f>
        <v>3422.03</v>
      </c>
      <c r="U143" s="30">
        <f>N375</f>
        <v>10382.450000000001</v>
      </c>
      <c r="V143" s="30">
        <f>N376</f>
        <v>124374.01</v>
      </c>
      <c r="W143" s="30">
        <f>N377</f>
        <v>40884.449999999997</v>
      </c>
      <c r="X143" s="30">
        <f>N378</f>
        <v>19024.73</v>
      </c>
      <c r="Z143" t="s">
        <v>36</v>
      </c>
      <c r="AA143" s="1">
        <f>N379</f>
        <v>198087.67</v>
      </c>
      <c r="AD143" s="51"/>
      <c r="AE143" s="51"/>
    </row>
    <row r="144" spans="1:48" ht="15.6" x14ac:dyDescent="0.35">
      <c r="A144" t="s">
        <v>5</v>
      </c>
      <c r="B144" s="13">
        <v>2</v>
      </c>
      <c r="C144" s="33">
        <f t="shared" si="23"/>
        <v>0</v>
      </c>
      <c r="D144" s="19">
        <f t="shared" si="23"/>
        <v>2.4500127871637036</v>
      </c>
      <c r="E144" s="34">
        <f t="shared" si="23"/>
        <v>60.382069533466158</v>
      </c>
      <c r="F144" s="19">
        <f t="shared" si="23"/>
        <v>0.1719307219062248</v>
      </c>
      <c r="G144" s="20">
        <f t="shared" si="23"/>
        <v>0.18052725800153605</v>
      </c>
      <c r="H144" s="17">
        <f>SUM(C144:G144)</f>
        <v>63.184540300537613</v>
      </c>
      <c r="I144" s="17">
        <f>E144/H144*100</f>
        <v>95.56462585034015</v>
      </c>
      <c r="J144" s="17">
        <f>SQRT(I144*(100-I144)/(L144-1))</f>
        <v>0.2401593993496848</v>
      </c>
      <c r="K144" s="18">
        <f>100-I144</f>
        <v>4.4353741496598502</v>
      </c>
      <c r="L144" s="1">
        <f>H133</f>
        <v>7350</v>
      </c>
      <c r="M144">
        <v>2</v>
      </c>
      <c r="N144" s="1">
        <v>125160.79</v>
      </c>
      <c r="O144" s="17">
        <f>N144/N147*100</f>
        <v>63.18454030053762</v>
      </c>
      <c r="P144" s="52">
        <f>((O144*O144*(I144/100)*(K144/100))/(L144-1))</f>
        <v>2.3026123924726478E-2</v>
      </c>
      <c r="R144" s="16" t="s">
        <v>323</v>
      </c>
      <c r="S144" t="s">
        <v>68</v>
      </c>
      <c r="T144" s="57">
        <f>$AA143*T136/100</f>
        <v>3422.0300000000007</v>
      </c>
      <c r="U144" s="57">
        <f>$AA143*U136/100</f>
        <v>13897.51503941412</v>
      </c>
      <c r="V144" s="57">
        <f>$AA143*V136/100</f>
        <v>122025.60719525228</v>
      </c>
      <c r="W144" s="57">
        <f>$AA143*W136/100</f>
        <v>40169.448262141494</v>
      </c>
      <c r="X144" s="57">
        <f>$AA143*X136/100</f>
        <v>18573.069503192091</v>
      </c>
      <c r="Z144" t="s">
        <v>36</v>
      </c>
      <c r="AA144" s="25">
        <f>SUM(T144:X144)</f>
        <v>198087.66999999998</v>
      </c>
      <c r="AD144" s="51"/>
      <c r="AE144" s="51"/>
      <c r="AH144" s="78"/>
      <c r="AI144" s="78"/>
    </row>
    <row r="145" spans="1:35" x14ac:dyDescent="0.3">
      <c r="A145" t="s">
        <v>6</v>
      </c>
      <c r="B145" s="13">
        <v>3</v>
      </c>
      <c r="C145" s="33">
        <f t="shared" si="23"/>
        <v>0</v>
      </c>
      <c r="D145" s="19">
        <f t="shared" si="23"/>
        <v>4.6763689905130024E-2</v>
      </c>
      <c r="E145" s="19">
        <f t="shared" si="23"/>
        <v>0.88071615987994889</v>
      </c>
      <c r="F145" s="34">
        <f t="shared" si="23"/>
        <v>18.884736773355009</v>
      </c>
      <c r="G145" s="20">
        <f t="shared" si="23"/>
        <v>0.74821903848208038</v>
      </c>
      <c r="H145" s="17">
        <f>SUM(C145:G145)</f>
        <v>20.560435661622169</v>
      </c>
      <c r="I145" s="17">
        <f>F145/H145*100</f>
        <v>91.849886277482938</v>
      </c>
      <c r="J145" s="17">
        <f>SQRT(I145*(100-I145)/(L145-1))</f>
        <v>0.53280228772143301</v>
      </c>
      <c r="K145" s="18">
        <f>100-I145</f>
        <v>8.1501137225170623</v>
      </c>
      <c r="L145" s="1">
        <f>H134</f>
        <v>2638</v>
      </c>
      <c r="M145">
        <v>3</v>
      </c>
      <c r="N145" s="1">
        <v>40727.69</v>
      </c>
      <c r="O145" s="17">
        <f>N145/N147*100</f>
        <v>20.560435661622169</v>
      </c>
      <c r="P145" s="52">
        <f>((O145*O145*(I145/100)*(K145/100))/(L145-1))</f>
        <v>1.200042943357184E-2</v>
      </c>
      <c r="R145" s="66"/>
      <c r="S145" s="66" t="s">
        <v>67</v>
      </c>
      <c r="T145" s="67">
        <f>$AA143*T137/100</f>
        <v>0</v>
      </c>
      <c r="U145" s="67">
        <f>$AA143*U137/100</f>
        <v>337.86200308314744</v>
      </c>
      <c r="V145" s="67">
        <f>$AA143*V137/100</f>
        <v>382.01460916195538</v>
      </c>
      <c r="W145" s="67">
        <f>$AA143*W137/100</f>
        <v>308.54159547682792</v>
      </c>
      <c r="X145" s="67">
        <f>$AA143*X137/100</f>
        <v>276.9336470251788</v>
      </c>
      <c r="AA145" s="1"/>
      <c r="AD145" s="51"/>
      <c r="AE145" s="51"/>
    </row>
    <row r="146" spans="1:35" x14ac:dyDescent="0.3">
      <c r="A146" t="s">
        <v>7</v>
      </c>
      <c r="B146" s="13">
        <v>4</v>
      </c>
      <c r="C146" s="35">
        <f t="shared" si="23"/>
        <v>0</v>
      </c>
      <c r="D146" s="36">
        <f t="shared" si="23"/>
        <v>0</v>
      </c>
      <c r="E146" s="21">
        <f t="shared" si="23"/>
        <v>2.8711895294410674E-2</v>
      </c>
      <c r="F146" s="21">
        <f t="shared" si="23"/>
        <v>1.2346114976596589</v>
      </c>
      <c r="G146" s="37">
        <f t="shared" si="23"/>
        <v>8.2116020542014532</v>
      </c>
      <c r="H146" s="17">
        <f>SUM(C146:G146)</f>
        <v>9.4749254471555222</v>
      </c>
      <c r="I146" s="17">
        <f>G146/H146*100</f>
        <v>86.666666666666671</v>
      </c>
      <c r="J146" s="17">
        <f>SQRT(I146*(100-I146)/(L146-1))</f>
        <v>1.0809292502472099</v>
      </c>
      <c r="K146" s="18">
        <f>100-I146</f>
        <v>13.333333333333329</v>
      </c>
      <c r="L146" s="1">
        <f>H135</f>
        <v>990</v>
      </c>
      <c r="M146">
        <v>4</v>
      </c>
      <c r="N146" s="1">
        <v>18768.66</v>
      </c>
      <c r="O146" s="17">
        <f>N146/N147*100</f>
        <v>9.4749254471555222</v>
      </c>
      <c r="P146" s="52">
        <f>((O146*O146*(I146/100)*(K146/100))/(L146-1))</f>
        <v>1.048929117158987E-2</v>
      </c>
      <c r="R146" t="s">
        <v>106</v>
      </c>
      <c r="S146" t="s">
        <v>28</v>
      </c>
      <c r="T146" s="57">
        <f>C408</f>
        <v>1.7112170585882502</v>
      </c>
      <c r="U146" s="57">
        <f t="shared" ref="U146:X149" si="24">D408</f>
        <v>6.9321522374822235</v>
      </c>
      <c r="V146" s="57">
        <f t="shared" si="24"/>
        <v>62.139304642740541</v>
      </c>
      <c r="W146" s="57">
        <f t="shared" si="24"/>
        <v>19.700158219777691</v>
      </c>
      <c r="X146" s="57">
        <f t="shared" si="24"/>
        <v>9.5171678414112773</v>
      </c>
      <c r="Y146" s="60"/>
      <c r="Z146" s="74"/>
      <c r="AA146" s="12"/>
      <c r="AD146" s="51"/>
      <c r="AE146" s="51"/>
      <c r="AH146" s="78"/>
      <c r="AI146" s="78"/>
    </row>
    <row r="147" spans="1:35" x14ac:dyDescent="0.3">
      <c r="B147" t="s">
        <v>28</v>
      </c>
      <c r="C147" s="17">
        <f t="shared" ref="C147:H147" si="25">SUM(C142:C146)</f>
        <v>1.698177291995141</v>
      </c>
      <c r="D147" s="17">
        <f t="shared" si="25"/>
        <v>6.8610777652806076</v>
      </c>
      <c r="E147" s="17">
        <f t="shared" si="25"/>
        <v>61.979826986445737</v>
      </c>
      <c r="F147" s="17">
        <f t="shared" si="25"/>
        <v>20.291278992920894</v>
      </c>
      <c r="G147" s="17">
        <f t="shared" si="25"/>
        <v>9.169638963357631</v>
      </c>
      <c r="H147" s="18">
        <f t="shared" si="25"/>
        <v>100</v>
      </c>
      <c r="I147" s="13" t="s">
        <v>24</v>
      </c>
      <c r="J147" s="12" t="s">
        <v>29</v>
      </c>
      <c r="N147" s="1">
        <f>SUM(N142:N146)</f>
        <v>198087.67999999999</v>
      </c>
      <c r="O147" s="17">
        <f>SUM(O142:O146)</f>
        <v>100</v>
      </c>
      <c r="S147" s="66" t="s">
        <v>39</v>
      </c>
      <c r="T147" s="67">
        <f>C409</f>
        <v>0</v>
      </c>
      <c r="U147" s="67">
        <f t="shared" si="24"/>
        <v>0.17192567910184248</v>
      </c>
      <c r="V147" s="67">
        <f t="shared" si="24"/>
        <v>0.19356976193141373</v>
      </c>
      <c r="W147" s="67">
        <f t="shared" si="24"/>
        <v>0.14851590019034039</v>
      </c>
      <c r="X147" s="67">
        <f t="shared" si="24"/>
        <v>0.13373653248483727</v>
      </c>
      <c r="AD147" s="51"/>
      <c r="AE147" s="51"/>
    </row>
    <row r="148" spans="1:35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0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0.1721460717576668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0.19642442959116102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0.15409807617040361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0.13443225360321837</v>
      </c>
      <c r="H148" s="1"/>
      <c r="I148" s="56">
        <f>(C142+D143+E144+F145+G146)/H147</f>
        <v>0.93540886941229529</v>
      </c>
      <c r="J148" s="53">
        <f>SQRT(SUM(P142:P146))/100</f>
        <v>2.3359710475774815E-3</v>
      </c>
      <c r="M148" s="1"/>
      <c r="N148" s="9"/>
      <c r="S148" t="s">
        <v>30</v>
      </c>
      <c r="T148" s="57">
        <f>C410</f>
        <v>100</v>
      </c>
      <c r="U148" s="57">
        <f t="shared" si="24"/>
        <v>63.249303806236568</v>
      </c>
      <c r="V148" s="57">
        <f t="shared" si="24"/>
        <v>97.617183752828922</v>
      </c>
      <c r="W148" s="57">
        <f t="shared" si="24"/>
        <v>93.904042002421946</v>
      </c>
      <c r="X148" s="57">
        <f t="shared" si="24"/>
        <v>88.988799215556554</v>
      </c>
      <c r="AD148" s="51"/>
      <c r="AE148" s="51"/>
      <c r="AH148" s="78"/>
      <c r="AI148" s="78"/>
    </row>
    <row r="149" spans="1:35" x14ac:dyDescent="0.3">
      <c r="B149" s="1" t="s">
        <v>30</v>
      </c>
      <c r="C149" s="17">
        <f>C142/C147*100</f>
        <v>100</v>
      </c>
      <c r="D149" s="17">
        <f>D143/D147*100</f>
        <v>63.609558694941882</v>
      </c>
      <c r="E149" s="17">
        <f>E144/E147*100</f>
        <v>97.422133086416977</v>
      </c>
      <c r="F149" s="17">
        <f>F145/F147*100</f>
        <v>93.068242666928029</v>
      </c>
      <c r="G149" s="17">
        <f>G146/G147*100</f>
        <v>89.552076008831477</v>
      </c>
      <c r="H149" s="1"/>
      <c r="S149" s="66" t="s">
        <v>39</v>
      </c>
      <c r="T149" s="67">
        <f>C411</f>
        <v>0</v>
      </c>
      <c r="U149" s="67">
        <f t="shared" si="24"/>
        <v>5.0617103222326962</v>
      </c>
      <c r="V149" s="67">
        <f t="shared" si="24"/>
        <v>0.19737539201130508</v>
      </c>
      <c r="W149" s="67">
        <f t="shared" si="24"/>
        <v>0.58908954949614756</v>
      </c>
      <c r="X149" s="67">
        <f t="shared" si="24"/>
        <v>1.4199308486583098</v>
      </c>
      <c r="AD149" s="51"/>
      <c r="AE149" s="51"/>
    </row>
    <row r="150" spans="1:35" x14ac:dyDescent="0.3">
      <c r="B150" s="16" t="s">
        <v>39</v>
      </c>
      <c r="C150" s="18">
        <f>SQRT((C153+C154)/(C147*C147))</f>
        <v>0</v>
      </c>
      <c r="D150" s="18">
        <f>SQRT((D153+D154)/(D147*D147))</f>
        <v>5.2187555968607127</v>
      </c>
      <c r="E150" s="18">
        <f>SQRT((E153+E154)/(E147*E147))</f>
        <v>0.20614288910580567</v>
      </c>
      <c r="F150" s="18">
        <f>SQRT((F153+F154)/(F147*F147))</f>
        <v>0.62246196602581672</v>
      </c>
      <c r="G150" s="18">
        <f>SQRT((G153+G154)/(G147*G147))</f>
        <v>1.4444165507101538</v>
      </c>
      <c r="H150" s="1"/>
      <c r="S150" s="15" t="s">
        <v>31</v>
      </c>
      <c r="T150" s="71">
        <f>I403</f>
        <v>100</v>
      </c>
      <c r="U150" s="71">
        <f>I404</f>
        <v>86.743515850144078</v>
      </c>
      <c r="V150" s="71">
        <f>I405</f>
        <v>95.591836734693885</v>
      </c>
      <c r="W150" s="71">
        <f>I406</f>
        <v>91.698256254738439</v>
      </c>
      <c r="X150" s="71">
        <f>I407</f>
        <v>88.181818181818173</v>
      </c>
      <c r="AD150" s="51"/>
      <c r="AE150" s="51"/>
      <c r="AH150" s="78"/>
      <c r="AI150" s="78"/>
    </row>
    <row r="151" spans="1:35" x14ac:dyDescent="0.3">
      <c r="B151" s="1" t="s">
        <v>37</v>
      </c>
      <c r="C151" s="18">
        <f>100-C149</f>
        <v>0</v>
      </c>
      <c r="D151" s="18">
        <f>100-D149</f>
        <v>36.390441305058118</v>
      </c>
      <c r="E151" s="18">
        <f>100-E149</f>
        <v>2.5778669135830228</v>
      </c>
      <c r="F151" s="18">
        <f>100-F149</f>
        <v>6.9317573330719711</v>
      </c>
      <c r="G151" s="18">
        <f>100-G149</f>
        <v>10.447923991168523</v>
      </c>
      <c r="S151" s="75" t="s">
        <v>39</v>
      </c>
      <c r="T151" s="76">
        <f>J403</f>
        <v>0</v>
      </c>
      <c r="U151" s="76">
        <f>J404</f>
        <v>1.8230334586187342</v>
      </c>
      <c r="V151" s="76">
        <f>J405</f>
        <v>0.239455664500831</v>
      </c>
      <c r="W151" s="76">
        <f>J406</f>
        <v>0.53729170468654908</v>
      </c>
      <c r="X151" s="76">
        <f>J407</f>
        <v>1.0265183384733181</v>
      </c>
      <c r="AD151" s="51"/>
      <c r="AE151" s="51"/>
    </row>
    <row r="152" spans="1:35" ht="15.6" x14ac:dyDescent="0.35">
      <c r="B152" s="1" t="s">
        <v>25</v>
      </c>
      <c r="C152" s="1">
        <f>C136</f>
        <v>259</v>
      </c>
      <c r="D152" s="1">
        <f>D136</f>
        <v>589</v>
      </c>
      <c r="E152" s="1">
        <f>E136</f>
        <v>7187</v>
      </c>
      <c r="F152" s="1">
        <f>F136</f>
        <v>2572</v>
      </c>
      <c r="G152" s="1">
        <f>G136</f>
        <v>977</v>
      </c>
      <c r="S152" s="66" t="s">
        <v>56</v>
      </c>
      <c r="T152" s="67">
        <f>N392*100</f>
        <v>100</v>
      </c>
      <c r="U152" s="67">
        <f>N393*100</f>
        <v>63.771186440677965</v>
      </c>
      <c r="V152" s="67">
        <f>N394*100</f>
        <v>96.716911005575071</v>
      </c>
      <c r="W152" s="67">
        <f>N395*100</f>
        <v>93.361636433809352</v>
      </c>
      <c r="X152" s="67">
        <f>N396*100</f>
        <v>87.518796992481214</v>
      </c>
      <c r="AD152" s="51"/>
      <c r="AE152" s="51"/>
      <c r="AH152" s="78"/>
      <c r="AI152" s="78"/>
    </row>
    <row r="153" spans="1:35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1198.6925617500503</v>
      </c>
      <c r="E153" s="18">
        <f>(O144*O144*(100-E149)*(100-E149)*(I144)*(100-I144))/((L144-1)*100)</f>
        <v>15.301775382789486</v>
      </c>
      <c r="F153" s="18">
        <f>(O145*O145*(100-F149)*(100-F149)*(I145)*(100-I145))/((L145-1)*100)</f>
        <v>57.661175066039235</v>
      </c>
      <c r="G153" s="18">
        <f>(O146*O146*(100-G149)*(100-G149)*(I146)*(100-I146))/((L146-1)*100)</f>
        <v>114.50017488752627</v>
      </c>
      <c r="R153" s="16" t="s">
        <v>66</v>
      </c>
      <c r="S153" t="s">
        <v>9</v>
      </c>
      <c r="T153" s="30">
        <f>N403</f>
        <v>3389.71</v>
      </c>
      <c r="U153" s="30">
        <f>N404</f>
        <v>10012.540000000001</v>
      </c>
      <c r="V153" s="30">
        <f>N405</f>
        <v>125698.27</v>
      </c>
      <c r="W153" s="30">
        <f>N406</f>
        <v>39962.29</v>
      </c>
      <c r="X153" s="30">
        <f>N407</f>
        <v>19024.86</v>
      </c>
      <c r="Z153" t="s">
        <v>36</v>
      </c>
      <c r="AA153" s="1">
        <f>N408</f>
        <v>198087.67000000004</v>
      </c>
      <c r="AD153" s="51"/>
      <c r="AE153" s="51"/>
    </row>
    <row r="154" spans="1:35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83.397697733464298</v>
      </c>
      <c r="E154" s="18">
        <f>E149*E149*(SUM((H142*E142*(1-E131/H131))/(H131-1),(H143*E143*(1-E132/H132))/(H132-1), (H145*E145*(1-E134/H134))/(H134-1),(H146*E146*(1-E135/H135))/(H135-1)))</f>
        <v>147.94230287154795</v>
      </c>
      <c r="F154" s="18">
        <f>F149*F149*(SUM((H142*F142*(1-F131/H131))/(H131-1),(H143*F143*(1-F132/H132))/(H132-1), (H144*F144*(1-F133/H133))/(H133-1),(H146*F146*(1-F135/H135))/(H135-1)))</f>
        <v>101.86960346154419</v>
      </c>
      <c r="G154" s="18">
        <f>G149*G149*(SUM((H142*G142*(1-G131/H131))/(H131-1),(H143*G143*(1-G132/H132))/(H132-1), (H144*G144*(1-G133/H133))/(H133-1),(H145*G145*(1-G134/H134))/(H134-1)))</f>
        <v>60.92397687063238</v>
      </c>
      <c r="R154" s="16" t="s">
        <v>323</v>
      </c>
      <c r="S154" t="s">
        <v>68</v>
      </c>
      <c r="T154" s="57">
        <f>$AA153*T146/100</f>
        <v>3389.7100000000005</v>
      </c>
      <c r="U154" s="57">
        <f>$AA153*U146/100</f>
        <v>13731.738848081406</v>
      </c>
      <c r="V154" s="57">
        <f>$AA153*V146/100</f>
        <v>123090.30072100658</v>
      </c>
      <c r="W154" s="57">
        <f>$AA153*W146/100</f>
        <v>39023.584403871115</v>
      </c>
      <c r="X154" s="57">
        <f>$AA153*X146/100</f>
        <v>18852.336027040899</v>
      </c>
      <c r="Z154" t="s">
        <v>36</v>
      </c>
      <c r="AA154" s="25">
        <f>SUM(T154:X154)</f>
        <v>198087.67</v>
      </c>
      <c r="AD154" s="51"/>
      <c r="AE154" s="51"/>
      <c r="AH154" s="78"/>
      <c r="AI154" s="78"/>
    </row>
    <row r="155" spans="1:35" x14ac:dyDescent="0.3">
      <c r="R155" s="66"/>
      <c r="S155" s="66" t="s">
        <v>67</v>
      </c>
      <c r="T155" s="67">
        <f>$AA153*T147/100</f>
        <v>0</v>
      </c>
      <c r="U155" s="67">
        <f>$AA153*U147/100</f>
        <v>340.5635718645168</v>
      </c>
      <c r="V155" s="67">
        <f>$AA153*V147/100</f>
        <v>383.43783123448452</v>
      </c>
      <c r="W155" s="67">
        <f>$AA153*W147/100</f>
        <v>294.19168626657091</v>
      </c>
      <c r="X155" s="67">
        <f>$AA153*X147/100</f>
        <v>264.91558113800733</v>
      </c>
      <c r="AA155" s="1"/>
      <c r="AD155" s="51"/>
      <c r="AE155" s="51"/>
    </row>
    <row r="156" spans="1:35" x14ac:dyDescent="0.3">
      <c r="R156" t="s">
        <v>107</v>
      </c>
      <c r="S156" t="s">
        <v>28</v>
      </c>
      <c r="T156" s="57">
        <f>C437</f>
        <v>1.6922608055312076</v>
      </c>
      <c r="U156" s="57">
        <f t="shared" ref="U156:X159" si="26">D437</f>
        <v>7.1543710292388321</v>
      </c>
      <c r="V156" s="57">
        <f t="shared" si="26"/>
        <v>61.438298093150124</v>
      </c>
      <c r="W156" s="57">
        <f t="shared" si="26"/>
        <v>20.466744977806265</v>
      </c>
      <c r="X156" s="57">
        <f t="shared" si="26"/>
        <v>9.248325094273584</v>
      </c>
      <c r="Z156" s="74"/>
      <c r="AA156" s="12"/>
      <c r="AD156" s="51"/>
      <c r="AE156" s="51"/>
      <c r="AH156" s="78"/>
      <c r="AI156" s="78"/>
    </row>
    <row r="157" spans="1:35" x14ac:dyDescent="0.3">
      <c r="A157" s="361" t="s">
        <v>461</v>
      </c>
      <c r="B157" s="361"/>
      <c r="C157" s="361"/>
      <c r="D157" s="361"/>
      <c r="E157" s="361"/>
      <c r="F157" s="361"/>
      <c r="G157" s="361"/>
      <c r="H157" s="361"/>
      <c r="I157" s="361"/>
      <c r="J157" s="361"/>
      <c r="K157" s="361"/>
      <c r="L157" s="361" t="s">
        <v>83</v>
      </c>
      <c r="M157" s="361"/>
      <c r="N157" s="361"/>
      <c r="O157" s="361"/>
      <c r="P157" s="361"/>
      <c r="S157" s="66" t="s">
        <v>39</v>
      </c>
      <c r="T157" s="67">
        <f>C438</f>
        <v>0</v>
      </c>
      <c r="U157" s="67">
        <f t="shared" si="26"/>
        <v>0.17050710117163601</v>
      </c>
      <c r="V157" s="67">
        <f t="shared" si="26"/>
        <v>0.19389341269755372</v>
      </c>
      <c r="W157" s="67">
        <f t="shared" si="26"/>
        <v>0.15619432781593398</v>
      </c>
      <c r="X157" s="67">
        <f t="shared" si="26"/>
        <v>0.13716331079139735</v>
      </c>
      <c r="AD157" s="51"/>
      <c r="AE157" s="51"/>
    </row>
    <row r="158" spans="1:35" x14ac:dyDescent="0.3">
      <c r="A158" t="s">
        <v>320</v>
      </c>
      <c r="B158" t="s">
        <v>21</v>
      </c>
      <c r="I158" s="1" t="s">
        <v>58</v>
      </c>
      <c r="O158" s="143"/>
      <c r="P158" s="143"/>
      <c r="S158" t="s">
        <v>30</v>
      </c>
      <c r="T158" s="57">
        <f>C439</f>
        <v>100</v>
      </c>
      <c r="U158" s="57">
        <f t="shared" si="26"/>
        <v>64.374785258775802</v>
      </c>
      <c r="V158" s="57">
        <f t="shared" si="26"/>
        <v>97.592484878787005</v>
      </c>
      <c r="W158" s="57">
        <f t="shared" si="26"/>
        <v>93.012594173925038</v>
      </c>
      <c r="X158" s="57">
        <f t="shared" si="26"/>
        <v>89.133567192147069</v>
      </c>
      <c r="AD158" s="51"/>
      <c r="AE158" s="51"/>
      <c r="AH158" s="78"/>
      <c r="AI158" s="78"/>
    </row>
    <row r="159" spans="1:35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56</v>
      </c>
      <c r="O159" s="13"/>
      <c r="P159" s="13"/>
      <c r="S159" s="66" t="s">
        <v>39</v>
      </c>
      <c r="T159" s="67">
        <f>C440</f>
        <v>0</v>
      </c>
      <c r="U159" s="67">
        <f t="shared" si="26"/>
        <v>4.6966166684430233</v>
      </c>
      <c r="V159" s="67">
        <f t="shared" si="26"/>
        <v>0.20152324212207948</v>
      </c>
      <c r="W159" s="67">
        <f t="shared" si="26"/>
        <v>0.62629801434200638</v>
      </c>
      <c r="X159" s="67">
        <f t="shared" si="26"/>
        <v>1.4976947455391718</v>
      </c>
      <c r="AD159" s="51"/>
      <c r="AE159" s="51"/>
    </row>
    <row r="160" spans="1:35" x14ac:dyDescent="0.3">
      <c r="A160" t="s">
        <v>3</v>
      </c>
      <c r="B160" s="13">
        <v>0</v>
      </c>
      <c r="C160" s="26">
        <v>259</v>
      </c>
      <c r="D160" s="3">
        <v>0</v>
      </c>
      <c r="E160" s="3">
        <v>0</v>
      </c>
      <c r="F160" s="3">
        <v>0</v>
      </c>
      <c r="G160" s="4">
        <v>0</v>
      </c>
      <c r="H160" s="1">
        <f>SUM(C160:G160)</f>
        <v>259</v>
      </c>
      <c r="I160" s="10">
        <f>C160/H160</f>
        <v>1</v>
      </c>
      <c r="J160" s="11">
        <f>1-I160</f>
        <v>0</v>
      </c>
      <c r="K160">
        <f>H160-C165</f>
        <v>0</v>
      </c>
      <c r="N160" s="10">
        <f>2*(C166*I160)/(C166+I160)</f>
        <v>1</v>
      </c>
      <c r="O160" s="1"/>
      <c r="P160" s="1"/>
      <c r="S160" s="15" t="s">
        <v>31</v>
      </c>
      <c r="T160" s="71">
        <f>I432</f>
        <v>100</v>
      </c>
      <c r="U160" s="71">
        <f>I433</f>
        <v>88.184438040345825</v>
      </c>
      <c r="V160" s="71">
        <f>I434</f>
        <v>95.523809523809518</v>
      </c>
      <c r="W160" s="71">
        <f>I435</f>
        <v>91.698256254738439</v>
      </c>
      <c r="X160" s="71">
        <f>I436</f>
        <v>86.262626262626256</v>
      </c>
      <c r="AD160" s="51"/>
      <c r="AE160" s="51"/>
      <c r="AH160" s="78"/>
      <c r="AI160" s="78"/>
    </row>
    <row r="161" spans="1:35" x14ac:dyDescent="0.3">
      <c r="A161" t="s">
        <v>4</v>
      </c>
      <c r="B161" s="13">
        <v>1</v>
      </c>
      <c r="C161" s="5">
        <v>0</v>
      </c>
      <c r="D161" s="27">
        <v>302</v>
      </c>
      <c r="E161" s="1">
        <v>44</v>
      </c>
      <c r="F161" s="1">
        <v>0</v>
      </c>
      <c r="G161" s="6">
        <v>1</v>
      </c>
      <c r="H161" s="1">
        <f>SUM(C161:G161)</f>
        <v>347</v>
      </c>
      <c r="I161" s="10">
        <f>D161/H161</f>
        <v>0.87031700288184433</v>
      </c>
      <c r="J161" s="11">
        <f>1-I161</f>
        <v>0.12968299711815567</v>
      </c>
      <c r="K161">
        <f>H161-D165</f>
        <v>-248</v>
      </c>
      <c r="N161" s="10">
        <f>2*(D166*I161)/(D166+I161)</f>
        <v>0.64118895966029721</v>
      </c>
      <c r="O161" s="1"/>
      <c r="P161" s="1"/>
      <c r="S161" s="75" t="s">
        <v>39</v>
      </c>
      <c r="T161" s="76">
        <f>J432</f>
        <v>0</v>
      </c>
      <c r="U161" s="76">
        <f>J433</f>
        <v>1.7353421574154884</v>
      </c>
      <c r="V161" s="76">
        <f>J434</f>
        <v>0.24121036881683383</v>
      </c>
      <c r="W161" s="76">
        <f>J435</f>
        <v>0.53729170468654908</v>
      </c>
      <c r="X161" s="76">
        <f>J436</f>
        <v>1.0946242096264787</v>
      </c>
      <c r="AD161" s="51"/>
      <c r="AE161" s="51"/>
    </row>
    <row r="162" spans="1:35" x14ac:dyDescent="0.3">
      <c r="A162" t="s">
        <v>5</v>
      </c>
      <c r="B162" s="13">
        <v>2</v>
      </c>
      <c r="C162" s="5">
        <v>0</v>
      </c>
      <c r="D162" s="1">
        <v>284</v>
      </c>
      <c r="E162" s="27">
        <v>7030</v>
      </c>
      <c r="F162" s="1">
        <v>13</v>
      </c>
      <c r="G162" s="6">
        <v>23</v>
      </c>
      <c r="H162" s="1">
        <f>SUM(C162:G162)</f>
        <v>7350</v>
      </c>
      <c r="I162" s="10">
        <f>E162/H162</f>
        <v>0.9564625850340136</v>
      </c>
      <c r="J162" s="11">
        <f>1-I162</f>
        <v>4.3537414965986398E-2</v>
      </c>
      <c r="K162">
        <f>H162-E165</f>
        <v>159</v>
      </c>
      <c r="N162" s="10">
        <f>2*(E166*I162)/(E166+I162)</f>
        <v>0.9669211195928753</v>
      </c>
      <c r="O162" s="1"/>
      <c r="P162" s="1"/>
      <c r="S162" s="66" t="s">
        <v>56</v>
      </c>
      <c r="T162" s="67">
        <f>N421*100</f>
        <v>100</v>
      </c>
      <c r="U162" s="67">
        <f>N422*100</f>
        <v>64.285714285714278</v>
      </c>
      <c r="V162" s="67">
        <f>N423*100</f>
        <v>96.694670155625957</v>
      </c>
      <c r="W162" s="67">
        <f>N424*100</f>
        <v>92.913385826771659</v>
      </c>
      <c r="X162" s="67">
        <f>N425*100</f>
        <v>86.744540375825295</v>
      </c>
      <c r="AD162" s="51"/>
      <c r="AE162" s="51"/>
      <c r="AH162" s="78"/>
      <c r="AI162" s="78"/>
    </row>
    <row r="163" spans="1:35" x14ac:dyDescent="0.3">
      <c r="A163" t="s">
        <v>6</v>
      </c>
      <c r="B163" s="13">
        <v>3</v>
      </c>
      <c r="C163" s="5">
        <v>0</v>
      </c>
      <c r="D163" s="1">
        <v>9</v>
      </c>
      <c r="E163" s="1">
        <v>114</v>
      </c>
      <c r="F163" s="27">
        <v>2402</v>
      </c>
      <c r="G163" s="6">
        <v>113</v>
      </c>
      <c r="H163" s="1">
        <f>SUM(C163:G163)</f>
        <v>2638</v>
      </c>
      <c r="I163" s="10">
        <f>F163/H163</f>
        <v>0.91053828658074298</v>
      </c>
      <c r="J163" s="11">
        <f>1-I163</f>
        <v>8.9461713419257016E-2</v>
      </c>
      <c r="K163">
        <f>H163-F165</f>
        <v>91</v>
      </c>
      <c r="N163" s="10">
        <f>2*(F166*I163)/(F166+I163)</f>
        <v>0.92651880424300881</v>
      </c>
      <c r="O163" s="1"/>
      <c r="P163" s="1"/>
      <c r="R163" s="16" t="s">
        <v>66</v>
      </c>
      <c r="S163" t="s">
        <v>9</v>
      </c>
      <c r="T163" s="30">
        <f>N432</f>
        <v>3352.16</v>
      </c>
      <c r="U163" s="30">
        <f>N433</f>
        <v>10345.530000000001</v>
      </c>
      <c r="V163" s="30">
        <f>N434</f>
        <v>124337.28</v>
      </c>
      <c r="W163" s="30">
        <f>N435</f>
        <v>41123.199999999997</v>
      </c>
      <c r="X163" s="30">
        <f>N436</f>
        <v>18929.5</v>
      </c>
      <c r="Z163" t="s">
        <v>36</v>
      </c>
      <c r="AA163" s="1">
        <f>N437</f>
        <v>198087.66999999998</v>
      </c>
      <c r="AD163" s="51"/>
      <c r="AE163" s="51"/>
    </row>
    <row r="164" spans="1:35" ht="15.6" x14ac:dyDescent="0.35">
      <c r="A164" t="s">
        <v>7</v>
      </c>
      <c r="B164" s="13">
        <v>4</v>
      </c>
      <c r="C164" s="7">
        <v>0</v>
      </c>
      <c r="D164" s="8">
        <v>0</v>
      </c>
      <c r="E164" s="8">
        <v>3</v>
      </c>
      <c r="F164" s="8">
        <v>132</v>
      </c>
      <c r="G164" s="28">
        <v>855</v>
      </c>
      <c r="H164" s="1">
        <f>SUM(C164:G164)</f>
        <v>990</v>
      </c>
      <c r="I164" s="10">
        <f>G164/H164</f>
        <v>0.86363636363636365</v>
      </c>
      <c r="J164" s="11">
        <f>1-I164</f>
        <v>0.13636363636363635</v>
      </c>
      <c r="K164">
        <f>H164-G165</f>
        <v>-2</v>
      </c>
      <c r="N164" s="10">
        <f>2*(G166*I164)/(G166+I164)</f>
        <v>0.86276488395560036</v>
      </c>
      <c r="O164" s="1"/>
      <c r="P164" s="1"/>
      <c r="R164" s="16" t="s">
        <v>323</v>
      </c>
      <c r="S164" t="s">
        <v>68</v>
      </c>
      <c r="T164" s="57">
        <f>$AA163*T156/100</f>
        <v>3352.16</v>
      </c>
      <c r="U164" s="57">
        <f>$AA163*U156/100</f>
        <v>14171.92687497422</v>
      </c>
      <c r="V164" s="57">
        <f>$AA163*V156/100</f>
        <v>121701.69318037549</v>
      </c>
      <c r="W164" s="57">
        <f>$AA163*W156/100</f>
        <v>40542.09825137844</v>
      </c>
      <c r="X164" s="57">
        <f>$AA163*X156/100</f>
        <v>18319.791693271844</v>
      </c>
      <c r="Z164" t="s">
        <v>36</v>
      </c>
      <c r="AA164" s="25">
        <f>SUM(T164:X164)</f>
        <v>198087.66999999998</v>
      </c>
      <c r="AD164" s="51"/>
      <c r="AE164" s="51"/>
      <c r="AH164" s="78"/>
      <c r="AI164" s="78"/>
    </row>
    <row r="165" spans="1:35" ht="15.6" x14ac:dyDescent="0.35">
      <c r="B165" s="1" t="s">
        <v>19</v>
      </c>
      <c r="C165" s="1">
        <f>SUM(C160:C164)</f>
        <v>259</v>
      </c>
      <c r="D165" s="1">
        <f>SUM(D160:D164)</f>
        <v>595</v>
      </c>
      <c r="E165" s="1">
        <f>SUM(E160:E164)</f>
        <v>7191</v>
      </c>
      <c r="F165" s="1">
        <f>SUM(F160:F164)</f>
        <v>2547</v>
      </c>
      <c r="G165" s="1">
        <f>SUM(G160:G164)</f>
        <v>992</v>
      </c>
      <c r="H165" s="1">
        <f>SUM(H159:H164)</f>
        <v>11584</v>
      </c>
      <c r="I165" s="13" t="s">
        <v>12</v>
      </c>
      <c r="N165" s="16"/>
      <c r="O165" s="1"/>
      <c r="P165" s="1"/>
      <c r="R165" s="66"/>
      <c r="S165" s="66" t="s">
        <v>67</v>
      </c>
      <c r="T165" s="67">
        <f>$AA163*T157/100</f>
        <v>0</v>
      </c>
      <c r="U165" s="67">
        <f>$AA163*U157/100</f>
        <v>337.75354389543645</v>
      </c>
      <c r="V165" s="67">
        <f>$AA163*V157/100</f>
        <v>384.07894349606829</v>
      </c>
      <c r="W165" s="67">
        <f>$AA163*W157/100</f>
        <v>309.40170464274547</v>
      </c>
      <c r="X165" s="67">
        <f>$AA163*X157/100</f>
        <v>271.70360644153754</v>
      </c>
      <c r="AA165" s="1"/>
      <c r="AD165" s="51"/>
      <c r="AE165" s="51"/>
    </row>
    <row r="166" spans="1:35" x14ac:dyDescent="0.3">
      <c r="A166" s="1" t="s">
        <v>321</v>
      </c>
      <c r="B166" s="1" t="s">
        <v>2</v>
      </c>
      <c r="C166" s="10">
        <f>C160/C165</f>
        <v>1</v>
      </c>
      <c r="D166" s="10">
        <f>D161/D165</f>
        <v>0.50756302521008401</v>
      </c>
      <c r="E166" s="10">
        <f>E162/E165</f>
        <v>0.9776109025170352</v>
      </c>
      <c r="F166" s="10">
        <f>F163/F165</f>
        <v>0.9430702787593247</v>
      </c>
      <c r="G166" s="10">
        <f>G164/G165</f>
        <v>0.86189516129032262</v>
      </c>
      <c r="H166" s="10"/>
      <c r="I166" s="14">
        <f>(C160+D161+E162+F163+G164)/H165</f>
        <v>0.93646408839779005</v>
      </c>
      <c r="R166" t="s">
        <v>108</v>
      </c>
      <c r="S166" t="s">
        <v>28</v>
      </c>
      <c r="T166" s="57">
        <f>C466</f>
        <v>1.718153294541084</v>
      </c>
      <c r="U166" s="57">
        <f t="shared" ref="U166:X169" si="27">D466</f>
        <v>7.0576956113612619</v>
      </c>
      <c r="V166" s="57">
        <f t="shared" si="27"/>
        <v>61.773056940341711</v>
      </c>
      <c r="W166" s="57">
        <f t="shared" si="27"/>
        <v>20.284304531117204</v>
      </c>
      <c r="X166" s="57">
        <f t="shared" si="27"/>
        <v>9.1667896226387278</v>
      </c>
      <c r="Z166" s="74"/>
      <c r="AA166" s="12"/>
      <c r="AD166" s="51"/>
      <c r="AE166" s="51"/>
      <c r="AH166" s="78"/>
      <c r="AI166" s="78"/>
    </row>
    <row r="167" spans="1:35" x14ac:dyDescent="0.3">
      <c r="B167" s="1" t="s">
        <v>14</v>
      </c>
      <c r="C167" s="11">
        <f>1-C166</f>
        <v>0</v>
      </c>
      <c r="D167" s="11">
        <f>1-D166</f>
        <v>0.49243697478991599</v>
      </c>
      <c r="E167" s="11">
        <f>1-E166</f>
        <v>2.2389097482964804E-2</v>
      </c>
      <c r="F167" s="11">
        <f>1-F166</f>
        <v>5.6929721240675302E-2</v>
      </c>
      <c r="G167" s="11">
        <f>1-G166</f>
        <v>0.13810483870967738</v>
      </c>
      <c r="S167" s="66" t="s">
        <v>39</v>
      </c>
      <c r="T167" s="67">
        <f>C467</f>
        <v>0</v>
      </c>
      <c r="U167" s="67">
        <f t="shared" si="27"/>
        <v>0.17209654833901797</v>
      </c>
      <c r="V167" s="67">
        <f t="shared" si="27"/>
        <v>0.19456435697132296</v>
      </c>
      <c r="W167" s="67">
        <f t="shared" si="27"/>
        <v>0.15351302903575118</v>
      </c>
      <c r="X167" s="67">
        <f t="shared" si="27"/>
        <v>0.13485764835111935</v>
      </c>
      <c r="AD167" s="51"/>
      <c r="AE167" s="51"/>
    </row>
    <row r="168" spans="1:35" x14ac:dyDescent="0.3">
      <c r="C168" s="2"/>
      <c r="S168" t="s">
        <v>30</v>
      </c>
      <c r="T168" s="57">
        <f>C468</f>
        <v>100</v>
      </c>
      <c r="U168" s="57">
        <f t="shared" si="27"/>
        <v>64.978036786859931</v>
      </c>
      <c r="V168" s="57">
        <f t="shared" si="27"/>
        <v>97.514193427871191</v>
      </c>
      <c r="W168" s="57">
        <f t="shared" si="27"/>
        <v>93.37119903858418</v>
      </c>
      <c r="X168" s="57">
        <f t="shared" si="27"/>
        <v>88.737174282786498</v>
      </c>
      <c r="AD168" s="51"/>
      <c r="AE168" s="51"/>
      <c r="AH168" s="78"/>
      <c r="AI168" s="78"/>
    </row>
    <row r="169" spans="1:35" ht="15.6" x14ac:dyDescent="0.35">
      <c r="A169" t="s">
        <v>322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0</v>
      </c>
      <c r="U169" s="67">
        <f t="shared" si="27"/>
        <v>4.9597302489141901</v>
      </c>
      <c r="V169" s="67">
        <f t="shared" si="27"/>
        <v>0.20546409007734384</v>
      </c>
      <c r="W169" s="67">
        <f t="shared" si="27"/>
        <v>0.60740331300031847</v>
      </c>
      <c r="X169" s="67">
        <f t="shared" si="27"/>
        <v>1.5097762986348258</v>
      </c>
      <c r="AD169" s="51"/>
      <c r="AE169" s="51"/>
    </row>
    <row r="170" spans="1:35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100</v>
      </c>
      <c r="U170" s="71">
        <f>I462</f>
        <v>86.743515850144078</v>
      </c>
      <c r="V170" s="71">
        <f>I463</f>
        <v>95.659863945578223</v>
      </c>
      <c r="W170" s="71">
        <f>I464</f>
        <v>91.622441243366197</v>
      </c>
      <c r="X170" s="71">
        <f>I465</f>
        <v>86.969696969696969</v>
      </c>
      <c r="AD170" s="51"/>
      <c r="AE170" s="51"/>
      <c r="AH170" s="78"/>
      <c r="AI170" s="78"/>
    </row>
    <row r="171" spans="1:35" x14ac:dyDescent="0.3">
      <c r="A171" t="s">
        <v>3</v>
      </c>
      <c r="B171" s="13">
        <v>0</v>
      </c>
      <c r="C171" s="29">
        <f>(C160/$L171)*$O171</f>
        <v>1.6895397881150298</v>
      </c>
      <c r="D171" s="31">
        <f>(D160/$L171)*$O171</f>
        <v>0</v>
      </c>
      <c r="E171" s="31">
        <f>(E160/$L171)*$O171</f>
        <v>0</v>
      </c>
      <c r="F171" s="31">
        <f>(F160/$L171)*$O171</f>
        <v>0</v>
      </c>
      <c r="G171" s="32">
        <f>(G160/$L171)*$O171</f>
        <v>0</v>
      </c>
      <c r="H171" s="17">
        <f>SUM(C171:G171)</f>
        <v>1.6895397881150298</v>
      </c>
      <c r="I171" s="17">
        <f>C171/H171*100</f>
        <v>100</v>
      </c>
      <c r="J171" s="17">
        <f>SQRT(I171*(100-I171)/(L171-1))</f>
        <v>0</v>
      </c>
      <c r="K171" s="18">
        <f>100-I171</f>
        <v>0</v>
      </c>
      <c r="L171" s="1">
        <f>H160</f>
        <v>259</v>
      </c>
      <c r="M171">
        <v>0</v>
      </c>
      <c r="N171" s="1">
        <v>3346.77</v>
      </c>
      <c r="O171" s="17">
        <f>N171/N176*100</f>
        <v>1.6895397881150298</v>
      </c>
      <c r="P171" s="52">
        <f>((O171*O171*(I171/100)*(K171/100))/(L171-1))</f>
        <v>0</v>
      </c>
      <c r="S171" s="75" t="s">
        <v>39</v>
      </c>
      <c r="T171" s="76">
        <f>J461</f>
        <v>0</v>
      </c>
      <c r="U171" s="76">
        <f>J462</f>
        <v>1.8230334586187342</v>
      </c>
      <c r="V171" s="76">
        <f>J463</f>
        <v>0.2376853573287305</v>
      </c>
      <c r="W171" s="76">
        <f>J464</f>
        <v>0.53951634436163676</v>
      </c>
      <c r="X171" s="76">
        <f>J465</f>
        <v>1.070441875992074</v>
      </c>
      <c r="AD171" s="51"/>
      <c r="AE171" s="51"/>
    </row>
    <row r="172" spans="1:35" x14ac:dyDescent="0.3">
      <c r="A172" t="s">
        <v>4</v>
      </c>
      <c r="B172" s="13">
        <v>1</v>
      </c>
      <c r="C172" s="33">
        <f t="shared" ref="C172:G175" si="28">(C161/$L172)*$O172</f>
        <v>0</v>
      </c>
      <c r="D172" s="34">
        <f t="shared" si="28"/>
        <v>4.4244204950972632</v>
      </c>
      <c r="E172" s="19">
        <f t="shared" si="28"/>
        <v>0.64461755557708467</v>
      </c>
      <c r="F172" s="18">
        <f t="shared" si="28"/>
        <v>0</v>
      </c>
      <c r="G172" s="20">
        <f t="shared" si="28"/>
        <v>1.4650398990388287E-2</v>
      </c>
      <c r="H172" s="17">
        <f>SUM(C172:G172)</f>
        <v>5.0836884496647361</v>
      </c>
      <c r="I172" s="17">
        <f>D172/H172*100</f>
        <v>87.031700288184439</v>
      </c>
      <c r="J172" s="17">
        <f>SQRT(I172*(100-I172)/(L172-1))</f>
        <v>1.8061017115288707</v>
      </c>
      <c r="K172" s="18">
        <f>100-I172</f>
        <v>12.968299711815561</v>
      </c>
      <c r="L172" s="1">
        <f>H161</f>
        <v>347</v>
      </c>
      <c r="M172">
        <v>1</v>
      </c>
      <c r="N172" s="1">
        <v>10070.16</v>
      </c>
      <c r="O172" s="17">
        <f>N172/N176*100</f>
        <v>5.0836884496647361</v>
      </c>
      <c r="P172" s="52">
        <f>((O172*O172*(I172/100)*(K172/100))/(L172-1))</f>
        <v>8.4302851154600539E-3</v>
      </c>
      <c r="S172" s="66" t="s">
        <v>56</v>
      </c>
      <c r="T172" s="67">
        <f>N450*100</f>
        <v>100</v>
      </c>
      <c r="U172" s="67">
        <f>N451*100</f>
        <v>64.247598719316969</v>
      </c>
      <c r="V172" s="67">
        <f>N452*100</f>
        <v>96.745786033711738</v>
      </c>
      <c r="W172" s="67">
        <f>N453*100</f>
        <v>92.979419119061362</v>
      </c>
      <c r="X172" s="67">
        <f>N454*100</f>
        <v>87.01364325416877</v>
      </c>
      <c r="AD172" s="51"/>
      <c r="AE172" s="51"/>
      <c r="AH172" s="78"/>
      <c r="AI172" s="78"/>
    </row>
    <row r="173" spans="1:35" x14ac:dyDescent="0.3">
      <c r="A173" t="s">
        <v>5</v>
      </c>
      <c r="B173" s="13">
        <v>2</v>
      </c>
      <c r="C173" s="33">
        <f t="shared" si="28"/>
        <v>0</v>
      </c>
      <c r="D173" s="19">
        <f t="shared" si="28"/>
        <v>2.4466202489523754</v>
      </c>
      <c r="E173" s="34">
        <f t="shared" si="28"/>
        <v>60.562466021602809</v>
      </c>
      <c r="F173" s="19">
        <f t="shared" si="28"/>
        <v>0.11199318040979182</v>
      </c>
      <c r="G173" s="20">
        <f t="shared" si="28"/>
        <v>0.19814178072501631</v>
      </c>
      <c r="H173" s="17">
        <f>SUM(C173:G173)</f>
        <v>63.319221231689994</v>
      </c>
      <c r="I173" s="17">
        <f>E173/H173*100</f>
        <v>95.646258503401356</v>
      </c>
      <c r="J173" s="17">
        <f>SQRT(I173*(100-I173)/(L173-1))</f>
        <v>0.23804068365697986</v>
      </c>
      <c r="K173" s="18">
        <f>100-I173</f>
        <v>4.3537414965986443</v>
      </c>
      <c r="L173" s="1">
        <f>H162</f>
        <v>7350</v>
      </c>
      <c r="M173">
        <v>2</v>
      </c>
      <c r="N173" s="1">
        <v>125427.57</v>
      </c>
      <c r="O173" s="17">
        <f>N173/N176*100</f>
        <v>63.319221231689994</v>
      </c>
      <c r="P173" s="52">
        <f>((O173*O173*(I173/100)*(K173/100))/(L173-1))</f>
        <v>2.2718178492418251E-2</v>
      </c>
      <c r="R173" s="16" t="s">
        <v>66</v>
      </c>
      <c r="S173" t="s">
        <v>9</v>
      </c>
      <c r="T173" s="1">
        <f>N461</f>
        <v>3403.45</v>
      </c>
      <c r="U173" s="1">
        <f>N462</f>
        <v>10472.49</v>
      </c>
      <c r="V173" s="1">
        <f>N463</f>
        <v>124736.81</v>
      </c>
      <c r="W173" s="1">
        <f>N464</f>
        <v>40947.620000000003</v>
      </c>
      <c r="X173" s="1">
        <f>N465</f>
        <v>18527.310000000001</v>
      </c>
      <c r="Z173" t="s">
        <v>36</v>
      </c>
      <c r="AA173" s="1">
        <f>N466</f>
        <v>198087.67999999999</v>
      </c>
      <c r="AD173" s="51"/>
      <c r="AE173" s="51"/>
    </row>
    <row r="174" spans="1:35" ht="15.6" x14ac:dyDescent="0.35">
      <c r="A174" t="s">
        <v>6</v>
      </c>
      <c r="B174" s="13">
        <v>3</v>
      </c>
      <c r="C174" s="33">
        <f t="shared" si="28"/>
        <v>0</v>
      </c>
      <c r="D174" s="19">
        <f t="shared" si="28"/>
        <v>6.9516207844337541E-2</v>
      </c>
      <c r="E174" s="19">
        <f t="shared" si="28"/>
        <v>0.88053863269494215</v>
      </c>
      <c r="F174" s="34">
        <f t="shared" si="28"/>
        <v>18.553103471344308</v>
      </c>
      <c r="G174" s="20">
        <f t="shared" si="28"/>
        <v>0.87281460960112689</v>
      </c>
      <c r="H174" s="17">
        <f>SUM(C174:G174)</f>
        <v>20.375972921484717</v>
      </c>
      <c r="I174" s="17">
        <f>F174/H174*100</f>
        <v>91.053828658074281</v>
      </c>
      <c r="J174" s="17">
        <f>SQRT(I174*(100-I174)/(L174-1))</f>
        <v>0.5557924550888278</v>
      </c>
      <c r="K174" s="18">
        <f>100-I174</f>
        <v>8.9461713419257194</v>
      </c>
      <c r="L174" s="1">
        <f>H163</f>
        <v>2638</v>
      </c>
      <c r="M174">
        <v>3</v>
      </c>
      <c r="N174" s="1">
        <v>40362.29</v>
      </c>
      <c r="O174" s="17">
        <f>N174/N176*100</f>
        <v>20.375972921484713</v>
      </c>
      <c r="P174" s="52">
        <f>((O174*O174*(I174/100)*(K174/100))/(L174-1))</f>
        <v>1.2825136717181466E-2</v>
      </c>
      <c r="R174" s="16" t="s">
        <v>323</v>
      </c>
      <c r="S174" t="s">
        <v>68</v>
      </c>
      <c r="T174" s="57">
        <f>$AA173*T166/100</f>
        <v>3403.45</v>
      </c>
      <c r="U174" s="57">
        <f>$AA173*U166/100</f>
        <v>13980.42549800734</v>
      </c>
      <c r="V174" s="57">
        <f>$AA173*V166/100</f>
        <v>122364.81535820189</v>
      </c>
      <c r="W174" s="57">
        <f>$AA173*W166/100</f>
        <v>40180.708249824944</v>
      </c>
      <c r="X174" s="57">
        <f>$AA173*X166/100</f>
        <v>18158.28089396581</v>
      </c>
      <c r="Z174" t="s">
        <v>36</v>
      </c>
      <c r="AA174" s="25">
        <f>SUM(T174:X174)</f>
        <v>198087.67999999996</v>
      </c>
      <c r="AD174" s="51"/>
      <c r="AE174" s="51"/>
      <c r="AH174" s="78"/>
      <c r="AI174" s="78"/>
    </row>
    <row r="175" spans="1:35" x14ac:dyDescent="0.3">
      <c r="A175" t="s">
        <v>7</v>
      </c>
      <c r="B175" s="13">
        <v>4</v>
      </c>
      <c r="C175" s="35">
        <f t="shared" si="28"/>
        <v>0</v>
      </c>
      <c r="D175" s="36">
        <f t="shared" si="28"/>
        <v>0</v>
      </c>
      <c r="E175" s="21">
        <f t="shared" si="28"/>
        <v>2.8883568512259185E-2</v>
      </c>
      <c r="F175" s="21">
        <f t="shared" si="28"/>
        <v>1.2708770145394042</v>
      </c>
      <c r="G175" s="37">
        <f t="shared" si="28"/>
        <v>8.2318170259938679</v>
      </c>
      <c r="H175" s="17">
        <f>SUM(C175:G175)</f>
        <v>9.5315776090455309</v>
      </c>
      <c r="I175" s="17">
        <f>G175/H175*100</f>
        <v>86.36363636363636</v>
      </c>
      <c r="J175" s="17">
        <f>SQRT(I175*(100-I175)/(L175-1))</f>
        <v>1.0912307642300259</v>
      </c>
      <c r="K175" s="18">
        <f>100-I175</f>
        <v>13.63636363636364</v>
      </c>
      <c r="L175" s="1">
        <f>H164</f>
        <v>990</v>
      </c>
      <c r="M175">
        <v>4</v>
      </c>
      <c r="N175" s="1">
        <v>18880.88</v>
      </c>
      <c r="O175" s="17">
        <f>N175/N176*100</f>
        <v>9.5315776090455309</v>
      </c>
      <c r="P175" s="52">
        <f>((O175*O175*(I175/100)*(K175/100))/(L175-1))</f>
        <v>1.0818393627179375E-2</v>
      </c>
      <c r="R175" s="66"/>
      <c r="S175" s="66" t="s">
        <v>67</v>
      </c>
      <c r="T175" s="67">
        <f>$AA173*T167/100</f>
        <v>0</v>
      </c>
      <c r="U175" s="67">
        <f>$AA173*U167/100</f>
        <v>340.90205996483922</v>
      </c>
      <c r="V175" s="67">
        <f>$AA173*V167/100</f>
        <v>385.40802083141193</v>
      </c>
      <c r="W175" s="67">
        <f>$AA173*W167/100</f>
        <v>304.09039771464586</v>
      </c>
      <c r="X175" s="67">
        <f>$AA173*X167/100</f>
        <v>267.13638692129058</v>
      </c>
      <c r="AA175" s="1"/>
      <c r="AD175" s="51"/>
      <c r="AE175" s="51"/>
    </row>
    <row r="176" spans="1:35" x14ac:dyDescent="0.3">
      <c r="B176" t="s">
        <v>28</v>
      </c>
      <c r="C176" s="17">
        <f t="shared" ref="C176:H176" si="29">SUM(C171:C175)</f>
        <v>1.6895397881150298</v>
      </c>
      <c r="D176" s="17">
        <f t="shared" si="29"/>
        <v>6.940556951893976</v>
      </c>
      <c r="E176" s="17">
        <f t="shared" si="29"/>
        <v>62.116505778387094</v>
      </c>
      <c r="F176" s="17">
        <f t="shared" si="29"/>
        <v>19.935973666293503</v>
      </c>
      <c r="G176" s="17">
        <f t="shared" si="29"/>
        <v>9.3174238153103985</v>
      </c>
      <c r="H176" s="18">
        <f t="shared" si="29"/>
        <v>100</v>
      </c>
      <c r="I176" s="13" t="s">
        <v>24</v>
      </c>
      <c r="J176" s="12" t="s">
        <v>29</v>
      </c>
      <c r="N176" s="1">
        <f>SUM(N171:N175)</f>
        <v>198087.67</v>
      </c>
      <c r="O176" s="17">
        <f>SUM(O171:O175)</f>
        <v>100</v>
      </c>
      <c r="R176" t="s">
        <v>109</v>
      </c>
      <c r="S176" t="s">
        <v>28</v>
      </c>
      <c r="T176" s="57">
        <f>C495</f>
        <v>1.6748745643784893</v>
      </c>
      <c r="U176" s="57">
        <f t="shared" ref="U176:X179" si="30">D495</f>
        <v>6.9189165738896214</v>
      </c>
      <c r="V176" s="57">
        <f t="shared" si="30"/>
        <v>62.097561097127461</v>
      </c>
      <c r="W176" s="57">
        <f t="shared" si="30"/>
        <v>20.129813473486532</v>
      </c>
      <c r="X176" s="57">
        <f t="shared" si="30"/>
        <v>9.1788342911178731</v>
      </c>
      <c r="AD176" s="51"/>
      <c r="AE176" s="51"/>
      <c r="AH176" s="78"/>
      <c r="AI176" s="78"/>
    </row>
    <row r="177" spans="1:41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0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0.17089171776494033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0.19428361665853586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0.15616578509745094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0.13847729991198418</v>
      </c>
      <c r="H177" s="1"/>
      <c r="I177" s="14">
        <f>(C171+D172+E173+F174+G175)/H176</f>
        <v>0.93461346802153278</v>
      </c>
      <c r="J177" s="53">
        <f>SQRT(SUM(P171:P175))/100</f>
        <v>2.3407689751925361E-3</v>
      </c>
      <c r="M177" s="1"/>
      <c r="N177" s="9"/>
      <c r="S177" s="66" t="s">
        <v>39</v>
      </c>
      <c r="T177" s="67">
        <f>C496</f>
        <v>0</v>
      </c>
      <c r="U177" s="67">
        <f t="shared" si="30"/>
        <v>0.17590175176483719</v>
      </c>
      <c r="V177" s="67">
        <f t="shared" si="30"/>
        <v>0.19988956318324838</v>
      </c>
      <c r="W177" s="67">
        <f t="shared" si="30"/>
        <v>0.15626527154099312</v>
      </c>
      <c r="X177" s="67">
        <f t="shared" si="30"/>
        <v>0.13764128700518036</v>
      </c>
      <c r="AD177" s="51"/>
      <c r="AE177" s="51"/>
    </row>
    <row r="178" spans="1:41" x14ac:dyDescent="0.3">
      <c r="B178" s="1" t="s">
        <v>30</v>
      </c>
      <c r="C178" s="17">
        <f>C171/C176*100</f>
        <v>100</v>
      </c>
      <c r="D178" s="17">
        <f>D172/D176*100</f>
        <v>63.747340822409129</v>
      </c>
      <c r="E178" s="17">
        <f>E173/E176*100</f>
        <v>97.498185486594124</v>
      </c>
      <c r="F178" s="17">
        <f>F174/F176*100</f>
        <v>93.063442909300861</v>
      </c>
      <c r="G178" s="17">
        <f>G175/G176*100</f>
        <v>88.348637876355269</v>
      </c>
      <c r="H178" s="1"/>
      <c r="S178" s="70" t="s">
        <v>30</v>
      </c>
      <c r="T178" s="64">
        <f>C497</f>
        <v>100</v>
      </c>
      <c r="U178" s="64">
        <f t="shared" si="30"/>
        <v>63.181849667759963</v>
      </c>
      <c r="V178" s="64">
        <f t="shared" si="30"/>
        <v>97.240769448045597</v>
      </c>
      <c r="W178" s="64">
        <f t="shared" si="30"/>
        <v>92.746090699586233</v>
      </c>
      <c r="X178" s="64">
        <f t="shared" si="30"/>
        <v>89.329032218677611</v>
      </c>
      <c r="AD178" s="51"/>
      <c r="AE178" s="51"/>
      <c r="AH178" s="78"/>
      <c r="AI178" s="78"/>
    </row>
    <row r="179" spans="1:41" x14ac:dyDescent="0.3">
      <c r="B179" s="16" t="s">
        <v>39</v>
      </c>
      <c r="C179" s="18">
        <f>SQRT((C182+C183)/(C176*C176))</f>
        <v>0</v>
      </c>
      <c r="D179" s="18">
        <f>SQRT((D182+D183)/(D176*D176))</f>
        <v>4.975445306923814</v>
      </c>
      <c r="E179" s="18">
        <f>SQRT((E182+E183)/(E176*E176))</f>
        <v>0.20194547516499561</v>
      </c>
      <c r="F179" s="18">
        <f>SQRT((F182+F183)/(F176*F176))</f>
        <v>0.63841406013621715</v>
      </c>
      <c r="G179" s="18">
        <f>SQRT((G182+G183)/(G176*G176))</f>
        <v>1.563461674929699</v>
      </c>
      <c r="H179" s="1"/>
      <c r="S179" s="66" t="s">
        <v>39</v>
      </c>
      <c r="T179" s="67">
        <f>C498</f>
        <v>0</v>
      </c>
      <c r="U179" s="67">
        <f t="shared" si="30"/>
        <v>5.4723689105817739</v>
      </c>
      <c r="V179" s="67">
        <f t="shared" si="30"/>
        <v>0.21363402114427985</v>
      </c>
      <c r="W179" s="67">
        <f t="shared" si="30"/>
        <v>0.64622811799409841</v>
      </c>
      <c r="X179" s="67">
        <f t="shared" si="30"/>
        <v>1.499521047999989</v>
      </c>
      <c r="AD179" s="51"/>
      <c r="AE179" s="51"/>
    </row>
    <row r="180" spans="1:41" x14ac:dyDescent="0.3">
      <c r="B180" s="1" t="s">
        <v>37</v>
      </c>
      <c r="C180" s="18">
        <f>100-C178</f>
        <v>0</v>
      </c>
      <c r="D180" s="18">
        <f>100-D178</f>
        <v>36.252659177590871</v>
      </c>
      <c r="E180" s="18">
        <f>100-E178</f>
        <v>2.5018145134058756</v>
      </c>
      <c r="F180" s="18">
        <f>100-F178</f>
        <v>6.9365570906991394</v>
      </c>
      <c r="G180" s="18">
        <f>100-G178</f>
        <v>11.651362123644731</v>
      </c>
      <c r="S180" s="70" t="s">
        <v>31</v>
      </c>
      <c r="T180" s="64">
        <f>I490</f>
        <v>100</v>
      </c>
      <c r="U180" s="64">
        <f>I491</f>
        <v>84.726224783861682</v>
      </c>
      <c r="V180" s="64">
        <f>I492</f>
        <v>95.523809523809518</v>
      </c>
      <c r="W180" s="64">
        <f>I493</f>
        <v>91.508718726307819</v>
      </c>
      <c r="X180" s="64">
        <f>I494</f>
        <v>85.858585858585855</v>
      </c>
      <c r="AD180" s="51"/>
      <c r="AE180" s="51"/>
      <c r="AH180" s="78"/>
      <c r="AI180" s="78"/>
    </row>
    <row r="181" spans="1:41" ht="15.6" x14ac:dyDescent="0.35">
      <c r="B181" s="1" t="s">
        <v>25</v>
      </c>
      <c r="C181" s="1">
        <f>C165</f>
        <v>259</v>
      </c>
      <c r="D181" s="1">
        <f>D165</f>
        <v>595</v>
      </c>
      <c r="E181" s="1">
        <f>E165</f>
        <v>7191</v>
      </c>
      <c r="F181" s="1">
        <f>F165</f>
        <v>2547</v>
      </c>
      <c r="G181" s="1">
        <f>G165</f>
        <v>992</v>
      </c>
      <c r="S181" s="66" t="s">
        <v>39</v>
      </c>
      <c r="T181" s="67">
        <f>J490</f>
        <v>0</v>
      </c>
      <c r="U181" s="67">
        <f>J491</f>
        <v>1.9339448081537161</v>
      </c>
      <c r="V181" s="67">
        <f>J492</f>
        <v>0.24121036881683383</v>
      </c>
      <c r="W181" s="67">
        <f>J493</f>
        <v>0.54282868085058522</v>
      </c>
      <c r="X181" s="67">
        <f>J494</f>
        <v>1.1080009692454078</v>
      </c>
      <c r="AD181" s="51"/>
      <c r="AE181" s="51"/>
      <c r="AN181" s="2"/>
      <c r="AO181" s="2"/>
    </row>
    <row r="182" spans="1:41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1107.9546871978289</v>
      </c>
      <c r="E182" s="18">
        <f>(O173*O173*(100-E178)*(100-E178)*(I173)*(100-I173))/((L173-1)*100)</f>
        <v>14.219480257344088</v>
      </c>
      <c r="F182" s="18">
        <f>(O174*O174*(100-F178)*(100-F178)*(I174)*(100-I174))/((L174-1)*100)</f>
        <v>61.709202455505661</v>
      </c>
      <c r="G182" s="18">
        <f>(O175*O175*(100-G178)*(100-G178)*(I175)*(100-I175))/((L175-1)*100)</f>
        <v>146.86427976984444</v>
      </c>
      <c r="S182" s="68" t="s">
        <v>56</v>
      </c>
      <c r="T182" s="65">
        <f>N479*100</f>
        <v>100</v>
      </c>
      <c r="U182" s="65">
        <f>N480*100</f>
        <v>62.68656716417911</v>
      </c>
      <c r="V182" s="65">
        <f>N481*100</f>
        <v>96.541766930216568</v>
      </c>
      <c r="W182" s="65">
        <f>N482*100</f>
        <v>92.75696445725265</v>
      </c>
      <c r="X182" s="65">
        <f>N483*100</f>
        <v>86.646279306829754</v>
      </c>
      <c r="AD182" s="51"/>
      <c r="AE182" s="51"/>
      <c r="AH182" s="78"/>
      <c r="AI182" s="78"/>
    </row>
    <row r="183" spans="1:41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84.529304517687734</v>
      </c>
      <c r="E183" s="18">
        <f>E178*E178*(SUM((H171*E171*(1-E160/H160))/(H160-1),(H172*E172*(1-E161/H161))/(H161-1), (H174*E174*(1-E163/H163))/(H163-1),(H175*E175*(1-E164/H164))/(H164-1)))</f>
        <v>143.13615059968575</v>
      </c>
      <c r="F183" s="18">
        <f>F178*F178*(SUM((H171*F171*(1-F160/H160))/(H160-1),(H172*F172*(1-F161/H161))/(H161-1), (H173*F173*(1-F162/H162))/(H162-1),(H175*F175*(1-F164/H164))/(H164-1)))</f>
        <v>100.2776582604649</v>
      </c>
      <c r="G183" s="18">
        <f>G178*G178*(SUM((H171*G171*(1-G160/H160))/(H160-1),(H172*G172*(1-G161/H161))/(H161-1), (H173*G173*(1-G162/H162))/(H162-1),(H174*G174*(1-G163/H163))/(H163-1)))</f>
        <v>65.345884000494138</v>
      </c>
      <c r="R183" s="16" t="s">
        <v>66</v>
      </c>
      <c r="S183" t="s">
        <v>9</v>
      </c>
      <c r="T183" s="1">
        <f>N490</f>
        <v>3317.72</v>
      </c>
      <c r="U183" s="1">
        <f>N491</f>
        <v>10220.450000000001</v>
      </c>
      <c r="V183" s="1">
        <f>N492</f>
        <v>125218.57</v>
      </c>
      <c r="W183" s="1">
        <f>N493</f>
        <v>40413.86</v>
      </c>
      <c r="X183" s="1">
        <f>N494</f>
        <v>18917.07</v>
      </c>
      <c r="Z183" t="s">
        <v>36</v>
      </c>
      <c r="AA183" s="1">
        <f>N495</f>
        <v>198087.67000000004</v>
      </c>
      <c r="AD183" s="51"/>
      <c r="AE183" s="51"/>
      <c r="AN183" s="78"/>
      <c r="AO183" s="78"/>
    </row>
    <row r="184" spans="1:41" ht="15.6" x14ac:dyDescent="0.35">
      <c r="R184" s="16" t="s">
        <v>323</v>
      </c>
      <c r="S184" t="s">
        <v>68</v>
      </c>
      <c r="T184" s="57">
        <f>$AA183*T176/100</f>
        <v>3317.72</v>
      </c>
      <c r="U184" s="57">
        <f>$AA183*U176/100</f>
        <v>13705.520630461782</v>
      </c>
      <c r="V184" s="57">
        <f>$AA183*V176/100</f>
        <v>123007.61190412626</v>
      </c>
      <c r="W184" s="57">
        <f>$AA183*W176/100</f>
        <v>39874.67848497555</v>
      </c>
      <c r="X184" s="57">
        <f>$AA183*X176/100</f>
        <v>18182.138980436415</v>
      </c>
      <c r="Z184" t="s">
        <v>36</v>
      </c>
      <c r="AA184" s="25">
        <f>SUM(T184:X184)</f>
        <v>198087.67000000004</v>
      </c>
      <c r="AD184" s="51"/>
      <c r="AE184" s="51"/>
      <c r="AH184" s="78"/>
      <c r="AI184" s="78"/>
    </row>
    <row r="185" spans="1:41" x14ac:dyDescent="0.3">
      <c r="R185" s="66"/>
      <c r="S185" s="66" t="s">
        <v>67</v>
      </c>
      <c r="T185" s="67">
        <f>$AA183*T177/100</f>
        <v>0</v>
      </c>
      <c r="U185" s="67">
        <f>$AA183*U177/100</f>
        <v>348.43968156014989</v>
      </c>
      <c r="V185" s="67">
        <f>$AA183*V177/100</f>
        <v>395.9565782828746</v>
      </c>
      <c r="W185" s="67">
        <f>$AA183*W177/100</f>
        <v>309.54223541472641</v>
      </c>
      <c r="X185" s="67">
        <f>$AA183*X177/100</f>
        <v>272.65041838657459</v>
      </c>
      <c r="AA185" s="1"/>
      <c r="AD185" s="51"/>
      <c r="AE185" s="51"/>
      <c r="AN185" s="78"/>
      <c r="AO185" s="78"/>
    </row>
    <row r="186" spans="1:41" x14ac:dyDescent="0.3">
      <c r="A186" s="361" t="s">
        <v>461</v>
      </c>
      <c r="B186" s="361"/>
      <c r="C186" s="361"/>
      <c r="D186" s="361"/>
      <c r="E186" s="361"/>
      <c r="F186" s="361"/>
      <c r="G186" s="361"/>
      <c r="H186" s="361"/>
      <c r="I186" s="361"/>
      <c r="J186" s="361"/>
      <c r="K186" s="361"/>
      <c r="L186" s="361" t="s">
        <v>84</v>
      </c>
      <c r="M186" s="361"/>
      <c r="N186" s="361"/>
      <c r="O186" s="361"/>
      <c r="P186" s="361"/>
      <c r="R186" t="s">
        <v>110</v>
      </c>
      <c r="S186" s="70" t="s">
        <v>28</v>
      </c>
      <c r="T186" s="64">
        <f>C524</f>
        <v>1.6844460838981044</v>
      </c>
      <c r="U186" s="64">
        <f t="shared" ref="U186:X189" si="31">D524</f>
        <v>6.9287947254147255</v>
      </c>
      <c r="V186" s="64">
        <f t="shared" si="31"/>
        <v>61.570085556225244</v>
      </c>
      <c r="W186" s="64">
        <f t="shared" si="31"/>
        <v>20.720760556650848</v>
      </c>
      <c r="X186" s="64">
        <f t="shared" si="31"/>
        <v>9.095913077811085</v>
      </c>
      <c r="AA186" s="12"/>
      <c r="AD186" s="51"/>
      <c r="AE186" s="51"/>
    </row>
    <row r="187" spans="1:41" x14ac:dyDescent="0.3">
      <c r="A187" t="s">
        <v>320</v>
      </c>
      <c r="B187" t="s">
        <v>21</v>
      </c>
      <c r="I187" s="1" t="s">
        <v>58</v>
      </c>
      <c r="O187" s="143"/>
      <c r="P187" s="143"/>
      <c r="S187" s="66" t="s">
        <v>39</v>
      </c>
      <c r="T187" s="67">
        <f>C525</f>
        <v>0</v>
      </c>
      <c r="U187" s="67">
        <f t="shared" si="31"/>
        <v>0.16699972587057443</v>
      </c>
      <c r="V187" s="67">
        <f t="shared" si="31"/>
        <v>0.1907592815455175</v>
      </c>
      <c r="W187" s="67">
        <f t="shared" si="31"/>
        <v>0.1586627430798826</v>
      </c>
      <c r="X187" s="67">
        <f t="shared" si="31"/>
        <v>0.14036445645436949</v>
      </c>
      <c r="AD187" s="51"/>
      <c r="AE187" s="51"/>
      <c r="AN187" s="78"/>
      <c r="AO187" s="78"/>
    </row>
    <row r="188" spans="1:41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56</v>
      </c>
      <c r="O188" s="13"/>
      <c r="P188" s="13"/>
      <c r="S188" t="s">
        <v>30</v>
      </c>
      <c r="T188" s="57">
        <f>C526</f>
        <v>100</v>
      </c>
      <c r="U188" s="57">
        <f t="shared" si="31"/>
        <v>64.637654112949747</v>
      </c>
      <c r="V188" s="57">
        <f t="shared" si="31"/>
        <v>97.66805785239869</v>
      </c>
      <c r="W188" s="57">
        <f t="shared" si="31"/>
        <v>92.964891693892653</v>
      </c>
      <c r="X188" s="57">
        <f t="shared" si="31"/>
        <v>87.493717375266712</v>
      </c>
      <c r="AD188" s="51"/>
      <c r="AE188" s="51"/>
    </row>
    <row r="189" spans="1:41" x14ac:dyDescent="0.3">
      <c r="A189" t="s">
        <v>3</v>
      </c>
      <c r="B189" s="13">
        <v>0</v>
      </c>
      <c r="C189" s="26">
        <v>259</v>
      </c>
      <c r="D189" s="3">
        <v>0</v>
      </c>
      <c r="E189" s="3">
        <v>0</v>
      </c>
      <c r="F189" s="3">
        <v>0</v>
      </c>
      <c r="G189" s="4">
        <v>0</v>
      </c>
      <c r="H189" s="1">
        <f>SUM(C189:G189)</f>
        <v>259</v>
      </c>
      <c r="I189" s="10">
        <f>C189/H189</f>
        <v>1</v>
      </c>
      <c r="J189" s="11">
        <f>1-I189</f>
        <v>0</v>
      </c>
      <c r="K189">
        <f>H189-C194</f>
        <v>0</v>
      </c>
      <c r="N189" s="10">
        <f>2*(C195*I189)/(C195+I189)</f>
        <v>1</v>
      </c>
      <c r="O189" s="1"/>
      <c r="P189" s="1"/>
      <c r="S189" s="66" t="s">
        <v>39</v>
      </c>
      <c r="T189" s="67">
        <f>C527</f>
        <v>0</v>
      </c>
      <c r="U189" s="67">
        <f t="shared" si="31"/>
        <v>4.6888550524862849</v>
      </c>
      <c r="V189" s="67">
        <f t="shared" si="31"/>
        <v>0.19662271779227652</v>
      </c>
      <c r="W189" s="67">
        <f t="shared" si="31"/>
        <v>0.62609030376068653</v>
      </c>
      <c r="X189" s="67">
        <f t="shared" si="31"/>
        <v>1.6884497915039245</v>
      </c>
      <c r="AD189" s="51"/>
      <c r="AE189" s="51"/>
      <c r="AN189" s="78"/>
      <c r="AO189" s="78"/>
    </row>
    <row r="190" spans="1:41" x14ac:dyDescent="0.3">
      <c r="A190" t="s">
        <v>4</v>
      </c>
      <c r="B190" s="13">
        <v>1</v>
      </c>
      <c r="C190" s="5">
        <v>0</v>
      </c>
      <c r="D190" s="27">
        <v>305</v>
      </c>
      <c r="E190" s="1">
        <v>40</v>
      </c>
      <c r="F190" s="1">
        <v>0</v>
      </c>
      <c r="G190" s="6">
        <v>2</v>
      </c>
      <c r="H190" s="1">
        <f>SUM(C190:G190)</f>
        <v>347</v>
      </c>
      <c r="I190" s="10">
        <f>D190/H190</f>
        <v>0.87896253602305474</v>
      </c>
      <c r="J190" s="11">
        <f>1-I190</f>
        <v>0.12103746397694526</v>
      </c>
      <c r="K190">
        <f>H190-D194</f>
        <v>-262</v>
      </c>
      <c r="N190" s="10">
        <f>2*(D195*I190)/(D195+I190)</f>
        <v>0.63807531380753146</v>
      </c>
      <c r="O190" s="1"/>
      <c r="P190" s="1"/>
      <c r="S190" t="s">
        <v>31</v>
      </c>
      <c r="T190" s="57">
        <f>I519</f>
        <v>100</v>
      </c>
      <c r="U190" s="57">
        <f>I520</f>
        <v>88.184438040345825</v>
      </c>
      <c r="V190" s="57">
        <f>I521</f>
        <v>95.659863945578238</v>
      </c>
      <c r="W190" s="57">
        <f>I522</f>
        <v>91.319181197877185</v>
      </c>
      <c r="X190" s="57">
        <f>I523</f>
        <v>85.757575757575751</v>
      </c>
      <c r="AD190" s="51"/>
      <c r="AE190" s="51"/>
    </row>
    <row r="191" spans="1:41" x14ac:dyDescent="0.3">
      <c r="A191" t="s">
        <v>5</v>
      </c>
      <c r="B191" s="13">
        <v>2</v>
      </c>
      <c r="C191" s="5">
        <v>0</v>
      </c>
      <c r="D191" s="1">
        <v>296</v>
      </c>
      <c r="E191" s="27">
        <v>7021</v>
      </c>
      <c r="F191" s="1">
        <v>9</v>
      </c>
      <c r="G191" s="6">
        <v>24</v>
      </c>
      <c r="H191" s="1">
        <f>SUM(C191:G191)</f>
        <v>7350</v>
      </c>
      <c r="I191" s="10">
        <f>E191/H191</f>
        <v>0.95523809523809522</v>
      </c>
      <c r="J191" s="11">
        <f>1-I191</f>
        <v>4.4761904761904781E-2</v>
      </c>
      <c r="K191">
        <f>H191-E194</f>
        <v>168</v>
      </c>
      <c r="N191" s="10">
        <f>2*(E195*I191)/(E195+I191)</f>
        <v>0.96628131021194608</v>
      </c>
      <c r="O191" s="1"/>
      <c r="P191" s="1"/>
      <c r="S191" s="66" t="s">
        <v>39</v>
      </c>
      <c r="T191" s="67">
        <f>J519</f>
        <v>0</v>
      </c>
      <c r="U191" s="67">
        <f>J520</f>
        <v>1.7353421574154884</v>
      </c>
      <c r="V191" s="67">
        <f>J521</f>
        <v>0.23768535732873014</v>
      </c>
      <c r="W191" s="67">
        <f>J522</f>
        <v>0.54828489958229798</v>
      </c>
      <c r="X191" s="67">
        <f>J523</f>
        <v>1.1112967929966331</v>
      </c>
      <c r="AD191" s="51"/>
      <c r="AE191" s="51"/>
      <c r="AN191" s="78"/>
      <c r="AO191" s="78"/>
    </row>
    <row r="192" spans="1:41" x14ac:dyDescent="0.3">
      <c r="A192" t="s">
        <v>6</v>
      </c>
      <c r="B192" s="13">
        <v>3</v>
      </c>
      <c r="C192" s="5">
        <v>0</v>
      </c>
      <c r="D192" s="1">
        <v>8</v>
      </c>
      <c r="E192" s="1">
        <v>116</v>
      </c>
      <c r="F192" s="27">
        <v>2414</v>
      </c>
      <c r="G192" s="6">
        <v>100</v>
      </c>
      <c r="H192" s="1">
        <f>SUM(C192:G192)</f>
        <v>2638</v>
      </c>
      <c r="I192" s="10">
        <f>F192/H192</f>
        <v>0.91508718726307814</v>
      </c>
      <c r="J192" s="11">
        <f>1-I192</f>
        <v>8.4912812736921861E-2</v>
      </c>
      <c r="K192">
        <f>H192-F194</f>
        <v>87</v>
      </c>
      <c r="N192" s="10">
        <f>2*(F195*I192)/(F195+I192)</f>
        <v>0.93042975525149363</v>
      </c>
      <c r="O192" s="1"/>
      <c r="P192" s="1"/>
      <c r="S192" s="66" t="s">
        <v>56</v>
      </c>
      <c r="T192" s="67">
        <f>N508*100</f>
        <v>100</v>
      </c>
      <c r="U192" s="67">
        <f>N509*100</f>
        <v>65.106382978723403</v>
      </c>
      <c r="V192" s="67">
        <f>N510*100</f>
        <v>96.792400881057276</v>
      </c>
      <c r="W192" s="67">
        <f>N511*100</f>
        <v>92.582628747117596</v>
      </c>
      <c r="X192" s="67">
        <f>N512*100</f>
        <v>85.844287158746212</v>
      </c>
      <c r="AD192" s="51"/>
      <c r="AE192" s="51"/>
    </row>
    <row r="193" spans="1:48" x14ac:dyDescent="0.3">
      <c r="A193" t="s">
        <v>7</v>
      </c>
      <c r="B193" s="13">
        <v>4</v>
      </c>
      <c r="C193" s="7">
        <v>0</v>
      </c>
      <c r="D193" s="8">
        <v>0</v>
      </c>
      <c r="E193" s="8">
        <v>5</v>
      </c>
      <c r="F193" s="8">
        <v>128</v>
      </c>
      <c r="G193" s="28">
        <v>857</v>
      </c>
      <c r="H193" s="1">
        <f>SUM(C193:G193)</f>
        <v>990</v>
      </c>
      <c r="I193" s="10">
        <f>G193/H193</f>
        <v>0.86565656565656568</v>
      </c>
      <c r="J193" s="11">
        <f>1-I193</f>
        <v>0.13434343434343432</v>
      </c>
      <c r="K193">
        <f>H193-G194</f>
        <v>7</v>
      </c>
      <c r="N193" s="10">
        <f>2*(G195*I193)/(G195+I193)</f>
        <v>0.86872782564622419</v>
      </c>
      <c r="O193" s="1"/>
      <c r="P193" s="1"/>
      <c r="R193" s="16" t="s">
        <v>66</v>
      </c>
      <c r="S193" t="s">
        <v>9</v>
      </c>
      <c r="T193" s="1">
        <f>N519</f>
        <v>3336.68</v>
      </c>
      <c r="U193" s="1">
        <f>N520</f>
        <v>10060.25</v>
      </c>
      <c r="V193" s="1">
        <f>N521</f>
        <v>124523.12</v>
      </c>
      <c r="W193" s="1">
        <f>N522</f>
        <v>41784.97</v>
      </c>
      <c r="X193" s="1">
        <f>N523</f>
        <v>18382.650000000001</v>
      </c>
      <c r="Z193" t="s">
        <v>36</v>
      </c>
      <c r="AA193" s="1">
        <f>N524</f>
        <v>198087.66999999998</v>
      </c>
      <c r="AD193" s="51"/>
      <c r="AE193" s="51"/>
      <c r="AL193" s="132">
        <v>0</v>
      </c>
      <c r="AM193" s="133">
        <v>1</v>
      </c>
      <c r="AN193" s="133">
        <v>2</v>
      </c>
      <c r="AO193" s="133">
        <v>3</v>
      </c>
      <c r="AP193" s="134">
        <v>4</v>
      </c>
    </row>
    <row r="194" spans="1:48" ht="15.6" x14ac:dyDescent="0.35">
      <c r="B194" s="1" t="s">
        <v>19</v>
      </c>
      <c r="C194" s="1">
        <f>SUM(C189:C193)</f>
        <v>259</v>
      </c>
      <c r="D194" s="1">
        <f>SUM(D189:D193)</f>
        <v>609</v>
      </c>
      <c r="E194" s="1">
        <f>SUM(E189:E193)</f>
        <v>7182</v>
      </c>
      <c r="F194" s="1">
        <f>SUM(F189:F193)</f>
        <v>2551</v>
      </c>
      <c r="G194" s="1">
        <f>SUM(G189:G193)</f>
        <v>983</v>
      </c>
      <c r="H194" s="1">
        <f>SUM(H188:H193)</f>
        <v>11584</v>
      </c>
      <c r="I194" s="13" t="s">
        <v>12</v>
      </c>
      <c r="N194" s="16"/>
      <c r="O194" s="1"/>
      <c r="P194" s="1"/>
      <c r="R194" s="16" t="s">
        <v>323</v>
      </c>
      <c r="S194" t="s">
        <v>68</v>
      </c>
      <c r="T194" s="57">
        <f>$AA193*T186/100</f>
        <v>3336.68</v>
      </c>
      <c r="U194" s="57">
        <f>$AA193*U186/100</f>
        <v>13725.088030656925</v>
      </c>
      <c r="V194" s="57">
        <f>$AA193*V186/100</f>
        <v>121962.74789533312</v>
      </c>
      <c r="W194" s="57">
        <f>$AA193*W186/100</f>
        <v>41045.27179294869</v>
      </c>
      <c r="X194" s="57">
        <f>$AA193*X186/100</f>
        <v>18017.882281061266</v>
      </c>
      <c r="Z194" t="s">
        <v>36</v>
      </c>
      <c r="AA194" s="25">
        <f>SUM(T194:X194)</f>
        <v>198087.66999999998</v>
      </c>
      <c r="AD194" s="51"/>
      <c r="AE194" s="51"/>
      <c r="AJ194" t="s">
        <v>2</v>
      </c>
      <c r="AQ194" t="s">
        <v>41</v>
      </c>
    </row>
    <row r="195" spans="1:48" x14ac:dyDescent="0.3">
      <c r="A195" s="1" t="s">
        <v>321</v>
      </c>
      <c r="B195" s="1" t="s">
        <v>2</v>
      </c>
      <c r="C195" s="10">
        <f>C189/C194</f>
        <v>1</v>
      </c>
      <c r="D195" s="10">
        <f>D190/D194</f>
        <v>0.50082101806239743</v>
      </c>
      <c r="E195" s="10">
        <f>E191/E194</f>
        <v>0.97758284600389866</v>
      </c>
      <c r="F195" s="10">
        <f>F192/F194</f>
        <v>0.94629557036456291</v>
      </c>
      <c r="G195" s="10">
        <f>G193/G194</f>
        <v>0.87182095625635814</v>
      </c>
      <c r="H195" s="10"/>
      <c r="I195" s="14">
        <f>(C189+D190+E191+F192+G193)/H194</f>
        <v>0.93715469613259672</v>
      </c>
      <c r="R195" s="66"/>
      <c r="S195" s="66" t="s">
        <v>67</v>
      </c>
      <c r="T195" s="67">
        <f>$AA193*T187/100</f>
        <v>0</v>
      </c>
      <c r="U195" s="67">
        <f>$AA193*U187/100</f>
        <v>330.8058658834081</v>
      </c>
      <c r="V195" s="67">
        <f>$AA193*V187/100</f>
        <v>377.87061612225557</v>
      </c>
      <c r="W195" s="67">
        <f>$AA193*W187/100</f>
        <v>314.29133092502565</v>
      </c>
      <c r="X195" s="67">
        <f>$AA193*X187/100</f>
        <v>278.04468129862511</v>
      </c>
      <c r="AA195" s="1"/>
      <c r="AD195" s="51"/>
      <c r="AE195" s="51"/>
      <c r="AJ195" t="s">
        <v>415</v>
      </c>
      <c r="AK195">
        <v>0</v>
      </c>
      <c r="AL195" s="1">
        <v>99.92</v>
      </c>
      <c r="AM195" s="1">
        <v>760.34</v>
      </c>
      <c r="AN195" s="1">
        <v>18320.169999999998</v>
      </c>
      <c r="AO195" s="1">
        <v>14030.29</v>
      </c>
      <c r="AP195" s="1">
        <v>10017.31</v>
      </c>
      <c r="AR195" s="1">
        <v>3274.75</v>
      </c>
      <c r="AS195" s="1">
        <v>10120.25</v>
      </c>
      <c r="AT195" s="1">
        <v>125086.57</v>
      </c>
      <c r="AU195" s="1">
        <v>40626.949999999997</v>
      </c>
      <c r="AV195" s="1">
        <v>18979.150000000001</v>
      </c>
    </row>
    <row r="196" spans="1:48" x14ac:dyDescent="0.3">
      <c r="B196" s="1" t="s">
        <v>14</v>
      </c>
      <c r="C196" s="11">
        <f>1-C195</f>
        <v>0</v>
      </c>
      <c r="D196" s="11">
        <f>1-D195</f>
        <v>0.49917898193760257</v>
      </c>
      <c r="E196" s="11">
        <f>1-E195</f>
        <v>2.2417153996101336E-2</v>
      </c>
      <c r="F196" s="11">
        <f>1-F195</f>
        <v>5.370442963543709E-2</v>
      </c>
      <c r="G196" s="11">
        <f>1-G195</f>
        <v>0.12817904374364186</v>
      </c>
      <c r="R196" t="s">
        <v>111</v>
      </c>
      <c r="S196" t="s">
        <v>28</v>
      </c>
      <c r="T196" s="57">
        <f>C553</f>
        <v>1.6992323803277416</v>
      </c>
      <c r="U196" s="57">
        <f t="shared" ref="U196:X199" si="32">D553</f>
        <v>7.224571746063928</v>
      </c>
      <c r="V196" s="57">
        <f t="shared" si="32"/>
        <v>61.550158079069043</v>
      </c>
      <c r="W196" s="57">
        <f t="shared" si="32"/>
        <v>20.500413677753205</v>
      </c>
      <c r="X196" s="57">
        <f t="shared" si="32"/>
        <v>9.0256241167860818</v>
      </c>
      <c r="Y196" s="13"/>
      <c r="Z196" s="74"/>
      <c r="AA196" s="12"/>
      <c r="AD196" s="51"/>
      <c r="AE196" s="51"/>
      <c r="AJ196" t="s">
        <v>415</v>
      </c>
      <c r="AK196">
        <v>1</v>
      </c>
      <c r="AL196" s="1">
        <v>115.9</v>
      </c>
      <c r="AM196" s="1">
        <v>851.74</v>
      </c>
      <c r="AN196" s="1">
        <v>18152.490000000002</v>
      </c>
      <c r="AO196" s="1">
        <v>14167.27</v>
      </c>
      <c r="AP196" s="1">
        <v>9940.61</v>
      </c>
      <c r="AR196" s="1">
        <v>3352.09</v>
      </c>
      <c r="AS196" s="1">
        <v>10351.540000000001</v>
      </c>
      <c r="AT196" s="1">
        <v>124630.95</v>
      </c>
      <c r="AU196" s="1">
        <v>40975.129999999997</v>
      </c>
      <c r="AV196" s="1">
        <v>18777.97</v>
      </c>
    </row>
    <row r="197" spans="1:48" x14ac:dyDescent="0.3">
      <c r="C197" s="2"/>
      <c r="S197" s="66" t="s">
        <v>39</v>
      </c>
      <c r="T197" s="67">
        <f>C554</f>
        <v>0</v>
      </c>
      <c r="U197" s="67">
        <f t="shared" si="32"/>
        <v>0.17346170261044383</v>
      </c>
      <c r="V197" s="67">
        <f t="shared" si="32"/>
        <v>0.1981619554989015</v>
      </c>
      <c r="W197" s="67">
        <f t="shared" si="32"/>
        <v>0.15856417585638688</v>
      </c>
      <c r="X197" s="67">
        <f t="shared" si="32"/>
        <v>0.13986515049315787</v>
      </c>
      <c r="AD197" s="51"/>
      <c r="AE197" s="51"/>
      <c r="AJ197" t="s">
        <v>415</v>
      </c>
      <c r="AK197">
        <v>2</v>
      </c>
      <c r="AL197" s="1">
        <v>151.35</v>
      </c>
      <c r="AM197" s="1">
        <v>755.1</v>
      </c>
      <c r="AN197" s="1">
        <v>18334.71</v>
      </c>
      <c r="AO197" s="1">
        <v>14162.19</v>
      </c>
      <c r="AP197" s="1">
        <v>9824.67</v>
      </c>
      <c r="AR197" s="1">
        <v>3414.62</v>
      </c>
      <c r="AS197" s="1">
        <v>9996.52</v>
      </c>
      <c r="AT197" s="1">
        <v>125116.54</v>
      </c>
      <c r="AU197" s="1">
        <v>41203.39</v>
      </c>
      <c r="AV197" s="1">
        <v>18356.599999999999</v>
      </c>
    </row>
    <row r="198" spans="1:48" ht="15.6" x14ac:dyDescent="0.35">
      <c r="A198" t="s">
        <v>322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100</v>
      </c>
      <c r="U198" s="57">
        <f t="shared" si="32"/>
        <v>63.836964185510169</v>
      </c>
      <c r="V198" s="57">
        <f t="shared" si="32"/>
        <v>97.431315352783528</v>
      </c>
      <c r="W198" s="57">
        <f t="shared" si="32"/>
        <v>92.620499880661711</v>
      </c>
      <c r="X198" s="57">
        <f t="shared" si="32"/>
        <v>88.58769634025353</v>
      </c>
      <c r="AD198" s="51"/>
      <c r="AE198" s="51"/>
      <c r="AJ198" t="s">
        <v>415</v>
      </c>
      <c r="AK198">
        <v>3</v>
      </c>
      <c r="AL198" s="1">
        <v>114.03</v>
      </c>
      <c r="AM198" s="1">
        <v>784.57</v>
      </c>
      <c r="AN198" s="1">
        <v>18225.37</v>
      </c>
      <c r="AO198" s="1">
        <v>14066.38</v>
      </c>
      <c r="AP198" s="1">
        <v>10037.66</v>
      </c>
      <c r="AR198" s="1">
        <v>3254.27</v>
      </c>
      <c r="AS198" s="1">
        <v>10103.049999999999</v>
      </c>
      <c r="AT198" s="1">
        <v>124970.63</v>
      </c>
      <c r="AU198" s="1">
        <v>40688.04</v>
      </c>
      <c r="AV198" s="1">
        <v>19071.669999999998</v>
      </c>
    </row>
    <row r="199" spans="1:48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</v>
      </c>
      <c r="U199" s="67">
        <f t="shared" si="32"/>
        <v>4.8434808365642184</v>
      </c>
      <c r="V199" s="67">
        <f t="shared" si="32"/>
        <v>0.20809310751011831</v>
      </c>
      <c r="W199" s="67">
        <f t="shared" si="32"/>
        <v>0.64656977623733525</v>
      </c>
      <c r="X199" s="67">
        <f t="shared" si="32"/>
        <v>1.6149340819747144</v>
      </c>
      <c r="AD199" s="51"/>
      <c r="AE199" s="51"/>
      <c r="AJ199" t="s">
        <v>415</v>
      </c>
      <c r="AK199">
        <v>4</v>
      </c>
      <c r="AL199" s="1">
        <v>129.94</v>
      </c>
      <c r="AM199" s="1">
        <v>796.9</v>
      </c>
      <c r="AN199" s="1">
        <v>18283.310000000001</v>
      </c>
      <c r="AO199" s="1">
        <v>14057.08</v>
      </c>
      <c r="AP199" s="1">
        <v>9960.7900000000009</v>
      </c>
      <c r="AR199" s="1">
        <v>3363.88</v>
      </c>
      <c r="AS199" s="1">
        <v>10066.66</v>
      </c>
      <c r="AT199" s="1">
        <v>125160.79</v>
      </c>
      <c r="AU199" s="1">
        <v>40727.69</v>
      </c>
      <c r="AV199" s="1">
        <v>18768.66</v>
      </c>
    </row>
    <row r="200" spans="1:48" x14ac:dyDescent="0.3">
      <c r="A200" t="s">
        <v>3</v>
      </c>
      <c r="B200" s="13">
        <v>0</v>
      </c>
      <c r="C200" s="29">
        <f>(C189/$L200)*$O200</f>
        <v>1.7286284538240839</v>
      </c>
      <c r="D200" s="31">
        <f>(D189/$L200)*$O200</f>
        <v>0</v>
      </c>
      <c r="E200" s="31">
        <f>(E189/$L200)*$O200</f>
        <v>0</v>
      </c>
      <c r="F200" s="31">
        <f>(F189/$L200)*$O200</f>
        <v>0</v>
      </c>
      <c r="G200" s="32">
        <f>(G189/$L200)*$O200</f>
        <v>0</v>
      </c>
      <c r="H200" s="17">
        <f>SUM(C200:G200)</f>
        <v>1.7286284538240839</v>
      </c>
      <c r="I200" s="17">
        <f>C200/H200*100</f>
        <v>100</v>
      </c>
      <c r="J200" s="17">
        <f>SQRT(I200*(100-I200)/(L200-1))</f>
        <v>0</v>
      </c>
      <c r="K200" s="18">
        <f>100-I200</f>
        <v>0</v>
      </c>
      <c r="L200" s="1">
        <f>H189</f>
        <v>259</v>
      </c>
      <c r="M200">
        <v>0</v>
      </c>
      <c r="N200" s="1">
        <v>3424.2</v>
      </c>
      <c r="O200" s="17">
        <f>N200/N205*100</f>
        <v>1.7286284538240839</v>
      </c>
      <c r="P200" s="52">
        <f>((O200*O200*(I200/100)*(K200/100))/(L200-1))</f>
        <v>0</v>
      </c>
      <c r="S200" t="s">
        <v>31</v>
      </c>
      <c r="T200" s="57">
        <f>I548</f>
        <v>100</v>
      </c>
      <c r="U200" s="57">
        <f>I549</f>
        <v>87.608069164265132</v>
      </c>
      <c r="V200" s="57">
        <f>I550</f>
        <v>95.387755102040813</v>
      </c>
      <c r="W200" s="57">
        <f>I551</f>
        <v>91.432903714935549</v>
      </c>
      <c r="X200" s="57">
        <f>I552</f>
        <v>85.050505050505052</v>
      </c>
      <c r="AD200" s="51"/>
      <c r="AE200" s="51"/>
      <c r="AJ200" t="s">
        <v>415</v>
      </c>
      <c r="AK200">
        <v>5</v>
      </c>
      <c r="AL200" s="1">
        <v>126.73</v>
      </c>
      <c r="AM200" s="1">
        <v>779.6</v>
      </c>
      <c r="AN200" s="1">
        <v>18346.2</v>
      </c>
      <c r="AO200" s="1">
        <v>14043.11</v>
      </c>
      <c r="AP200" s="1">
        <v>9932.3799999999992</v>
      </c>
      <c r="AR200" s="1">
        <v>3346.77</v>
      </c>
      <c r="AS200" s="1">
        <v>10070.16</v>
      </c>
      <c r="AT200" s="1">
        <v>125427.57</v>
      </c>
      <c r="AU200" s="1">
        <v>40362.29</v>
      </c>
      <c r="AV200" s="1">
        <v>18880.88</v>
      </c>
    </row>
    <row r="201" spans="1:48" x14ac:dyDescent="0.3">
      <c r="A201" t="s">
        <v>4</v>
      </c>
      <c r="B201" s="13">
        <v>1</v>
      </c>
      <c r="C201" s="33">
        <f t="shared" ref="C201:G204" si="33">(C190/$L201)*$O201</f>
        <v>0</v>
      </c>
      <c r="D201" s="34">
        <f t="shared" si="33"/>
        <v>4.6217890323052364</v>
      </c>
      <c r="E201" s="19">
        <f t="shared" si="33"/>
        <v>0.60613626653183428</v>
      </c>
      <c r="F201" s="18">
        <f t="shared" si="33"/>
        <v>0</v>
      </c>
      <c r="G201" s="20">
        <f t="shared" si="33"/>
        <v>3.0306813326591714E-2</v>
      </c>
      <c r="H201" s="17">
        <f>SUM(C201:G201)</f>
        <v>5.2582321121636619</v>
      </c>
      <c r="I201" s="17">
        <f>D201/H201*100</f>
        <v>87.896253602305478</v>
      </c>
      <c r="J201" s="17">
        <f>SQRT(I201*(100-I201)/(L201-1))</f>
        <v>1.7535051296256741</v>
      </c>
      <c r="K201" s="18">
        <f>100-I201</f>
        <v>12.103746397694522</v>
      </c>
      <c r="L201" s="1">
        <f>H190</f>
        <v>347</v>
      </c>
      <c r="M201">
        <v>1</v>
      </c>
      <c r="N201" s="1">
        <v>10415.91</v>
      </c>
      <c r="O201" s="17">
        <f>N201/N205*100</f>
        <v>5.2582321121636628</v>
      </c>
      <c r="P201" s="52">
        <f>((O201*O201*(I201/100)*(K201/100))/(L201-1))</f>
        <v>8.5014614051336385E-3</v>
      </c>
      <c r="S201" s="66" t="s">
        <v>39</v>
      </c>
      <c r="T201" s="67">
        <f>J548</f>
        <v>0</v>
      </c>
      <c r="U201" s="67">
        <f>J549</f>
        <v>1.7713463852611102</v>
      </c>
      <c r="V201" s="67">
        <f>J550</f>
        <v>0.24467430866705089</v>
      </c>
      <c r="W201" s="67">
        <f>J551</f>
        <v>0.54502072260891488</v>
      </c>
      <c r="X201" s="67">
        <f>J552</f>
        <v>1.1338446704947833</v>
      </c>
      <c r="AD201" s="51"/>
      <c r="AE201" s="51"/>
      <c r="AJ201" t="s">
        <v>415</v>
      </c>
      <c r="AK201">
        <v>6</v>
      </c>
      <c r="AL201" s="1">
        <v>148.47999999999999</v>
      </c>
      <c r="AM201" s="1">
        <v>841.14</v>
      </c>
      <c r="AN201" s="1">
        <v>18270.5</v>
      </c>
      <c r="AO201" s="1">
        <v>14122.07</v>
      </c>
      <c r="AP201" s="1">
        <v>9845.83</v>
      </c>
      <c r="AR201" s="1">
        <v>3424.2</v>
      </c>
      <c r="AS201" s="1">
        <v>10415.91</v>
      </c>
      <c r="AT201" s="1">
        <v>125056.41</v>
      </c>
      <c r="AU201" s="1">
        <v>40676.29</v>
      </c>
      <c r="AV201" s="1">
        <v>18514.87</v>
      </c>
    </row>
    <row r="202" spans="1:48" x14ac:dyDescent="0.3">
      <c r="A202" t="s">
        <v>5</v>
      </c>
      <c r="B202" s="13">
        <v>2</v>
      </c>
      <c r="C202" s="33">
        <f t="shared" si="33"/>
        <v>0</v>
      </c>
      <c r="D202" s="19">
        <f t="shared" si="33"/>
        <v>2.5424525922571459</v>
      </c>
      <c r="E202" s="34">
        <f t="shared" si="33"/>
        <v>60.305944764315612</v>
      </c>
      <c r="F202" s="19">
        <f t="shared" si="33"/>
        <v>7.7304301791602401E-2</v>
      </c>
      <c r="G202" s="20">
        <f t="shared" si="33"/>
        <v>0.20614480477760644</v>
      </c>
      <c r="H202" s="17">
        <f>SUM(C202:G202)</f>
        <v>63.131846463141969</v>
      </c>
      <c r="I202" s="17">
        <f>E202/H202*100</f>
        <v>95.523809523809518</v>
      </c>
      <c r="J202" s="17">
        <f>SQRT(I202*(100-I202)/(L202-1))</f>
        <v>0.24121036881683383</v>
      </c>
      <c r="K202" s="18">
        <f>100-I202</f>
        <v>4.4761904761904816</v>
      </c>
      <c r="L202" s="1">
        <f>H191</f>
        <v>7350</v>
      </c>
      <c r="M202">
        <v>2</v>
      </c>
      <c r="N202" s="1">
        <v>125056.41</v>
      </c>
      <c r="O202" s="17">
        <f>N202/N205*100</f>
        <v>63.131846463141969</v>
      </c>
      <c r="P202" s="52">
        <f>((O202*O202*(I202/100)*(K202/100))/(L202-1))</f>
        <v>2.3189368860907337E-2</v>
      </c>
      <c r="S202" s="66" t="s">
        <v>56</v>
      </c>
      <c r="T202" s="67">
        <f>N537*100</f>
        <v>100</v>
      </c>
      <c r="U202" s="67">
        <f>N538*100</f>
        <v>63.531870428422152</v>
      </c>
      <c r="V202" s="67">
        <f>N539*100</f>
        <v>96.550299524891557</v>
      </c>
      <c r="W202" s="67">
        <f>N540*100</f>
        <v>92.573402417962001</v>
      </c>
      <c r="X202" s="67">
        <f>N541*100</f>
        <v>85.96222562531905</v>
      </c>
      <c r="AD202" s="51"/>
      <c r="AE202" s="51"/>
      <c r="AJ202" t="s">
        <v>415</v>
      </c>
      <c r="AK202">
        <v>7</v>
      </c>
      <c r="AL202" s="1">
        <v>93.46</v>
      </c>
      <c r="AM202" s="1">
        <v>908.29</v>
      </c>
      <c r="AN202" s="1">
        <v>18195.97</v>
      </c>
      <c r="AO202" s="1">
        <v>14071.5</v>
      </c>
      <c r="AP202" s="1">
        <v>9958.7900000000009</v>
      </c>
      <c r="AR202" s="1">
        <v>3300.25</v>
      </c>
      <c r="AS202" s="1">
        <v>10506.25</v>
      </c>
      <c r="AT202" s="1">
        <v>124743.2</v>
      </c>
      <c r="AU202" s="1">
        <v>40654.04</v>
      </c>
      <c r="AV202" s="1">
        <v>18883.919999999998</v>
      </c>
    </row>
    <row r="203" spans="1:48" x14ac:dyDescent="0.3">
      <c r="A203" t="s">
        <v>6</v>
      </c>
      <c r="B203" s="13">
        <v>3</v>
      </c>
      <c r="C203" s="33">
        <f t="shared" si="33"/>
        <v>0</v>
      </c>
      <c r="D203" s="19">
        <f t="shared" si="33"/>
        <v>6.2272896303919717E-2</v>
      </c>
      <c r="E203" s="19">
        <f t="shared" si="33"/>
        <v>0.90295699640683602</v>
      </c>
      <c r="F203" s="34">
        <f t="shared" si="33"/>
        <v>18.790846459707776</v>
      </c>
      <c r="G203" s="20">
        <f t="shared" si="33"/>
        <v>0.77841120379899642</v>
      </c>
      <c r="H203" s="17">
        <f>SUM(C203:G203)</f>
        <v>20.534487556217528</v>
      </c>
      <c r="I203" s="17">
        <f>F203/H203*100</f>
        <v>91.508718726307819</v>
      </c>
      <c r="J203" s="17">
        <f>SQRT(I203*(100-I203)/(L203-1))</f>
        <v>0.54282868085058522</v>
      </c>
      <c r="K203" s="18">
        <f>100-I203</f>
        <v>8.4912812736921808</v>
      </c>
      <c r="L203" s="1">
        <f>H192</f>
        <v>2638</v>
      </c>
      <c r="M203">
        <v>3</v>
      </c>
      <c r="N203" s="1">
        <v>40676.29</v>
      </c>
      <c r="O203" s="17">
        <f>N203/N205*100</f>
        <v>20.534487556217528</v>
      </c>
      <c r="P203" s="52">
        <f>((O203*O203*(I203/100)*(K203/100))/(L203-1))</f>
        <v>1.2424911689552984E-2</v>
      </c>
      <c r="R203" s="16" t="s">
        <v>66</v>
      </c>
      <c r="S203" t="s">
        <v>9</v>
      </c>
      <c r="T203" s="1">
        <f>N548</f>
        <v>3365.97</v>
      </c>
      <c r="U203" s="1">
        <f>N549</f>
        <v>10427.92</v>
      </c>
      <c r="V203" s="1">
        <f>N550</f>
        <v>124535.33</v>
      </c>
      <c r="W203" s="1">
        <f>N551</f>
        <v>41136.25</v>
      </c>
      <c r="X203" s="1">
        <f>N552</f>
        <v>18622.21</v>
      </c>
      <c r="Z203" t="s">
        <v>36</v>
      </c>
      <c r="AA203" s="1">
        <f>N553</f>
        <v>198087.67999999999</v>
      </c>
      <c r="AD203" s="51"/>
      <c r="AE203" s="51"/>
      <c r="AJ203" t="s">
        <v>415</v>
      </c>
      <c r="AK203">
        <v>8</v>
      </c>
      <c r="AL203" s="1">
        <v>128.44</v>
      </c>
      <c r="AM203" s="1">
        <v>770.01</v>
      </c>
      <c r="AN203" s="1">
        <v>18331.650000000001</v>
      </c>
      <c r="AO203" s="1">
        <v>14148.35</v>
      </c>
      <c r="AP203" s="1">
        <v>9849.57</v>
      </c>
      <c r="AR203" s="1">
        <v>3355.19</v>
      </c>
      <c r="AS203" s="1">
        <v>10053.56</v>
      </c>
      <c r="AT203" s="1">
        <v>125230.85</v>
      </c>
      <c r="AU203" s="1">
        <v>40928.54</v>
      </c>
      <c r="AV203" s="1">
        <v>18519.54</v>
      </c>
    </row>
    <row r="204" spans="1:48" ht="15.6" x14ac:dyDescent="0.35">
      <c r="A204" t="s">
        <v>7</v>
      </c>
      <c r="B204" s="13">
        <v>4</v>
      </c>
      <c r="C204" s="35">
        <f t="shared" si="33"/>
        <v>0</v>
      </c>
      <c r="D204" s="36">
        <f t="shared" si="33"/>
        <v>0</v>
      </c>
      <c r="E204" s="21">
        <f t="shared" si="33"/>
        <v>4.7206087952791631E-2</v>
      </c>
      <c r="F204" s="21">
        <f t="shared" si="33"/>
        <v>1.2084758515914658</v>
      </c>
      <c r="G204" s="37">
        <f t="shared" si="33"/>
        <v>8.0911234751084855</v>
      </c>
      <c r="H204" s="17">
        <f>SUM(C204:G204)</f>
        <v>9.3468054146527422</v>
      </c>
      <c r="I204" s="17">
        <f>G204/H204*100</f>
        <v>86.565656565656568</v>
      </c>
      <c r="J204" s="17">
        <f>SQRT(I204*(100-I204)/(L204-1))</f>
        <v>1.0843834758386202</v>
      </c>
      <c r="K204" s="18">
        <f>100-I204</f>
        <v>13.434343434343432</v>
      </c>
      <c r="L204" s="1">
        <f>H193</f>
        <v>990</v>
      </c>
      <c r="M204">
        <v>4</v>
      </c>
      <c r="N204" s="1">
        <v>18514.87</v>
      </c>
      <c r="O204" s="17">
        <f>N204/N205*100</f>
        <v>9.3468054146527422</v>
      </c>
      <c r="P204" s="52">
        <f>((O204*O204*(I204/100)*(K204/100))/(L204-1))</f>
        <v>1.0272879290511924E-2</v>
      </c>
      <c r="R204" s="16" t="s">
        <v>323</v>
      </c>
      <c r="S204" t="s">
        <v>68</v>
      </c>
      <c r="T204" s="57">
        <f>$AA203*T196/100</f>
        <v>3365.9699999999993</v>
      </c>
      <c r="U204" s="57">
        <f>$AA203*U196/100</f>
        <v>14310.986561713526</v>
      </c>
      <c r="V204" s="57">
        <f>$AA203*V196/100</f>
        <v>121923.28017516043</v>
      </c>
      <c r="W204" s="57">
        <f>$AA203*W196/100</f>
        <v>40608.793844663996</v>
      </c>
      <c r="X204" s="57">
        <f>$AA203*X196/100</f>
        <v>17878.649418462039</v>
      </c>
      <c r="Z204" t="s">
        <v>36</v>
      </c>
      <c r="AA204" s="25">
        <f>SUM(T204:X204)</f>
        <v>198087.67999999999</v>
      </c>
      <c r="AD204" s="51"/>
      <c r="AE204" s="51"/>
      <c r="AJ204" t="s">
        <v>415</v>
      </c>
      <c r="AK204">
        <v>9</v>
      </c>
      <c r="AL204" s="1">
        <v>136.74</v>
      </c>
      <c r="AM204" s="1">
        <v>961.57</v>
      </c>
      <c r="AN204" s="1">
        <v>18145.13</v>
      </c>
      <c r="AO204" s="1">
        <v>13983.83</v>
      </c>
      <c r="AP204" s="1">
        <v>10000.75</v>
      </c>
      <c r="AR204" s="1">
        <v>3366</v>
      </c>
      <c r="AS204" s="1">
        <v>10631.59</v>
      </c>
      <c r="AT204" s="1">
        <v>124697.75</v>
      </c>
      <c r="AU204" s="1">
        <v>40399.46</v>
      </c>
      <c r="AV204" s="1">
        <v>18992.87</v>
      </c>
    </row>
    <row r="205" spans="1:48" x14ac:dyDescent="0.3">
      <c r="B205" t="s">
        <v>28</v>
      </c>
      <c r="C205" s="17">
        <f t="shared" ref="C205:H205" si="34">SUM(C200:C204)</f>
        <v>1.7286284538240839</v>
      </c>
      <c r="D205" s="17">
        <f t="shared" si="34"/>
        <v>7.2265145208663029</v>
      </c>
      <c r="E205" s="17">
        <f t="shared" si="34"/>
        <v>61.862244115207076</v>
      </c>
      <c r="F205" s="17">
        <f t="shared" si="34"/>
        <v>20.076626613090845</v>
      </c>
      <c r="G205" s="17">
        <f t="shared" si="34"/>
        <v>9.1059862970116807</v>
      </c>
      <c r="H205" s="18">
        <f t="shared" si="34"/>
        <v>99.999999999999972</v>
      </c>
      <c r="I205" s="13" t="s">
        <v>24</v>
      </c>
      <c r="J205" s="12" t="s">
        <v>29</v>
      </c>
      <c r="N205" s="1">
        <f>SUM(N200:N204)</f>
        <v>198087.68000000002</v>
      </c>
      <c r="O205" s="17">
        <f>SUM(O200:O204)</f>
        <v>99.999999999999972</v>
      </c>
      <c r="R205" s="66"/>
      <c r="S205" s="66" t="s">
        <v>67</v>
      </c>
      <c r="T205" s="67">
        <f>$AA203*T197/100</f>
        <v>0</v>
      </c>
      <c r="U205" s="67">
        <f>$AA203*U197/100</f>
        <v>343.60626238952761</v>
      </c>
      <c r="V205" s="67">
        <f>$AA203*V197/100</f>
        <v>392.53442029040639</v>
      </c>
      <c r="W205" s="67">
        <f>$AA203*W197/100</f>
        <v>314.09609726503686</v>
      </c>
      <c r="X205" s="67">
        <f>$AA203*X197/100</f>
        <v>277.05563174040498</v>
      </c>
      <c r="AA205" s="1"/>
      <c r="AD205" s="51"/>
      <c r="AE205" s="51"/>
      <c r="AJ205" t="s">
        <v>415</v>
      </c>
      <c r="AK205">
        <v>10</v>
      </c>
      <c r="AL205" s="1">
        <v>150.91999999999999</v>
      </c>
      <c r="AM205" s="1">
        <v>800.09</v>
      </c>
      <c r="AN205" s="1">
        <v>18137.93</v>
      </c>
      <c r="AO205" s="1">
        <v>14268.64</v>
      </c>
      <c r="AP205" s="1">
        <v>9870.44</v>
      </c>
      <c r="AR205" s="1">
        <v>3402.62</v>
      </c>
      <c r="AS205" s="1">
        <v>10237.790000000001</v>
      </c>
      <c r="AT205" s="1">
        <v>124410.43</v>
      </c>
      <c r="AU205" s="1">
        <v>41432.089999999997</v>
      </c>
      <c r="AV205" s="1">
        <v>18604.740000000002</v>
      </c>
    </row>
    <row r="206" spans="1:48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0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0.17297058738571364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0.19615180053669101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0.15171585809420446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0.13532748466634162</v>
      </c>
      <c r="H206" s="1"/>
      <c r="I206" s="14">
        <f>(C200+D201+E202+F203+G204)/H205</f>
        <v>0.93538332185261219</v>
      </c>
      <c r="J206" s="53">
        <f>SQRT(SUM(P200:P204))/100</f>
        <v>2.3321368151569904E-3</v>
      </c>
      <c r="M206" s="1"/>
      <c r="N206" s="9"/>
      <c r="R206" t="s">
        <v>112</v>
      </c>
      <c r="S206" t="s">
        <v>28</v>
      </c>
      <c r="T206" s="57">
        <f>C582</f>
        <v>1.7129486151258175</v>
      </c>
      <c r="U206" s="57">
        <f t="shared" ref="U206:X209" si="35">D582</f>
        <v>6.7461921105623741</v>
      </c>
      <c r="V206" s="57">
        <f t="shared" si="35"/>
        <v>62.098055903136455</v>
      </c>
      <c r="W206" s="57">
        <f t="shared" si="35"/>
        <v>19.96447129710976</v>
      </c>
      <c r="X206" s="57">
        <f>G582</f>
        <v>9.4783320740655785</v>
      </c>
      <c r="Y206" s="60"/>
      <c r="Z206" s="74"/>
      <c r="AA206" s="12"/>
      <c r="AD206" s="51"/>
      <c r="AE206" s="51"/>
      <c r="AJ206" t="s">
        <v>415</v>
      </c>
      <c r="AK206">
        <v>11</v>
      </c>
      <c r="AL206" s="1">
        <v>103.53</v>
      </c>
      <c r="AM206" s="1">
        <v>814.46</v>
      </c>
      <c r="AN206" s="1">
        <v>18325.97</v>
      </c>
      <c r="AO206" s="1">
        <v>14053.19</v>
      </c>
      <c r="AP206" s="1">
        <v>9930.8700000000008</v>
      </c>
      <c r="AR206" s="1">
        <v>3320.53</v>
      </c>
      <c r="AS206" s="1">
        <v>10135.25</v>
      </c>
      <c r="AT206" s="1">
        <v>125426</v>
      </c>
      <c r="AU206" s="1">
        <v>40450.559999999998</v>
      </c>
      <c r="AV206" s="1">
        <v>18755.330000000002</v>
      </c>
    </row>
    <row r="207" spans="1:48" x14ac:dyDescent="0.3">
      <c r="B207" s="1" t="s">
        <v>30</v>
      </c>
      <c r="C207" s="17">
        <f>C200/C205*100</f>
        <v>100</v>
      </c>
      <c r="D207" s="17">
        <f>D201/D205*100</f>
        <v>63.955991771136489</v>
      </c>
      <c r="E207" s="17">
        <f>E202/E205*100</f>
        <v>97.484250089613397</v>
      </c>
      <c r="F207" s="17">
        <f>F203/F205*100</f>
        <v>93.595636467409904</v>
      </c>
      <c r="G207" s="17">
        <f>G204/G205*100</f>
        <v>88.854992871708532</v>
      </c>
      <c r="H207" s="1"/>
      <c r="S207" s="66" t="s">
        <v>39</v>
      </c>
      <c r="T207" s="67">
        <f>C583</f>
        <v>0</v>
      </c>
      <c r="U207" s="67">
        <f t="shared" si="35"/>
        <v>0.17026690680117548</v>
      </c>
      <c r="V207" s="67">
        <f t="shared" si="35"/>
        <v>0.19241840437648453</v>
      </c>
      <c r="W207" s="67">
        <f t="shared" si="35"/>
        <v>0.15431845144918496</v>
      </c>
      <c r="X207" s="67">
        <f t="shared" si="35"/>
        <v>0.13793049942850397</v>
      </c>
      <c r="AD207" s="51"/>
      <c r="AE207" s="51"/>
      <c r="AJ207" t="s">
        <v>415</v>
      </c>
      <c r="AK207">
        <v>12</v>
      </c>
      <c r="AL207" s="1">
        <v>152</v>
      </c>
      <c r="AM207" s="1">
        <v>822.45</v>
      </c>
      <c r="AN207" s="1">
        <v>18147.13</v>
      </c>
      <c r="AO207" s="1">
        <v>14157.97</v>
      </c>
      <c r="AP207" s="1">
        <v>9948.4699999999993</v>
      </c>
      <c r="AR207" s="1">
        <v>3422.03</v>
      </c>
      <c r="AS207" s="1">
        <v>10382.450000000001</v>
      </c>
      <c r="AT207" s="1">
        <v>124374.01</v>
      </c>
      <c r="AU207" s="1">
        <v>40884.449999999997</v>
      </c>
      <c r="AV207" s="1">
        <v>19024.73</v>
      </c>
    </row>
    <row r="208" spans="1:48" x14ac:dyDescent="0.3">
      <c r="B208" s="16" t="s">
        <v>39</v>
      </c>
      <c r="C208" s="18">
        <f>SQRT((C211+C212)/(C205*C205))</f>
        <v>0</v>
      </c>
      <c r="D208" s="18">
        <f>SQRT((D211+D212)/(D205*D205))</f>
        <v>4.7779995858679865</v>
      </c>
      <c r="E208" s="18">
        <f>SQRT((E211+E212)/(E205*E205))</f>
        <v>0.20461614390463836</v>
      </c>
      <c r="F208" s="18">
        <f>SQRT((F211+F212)/(F205*F205))</f>
        <v>0.59747387433855437</v>
      </c>
      <c r="G208" s="18">
        <f>SQRT((G211+G212)/(G205*G205))</f>
        <v>1.5184874960734116</v>
      </c>
      <c r="H208" s="1"/>
      <c r="S208" t="s">
        <v>30</v>
      </c>
      <c r="T208" s="57">
        <f>C584</f>
        <v>100</v>
      </c>
      <c r="U208" s="57">
        <f t="shared" si="35"/>
        <v>64.430953843293281</v>
      </c>
      <c r="V208" s="57">
        <f t="shared" si="35"/>
        <v>97.474831630831886</v>
      </c>
      <c r="W208" s="57">
        <f t="shared" si="35"/>
        <v>93.355304295828176</v>
      </c>
      <c r="X208" s="57">
        <f t="shared" si="35"/>
        <v>88.572158310517864</v>
      </c>
      <c r="AD208" s="51"/>
      <c r="AE208" s="51"/>
      <c r="AJ208" t="s">
        <v>415</v>
      </c>
      <c r="AK208">
        <v>13</v>
      </c>
      <c r="AL208" s="1">
        <v>138.02000000000001</v>
      </c>
      <c r="AM208" s="1">
        <v>777.63</v>
      </c>
      <c r="AN208" s="1">
        <v>18394.89</v>
      </c>
      <c r="AO208" s="1">
        <v>13899.28</v>
      </c>
      <c r="AP208" s="1">
        <v>10018.200000000001</v>
      </c>
      <c r="AR208" s="1">
        <v>3389.71</v>
      </c>
      <c r="AS208" s="1">
        <v>10012.540000000001</v>
      </c>
      <c r="AT208" s="1">
        <v>125698.27</v>
      </c>
      <c r="AU208" s="1">
        <v>39962.29</v>
      </c>
      <c r="AV208" s="1">
        <v>19024.86</v>
      </c>
    </row>
    <row r="209" spans="1:48" x14ac:dyDescent="0.3">
      <c r="B209" s="1" t="s">
        <v>37</v>
      </c>
      <c r="C209" s="18">
        <f>100-C207</f>
        <v>0</v>
      </c>
      <c r="D209" s="18">
        <f>100-D207</f>
        <v>36.044008228863511</v>
      </c>
      <c r="E209" s="18">
        <f>100-E207</f>
        <v>2.515749910386603</v>
      </c>
      <c r="F209" s="18">
        <f>100-F207</f>
        <v>6.4043635325900965</v>
      </c>
      <c r="G209" s="18">
        <f>100-G207</f>
        <v>11.145007128291468</v>
      </c>
      <c r="S209" s="66" t="s">
        <v>39</v>
      </c>
      <c r="T209" s="67">
        <f>C585</f>
        <v>0</v>
      </c>
      <c r="U209" s="67">
        <f t="shared" si="35"/>
        <v>5.2309935017358704</v>
      </c>
      <c r="V209" s="67">
        <f t="shared" si="35"/>
        <v>0.20334868033283873</v>
      </c>
      <c r="W209" s="67">
        <f t="shared" si="35"/>
        <v>0.62125056443706506</v>
      </c>
      <c r="X209" s="67">
        <f t="shared" si="35"/>
        <v>1.5070935972826833</v>
      </c>
      <c r="AD209" s="51"/>
      <c r="AE209" s="51"/>
      <c r="AJ209" t="s">
        <v>415</v>
      </c>
      <c r="AK209">
        <v>14</v>
      </c>
      <c r="AL209" s="1">
        <v>135</v>
      </c>
      <c r="AM209" s="1">
        <v>883.92</v>
      </c>
      <c r="AN209" s="1">
        <v>18063.68</v>
      </c>
      <c r="AO209" s="1">
        <v>14190.03</v>
      </c>
      <c r="AP209" s="1">
        <v>9955.3799999999992</v>
      </c>
      <c r="AR209" s="1">
        <v>3352.16</v>
      </c>
      <c r="AS209" s="1">
        <v>10345.530000000001</v>
      </c>
      <c r="AT209" s="1">
        <v>124337.28</v>
      </c>
      <c r="AU209" s="1">
        <v>41123.199999999997</v>
      </c>
      <c r="AV209" s="1">
        <v>18929.5</v>
      </c>
    </row>
    <row r="210" spans="1:48" ht="15.6" x14ac:dyDescent="0.35">
      <c r="B210" s="1" t="s">
        <v>25</v>
      </c>
      <c r="C210" s="1">
        <f>C194</f>
        <v>259</v>
      </c>
      <c r="D210" s="1">
        <f>D194</f>
        <v>609</v>
      </c>
      <c r="E210" s="1">
        <f>E194</f>
        <v>7182</v>
      </c>
      <c r="F210" s="1">
        <f>F194</f>
        <v>2551</v>
      </c>
      <c r="G210" s="1">
        <f>G194</f>
        <v>983</v>
      </c>
      <c r="S210" s="15" t="s">
        <v>31</v>
      </c>
      <c r="T210" s="71">
        <f>I577</f>
        <v>100</v>
      </c>
      <c r="U210" s="71">
        <f>I578</f>
        <v>85.590778097982707</v>
      </c>
      <c r="V210" s="71">
        <f>I579</f>
        <v>95.823129251700678</v>
      </c>
      <c r="W210" s="71">
        <f>I580</f>
        <v>91.319181197877185</v>
      </c>
      <c r="X210" s="71">
        <f>I581</f>
        <v>87.171717171717177</v>
      </c>
      <c r="AD210" s="51"/>
      <c r="AE210" s="51"/>
      <c r="AJ210" t="s">
        <v>415</v>
      </c>
      <c r="AK210">
        <v>15</v>
      </c>
      <c r="AL210" s="1">
        <v>142.25</v>
      </c>
      <c r="AM210" s="1">
        <v>867.75</v>
      </c>
      <c r="AN210" s="1">
        <v>18224.2</v>
      </c>
      <c r="AO210" s="1">
        <v>14101.72</v>
      </c>
      <c r="AP210" s="1">
        <v>9892.1</v>
      </c>
      <c r="AR210" s="1">
        <v>3403.45</v>
      </c>
      <c r="AS210" s="1">
        <v>10472.49</v>
      </c>
      <c r="AT210" s="1">
        <v>124736.81</v>
      </c>
      <c r="AU210" s="1">
        <v>40947.620000000003</v>
      </c>
      <c r="AV210" s="1">
        <v>18527.310000000001</v>
      </c>
    </row>
    <row r="211" spans="1:48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1104.4848112701084</v>
      </c>
      <c r="E211" s="18">
        <f>(O202*O202*(100-E207)*(100-E207)*(I202)*(100-I202))/((L202-1)*100)</f>
        <v>14.676546013543051</v>
      </c>
      <c r="F211" s="18">
        <f>(O203*O203*(100-F207)*(100-F207)*(I203)*(100-I203))/((L203-1)*100)</f>
        <v>50.961859067029231</v>
      </c>
      <c r="G211" s="18">
        <f>(O204*O204*(100-G207)*(100-G207)*(I204)*(100-I204))/((L204-1)*100)</f>
        <v>127.60064986301349</v>
      </c>
      <c r="S211" s="75" t="s">
        <v>39</v>
      </c>
      <c r="T211" s="76">
        <f>J577</f>
        <v>0</v>
      </c>
      <c r="U211" s="76">
        <f>J578</f>
        <v>1.8879726674415145</v>
      </c>
      <c r="V211" s="76">
        <f>J579</f>
        <v>0.23337082911337317</v>
      </c>
      <c r="W211" s="76">
        <f>J580</f>
        <v>0.54828489958229798</v>
      </c>
      <c r="X211" s="76">
        <f>J581</f>
        <v>1.0633443258010133</v>
      </c>
      <c r="AD211" s="51"/>
      <c r="AE211" s="51"/>
      <c r="AJ211" t="s">
        <v>415</v>
      </c>
      <c r="AK211">
        <v>16</v>
      </c>
      <c r="AL211" s="1">
        <v>108.11</v>
      </c>
      <c r="AM211" s="1">
        <v>835.21</v>
      </c>
      <c r="AN211" s="1">
        <v>18256.650000000001</v>
      </c>
      <c r="AO211" s="1">
        <v>14033.03</v>
      </c>
      <c r="AP211" s="1">
        <v>9995.0300000000007</v>
      </c>
      <c r="AR211" s="1">
        <v>3317.72</v>
      </c>
      <c r="AS211" s="1">
        <v>10220.450000000001</v>
      </c>
      <c r="AT211" s="1">
        <v>125218.57</v>
      </c>
      <c r="AU211" s="1">
        <v>40413.86</v>
      </c>
      <c r="AV211" s="1">
        <v>18917.07</v>
      </c>
    </row>
    <row r="212" spans="1:48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87.717542449731411</v>
      </c>
      <c r="E212" s="18">
        <f>E207*E207*(SUM((H200*E200*(1-E189/H189))/(H189-1),(H201*E201*(1-E190/H190))/(H190-1), (H203*E203*(1-E192/H192))/(H192-1),(H204*E204*(1-E193/H193))/(H193-1)))</f>
        <v>145.54876846492417</v>
      </c>
      <c r="F212" s="18">
        <f>F207*F207*(SUM((H200*F200*(1-F189/H189))/(H189-1),(H201*F201*(1-F190/H190))/(H190-1), (H202*F202*(1-F191/H191))/(H191-1),(H204*F204*(1-F193/H193))/(H193-1)))</f>
        <v>92.924400669775807</v>
      </c>
      <c r="G212" s="18">
        <f>G207*G207*(SUM((H200*G200*(1-G189/H189))/(H189-1),(H201*G201*(1-G190/H190))/(H190-1), (H202*G202*(1-G191/H191))/(H191-1),(H203*G203*(1-G192/H192))/(H192-1)))</f>
        <v>63.594303612790398</v>
      </c>
      <c r="S212" s="66" t="s">
        <v>56</v>
      </c>
      <c r="T212" s="67">
        <f>N566*100</f>
        <v>100</v>
      </c>
      <c r="U212" s="67">
        <f>N567*100</f>
        <v>64.285714285714292</v>
      </c>
      <c r="V212" s="67">
        <f>N568*100</f>
        <v>96.791039648182505</v>
      </c>
      <c r="W212" s="67">
        <f>N569*100</f>
        <v>92.921890067502417</v>
      </c>
      <c r="X212" s="67">
        <f>N570*100</f>
        <v>86.82092555331991</v>
      </c>
      <c r="AD212" s="51"/>
      <c r="AE212" s="51"/>
      <c r="AJ212" t="s">
        <v>415</v>
      </c>
      <c r="AK212">
        <v>17</v>
      </c>
      <c r="AL212" s="1">
        <v>114.86</v>
      </c>
      <c r="AM212" s="1">
        <v>779.51</v>
      </c>
      <c r="AN212" s="1">
        <v>18187.78</v>
      </c>
      <c r="AO212" s="1">
        <v>14352.35</v>
      </c>
      <c r="AP212" s="1">
        <v>9793.52</v>
      </c>
      <c r="AR212" s="1">
        <v>3336.68</v>
      </c>
      <c r="AS212" s="1">
        <v>10060.25</v>
      </c>
      <c r="AT212" s="1">
        <v>124523.12</v>
      </c>
      <c r="AU212" s="1">
        <v>41784.97</v>
      </c>
      <c r="AV212" s="1">
        <v>18382.650000000001</v>
      </c>
    </row>
    <row r="213" spans="1:48" x14ac:dyDescent="0.3">
      <c r="R213" s="16" t="s">
        <v>66</v>
      </c>
      <c r="S213" t="s">
        <v>9</v>
      </c>
      <c r="T213" s="1">
        <f>N577</f>
        <v>3393.14</v>
      </c>
      <c r="U213" s="1">
        <f>N578</f>
        <v>10059.67</v>
      </c>
      <c r="V213" s="1">
        <f>N579</f>
        <v>125128.89</v>
      </c>
      <c r="W213" s="1">
        <f>N580</f>
        <v>40428.93</v>
      </c>
      <c r="X213" s="1">
        <f>N581</f>
        <v>19077.04</v>
      </c>
      <c r="Z213" t="s">
        <v>36</v>
      </c>
      <c r="AA213" s="1">
        <f>N582</f>
        <v>198087.67</v>
      </c>
      <c r="AD213" s="51"/>
      <c r="AE213" s="51"/>
      <c r="AJ213" t="s">
        <v>415</v>
      </c>
      <c r="AK213">
        <v>18</v>
      </c>
      <c r="AL213" s="1">
        <v>135.49</v>
      </c>
      <c r="AM213" s="1">
        <v>888.3</v>
      </c>
      <c r="AN213" s="1">
        <v>18131.11</v>
      </c>
      <c r="AO213" s="1">
        <v>14165.59</v>
      </c>
      <c r="AP213" s="1">
        <v>9907.52</v>
      </c>
      <c r="AR213" s="1">
        <v>3365.97</v>
      </c>
      <c r="AS213" s="1">
        <v>10427.92</v>
      </c>
      <c r="AT213" s="1">
        <v>124535.33</v>
      </c>
      <c r="AU213" s="1">
        <v>41136.25</v>
      </c>
      <c r="AV213" s="1">
        <v>18622.21</v>
      </c>
    </row>
    <row r="214" spans="1:48" ht="15.6" x14ac:dyDescent="0.35">
      <c r="R214" s="16" t="s">
        <v>323</v>
      </c>
      <c r="S214" t="s">
        <v>68</v>
      </c>
      <c r="T214" s="57">
        <f>$AA213*T206/100</f>
        <v>3393.14</v>
      </c>
      <c r="U214" s="57">
        <f>$AA213*U206/100</f>
        <v>13363.374765536832</v>
      </c>
      <c r="V214" s="57">
        <f>$AA213*V206/100</f>
        <v>123008.59205382047</v>
      </c>
      <c r="W214" s="57">
        <f>$AA213*W206/100</f>
        <v>39547.156020263501</v>
      </c>
      <c r="X214" s="57">
        <f>$AA213*X206/100</f>
        <v>18775.407160379182</v>
      </c>
      <c r="Z214" t="s">
        <v>36</v>
      </c>
      <c r="AA214" s="25">
        <f>SUM(T214:X214)</f>
        <v>198087.66999999998</v>
      </c>
      <c r="AD214" s="51"/>
      <c r="AE214" s="51"/>
      <c r="AJ214" t="s">
        <v>415</v>
      </c>
      <c r="AK214">
        <v>19</v>
      </c>
      <c r="AL214" s="1">
        <v>140.47999999999999</v>
      </c>
      <c r="AM214" s="1">
        <v>792.24</v>
      </c>
      <c r="AN214" s="1">
        <v>18280.48</v>
      </c>
      <c r="AO214" s="1">
        <v>13962.19</v>
      </c>
      <c r="AP214" s="1">
        <v>10052.629999999999</v>
      </c>
      <c r="AR214" s="1">
        <v>3393.14</v>
      </c>
      <c r="AS214" s="1">
        <v>10059.67</v>
      </c>
      <c r="AT214" s="1">
        <v>125128.89</v>
      </c>
      <c r="AU214" s="1">
        <v>40428.93</v>
      </c>
      <c r="AV214" s="1">
        <v>19077.04</v>
      </c>
    </row>
    <row r="215" spans="1:48" x14ac:dyDescent="0.3">
      <c r="A215" s="361" t="s">
        <v>461</v>
      </c>
      <c r="B215" s="361"/>
      <c r="C215" s="361"/>
      <c r="D215" s="361"/>
      <c r="E215" s="361"/>
      <c r="F215" s="361"/>
      <c r="G215" s="361"/>
      <c r="H215" s="361"/>
      <c r="I215" s="361"/>
      <c r="J215" s="361"/>
      <c r="K215" s="361"/>
      <c r="L215" s="361" t="s">
        <v>85</v>
      </c>
      <c r="M215" s="361"/>
      <c r="N215" s="361"/>
      <c r="O215" s="361"/>
      <c r="P215" s="361"/>
      <c r="R215" s="66"/>
      <c r="S215" s="66" t="s">
        <v>67</v>
      </c>
      <c r="T215" s="67">
        <f>$AA213*T207/100</f>
        <v>0</v>
      </c>
      <c r="U215" s="67">
        <f>$AA213*U207/100</f>
        <v>337.27774846352003</v>
      </c>
      <c r="V215" s="67">
        <f>$AA213*V207/100</f>
        <v>381.15713388055627</v>
      </c>
      <c r="W215" s="67">
        <f>$AA213*W207/100</f>
        <v>305.68582485577173</v>
      </c>
      <c r="X215" s="67">
        <f>$AA213*X207/100</f>
        <v>273.22331253728686</v>
      </c>
      <c r="AA215" s="1"/>
      <c r="AD215" s="51"/>
      <c r="AE215" s="51"/>
      <c r="AL215" s="1"/>
      <c r="AM215" s="1"/>
      <c r="AN215" s="1"/>
      <c r="AO215" s="1"/>
      <c r="AP215" s="1"/>
      <c r="AQ215" t="s">
        <v>412</v>
      </c>
    </row>
    <row r="216" spans="1:48" x14ac:dyDescent="0.3">
      <c r="A216" t="s">
        <v>320</v>
      </c>
      <c r="B216" t="s">
        <v>21</v>
      </c>
      <c r="I216" s="1" t="s">
        <v>58</v>
      </c>
      <c r="O216" s="143"/>
      <c r="P216" s="143"/>
      <c r="AJ216" t="s">
        <v>416</v>
      </c>
      <c r="AK216">
        <v>0</v>
      </c>
      <c r="AL216" s="1">
        <v>0.12</v>
      </c>
      <c r="AM216" s="1">
        <v>60.38</v>
      </c>
      <c r="AN216" s="1">
        <v>1401.28</v>
      </c>
      <c r="AO216" s="1">
        <v>307.77</v>
      </c>
      <c r="AP216" s="1">
        <v>83.79</v>
      </c>
      <c r="AR216" s="1">
        <v>191.36</v>
      </c>
      <c r="AS216" s="1">
        <v>1696.91</v>
      </c>
      <c r="AT216" s="1">
        <v>17007.060000000001</v>
      </c>
      <c r="AU216" s="1">
        <v>2062.91</v>
      </c>
      <c r="AV216" s="1">
        <v>1117.93</v>
      </c>
    </row>
    <row r="217" spans="1:48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56</v>
      </c>
      <c r="O217" s="13"/>
      <c r="P217" s="13"/>
      <c r="AJ217" t="s">
        <v>416</v>
      </c>
      <c r="AK217">
        <v>1</v>
      </c>
      <c r="AL217" s="1">
        <v>0.27</v>
      </c>
      <c r="AM217" s="1">
        <v>69.680000000000007</v>
      </c>
      <c r="AN217" s="1">
        <v>1391.05</v>
      </c>
      <c r="AO217" s="1">
        <v>312.45999999999998</v>
      </c>
      <c r="AP217" s="1">
        <v>79.88</v>
      </c>
      <c r="AR217" s="1">
        <v>195.79</v>
      </c>
      <c r="AS217" s="1">
        <v>1809.51</v>
      </c>
      <c r="AT217" s="1">
        <v>16886.47</v>
      </c>
      <c r="AU217" s="1">
        <v>2076.9899999999998</v>
      </c>
      <c r="AV217" s="1">
        <v>1107.4100000000001</v>
      </c>
    </row>
    <row r="218" spans="1:48" x14ac:dyDescent="0.3">
      <c r="A218" t="s">
        <v>3</v>
      </c>
      <c r="B218" s="13">
        <v>0</v>
      </c>
      <c r="C218" s="26">
        <v>259</v>
      </c>
      <c r="D218" s="3">
        <v>0</v>
      </c>
      <c r="E218" s="3">
        <v>0</v>
      </c>
      <c r="F218" s="3">
        <v>0</v>
      </c>
      <c r="G218" s="4">
        <v>0</v>
      </c>
      <c r="H218" s="1">
        <f>SUM(C218:G218)</f>
        <v>259</v>
      </c>
      <c r="I218" s="10">
        <f>C218/H218</f>
        <v>1</v>
      </c>
      <c r="J218" s="11">
        <f>1-I218</f>
        <v>0</v>
      </c>
      <c r="K218">
        <f>H218-C223</f>
        <v>0</v>
      </c>
      <c r="N218" s="10">
        <f>2*(C224*I218)/(C224+I218)</f>
        <v>1</v>
      </c>
      <c r="O218" s="1"/>
      <c r="P218" s="1"/>
      <c r="R218" s="66"/>
      <c r="S218" s="66"/>
      <c r="T218" s="66"/>
      <c r="U218" s="66"/>
      <c r="V218" s="66"/>
      <c r="W218" s="66"/>
      <c r="X218" s="66"/>
      <c r="AJ218" t="s">
        <v>416</v>
      </c>
      <c r="AK218">
        <v>2</v>
      </c>
      <c r="AL218" s="1">
        <v>0.33</v>
      </c>
      <c r="AM218" s="1">
        <v>63.33</v>
      </c>
      <c r="AN218" s="1">
        <v>1400.67</v>
      </c>
      <c r="AO218" s="1">
        <v>311.95</v>
      </c>
      <c r="AP218" s="1">
        <v>77.06</v>
      </c>
      <c r="AR218" s="1">
        <v>194.34</v>
      </c>
      <c r="AS218" s="1">
        <v>1769.43</v>
      </c>
      <c r="AT218" s="1">
        <v>16969.509999999998</v>
      </c>
      <c r="AU218" s="1">
        <v>2091.09</v>
      </c>
      <c r="AV218" s="1">
        <v>1051.8</v>
      </c>
    </row>
    <row r="219" spans="1:48" x14ac:dyDescent="0.3">
      <c r="A219" t="s">
        <v>4</v>
      </c>
      <c r="B219" s="13">
        <v>1</v>
      </c>
      <c r="C219" s="5">
        <v>0</v>
      </c>
      <c r="D219" s="27">
        <v>300</v>
      </c>
      <c r="E219" s="1">
        <v>45</v>
      </c>
      <c r="F219" s="1">
        <v>0</v>
      </c>
      <c r="G219" s="6">
        <v>2</v>
      </c>
      <c r="H219" s="1">
        <f>SUM(C219:G219)</f>
        <v>347</v>
      </c>
      <c r="I219" s="10">
        <f>D219/H219</f>
        <v>0.86455331412103742</v>
      </c>
      <c r="J219" s="11">
        <f>1-I219</f>
        <v>0.13544668587896258</v>
      </c>
      <c r="K219">
        <f>H219-D223</f>
        <v>-257</v>
      </c>
      <c r="N219" s="10">
        <f>2*(D224*I219)/(D224+I219)</f>
        <v>0.63091482649842268</v>
      </c>
      <c r="O219" s="1"/>
      <c r="P219" s="1"/>
      <c r="R219" t="s">
        <v>371</v>
      </c>
      <c r="S219" t="s">
        <v>28</v>
      </c>
      <c r="T219" s="57">
        <f>AVERAGE(T16,T26,T36,T46,T56,T66,T76,T86,T96,T106,T116,T126,T136,T146,T156,T166,T176,T186,T196,T206)</f>
        <v>1.6951087694622575</v>
      </c>
      <c r="U219" s="57">
        <f>AVERAGE(U16,U26,U36,U46,U56,U66,U76,U86,U96,U106,U116,U126,U136,U146,U156,U166,U176,U186,U196,U206)</f>
        <v>7.0184411990884996</v>
      </c>
      <c r="V219" s="57">
        <f>AVERAGE(V16,V26,V36,V46,V56,V66,V76,V86,V96,V106,V116,V126,V136,V146,V156,V166,V176,V186,V196,V206)</f>
        <v>61.81588101171927</v>
      </c>
      <c r="W219" s="57">
        <f>AVERAGE(W16,W26,W36,W46,W56,W66,W76,W86,W96,W106,W116,W126,W136,W146,W156,W166,W176,W186,W196,W206)</f>
        <v>20.220594592200502</v>
      </c>
      <c r="X219" s="57">
        <f>AVERAGE(X16,X26,X36,X46,X56,X66,X76,X86,X96,X106,X116,X126,X136,X146,X156,X166,X176,X186,X196,X206)</f>
        <v>9.2499744275294429</v>
      </c>
      <c r="AJ219" t="s">
        <v>416</v>
      </c>
      <c r="AK219">
        <v>3</v>
      </c>
      <c r="AL219" s="1">
        <v>0.11</v>
      </c>
      <c r="AM219" s="1">
        <v>64.11</v>
      </c>
      <c r="AN219" s="1">
        <v>1400.26</v>
      </c>
      <c r="AO219" s="1">
        <v>308.68</v>
      </c>
      <c r="AP219" s="1">
        <v>80.17</v>
      </c>
      <c r="AR219" s="1">
        <v>192.45</v>
      </c>
      <c r="AS219" s="1">
        <v>1724.15</v>
      </c>
      <c r="AT219" s="1">
        <v>17018.080000000002</v>
      </c>
      <c r="AU219" s="1">
        <v>2049.7800000000002</v>
      </c>
      <c r="AV219" s="1">
        <v>1091.72</v>
      </c>
    </row>
    <row r="220" spans="1:48" x14ac:dyDescent="0.3">
      <c r="A220" t="s">
        <v>5</v>
      </c>
      <c r="B220" s="13">
        <v>2</v>
      </c>
      <c r="C220" s="5">
        <v>0</v>
      </c>
      <c r="D220" s="1">
        <v>296</v>
      </c>
      <c r="E220" s="27">
        <v>7013</v>
      </c>
      <c r="F220" s="1">
        <v>13</v>
      </c>
      <c r="G220" s="6">
        <v>28</v>
      </c>
      <c r="H220" s="1">
        <f>SUM(C220:G220)</f>
        <v>7350</v>
      </c>
      <c r="I220" s="10">
        <f>E220/H220</f>
        <v>0.95414965986394562</v>
      </c>
      <c r="J220" s="11">
        <f>1-I220</f>
        <v>4.5850340136054379E-2</v>
      </c>
      <c r="K220">
        <f>H220-E223</f>
        <v>172</v>
      </c>
      <c r="N220" s="10">
        <f>2*(E224*I220)/(E224+I220)</f>
        <v>0.96544603524229078</v>
      </c>
      <c r="O220" s="1"/>
      <c r="P220" s="1"/>
      <c r="S220" s="66" t="s">
        <v>39</v>
      </c>
      <c r="T220" s="67">
        <f t="shared" ref="T220:X228" si="36">AVERAGE(T17,T27,T37,T47,T57,T67,T77,T87,T97,T107,T117,T127,T137,T147,T157,T167,T177,T187,T197,T207)</f>
        <v>0</v>
      </c>
      <c r="U220" s="67">
        <f t="shared" si="36"/>
        <v>0.17191609474292271</v>
      </c>
      <c r="V220" s="67">
        <f t="shared" si="36"/>
        <v>0.19519352470224346</v>
      </c>
      <c r="W220" s="67">
        <f t="shared" si="36"/>
        <v>0.15518440590325852</v>
      </c>
      <c r="X220" s="67">
        <f t="shared" si="36"/>
        <v>0.13782249667028368</v>
      </c>
      <c r="AC220" t="s">
        <v>123</v>
      </c>
      <c r="AD220" t="s">
        <v>162</v>
      </c>
      <c r="AE220" t="s">
        <v>124</v>
      </c>
      <c r="AJ220" t="s">
        <v>416</v>
      </c>
      <c r="AK220">
        <v>4</v>
      </c>
      <c r="AL220" s="1">
        <v>0.23</v>
      </c>
      <c r="AM220" s="1">
        <v>63.27</v>
      </c>
      <c r="AN220" s="1">
        <v>1401.44</v>
      </c>
      <c r="AO220" s="1">
        <v>307.39999999999998</v>
      </c>
      <c r="AP220" s="1">
        <v>80.989999999999995</v>
      </c>
      <c r="AR220" s="1">
        <v>195.64</v>
      </c>
      <c r="AS220" s="1">
        <v>1720.08</v>
      </c>
      <c r="AT220" s="1">
        <v>17017.66</v>
      </c>
      <c r="AU220" s="1">
        <v>2027.45</v>
      </c>
      <c r="AV220" s="1">
        <v>1115.3399999999999</v>
      </c>
    </row>
    <row r="221" spans="1:48" x14ac:dyDescent="0.3">
      <c r="A221" t="s">
        <v>6</v>
      </c>
      <c r="B221" s="13">
        <v>3</v>
      </c>
      <c r="C221" s="5">
        <v>0</v>
      </c>
      <c r="D221" s="1">
        <v>8</v>
      </c>
      <c r="E221" s="1">
        <v>117</v>
      </c>
      <c r="F221" s="27">
        <v>2405</v>
      </c>
      <c r="G221" s="6">
        <v>108</v>
      </c>
      <c r="H221" s="1">
        <f>SUM(C221:G221)</f>
        <v>2638</v>
      </c>
      <c r="I221" s="10">
        <f>F221/H221</f>
        <v>0.91167551175132677</v>
      </c>
      <c r="J221" s="11">
        <f>1-I221</f>
        <v>8.8324488248673227E-2</v>
      </c>
      <c r="K221">
        <f>H221-F223</f>
        <v>85</v>
      </c>
      <c r="N221" s="10">
        <f>2*(F224*I221)/(F224+I221)</f>
        <v>0.92660373723752654</v>
      </c>
      <c r="O221" s="1"/>
      <c r="P221" s="1"/>
      <c r="S221" t="s">
        <v>30</v>
      </c>
      <c r="T221" s="57">
        <f t="shared" si="36"/>
        <v>100</v>
      </c>
      <c r="U221" s="57">
        <f t="shared" si="36"/>
        <v>63.975221534911952</v>
      </c>
      <c r="V221" s="57">
        <f t="shared" si="36"/>
        <v>97.499948506714802</v>
      </c>
      <c r="W221" s="57">
        <f t="shared" si="36"/>
        <v>93.146761046289797</v>
      </c>
      <c r="X221" s="57">
        <f t="shared" si="36"/>
        <v>88.582907400442835</v>
      </c>
      <c r="AB221">
        <v>0</v>
      </c>
      <c r="AC221">
        <v>31</v>
      </c>
      <c r="AD221">
        <v>26</v>
      </c>
      <c r="AE221">
        <v>15</v>
      </c>
      <c r="AJ221" t="s">
        <v>416</v>
      </c>
      <c r="AK221">
        <v>5</v>
      </c>
      <c r="AL221" s="1">
        <v>0.23</v>
      </c>
      <c r="AM221" s="1">
        <v>62.38</v>
      </c>
      <c r="AN221" s="1">
        <v>1400.99</v>
      </c>
      <c r="AO221" s="1">
        <v>310.75</v>
      </c>
      <c r="AP221" s="1">
        <v>78.989999999999995</v>
      </c>
      <c r="AR221" s="1">
        <v>194.18</v>
      </c>
      <c r="AS221" s="1">
        <v>1719.72</v>
      </c>
      <c r="AT221" s="1">
        <v>17011.400000000001</v>
      </c>
      <c r="AU221" s="1">
        <v>2043.53</v>
      </c>
      <c r="AV221" s="1">
        <v>1107.3499999999999</v>
      </c>
    </row>
    <row r="222" spans="1:48" x14ac:dyDescent="0.3">
      <c r="A222" t="s">
        <v>7</v>
      </c>
      <c r="B222" s="13">
        <v>4</v>
      </c>
      <c r="C222" s="7">
        <v>0</v>
      </c>
      <c r="D222" s="8">
        <v>0</v>
      </c>
      <c r="E222" s="8">
        <v>3</v>
      </c>
      <c r="F222" s="8">
        <v>135</v>
      </c>
      <c r="G222" s="28">
        <v>852</v>
      </c>
      <c r="H222" s="1">
        <f>SUM(C222:G222)</f>
        <v>990</v>
      </c>
      <c r="I222" s="10">
        <f>G222/H222</f>
        <v>0.8606060606060606</v>
      </c>
      <c r="J222" s="11">
        <f>1-I222</f>
        <v>0.1393939393939394</v>
      </c>
      <c r="K222">
        <f>H222-G223</f>
        <v>0</v>
      </c>
      <c r="N222" s="10">
        <f>2*(G224*I222)/(G224+I222)</f>
        <v>0.86060606060606049</v>
      </c>
      <c r="O222" s="1"/>
      <c r="P222" s="1"/>
      <c r="S222" s="66" t="s">
        <v>39</v>
      </c>
      <c r="T222" s="67">
        <f t="shared" si="36"/>
        <v>0</v>
      </c>
      <c r="U222" s="67">
        <f t="shared" si="36"/>
        <v>4.9843743076532743</v>
      </c>
      <c r="V222" s="67">
        <f t="shared" si="36"/>
        <v>0.20390884737421994</v>
      </c>
      <c r="W222" s="67">
        <f t="shared" si="36"/>
        <v>0.62388187698607478</v>
      </c>
      <c r="X222" s="67">
        <f t="shared" si="36"/>
        <v>1.5464924350273261</v>
      </c>
      <c r="AB222">
        <v>1</v>
      </c>
      <c r="AC222">
        <v>60</v>
      </c>
      <c r="AD222">
        <v>55</v>
      </c>
      <c r="AE222">
        <v>44</v>
      </c>
      <c r="AJ222" t="s">
        <v>416</v>
      </c>
      <c r="AK222">
        <v>6</v>
      </c>
      <c r="AL222" s="1">
        <v>0.4</v>
      </c>
      <c r="AM222" s="1">
        <v>69.16</v>
      </c>
      <c r="AN222" s="1">
        <v>1396.76</v>
      </c>
      <c r="AO222" s="1">
        <v>307.45999999999998</v>
      </c>
      <c r="AP222" s="1">
        <v>79.56</v>
      </c>
      <c r="AR222" s="1">
        <v>195.99</v>
      </c>
      <c r="AS222" s="1">
        <v>1860.69</v>
      </c>
      <c r="AT222" s="1">
        <v>16905.45</v>
      </c>
      <c r="AU222" s="1">
        <v>2028.56</v>
      </c>
      <c r="AV222" s="1">
        <v>1085.48</v>
      </c>
    </row>
    <row r="223" spans="1:48" ht="15.6" x14ac:dyDescent="0.35">
      <c r="B223" s="1" t="s">
        <v>19</v>
      </c>
      <c r="C223" s="1">
        <f>SUM(C218:C222)</f>
        <v>259</v>
      </c>
      <c r="D223" s="1">
        <f>SUM(D218:D222)</f>
        <v>604</v>
      </c>
      <c r="E223" s="1">
        <f>SUM(E218:E222)</f>
        <v>7178</v>
      </c>
      <c r="F223" s="1">
        <f>SUM(F218:F222)</f>
        <v>2553</v>
      </c>
      <c r="G223" s="1">
        <f>SUM(G218:G222)</f>
        <v>990</v>
      </c>
      <c r="H223" s="1">
        <f>SUM(H217:H222)</f>
        <v>11584</v>
      </c>
      <c r="I223" s="13" t="s">
        <v>12</v>
      </c>
      <c r="N223" s="16"/>
      <c r="O223" s="1"/>
      <c r="P223" s="1"/>
      <c r="S223" s="15" t="s">
        <v>31</v>
      </c>
      <c r="T223" s="71">
        <f t="shared" si="36"/>
        <v>100</v>
      </c>
      <c r="U223" s="71">
        <f t="shared" si="36"/>
        <v>86.902017291066301</v>
      </c>
      <c r="V223" s="71">
        <f t="shared" si="36"/>
        <v>95.567346938775529</v>
      </c>
      <c r="W223" s="71">
        <f t="shared" si="36"/>
        <v>91.46322971948446</v>
      </c>
      <c r="X223" s="71">
        <f t="shared" si="36"/>
        <v>86.419191919191931</v>
      </c>
      <c r="AB223">
        <v>2</v>
      </c>
      <c r="AC223">
        <v>89</v>
      </c>
      <c r="AD223">
        <v>84</v>
      </c>
      <c r="AE223">
        <v>73</v>
      </c>
      <c r="AJ223" t="s">
        <v>416</v>
      </c>
      <c r="AK223">
        <v>7</v>
      </c>
      <c r="AL223" s="1">
        <v>0.13</v>
      </c>
      <c r="AM223" s="1">
        <v>75.09</v>
      </c>
      <c r="AN223" s="1">
        <v>1390.95</v>
      </c>
      <c r="AO223" s="1">
        <v>308.95</v>
      </c>
      <c r="AP223" s="1">
        <v>78.22</v>
      </c>
      <c r="AR223" s="1">
        <v>193.27</v>
      </c>
      <c r="AS223" s="1">
        <v>1847.32</v>
      </c>
      <c r="AT223" s="1">
        <v>16885.52</v>
      </c>
      <c r="AU223" s="1">
        <v>2055.25</v>
      </c>
      <c r="AV223" s="1">
        <v>1094.82</v>
      </c>
    </row>
    <row r="224" spans="1:48" x14ac:dyDescent="0.3">
      <c r="A224" s="1" t="s">
        <v>321</v>
      </c>
      <c r="B224" s="1" t="s">
        <v>2</v>
      </c>
      <c r="C224" s="10">
        <f>C218/C223</f>
        <v>1</v>
      </c>
      <c r="D224" s="10">
        <f>D219/D223</f>
        <v>0.49668874172185429</v>
      </c>
      <c r="E224" s="10">
        <f>E220/E223</f>
        <v>0.97701309556979665</v>
      </c>
      <c r="F224" s="10">
        <f>F221/F223</f>
        <v>0.94202898550724634</v>
      </c>
      <c r="G224" s="10">
        <f>G222/G223</f>
        <v>0.8606060606060606</v>
      </c>
      <c r="H224" s="10"/>
      <c r="I224" s="14">
        <f>(C218+D219+E220+F221+G222)/H223</f>
        <v>0.93482389502762431</v>
      </c>
      <c r="S224" s="75" t="s">
        <v>39</v>
      </c>
      <c r="T224" s="76">
        <f t="shared" si="36"/>
        <v>0</v>
      </c>
      <c r="U224" s="76">
        <f t="shared" si="36"/>
        <v>1.812027177244057</v>
      </c>
      <c r="V224" s="76">
        <f t="shared" si="36"/>
        <v>0.2400578352441976</v>
      </c>
      <c r="W224" s="76">
        <f t="shared" si="36"/>
        <v>0.54403373290335366</v>
      </c>
      <c r="X224" s="76">
        <f t="shared" si="36"/>
        <v>1.0887239783985763</v>
      </c>
      <c r="AB224">
        <v>3</v>
      </c>
      <c r="AC224">
        <v>118</v>
      </c>
      <c r="AD224">
        <v>113</v>
      </c>
      <c r="AE224">
        <v>102</v>
      </c>
      <c r="AJ224" t="s">
        <v>416</v>
      </c>
      <c r="AK224">
        <v>8</v>
      </c>
      <c r="AL224" s="1">
        <v>0.2</v>
      </c>
      <c r="AM224" s="1">
        <v>68.87</v>
      </c>
      <c r="AN224" s="1">
        <v>1396.02</v>
      </c>
      <c r="AO224" s="1">
        <v>309.79000000000002</v>
      </c>
      <c r="AP224" s="1">
        <v>78.459999999999994</v>
      </c>
      <c r="AR224" s="1">
        <v>195.46</v>
      </c>
      <c r="AS224" s="1">
        <v>1813.12</v>
      </c>
      <c r="AT224" s="1">
        <v>16928.400000000001</v>
      </c>
      <c r="AU224" s="1">
        <v>2063.89</v>
      </c>
      <c r="AV224" s="1">
        <v>1075.3</v>
      </c>
    </row>
    <row r="225" spans="1:48" x14ac:dyDescent="0.3">
      <c r="B225" s="1" t="s">
        <v>14</v>
      </c>
      <c r="C225" s="11">
        <f>1-C224</f>
        <v>0</v>
      </c>
      <c r="D225" s="11">
        <f>1-D224</f>
        <v>0.50331125827814571</v>
      </c>
      <c r="E225" s="11">
        <f>1-E224</f>
        <v>2.2986904430203348E-2</v>
      </c>
      <c r="F225" s="11">
        <f>1-F224</f>
        <v>5.7971014492753659E-2</v>
      </c>
      <c r="G225" s="11">
        <f>1-G224</f>
        <v>0.1393939393939394</v>
      </c>
      <c r="S225" s="66" t="s">
        <v>56</v>
      </c>
      <c r="T225" s="67">
        <f t="shared" si="36"/>
        <v>100</v>
      </c>
      <c r="U225" s="67">
        <f t="shared" si="36"/>
        <v>63.895231136601524</v>
      </c>
      <c r="V225" s="67">
        <f t="shared" si="36"/>
        <v>96.670480599317187</v>
      </c>
      <c r="W225" s="67">
        <f t="shared" si="36"/>
        <v>92.850900051884054</v>
      </c>
      <c r="X225" s="67">
        <f t="shared" si="36"/>
        <v>86.565041039456588</v>
      </c>
      <c r="AB225">
        <v>4</v>
      </c>
      <c r="AC225">
        <v>147</v>
      </c>
      <c r="AD225">
        <v>142</v>
      </c>
      <c r="AE225">
        <v>131</v>
      </c>
      <c r="AJ225" t="s">
        <v>416</v>
      </c>
      <c r="AK225">
        <v>9</v>
      </c>
      <c r="AL225" s="1">
        <v>0.23</v>
      </c>
      <c r="AM225" s="1">
        <v>77.78</v>
      </c>
      <c r="AN225" s="1">
        <v>1385.97</v>
      </c>
      <c r="AO225" s="1">
        <v>308</v>
      </c>
      <c r="AP225" s="1">
        <v>81.36</v>
      </c>
      <c r="AR225" s="1">
        <v>194.32</v>
      </c>
      <c r="AS225" s="1">
        <v>1847.27</v>
      </c>
      <c r="AT225" s="1">
        <v>16875.11</v>
      </c>
      <c r="AU225" s="1">
        <v>2033.52</v>
      </c>
      <c r="AV225" s="1">
        <v>1125.96</v>
      </c>
    </row>
    <row r="226" spans="1:48" x14ac:dyDescent="0.3">
      <c r="C226" s="2"/>
      <c r="R226" s="16" t="s">
        <v>66</v>
      </c>
      <c r="S226" t="s">
        <v>9</v>
      </c>
      <c r="T226" s="1">
        <f t="shared" si="36"/>
        <v>3357.8015000000005</v>
      </c>
      <c r="U226" s="1">
        <f t="shared" si="36"/>
        <v>10233.491500000002</v>
      </c>
      <c r="V226" s="1">
        <f t="shared" si="36"/>
        <v>124925.49850000002</v>
      </c>
      <c r="W226" s="1">
        <f t="shared" si="36"/>
        <v>40790.301999999996</v>
      </c>
      <c r="X226" s="1">
        <f t="shared" si="36"/>
        <v>18780.578500000003</v>
      </c>
      <c r="AB226">
        <v>5</v>
      </c>
      <c r="AC226">
        <v>176</v>
      </c>
      <c r="AD226">
        <v>171</v>
      </c>
      <c r="AE226">
        <v>160</v>
      </c>
      <c r="AJ226" t="s">
        <v>416</v>
      </c>
      <c r="AK226">
        <v>10</v>
      </c>
      <c r="AL226" s="1">
        <v>0.28999999999999998</v>
      </c>
      <c r="AM226" s="1">
        <v>63.73</v>
      </c>
      <c r="AN226" s="1">
        <v>1394</v>
      </c>
      <c r="AO226" s="1">
        <v>314.95</v>
      </c>
      <c r="AP226" s="1">
        <v>80.36</v>
      </c>
      <c r="AR226" s="1">
        <v>193.63</v>
      </c>
      <c r="AS226" s="1">
        <v>1794.68</v>
      </c>
      <c r="AT226" s="1">
        <v>16869.61</v>
      </c>
      <c r="AU226" s="1">
        <v>2120.31</v>
      </c>
      <c r="AV226" s="1">
        <v>1097.95</v>
      </c>
    </row>
    <row r="227" spans="1:48" ht="15.6" x14ac:dyDescent="0.35">
      <c r="A227" t="s">
        <v>322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323</v>
      </c>
      <c r="S227" t="s">
        <v>68</v>
      </c>
      <c r="T227" s="57">
        <f>AVERAGE(T24,T34,T44,T54,T64,T74,T84,T94,T104,T114,T124,T134,T144,T154,T164,T174,T184,T194,T204,T214)</f>
        <v>3357.8015000000005</v>
      </c>
      <c r="U227" s="57">
        <f t="shared" si="36"/>
        <v>13902.666784877214</v>
      </c>
      <c r="V227" s="57">
        <f t="shared" si="36"/>
        <v>122449.63962041093</v>
      </c>
      <c r="W227" s="57">
        <f t="shared" si="36"/>
        <v>40054.505095235785</v>
      </c>
      <c r="X227" s="57">
        <f t="shared" si="36"/>
        <v>18323.058999476078</v>
      </c>
      <c r="AB227">
        <v>6</v>
      </c>
      <c r="AC227">
        <v>205</v>
      </c>
      <c r="AD227">
        <v>200</v>
      </c>
      <c r="AE227">
        <v>189</v>
      </c>
      <c r="AJ227" t="s">
        <v>416</v>
      </c>
      <c r="AK227">
        <v>11</v>
      </c>
      <c r="AL227" s="1">
        <v>0.16</v>
      </c>
      <c r="AM227" s="1">
        <v>67.349999999999994</v>
      </c>
      <c r="AN227" s="1">
        <v>1398.86</v>
      </c>
      <c r="AO227" s="1">
        <v>307.27999999999997</v>
      </c>
      <c r="AP227" s="1">
        <v>79.69</v>
      </c>
      <c r="AR227" s="1">
        <v>193.19</v>
      </c>
      <c r="AS227" s="1">
        <v>1788.29</v>
      </c>
      <c r="AT227" s="1">
        <v>16955.34</v>
      </c>
      <c r="AU227" s="1">
        <v>2039.87</v>
      </c>
      <c r="AV227" s="1">
        <v>1099.49</v>
      </c>
    </row>
    <row r="228" spans="1:48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67</v>
      </c>
      <c r="T228" s="67">
        <f>AVERAGE(T25,T35,T45,T55,T65,T75,T85,T95,T105,T115,T125,T135,T145,T155,T165,T175,T185,T195,T205,T215)</f>
        <v>0</v>
      </c>
      <c r="U228" s="67">
        <f t="shared" si="36"/>
        <v>340.54458989868584</v>
      </c>
      <c r="V228" s="67">
        <f t="shared" si="36"/>
        <v>386.65430900256945</v>
      </c>
      <c r="W228" s="67">
        <f t="shared" si="36"/>
        <v>307.4011769050619</v>
      </c>
      <c r="X228" s="67">
        <f t="shared" si="36"/>
        <v>273.00937505577861</v>
      </c>
      <c r="AB228">
        <v>7</v>
      </c>
      <c r="AC228">
        <v>234</v>
      </c>
      <c r="AD228">
        <v>229</v>
      </c>
      <c r="AE228">
        <v>218</v>
      </c>
      <c r="AJ228" t="s">
        <v>416</v>
      </c>
      <c r="AK228">
        <v>12</v>
      </c>
      <c r="AL228" s="1">
        <v>0.28999999999999998</v>
      </c>
      <c r="AM228" s="1">
        <v>67</v>
      </c>
      <c r="AN228" s="1">
        <v>1393.8</v>
      </c>
      <c r="AO228" s="1">
        <v>312.27999999999997</v>
      </c>
      <c r="AP228" s="1">
        <v>79.97</v>
      </c>
      <c r="AR228" s="1">
        <v>194.57</v>
      </c>
      <c r="AS228" s="1">
        <v>1835.36</v>
      </c>
      <c r="AT228" s="1">
        <v>16875.73</v>
      </c>
      <c r="AU228" s="1">
        <v>2049.21</v>
      </c>
      <c r="AV228" s="1">
        <v>1121.3</v>
      </c>
    </row>
    <row r="229" spans="1:48" x14ac:dyDescent="0.3">
      <c r="A229" t="s">
        <v>3</v>
      </c>
      <c r="B229" s="13">
        <v>0</v>
      </c>
      <c r="C229" s="29">
        <f>(C218/$L229)*$O229</f>
        <v>1.6660553211643769</v>
      </c>
      <c r="D229" s="31">
        <f>(D218/$L229)*$O229</f>
        <v>0</v>
      </c>
      <c r="E229" s="31">
        <f>(E218/$L229)*$O229</f>
        <v>0</v>
      </c>
      <c r="F229" s="31">
        <f>(F218/$L229)*$O229</f>
        <v>0</v>
      </c>
      <c r="G229" s="32">
        <f>(G218/$L229)*$O229</f>
        <v>0</v>
      </c>
      <c r="H229" s="17">
        <f>SUM(C229:G229)</f>
        <v>1.6660553211643769</v>
      </c>
      <c r="I229" s="17">
        <f>C229/H229*100</f>
        <v>100</v>
      </c>
      <c r="J229" s="17">
        <f>SQRT(I229*(100-I229)/(L229-1))</f>
        <v>0</v>
      </c>
      <c r="K229" s="18">
        <f>100-I229</f>
        <v>0</v>
      </c>
      <c r="L229" s="1">
        <f>H218</f>
        <v>259</v>
      </c>
      <c r="M229">
        <v>0</v>
      </c>
      <c r="N229" s="1">
        <v>3300.25</v>
      </c>
      <c r="O229" s="17">
        <f>N229/N234*100</f>
        <v>1.6660553211643769</v>
      </c>
      <c r="P229" s="52">
        <f>((O229*O229*(I229/100)*(K229/100))/(L229-1))</f>
        <v>0</v>
      </c>
      <c r="AB229">
        <v>8</v>
      </c>
      <c r="AC229">
        <v>263</v>
      </c>
      <c r="AD229">
        <v>258</v>
      </c>
      <c r="AE229">
        <v>247</v>
      </c>
      <c r="AJ229" t="s">
        <v>416</v>
      </c>
      <c r="AK229">
        <v>13</v>
      </c>
      <c r="AL229" s="1">
        <v>0.25</v>
      </c>
      <c r="AM229" s="1">
        <v>63.59</v>
      </c>
      <c r="AN229" s="1">
        <v>1400.86</v>
      </c>
      <c r="AO229" s="1">
        <v>305.5</v>
      </c>
      <c r="AP229" s="1">
        <v>83.14</v>
      </c>
      <c r="AR229" s="1">
        <v>196.83</v>
      </c>
      <c r="AS229" s="1">
        <v>1800.14</v>
      </c>
      <c r="AT229" s="1">
        <v>16936.37</v>
      </c>
      <c r="AU229" s="1">
        <v>2012.15</v>
      </c>
      <c r="AV229" s="1">
        <v>1130.69</v>
      </c>
    </row>
    <row r="230" spans="1:48" x14ac:dyDescent="0.3">
      <c r="A230" t="s">
        <v>4</v>
      </c>
      <c r="B230" s="13">
        <v>1</v>
      </c>
      <c r="C230" s="33">
        <f t="shared" ref="C230:G233" si="37">(C219/$L230)*$O230</f>
        <v>0</v>
      </c>
      <c r="D230" s="34">
        <f t="shared" si="37"/>
        <v>4.5854513383035309</v>
      </c>
      <c r="E230" s="19">
        <f t="shared" si="37"/>
        <v>0.68781770074552961</v>
      </c>
      <c r="F230" s="18">
        <f t="shared" si="37"/>
        <v>0</v>
      </c>
      <c r="G230" s="20">
        <f t="shared" si="37"/>
        <v>3.0569675588690202E-2</v>
      </c>
      <c r="H230" s="17">
        <f>SUM(C230:G230)</f>
        <v>5.3038387146377515</v>
      </c>
      <c r="I230" s="17">
        <f>D230/H230*100</f>
        <v>86.455331412103732</v>
      </c>
      <c r="J230" s="17">
        <f>SQRT(I230*(100-I230)/(L230-1))</f>
        <v>1.8396789205546678</v>
      </c>
      <c r="K230" s="18">
        <f>100-I230</f>
        <v>13.544668587896268</v>
      </c>
      <c r="L230" s="1">
        <f>H219</f>
        <v>347</v>
      </c>
      <c r="M230">
        <v>1</v>
      </c>
      <c r="N230" s="1">
        <v>10506.25</v>
      </c>
      <c r="O230" s="17">
        <f>N230/N234*100</f>
        <v>5.3038387146377506</v>
      </c>
      <c r="P230" s="52">
        <f>((O230*O230*(I230/100)*(K230/100))/(L230-1))</f>
        <v>9.5206079659887668E-3</v>
      </c>
      <c r="S230" t="s">
        <v>69</v>
      </c>
      <c r="T230" s="1" t="s">
        <v>418</v>
      </c>
      <c r="U230" s="1" t="s">
        <v>419</v>
      </c>
      <c r="V230" s="1" t="s">
        <v>420</v>
      </c>
      <c r="W230" s="1" t="s">
        <v>421</v>
      </c>
      <c r="X230" s="1" t="s">
        <v>422</v>
      </c>
      <c r="AB230">
        <v>9</v>
      </c>
      <c r="AC230">
        <v>292</v>
      </c>
      <c r="AD230">
        <v>287</v>
      </c>
      <c r="AE230">
        <v>276</v>
      </c>
      <c r="AJ230" t="s">
        <v>416</v>
      </c>
      <c r="AK230">
        <v>14</v>
      </c>
      <c r="AL230" s="1">
        <v>0.23</v>
      </c>
      <c r="AM230" s="1">
        <v>70.36</v>
      </c>
      <c r="AN230" s="1">
        <v>1390.4</v>
      </c>
      <c r="AO230" s="1">
        <v>312.61</v>
      </c>
      <c r="AP230" s="1">
        <v>79.73</v>
      </c>
      <c r="AR230" s="1">
        <v>196.93</v>
      </c>
      <c r="AS230" s="1">
        <v>1797.09</v>
      </c>
      <c r="AT230" s="1">
        <v>16914.93</v>
      </c>
      <c r="AU230" s="1">
        <v>2059.29</v>
      </c>
      <c r="AV230" s="1">
        <v>1107.93</v>
      </c>
    </row>
    <row r="231" spans="1:48" x14ac:dyDescent="0.3">
      <c r="A231" t="s">
        <v>5</v>
      </c>
      <c r="B231" s="13">
        <v>2</v>
      </c>
      <c r="C231" s="33">
        <f t="shared" si="37"/>
        <v>0</v>
      </c>
      <c r="D231" s="19">
        <f t="shared" si="37"/>
        <v>2.5360851493178096</v>
      </c>
      <c r="E231" s="34">
        <f t="shared" si="37"/>
        <v>60.08636875731689</v>
      </c>
      <c r="F231" s="19">
        <f t="shared" si="37"/>
        <v>0.11138211804436327</v>
      </c>
      <c r="G231" s="20">
        <f t="shared" si="37"/>
        <v>0.2398999465570901</v>
      </c>
      <c r="H231" s="17">
        <f>SUM(C231:G231)</f>
        <v>62.973735971236152</v>
      </c>
      <c r="I231" s="17">
        <f>E231/H231*100</f>
        <v>95.414965986394563</v>
      </c>
      <c r="J231" s="17">
        <f>SQRT(I231*(100-I231)/(L231-1))</f>
        <v>0.24398628091238156</v>
      </c>
      <c r="K231" s="18">
        <f>100-I231</f>
        <v>4.5850340136054371</v>
      </c>
      <c r="L231" s="1">
        <f>H220</f>
        <v>7350</v>
      </c>
      <c r="M231">
        <v>2</v>
      </c>
      <c r="N231" s="1">
        <v>124743.2</v>
      </c>
      <c r="O231" s="17">
        <f>N231/N234*100</f>
        <v>62.973735971236152</v>
      </c>
      <c r="P231" s="52">
        <f>((O231*O231*(I231/100)*(K231/100))/(L231-1))</f>
        <v>2.3607485529097749E-2</v>
      </c>
      <c r="T231" s="57">
        <f>T24</f>
        <v>3274.7500000000005</v>
      </c>
      <c r="U231" s="57">
        <f>U24</f>
        <v>13930.405713591199</v>
      </c>
      <c r="V231" s="57">
        <f>V24</f>
        <v>122415.92055069427</v>
      </c>
      <c r="W231" s="57">
        <f>W24</f>
        <v>39952.486539528494</v>
      </c>
      <c r="X231" s="57">
        <f>X24</f>
        <v>18514.107196186076</v>
      </c>
      <c r="AB231">
        <v>10</v>
      </c>
      <c r="AC231">
        <v>321</v>
      </c>
      <c r="AD231">
        <v>316</v>
      </c>
      <c r="AE231">
        <v>305</v>
      </c>
      <c r="AJ231" t="s">
        <v>416</v>
      </c>
      <c r="AK231">
        <v>15</v>
      </c>
      <c r="AL231" s="1">
        <v>0.24</v>
      </c>
      <c r="AM231" s="1">
        <v>68.930000000000007</v>
      </c>
      <c r="AN231" s="1">
        <v>1395.85</v>
      </c>
      <c r="AO231" s="1">
        <v>311.31</v>
      </c>
      <c r="AP231" s="1">
        <v>77</v>
      </c>
      <c r="AR231" s="1">
        <v>197.03</v>
      </c>
      <c r="AS231" s="1">
        <v>1855.68</v>
      </c>
      <c r="AT231" s="1">
        <v>16886.61</v>
      </c>
      <c r="AU231" s="1">
        <v>2067.83</v>
      </c>
      <c r="AV231" s="1">
        <v>1069.03</v>
      </c>
    </row>
    <row r="232" spans="1:48" x14ac:dyDescent="0.3">
      <c r="A232" t="s">
        <v>6</v>
      </c>
      <c r="B232" s="13">
        <v>3</v>
      </c>
      <c r="C232" s="33">
        <f t="shared" si="37"/>
        <v>0</v>
      </c>
      <c r="D232" s="19">
        <f t="shared" si="37"/>
        <v>6.223883920740899E-2</v>
      </c>
      <c r="E232" s="19">
        <f t="shared" si="37"/>
        <v>0.9102430234083565</v>
      </c>
      <c r="F232" s="34">
        <f t="shared" si="37"/>
        <v>18.710551036727328</v>
      </c>
      <c r="G232" s="20">
        <f t="shared" si="37"/>
        <v>0.84022432930002133</v>
      </c>
      <c r="H232" s="17">
        <f>SUM(C232:G232)</f>
        <v>20.523257228643114</v>
      </c>
      <c r="I232" s="17">
        <f>F232/H232*100</f>
        <v>91.167551175132672</v>
      </c>
      <c r="J232" s="17">
        <f>SQRT(I232*(100-I232)/(L232-1))</f>
        <v>0.55259333793865084</v>
      </c>
      <c r="K232" s="18">
        <f>100-I232</f>
        <v>8.8324488248673276</v>
      </c>
      <c r="L232" s="1">
        <f>H221</f>
        <v>2638</v>
      </c>
      <c r="M232">
        <v>3</v>
      </c>
      <c r="N232" s="1">
        <v>40654.04</v>
      </c>
      <c r="O232" s="17">
        <f>N232/N234*100</f>
        <v>20.523257228643114</v>
      </c>
      <c r="P232" s="52">
        <f>((O232*O232*(I232/100)*(K232/100))/(L232-1))</f>
        <v>1.2861862616015164E-2</v>
      </c>
      <c r="T232" s="57">
        <f>T34</f>
        <v>3352.0900000000006</v>
      </c>
      <c r="U232" s="57">
        <f>U34</f>
        <v>14280.02307166416</v>
      </c>
      <c r="V232" s="57">
        <f>V34</f>
        <v>121900.11647486156</v>
      </c>
      <c r="W232" s="57">
        <f>W34</f>
        <v>39989.98995373361</v>
      </c>
      <c r="X232" s="57">
        <f>X34</f>
        <v>18565.460499740668</v>
      </c>
      <c r="AB232">
        <v>11</v>
      </c>
      <c r="AC232">
        <v>350</v>
      </c>
      <c r="AD232">
        <v>345</v>
      </c>
      <c r="AE232">
        <v>334</v>
      </c>
      <c r="AJ232" t="s">
        <v>416</v>
      </c>
      <c r="AK232">
        <v>16</v>
      </c>
      <c r="AL232" s="1">
        <v>0.17</v>
      </c>
      <c r="AM232" s="1">
        <v>65.88</v>
      </c>
      <c r="AN232" s="1">
        <v>1399.19</v>
      </c>
      <c r="AO232" s="1">
        <v>306.98</v>
      </c>
      <c r="AP232" s="1">
        <v>81.12</v>
      </c>
      <c r="AR232" s="1">
        <v>191.68</v>
      </c>
      <c r="AS232" s="1">
        <v>1717.22</v>
      </c>
      <c r="AT232" s="1">
        <v>17024.34</v>
      </c>
      <c r="AU232" s="1">
        <v>2046.16</v>
      </c>
      <c r="AV232" s="1">
        <v>1096.78</v>
      </c>
    </row>
    <row r="233" spans="1:48" x14ac:dyDescent="0.3">
      <c r="A233" t="s">
        <v>7</v>
      </c>
      <c r="B233" s="13">
        <v>4</v>
      </c>
      <c r="C233" s="35">
        <f t="shared" si="37"/>
        <v>0</v>
      </c>
      <c r="D233" s="36">
        <f t="shared" si="37"/>
        <v>0</v>
      </c>
      <c r="E233" s="21">
        <f t="shared" si="37"/>
        <v>2.8888220497935099E-2</v>
      </c>
      <c r="F233" s="21">
        <f t="shared" si="37"/>
        <v>1.2999699224070793</v>
      </c>
      <c r="G233" s="37">
        <f t="shared" si="37"/>
        <v>8.2042546214135683</v>
      </c>
      <c r="H233" s="17">
        <f>SUM(C233:G233)</f>
        <v>9.5331127643185827</v>
      </c>
      <c r="I233" s="17">
        <f>G233/H233*100</f>
        <v>86.060606060606062</v>
      </c>
      <c r="J233" s="17">
        <f>SQRT(I233*(100-I233)/(L233-1))</f>
        <v>1.1013516332959155</v>
      </c>
      <c r="K233" s="18">
        <f>100-I233</f>
        <v>13.939393939393938</v>
      </c>
      <c r="L233" s="1">
        <f>H222</f>
        <v>990</v>
      </c>
      <c r="M233">
        <v>4</v>
      </c>
      <c r="N233" s="1">
        <v>18883.919999999998</v>
      </c>
      <c r="O233" s="17">
        <f>N233/N234*100</f>
        <v>9.5331127643185827</v>
      </c>
      <c r="P233" s="52">
        <f>((O233*O233*(I233/100)*(K233/100))/(L233-1))</f>
        <v>1.1023549605795265E-2</v>
      </c>
      <c r="T233" s="57">
        <f>T44</f>
        <v>3414.62</v>
      </c>
      <c r="U233" s="57">
        <f>U44</f>
        <v>13323.001539384832</v>
      </c>
      <c r="V233" s="57">
        <f>V44</f>
        <v>122941.36137146763</v>
      </c>
      <c r="W233" s="57">
        <f>W44</f>
        <v>40610.630111313978</v>
      </c>
      <c r="X233" s="57">
        <f>X44</f>
        <v>17798.056977833559</v>
      </c>
      <c r="AB233">
        <v>12</v>
      </c>
      <c r="AC233">
        <v>379</v>
      </c>
      <c r="AD233">
        <v>374</v>
      </c>
      <c r="AE233">
        <v>363</v>
      </c>
      <c r="AJ233" t="s">
        <v>416</v>
      </c>
      <c r="AK233">
        <v>17</v>
      </c>
      <c r="AL233" s="1">
        <v>0.14000000000000001</v>
      </c>
      <c r="AM233" s="1">
        <v>59.6</v>
      </c>
      <c r="AN233" s="1">
        <v>1400.68</v>
      </c>
      <c r="AO233" s="1">
        <v>314.88</v>
      </c>
      <c r="AP233" s="1">
        <v>78.05</v>
      </c>
      <c r="AR233" s="1">
        <v>194.21</v>
      </c>
      <c r="AS233" s="1">
        <v>1733.32</v>
      </c>
      <c r="AT233" s="1">
        <v>16962.43</v>
      </c>
      <c r="AU233" s="1">
        <v>2113.7600000000002</v>
      </c>
      <c r="AV233" s="1">
        <v>1072.46</v>
      </c>
    </row>
    <row r="234" spans="1:48" x14ac:dyDescent="0.3">
      <c r="B234" t="s">
        <v>28</v>
      </c>
      <c r="C234" s="17">
        <f>SUM(C229:C233)</f>
        <v>1.6660553211643769</v>
      </c>
      <c r="D234" s="17">
        <f>SUM(D229:D233)</f>
        <v>7.1837753268287496</v>
      </c>
      <c r="E234" s="17">
        <f>SUM(E229:E233)</f>
        <v>61.713317701968705</v>
      </c>
      <c r="F234" s="17">
        <f>SUM(F229:F233)</f>
        <v>20.121903077178771</v>
      </c>
      <c r="G234" s="17">
        <f>SUM(G229:G233)</f>
        <v>9.3149485728593699</v>
      </c>
      <c r="H234" s="1">
        <f>SUM(H228:H233)</f>
        <v>99.999999999999986</v>
      </c>
      <c r="I234" s="13" t="s">
        <v>24</v>
      </c>
      <c r="J234" s="12" t="s">
        <v>29</v>
      </c>
      <c r="N234" s="1">
        <f>SUM(N229:N233)</f>
        <v>198087.66000000003</v>
      </c>
      <c r="O234" s="17">
        <f>SUM(O229:O233)</f>
        <v>99.999999999999986</v>
      </c>
      <c r="T234" s="57">
        <f>T54</f>
        <v>3254.2699999999995</v>
      </c>
      <c r="U234" s="57">
        <f>U54</f>
        <v>13387.231719831098</v>
      </c>
      <c r="V234" s="57">
        <f>V54</f>
        <v>122733.51931085488</v>
      </c>
      <c r="W234" s="57">
        <f>W54</f>
        <v>40045.714961838275</v>
      </c>
      <c r="X234" s="57">
        <f>X54</f>
        <v>18666.924007475736</v>
      </c>
      <c r="AB234">
        <v>13</v>
      </c>
      <c r="AC234">
        <v>408</v>
      </c>
      <c r="AD234">
        <v>403</v>
      </c>
      <c r="AE234">
        <v>392</v>
      </c>
      <c r="AJ234" t="s">
        <v>416</v>
      </c>
      <c r="AK234">
        <v>18</v>
      </c>
      <c r="AL234" s="1">
        <v>0.22</v>
      </c>
      <c r="AM234" s="1">
        <v>71.58</v>
      </c>
      <c r="AN234" s="1">
        <v>1388.54</v>
      </c>
      <c r="AO234" s="1">
        <v>314.45999999999998</v>
      </c>
      <c r="AP234" s="1">
        <v>78.53</v>
      </c>
      <c r="AR234" s="1">
        <v>194.26</v>
      </c>
      <c r="AS234" s="1">
        <v>1810.26</v>
      </c>
      <c r="AT234" s="1">
        <v>16915.560000000001</v>
      </c>
      <c r="AU234" s="1">
        <v>2087.92</v>
      </c>
      <c r="AV234" s="1">
        <v>1068.17</v>
      </c>
    </row>
    <row r="235" spans="1:48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0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0.17558376116090141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0.19949658402499415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0.15690937676444208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0.1406903588609108</v>
      </c>
      <c r="H235" s="1"/>
      <c r="I235" s="14">
        <f>(C229+D230+E231+F232+G233)/H234</f>
        <v>0.93252681074925703</v>
      </c>
      <c r="J235" s="53">
        <f>SQRT(SUM(P229:P233))/100</f>
        <v>2.3877501066254182E-3</v>
      </c>
      <c r="M235" s="1"/>
      <c r="N235" s="9"/>
      <c r="T235" s="57">
        <f>T64</f>
        <v>3363.8800000000006</v>
      </c>
      <c r="U235" s="57">
        <f>U64</f>
        <v>13590.9497682402</v>
      </c>
      <c r="V235" s="57">
        <f>V64</f>
        <v>122774.40134546427</v>
      </c>
      <c r="W235" s="57">
        <f>W64</f>
        <v>40194.523799404364</v>
      </c>
      <c r="X235" s="57">
        <f>X64</f>
        <v>18163.92508689118</v>
      </c>
      <c r="AB235">
        <v>14</v>
      </c>
      <c r="AC235">
        <v>437</v>
      </c>
      <c r="AD235">
        <v>432</v>
      </c>
      <c r="AE235">
        <v>421</v>
      </c>
      <c r="AJ235" t="s">
        <v>416</v>
      </c>
      <c r="AK235">
        <v>19</v>
      </c>
      <c r="AL235" s="1">
        <v>0.28999999999999998</v>
      </c>
      <c r="AM235" s="1">
        <v>59.37</v>
      </c>
      <c r="AN235" s="1">
        <v>1401.6</v>
      </c>
      <c r="AO235" s="1">
        <v>309.62</v>
      </c>
      <c r="AP235" s="1">
        <v>82.46</v>
      </c>
      <c r="AR235" s="1">
        <v>197.16</v>
      </c>
      <c r="AS235" s="1">
        <v>1705.13</v>
      </c>
      <c r="AT235" s="1">
        <v>16999.490000000002</v>
      </c>
      <c r="AU235" s="1">
        <v>2065.6999999999998</v>
      </c>
      <c r="AV235" s="1">
        <v>1108.69</v>
      </c>
    </row>
    <row r="236" spans="1:48" x14ac:dyDescent="0.3">
      <c r="B236" s="1" t="s">
        <v>30</v>
      </c>
      <c r="C236" s="17">
        <f>C229/C234*100</f>
        <v>100</v>
      </c>
      <c r="D236" s="17">
        <f>D230/D234*100</f>
        <v>63.830661869094961</v>
      </c>
      <c r="E236" s="17">
        <f>E231/E234*100</f>
        <v>97.363698784581928</v>
      </c>
      <c r="F236" s="17">
        <f>F232/F234*100</f>
        <v>92.985991260179929</v>
      </c>
      <c r="G236" s="17">
        <f>G233/G234*100</f>
        <v>88.076220252229945</v>
      </c>
      <c r="H236" s="1"/>
      <c r="T236" s="57">
        <f>T74</f>
        <v>3346.7699999999995</v>
      </c>
      <c r="U236" s="57">
        <f>U74</f>
        <v>13748.3875510298</v>
      </c>
      <c r="V236" s="57">
        <f>V74</f>
        <v>123045.13898182235</v>
      </c>
      <c r="W236" s="57">
        <f>W74</f>
        <v>39490.705727374378</v>
      </c>
      <c r="X236" s="57">
        <f>X74</f>
        <v>18456.667739773471</v>
      </c>
      <c r="AB236">
        <v>15</v>
      </c>
      <c r="AC236">
        <v>466</v>
      </c>
      <c r="AD236">
        <v>461</v>
      </c>
      <c r="AE236">
        <v>450</v>
      </c>
    </row>
    <row r="237" spans="1:48" x14ac:dyDescent="0.3">
      <c r="B237" s="16" t="s">
        <v>39</v>
      </c>
      <c r="C237" s="18">
        <f>SQRT((C240+C241)/(C234*C234))</f>
        <v>0</v>
      </c>
      <c r="D237" s="18">
        <f>SQRT((D240+D241)/(D234*D234))</f>
        <v>5.0812764485390405</v>
      </c>
      <c r="E237" s="18">
        <f>SQRT((E240+E241)/(E234*E234))</f>
        <v>0.21140110049910818</v>
      </c>
      <c r="F237" s="18">
        <f>SQRT((F240+F241)/(F234*F234))</f>
        <v>0.6385325439194417</v>
      </c>
      <c r="G237" s="18">
        <f>SQRT((G240+G241)/(G234*G234))</f>
        <v>1.6098880101434609</v>
      </c>
      <c r="H237" s="1"/>
      <c r="T237" s="57">
        <f>T84</f>
        <v>3424.1999999999994</v>
      </c>
      <c r="U237" s="57">
        <f>U84</f>
        <v>14314.834959247177</v>
      </c>
      <c r="V237" s="57">
        <f>V84</f>
        <v>122541.48416375024</v>
      </c>
      <c r="W237" s="57">
        <f>W84</f>
        <v>39769.323880134238</v>
      </c>
      <c r="X237" s="57">
        <f>X84</f>
        <v>18037.836996868351</v>
      </c>
      <c r="AB237">
        <v>16</v>
      </c>
      <c r="AC237">
        <v>495</v>
      </c>
      <c r="AD237">
        <v>490</v>
      </c>
      <c r="AE237">
        <v>479</v>
      </c>
      <c r="AN237" s="78"/>
      <c r="AO237" s="78"/>
    </row>
    <row r="238" spans="1:48" x14ac:dyDescent="0.3">
      <c r="B238" s="1" t="s">
        <v>37</v>
      </c>
      <c r="C238" s="18">
        <f>100-C236</f>
        <v>0</v>
      </c>
      <c r="D238" s="18">
        <f>100-D236</f>
        <v>36.169338130905039</v>
      </c>
      <c r="E238" s="18">
        <f>100-E236</f>
        <v>2.6363012154180723</v>
      </c>
      <c r="F238" s="18">
        <f>100-F236</f>
        <v>7.0140087398200706</v>
      </c>
      <c r="G238" s="18">
        <f>100-G236</f>
        <v>11.923779747770055</v>
      </c>
      <c r="T238" s="57">
        <f>T94</f>
        <v>3300.2499999999995</v>
      </c>
      <c r="U238" s="57">
        <f>U94</f>
        <v>14230.172444572425</v>
      </c>
      <c r="V238" s="57">
        <f>V94</f>
        <v>122246.46694419561</v>
      </c>
      <c r="W238" s="57">
        <f>W94</f>
        <v>39859.00695305143</v>
      </c>
      <c r="X238" s="57">
        <f>X94</f>
        <v>18451.763658180524</v>
      </c>
      <c r="AB238">
        <v>17</v>
      </c>
      <c r="AC238">
        <v>524</v>
      </c>
      <c r="AD238">
        <v>519</v>
      </c>
      <c r="AE238">
        <v>508</v>
      </c>
    </row>
    <row r="239" spans="1:48" ht="15.6" x14ac:dyDescent="0.35">
      <c r="B239" s="1" t="s">
        <v>25</v>
      </c>
      <c r="C239" s="1">
        <f>C223</f>
        <v>259</v>
      </c>
      <c r="D239" s="1">
        <f>D223</f>
        <v>604</v>
      </c>
      <c r="E239" s="1">
        <f>E223</f>
        <v>7178</v>
      </c>
      <c r="F239" s="1">
        <f>F223</f>
        <v>2553</v>
      </c>
      <c r="G239" s="1">
        <f>G223</f>
        <v>990</v>
      </c>
      <c r="T239" s="57">
        <f>T104</f>
        <v>3355.1900000000005</v>
      </c>
      <c r="U239" s="57">
        <f>U104</f>
        <v>13905.279953778794</v>
      </c>
      <c r="V239" s="57">
        <f>V104</f>
        <v>122484.56919721166</v>
      </c>
      <c r="W239" s="57">
        <f>W104</f>
        <v>40563.153907447078</v>
      </c>
      <c r="X239" s="57">
        <f>X104</f>
        <v>17779.486941562482</v>
      </c>
      <c r="AB239">
        <v>18</v>
      </c>
      <c r="AC239">
        <v>553</v>
      </c>
      <c r="AD239">
        <v>548</v>
      </c>
      <c r="AE239">
        <v>537</v>
      </c>
      <c r="AN239" s="78"/>
      <c r="AO239" s="78"/>
    </row>
    <row r="240" spans="1:48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1245.5059472166549</v>
      </c>
      <c r="E240" s="18">
        <f>(O231*O231*(100-E236)*(100-E236)*(I231)*(100-I231))/((L231-1)*100)</f>
        <v>16.407400977933989</v>
      </c>
      <c r="F240" s="18">
        <f>(O232*O232*(100-F236)*(100-F236)*(I232)*(100-I232))/((L232-1)*100)</f>
        <v>63.275629107613788</v>
      </c>
      <c r="G240" s="18">
        <f>(O233*O233*(100-G236)*(100-G236)*(I233)*(100-I233))/((L233-1)*100)</f>
        <v>156.72899592877826</v>
      </c>
      <c r="T240" s="57">
        <f>T114</f>
        <v>3366</v>
      </c>
      <c r="U240" s="57">
        <f>U114</f>
        <v>14584.334626011603</v>
      </c>
      <c r="V240" s="57">
        <f>V114</f>
        <v>121968.25890421774</v>
      </c>
      <c r="W240" s="57">
        <f>W114</f>
        <v>39384.713860017604</v>
      </c>
      <c r="X240" s="57">
        <f>X114</f>
        <v>18784.362609753047</v>
      </c>
      <c r="AB240">
        <v>19</v>
      </c>
      <c r="AC240">
        <v>582</v>
      </c>
      <c r="AD240">
        <v>577</v>
      </c>
      <c r="AE240">
        <v>566</v>
      </c>
    </row>
    <row r="241" spans="1:41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86.9446920631231</v>
      </c>
      <c r="E241" s="18">
        <f>E236*E236*(SUM((H229*E229*(1-E218/H218))/(H218-1),(H230*E230*(1-E219/H219))/(H219-1), (H232*E232*(1-E221/H221))/(H221-1),(H233*E233*(1-E222/H222))/(H222-1)))</f>
        <v>153.7975845317539</v>
      </c>
      <c r="F241" s="18">
        <f>F236*F236*(SUM((H229*F229*(1-F218/H218))/(H218-1),(H230*F230*(1-F219/H219))/(H219-1), (H231*F231*(1-F220/H220))/(H220-1),(H233*F233*(1-F222/H222))/(H222-1)))</f>
        <v>101.80806515415097</v>
      </c>
      <c r="G241" s="18">
        <f>G236*G236*(SUM((H229*G229*(1-G218/H218))/(H218-1),(H230*G230*(1-G219/H219))/(H219-1), (H231*G231*(1-G220/H220))/(H220-1),(H232*G232*(1-G221/H221))/(H221-1)))</f>
        <v>68.151740556095675</v>
      </c>
      <c r="T241" s="57">
        <f>T124</f>
        <v>3402.62</v>
      </c>
      <c r="U241" s="57">
        <f>U124</f>
        <v>14180.232057828214</v>
      </c>
      <c r="V241" s="57">
        <f>V124</f>
        <v>121672.99956710315</v>
      </c>
      <c r="W241" s="57">
        <f>W124</f>
        <v>40858.039767490322</v>
      </c>
      <c r="X241" s="57">
        <f>X124</f>
        <v>17973.778607578344</v>
      </c>
      <c r="AB241">
        <v>20</v>
      </c>
      <c r="AC241">
        <v>611</v>
      </c>
      <c r="AD241">
        <v>606</v>
      </c>
      <c r="AE241">
        <v>595</v>
      </c>
      <c r="AN241" s="78"/>
      <c r="AO241" s="78"/>
    </row>
    <row r="242" spans="1:41" x14ac:dyDescent="0.3">
      <c r="T242" s="57">
        <f>T134</f>
        <v>3320.5300000000007</v>
      </c>
      <c r="U242" s="57">
        <f>U134</f>
        <v>13691.906043518669</v>
      </c>
      <c r="V242" s="57">
        <f>V134</f>
        <v>123183.9071132987</v>
      </c>
      <c r="W242" s="57">
        <f>W134</f>
        <v>39380.073133314079</v>
      </c>
      <c r="X242" s="57">
        <f>X134</f>
        <v>18511.253709868564</v>
      </c>
      <c r="AB242">
        <v>21</v>
      </c>
      <c r="AC242">
        <v>640</v>
      </c>
      <c r="AD242">
        <v>635</v>
      </c>
      <c r="AE242">
        <v>624</v>
      </c>
    </row>
    <row r="243" spans="1:41" x14ac:dyDescent="0.3">
      <c r="T243" s="57">
        <f>T144</f>
        <v>3422.0300000000007</v>
      </c>
      <c r="U243" s="57">
        <f>U144</f>
        <v>13897.51503941412</v>
      </c>
      <c r="V243" s="57">
        <f>V144</f>
        <v>122025.60719525228</v>
      </c>
      <c r="W243" s="57">
        <f>W144</f>
        <v>40169.448262141494</v>
      </c>
      <c r="X243" s="57">
        <f>X144</f>
        <v>18573.069503192091</v>
      </c>
      <c r="AB243">
        <v>22</v>
      </c>
      <c r="AC243">
        <v>669</v>
      </c>
      <c r="AD243">
        <v>664</v>
      </c>
      <c r="AE243">
        <v>653</v>
      </c>
      <c r="AN243" s="78"/>
      <c r="AO243" s="78"/>
    </row>
    <row r="244" spans="1:41" x14ac:dyDescent="0.3">
      <c r="A244" s="361" t="s">
        <v>461</v>
      </c>
      <c r="B244" s="361"/>
      <c r="C244" s="361"/>
      <c r="D244" s="361"/>
      <c r="E244" s="361"/>
      <c r="F244" s="361"/>
      <c r="G244" s="361"/>
      <c r="H244" s="361"/>
      <c r="I244" s="361"/>
      <c r="J244" s="361"/>
      <c r="K244" s="361"/>
      <c r="L244" s="361" t="s">
        <v>86</v>
      </c>
      <c r="M244" s="361"/>
      <c r="N244" s="361"/>
      <c r="O244" s="361"/>
      <c r="P244" s="361"/>
      <c r="T244" s="57">
        <f>T154</f>
        <v>3389.7100000000005</v>
      </c>
      <c r="U244" s="57">
        <f>U154</f>
        <v>13731.738848081406</v>
      </c>
      <c r="V244" s="57">
        <f>V154</f>
        <v>123090.30072100658</v>
      </c>
      <c r="W244" s="57">
        <f>W154</f>
        <v>39023.584403871115</v>
      </c>
      <c r="X244" s="57">
        <f>X154</f>
        <v>18852.336027040899</v>
      </c>
      <c r="AB244">
        <v>23</v>
      </c>
      <c r="AC244">
        <v>698</v>
      </c>
      <c r="AD244">
        <v>693</v>
      </c>
      <c r="AE244">
        <v>682</v>
      </c>
    </row>
    <row r="245" spans="1:41" x14ac:dyDescent="0.3">
      <c r="A245" t="s">
        <v>320</v>
      </c>
      <c r="B245" t="s">
        <v>21</v>
      </c>
      <c r="I245" s="1" t="s">
        <v>58</v>
      </c>
      <c r="O245" s="143"/>
      <c r="P245" s="143"/>
      <c r="T245" s="57">
        <f>T164</f>
        <v>3352.16</v>
      </c>
      <c r="U245" s="57">
        <f>U164</f>
        <v>14171.92687497422</v>
      </c>
      <c r="V245" s="57">
        <f>V164</f>
        <v>121701.69318037549</v>
      </c>
      <c r="W245" s="57">
        <f>W164</f>
        <v>40542.09825137844</v>
      </c>
      <c r="X245" s="57">
        <f>X164</f>
        <v>18319.791693271844</v>
      </c>
      <c r="AB245">
        <v>24</v>
      </c>
      <c r="AC245">
        <v>727</v>
      </c>
      <c r="AD245">
        <v>722</v>
      </c>
      <c r="AE245">
        <v>711</v>
      </c>
      <c r="AN245" s="78"/>
      <c r="AO245" s="78"/>
    </row>
    <row r="246" spans="1:41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56</v>
      </c>
      <c r="O246" s="13"/>
      <c r="P246" s="13"/>
      <c r="T246" s="57">
        <f>T174</f>
        <v>3403.45</v>
      </c>
      <c r="U246" s="57">
        <f>U174</f>
        <v>13980.42549800734</v>
      </c>
      <c r="V246" s="57">
        <f>V174</f>
        <v>122364.81535820189</v>
      </c>
      <c r="W246" s="57">
        <f>W174</f>
        <v>40180.708249824944</v>
      </c>
      <c r="X246" s="57">
        <f>X174</f>
        <v>18158.28089396581</v>
      </c>
      <c r="AB246">
        <v>25</v>
      </c>
      <c r="AC246">
        <v>756</v>
      </c>
      <c r="AD246">
        <v>751</v>
      </c>
      <c r="AE246">
        <v>740</v>
      </c>
    </row>
    <row r="247" spans="1:41" x14ac:dyDescent="0.3">
      <c r="A247" t="s">
        <v>3</v>
      </c>
      <c r="B247" s="13">
        <v>0</v>
      </c>
      <c r="C247" s="26">
        <v>259</v>
      </c>
      <c r="D247" s="3">
        <v>0</v>
      </c>
      <c r="E247" s="3">
        <v>0</v>
      </c>
      <c r="F247" s="3">
        <v>0</v>
      </c>
      <c r="G247" s="4">
        <v>0</v>
      </c>
      <c r="H247" s="1">
        <f>SUM(C247:G247)</f>
        <v>259</v>
      </c>
      <c r="I247" s="10">
        <f>C247/H247</f>
        <v>1</v>
      </c>
      <c r="J247" s="11">
        <f>1-I247</f>
        <v>0</v>
      </c>
      <c r="K247">
        <f>H247-C252</f>
        <v>0</v>
      </c>
      <c r="N247" s="10">
        <f>2*(C253*I247)/(C253+I247)</f>
        <v>1</v>
      </c>
      <c r="O247" s="1"/>
      <c r="P247" s="1"/>
      <c r="T247" s="57">
        <f>T184</f>
        <v>3317.72</v>
      </c>
      <c r="U247" s="57">
        <f>U184</f>
        <v>13705.520630461782</v>
      </c>
      <c r="V247" s="57">
        <f>V184</f>
        <v>123007.61190412626</v>
      </c>
      <c r="W247" s="57">
        <f>W184</f>
        <v>39874.67848497555</v>
      </c>
      <c r="X247" s="57">
        <f>X184</f>
        <v>18182.138980436415</v>
      </c>
      <c r="AB247">
        <v>26</v>
      </c>
      <c r="AC247">
        <v>785</v>
      </c>
      <c r="AD247">
        <v>780</v>
      </c>
      <c r="AE247">
        <v>769</v>
      </c>
      <c r="AN247" s="78"/>
      <c r="AO247" s="78"/>
    </row>
    <row r="248" spans="1:41" x14ac:dyDescent="0.3">
      <c r="A248" t="s">
        <v>4</v>
      </c>
      <c r="B248" s="13">
        <v>1</v>
      </c>
      <c r="C248" s="5">
        <v>0</v>
      </c>
      <c r="D248" s="27">
        <v>301</v>
      </c>
      <c r="E248" s="1">
        <v>44</v>
      </c>
      <c r="F248" s="1">
        <v>0</v>
      </c>
      <c r="G248" s="6">
        <v>2</v>
      </c>
      <c r="H248" s="1">
        <f>SUM(C248:G248)</f>
        <v>347</v>
      </c>
      <c r="I248" s="10">
        <f>D248/H248</f>
        <v>0.86743515850144093</v>
      </c>
      <c r="J248" s="11">
        <f>1-I248</f>
        <v>0.13256484149855907</v>
      </c>
      <c r="K248">
        <f>H248-D252</f>
        <v>-259</v>
      </c>
      <c r="N248" s="10">
        <f>2*(D253*I248)/(D253+I248)</f>
        <v>0.63168940188877232</v>
      </c>
      <c r="O248" s="1"/>
      <c r="P248" s="1"/>
      <c r="T248" s="57">
        <f>T194</f>
        <v>3336.68</v>
      </c>
      <c r="U248" s="57">
        <f>U194</f>
        <v>13725.088030656925</v>
      </c>
      <c r="V248" s="57">
        <f>V194</f>
        <v>121962.74789533312</v>
      </c>
      <c r="W248" s="57">
        <f>W194</f>
        <v>41045.27179294869</v>
      </c>
      <c r="X248" s="57">
        <f>X194</f>
        <v>18017.882281061266</v>
      </c>
      <c r="AB248">
        <v>27</v>
      </c>
      <c r="AC248">
        <v>814</v>
      </c>
      <c r="AD248">
        <v>809</v>
      </c>
      <c r="AE248">
        <v>798</v>
      </c>
    </row>
    <row r="249" spans="1:41" x14ac:dyDescent="0.3">
      <c r="A249" t="s">
        <v>5</v>
      </c>
      <c r="B249" s="13">
        <v>2</v>
      </c>
      <c r="C249" s="5">
        <v>0</v>
      </c>
      <c r="D249" s="1">
        <v>297</v>
      </c>
      <c r="E249" s="27">
        <v>7016</v>
      </c>
      <c r="F249" s="1">
        <v>15</v>
      </c>
      <c r="G249" s="6">
        <v>22</v>
      </c>
      <c r="H249" s="1">
        <f>SUM(C249:G249)</f>
        <v>7350</v>
      </c>
      <c r="I249" s="10">
        <f>E249/H249</f>
        <v>0.95455782312925175</v>
      </c>
      <c r="J249" s="11">
        <f>1-I249</f>
        <v>4.5442176870748252E-2</v>
      </c>
      <c r="K249">
        <f>H249-E252</f>
        <v>183</v>
      </c>
      <c r="N249" s="10">
        <f>2*(E253*I249)/(E253+I249)</f>
        <v>0.96659089343528282</v>
      </c>
      <c r="O249" s="1"/>
      <c r="P249" s="1"/>
      <c r="T249" s="57">
        <f>T204</f>
        <v>3365.9699999999993</v>
      </c>
      <c r="U249" s="57">
        <f>U204</f>
        <v>14310.986561713526</v>
      </c>
      <c r="V249" s="57">
        <f>V204</f>
        <v>121923.28017516043</v>
      </c>
      <c r="W249" s="57">
        <f>W204</f>
        <v>40608.793844663996</v>
      </c>
      <c r="X249" s="57">
        <f>X204</f>
        <v>17878.649418462039</v>
      </c>
      <c r="AB249">
        <v>28</v>
      </c>
      <c r="AC249">
        <v>843</v>
      </c>
      <c r="AD249">
        <v>838</v>
      </c>
      <c r="AE249">
        <v>827</v>
      </c>
      <c r="AN249" s="78"/>
      <c r="AO249" s="78"/>
    </row>
    <row r="250" spans="1:41" x14ac:dyDescent="0.3">
      <c r="A250" t="s">
        <v>6</v>
      </c>
      <c r="B250" s="13">
        <v>3</v>
      </c>
      <c r="C250" s="5">
        <v>0</v>
      </c>
      <c r="D250" s="1">
        <v>8</v>
      </c>
      <c r="E250" s="1">
        <v>104</v>
      </c>
      <c r="F250" s="27">
        <v>2434</v>
      </c>
      <c r="G250" s="6">
        <v>92</v>
      </c>
      <c r="H250" s="1">
        <f>SUM(C250:G250)</f>
        <v>2638</v>
      </c>
      <c r="I250" s="10">
        <f>F250/H250</f>
        <v>0.92266868840030325</v>
      </c>
      <c r="J250" s="11">
        <f>1-I250</f>
        <v>7.733131159969675E-2</v>
      </c>
      <c r="K250">
        <f>H250-F252</f>
        <v>53</v>
      </c>
      <c r="N250" s="10">
        <f>2*(F253*I250)/(F253+I250)</f>
        <v>0.93203139957878611</v>
      </c>
      <c r="O250" s="1"/>
      <c r="P250" s="1"/>
      <c r="T250" s="57">
        <f>T214</f>
        <v>3393.14</v>
      </c>
      <c r="U250" s="57">
        <f>U214</f>
        <v>13363.374765536832</v>
      </c>
      <c r="V250" s="57">
        <f>V214</f>
        <v>123008.59205382047</v>
      </c>
      <c r="W250" s="57">
        <f>W214</f>
        <v>39547.156020263501</v>
      </c>
      <c r="X250" s="57">
        <f>X214</f>
        <v>18775.407160379182</v>
      </c>
      <c r="AB250">
        <v>29</v>
      </c>
      <c r="AC250">
        <v>872</v>
      </c>
      <c r="AD250">
        <v>867</v>
      </c>
      <c r="AE250">
        <v>856</v>
      </c>
    </row>
    <row r="251" spans="1:41" x14ac:dyDescent="0.3">
      <c r="A251" t="s">
        <v>7</v>
      </c>
      <c r="B251" s="13">
        <v>4</v>
      </c>
      <c r="C251" s="7">
        <v>0</v>
      </c>
      <c r="D251" s="8">
        <v>0</v>
      </c>
      <c r="E251" s="8">
        <v>3</v>
      </c>
      <c r="F251" s="8">
        <v>136</v>
      </c>
      <c r="G251" s="28">
        <v>851</v>
      </c>
      <c r="H251" s="1">
        <f>SUM(C251:G251)</f>
        <v>990</v>
      </c>
      <c r="I251" s="10">
        <f>G251/H251</f>
        <v>0.85959595959595958</v>
      </c>
      <c r="J251" s="11">
        <f>1-I251</f>
        <v>0.14040404040404042</v>
      </c>
      <c r="K251">
        <f>H251-G252</f>
        <v>23</v>
      </c>
      <c r="N251" s="10">
        <f>2*(G253*I251)/(G253+I251)</f>
        <v>0.86969851814001009</v>
      </c>
      <c r="O251" s="1"/>
      <c r="P251" s="1"/>
      <c r="AN251" s="78"/>
      <c r="AO251" s="78"/>
    </row>
    <row r="252" spans="1:41" ht="15.6" x14ac:dyDescent="0.35">
      <c r="B252" s="1" t="s">
        <v>19</v>
      </c>
      <c r="C252" s="1">
        <f>SUM(C247:C251)</f>
        <v>259</v>
      </c>
      <c r="D252" s="1">
        <f>SUM(D247:D251)</f>
        <v>606</v>
      </c>
      <c r="E252" s="1">
        <f>SUM(E247:E251)</f>
        <v>7167</v>
      </c>
      <c r="F252" s="1">
        <f>SUM(F247:F251)</f>
        <v>2585</v>
      </c>
      <c r="G252" s="1">
        <f>SUM(G247:G251)</f>
        <v>967</v>
      </c>
      <c r="H252" s="1">
        <f>SUM(H246:H251)</f>
        <v>11584</v>
      </c>
      <c r="I252" s="13" t="s">
        <v>12</v>
      </c>
      <c r="N252" s="16"/>
      <c r="O252" s="1"/>
      <c r="P252" s="1"/>
    </row>
    <row r="253" spans="1:41" x14ac:dyDescent="0.3">
      <c r="A253" s="1" t="s">
        <v>321</v>
      </c>
      <c r="B253" s="1" t="s">
        <v>2</v>
      </c>
      <c r="C253" s="10">
        <f>C247/C252</f>
        <v>1</v>
      </c>
      <c r="D253" s="10">
        <f>D248/D252</f>
        <v>0.49669966996699672</v>
      </c>
      <c r="E253" s="10">
        <f>E249/E252</f>
        <v>0.97893121250174409</v>
      </c>
      <c r="F253" s="10">
        <f>F250/F252</f>
        <v>0.94158607350096712</v>
      </c>
      <c r="G253" s="10">
        <f>G251/G252</f>
        <v>0.88004136504653563</v>
      </c>
      <c r="H253" s="10"/>
      <c r="I253" s="14">
        <f>(C247+D248+E249+F250+G251)/H252</f>
        <v>0.93758632596685088</v>
      </c>
      <c r="AN253" s="78"/>
      <c r="AO253" s="78"/>
    </row>
    <row r="254" spans="1:41" x14ac:dyDescent="0.3">
      <c r="B254" s="1" t="s">
        <v>14</v>
      </c>
      <c r="C254" s="11">
        <f>1-C253</f>
        <v>0</v>
      </c>
      <c r="D254" s="11">
        <f>1-D253</f>
        <v>0.50330033003300323</v>
      </c>
      <c r="E254" s="11">
        <f>1-E253</f>
        <v>2.1068787498255914E-2</v>
      </c>
      <c r="F254" s="11">
        <f>1-F253</f>
        <v>5.8413926499032875E-2</v>
      </c>
      <c r="G254" s="11">
        <f>1-G253</f>
        <v>0.11995863495346437</v>
      </c>
    </row>
    <row r="255" spans="1:41" x14ac:dyDescent="0.3">
      <c r="C255" s="2"/>
      <c r="AN255" s="78"/>
      <c r="AO255" s="78"/>
    </row>
    <row r="256" spans="1:41" ht="15.6" x14ac:dyDescent="0.35">
      <c r="A256" t="s">
        <v>322</v>
      </c>
      <c r="B256" s="15" t="s">
        <v>23</v>
      </c>
      <c r="N256" s="12" t="s">
        <v>17</v>
      </c>
      <c r="O256" s="1" t="s">
        <v>27</v>
      </c>
      <c r="P256" s="1" t="s">
        <v>33</v>
      </c>
    </row>
    <row r="257" spans="1:41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N257" s="78"/>
      <c r="AO257" s="78"/>
    </row>
    <row r="258" spans="1:41" x14ac:dyDescent="0.3">
      <c r="A258" t="s">
        <v>3</v>
      </c>
      <c r="B258" s="13">
        <v>0</v>
      </c>
      <c r="C258" s="29">
        <f>(C247/$L258)*$O258</f>
        <v>1.6937903457701156</v>
      </c>
      <c r="D258" s="31">
        <f>(D247/$L258)*$O258</f>
        <v>0</v>
      </c>
      <c r="E258" s="31">
        <f>(E247/$L258)*$O258</f>
        <v>0</v>
      </c>
      <c r="F258" s="31">
        <f>(F247/$L258)*$O258</f>
        <v>0</v>
      </c>
      <c r="G258" s="32">
        <f>(G247/$L258)*$O258</f>
        <v>0</v>
      </c>
      <c r="H258" s="17">
        <f>SUM(C258:G258)</f>
        <v>1.6937903457701156</v>
      </c>
      <c r="I258" s="17">
        <f>C258/H258*100</f>
        <v>100</v>
      </c>
      <c r="J258" s="17">
        <f>SQRT(I258*(100-I258)/(L258-1))</f>
        <v>0</v>
      </c>
      <c r="K258" s="18">
        <f>100-I258</f>
        <v>0</v>
      </c>
      <c r="L258" s="1">
        <f>H247</f>
        <v>259</v>
      </c>
      <c r="M258">
        <v>0</v>
      </c>
      <c r="N258" s="1">
        <v>3355.19</v>
      </c>
      <c r="O258" s="17">
        <f>N258/N263*100</f>
        <v>1.6937903457701156</v>
      </c>
      <c r="P258" s="52">
        <f>((O258*O258*(I258/100)*(K258/100))/(L258-1))</f>
        <v>0</v>
      </c>
    </row>
    <row r="259" spans="1:41" x14ac:dyDescent="0.3">
      <c r="A259" t="s">
        <v>4</v>
      </c>
      <c r="B259" s="13">
        <v>1</v>
      </c>
      <c r="C259" s="33">
        <f t="shared" ref="C259:G262" si="38">(C248/$L259)*$O259</f>
        <v>0</v>
      </c>
      <c r="D259" s="34">
        <f t="shared" si="38"/>
        <v>4.4025006563274127</v>
      </c>
      <c r="E259" s="19">
        <f t="shared" si="38"/>
        <v>0.64355491321729619</v>
      </c>
      <c r="F259" s="18">
        <f t="shared" si="38"/>
        <v>0</v>
      </c>
      <c r="G259" s="20">
        <f t="shared" si="38"/>
        <v>2.9252496055331645E-2</v>
      </c>
      <c r="H259" s="17">
        <f>SUM(C259:G259)</f>
        <v>5.0753080656000407</v>
      </c>
      <c r="I259" s="17">
        <f>D259/H259*100</f>
        <v>86.743515850144092</v>
      </c>
      <c r="J259" s="17">
        <f>SQRT(I259*(100-I259)/(L259-1))</f>
        <v>1.8230334586187336</v>
      </c>
      <c r="K259" s="18">
        <f>100-I259</f>
        <v>13.256484149855908</v>
      </c>
      <c r="L259" s="1">
        <f>H248</f>
        <v>347</v>
      </c>
      <c r="M259">
        <v>1</v>
      </c>
      <c r="N259" s="1">
        <v>10053.56</v>
      </c>
      <c r="O259" s="17">
        <f>N259/N263*100</f>
        <v>5.0753080656000407</v>
      </c>
      <c r="P259" s="52">
        <f>((O259*O259*(I259/100)*(K259/100))/(L259-1))</f>
        <v>8.5607949737129783E-3</v>
      </c>
      <c r="AN259" s="78"/>
      <c r="AO259" s="78"/>
    </row>
    <row r="260" spans="1:41" x14ac:dyDescent="0.3">
      <c r="A260" t="s">
        <v>5</v>
      </c>
      <c r="B260" s="13">
        <v>2</v>
      </c>
      <c r="C260" s="33">
        <f t="shared" si="38"/>
        <v>0</v>
      </c>
      <c r="D260" s="19">
        <f t="shared" si="38"/>
        <v>2.5546003833519886</v>
      </c>
      <c r="E260" s="34">
        <f t="shared" si="38"/>
        <v>60.347058214133178</v>
      </c>
      <c r="F260" s="19">
        <f t="shared" si="38"/>
        <v>0.12902022138141359</v>
      </c>
      <c r="G260" s="20">
        <f t="shared" si="38"/>
        <v>0.18922965802607325</v>
      </c>
      <c r="H260" s="17">
        <f>SUM(C260:G260)</f>
        <v>63.219908476892655</v>
      </c>
      <c r="I260" s="17">
        <f>E260/H260*100</f>
        <v>95.455782312925166</v>
      </c>
      <c r="J260" s="17">
        <f>SQRT(I260*(100-I260)/(L260-1))</f>
        <v>0.24294980835172764</v>
      </c>
      <c r="K260" s="18">
        <f>100-I260</f>
        <v>4.5442176870748341</v>
      </c>
      <c r="L260" s="1">
        <f>H249</f>
        <v>7350</v>
      </c>
      <c r="M260">
        <v>2</v>
      </c>
      <c r="N260" s="1">
        <v>125230.85</v>
      </c>
      <c r="O260" s="17">
        <f>N260/N263*100</f>
        <v>63.219908476892648</v>
      </c>
      <c r="P260" s="52">
        <f>((O260*O260*(I260/100)*(K260/100))/(L260-1))</f>
        <v>2.3590701054188871E-2</v>
      </c>
    </row>
    <row r="261" spans="1:41" x14ac:dyDescent="0.3">
      <c r="A261" t="s">
        <v>6</v>
      </c>
      <c r="B261" s="13">
        <v>3</v>
      </c>
      <c r="C261" s="33">
        <f t="shared" si="38"/>
        <v>0</v>
      </c>
      <c r="D261" s="19">
        <f t="shared" si="38"/>
        <v>6.2659075527557465E-2</v>
      </c>
      <c r="E261" s="19">
        <f t="shared" si="38"/>
        <v>0.81456798185824697</v>
      </c>
      <c r="F261" s="34">
        <f t="shared" si="38"/>
        <v>19.064023729259358</v>
      </c>
      <c r="G261" s="20">
        <f t="shared" si="38"/>
        <v>0.72057936856691085</v>
      </c>
      <c r="H261" s="17">
        <f>SUM(C261:G261)</f>
        <v>20.661830155212073</v>
      </c>
      <c r="I261" s="17">
        <f>F261/H261*100</f>
        <v>92.266868840030327</v>
      </c>
      <c r="J261" s="17">
        <f>SQRT(I261*(100-I261)/(L261-1))</f>
        <v>0.52017025539701933</v>
      </c>
      <c r="K261" s="18">
        <f>100-I261</f>
        <v>7.7331311599696733</v>
      </c>
      <c r="L261" s="1">
        <f>H250</f>
        <v>2638</v>
      </c>
      <c r="M261">
        <v>3</v>
      </c>
      <c r="N261" s="1">
        <v>40928.54</v>
      </c>
      <c r="O261" s="17">
        <f>N261/N263*100</f>
        <v>20.661830155212073</v>
      </c>
      <c r="P261" s="52">
        <f>((O261*O261*(I261/100)*(K261/100))/(L261-1))</f>
        <v>1.1551239901071538E-2</v>
      </c>
      <c r="AN261" s="78"/>
      <c r="AO261" s="78"/>
    </row>
    <row r="262" spans="1:41" x14ac:dyDescent="0.3">
      <c r="A262" t="s">
        <v>7</v>
      </c>
      <c r="B262" s="13">
        <v>4</v>
      </c>
      <c r="C262" s="35">
        <f t="shared" si="38"/>
        <v>0</v>
      </c>
      <c r="D262" s="36">
        <f t="shared" si="38"/>
        <v>0</v>
      </c>
      <c r="E262" s="21">
        <f t="shared" si="38"/>
        <v>2.8330796837954877E-2</v>
      </c>
      <c r="F262" s="21">
        <f t="shared" si="38"/>
        <v>1.2843294566539545</v>
      </c>
      <c r="G262" s="37">
        <f t="shared" si="38"/>
        <v>8.0365027030332001</v>
      </c>
      <c r="H262" s="17">
        <f>SUM(C262:G262)</f>
        <v>9.3491629565251095</v>
      </c>
      <c r="I262" s="17">
        <f>G262/H262*100</f>
        <v>85.959595959595958</v>
      </c>
      <c r="J262" s="17">
        <f>SQRT(I262*(100-I262)/(L262-1))</f>
        <v>1.1046859737176093</v>
      </c>
      <c r="K262" s="18">
        <f>100-I262</f>
        <v>14.040404040404042</v>
      </c>
      <c r="L262" s="1">
        <f>H251</f>
        <v>990</v>
      </c>
      <c r="M262">
        <v>4</v>
      </c>
      <c r="N262" s="1">
        <v>18519.54</v>
      </c>
      <c r="O262" s="17">
        <f>N262/N263*100</f>
        <v>9.3491629565251095</v>
      </c>
      <c r="P262" s="52">
        <f>((O262*O262*(I262/100)*(K262/100))/(L262-1))</f>
        <v>1.0666529499850329E-2</v>
      </c>
    </row>
    <row r="263" spans="1:41" x14ac:dyDescent="0.3">
      <c r="B263" t="s">
        <v>28</v>
      </c>
      <c r="C263" s="17">
        <f>SUM(C258:C262)</f>
        <v>1.6937903457701156</v>
      </c>
      <c r="D263" s="17">
        <f>SUM(D258:D262)</f>
        <v>7.0197601152069584</v>
      </c>
      <c r="E263" s="17">
        <f>SUM(E258:E262)</f>
        <v>61.833511906046674</v>
      </c>
      <c r="F263" s="17">
        <f>SUM(F258:F262)</f>
        <v>20.477373407294724</v>
      </c>
      <c r="G263" s="17">
        <f>SUM(G258:G262)</f>
        <v>8.9755642256815165</v>
      </c>
      <c r="H263" s="1">
        <f>SUM(H257:H262)</f>
        <v>99.999999999999986</v>
      </c>
      <c r="I263" s="13" t="s">
        <v>24</v>
      </c>
      <c r="J263" s="12" t="s">
        <v>29</v>
      </c>
      <c r="N263" s="1">
        <f>SUM(N258:N262)</f>
        <v>198087.68000000002</v>
      </c>
      <c r="O263" s="17">
        <f>SUM(O258:O262)</f>
        <v>99.999999999999986</v>
      </c>
      <c r="AM263" s="78"/>
      <c r="AN263" s="78"/>
      <c r="AO263" s="78"/>
    </row>
    <row r="264" spans="1:41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0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0.17352384282159794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0.19545319486396751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0.15204233841165443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0.13472537827271916</v>
      </c>
      <c r="H264" s="1"/>
      <c r="I264" s="56">
        <f>(C258+D259+E260+F261+G262)/H263</f>
        <v>0.93543875648523267</v>
      </c>
      <c r="J264" s="53">
        <f>SQRT(SUM(P258:P262))/100</f>
        <v>2.3317217979172329E-3</v>
      </c>
      <c r="M264" s="1"/>
      <c r="N264" s="9"/>
    </row>
    <row r="265" spans="1:41" x14ac:dyDescent="0.3">
      <c r="B265" s="1" t="s">
        <v>30</v>
      </c>
      <c r="C265" s="17">
        <f>C258/C263*100</f>
        <v>100</v>
      </c>
      <c r="D265" s="17">
        <f>D259/D263*100</f>
        <v>62.715827664683907</v>
      </c>
      <c r="E265" s="17">
        <f>E260/E263*100</f>
        <v>97.596038707663737</v>
      </c>
      <c r="F265" s="17">
        <f>F261/F263*100</f>
        <v>93.097993331840669</v>
      </c>
      <c r="G265" s="17">
        <f>G262/G263*100</f>
        <v>89.537576702293464</v>
      </c>
      <c r="H265" s="1"/>
      <c r="AM265" s="78"/>
      <c r="AN265" s="78"/>
      <c r="AO265" s="78"/>
    </row>
    <row r="266" spans="1:41" x14ac:dyDescent="0.3">
      <c r="B266" s="16" t="s">
        <v>39</v>
      </c>
      <c r="C266" s="18">
        <f>SQRT((C269+C270)/(C263*C263))</f>
        <v>0</v>
      </c>
      <c r="D266" s="18">
        <f>SQRT((D269+D270)/(D263*D263))</f>
        <v>5.0864903722951871</v>
      </c>
      <c r="E266" s="18">
        <f>SQRT((E269+E270)/(E263*E263))</f>
        <v>0.20009891815837164</v>
      </c>
      <c r="F266" s="18">
        <f>SQRT((F269+F270)/(F263*F263))</f>
        <v>0.60876813106735972</v>
      </c>
      <c r="G266" s="18">
        <f>SQRT((G269+G270)/(G263*G263))</f>
        <v>1.4817385943629582</v>
      </c>
      <c r="H266" s="1"/>
    </row>
    <row r="267" spans="1:41" x14ac:dyDescent="0.3">
      <c r="B267" s="1" t="s">
        <v>37</v>
      </c>
      <c r="C267" s="18">
        <f>100-C265</f>
        <v>0</v>
      </c>
      <c r="D267" s="18">
        <f>100-D265</f>
        <v>37.284172335316093</v>
      </c>
      <c r="E267" s="18">
        <f>100-E265</f>
        <v>2.4039612923362625</v>
      </c>
      <c r="F267" s="18">
        <f>100-F265</f>
        <v>6.9020066681593306</v>
      </c>
      <c r="G267" s="18">
        <f>100-G265</f>
        <v>10.462423297706536</v>
      </c>
      <c r="AM267" s="78"/>
      <c r="AN267" s="78"/>
      <c r="AO267" s="78"/>
    </row>
    <row r="268" spans="1:41" ht="15.6" x14ac:dyDescent="0.35">
      <c r="B268" s="1" t="s">
        <v>25</v>
      </c>
      <c r="C268" s="1">
        <f>C252</f>
        <v>259</v>
      </c>
      <c r="D268" s="1">
        <f>D252</f>
        <v>606</v>
      </c>
      <c r="E268" s="1">
        <f>E252</f>
        <v>7167</v>
      </c>
      <c r="F268" s="1">
        <f>F252</f>
        <v>2585</v>
      </c>
      <c r="G268" s="1">
        <f>G252</f>
        <v>967</v>
      </c>
    </row>
    <row r="269" spans="1:41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1190.0442478120958</v>
      </c>
      <c r="E269" s="18">
        <f>(O260*O260*(100-E265)*(100-E265)*(I260)*(100-I260))/((L260-1)*100)</f>
        <v>13.633136663736941</v>
      </c>
      <c r="F269" s="18">
        <f>(O261*O261*(100-F265)*(100-F265)*(I261)*(100-I261))/((L261-1)*100)</f>
        <v>55.027445537687292</v>
      </c>
      <c r="G269" s="18">
        <f>(O262*O262*(100-G265)*(100-G265)*(I262)*(100-I262))/((L262-1)*100)</f>
        <v>116.75828655154805</v>
      </c>
      <c r="AM269" s="78"/>
      <c r="AN269" s="78"/>
      <c r="AO269" s="78"/>
    </row>
    <row r="270" spans="1:41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84.870063564228886</v>
      </c>
      <c r="E270" s="18">
        <f>E265*E265*(SUM((H258*E258*(1-E247/H247))/(H247-1),(H259*E259*(1-E248/H248))/(H248-1), (H261*E261*(1-E250/H250))/(H250-1),(H262*E262*(1-E251/H251))/(H251-1)))</f>
        <v>139.4535093424644</v>
      </c>
      <c r="F270" s="18">
        <f>F265*F265*(SUM((H258*F258*(1-F247/H247))/(H247-1),(H259*F259*(1-F248/H248))/(H248-1), (H260*F260*(1-F249/H249))/(H249-1),(H262*F262*(1-F251/H251))/(H251-1)))</f>
        <v>100.37302080225317</v>
      </c>
      <c r="G270" s="18">
        <f>G265*G265*(SUM((H258*G258*(1-G247/H247))/(H247-1),(H259*G259*(1-G248/H248))/(H248-1), (H260*G260*(1-G249/H249))/(H249-1),(H261*G261*(1-G250/H250))/(H250-1)))</f>
        <v>60.116815617538073</v>
      </c>
    </row>
    <row r="271" spans="1:41" x14ac:dyDescent="0.3">
      <c r="AM271" s="78"/>
      <c r="AN271" s="78"/>
      <c r="AO271" s="78"/>
    </row>
    <row r="272" spans="1:41" x14ac:dyDescent="0.3">
      <c r="T272" s="2"/>
    </row>
    <row r="273" spans="1:41" x14ac:dyDescent="0.3">
      <c r="A273" s="361" t="s">
        <v>461</v>
      </c>
      <c r="B273" s="361"/>
      <c r="C273" s="361"/>
      <c r="D273" s="361"/>
      <c r="E273" s="361"/>
      <c r="F273" s="361"/>
      <c r="G273" s="361"/>
      <c r="H273" s="361"/>
      <c r="I273" s="361"/>
      <c r="J273" s="361"/>
      <c r="K273" s="361"/>
      <c r="L273" s="361" t="s">
        <v>87</v>
      </c>
      <c r="M273" s="361"/>
      <c r="N273" s="361"/>
      <c r="O273" s="361"/>
      <c r="P273" s="361"/>
      <c r="AM273" s="78"/>
      <c r="AN273" s="78"/>
      <c r="AO273" s="78"/>
    </row>
    <row r="274" spans="1:41" ht="15" thickBot="1" x14ac:dyDescent="0.35">
      <c r="A274" t="s">
        <v>320</v>
      </c>
      <c r="B274" t="s">
        <v>21</v>
      </c>
      <c r="I274" s="1" t="s">
        <v>58</v>
      </c>
      <c r="O274" s="143"/>
      <c r="P274" s="143"/>
      <c r="R274" s="59" t="s">
        <v>78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77</v>
      </c>
      <c r="AA274" s="12" t="s">
        <v>29</v>
      </c>
    </row>
    <row r="275" spans="1:41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56</v>
      </c>
      <c r="O275" s="13"/>
      <c r="P275" s="13"/>
      <c r="S275" t="s">
        <v>28</v>
      </c>
      <c r="T275" s="57">
        <f t="shared" ref="T275:X276" si="39">AVERAGE(T16,T26,T36,T46,T56)</f>
        <v>1.682044099488279</v>
      </c>
      <c r="U275" s="57">
        <f t="shared" si="39"/>
        <v>6.9173019281344734</v>
      </c>
      <c r="V275" s="57">
        <f t="shared" si="39"/>
        <v>61.868092334816495</v>
      </c>
      <c r="W275" s="57">
        <f t="shared" si="39"/>
        <v>20.273179379565033</v>
      </c>
      <c r="X275" s="57">
        <f t="shared" si="39"/>
        <v>9.2593822579957212</v>
      </c>
      <c r="Z275" s="14">
        <f>AVERAGE(AE16,AE17,AE18,AE19,AE20)</f>
        <v>0.93536843704908534</v>
      </c>
      <c r="AA275" s="72">
        <f>AVERAGE(AF16,AF17,AF18,AF19,AF20)</f>
        <v>2.3335385910697027E-3</v>
      </c>
      <c r="AM275" s="78"/>
      <c r="AN275" s="78"/>
      <c r="AO275" s="78"/>
    </row>
    <row r="276" spans="1:41" x14ac:dyDescent="0.3">
      <c r="A276" t="s">
        <v>3</v>
      </c>
      <c r="B276" s="13">
        <v>0</v>
      </c>
      <c r="C276" s="26">
        <v>259</v>
      </c>
      <c r="D276" s="3">
        <v>0</v>
      </c>
      <c r="E276" s="3">
        <v>0</v>
      </c>
      <c r="F276" s="3">
        <v>0</v>
      </c>
      <c r="G276" s="4">
        <v>0</v>
      </c>
      <c r="H276" s="1">
        <f>SUM(C276:G276)</f>
        <v>259</v>
      </c>
      <c r="I276" s="10">
        <f>C276/H276</f>
        <v>1</v>
      </c>
      <c r="J276" s="11">
        <f>1-I276</f>
        <v>0</v>
      </c>
      <c r="K276">
        <f>H276-C281</f>
        <v>0</v>
      </c>
      <c r="N276" s="10">
        <f>2*(C282*I276)/(C282+I276)</f>
        <v>1</v>
      </c>
      <c r="O276" s="1"/>
      <c r="P276" s="1"/>
      <c r="S276" t="s">
        <v>39</v>
      </c>
      <c r="T276" s="57">
        <f t="shared" si="39"/>
        <v>0</v>
      </c>
      <c r="U276" s="57">
        <f t="shared" si="39"/>
        <v>0.17060369630464534</v>
      </c>
      <c r="V276" s="57">
        <f t="shared" si="39"/>
        <v>0.19418633369326835</v>
      </c>
      <c r="W276" s="57">
        <f t="shared" si="39"/>
        <v>0.15517207998740318</v>
      </c>
      <c r="X276" s="57">
        <f t="shared" si="39"/>
        <v>0.13778945921573021</v>
      </c>
    </row>
    <row r="277" spans="1:41" x14ac:dyDescent="0.3">
      <c r="A277" t="s">
        <v>4</v>
      </c>
      <c r="B277" s="13">
        <v>1</v>
      </c>
      <c r="C277" s="5">
        <v>0</v>
      </c>
      <c r="D277" s="27">
        <v>307</v>
      </c>
      <c r="E277" s="1">
        <v>39</v>
      </c>
      <c r="F277" s="1">
        <v>0</v>
      </c>
      <c r="G277" s="6">
        <v>1</v>
      </c>
      <c r="H277" s="1">
        <f>SUM(C277:G277)</f>
        <v>347</v>
      </c>
      <c r="I277" s="10">
        <f>D277/H277</f>
        <v>0.88472622478386165</v>
      </c>
      <c r="J277" s="11">
        <f>1-I277</f>
        <v>0.11527377521613835</v>
      </c>
      <c r="K277">
        <f>H277-D281</f>
        <v>-266</v>
      </c>
      <c r="N277" s="10">
        <f>2*(D282*I277)/(D282+I277)</f>
        <v>0.63958333333333317</v>
      </c>
      <c r="O277" s="1"/>
      <c r="P277" s="1"/>
      <c r="S277" s="66" t="s">
        <v>65</v>
      </c>
      <c r="T277" s="67">
        <f>1.96*T276</f>
        <v>0</v>
      </c>
      <c r="U277" s="67">
        <f>1.96*U276</f>
        <v>0.33438324475710485</v>
      </c>
      <c r="V277" s="67">
        <f>1.96*V276</f>
        <v>0.38060521403880593</v>
      </c>
      <c r="W277" s="67">
        <f>1.96*W276</f>
        <v>0.30413727677531022</v>
      </c>
      <c r="X277" s="67">
        <f>1.96*X276</f>
        <v>0.27006734006283123</v>
      </c>
      <c r="AM277" s="78"/>
      <c r="AN277" s="78"/>
      <c r="AO277" s="78"/>
    </row>
    <row r="278" spans="1:41" x14ac:dyDescent="0.3">
      <c r="A278" t="s">
        <v>5</v>
      </c>
      <c r="B278" s="13">
        <v>2</v>
      </c>
      <c r="C278" s="5">
        <v>0</v>
      </c>
      <c r="D278" s="1">
        <v>298</v>
      </c>
      <c r="E278" s="27">
        <v>7016</v>
      </c>
      <c r="F278" s="1">
        <v>13</v>
      </c>
      <c r="G278" s="6">
        <v>23</v>
      </c>
      <c r="H278" s="1">
        <f>SUM(C278:G278)</f>
        <v>7350</v>
      </c>
      <c r="I278" s="10">
        <f>E278/H278</f>
        <v>0.95455782312925175</v>
      </c>
      <c r="J278" s="11">
        <f>1-I278</f>
        <v>4.5442176870748252E-2</v>
      </c>
      <c r="K278">
        <f>H278-E281</f>
        <v>182</v>
      </c>
      <c r="N278" s="10">
        <f>2*(E282*I278)/(E282+I278)</f>
        <v>0.96652431464389044</v>
      </c>
      <c r="O278" s="1"/>
      <c r="P278" s="1"/>
      <c r="S278" t="s">
        <v>30</v>
      </c>
      <c r="T278" s="57">
        <f t="shared" ref="T278:X279" si="40">AVERAGE(T18,T28,T38,T48,T58)</f>
        <v>100</v>
      </c>
      <c r="U278" s="57">
        <f t="shared" si="40"/>
        <v>64.129267116986256</v>
      </c>
      <c r="V278" s="57">
        <f t="shared" si="40"/>
        <v>97.517502228141637</v>
      </c>
      <c r="W278" s="57">
        <f t="shared" si="40"/>
        <v>93.125170968602404</v>
      </c>
      <c r="X278" s="57">
        <f t="shared" si="40"/>
        <v>88.650338275905057</v>
      </c>
    </row>
    <row r="279" spans="1:41" x14ac:dyDescent="0.3">
      <c r="A279" t="s">
        <v>6</v>
      </c>
      <c r="B279" s="13">
        <v>3</v>
      </c>
      <c r="C279" s="5">
        <v>0</v>
      </c>
      <c r="D279" s="1">
        <v>8</v>
      </c>
      <c r="E279" s="1">
        <v>110</v>
      </c>
      <c r="F279" s="27">
        <v>2402</v>
      </c>
      <c r="G279" s="6">
        <v>118</v>
      </c>
      <c r="H279" s="1">
        <f>SUM(C279:G279)</f>
        <v>2638</v>
      </c>
      <c r="I279" s="10">
        <f>F279/H279</f>
        <v>0.91053828658074298</v>
      </c>
      <c r="J279" s="11">
        <f>1-I279</f>
        <v>8.9461713419257016E-2</v>
      </c>
      <c r="K279">
        <f>H279-F281</f>
        <v>99</v>
      </c>
      <c r="N279" s="10">
        <f>2*(F282*I279)/(F282+I279)</f>
        <v>0.92795055051187947</v>
      </c>
      <c r="O279" s="1"/>
      <c r="P279" s="1"/>
      <c r="S279" t="s">
        <v>39</v>
      </c>
      <c r="T279" s="57">
        <f t="shared" si="40"/>
        <v>0</v>
      </c>
      <c r="U279" s="57">
        <f t="shared" si="40"/>
        <v>5.0102159488175362</v>
      </c>
      <c r="V279" s="57">
        <f t="shared" si="40"/>
        <v>0.20240403840020932</v>
      </c>
      <c r="W279" s="57">
        <f t="shared" si="40"/>
        <v>0.62360161301254835</v>
      </c>
      <c r="X279" s="57">
        <f t="shared" si="40"/>
        <v>1.5371949223703081</v>
      </c>
      <c r="AM279" s="78"/>
      <c r="AN279" s="78"/>
      <c r="AO279" s="78"/>
    </row>
    <row r="280" spans="1:41" x14ac:dyDescent="0.3">
      <c r="A280" t="s">
        <v>7</v>
      </c>
      <c r="B280" s="13">
        <v>4</v>
      </c>
      <c r="C280" s="7">
        <v>0</v>
      </c>
      <c r="D280" s="8">
        <v>0</v>
      </c>
      <c r="E280" s="8">
        <v>3</v>
      </c>
      <c r="F280" s="8">
        <v>124</v>
      </c>
      <c r="G280" s="28">
        <v>863</v>
      </c>
      <c r="H280" s="1">
        <f>SUM(C280:G280)</f>
        <v>990</v>
      </c>
      <c r="I280" s="10">
        <f>G280/H280</f>
        <v>0.87171717171717167</v>
      </c>
      <c r="J280" s="11">
        <f>1-I280</f>
        <v>0.12828282828282833</v>
      </c>
      <c r="K280">
        <f>H280-G281</f>
        <v>-15</v>
      </c>
      <c r="N280" s="10">
        <f>2*(G282*I280)/(G282+I280)</f>
        <v>0.86516290726817036</v>
      </c>
      <c r="O280" s="1"/>
      <c r="P280" s="1"/>
      <c r="S280" s="66" t="s">
        <v>65</v>
      </c>
      <c r="T280" s="67">
        <f>1.96*T279</f>
        <v>0</v>
      </c>
      <c r="U280" s="67">
        <f>1.96*U279</f>
        <v>9.8200232596823707</v>
      </c>
      <c r="V280" s="67">
        <f>1.96*V279</f>
        <v>0.39671191526441024</v>
      </c>
      <c r="W280" s="67">
        <f>1.96*W279</f>
        <v>1.2222591615045948</v>
      </c>
      <c r="X280" s="67">
        <f>1.96*X279</f>
        <v>3.0129020478458037</v>
      </c>
    </row>
    <row r="281" spans="1:41" ht="15.6" x14ac:dyDescent="0.35">
      <c r="B281" s="1" t="s">
        <v>19</v>
      </c>
      <c r="C281" s="1">
        <f>SUM(C276:C280)</f>
        <v>259</v>
      </c>
      <c r="D281" s="1">
        <f>SUM(D276:D280)</f>
        <v>613</v>
      </c>
      <c r="E281" s="1">
        <f>SUM(E276:E280)</f>
        <v>7168</v>
      </c>
      <c r="F281" s="1">
        <f>SUM(F276:F280)</f>
        <v>2539</v>
      </c>
      <c r="G281" s="1">
        <f>SUM(G276:G280)</f>
        <v>1005</v>
      </c>
      <c r="H281" s="1">
        <f>SUM(H275:H280)</f>
        <v>11584</v>
      </c>
      <c r="I281" s="13" t="s">
        <v>12</v>
      </c>
      <c r="N281" s="16"/>
      <c r="O281" s="1"/>
      <c r="P281" s="1"/>
      <c r="S281" t="s">
        <v>31</v>
      </c>
      <c r="T281" s="57">
        <f t="shared" ref="T281:X282" si="41">AVERAGE(T20,T30,T40,T50,T60)</f>
        <v>100</v>
      </c>
      <c r="U281" s="57">
        <f t="shared" si="41"/>
        <v>86.743515850144092</v>
      </c>
      <c r="V281" s="57">
        <f t="shared" si="41"/>
        <v>95.613605442176862</v>
      </c>
      <c r="W281" s="57">
        <f t="shared" si="41"/>
        <v>91.561789234268389</v>
      </c>
      <c r="X281" s="57">
        <f t="shared" si="41"/>
        <v>86.525252525252526</v>
      </c>
      <c r="AM281" s="78"/>
      <c r="AN281" s="78"/>
      <c r="AO281" s="78"/>
    </row>
    <row r="282" spans="1:41" x14ac:dyDescent="0.3">
      <c r="A282" s="1" t="s">
        <v>321</v>
      </c>
      <c r="B282" s="1" t="s">
        <v>2</v>
      </c>
      <c r="C282" s="10">
        <f>C276/C281</f>
        <v>1</v>
      </c>
      <c r="D282" s="10">
        <f>D277/D281</f>
        <v>0.50081566068515493</v>
      </c>
      <c r="E282" s="10">
        <f>E278/E281</f>
        <v>0.9787946428571429</v>
      </c>
      <c r="F282" s="10">
        <f>F279/F281</f>
        <v>0.94604174871996849</v>
      </c>
      <c r="G282" s="10">
        <f>G280/G281</f>
        <v>0.85870646766169156</v>
      </c>
      <c r="H282" s="10"/>
      <c r="I282" s="14">
        <f>(C276+D277+E278+F279+G280)/H281</f>
        <v>0.93637776243093918</v>
      </c>
      <c r="S282" t="s">
        <v>39</v>
      </c>
      <c r="T282" s="57">
        <f t="shared" si="41"/>
        <v>0</v>
      </c>
      <c r="U282" s="57">
        <f t="shared" si="41"/>
        <v>1.8214034295605253</v>
      </c>
      <c r="V282" s="57">
        <f t="shared" si="41"/>
        <v>0.23885215113491598</v>
      </c>
      <c r="W282" s="57">
        <f t="shared" si="41"/>
        <v>0.54118241345639406</v>
      </c>
      <c r="X282" s="57">
        <f t="shared" si="41"/>
        <v>1.0855378627152332</v>
      </c>
    </row>
    <row r="283" spans="1:41" x14ac:dyDescent="0.3">
      <c r="B283" s="1" t="s">
        <v>14</v>
      </c>
      <c r="C283" s="11">
        <f>1-C282</f>
        <v>0</v>
      </c>
      <c r="D283" s="11">
        <f>1-D282</f>
        <v>0.49918433931484507</v>
      </c>
      <c r="E283" s="11">
        <f>1-E282</f>
        <v>2.1205357142857095E-2</v>
      </c>
      <c r="F283" s="11">
        <f>1-F282</f>
        <v>5.3958251280031511E-2</v>
      </c>
      <c r="G283" s="11">
        <f>1-G282</f>
        <v>0.14129353233830844</v>
      </c>
      <c r="S283" s="66" t="s">
        <v>65</v>
      </c>
      <c r="T283" s="67">
        <f>1.96*T282</f>
        <v>0</v>
      </c>
      <c r="U283" s="67">
        <f>1.96*U282</f>
        <v>3.5699507219386293</v>
      </c>
      <c r="V283" s="67">
        <f>1.96*V282</f>
        <v>0.46815021622443531</v>
      </c>
      <c r="W283" s="67">
        <f>1.96*W282</f>
        <v>1.0607175303745324</v>
      </c>
      <c r="X283" s="67">
        <f>1.96*X282</f>
        <v>2.127654210921857</v>
      </c>
      <c r="AM283" s="78"/>
      <c r="AN283" s="78"/>
      <c r="AO283" s="78"/>
    </row>
    <row r="284" spans="1:41" x14ac:dyDescent="0.3">
      <c r="C284" s="2"/>
      <c r="S284" t="s">
        <v>56</v>
      </c>
      <c r="T284" s="57">
        <f>AVERAGE(T22,T32,T42,T52,T62)</f>
        <v>100</v>
      </c>
      <c r="U284" s="57">
        <f>AVERAGE(U22,U32,U42,U52,U62)</f>
        <v>64.198543344034292</v>
      </c>
      <c r="V284" s="57">
        <f>AVERAGE(V22,V32,V42,V52,V62)</f>
        <v>96.69761649035037</v>
      </c>
      <c r="W284" s="57">
        <f>AVERAGE(W22,W32,W42,W52,W62)</f>
        <v>92.889109160806996</v>
      </c>
      <c r="X284" s="57">
        <f>AVERAGE(X22,X32,X42,X52,X62)</f>
        <v>86.683841686616461</v>
      </c>
    </row>
    <row r="285" spans="1:41" ht="15.6" x14ac:dyDescent="0.35">
      <c r="A285" t="s">
        <v>322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</v>
      </c>
      <c r="U285" s="57">
        <f>_xlfn.STDEV.S(U22,U32,U42,U52,U62)</f>
        <v>0.62637860845815418</v>
      </c>
      <c r="V285" s="57">
        <f>_xlfn.STDEV.S(V22,V32,V42,V52,V62)</f>
        <v>9.0486871219351492E-2</v>
      </c>
      <c r="W285" s="57">
        <f>_xlfn.STDEV.S(W22,W32,W42,W52,W62)</f>
        <v>0.19201252585145817</v>
      </c>
      <c r="X285" s="57">
        <f>_xlfn.STDEV.S(X22,X32,X42,X52,X62)</f>
        <v>0.53173515060340082</v>
      </c>
      <c r="AM285" s="78"/>
      <c r="AN285" s="78"/>
      <c r="AO285" s="78"/>
    </row>
    <row r="286" spans="1:41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65</v>
      </c>
      <c r="T286" s="67">
        <f>1.96*T285</f>
        <v>0</v>
      </c>
      <c r="U286" s="67">
        <f>1.96*U285</f>
        <v>1.2277020725779821</v>
      </c>
      <c r="V286" s="67">
        <f>1.96*V285</f>
        <v>0.17735426758992892</v>
      </c>
      <c r="W286" s="67">
        <f>1.96*W285</f>
        <v>0.37634455066885802</v>
      </c>
      <c r="X286" s="67">
        <f>1.96*X285</f>
        <v>1.0422008951826656</v>
      </c>
    </row>
    <row r="287" spans="1:41" x14ac:dyDescent="0.3">
      <c r="A287" t="s">
        <v>3</v>
      </c>
      <c r="B287" s="13">
        <v>0</v>
      </c>
      <c r="C287" s="29">
        <f>(C276/$L287)*$O287</f>
        <v>1.6992476109189432</v>
      </c>
      <c r="D287" s="31">
        <f>(D276/$L287)*$O287</f>
        <v>0</v>
      </c>
      <c r="E287" s="31">
        <f>(E276/$L287)*$O287</f>
        <v>0</v>
      </c>
      <c r="F287" s="31">
        <f>(F276/$L287)*$O287</f>
        <v>0</v>
      </c>
      <c r="G287" s="32">
        <f>(G276/$L287)*$O287</f>
        <v>0</v>
      </c>
      <c r="H287" s="17">
        <f>SUM(C287:G287)</f>
        <v>1.6992476109189432</v>
      </c>
      <c r="I287" s="17">
        <f>C287/H287*100</f>
        <v>100</v>
      </c>
      <c r="J287" s="17">
        <f>SQRT(I287*(100-I287)/(L287-1))</f>
        <v>0</v>
      </c>
      <c r="K287" s="18">
        <f>100-I287</f>
        <v>0</v>
      </c>
      <c r="L287" s="1">
        <f>H276</f>
        <v>259</v>
      </c>
      <c r="M287">
        <v>0</v>
      </c>
      <c r="N287" s="1">
        <v>3366</v>
      </c>
      <c r="O287" s="17">
        <f>N287/N292*100</f>
        <v>1.6992476109189432</v>
      </c>
      <c r="P287" s="52">
        <f>((O287*O287*(I287/100)*(K287/100))/(L287-1))</f>
        <v>0</v>
      </c>
      <c r="R287" s="16" t="s">
        <v>75</v>
      </c>
      <c r="S287" t="s">
        <v>9</v>
      </c>
      <c r="T287" s="57">
        <f>AVERAGE(T23,T33,T43,T53,T63)</f>
        <v>3331.922</v>
      </c>
      <c r="U287" s="57">
        <f>AVERAGE(U23,U33,U43,U53,U63)</f>
        <v>10127.604000000001</v>
      </c>
      <c r="V287" s="57">
        <f>AVERAGE(V23,V33,V43,V53,V63)</f>
        <v>124993.09599999999</v>
      </c>
      <c r="W287" s="57">
        <f>AVERAGE(W23,W33,W43,W53,W63)</f>
        <v>40844.239999999998</v>
      </c>
      <c r="X287" s="57">
        <f>AVERAGE(X23,X33,X43,X53,X63)</f>
        <v>18790.810000000001</v>
      </c>
      <c r="Z287" t="s">
        <v>36</v>
      </c>
      <c r="AA287" s="57">
        <f>AVERAGE(AA23,AA33,AA43,AA53,AA63)</f>
        <v>198087.67200000002</v>
      </c>
      <c r="AM287" s="78"/>
      <c r="AN287" s="78"/>
      <c r="AO287" s="78"/>
    </row>
    <row r="288" spans="1:41" x14ac:dyDescent="0.3">
      <c r="A288" t="s">
        <v>4</v>
      </c>
      <c r="B288" s="13">
        <v>1</v>
      </c>
      <c r="C288" s="33">
        <f t="shared" ref="C288:G291" si="42">(C277/$L288)*$O288</f>
        <v>0</v>
      </c>
      <c r="D288" s="34">
        <f t="shared" si="42"/>
        <v>4.7484260298229852</v>
      </c>
      <c r="E288" s="19">
        <f t="shared" si="42"/>
        <v>0.60322024483093295</v>
      </c>
      <c r="F288" s="18">
        <f t="shared" si="42"/>
        <v>0</v>
      </c>
      <c r="G288" s="20">
        <f t="shared" si="42"/>
        <v>1.5467185764895716E-2</v>
      </c>
      <c r="H288" s="17">
        <f>SUM(C288:G288)</f>
        <v>5.367113460418814</v>
      </c>
      <c r="I288" s="17">
        <f>D288/H288*100</f>
        <v>88.472622478386171</v>
      </c>
      <c r="J288" s="17">
        <f>SQRT(I288*(100-I288)/(L288-1))</f>
        <v>1.7168472580917817</v>
      </c>
      <c r="K288" s="18">
        <f>100-I288</f>
        <v>11.527377521613829</v>
      </c>
      <c r="L288" s="1">
        <f>H277</f>
        <v>347</v>
      </c>
      <c r="M288">
        <v>1</v>
      </c>
      <c r="N288" s="1">
        <v>10631.59</v>
      </c>
      <c r="O288" s="17">
        <f>N288/N292*100</f>
        <v>5.367113460418814</v>
      </c>
      <c r="P288" s="52">
        <f>((O288*O288*(I288/100)*(K288/100))/(L288-1))</f>
        <v>8.4907268779350707E-3</v>
      </c>
      <c r="S288" t="s">
        <v>29</v>
      </c>
      <c r="T288" s="57">
        <f>_xlfn.STDEV.S(T23,T33,T43,T53,T63)</f>
        <v>66.267435215194496</v>
      </c>
      <c r="U288" s="57">
        <f>_xlfn.STDEV.S(U23,U33,U43,U53,U63)</f>
        <v>133.88567746402182</v>
      </c>
      <c r="V288" s="57">
        <f>_xlfn.STDEV.S(V23,V33,V43,V53,V63)</f>
        <v>214.33124709197182</v>
      </c>
      <c r="W288" s="57">
        <f>_xlfn.STDEV.S(W23,W33,W43,W53,W63)</f>
        <v>240.47775427261425</v>
      </c>
      <c r="X288" s="57">
        <f>_xlfn.STDEV.S(X23,X33,X43,X53,X63)</f>
        <v>275.47600049732137</v>
      </c>
      <c r="Z288" t="s">
        <v>29</v>
      </c>
      <c r="AA288" s="57">
        <f>_xlfn.STDEV.S(AA23,AA33,AA43,AA53,AA63)</f>
        <v>8.366600248782748E-3</v>
      </c>
    </row>
    <row r="289" spans="1:41" x14ac:dyDescent="0.3">
      <c r="A289" t="s">
        <v>5</v>
      </c>
      <c r="B289" s="13">
        <v>2</v>
      </c>
      <c r="C289" s="33">
        <f t="shared" si="42"/>
        <v>0</v>
      </c>
      <c r="D289" s="19">
        <f t="shared" si="42"/>
        <v>2.552290468704304</v>
      </c>
      <c r="E289" s="34">
        <f t="shared" si="42"/>
        <v>60.0901675450651</v>
      </c>
      <c r="F289" s="19">
        <f t="shared" si="42"/>
        <v>0.11134153051394616</v>
      </c>
      <c r="G289" s="20">
        <f t="shared" si="42"/>
        <v>0.19698886167852012</v>
      </c>
      <c r="H289" s="17">
        <f>SUM(C289:G289)</f>
        <v>62.950788405961873</v>
      </c>
      <c r="I289" s="17">
        <f>E289/H289*100</f>
        <v>95.455782312925166</v>
      </c>
      <c r="J289" s="17">
        <f>SQRT(I289*(100-I289)/(L289-1))</f>
        <v>0.24294980835172764</v>
      </c>
      <c r="K289" s="18">
        <f>100-I289</f>
        <v>4.5442176870748341</v>
      </c>
      <c r="L289" s="1">
        <f>H278</f>
        <v>7350</v>
      </c>
      <c r="M289">
        <v>2</v>
      </c>
      <c r="N289" s="1">
        <v>124697.75</v>
      </c>
      <c r="O289" s="17">
        <f>N289/N292*100</f>
        <v>62.950788405961866</v>
      </c>
      <c r="P289" s="52">
        <f>((O289*O289*(I289/100)*(K289/100))/(L289-1))</f>
        <v>2.3390282598203214E-2</v>
      </c>
      <c r="S289" t="s">
        <v>65</v>
      </c>
      <c r="T289" s="57">
        <f>1.96*T288</f>
        <v>129.88417302178121</v>
      </c>
      <c r="U289" s="57">
        <f>1.96*U288</f>
        <v>262.41592782948277</v>
      </c>
      <c r="V289" s="57">
        <f>1.96*V288</f>
        <v>420.08924430026474</v>
      </c>
      <c r="W289" s="57">
        <f>1.96*W288</f>
        <v>471.33639837432389</v>
      </c>
      <c r="X289" s="57">
        <f>1.96*X288</f>
        <v>539.9329609747499</v>
      </c>
      <c r="AM289" s="78"/>
      <c r="AN289" s="78"/>
      <c r="AO289" s="78"/>
    </row>
    <row r="290" spans="1:41" x14ac:dyDescent="0.3">
      <c r="A290" t="s">
        <v>6</v>
      </c>
      <c r="B290" s="13">
        <v>3</v>
      </c>
      <c r="C290" s="33">
        <f t="shared" si="42"/>
        <v>0</v>
      </c>
      <c r="D290" s="19">
        <f t="shared" si="42"/>
        <v>6.1849089735526254E-2</v>
      </c>
      <c r="E290" s="19">
        <f t="shared" si="42"/>
        <v>0.85042498386348608</v>
      </c>
      <c r="F290" s="34">
        <f t="shared" si="42"/>
        <v>18.570189193091757</v>
      </c>
      <c r="G290" s="20">
        <f t="shared" si="42"/>
        <v>0.91227407359901236</v>
      </c>
      <c r="H290" s="17">
        <f>SUM(C290:G290)</f>
        <v>20.39473734028978</v>
      </c>
      <c r="I290" s="17">
        <f>F290/H290*100</f>
        <v>91.053828658074309</v>
      </c>
      <c r="J290" s="17">
        <f>SQRT(I290*(100-I290)/(L290-1))</f>
        <v>0.55579245508882691</v>
      </c>
      <c r="K290" s="18">
        <f>100-I290</f>
        <v>8.946171341925691</v>
      </c>
      <c r="L290" s="1">
        <f>H279</f>
        <v>2638</v>
      </c>
      <c r="M290">
        <v>3</v>
      </c>
      <c r="N290" s="1">
        <v>40399.46</v>
      </c>
      <c r="O290" s="17">
        <f>N290/N292*100</f>
        <v>20.394737340289783</v>
      </c>
      <c r="P290" s="52">
        <f>((O290*O290*(I290/100)*(K290/100))/(L290-1))</f>
        <v>1.2848769163963712E-2</v>
      </c>
      <c r="R290" s="16" t="s">
        <v>74</v>
      </c>
      <c r="S290" t="s">
        <v>9</v>
      </c>
      <c r="T290" s="57">
        <f>AVERAGE(T24,T34,T44,T54,T64)</f>
        <v>3331.922</v>
      </c>
      <c r="U290" s="57">
        <f>AVERAGE(U24,U34,U44,U54,U64)</f>
        <v>13702.322362542298</v>
      </c>
      <c r="V290" s="57">
        <f>AVERAGE(V24,V34,V44,V54,V64)</f>
        <v>122553.06381066851</v>
      </c>
      <c r="W290" s="57">
        <f>AVERAGE(W24,W34,W44,W54,W64)</f>
        <v>40158.669073163743</v>
      </c>
      <c r="X290" s="57">
        <f>AVERAGE(X24,X34,X44,X54,X64)</f>
        <v>18341.694753625445</v>
      </c>
      <c r="Z290" t="s">
        <v>36</v>
      </c>
      <c r="AA290" s="24">
        <f>SUM(T290:X290)</f>
        <v>198087.67199999996</v>
      </c>
    </row>
    <row r="291" spans="1:41" x14ac:dyDescent="0.3">
      <c r="A291" t="s">
        <v>7</v>
      </c>
      <c r="B291" s="13">
        <v>4</v>
      </c>
      <c r="C291" s="35">
        <f t="shared" si="42"/>
        <v>0</v>
      </c>
      <c r="D291" s="36">
        <f t="shared" si="42"/>
        <v>0</v>
      </c>
      <c r="E291" s="21">
        <f t="shared" si="42"/>
        <v>2.9054888431547264E-2</v>
      </c>
      <c r="F291" s="21">
        <f t="shared" si="42"/>
        <v>1.2009353885039535</v>
      </c>
      <c r="G291" s="37">
        <f t="shared" si="42"/>
        <v>8.3581229054750956</v>
      </c>
      <c r="H291" s="17">
        <f>SUM(C291:G291)</f>
        <v>9.5881131824105967</v>
      </c>
      <c r="I291" s="17">
        <f>G291/H291*100</f>
        <v>87.171717171717162</v>
      </c>
      <c r="J291" s="17">
        <f>SQRT(I291*(100-I291)/(L291-1))</f>
        <v>1.063344325801014</v>
      </c>
      <c r="K291" s="18">
        <f>100-I291</f>
        <v>12.828282828282838</v>
      </c>
      <c r="L291" s="1">
        <f>H280</f>
        <v>990</v>
      </c>
      <c r="M291">
        <v>4</v>
      </c>
      <c r="N291" s="1">
        <v>18992.87</v>
      </c>
      <c r="O291" s="17">
        <f>N291/N292*100</f>
        <v>9.5881131824105967</v>
      </c>
      <c r="P291" s="52">
        <f>((O291*O291*(I291/100)*(K291/100))/(L291-1))</f>
        <v>1.0394752181159022E-2</v>
      </c>
      <c r="S291" t="s">
        <v>29</v>
      </c>
      <c r="T291" s="57">
        <f>_xlfn.STDEV.S(T24,T34,T44,T54,T64)</f>
        <v>66.267435215194624</v>
      </c>
      <c r="U291" s="57">
        <f>_xlfn.STDEV.S(U24,U34,U44,U54,U64)</f>
        <v>400.41552764353224</v>
      </c>
      <c r="V291" s="57">
        <f>_xlfn.STDEV.S(V24,V34,V44,V54,V64)</f>
        <v>411.54525409524814</v>
      </c>
      <c r="W291" s="57">
        <f>_xlfn.STDEV.S(W24,W34,W44,W54,W64)</f>
        <v>268.92231925452461</v>
      </c>
      <c r="X291" s="57">
        <f>_xlfn.STDEV.S(X24,X34,X44,X54,X64)</f>
        <v>358.02070915067276</v>
      </c>
      <c r="AM291" s="78"/>
      <c r="AN291" s="78"/>
      <c r="AO291" s="78"/>
    </row>
    <row r="292" spans="1:41" x14ac:dyDescent="0.3">
      <c r="B292" t="s">
        <v>28</v>
      </c>
      <c r="C292" s="17">
        <f>SUM(C287:C291)</f>
        <v>1.6992476109189432</v>
      </c>
      <c r="D292" s="17">
        <f>SUM(D287:D291)</f>
        <v>7.3625655882628154</v>
      </c>
      <c r="E292" s="17">
        <f>SUM(E287:E291)</f>
        <v>61.572867662191065</v>
      </c>
      <c r="F292" s="17">
        <f>SUM(F287:F291)</f>
        <v>19.882466112109658</v>
      </c>
      <c r="G292" s="17">
        <f>SUM(G287:G291)</f>
        <v>9.4828530265175246</v>
      </c>
      <c r="H292" s="1">
        <f>SUM(H286:H291)</f>
        <v>100</v>
      </c>
      <c r="I292" s="13" t="s">
        <v>24</v>
      </c>
      <c r="J292" s="12" t="s">
        <v>29</v>
      </c>
      <c r="N292" s="1">
        <f>SUM(N287:N291)</f>
        <v>198087.66999999998</v>
      </c>
      <c r="O292" s="17">
        <f>SUM(O287:O291)</f>
        <v>100</v>
      </c>
      <c r="S292" s="66" t="s">
        <v>65</v>
      </c>
      <c r="T292" s="67">
        <f>1.96*T291</f>
        <v>129.88417302178146</v>
      </c>
      <c r="U292" s="67">
        <f>1.96*U291</f>
        <v>784.81443418132324</v>
      </c>
      <c r="V292" s="67">
        <f>1.96*V291</f>
        <v>806.62869802668638</v>
      </c>
      <c r="W292" s="67">
        <f>1.96*W291</f>
        <v>527.08774573886819</v>
      </c>
      <c r="X292" s="67">
        <f>1.96*X291</f>
        <v>701.72058993531857</v>
      </c>
    </row>
    <row r="293" spans="1:41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0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0.17296350593826496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0.19557537728510938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0.15482255320314242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0.13799313937504781</v>
      </c>
      <c r="H293" s="1"/>
      <c r="I293" s="56">
        <f>(C287+D288+E289+F290+G291)/H292</f>
        <v>0.93466153284373876</v>
      </c>
      <c r="J293" s="53">
        <f>SQRT(SUM(P287:P291))/100</f>
        <v>2.3478613847768147E-3</v>
      </c>
      <c r="M293" s="1"/>
      <c r="N293" s="9"/>
      <c r="AM293" s="78"/>
      <c r="AN293" s="78"/>
      <c r="AO293" s="78"/>
    </row>
    <row r="294" spans="1:41" x14ac:dyDescent="0.3">
      <c r="B294" s="1" t="s">
        <v>30</v>
      </c>
      <c r="C294" s="17">
        <f>C287/C292*100</f>
        <v>100</v>
      </c>
      <c r="D294" s="17">
        <f>D288/D292*100</f>
        <v>64.494176288124152</v>
      </c>
      <c r="E294" s="17">
        <f>E289/E292*100</f>
        <v>97.591958644413737</v>
      </c>
      <c r="F294" s="17">
        <f>F290/F292*100</f>
        <v>93.399828212363246</v>
      </c>
      <c r="G294" s="17">
        <f>G291/G292*100</f>
        <v>88.13932771184713</v>
      </c>
      <c r="H294" s="1"/>
    </row>
    <row r="295" spans="1:41" x14ac:dyDescent="0.3">
      <c r="B295" s="16" t="s">
        <v>39</v>
      </c>
      <c r="C295" s="18">
        <f>SQRT((C298+C299)/(C292*C292))</f>
        <v>0</v>
      </c>
      <c r="D295" s="18">
        <f>SQRT((D298+D299)/(D292*D292))</f>
        <v>4.6251989305490682</v>
      </c>
      <c r="E295" s="18">
        <f>SQRT((E298+E299)/(E292*E292))</f>
        <v>0.20243976070155731</v>
      </c>
      <c r="F295" s="18">
        <f>SQRT((F298+F299)/(F292*F292))</f>
        <v>0.6223700155268338</v>
      </c>
      <c r="G295" s="18">
        <f>SQRT((G298+G299)/(G292*G292))</f>
        <v>1.540901194283133</v>
      </c>
      <c r="H295" s="1"/>
      <c r="AM295" s="78"/>
      <c r="AN295" s="78"/>
      <c r="AO295" s="78"/>
    </row>
    <row r="296" spans="1:41" x14ac:dyDescent="0.3">
      <c r="B296" s="1" t="s">
        <v>37</v>
      </c>
      <c r="C296" s="18">
        <f>100-C294</f>
        <v>0</v>
      </c>
      <c r="D296" s="18">
        <f>100-D294</f>
        <v>35.505823711875848</v>
      </c>
      <c r="E296" s="18">
        <f>100-E294</f>
        <v>2.4080413555862634</v>
      </c>
      <c r="F296" s="18">
        <f>100-F294</f>
        <v>6.6001717876367536</v>
      </c>
      <c r="G296" s="18">
        <f>100-G294</f>
        <v>11.86067228815287</v>
      </c>
    </row>
    <row r="297" spans="1:41" ht="15.6" x14ac:dyDescent="0.35">
      <c r="B297" s="1" t="s">
        <v>25</v>
      </c>
      <c r="C297" s="1">
        <f>C281</f>
        <v>259</v>
      </c>
      <c r="D297" s="1">
        <f>D281</f>
        <v>613</v>
      </c>
      <c r="E297" s="1">
        <f>E281</f>
        <v>7168</v>
      </c>
      <c r="F297" s="1">
        <f>F281</f>
        <v>2539</v>
      </c>
      <c r="G297" s="1">
        <f>G281</f>
        <v>1005</v>
      </c>
      <c r="AM297" s="78"/>
      <c r="AN297" s="78"/>
      <c r="AO297" s="78"/>
    </row>
    <row r="298" spans="1:41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1070.3949611719645</v>
      </c>
      <c r="E298" s="18">
        <f>(O289*O289*(100-E294)*(100-E294)*(I289)*(100-I289))/((L289-1)*100)</f>
        <v>13.563237024309208</v>
      </c>
      <c r="F298" s="18">
        <f>(O290*O290*(100-F294)*(100-F294)*(I290)*(100-I290))/((L290-1)*100)</f>
        <v>55.972152098934565</v>
      </c>
      <c r="G298" s="18">
        <f>(O291*O291*(100-G294)*(100-G294)*(I291)*(100-I291))/((L291-1)*100)</f>
        <v>146.22874503336794</v>
      </c>
    </row>
    <row r="299" spans="1:41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89.234355943935498</v>
      </c>
      <c r="E299" s="18">
        <f>E294*E294*(SUM((H287*E287*(1-E276/H276))/(H276-1),(H288*E288*(1-E277/H277))/(H277-1), (H290*E290*(1-E279/H279))/(H279-1),(H291*E291*(1-E280/H280))/(H280-1)))</f>
        <v>141.80791713646269</v>
      </c>
      <c r="F299" s="18">
        <f>F294*F294*(SUM((H287*F287*(1-F276/H276))/(H276-1),(H288*F288*(1-F277/H277))/(H277-1), (H289*F289*(1-F278/H278))/(H278-1),(H291*F291*(1-F280/H280))/(H280-1)))</f>
        <v>97.149929349361145</v>
      </c>
      <c r="G299" s="18">
        <f>G294*G294*(SUM((H287*G287*(1-G276/H276))/(H276-1),(H288*G288*(1-G277/H277))/(H277-1), (H289*G289*(1-G278/H278))/(H278-1),(H290*G290*(1-G279/H279))/(H279-1)))</f>
        <v>67.285877305548311</v>
      </c>
      <c r="AM299" s="78"/>
      <c r="AN299" s="78"/>
      <c r="AO299" s="78"/>
    </row>
    <row r="301" spans="1:41" x14ac:dyDescent="0.3">
      <c r="AM301" s="78"/>
      <c r="AN301" s="78"/>
      <c r="AO301" s="78"/>
    </row>
    <row r="302" spans="1:41" x14ac:dyDescent="0.3">
      <c r="A302" s="361" t="s">
        <v>461</v>
      </c>
      <c r="B302" s="361"/>
      <c r="C302" s="361"/>
      <c r="D302" s="361"/>
      <c r="E302" s="361"/>
      <c r="F302" s="361"/>
      <c r="G302" s="361"/>
      <c r="H302" s="361"/>
      <c r="I302" s="361"/>
      <c r="J302" s="361"/>
      <c r="K302" s="361"/>
      <c r="L302" s="361" t="s">
        <v>88</v>
      </c>
      <c r="M302" s="361"/>
      <c r="N302" s="361"/>
      <c r="O302" s="361"/>
      <c r="P302" s="361"/>
    </row>
    <row r="303" spans="1:41" x14ac:dyDescent="0.3">
      <c r="A303" t="s">
        <v>320</v>
      </c>
      <c r="B303" t="s">
        <v>21</v>
      </c>
      <c r="I303" s="1" t="s">
        <v>58</v>
      </c>
      <c r="O303" s="143"/>
      <c r="P303" s="143"/>
      <c r="AM303" s="78"/>
      <c r="AN303" s="78"/>
      <c r="AO303" s="78"/>
    </row>
    <row r="304" spans="1:41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56</v>
      </c>
      <c r="O304" s="13"/>
      <c r="P304" s="13"/>
    </row>
    <row r="305" spans="1:41" x14ac:dyDescent="0.3">
      <c r="A305" t="s">
        <v>3</v>
      </c>
      <c r="B305" s="13">
        <v>0</v>
      </c>
      <c r="C305" s="26">
        <v>259</v>
      </c>
      <c r="D305" s="3">
        <v>0</v>
      </c>
      <c r="E305" s="3">
        <v>0</v>
      </c>
      <c r="F305" s="3">
        <v>0</v>
      </c>
      <c r="G305" s="4">
        <v>0</v>
      </c>
      <c r="H305" s="1">
        <f>SUM(C305:G305)</f>
        <v>259</v>
      </c>
      <c r="I305" s="10">
        <f>C305/H305</f>
        <v>1</v>
      </c>
      <c r="J305" s="11">
        <f>1-I305</f>
        <v>0</v>
      </c>
      <c r="K305">
        <f>H305-C310</f>
        <v>0</v>
      </c>
      <c r="N305" s="10">
        <f>2*(C311*I305)/(C311+I305)</f>
        <v>1</v>
      </c>
      <c r="O305" s="1"/>
      <c r="P305" s="1"/>
      <c r="AM305" s="78"/>
      <c r="AN305" s="78"/>
      <c r="AO305" s="78"/>
    </row>
    <row r="306" spans="1:41" x14ac:dyDescent="0.3">
      <c r="A306" t="s">
        <v>4</v>
      </c>
      <c r="B306" s="13">
        <v>1</v>
      </c>
      <c r="C306" s="5">
        <v>0</v>
      </c>
      <c r="D306" s="27">
        <v>302</v>
      </c>
      <c r="E306" s="1">
        <v>43</v>
      </c>
      <c r="F306" s="1">
        <v>0</v>
      </c>
      <c r="G306" s="6">
        <v>2</v>
      </c>
      <c r="H306" s="1">
        <f>SUM(C306:G306)</f>
        <v>347</v>
      </c>
      <c r="I306" s="10">
        <f>D306/H306</f>
        <v>0.87031700288184433</v>
      </c>
      <c r="J306" s="11">
        <f>1-I306</f>
        <v>0.12968299711815567</v>
      </c>
      <c r="K306">
        <f>H306-D310</f>
        <v>-267</v>
      </c>
      <c r="N306" s="10">
        <f>2*(D311*I306)/(D311+I306)</f>
        <v>0.62851196670135279</v>
      </c>
      <c r="O306" s="1"/>
      <c r="P306" s="1"/>
    </row>
    <row r="307" spans="1:41" x14ac:dyDescent="0.3">
      <c r="A307" t="s">
        <v>5</v>
      </c>
      <c r="B307" s="13">
        <v>2</v>
      </c>
      <c r="C307" s="5">
        <v>0</v>
      </c>
      <c r="D307" s="1">
        <v>303</v>
      </c>
      <c r="E307" s="27">
        <v>7007</v>
      </c>
      <c r="F307" s="1">
        <v>15</v>
      </c>
      <c r="G307" s="6">
        <v>25</v>
      </c>
      <c r="H307" s="1">
        <f>SUM(C307:G307)</f>
        <v>7350</v>
      </c>
      <c r="I307" s="10">
        <f>E307/H307</f>
        <v>0.95333333333333337</v>
      </c>
      <c r="J307" s="11">
        <f>1-I307</f>
        <v>4.6666666666666634E-2</v>
      </c>
      <c r="K307">
        <f>H307-E310</f>
        <v>186</v>
      </c>
      <c r="N307" s="10">
        <f>2*(E311*I307)/(E311+I307)</f>
        <v>0.96555050296265688</v>
      </c>
      <c r="O307" s="1"/>
      <c r="P307" s="1"/>
      <c r="AM307" s="78"/>
      <c r="AN307" s="78"/>
      <c r="AO307" s="78"/>
    </row>
    <row r="308" spans="1:41" x14ac:dyDescent="0.3">
      <c r="A308" t="s">
        <v>6</v>
      </c>
      <c r="B308" s="13">
        <v>3</v>
      </c>
      <c r="C308" s="5">
        <v>0</v>
      </c>
      <c r="D308" s="1">
        <v>9</v>
      </c>
      <c r="E308" s="1">
        <v>111</v>
      </c>
      <c r="F308" s="27">
        <v>2407</v>
      </c>
      <c r="G308" s="6">
        <v>111</v>
      </c>
      <c r="H308" s="1">
        <f>SUM(C308:G308)</f>
        <v>2638</v>
      </c>
      <c r="I308" s="10">
        <f>F308/H308</f>
        <v>0.91243366186504926</v>
      </c>
      <c r="J308" s="11">
        <f>1-I308</f>
        <v>8.7566338134950739E-2</v>
      </c>
      <c r="K308">
        <f>H308-F310</f>
        <v>67</v>
      </c>
      <c r="N308" s="10">
        <f>2*(F311*I308)/(F311+I308)</f>
        <v>0.92416970627759654</v>
      </c>
      <c r="O308" s="1"/>
      <c r="P308" s="1"/>
    </row>
    <row r="309" spans="1:41" x14ac:dyDescent="0.3">
      <c r="A309" t="s">
        <v>7</v>
      </c>
      <c r="B309" s="13">
        <v>4</v>
      </c>
      <c r="C309" s="7">
        <v>0</v>
      </c>
      <c r="D309" s="8">
        <v>0</v>
      </c>
      <c r="E309" s="8">
        <v>3</v>
      </c>
      <c r="F309" s="8">
        <v>149</v>
      </c>
      <c r="G309" s="28">
        <v>838</v>
      </c>
      <c r="H309" s="1">
        <f>SUM(C309:G309)</f>
        <v>990</v>
      </c>
      <c r="I309" s="10">
        <f>G309/H309</f>
        <v>0.84646464646464648</v>
      </c>
      <c r="J309" s="11">
        <f>1-I309</f>
        <v>0.15353535353535352</v>
      </c>
      <c r="K309">
        <f>H309-G310</f>
        <v>14</v>
      </c>
      <c r="N309" s="10">
        <f>2*(G311*I309)/(G311+I309)</f>
        <v>0.85249237029501523</v>
      </c>
      <c r="O309" s="1"/>
      <c r="P309" s="1"/>
      <c r="AM309" s="78"/>
      <c r="AN309" s="78"/>
      <c r="AO309" s="78"/>
    </row>
    <row r="310" spans="1:41" ht="15.6" x14ac:dyDescent="0.35">
      <c r="B310" s="1" t="s">
        <v>19</v>
      </c>
      <c r="C310" s="1">
        <f>SUM(C305:C309)</f>
        <v>259</v>
      </c>
      <c r="D310" s="1">
        <f>SUM(D305:D309)</f>
        <v>614</v>
      </c>
      <c r="E310" s="1">
        <f>SUM(E305:E309)</f>
        <v>7164</v>
      </c>
      <c r="F310" s="1">
        <f>SUM(F305:F309)</f>
        <v>2571</v>
      </c>
      <c r="G310" s="1">
        <f>SUM(G305:G309)</f>
        <v>976</v>
      </c>
      <c r="H310" s="1">
        <f>SUM(H304:H309)</f>
        <v>11584</v>
      </c>
      <c r="I310" s="13" t="s">
        <v>12</v>
      </c>
      <c r="N310" s="16" t="s">
        <v>36</v>
      </c>
      <c r="O310" s="1"/>
      <c r="P310" s="1"/>
    </row>
    <row r="311" spans="1:41" x14ac:dyDescent="0.3">
      <c r="A311" s="1" t="s">
        <v>321</v>
      </c>
      <c r="B311" s="1" t="s">
        <v>2</v>
      </c>
      <c r="C311" s="10">
        <f>C305/C310</f>
        <v>1</v>
      </c>
      <c r="D311" s="10">
        <f>D306/D310</f>
        <v>0.49185667752442996</v>
      </c>
      <c r="E311" s="10">
        <f>E307/E310</f>
        <v>0.97808486878838641</v>
      </c>
      <c r="F311" s="10">
        <f>F308/F310</f>
        <v>0.93621159082069239</v>
      </c>
      <c r="G311" s="10">
        <f>G309/G310</f>
        <v>0.85860655737704916</v>
      </c>
      <c r="H311" s="10"/>
      <c r="I311" s="14">
        <f>(C305+D306+E307+F308+G309)/H310</f>
        <v>0.93344267955801108</v>
      </c>
      <c r="AM311" s="78"/>
      <c r="AN311" s="78"/>
      <c r="AO311" s="78"/>
    </row>
    <row r="312" spans="1:41" x14ac:dyDescent="0.3">
      <c r="B312" s="1" t="s">
        <v>14</v>
      </c>
      <c r="C312" s="11">
        <f>1-C311</f>
        <v>0</v>
      </c>
      <c r="D312" s="11">
        <f>1-D311</f>
        <v>0.50814332247557004</v>
      </c>
      <c r="E312" s="11">
        <f>1-E311</f>
        <v>2.1915131211613592E-2</v>
      </c>
      <c r="F312" s="11">
        <f>1-F311</f>
        <v>6.3788409179307615E-2</v>
      </c>
      <c r="G312" s="11">
        <f>1-G311</f>
        <v>0.14139344262295084</v>
      </c>
      <c r="Q312" s="25"/>
    </row>
    <row r="313" spans="1:41" x14ac:dyDescent="0.3">
      <c r="C313" s="2"/>
      <c r="Q313" s="25"/>
      <c r="AM313" s="78"/>
      <c r="AN313" s="78"/>
      <c r="AO313" s="78"/>
    </row>
    <row r="314" spans="1:41" ht="15.6" x14ac:dyDescent="0.35">
      <c r="A314" t="s">
        <v>322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1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  <c r="AO315" s="78"/>
    </row>
    <row r="316" spans="1:41" x14ac:dyDescent="0.3">
      <c r="A316" t="s">
        <v>3</v>
      </c>
      <c r="B316" s="13">
        <v>0</v>
      </c>
      <c r="C316" s="29">
        <f>(C305/$L316)*$O316</f>
        <v>1.7177343748856253</v>
      </c>
      <c r="D316" s="31">
        <f>(D305/$L316)*$O316</f>
        <v>0</v>
      </c>
      <c r="E316" s="31">
        <f>(E305/$L316)*$O316</f>
        <v>0</v>
      </c>
      <c r="F316" s="31">
        <f>(F305/$L316)*$O316</f>
        <v>0</v>
      </c>
      <c r="G316" s="32">
        <f>(G305/$L316)*$O316</f>
        <v>0</v>
      </c>
      <c r="H316" s="17">
        <f>SUM(C316:G316)</f>
        <v>1.7177343748856253</v>
      </c>
      <c r="I316" s="17">
        <f>C316/H316*100</f>
        <v>100</v>
      </c>
      <c r="J316" s="17">
        <f>SQRT(I316*(100-I316)/(L316-1))</f>
        <v>0</v>
      </c>
      <c r="K316" s="18">
        <f>100-I316</f>
        <v>0</v>
      </c>
      <c r="L316" s="1">
        <f>H305</f>
        <v>259</v>
      </c>
      <c r="M316">
        <v>0</v>
      </c>
      <c r="N316" s="1">
        <v>3402.62</v>
      </c>
      <c r="O316" s="17">
        <f>N316/N321*100</f>
        <v>1.7177343748856253</v>
      </c>
      <c r="P316" s="52">
        <f>((O316*O316*(I316/100)*(K316/100))/(L316-1))</f>
        <v>0</v>
      </c>
    </row>
    <row r="317" spans="1:41" x14ac:dyDescent="0.3">
      <c r="A317" t="s">
        <v>4</v>
      </c>
      <c r="B317" s="13">
        <v>1</v>
      </c>
      <c r="C317" s="33">
        <f t="shared" ref="C317:G320" si="43">(C306/$L317)*$O317</f>
        <v>0</v>
      </c>
      <c r="D317" s="34">
        <f t="shared" si="43"/>
        <v>4.4980703286245527</v>
      </c>
      <c r="E317" s="19">
        <f t="shared" si="43"/>
        <v>0.64045372228760189</v>
      </c>
      <c r="F317" s="18">
        <f t="shared" si="43"/>
        <v>0</v>
      </c>
      <c r="G317" s="20">
        <f t="shared" si="43"/>
        <v>2.9788545222679156E-2</v>
      </c>
      <c r="H317" s="17">
        <f>SUM(C317:G317)</f>
        <v>5.1683125961348342</v>
      </c>
      <c r="I317" s="17">
        <f>D317/H317*100</f>
        <v>87.031700288184439</v>
      </c>
      <c r="J317" s="17">
        <f>SQRT(I317*(100-I317)/(L317-1))</f>
        <v>1.8061017115288707</v>
      </c>
      <c r="K317" s="18">
        <f>100-I317</f>
        <v>12.968299711815561</v>
      </c>
      <c r="L317" s="1">
        <f>H306</f>
        <v>347</v>
      </c>
      <c r="M317">
        <v>1</v>
      </c>
      <c r="N317" s="1">
        <v>10237.790000000001</v>
      </c>
      <c r="O317" s="17">
        <f>N317/N321*100</f>
        <v>5.1683125961348342</v>
      </c>
      <c r="P317" s="52">
        <f>((O317*O317*(I317/100)*(K317/100))/(L317-1))</f>
        <v>8.713285712364266E-3</v>
      </c>
      <c r="AM317" s="78"/>
      <c r="AN317" s="78"/>
      <c r="AO317" s="78"/>
    </row>
    <row r="318" spans="1:41" x14ac:dyDescent="0.3">
      <c r="A318" t="s">
        <v>5</v>
      </c>
      <c r="B318" s="13">
        <v>2</v>
      </c>
      <c r="C318" s="33">
        <f t="shared" si="43"/>
        <v>0</v>
      </c>
      <c r="D318" s="19">
        <f t="shared" si="43"/>
        <v>2.5891346503499268</v>
      </c>
      <c r="E318" s="34">
        <f t="shared" si="43"/>
        <v>59.874806914197812</v>
      </c>
      <c r="F318" s="19">
        <f t="shared" si="43"/>
        <v>0.12817498269059044</v>
      </c>
      <c r="G318" s="20">
        <f t="shared" si="43"/>
        <v>0.21362497115098406</v>
      </c>
      <c r="H318" s="17">
        <f>SUM(C318:G318)</f>
        <v>62.805741518389311</v>
      </c>
      <c r="I318" s="17">
        <f>E318/H318*100</f>
        <v>95.333333333333343</v>
      </c>
      <c r="J318" s="17">
        <f>SQRT(I318*(100-I318)/(L318-1))</f>
        <v>0.24604336386390907</v>
      </c>
      <c r="K318" s="18">
        <f>100-I318</f>
        <v>4.6666666666666572</v>
      </c>
      <c r="L318" s="1">
        <f>H307</f>
        <v>7350</v>
      </c>
      <c r="M318">
        <v>2</v>
      </c>
      <c r="N318" s="1">
        <v>124410.43</v>
      </c>
      <c r="O318" s="17">
        <f>N318/N321*100</f>
        <v>62.805741518389311</v>
      </c>
      <c r="P318" s="52">
        <f>((O318*O318*(I318/100)*(K318/100))/(L318-1))</f>
        <v>2.3879322833597304E-2</v>
      </c>
    </row>
    <row r="319" spans="1:41" x14ac:dyDescent="0.3">
      <c r="A319" t="s">
        <v>6</v>
      </c>
      <c r="B319" s="13">
        <v>3</v>
      </c>
      <c r="C319" s="33">
        <f t="shared" si="43"/>
        <v>0</v>
      </c>
      <c r="D319" s="19">
        <f t="shared" si="43"/>
        <v>7.1358730633601292E-2</v>
      </c>
      <c r="E319" s="19">
        <f t="shared" si="43"/>
        <v>0.88009101114774935</v>
      </c>
      <c r="F319" s="34">
        <f t="shared" si="43"/>
        <v>19.084496070564256</v>
      </c>
      <c r="G319" s="20">
        <f t="shared" si="43"/>
        <v>0.88009101114774935</v>
      </c>
      <c r="H319" s="17">
        <f>SUM(C319:G319)</f>
        <v>20.916036823493354</v>
      </c>
      <c r="I319" s="17">
        <f>F319/H319*100</f>
        <v>91.243366186504943</v>
      </c>
      <c r="J319" s="17">
        <f>SQRT(I319*(100-I319)/(L319-1))</f>
        <v>0.55044531412295339</v>
      </c>
      <c r="K319" s="18">
        <f>100-I319</f>
        <v>8.756633813495057</v>
      </c>
      <c r="L319" s="1">
        <f>H308</f>
        <v>2638</v>
      </c>
      <c r="M319">
        <v>3</v>
      </c>
      <c r="N319" s="1">
        <v>41432.089999999997</v>
      </c>
      <c r="O319" s="17">
        <f>N319/N321*100</f>
        <v>20.916036823493357</v>
      </c>
      <c r="P319" s="52">
        <f>((O319*O319*(I319/100)*(K319/100))/(L319-1))</f>
        <v>1.3255226508287319E-2</v>
      </c>
      <c r="AM319" s="78"/>
      <c r="AN319" s="78"/>
      <c r="AO319" s="78"/>
    </row>
    <row r="320" spans="1:41" x14ac:dyDescent="0.3">
      <c r="A320" t="s">
        <v>7</v>
      </c>
      <c r="B320" s="13">
        <v>4</v>
      </c>
      <c r="C320" s="35">
        <f t="shared" si="43"/>
        <v>0</v>
      </c>
      <c r="D320" s="36">
        <f t="shared" si="43"/>
        <v>0</v>
      </c>
      <c r="E320" s="21">
        <f t="shared" si="43"/>
        <v>2.8461135415445094E-2</v>
      </c>
      <c r="F320" s="21">
        <f t="shared" si="43"/>
        <v>1.4135697256337731</v>
      </c>
      <c r="G320" s="37">
        <f t="shared" si="43"/>
        <v>7.9501438260476638</v>
      </c>
      <c r="H320" s="17">
        <f>SUM(C320:G320)</f>
        <v>9.3921746870968814</v>
      </c>
      <c r="I320" s="17">
        <f>G320/H320*100</f>
        <v>84.646464646464651</v>
      </c>
      <c r="J320" s="17">
        <f>SQRT(I320*(100-I320)/(L320-1))</f>
        <v>1.1463321238723592</v>
      </c>
      <c r="K320" s="18">
        <f>100-I320</f>
        <v>15.353535353535349</v>
      </c>
      <c r="L320" s="1">
        <f>H309</f>
        <v>990</v>
      </c>
      <c r="M320">
        <v>4</v>
      </c>
      <c r="N320" s="1">
        <v>18604.740000000002</v>
      </c>
      <c r="O320" s="17">
        <f>N320/N321*100</f>
        <v>9.3921746870968814</v>
      </c>
      <c r="P320" s="52">
        <f>((O320*O320*(I320/100)*(K320/100))/(L320-1))</f>
        <v>1.1591863242609338E-2</v>
      </c>
    </row>
    <row r="321" spans="1:41" x14ac:dyDescent="0.3">
      <c r="B321" t="s">
        <v>28</v>
      </c>
      <c r="C321" s="17">
        <f t="shared" ref="C321:H321" si="44">SUM(C316:C320)</f>
        <v>1.7177343748856253</v>
      </c>
      <c r="D321" s="17">
        <f t="shared" si="44"/>
        <v>7.1585637096080816</v>
      </c>
      <c r="E321" s="17">
        <f t="shared" si="44"/>
        <v>61.423812783048611</v>
      </c>
      <c r="F321" s="17">
        <f t="shared" si="44"/>
        <v>20.626240778888622</v>
      </c>
      <c r="G321" s="17">
        <f t="shared" si="44"/>
        <v>9.0736483535690766</v>
      </c>
      <c r="H321" s="18">
        <f t="shared" si="44"/>
        <v>100.00000000000001</v>
      </c>
      <c r="I321" s="13" t="s">
        <v>24</v>
      </c>
      <c r="J321" s="12" t="s">
        <v>29</v>
      </c>
      <c r="N321" s="1">
        <f>SUM(N316:N320)</f>
        <v>198087.66999999998</v>
      </c>
      <c r="O321" s="17">
        <f>SUM(O316:O320)</f>
        <v>100.00000000000001</v>
      </c>
      <c r="AM321" s="78"/>
      <c r="AN321" s="78"/>
      <c r="AO321" s="78"/>
    </row>
    <row r="322" spans="1:41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0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0.17453975530270058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0.19795627213578018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0.16042274913969701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0.14326512221606688</v>
      </c>
      <c r="H322" s="1"/>
      <c r="I322" s="14">
        <f>(C316+D317+E318+F319+G320)/H321</f>
        <v>0.93125251514319896</v>
      </c>
      <c r="J322" s="53">
        <f>SQRT(SUM(P316:P320))/100</f>
        <v>2.3966580543927874E-3</v>
      </c>
      <c r="M322" s="1"/>
      <c r="N322" s="9"/>
    </row>
    <row r="323" spans="1:41" x14ac:dyDescent="0.3">
      <c r="B323" s="1" t="s">
        <v>30</v>
      </c>
      <c r="C323" s="17">
        <f>C316/C321*100</f>
        <v>100</v>
      </c>
      <c r="D323" s="17">
        <f>D317/D321*100</f>
        <v>62.834815908494775</v>
      </c>
      <c r="E323" s="17">
        <f>E318/E321*100</f>
        <v>97.478167181965816</v>
      </c>
      <c r="F323" s="17">
        <f>F319/F321*100</f>
        <v>92.525323810326242</v>
      </c>
      <c r="G323" s="17">
        <f>G320/G321*100</f>
        <v>87.617940615039515</v>
      </c>
      <c r="H323" s="1"/>
      <c r="AM323" s="78"/>
      <c r="AN323" s="78"/>
      <c r="AO323" s="78"/>
    </row>
    <row r="324" spans="1:41" x14ac:dyDescent="0.3">
      <c r="B324" s="16" t="s">
        <v>39</v>
      </c>
      <c r="C324" s="18">
        <f>SQRT((C327+C328)/(C321*C321))</f>
        <v>0</v>
      </c>
      <c r="D324" s="18">
        <f>SQRT((D327+D328)/(D321*D321))</f>
        <v>5.0163375810263853</v>
      </c>
      <c r="E324" s="18">
        <f>SQRT((E327+E328)/(E321*E321))</f>
        <v>0.20652541139389632</v>
      </c>
      <c r="F324" s="18">
        <f>SQRT((F327+F328)/(F321*F321))</f>
        <v>0.65233579500186922</v>
      </c>
      <c r="G324" s="18">
        <f>SQRT((G327+G328)/(G321*G321))</f>
        <v>1.7300401485759607</v>
      </c>
      <c r="H324" s="1"/>
    </row>
    <row r="325" spans="1:41" x14ac:dyDescent="0.3">
      <c r="B325" s="1" t="s">
        <v>37</v>
      </c>
      <c r="C325" s="18">
        <f>100-C323</f>
        <v>0</v>
      </c>
      <c r="D325" s="18">
        <f>100-D323</f>
        <v>37.165184091505225</v>
      </c>
      <c r="E325" s="18">
        <f>100-E323</f>
        <v>2.5218328180341842</v>
      </c>
      <c r="F325" s="18">
        <f>100-F323</f>
        <v>7.4746761896737581</v>
      </c>
      <c r="G325" s="18">
        <f>100-G323</f>
        <v>12.382059384960485</v>
      </c>
      <c r="AM325" s="78"/>
      <c r="AN325" s="78"/>
      <c r="AO325" s="78"/>
    </row>
    <row r="326" spans="1:41" ht="15.6" x14ac:dyDescent="0.35">
      <c r="B326" s="1" t="s">
        <v>25</v>
      </c>
      <c r="C326" s="1">
        <f>C310</f>
        <v>259</v>
      </c>
      <c r="D326" s="1">
        <f>D310</f>
        <v>614</v>
      </c>
      <c r="E326" s="1">
        <f>E310</f>
        <v>7164</v>
      </c>
      <c r="F326" s="1">
        <f>F310</f>
        <v>2571</v>
      </c>
      <c r="G326" s="1">
        <f>G310</f>
        <v>976</v>
      </c>
    </row>
    <row r="327" spans="1:41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1203.5233806706563</v>
      </c>
      <c r="E327" s="18">
        <f>(O318*O318*(100-E323)*(100-E323)*(I318)*(100-I318))/((L318-1)*100)</f>
        <v>15.186391486423064</v>
      </c>
      <c r="F327" s="18">
        <f>(O319*O319*(100-F323)*(100-F323)*(I319)*(100-I319))/((L319-1)*100)</f>
        <v>74.057989897763349</v>
      </c>
      <c r="G327" s="18">
        <f>(O320*O320*(100-G323)*(100-G323)*(I320)*(100-I320))/((L320-1)*100)</f>
        <v>177.72110873369641</v>
      </c>
      <c r="AM327" s="78"/>
    </row>
    <row r="328" spans="1:41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85.988356104835958</v>
      </c>
      <c r="E328" s="18">
        <f>E323*E323*(SUM((H316*E316*(1-E305/H305))/(H305-1),(H317*E317*(1-E306/H306))/(H306-1), (H319*E319*(1-E308/H308))/(H308-1),(H320*E320*(1-E309/H309))/(H309-1)))</f>
        <v>145.7375028935451</v>
      </c>
      <c r="F328" s="18">
        <f>F323*F323*(SUM((H316*F316*(1-F305/H305))/(H305-1),(H317*F317*(1-F306/H306))/(H306-1), (H318*F318*(1-F307/H307))/(H307-1),(H320*F320*(1-F309/H309))/(H309-1)))</f>
        <v>106.98536375436859</v>
      </c>
      <c r="G328" s="18">
        <f>G323*G323*(SUM((H316*G316*(1-G305/H305))/(H305-1),(H317*G317*(1-G306/H306))/(H306-1), (H318*G318*(1-G307/H307))/(H307-1),(H319*G319*(1-G308/H308))/(H308-1)))</f>
        <v>68.699060908789534</v>
      </c>
    </row>
    <row r="329" spans="1:41" x14ac:dyDescent="0.3">
      <c r="AM329" s="78"/>
    </row>
    <row r="331" spans="1:41" x14ac:dyDescent="0.3">
      <c r="A331" s="361" t="s">
        <v>461</v>
      </c>
      <c r="B331" s="361"/>
      <c r="C331" s="361"/>
      <c r="D331" s="361"/>
      <c r="E331" s="361"/>
      <c r="F331" s="361"/>
      <c r="G331" s="361"/>
      <c r="H331" s="361"/>
      <c r="I331" s="361"/>
      <c r="J331" s="361"/>
      <c r="K331" s="361"/>
      <c r="L331" s="361" t="s">
        <v>89</v>
      </c>
      <c r="M331" s="361"/>
      <c r="N331" s="361"/>
      <c r="O331" s="361"/>
      <c r="P331" s="361"/>
      <c r="AM331" s="78"/>
    </row>
    <row r="332" spans="1:41" x14ac:dyDescent="0.3">
      <c r="A332" t="s">
        <v>320</v>
      </c>
      <c r="B332" t="s">
        <v>21</v>
      </c>
      <c r="I332" s="1" t="s">
        <v>58</v>
      </c>
      <c r="O332" s="143"/>
      <c r="P332" s="143"/>
    </row>
    <row r="333" spans="1:41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56</v>
      </c>
      <c r="O333" s="13"/>
      <c r="P333" s="13"/>
      <c r="AM333" s="78"/>
    </row>
    <row r="334" spans="1:41" x14ac:dyDescent="0.3">
      <c r="A334" t="s">
        <v>3</v>
      </c>
      <c r="B334" s="13">
        <v>0</v>
      </c>
      <c r="C334" s="26">
        <v>259</v>
      </c>
      <c r="D334" s="3">
        <v>0</v>
      </c>
      <c r="E334" s="3">
        <v>0</v>
      </c>
      <c r="F334" s="3">
        <v>0</v>
      </c>
      <c r="G334" s="4">
        <v>0</v>
      </c>
      <c r="H334" s="1">
        <f>SUM(C334:G334)</f>
        <v>259</v>
      </c>
      <c r="I334" s="10">
        <f>C334/H334</f>
        <v>1</v>
      </c>
      <c r="J334" s="11">
        <f>1-I334</f>
        <v>0</v>
      </c>
      <c r="K334">
        <f>H334-C339</f>
        <v>0</v>
      </c>
      <c r="N334" s="10">
        <f>2*(C340*I334)/(C340+I334)</f>
        <v>1</v>
      </c>
      <c r="O334" s="1"/>
      <c r="P334" s="1"/>
    </row>
    <row r="335" spans="1:41" x14ac:dyDescent="0.3">
      <c r="A335" t="s">
        <v>4</v>
      </c>
      <c r="B335" s="13">
        <v>1</v>
      </c>
      <c r="C335" s="5">
        <v>0</v>
      </c>
      <c r="D335" s="27">
        <v>298</v>
      </c>
      <c r="E335" s="1">
        <v>47</v>
      </c>
      <c r="F335" s="1">
        <v>0</v>
      </c>
      <c r="G335" s="6">
        <v>2</v>
      </c>
      <c r="H335" s="1">
        <f>SUM(C335:G335)</f>
        <v>347</v>
      </c>
      <c r="I335" s="10">
        <f>D335/H335</f>
        <v>0.85878962536023051</v>
      </c>
      <c r="J335" s="11">
        <f>1-I335</f>
        <v>0.14121037463976949</v>
      </c>
      <c r="K335">
        <f>H335-D339</f>
        <v>-244</v>
      </c>
      <c r="N335" s="10">
        <f>2*(D340*I335)/(D340+I335)</f>
        <v>0.6353944562899787</v>
      </c>
      <c r="O335" s="1"/>
      <c r="P335" s="1"/>
      <c r="AM335" s="78"/>
    </row>
    <row r="336" spans="1:41" x14ac:dyDescent="0.3">
      <c r="A336" t="s">
        <v>5</v>
      </c>
      <c r="B336" s="13">
        <v>2</v>
      </c>
      <c r="C336" s="5">
        <v>0</v>
      </c>
      <c r="D336" s="1">
        <v>286</v>
      </c>
      <c r="E336" s="27">
        <v>7025</v>
      </c>
      <c r="F336" s="1">
        <v>15</v>
      </c>
      <c r="G336" s="6">
        <v>24</v>
      </c>
      <c r="H336" s="1">
        <f>SUM(C336:G336)</f>
        <v>7350</v>
      </c>
      <c r="I336" s="10">
        <f>E336/H336</f>
        <v>0.95578231292517002</v>
      </c>
      <c r="J336" s="11">
        <f>1-I336</f>
        <v>4.4217687074829981E-2</v>
      </c>
      <c r="K336">
        <f>H336-E339</f>
        <v>153</v>
      </c>
      <c r="N336" s="10">
        <f>2*(E340*I336)/(E340+I336)</f>
        <v>0.96583488004399531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7</v>
      </c>
      <c r="E337" s="1">
        <v>121</v>
      </c>
      <c r="F337" s="27">
        <v>2402</v>
      </c>
      <c r="G337" s="6">
        <v>108</v>
      </c>
      <c r="H337" s="1">
        <f>SUM(C337:G337)</f>
        <v>2638</v>
      </c>
      <c r="I337" s="10">
        <f>F337/H337</f>
        <v>0.91053828658074298</v>
      </c>
      <c r="J337" s="11">
        <f>1-I337</f>
        <v>8.9461713419257016E-2</v>
      </c>
      <c r="K337">
        <f>H337-F339</f>
        <v>100</v>
      </c>
      <c r="N337" s="10">
        <f>2*(F340*I337)/(F340+I337)</f>
        <v>0.92812982998454419</v>
      </c>
      <c r="O337" s="1"/>
      <c r="P337" s="1"/>
      <c r="AM337" s="78"/>
    </row>
    <row r="338" spans="1:40" x14ac:dyDescent="0.3">
      <c r="A338" t="s">
        <v>7</v>
      </c>
      <c r="B338" s="13">
        <v>4</v>
      </c>
      <c r="C338" s="7">
        <v>0</v>
      </c>
      <c r="D338" s="8">
        <v>0</v>
      </c>
      <c r="E338" s="8">
        <v>4</v>
      </c>
      <c r="F338" s="8">
        <v>121</v>
      </c>
      <c r="G338" s="28">
        <v>865</v>
      </c>
      <c r="H338" s="1">
        <f>SUM(C338:G338)</f>
        <v>990</v>
      </c>
      <c r="I338" s="10">
        <f>G338/H338</f>
        <v>0.8737373737373737</v>
      </c>
      <c r="J338" s="11">
        <f>1-I338</f>
        <v>0.1262626262626263</v>
      </c>
      <c r="K338">
        <f>H338-G339</f>
        <v>-9</v>
      </c>
      <c r="N338" s="10">
        <f>2*(G340*I338)/(G340+I338)</f>
        <v>0.86978381096028157</v>
      </c>
      <c r="O338" s="1"/>
      <c r="P338" s="1"/>
    </row>
    <row r="339" spans="1:40" ht="15.6" x14ac:dyDescent="0.35">
      <c r="B339" s="1" t="s">
        <v>19</v>
      </c>
      <c r="C339" s="1">
        <f>SUM(C334:C338)</f>
        <v>259</v>
      </c>
      <c r="D339" s="1">
        <f>SUM(D334:D338)</f>
        <v>591</v>
      </c>
      <c r="E339" s="1">
        <f>SUM(E334:E338)</f>
        <v>7197</v>
      </c>
      <c r="F339" s="1">
        <f>SUM(F334:F338)</f>
        <v>2538</v>
      </c>
      <c r="G339" s="1">
        <f>SUM(G334:G338)</f>
        <v>999</v>
      </c>
      <c r="H339" s="1">
        <f>SUM(H333:H338)</f>
        <v>11584</v>
      </c>
      <c r="I339" s="13" t="s">
        <v>12</v>
      </c>
      <c r="N339" s="16"/>
      <c r="O339" s="1"/>
      <c r="P339" s="1"/>
      <c r="AM339" s="78"/>
    </row>
    <row r="340" spans="1:40" x14ac:dyDescent="0.3">
      <c r="A340" s="1" t="s">
        <v>321</v>
      </c>
      <c r="B340" s="1" t="s">
        <v>2</v>
      </c>
      <c r="C340" s="10">
        <f>C334/C339</f>
        <v>1</v>
      </c>
      <c r="D340" s="10">
        <f>D335/D339</f>
        <v>0.50423011844331644</v>
      </c>
      <c r="E340" s="10">
        <f>E336/E339</f>
        <v>0.97610115325830205</v>
      </c>
      <c r="F340" s="10">
        <f>F337/F339</f>
        <v>0.946414499605989</v>
      </c>
      <c r="G340" s="10">
        <f>G338/G339</f>
        <v>0.86586586586586589</v>
      </c>
      <c r="H340" s="10"/>
      <c r="I340" s="14">
        <f>(C334+D335+E336+F337+G338)/H339</f>
        <v>0.93655041436464093</v>
      </c>
    </row>
    <row r="341" spans="1:40" x14ac:dyDescent="0.3">
      <c r="B341" s="1" t="s">
        <v>14</v>
      </c>
      <c r="C341" s="11">
        <f>1-C340</f>
        <v>0</v>
      </c>
      <c r="D341" s="11">
        <f>1-D340</f>
        <v>0.49576988155668356</v>
      </c>
      <c r="E341" s="11">
        <f>1-E340</f>
        <v>2.3898846741697954E-2</v>
      </c>
      <c r="F341" s="11">
        <f>1-F340</f>
        <v>5.3585500394010999E-2</v>
      </c>
      <c r="G341" s="11">
        <f>1-G340</f>
        <v>0.13413413413413411</v>
      </c>
      <c r="AM341" s="78"/>
      <c r="AN341" s="78"/>
    </row>
    <row r="342" spans="1:40" x14ac:dyDescent="0.3">
      <c r="C342" s="2"/>
    </row>
    <row r="343" spans="1:40" ht="15.6" x14ac:dyDescent="0.35">
      <c r="A343" t="s">
        <v>322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1.6762931281891502</v>
      </c>
      <c r="D345" s="31">
        <f>(D334/$L345)*$O345</f>
        <v>0</v>
      </c>
      <c r="E345" s="31">
        <f>(E334/$L345)*$O345</f>
        <v>0</v>
      </c>
      <c r="F345" s="31">
        <f>(F334/$L345)*$O345</f>
        <v>0</v>
      </c>
      <c r="G345" s="32">
        <f>(G334/$L345)*$O345</f>
        <v>0</v>
      </c>
      <c r="H345" s="17">
        <f>SUM(C345:G345)</f>
        <v>1.6762931281891502</v>
      </c>
      <c r="I345" s="17">
        <f>C345/H345*100</f>
        <v>100</v>
      </c>
      <c r="J345" s="17">
        <f>SQRT(I345*(100-I345)/(L345-1))</f>
        <v>0</v>
      </c>
      <c r="K345" s="18">
        <f>100-I345</f>
        <v>0</v>
      </c>
      <c r="L345" s="1">
        <f>H334</f>
        <v>259</v>
      </c>
      <c r="M345">
        <v>0</v>
      </c>
      <c r="N345" s="1">
        <v>3320.53</v>
      </c>
      <c r="O345" s="17">
        <f>N345/N350*100</f>
        <v>1.6762931281891502</v>
      </c>
      <c r="P345" s="52">
        <f>((O345*O345*(I345/100)*(K345/100))/(L345-1))</f>
        <v>0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45">(C335/$L346)*$O346</f>
        <v>0</v>
      </c>
      <c r="D346" s="34">
        <f t="shared" si="45"/>
        <v>4.3940380289355101</v>
      </c>
      <c r="E346" s="19">
        <f t="shared" si="45"/>
        <v>0.69301942067103672</v>
      </c>
      <c r="F346" s="18">
        <f t="shared" si="45"/>
        <v>0</v>
      </c>
      <c r="G346" s="20">
        <f t="shared" si="45"/>
        <v>2.949018811366114E-2</v>
      </c>
      <c r="H346" s="17">
        <f>SUM(C346:G346)</f>
        <v>5.1165476377202088</v>
      </c>
      <c r="I346" s="17">
        <f>D346/H346*100</f>
        <v>85.878962536023039</v>
      </c>
      <c r="J346" s="17">
        <f>SQRT(I346*(100-I346)/(L346-1))</f>
        <v>1.8721414026762537</v>
      </c>
      <c r="K346" s="18">
        <f>100-I346</f>
        <v>14.121037463976961</v>
      </c>
      <c r="L346" s="1">
        <f>H335</f>
        <v>347</v>
      </c>
      <c r="M346">
        <v>1</v>
      </c>
      <c r="N346" s="1">
        <v>10135.25</v>
      </c>
      <c r="O346" s="17">
        <f>N346/N350*100</f>
        <v>5.1165476377202079</v>
      </c>
      <c r="P346" s="52">
        <f>((O346*O346*(I346/100)*(K346/100))/(L346-1))</f>
        <v>9.1755338071424376E-3</v>
      </c>
    </row>
    <row r="347" spans="1:40" x14ac:dyDescent="0.3">
      <c r="A347" t="s">
        <v>5</v>
      </c>
      <c r="B347" s="13">
        <v>2</v>
      </c>
      <c r="C347" s="33">
        <f t="shared" si="45"/>
        <v>0</v>
      </c>
      <c r="D347" s="19">
        <f t="shared" si="45"/>
        <v>2.4638191285514668</v>
      </c>
      <c r="E347" s="34">
        <f t="shared" si="45"/>
        <v>60.51863418907012</v>
      </c>
      <c r="F347" s="19">
        <f t="shared" si="45"/>
        <v>0.12922128296598603</v>
      </c>
      <c r="G347" s="20">
        <f t="shared" si="45"/>
        <v>0.20675405274557765</v>
      </c>
      <c r="H347" s="17">
        <f>SUM(C347:G347)</f>
        <v>63.31842865333315</v>
      </c>
      <c r="I347" s="17">
        <f>E347/H347*100</f>
        <v>95.578231292517003</v>
      </c>
      <c r="J347" s="17">
        <f>SQRT(I347*(100-I347)/(L347-1))</f>
        <v>0.23980784258852905</v>
      </c>
      <c r="K347" s="18">
        <f>100-I347</f>
        <v>4.4217687074829968</v>
      </c>
      <c r="L347" s="1">
        <f>H336</f>
        <v>7350</v>
      </c>
      <c r="M347">
        <v>2</v>
      </c>
      <c r="N347" s="1">
        <v>125426</v>
      </c>
      <c r="O347" s="17">
        <f>N347/N350*100</f>
        <v>63.31842865333315</v>
      </c>
      <c r="P347" s="52">
        <f>((O347*O347*(I347/100)*(K347/100))/(L347-1))</f>
        <v>2.305616233328589E-2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45"/>
        <v>0</v>
      </c>
      <c r="D348" s="19">
        <f t="shared" si="45"/>
        <v>5.4186405607420322E-2</v>
      </c>
      <c r="E348" s="19">
        <f t="shared" si="45"/>
        <v>0.93665072549969408</v>
      </c>
      <c r="F348" s="34">
        <f t="shared" si="45"/>
        <v>18.593678038431943</v>
      </c>
      <c r="G348" s="20">
        <f t="shared" si="45"/>
        <v>0.83601882937162764</v>
      </c>
      <c r="H348" s="17">
        <f>SUM(C348:G348)</f>
        <v>20.420533998910685</v>
      </c>
      <c r="I348" s="17">
        <f>F348/H348*100</f>
        <v>91.053828658074295</v>
      </c>
      <c r="J348" s="17">
        <f>SQRT(I348*(100-I348)/(L348-1))</f>
        <v>0.55579245508882735</v>
      </c>
      <c r="K348" s="18">
        <f>100-I348</f>
        <v>8.9461713419257052</v>
      </c>
      <c r="L348" s="1">
        <f>H337</f>
        <v>2638</v>
      </c>
      <c r="M348">
        <v>3</v>
      </c>
      <c r="N348" s="1">
        <v>40450.559999999998</v>
      </c>
      <c r="O348" s="17">
        <f>N348/N350*100</f>
        <v>20.420533998910685</v>
      </c>
      <c r="P348" s="52">
        <f>((O348*O348*(I348/100)*(K348/100))/(L348-1))</f>
        <v>1.2881293724585552E-2</v>
      </c>
    </row>
    <row r="349" spans="1:40" x14ac:dyDescent="0.3">
      <c r="A349" t="s">
        <v>7</v>
      </c>
      <c r="B349" s="13">
        <v>4</v>
      </c>
      <c r="C349" s="35">
        <f t="shared" si="45"/>
        <v>0</v>
      </c>
      <c r="D349" s="36">
        <f t="shared" si="45"/>
        <v>0</v>
      </c>
      <c r="E349" s="21">
        <f t="shared" si="45"/>
        <v>3.8255339724633602E-2</v>
      </c>
      <c r="F349" s="21">
        <f t="shared" si="45"/>
        <v>1.1572240266701666</v>
      </c>
      <c r="G349" s="37">
        <f t="shared" si="45"/>
        <v>8.2727172154520172</v>
      </c>
      <c r="H349" s="17">
        <f>SUM(C349:G349)</f>
        <v>9.4681965818468168</v>
      </c>
      <c r="I349" s="17">
        <f>G349/H349*100</f>
        <v>87.373737373737384</v>
      </c>
      <c r="J349" s="17">
        <f>SQRT(I349*(100-I349)/(L349-1))</f>
        <v>1.0561600107800835</v>
      </c>
      <c r="K349" s="18">
        <f>100-I349</f>
        <v>12.626262626262616</v>
      </c>
      <c r="L349" s="1">
        <f>H338</f>
        <v>990</v>
      </c>
      <c r="M349">
        <v>4</v>
      </c>
      <c r="N349" s="1">
        <v>18755.330000000002</v>
      </c>
      <c r="O349" s="17">
        <f>N349/N350*100</f>
        <v>9.4681965818468168</v>
      </c>
      <c r="P349" s="52">
        <f>((O349*O349*(I349/100)*(K349/100))/(L349-1))</f>
        <v>9.999861208384149E-3</v>
      </c>
      <c r="AM349" s="78"/>
      <c r="AN349" s="78"/>
    </row>
    <row r="350" spans="1:40" x14ac:dyDescent="0.3">
      <c r="B350" t="s">
        <v>28</v>
      </c>
      <c r="C350" s="17">
        <f t="shared" ref="C350:H350" si="46">SUM(C345:C349)</f>
        <v>1.6762931281891502</v>
      </c>
      <c r="D350" s="17">
        <f t="shared" si="46"/>
        <v>6.9120435630943975</v>
      </c>
      <c r="E350" s="17">
        <f t="shared" si="46"/>
        <v>62.186559674965487</v>
      </c>
      <c r="F350" s="17">
        <f t="shared" si="46"/>
        <v>19.880123348068096</v>
      </c>
      <c r="G350" s="17">
        <f t="shared" si="46"/>
        <v>9.3449802856828832</v>
      </c>
      <c r="H350" s="18">
        <f t="shared" si="46"/>
        <v>100</v>
      </c>
      <c r="I350" s="13" t="s">
        <v>24</v>
      </c>
      <c r="J350" s="12" t="s">
        <v>29</v>
      </c>
      <c r="N350" s="1">
        <f>SUM(N345:N349)</f>
        <v>198087.66999999998</v>
      </c>
      <c r="O350" s="17">
        <f>SUM(O345:O349)</f>
        <v>100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0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0.17310897300588091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0.1979139628367477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0.15395503694489523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0.13566139263671664</v>
      </c>
      <c r="H351" s="1"/>
      <c r="I351" s="14">
        <f>(C345+D346+E347+F348+G349)/H350</f>
        <v>0.93455360600078752</v>
      </c>
      <c r="J351" s="53">
        <f>SQRT(SUM(P345:P349))/100</f>
        <v>2.3476126399684855E-3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63.57075138236511</v>
      </c>
      <c r="E352" s="17">
        <f>E347/E350*100</f>
        <v>97.317868210408776</v>
      </c>
      <c r="F352" s="17">
        <f>F348/F350*100</f>
        <v>93.528987284874333</v>
      </c>
      <c r="G352" s="17">
        <f>G349/G350*100</f>
        <v>88.525785636234644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5.2199758475484508</v>
      </c>
      <c r="E353" s="18">
        <f>SQRT((E356+E357)/(E350*E350))</f>
        <v>0.20935486261378786</v>
      </c>
      <c r="F353" s="18">
        <f>SQRT((F356+F357)/(F350*F350))</f>
        <v>0.61344410337965738</v>
      </c>
      <c r="G353" s="18">
        <f>SQRT((G356+G357)/(G350*G350))</f>
        <v>1.5043350520591665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36.42924861763489</v>
      </c>
      <c r="E354" s="18">
        <f>100-E352</f>
        <v>2.6821317895912244</v>
      </c>
      <c r="F354" s="18">
        <f>100-F352</f>
        <v>6.4710127151256671</v>
      </c>
      <c r="G354" s="18">
        <f>100-G352</f>
        <v>11.474214363765356</v>
      </c>
    </row>
    <row r="355" spans="1:40" ht="15.6" x14ac:dyDescent="0.35">
      <c r="B355" s="1" t="s">
        <v>25</v>
      </c>
      <c r="C355" s="1">
        <f>C339</f>
        <v>259</v>
      </c>
      <c r="D355" s="1">
        <f>D339</f>
        <v>591</v>
      </c>
      <c r="E355" s="1">
        <f>E339</f>
        <v>7197</v>
      </c>
      <c r="F355" s="1">
        <f>F339</f>
        <v>2538</v>
      </c>
      <c r="G355" s="1">
        <f>G339</f>
        <v>999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1217.676058091035</v>
      </c>
      <c r="E356" s="18">
        <f>(O347*O347*(100-E352)*(100-E352)*(I347)*(100-I347))/((L347-1)*100)</f>
        <v>16.586213387559528</v>
      </c>
      <c r="F356" s="18">
        <f>(O348*O348*(100-F352)*(100-F352)*(I348)*(100-I348))/((L348-1)*100)</f>
        <v>53.93913650345042</v>
      </c>
      <c r="G356" s="18">
        <f>(O349*O349*(100-G352)*(100-G352)*(I349)*(100-I349))/((L349-1)*100)</f>
        <v>131.6557679686006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84.140887344648675</v>
      </c>
      <c r="E357" s="18">
        <f>E352*E352*(SUM((H345*E345*(1-E334/H334))/(H334-1),(H346*E346*(1-E335/H335))/(H335-1), (H348*E348*(1-E337/H337))/(H337-1),(H349*E349*(1-E338/H338))/(H338-1)))</f>
        <v>152.90967493144336</v>
      </c>
      <c r="F357" s="18">
        <f>F352*F352*(SUM((H345*F345*(1-F334/H334))/(H334-1),(H346*F346*(1-F335/H335))/(H335-1), (H347*F347*(1-F336/H336))/(H336-1),(H349*F349*(1-F338/H338))/(H338-1)))</f>
        <v>94.787289563682833</v>
      </c>
      <c r="G357" s="18">
        <f>G352*G352*(SUM((H345*G345*(1-G334/H334))/(H334-1),(H346*G346*(1-G335/H335))/(H335-1), (H347*G347*(1-G336/H336))/(H336-1),(H348*G348*(1-G337/H337))/(H337-1)))</f>
        <v>65.971073202203627</v>
      </c>
      <c r="AM357" s="78"/>
      <c r="AN357" s="78"/>
    </row>
    <row r="359" spans="1:40" x14ac:dyDescent="0.3">
      <c r="AM359" s="78"/>
      <c r="AN359" s="78"/>
    </row>
    <row r="360" spans="1:40" x14ac:dyDescent="0.3">
      <c r="A360" s="361" t="s">
        <v>461</v>
      </c>
      <c r="B360" s="361"/>
      <c r="C360" s="361"/>
      <c r="D360" s="361"/>
      <c r="E360" s="361"/>
      <c r="F360" s="361"/>
      <c r="G360" s="361"/>
      <c r="H360" s="361"/>
      <c r="I360" s="361"/>
      <c r="J360" s="361"/>
      <c r="K360" s="361"/>
      <c r="L360" s="361" t="s">
        <v>90</v>
      </c>
      <c r="M360" s="361"/>
      <c r="N360" s="361"/>
      <c r="O360" s="361"/>
      <c r="P360" s="361"/>
    </row>
    <row r="361" spans="1:40" x14ac:dyDescent="0.3">
      <c r="A361" t="s">
        <v>15</v>
      </c>
      <c r="B361" t="s">
        <v>21</v>
      </c>
      <c r="I361" s="1" t="s">
        <v>58</v>
      </c>
      <c r="O361" s="143"/>
      <c r="P361" s="143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56</v>
      </c>
      <c r="O362" s="13"/>
      <c r="P362" s="13"/>
    </row>
    <row r="363" spans="1:40" x14ac:dyDescent="0.3">
      <c r="A363" t="s">
        <v>3</v>
      </c>
      <c r="B363" s="13">
        <v>0</v>
      </c>
      <c r="C363" s="26">
        <v>259</v>
      </c>
      <c r="D363" s="3">
        <v>0</v>
      </c>
      <c r="E363" s="3">
        <v>0</v>
      </c>
      <c r="F363" s="3">
        <v>0</v>
      </c>
      <c r="G363" s="4">
        <v>0</v>
      </c>
      <c r="H363" s="1">
        <f>SUM(C363:G363)</f>
        <v>259</v>
      </c>
      <c r="I363" s="10">
        <f>C363/H363</f>
        <v>1</v>
      </c>
      <c r="J363" s="11">
        <f>1-I363</f>
        <v>0</v>
      </c>
      <c r="K363">
        <f>H363-C368</f>
        <v>0</v>
      </c>
      <c r="N363" s="10">
        <f>2*(C369*I363)/(C369+I363)</f>
        <v>1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302</v>
      </c>
      <c r="E364" s="1">
        <v>43</v>
      </c>
      <c r="F364" s="1">
        <v>0</v>
      </c>
      <c r="G364" s="6">
        <v>2</v>
      </c>
      <c r="H364" s="1">
        <f>SUM(C364:G364)</f>
        <v>347</v>
      </c>
      <c r="I364" s="10">
        <f>D364/H364</f>
        <v>0.87031700288184433</v>
      </c>
      <c r="J364" s="11">
        <f>1-I364</f>
        <v>0.12968299711815567</v>
      </c>
      <c r="K364">
        <f>H364-D368</f>
        <v>-243</v>
      </c>
      <c r="N364" s="10">
        <f>2*(D369*I364)/(D369+I364)</f>
        <v>0.64461045891141944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277</v>
      </c>
      <c r="E365" s="27">
        <v>7034</v>
      </c>
      <c r="F365" s="1">
        <v>13</v>
      </c>
      <c r="G365" s="6">
        <v>26</v>
      </c>
      <c r="H365" s="1">
        <f>SUM(C365:G365)</f>
        <v>7350</v>
      </c>
      <c r="I365" s="10">
        <f>E365/H365</f>
        <v>0.9570068027210884</v>
      </c>
      <c r="J365" s="11">
        <f>1-I365</f>
        <v>4.2993197278911599E-2</v>
      </c>
      <c r="K365">
        <f>H365-E368</f>
        <v>163</v>
      </c>
      <c r="N365" s="10">
        <f>2*(E369*I365)/(E369+I365)</f>
        <v>0.96773749742037551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10</v>
      </c>
      <c r="E366" s="1">
        <v>108</v>
      </c>
      <c r="F366" s="27">
        <v>2414</v>
      </c>
      <c r="G366" s="6">
        <v>106</v>
      </c>
      <c r="H366" s="1">
        <f>SUM(C366:G366)</f>
        <v>2638</v>
      </c>
      <c r="I366" s="10">
        <f>F366/H366</f>
        <v>0.91508718726307814</v>
      </c>
      <c r="J366" s="11">
        <f>1-I366</f>
        <v>8.4912812736921861E-2</v>
      </c>
      <c r="K366">
        <f>H366-F368</f>
        <v>79</v>
      </c>
      <c r="N366" s="10">
        <f>2*(F369*I366)/(F369+I366)</f>
        <v>0.92899749855685965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1</v>
      </c>
      <c r="E367" s="8">
        <v>2</v>
      </c>
      <c r="F367" s="8">
        <v>132</v>
      </c>
      <c r="G367" s="28">
        <v>855</v>
      </c>
      <c r="H367" s="1">
        <f>SUM(C367:G367)</f>
        <v>990</v>
      </c>
      <c r="I367" s="10">
        <f>G367/H367</f>
        <v>0.86363636363636365</v>
      </c>
      <c r="J367" s="11">
        <f>1-I367</f>
        <v>0.13636363636363635</v>
      </c>
      <c r="K367">
        <f>H367-G368</f>
        <v>1</v>
      </c>
      <c r="N367" s="10">
        <f>2*(G369*I367)/(G369+I367)</f>
        <v>0.86407276402223343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259</v>
      </c>
      <c r="D368" s="1">
        <f>SUM(D363:D367)</f>
        <v>590</v>
      </c>
      <c r="E368" s="1">
        <f>SUM(E363:E367)</f>
        <v>7187</v>
      </c>
      <c r="F368" s="1">
        <f>SUM(F363:F367)</f>
        <v>2559</v>
      </c>
      <c r="G368" s="1">
        <f>SUM(G363:G367)</f>
        <v>989</v>
      </c>
      <c r="H368" s="1">
        <f>SUM(H362:H367)</f>
        <v>11584</v>
      </c>
      <c r="I368" s="13" t="s">
        <v>12</v>
      </c>
      <c r="N368" s="16"/>
      <c r="O368" s="1"/>
      <c r="P368" s="1"/>
    </row>
    <row r="369" spans="1:40" x14ac:dyDescent="0.3">
      <c r="A369" s="1" t="s">
        <v>57</v>
      </c>
      <c r="B369" s="1" t="s">
        <v>2</v>
      </c>
      <c r="C369" s="10">
        <f>C363/C368</f>
        <v>1</v>
      </c>
      <c r="D369" s="10">
        <f>D364/D368</f>
        <v>0.51186440677966105</v>
      </c>
      <c r="E369" s="10">
        <f>E365/E368</f>
        <v>0.97871156254348124</v>
      </c>
      <c r="F369" s="10">
        <f>F366/F368</f>
        <v>0.94333724110980854</v>
      </c>
      <c r="G369" s="10">
        <f>G367/G368</f>
        <v>0.86450960566228519</v>
      </c>
      <c r="H369" s="10"/>
      <c r="I369" s="14">
        <f>(C363+D364+E365+F366+G367)/H368</f>
        <v>0.93784530386740328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0.48813559322033895</v>
      </c>
      <c r="E370" s="11">
        <f>1-E369</f>
        <v>2.1288437456518761E-2</v>
      </c>
      <c r="F370" s="11">
        <f>1-F369</f>
        <v>5.6662758890191456E-2</v>
      </c>
      <c r="G370" s="11">
        <f>1-G369</f>
        <v>0.13549039433771481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1.7275330665457371</v>
      </c>
      <c r="D374" s="31">
        <f>(D363/$L374)*$O374</f>
        <v>0</v>
      </c>
      <c r="E374" s="31">
        <f>(E363/$L374)*$O374</f>
        <v>0</v>
      </c>
      <c r="F374" s="31">
        <f>(F363/$L374)*$O374</f>
        <v>0</v>
      </c>
      <c r="G374" s="32">
        <f>(G363/$L374)*$O374</f>
        <v>0</v>
      </c>
      <c r="H374" s="17">
        <f>SUM(C374:G374)</f>
        <v>1.7275330665457371</v>
      </c>
      <c r="I374" s="17">
        <f>C374/H374*100</f>
        <v>100</v>
      </c>
      <c r="J374" s="17">
        <f>SQRT(I374*(100-I374)/(L374-1))</f>
        <v>0</v>
      </c>
      <c r="K374" s="18">
        <f>100-I374</f>
        <v>0</v>
      </c>
      <c r="L374" s="1">
        <f>H363</f>
        <v>259</v>
      </c>
      <c r="M374">
        <v>0</v>
      </c>
      <c r="N374" s="1">
        <v>3422.03</v>
      </c>
      <c r="O374" s="17">
        <f>N374/N379*100</f>
        <v>1.7275330665457371</v>
      </c>
      <c r="P374" s="52">
        <f>((O374*O374*(I374/100)*(K374/100))/(L374-1))</f>
        <v>0</v>
      </c>
    </row>
    <row r="375" spans="1:40" x14ac:dyDescent="0.3">
      <c r="A375" t="s">
        <v>4</v>
      </c>
      <c r="B375" s="13">
        <v>1</v>
      </c>
      <c r="C375" s="33">
        <f t="shared" ref="C375:G378" si="47">(C364/$L375)*$O375</f>
        <v>0</v>
      </c>
      <c r="D375" s="34">
        <f t="shared" si="47"/>
        <v>4.5616280743625301</v>
      </c>
      <c r="E375" s="19">
        <f t="shared" si="47"/>
        <v>0.64950333509135361</v>
      </c>
      <c r="F375" s="18">
        <f t="shared" si="47"/>
        <v>0</v>
      </c>
      <c r="G375" s="20">
        <f t="shared" si="47"/>
        <v>3.0209457446109471E-2</v>
      </c>
      <c r="H375" s="17">
        <f>SUM(C375:G375)</f>
        <v>5.2413408668999937</v>
      </c>
      <c r="I375" s="17">
        <f>D375/H375*100</f>
        <v>87.031700288184439</v>
      </c>
      <c r="J375" s="17">
        <f>SQRT(I375*(100-I375)/(L375-1))</f>
        <v>1.8061017115288707</v>
      </c>
      <c r="K375" s="18">
        <f>100-I375</f>
        <v>12.968299711815561</v>
      </c>
      <c r="L375" s="1">
        <f>H364</f>
        <v>347</v>
      </c>
      <c r="M375">
        <v>1</v>
      </c>
      <c r="N375" s="1">
        <v>10382.450000000001</v>
      </c>
      <c r="O375" s="17">
        <f>N375/N379*100</f>
        <v>5.2413408668999937</v>
      </c>
      <c r="P375" s="52">
        <f>((O375*O375*(I375/100)*(K375/100))/(L375-1))</f>
        <v>8.9612628813359723E-3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47"/>
        <v>0</v>
      </c>
      <c r="D376" s="19">
        <f t="shared" si="47"/>
        <v>2.366271773386353</v>
      </c>
      <c r="E376" s="34">
        <f t="shared" si="47"/>
        <v>60.087926548735041</v>
      </c>
      <c r="F376" s="19">
        <f t="shared" si="47"/>
        <v>0.11105246589899852</v>
      </c>
      <c r="G376" s="20">
        <f t="shared" si="47"/>
        <v>0.22210493179799704</v>
      </c>
      <c r="H376" s="17">
        <f>SUM(C376:G376)</f>
        <v>62.787355719818393</v>
      </c>
      <c r="I376" s="17">
        <f>E376/H376*100</f>
        <v>95.700680272108841</v>
      </c>
      <c r="J376" s="17">
        <f>SQRT(I376*(100-I376)/(L376-1))</f>
        <v>0.23661553809489932</v>
      </c>
      <c r="K376" s="18">
        <f>100-I376</f>
        <v>4.2993197278911595</v>
      </c>
      <c r="L376" s="1">
        <f>H365</f>
        <v>7350</v>
      </c>
      <c r="M376">
        <v>2</v>
      </c>
      <c r="N376" s="1">
        <v>124374.01</v>
      </c>
      <c r="O376" s="17">
        <f>N376/N379*100</f>
        <v>62.787355719818393</v>
      </c>
      <c r="P376" s="52">
        <f>((O376*O376*(I376/100)*(K376/100))/(L376-1))</f>
        <v>2.2071452137102879E-2</v>
      </c>
    </row>
    <row r="377" spans="1:40" x14ac:dyDescent="0.3">
      <c r="A377" t="s">
        <v>6</v>
      </c>
      <c r="B377" s="13">
        <v>3</v>
      </c>
      <c r="C377" s="33">
        <f t="shared" si="47"/>
        <v>0</v>
      </c>
      <c r="D377" s="19">
        <f t="shared" si="47"/>
        <v>7.8239474513942628E-2</v>
      </c>
      <c r="E377" s="19">
        <f t="shared" si="47"/>
        <v>0.84498632475058044</v>
      </c>
      <c r="F377" s="34">
        <f t="shared" si="47"/>
        <v>18.887009147665754</v>
      </c>
      <c r="G377" s="20">
        <f t="shared" si="47"/>
        <v>0.82933842984779182</v>
      </c>
      <c r="H377" s="17">
        <f>SUM(C377:G377)</f>
        <v>20.639573376778067</v>
      </c>
      <c r="I377" s="17">
        <f>F377/H377*100</f>
        <v>91.508718726307819</v>
      </c>
      <c r="J377" s="17">
        <f>SQRT(I377*(100-I377)/(L377-1))</f>
        <v>0.54282868085058522</v>
      </c>
      <c r="K377" s="18">
        <f>100-I377</f>
        <v>8.4912812736921808</v>
      </c>
      <c r="L377" s="1">
        <f>H366</f>
        <v>2638</v>
      </c>
      <c r="M377">
        <v>3</v>
      </c>
      <c r="N377" s="1">
        <v>40884.449999999997</v>
      </c>
      <c r="O377" s="17">
        <f>N377/N379*100</f>
        <v>20.639573376778067</v>
      </c>
      <c r="P377" s="52">
        <f>((O377*O377*(I377/100)*(K377/100))/(L377-1))</f>
        <v>1.2552406760377713E-2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47"/>
        <v>0</v>
      </c>
      <c r="D378" s="36">
        <f t="shared" si="47"/>
        <v>9.7012090605634298E-3</v>
      </c>
      <c r="E378" s="21">
        <f t="shared" si="47"/>
        <v>1.940241812112686E-2</v>
      </c>
      <c r="F378" s="21">
        <f t="shared" si="47"/>
        <v>1.2805595959943727</v>
      </c>
      <c r="G378" s="37">
        <f t="shared" si="47"/>
        <v>8.2945337467817328</v>
      </c>
      <c r="H378" s="17">
        <f>SUM(C378:G378)</f>
        <v>9.6041969699577958</v>
      </c>
      <c r="I378" s="17">
        <f>G378/H378*100</f>
        <v>86.36363636363636</v>
      </c>
      <c r="J378" s="17">
        <f>SQRT(I378*(100-I378)/(L378-1))</f>
        <v>1.0912307642300259</v>
      </c>
      <c r="K378" s="18">
        <f>100-I378</f>
        <v>13.63636363636364</v>
      </c>
      <c r="L378" s="1">
        <f>H367</f>
        <v>990</v>
      </c>
      <c r="M378">
        <v>4</v>
      </c>
      <c r="N378" s="1">
        <v>19024.73</v>
      </c>
      <c r="O378" s="17">
        <f>N378/N379*100</f>
        <v>9.6041969699577958</v>
      </c>
      <c r="P378" s="52">
        <f>((O378*O378*(I378/100)*(K378/100))/(L378-1))</f>
        <v>1.0983868353440642E-2</v>
      </c>
    </row>
    <row r="379" spans="1:40" x14ac:dyDescent="0.3">
      <c r="B379" t="s">
        <v>28</v>
      </c>
      <c r="C379" s="17">
        <f t="shared" ref="C379:H379" si="48">SUM(C374:C378)</f>
        <v>1.7275330665457371</v>
      </c>
      <c r="D379" s="17">
        <f t="shared" si="48"/>
        <v>7.0158405313233887</v>
      </c>
      <c r="E379" s="17">
        <f t="shared" si="48"/>
        <v>61.601818626698098</v>
      </c>
      <c r="F379" s="17">
        <f t="shared" si="48"/>
        <v>20.278621209559127</v>
      </c>
      <c r="G379" s="17">
        <f t="shared" si="48"/>
        <v>9.3761865658736312</v>
      </c>
      <c r="H379" s="18">
        <f t="shared" si="48"/>
        <v>100</v>
      </c>
      <c r="I379" s="13" t="s">
        <v>24</v>
      </c>
      <c r="J379" s="12" t="s">
        <v>29</v>
      </c>
      <c r="N379" s="1">
        <f>SUM(N374:N378)</f>
        <v>198087.67</v>
      </c>
      <c r="O379" s="17">
        <f>SUM(O374:O378)</f>
        <v>100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0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0.1705618542957002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0.19285128103225979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0.15576012150419452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0.1398035763786705</v>
      </c>
      <c r="H380" s="1"/>
      <c r="I380" s="14">
        <f>(C374+D375+E376+F377+G378)/H379</f>
        <v>0.93558630584090796</v>
      </c>
      <c r="J380" s="53">
        <f>SQRT(SUM(P374:P378))/100</f>
        <v>2.3360006449540463E-3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65.018981745613829</v>
      </c>
      <c r="E381" s="17">
        <f>E376/E379*100</f>
        <v>97.542455544799552</v>
      </c>
      <c r="F381" s="17">
        <f>F377/F379*100</f>
        <v>93.137541021588873</v>
      </c>
      <c r="G381" s="17">
        <f>G378/G379*100</f>
        <v>88.463830028417163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4.8999267952698</v>
      </c>
      <c r="E382" s="18">
        <f>SQRT((E385+E386)/(E379*E379))</f>
        <v>0.203713832056754</v>
      </c>
      <c r="F382" s="18">
        <f>SQRT((F385+F386)/(F379*F379))</f>
        <v>0.62536131202115819</v>
      </c>
      <c r="G382" s="18">
        <f>SQRT((G385+G386)/(G379*G379))</f>
        <v>1.5576215066735775</v>
      </c>
      <c r="H382" s="1"/>
    </row>
    <row r="383" spans="1:40" x14ac:dyDescent="0.3">
      <c r="B383" s="1" t="s">
        <v>37</v>
      </c>
      <c r="C383" s="18">
        <f>100-C381</f>
        <v>0</v>
      </c>
      <c r="D383" s="18">
        <f>100-D381</f>
        <v>34.981018254386171</v>
      </c>
      <c r="E383" s="18">
        <f>100-E381</f>
        <v>2.4575444552004484</v>
      </c>
      <c r="F383" s="18">
        <f>100-F381</f>
        <v>6.8624589784111265</v>
      </c>
      <c r="G383" s="18">
        <f>100-G381</f>
        <v>11.536169971582837</v>
      </c>
      <c r="AM383" s="78"/>
      <c r="AN383" s="78"/>
    </row>
    <row r="384" spans="1:40" ht="15.6" x14ac:dyDescent="0.35">
      <c r="B384" s="1" t="s">
        <v>25</v>
      </c>
      <c r="C384" s="1">
        <f>C368</f>
        <v>259</v>
      </c>
      <c r="D384" s="1">
        <f>D368</f>
        <v>590</v>
      </c>
      <c r="E384" s="1">
        <f>E368</f>
        <v>7187</v>
      </c>
      <c r="F384" s="1">
        <f>F368</f>
        <v>2559</v>
      </c>
      <c r="G384" s="1">
        <f>G368</f>
        <v>989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1096.5643229571872</v>
      </c>
      <c r="E385" s="18">
        <f>(O376*O376*(100-E381)*(100-E381)*(I376)*(100-I376))/((L376-1)*100)</f>
        <v>13.33010814347246</v>
      </c>
      <c r="F385" s="18">
        <f>(O377*O377*(100-F381)*(100-F381)*(I377)*(100-I377))/((L377-1)*100)</f>
        <v>59.113479993375329</v>
      </c>
      <c r="G385" s="18">
        <f>(O378*O378*(100-G381)*(100-G381)*(I378)*(100-I378))/((L378-1)*100)</f>
        <v>146.1768542316226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85.221025964415958</v>
      </c>
      <c r="E386" s="18">
        <f>E381*E381*(SUM((H374*E374*(1-E363/H363))/(H363-1),(H375*E375*(1-E364/H364))/(H364-1), (H377*E377*(1-E366/H366))/(H366-1),(H378*E378*(1-E367/H367))/(H367-1)))</f>
        <v>144.15087019793117</v>
      </c>
      <c r="F386" s="18">
        <f>F381*F381*(SUM((H374*F374*(1-F363/H363))/(H363-1),(H375*F375*(1-F364/H364))/(H364-1), (H376*F376*(1-F365/H365))/(H365-1),(H378*F378*(1-F367/H367))/(H367-1)))</f>
        <v>101.70607875269681</v>
      </c>
      <c r="G386" s="18">
        <f>G381*G381*(SUM((H374*G374*(1-G363/H363))/(H363-1),(H375*G375*(1-G364/H364))/(H364-1), (H376*G376*(1-G365/H365))/(H365-1),(H377*G377*(1-G366/H366))/(H366-1)))</f>
        <v>67.116021960660618</v>
      </c>
    </row>
    <row r="387" spans="1:40" x14ac:dyDescent="0.3">
      <c r="AM387" s="78"/>
      <c r="AN387" s="78"/>
    </row>
    <row r="389" spans="1:40" x14ac:dyDescent="0.3">
      <c r="A389" s="361" t="s">
        <v>461</v>
      </c>
      <c r="B389" s="361"/>
      <c r="C389" s="361"/>
      <c r="D389" s="361"/>
      <c r="E389" s="361"/>
      <c r="F389" s="361"/>
      <c r="G389" s="361"/>
      <c r="H389" s="361"/>
      <c r="I389" s="361"/>
      <c r="J389" s="361"/>
      <c r="K389" s="361"/>
      <c r="L389" s="361" t="s">
        <v>91</v>
      </c>
      <c r="M389" s="361"/>
      <c r="N389" s="361"/>
      <c r="O389" s="361"/>
      <c r="P389" s="361"/>
      <c r="AM389" s="78"/>
      <c r="AN389" s="78"/>
    </row>
    <row r="390" spans="1:40" x14ac:dyDescent="0.3">
      <c r="A390" t="s">
        <v>15</v>
      </c>
      <c r="B390" t="s">
        <v>21</v>
      </c>
      <c r="I390" s="1" t="s">
        <v>58</v>
      </c>
      <c r="O390" s="143"/>
      <c r="P390" s="143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56</v>
      </c>
      <c r="O391" s="13"/>
      <c r="P391" s="13"/>
      <c r="AM391" s="78"/>
      <c r="AN391" s="78"/>
    </row>
    <row r="392" spans="1:40" x14ac:dyDescent="0.3">
      <c r="A392" t="s">
        <v>3</v>
      </c>
      <c r="B392" s="13">
        <v>0</v>
      </c>
      <c r="C392" s="26">
        <v>259</v>
      </c>
      <c r="D392" s="3">
        <v>0</v>
      </c>
      <c r="E392" s="3">
        <v>0</v>
      </c>
      <c r="F392" s="3">
        <v>0</v>
      </c>
      <c r="G392" s="4">
        <v>0</v>
      </c>
      <c r="H392" s="1">
        <f>SUM(C392:G392)</f>
        <v>259</v>
      </c>
      <c r="I392" s="10">
        <f>C392/H392</f>
        <v>1</v>
      </c>
      <c r="J392" s="11">
        <f>1-I392</f>
        <v>0</v>
      </c>
      <c r="K392">
        <f>H392-C397</f>
        <v>0</v>
      </c>
      <c r="N392" s="10">
        <f>2*(C398*I392)/(C398+I392)</f>
        <v>1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301</v>
      </c>
      <c r="E393" s="1">
        <v>44</v>
      </c>
      <c r="F393" s="1">
        <v>0</v>
      </c>
      <c r="G393" s="6">
        <v>2</v>
      </c>
      <c r="H393" s="1">
        <f>SUM(C393:G393)</f>
        <v>347</v>
      </c>
      <c r="I393" s="10">
        <f>D393/H393</f>
        <v>0.86743515850144093</v>
      </c>
      <c r="J393" s="11">
        <f>1-I393</f>
        <v>0.13256484149855907</v>
      </c>
      <c r="K393">
        <f>H393-D397</f>
        <v>-250</v>
      </c>
      <c r="N393" s="10">
        <f>2*(D398*I393)/(D398+I393)</f>
        <v>0.63771186440677963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288</v>
      </c>
      <c r="E394" s="27">
        <v>7026</v>
      </c>
      <c r="F394" s="1">
        <v>11</v>
      </c>
      <c r="G394" s="6">
        <v>25</v>
      </c>
      <c r="H394" s="1">
        <f>SUM(C394:G394)</f>
        <v>7350</v>
      </c>
      <c r="I394" s="10">
        <f>E394/H394</f>
        <v>0.9559183673469388</v>
      </c>
      <c r="J394" s="11">
        <f>1-I394</f>
        <v>4.4081632653061198E-2</v>
      </c>
      <c r="K394">
        <f>H394-E397</f>
        <v>171</v>
      </c>
      <c r="N394" s="10">
        <f>2*(E398*I394)/(E398+I394)</f>
        <v>0.96716911005575068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8</v>
      </c>
      <c r="E395" s="1">
        <v>106</v>
      </c>
      <c r="F395" s="27">
        <v>2419</v>
      </c>
      <c r="G395" s="6">
        <v>105</v>
      </c>
      <c r="H395" s="1">
        <f>SUM(C395:G395)</f>
        <v>2638</v>
      </c>
      <c r="I395" s="10">
        <f>F395/H395</f>
        <v>0.91698256254738442</v>
      </c>
      <c r="J395" s="11">
        <f>1-I395</f>
        <v>8.3017437452615583E-2</v>
      </c>
      <c r="K395">
        <f>H395-F397</f>
        <v>94</v>
      </c>
      <c r="N395" s="10">
        <f>2*(F398*I395)/(F398+I395)</f>
        <v>0.93361636433809347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0</v>
      </c>
      <c r="E396" s="8">
        <v>3</v>
      </c>
      <c r="F396" s="8">
        <v>114</v>
      </c>
      <c r="G396" s="28">
        <v>873</v>
      </c>
      <c r="H396" s="1">
        <f>SUM(C396:G396)</f>
        <v>990</v>
      </c>
      <c r="I396" s="10">
        <f>G396/H396</f>
        <v>0.88181818181818183</v>
      </c>
      <c r="J396" s="11">
        <f>1-I396</f>
        <v>0.11818181818181817</v>
      </c>
      <c r="K396">
        <f>H396-G397</f>
        <v>-15</v>
      </c>
      <c r="N396" s="10">
        <f>2*(G398*I396)/(G398+I396)</f>
        <v>0.87518796992481207</v>
      </c>
      <c r="O396" s="1"/>
      <c r="P396" s="1"/>
    </row>
    <row r="397" spans="1:40" ht="15.6" x14ac:dyDescent="0.35">
      <c r="B397" s="1" t="s">
        <v>19</v>
      </c>
      <c r="C397" s="1">
        <f>SUM(C392:C396)</f>
        <v>259</v>
      </c>
      <c r="D397" s="1">
        <f>SUM(D392:D396)</f>
        <v>597</v>
      </c>
      <c r="E397" s="1">
        <f>SUM(E392:E396)</f>
        <v>7179</v>
      </c>
      <c r="F397" s="1">
        <f>SUM(F392:F396)</f>
        <v>2544</v>
      </c>
      <c r="G397" s="1">
        <f>SUM(G392:G396)</f>
        <v>1005</v>
      </c>
      <c r="H397" s="1">
        <f>SUM(H391:H396)</f>
        <v>11584</v>
      </c>
      <c r="I397" s="13" t="s">
        <v>12</v>
      </c>
      <c r="N397" s="16"/>
      <c r="O397" s="1"/>
      <c r="P397" s="1"/>
      <c r="AM397" s="78"/>
      <c r="AN397" s="78"/>
    </row>
    <row r="398" spans="1:40" x14ac:dyDescent="0.3">
      <c r="A398" s="1" t="s">
        <v>57</v>
      </c>
      <c r="B398" s="1" t="s">
        <v>2</v>
      </c>
      <c r="C398" s="10">
        <f>C392/C397</f>
        <v>1</v>
      </c>
      <c r="D398" s="10">
        <f>D393/D397</f>
        <v>0.50418760469011725</v>
      </c>
      <c r="E398" s="10">
        <f>E394/E397</f>
        <v>0.97868783953196825</v>
      </c>
      <c r="F398" s="10">
        <f>F395/F397</f>
        <v>0.95086477987421381</v>
      </c>
      <c r="G398" s="10">
        <f>G396/G397</f>
        <v>0.86865671641791042</v>
      </c>
      <c r="H398" s="10"/>
      <c r="I398" s="14">
        <f>(C392+D393+E394+F395+G396)/H397</f>
        <v>0.93905386740331487</v>
      </c>
    </row>
    <row r="399" spans="1:40" x14ac:dyDescent="0.3">
      <c r="B399" s="1" t="s">
        <v>14</v>
      </c>
      <c r="C399" s="11">
        <f>1-C398</f>
        <v>0</v>
      </c>
      <c r="D399" s="11">
        <f>1-D398</f>
        <v>0.49581239530988275</v>
      </c>
      <c r="E399" s="11">
        <f>1-E398</f>
        <v>2.1312160468031749E-2</v>
      </c>
      <c r="F399" s="11">
        <f>1-F398</f>
        <v>4.9135220125786194E-2</v>
      </c>
      <c r="G399" s="11">
        <f>1-G398</f>
        <v>0.13134328358208958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1.7112170585882502</v>
      </c>
      <c r="D403" s="31">
        <f>(D392/$L403)*$O403</f>
        <v>0</v>
      </c>
      <c r="E403" s="31">
        <f>(E392/$L403)*$O403</f>
        <v>0</v>
      </c>
      <c r="F403" s="31">
        <f>(F392/$L403)*$O403</f>
        <v>0</v>
      </c>
      <c r="G403" s="32">
        <f>(G392/$L403)*$O403</f>
        <v>0</v>
      </c>
      <c r="H403" s="17">
        <f>SUM(C403:G403)</f>
        <v>1.7112170585882502</v>
      </c>
      <c r="I403" s="17">
        <f>C403/H403*100</f>
        <v>100</v>
      </c>
      <c r="J403" s="17">
        <f>SQRT(I403*(100-I403)/(L403-1))</f>
        <v>0</v>
      </c>
      <c r="K403" s="18">
        <f>100-I403</f>
        <v>0</v>
      </c>
      <c r="L403" s="1">
        <f>H392</f>
        <v>259</v>
      </c>
      <c r="M403">
        <v>0</v>
      </c>
      <c r="N403" s="1">
        <v>3389.71</v>
      </c>
      <c r="O403" s="17">
        <f>N403/N408*100</f>
        <v>1.7112170585882502</v>
      </c>
      <c r="P403" s="52">
        <f>((O403*O403*(I403/100)*(K403/100))/(L403-1))</f>
        <v>0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49">(C393/$L404)*$O404</f>
        <v>0</v>
      </c>
      <c r="D404" s="34">
        <f t="shared" si="49"/>
        <v>4.3845380289959577</v>
      </c>
      <c r="E404" s="19">
        <f t="shared" si="49"/>
        <v>0.64092914709575466</v>
      </c>
      <c r="F404" s="18">
        <f t="shared" si="49"/>
        <v>0</v>
      </c>
      <c r="G404" s="20">
        <f t="shared" si="49"/>
        <v>2.9133143049807027E-2</v>
      </c>
      <c r="H404" s="17">
        <f>SUM(C404:G404)</f>
        <v>5.0546003191415201</v>
      </c>
      <c r="I404" s="17">
        <f>D404/H404*100</f>
        <v>86.743515850144078</v>
      </c>
      <c r="J404" s="17">
        <f>SQRT(I404*(100-I404)/(L404-1))</f>
        <v>1.8230334586187342</v>
      </c>
      <c r="K404" s="18">
        <f>100-I404</f>
        <v>13.256484149855922</v>
      </c>
      <c r="L404" s="1">
        <f>H393</f>
        <v>347</v>
      </c>
      <c r="M404">
        <v>1</v>
      </c>
      <c r="N404" s="1">
        <v>10012.540000000001</v>
      </c>
      <c r="O404" s="17">
        <f>N404/N408*100</f>
        <v>5.0546003191415192</v>
      </c>
      <c r="P404" s="52">
        <f>((O404*O404*(I404/100)*(K404/100))/(L404-1))</f>
        <v>8.4910797483795982E-3</v>
      </c>
    </row>
    <row r="405" spans="1:40" x14ac:dyDescent="0.3">
      <c r="A405" t="s">
        <v>5</v>
      </c>
      <c r="B405" s="13">
        <v>2</v>
      </c>
      <c r="C405" s="33">
        <f t="shared" si="49"/>
        <v>0</v>
      </c>
      <c r="D405" s="19">
        <f t="shared" si="49"/>
        <v>2.4864343991460638</v>
      </c>
      <c r="E405" s="34">
        <f t="shared" si="49"/>
        <v>60.658639195834184</v>
      </c>
      <c r="F405" s="19">
        <f t="shared" si="49"/>
        <v>9.4967980522939935E-2</v>
      </c>
      <c r="G405" s="20">
        <f t="shared" si="49"/>
        <v>0.21583631937031802</v>
      </c>
      <c r="H405" s="17">
        <f>SUM(C405:G405)</f>
        <v>63.455877894873502</v>
      </c>
      <c r="I405" s="17">
        <f>E405/H405*100</f>
        <v>95.591836734693885</v>
      </c>
      <c r="J405" s="17">
        <f>SQRT(I405*(100-I405)/(L405-1))</f>
        <v>0.239455664500831</v>
      </c>
      <c r="K405" s="18">
        <f>100-I405</f>
        <v>4.4081632653061149</v>
      </c>
      <c r="L405" s="1">
        <f>H394</f>
        <v>7350</v>
      </c>
      <c r="M405">
        <v>2</v>
      </c>
      <c r="N405" s="1">
        <v>125698.27</v>
      </c>
      <c r="O405" s="17">
        <f>N405/N408*100</f>
        <v>63.455877894873502</v>
      </c>
      <c r="P405" s="52">
        <f>((O405*O405*(I405/100)*(K405/100))/(L405-1))</f>
        <v>2.3088405632011231E-2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49"/>
        <v>0</v>
      </c>
      <c r="D406" s="19">
        <f t="shared" si="49"/>
        <v>6.1179809340202139E-2</v>
      </c>
      <c r="E406" s="19">
        <f t="shared" si="49"/>
        <v>0.81063247375767833</v>
      </c>
      <c r="F406" s="34">
        <f t="shared" si="49"/>
        <v>18.499244849243624</v>
      </c>
      <c r="G406" s="20">
        <f t="shared" si="49"/>
        <v>0.80298499759015307</v>
      </c>
      <c r="H406" s="17">
        <f>SUM(C406:G406)</f>
        <v>20.174042129931657</v>
      </c>
      <c r="I406" s="17">
        <f>F406/H406*100</f>
        <v>91.698256254738439</v>
      </c>
      <c r="J406" s="17">
        <f>SQRT(I406*(100-I406)/(L406-1))</f>
        <v>0.53729170468654908</v>
      </c>
      <c r="K406" s="18">
        <f>100-I406</f>
        <v>8.301743745261561</v>
      </c>
      <c r="L406" s="1">
        <f>H395</f>
        <v>2638</v>
      </c>
      <c r="M406">
        <v>3</v>
      </c>
      <c r="N406" s="1">
        <v>39962.29</v>
      </c>
      <c r="O406" s="17">
        <f>N406/N408*100</f>
        <v>20.174042129931657</v>
      </c>
      <c r="P406" s="52">
        <f>((O406*O406*(I406/100)*(K406/100))/(L406-1))</f>
        <v>1.1749141057374037E-2</v>
      </c>
    </row>
    <row r="407" spans="1:40" x14ac:dyDescent="0.3">
      <c r="A407" t="s">
        <v>7</v>
      </c>
      <c r="B407" s="13">
        <v>4</v>
      </c>
      <c r="C407" s="35">
        <f t="shared" si="49"/>
        <v>0</v>
      </c>
      <c r="D407" s="36">
        <f t="shared" si="49"/>
        <v>0</v>
      </c>
      <c r="E407" s="21">
        <f t="shared" si="49"/>
        <v>2.9103826052924393E-2</v>
      </c>
      <c r="F407" s="21">
        <f t="shared" si="49"/>
        <v>1.1059453900111271</v>
      </c>
      <c r="G407" s="37">
        <f t="shared" si="49"/>
        <v>8.4692133814009996</v>
      </c>
      <c r="H407" s="17">
        <f>SUM(C407:G407)</f>
        <v>9.604262597465052</v>
      </c>
      <c r="I407" s="17">
        <f>G407/H407*100</f>
        <v>88.181818181818173</v>
      </c>
      <c r="J407" s="17">
        <f>SQRT(I407*(100-I407)/(L407-1))</f>
        <v>1.0265183384733181</v>
      </c>
      <c r="K407" s="18">
        <f>100-I407</f>
        <v>11.818181818181827</v>
      </c>
      <c r="L407" s="1">
        <f>H396</f>
        <v>990</v>
      </c>
      <c r="M407">
        <v>4</v>
      </c>
      <c r="N407" s="1">
        <v>19024.86</v>
      </c>
      <c r="O407" s="17">
        <f>N407/N408*100</f>
        <v>9.6042625974650502</v>
      </c>
      <c r="P407" s="52">
        <f>((O407*O407*(I407/100)*(K407/100))/(L407-1))</f>
        <v>9.7198928303724817E-3</v>
      </c>
      <c r="AM407" s="78"/>
      <c r="AN407" s="78"/>
    </row>
    <row r="408" spans="1:40" x14ac:dyDescent="0.3">
      <c r="B408" t="s">
        <v>28</v>
      </c>
      <c r="C408" s="17">
        <f t="shared" ref="C408:H408" si="50">SUM(C403:C407)</f>
        <v>1.7112170585882502</v>
      </c>
      <c r="D408" s="17">
        <f t="shared" si="50"/>
        <v>6.9321522374822235</v>
      </c>
      <c r="E408" s="17">
        <f t="shared" si="50"/>
        <v>62.139304642740541</v>
      </c>
      <c r="F408" s="17">
        <f t="shared" si="50"/>
        <v>19.700158219777691</v>
      </c>
      <c r="G408" s="17">
        <f t="shared" si="50"/>
        <v>9.5171678414112773</v>
      </c>
      <c r="H408" s="18">
        <f t="shared" si="50"/>
        <v>99.999999999999986</v>
      </c>
      <c r="I408" s="13" t="s">
        <v>24</v>
      </c>
      <c r="J408" s="12" t="s">
        <v>29</v>
      </c>
      <c r="N408" s="1">
        <f>SUM(N403:N407)</f>
        <v>198087.67000000004</v>
      </c>
      <c r="O408" s="17">
        <f>SUM(O403:O407)</f>
        <v>99.999999999999986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0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0.17192567910184248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0.19356976193141373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0.14851590019034039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0.13373653248483727</v>
      </c>
      <c r="H409" s="1"/>
      <c r="I409" s="56">
        <f>(C403+D404+E405+F406+G407)/H408</f>
        <v>0.93722852514063038</v>
      </c>
      <c r="J409" s="53">
        <f>SQRT(SUM(P403:P407))/100</f>
        <v>2.3032264167497153E-3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63.249303806236568</v>
      </c>
      <c r="E410" s="17">
        <f>E405/E408*100</f>
        <v>97.617183752828922</v>
      </c>
      <c r="F410" s="17">
        <f>F406/F408*100</f>
        <v>93.904042002421946</v>
      </c>
      <c r="G410" s="17">
        <f>G407/G408*100</f>
        <v>88.988799215556554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5.0617103222326962</v>
      </c>
      <c r="E411" s="18">
        <f>SQRT((E414+E415)/(E408*E408))</f>
        <v>0.19737539201130508</v>
      </c>
      <c r="F411" s="18">
        <f>SQRT((F414+F415)/(F408*F408))</f>
        <v>0.58908954949614756</v>
      </c>
      <c r="G411" s="18">
        <f>SQRT((G414+G415)/(G408*G408))</f>
        <v>1.4199308486583098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36.750696193763432</v>
      </c>
      <c r="E412" s="18">
        <f>100-E410</f>
        <v>2.3828162471710783</v>
      </c>
      <c r="F412" s="18">
        <f>100-F410</f>
        <v>6.0959579975780542</v>
      </c>
      <c r="G412" s="18">
        <f>100-G410</f>
        <v>11.011200784443446</v>
      </c>
    </row>
    <row r="413" spans="1:40" ht="15.6" x14ac:dyDescent="0.35">
      <c r="B413" s="1" t="s">
        <v>25</v>
      </c>
      <c r="C413" s="1">
        <f>C397</f>
        <v>259</v>
      </c>
      <c r="D413" s="1">
        <f>D397</f>
        <v>597</v>
      </c>
      <c r="E413" s="1">
        <f>E397</f>
        <v>7179</v>
      </c>
      <c r="F413" s="1">
        <f>F397</f>
        <v>2544</v>
      </c>
      <c r="G413" s="1">
        <f>G397</f>
        <v>1005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1146.8168387388698</v>
      </c>
      <c r="E414" s="18">
        <f>(O405*O405*(100-E410)*(100-E410)*(I405)*(100-I405))/((L405-1)*100)</f>
        <v>13.109165582937669</v>
      </c>
      <c r="F414" s="18">
        <f>(O406*O406*(100-F410)*(100-F410)*(I406)*(100-I406))/((L406-1)*100)</f>
        <v>43.660635200917348</v>
      </c>
      <c r="G414" s="18">
        <f>(O407*O407*(100-G410)*(100-G410)*(I407)*(100-I407))/((L407-1)*100)</f>
        <v>117.85034012461671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84.389259252781457</v>
      </c>
      <c r="E415" s="18">
        <f>E410*E410*(SUM((H403*E403*(1-E392/H392))/(H392-1),(H404*E404*(1-E393/H393))/(H393-1), (H406*E406*(1-E395/H395))/(H395-1),(H407*E407*(1-E396/H396))/(H396-1)))</f>
        <v>137.31540808122074</v>
      </c>
      <c r="F415" s="18">
        <f>F410*F410*(SUM((H403*F403*(1-F392/H392))/(H392-1),(H404*F404*(1-F393/H393))/(H393-1), (H405*F405*(1-F394/H394))/(H394-1),(H407*F407*(1-F396/H396))/(H396-1)))</f>
        <v>91.019041469189233</v>
      </c>
      <c r="G415" s="18">
        <f>G410*G410*(SUM((H403*G403*(1-G392/H392))/(H392-1),(H404*G404*(1-G393/H393))/(H393-1), (H405*G405*(1-G394/H394))/(H394-1),(H406*G406*(1-G395/H395))/(H395-1)))</f>
        <v>64.770293786267032</v>
      </c>
      <c r="AM415" s="78"/>
      <c r="AN415" s="78"/>
    </row>
    <row r="417" spans="1:40" x14ac:dyDescent="0.3">
      <c r="AM417" s="78"/>
      <c r="AN417" s="78"/>
    </row>
    <row r="418" spans="1:40" x14ac:dyDescent="0.3">
      <c r="A418" s="361" t="s">
        <v>461</v>
      </c>
      <c r="B418" s="361"/>
      <c r="C418" s="361"/>
      <c r="D418" s="361"/>
      <c r="E418" s="361"/>
      <c r="F418" s="361"/>
      <c r="G418" s="361"/>
      <c r="H418" s="361"/>
      <c r="I418" s="361"/>
      <c r="J418" s="361"/>
      <c r="K418" s="361"/>
      <c r="L418" s="361" t="s">
        <v>92</v>
      </c>
      <c r="M418" s="361"/>
      <c r="N418" s="361"/>
      <c r="O418" s="361"/>
      <c r="P418" s="361"/>
    </row>
    <row r="419" spans="1:40" x14ac:dyDescent="0.3">
      <c r="A419" t="s">
        <v>15</v>
      </c>
      <c r="B419" t="s">
        <v>21</v>
      </c>
      <c r="I419" s="1" t="s">
        <v>58</v>
      </c>
      <c r="O419" s="143"/>
      <c r="P419" s="143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56</v>
      </c>
      <c r="O420" s="13"/>
      <c r="P420" s="13"/>
    </row>
    <row r="421" spans="1:40" x14ac:dyDescent="0.3">
      <c r="A421" t="s">
        <v>3</v>
      </c>
      <c r="B421" s="13">
        <v>0</v>
      </c>
      <c r="C421" s="26">
        <v>259</v>
      </c>
      <c r="D421" s="3">
        <v>0</v>
      </c>
      <c r="E421" s="3">
        <v>0</v>
      </c>
      <c r="F421" s="3">
        <v>0</v>
      </c>
      <c r="G421" s="4">
        <v>0</v>
      </c>
      <c r="H421" s="1">
        <f>SUM(C421:G421)</f>
        <v>259</v>
      </c>
      <c r="I421" s="10">
        <f>C421/H421</f>
        <v>1</v>
      </c>
      <c r="J421" s="11">
        <f>1-I421</f>
        <v>0</v>
      </c>
      <c r="K421">
        <f>H421-C426</f>
        <v>0</v>
      </c>
      <c r="N421" s="10">
        <f>2*(C427*I421)/(C427+I421)</f>
        <v>1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306</v>
      </c>
      <c r="E422" s="1">
        <v>40</v>
      </c>
      <c r="F422" s="1">
        <v>0</v>
      </c>
      <c r="G422" s="6">
        <v>1</v>
      </c>
      <c r="H422" s="1">
        <f>SUM(C422:G422)</f>
        <v>347</v>
      </c>
      <c r="I422" s="10">
        <f>D422/H422</f>
        <v>0.88184438040345825</v>
      </c>
      <c r="J422" s="11">
        <f>1-I422</f>
        <v>0.11815561959654175</v>
      </c>
      <c r="K422">
        <f>H422-D426</f>
        <v>-258</v>
      </c>
      <c r="N422" s="10">
        <f>2*(D427*I422)/(D427+I422)</f>
        <v>0.64285714285714279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292</v>
      </c>
      <c r="E423" s="27">
        <v>7021</v>
      </c>
      <c r="F423" s="1">
        <v>16</v>
      </c>
      <c r="G423" s="6">
        <v>21</v>
      </c>
      <c r="H423" s="1">
        <f>SUM(C423:G423)</f>
        <v>7350</v>
      </c>
      <c r="I423" s="10">
        <f>E423/H423</f>
        <v>0.95523809523809522</v>
      </c>
      <c r="J423" s="11">
        <f>1-I423</f>
        <v>4.4761904761904781E-2</v>
      </c>
      <c r="K423">
        <f>H423-E426</f>
        <v>178</v>
      </c>
      <c r="N423" s="10">
        <f>2*(E427*I423)/(E427+I423)</f>
        <v>0.9669467015562595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7</v>
      </c>
      <c r="E424" s="1">
        <v>109</v>
      </c>
      <c r="F424" s="27">
        <v>2419</v>
      </c>
      <c r="G424" s="6">
        <v>103</v>
      </c>
      <c r="H424" s="1">
        <f>SUM(C424:G424)</f>
        <v>2638</v>
      </c>
      <c r="I424" s="10">
        <f>F424/H424</f>
        <v>0.91698256254738442</v>
      </c>
      <c r="J424" s="11">
        <f>1-I424</f>
        <v>8.3017437452615583E-2</v>
      </c>
      <c r="K424">
        <f>H424-F426</f>
        <v>69</v>
      </c>
      <c r="N424" s="10">
        <f>2*(F427*I424)/(F427+I424)</f>
        <v>0.92913385826771655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0</v>
      </c>
      <c r="E425" s="8">
        <v>2</v>
      </c>
      <c r="F425" s="8">
        <v>134</v>
      </c>
      <c r="G425" s="28">
        <v>854</v>
      </c>
      <c r="H425" s="1">
        <f>SUM(C425:G425)</f>
        <v>990</v>
      </c>
      <c r="I425" s="10">
        <f>G425/H425</f>
        <v>0.86262626262626263</v>
      </c>
      <c r="J425" s="11">
        <f>1-I425</f>
        <v>0.13737373737373737</v>
      </c>
      <c r="K425">
        <f>H425-G426</f>
        <v>11</v>
      </c>
      <c r="N425" s="10">
        <f>2*(G427*I425)/(G427+I425)</f>
        <v>0.86744540375825296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259</v>
      </c>
      <c r="D426" s="1">
        <f>SUM(D421:D425)</f>
        <v>605</v>
      </c>
      <c r="E426" s="1">
        <f>SUM(E421:E425)</f>
        <v>7172</v>
      </c>
      <c r="F426" s="1">
        <f>SUM(F421:F425)</f>
        <v>2569</v>
      </c>
      <c r="G426" s="1">
        <f>SUM(G421:G425)</f>
        <v>979</v>
      </c>
      <c r="H426" s="1">
        <f>SUM(H420:H425)</f>
        <v>11584</v>
      </c>
      <c r="I426" s="13" t="s">
        <v>12</v>
      </c>
      <c r="N426" s="16"/>
      <c r="O426" s="1"/>
      <c r="P426" s="1"/>
    </row>
    <row r="427" spans="1:40" x14ac:dyDescent="0.3">
      <c r="A427" s="1" t="s">
        <v>57</v>
      </c>
      <c r="B427" s="1" t="s">
        <v>2</v>
      </c>
      <c r="C427" s="10">
        <f>C421/C426</f>
        <v>1</v>
      </c>
      <c r="D427" s="10">
        <f>D422/D426</f>
        <v>0.5057851239669422</v>
      </c>
      <c r="E427" s="10">
        <f>E423/E426</f>
        <v>0.97894590072504184</v>
      </c>
      <c r="F427" s="10">
        <f>F424/F426</f>
        <v>0.94161152199299336</v>
      </c>
      <c r="G427" s="10">
        <f>G425/G426</f>
        <v>0.87231869254341166</v>
      </c>
      <c r="H427" s="10"/>
      <c r="I427" s="14">
        <f>(C421+D422+E423+F424+G425)/H426</f>
        <v>0.93741367403314912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0.4942148760330578</v>
      </c>
      <c r="E428" s="11">
        <f>1-E427</f>
        <v>2.105409927495816E-2</v>
      </c>
      <c r="F428" s="11">
        <f>1-F427</f>
        <v>5.8388478007006639E-2</v>
      </c>
      <c r="G428" s="11">
        <f>1-G427</f>
        <v>0.12768130745658834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1.6922608055312076</v>
      </c>
      <c r="D432" s="31">
        <f>(D421/$L432)*$O432</f>
        <v>0</v>
      </c>
      <c r="E432" s="31">
        <f>(E421/$L432)*$O432</f>
        <v>0</v>
      </c>
      <c r="F432" s="31">
        <f>(F421/$L432)*$O432</f>
        <v>0</v>
      </c>
      <c r="G432" s="32">
        <f>(G421/$L432)*$O432</f>
        <v>0</v>
      </c>
      <c r="H432" s="17">
        <f>SUM(C432:G432)</f>
        <v>1.6922608055312076</v>
      </c>
      <c r="I432" s="17">
        <f>C432/H432*100</f>
        <v>100</v>
      </c>
      <c r="J432" s="17">
        <f>SQRT(I432*(100-I432)/(L432-1))</f>
        <v>0</v>
      </c>
      <c r="K432" s="18">
        <f>100-I432</f>
        <v>0</v>
      </c>
      <c r="L432" s="1">
        <f>H421</f>
        <v>259</v>
      </c>
      <c r="M432">
        <v>0</v>
      </c>
      <c r="N432" s="1">
        <v>3352.16</v>
      </c>
      <c r="O432" s="17">
        <f>N432/N437*100</f>
        <v>1.6922608055312076</v>
      </c>
      <c r="P432" s="52">
        <f>((O432*O432*(I432/100)*(K432/100))/(L432-1))</f>
        <v>0</v>
      </c>
    </row>
    <row r="433" spans="1:40" x14ac:dyDescent="0.3">
      <c r="A433" t="s">
        <v>4</v>
      </c>
      <c r="B433" s="13">
        <v>1</v>
      </c>
      <c r="C433" s="33">
        <f t="shared" ref="C433:G436" si="51">(C422/$L433)*$O433</f>
        <v>0</v>
      </c>
      <c r="D433" s="34">
        <f t="shared" si="51"/>
        <v>4.6056109866885659</v>
      </c>
      <c r="E433" s="19">
        <f t="shared" si="51"/>
        <v>0.60204065185471445</v>
      </c>
      <c r="F433" s="18">
        <f t="shared" si="51"/>
        <v>0</v>
      </c>
      <c r="G433" s="20">
        <f t="shared" si="51"/>
        <v>1.5051016296367861E-2</v>
      </c>
      <c r="H433" s="17">
        <f>SUM(C433:G433)</f>
        <v>5.2227026548396482</v>
      </c>
      <c r="I433" s="17">
        <f>D433/H433*100</f>
        <v>88.184438040345825</v>
      </c>
      <c r="J433" s="17">
        <f>SQRT(I433*(100-I433)/(L433-1))</f>
        <v>1.7353421574154884</v>
      </c>
      <c r="K433" s="18">
        <f>100-I433</f>
        <v>11.815561959654175</v>
      </c>
      <c r="L433" s="1">
        <f>H422</f>
        <v>347</v>
      </c>
      <c r="M433">
        <v>1</v>
      </c>
      <c r="N433" s="1">
        <v>10345.530000000001</v>
      </c>
      <c r="O433" s="17">
        <f>N433/N437*100</f>
        <v>5.2227026548396482</v>
      </c>
      <c r="P433" s="52">
        <f>((O433*O433*(I433/100)*(K433/100))/(L433-1))</f>
        <v>8.2141160885277412E-3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51"/>
        <v>0</v>
      </c>
      <c r="D434" s="19">
        <f t="shared" si="51"/>
        <v>2.4936725877641011</v>
      </c>
      <c r="E434" s="34">
        <f t="shared" si="51"/>
        <v>59.959161776341624</v>
      </c>
      <c r="F434" s="19">
        <f t="shared" si="51"/>
        <v>0.13663959385008773</v>
      </c>
      <c r="G434" s="20">
        <f t="shared" si="51"/>
        <v>0.17933946692824015</v>
      </c>
      <c r="H434" s="17">
        <f>SUM(C434:G434)</f>
        <v>62.768813424884051</v>
      </c>
      <c r="I434" s="17">
        <f>E434/H434*100</f>
        <v>95.523809523809518</v>
      </c>
      <c r="J434" s="17">
        <f>SQRT(I434*(100-I434)/(L434-1))</f>
        <v>0.24121036881683383</v>
      </c>
      <c r="K434" s="18">
        <f>100-I434</f>
        <v>4.4761904761904816</v>
      </c>
      <c r="L434" s="1">
        <f>H423</f>
        <v>7350</v>
      </c>
      <c r="M434">
        <v>2</v>
      </c>
      <c r="N434" s="1">
        <v>124337.28</v>
      </c>
      <c r="O434" s="17">
        <f>N434/N437*100</f>
        <v>62.768813424884051</v>
      </c>
      <c r="P434" s="52">
        <f>((O434*O434*(I434/100)*(K434/100))/(L434-1))</f>
        <v>2.292343961493001E-2</v>
      </c>
    </row>
    <row r="435" spans="1:40" x14ac:dyDescent="0.3">
      <c r="A435" t="s">
        <v>6</v>
      </c>
      <c r="B435" s="13">
        <v>3</v>
      </c>
      <c r="C435" s="33">
        <f t="shared" si="51"/>
        <v>0</v>
      </c>
      <c r="D435" s="19">
        <f t="shared" si="51"/>
        <v>5.5087454786165314E-2</v>
      </c>
      <c r="E435" s="19">
        <f t="shared" si="51"/>
        <v>0.85779036738457404</v>
      </c>
      <c r="F435" s="34">
        <f t="shared" si="51"/>
        <v>19.036650446819127</v>
      </c>
      <c r="G435" s="20">
        <f t="shared" si="51"/>
        <v>0.81057254899643238</v>
      </c>
      <c r="H435" s="17">
        <f>SUM(C435:G435)</f>
        <v>20.760100817986299</v>
      </c>
      <c r="I435" s="17">
        <f>F435/H435*100</f>
        <v>91.698256254738439</v>
      </c>
      <c r="J435" s="17">
        <f>SQRT(I435*(100-I435)/(L435-1))</f>
        <v>0.53729170468654908</v>
      </c>
      <c r="K435" s="18">
        <f>100-I435</f>
        <v>8.301743745261561</v>
      </c>
      <c r="L435" s="1">
        <f>H424</f>
        <v>2638</v>
      </c>
      <c r="M435">
        <v>3</v>
      </c>
      <c r="N435" s="1">
        <v>41123.199999999997</v>
      </c>
      <c r="O435" s="17">
        <f>N435/N437*100</f>
        <v>20.760100817986299</v>
      </c>
      <c r="P435" s="52">
        <f>((O435*O435*(I435/100)*(K435/100))/(L435-1))</f>
        <v>1.2441684595506307E-2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51"/>
        <v>0</v>
      </c>
      <c r="D436" s="36">
        <f t="shared" si="51"/>
        <v>0</v>
      </c>
      <c r="E436" s="21">
        <f t="shared" si="51"/>
        <v>1.9305297569209706E-2</v>
      </c>
      <c r="F436" s="21">
        <f t="shared" si="51"/>
        <v>1.2934549371370505</v>
      </c>
      <c r="G436" s="37">
        <f t="shared" si="51"/>
        <v>8.2433620620525438</v>
      </c>
      <c r="H436" s="17">
        <f>SUM(C436:G436)</f>
        <v>9.5561222967588044</v>
      </c>
      <c r="I436" s="17">
        <f>G436/H436*100</f>
        <v>86.262626262626256</v>
      </c>
      <c r="J436" s="17">
        <f>SQRT(I436*(100-I436)/(L436-1))</f>
        <v>1.0946242096264787</v>
      </c>
      <c r="K436" s="18">
        <f>100-I436</f>
        <v>13.737373737373744</v>
      </c>
      <c r="L436" s="1">
        <f>H425</f>
        <v>990</v>
      </c>
      <c r="M436">
        <v>4</v>
      </c>
      <c r="N436" s="1">
        <v>18929.5</v>
      </c>
      <c r="O436" s="17">
        <f>N436/N437*100</f>
        <v>9.5561222967588044</v>
      </c>
      <c r="P436" s="52">
        <f>((O436*O436*(I436/100)*(K436/100))/(L436-1))</f>
        <v>1.0941919024619598E-2</v>
      </c>
    </row>
    <row r="437" spans="1:40" x14ac:dyDescent="0.3">
      <c r="B437" t="s">
        <v>28</v>
      </c>
      <c r="C437" s="17">
        <f t="shared" ref="C437:H437" si="52">SUM(C432:C436)</f>
        <v>1.6922608055312076</v>
      </c>
      <c r="D437" s="17">
        <f t="shared" si="52"/>
        <v>7.1543710292388321</v>
      </c>
      <c r="E437" s="17">
        <f t="shared" si="52"/>
        <v>61.438298093150124</v>
      </c>
      <c r="F437" s="17">
        <f t="shared" si="52"/>
        <v>20.466744977806265</v>
      </c>
      <c r="G437" s="17">
        <f t="shared" si="52"/>
        <v>9.248325094273584</v>
      </c>
      <c r="H437" s="18">
        <f t="shared" si="52"/>
        <v>100</v>
      </c>
      <c r="I437" s="13" t="s">
        <v>24</v>
      </c>
      <c r="J437" s="12" t="s">
        <v>29</v>
      </c>
      <c r="N437" s="1">
        <f>SUM(N432:N436)</f>
        <v>198087.66999999998</v>
      </c>
      <c r="O437" s="17">
        <f>SUM(O432:O436)</f>
        <v>100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0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0.17050710117163601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0.19389341269755372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0.15619432781593398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0.13716331079139735</v>
      </c>
      <c r="H438" s="1"/>
      <c r="I438" s="56">
        <f>(C432+D433+E434+F435+G436)/H437</f>
        <v>0.93537046077433061</v>
      </c>
      <c r="J438" s="53">
        <f>SQRT(SUM(P432:P436))/100</f>
        <v>2.3349766449278172E-3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64.374785258775802</v>
      </c>
      <c r="E439" s="17">
        <f>E434/E437*100</f>
        <v>97.592484878787005</v>
      </c>
      <c r="F439" s="17">
        <f>F435/F437*100</f>
        <v>93.012594173925038</v>
      </c>
      <c r="G439" s="17">
        <f>G436/G437*100</f>
        <v>89.133567192147069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4.6966166684430233</v>
      </c>
      <c r="E440" s="18">
        <f>SQRT((E443+E444)/(E437*E437))</f>
        <v>0.20152324212207948</v>
      </c>
      <c r="F440" s="18">
        <f>SQRT((F443+F444)/(F437*F437))</f>
        <v>0.62629801434200638</v>
      </c>
      <c r="G440" s="18">
        <f>SQRT((G443+G444)/(G437*G437))</f>
        <v>1.4976947455391718</v>
      </c>
      <c r="H440" s="1"/>
    </row>
    <row r="441" spans="1:40" x14ac:dyDescent="0.3">
      <c r="B441" s="1" t="s">
        <v>37</v>
      </c>
      <c r="C441" s="18">
        <f>100-C439</f>
        <v>0</v>
      </c>
      <c r="D441" s="18">
        <f>100-D439</f>
        <v>35.625214741224198</v>
      </c>
      <c r="E441" s="18">
        <f>100-E439</f>
        <v>2.4075151212129953</v>
      </c>
      <c r="F441" s="18">
        <f>100-F439</f>
        <v>6.9874058260749621</v>
      </c>
      <c r="G441" s="18">
        <f>100-G439</f>
        <v>10.866432807852931</v>
      </c>
      <c r="AM441" s="78"/>
      <c r="AN441" s="78"/>
    </row>
    <row r="442" spans="1:40" ht="15.6" x14ac:dyDescent="0.35">
      <c r="B442" s="1" t="s">
        <v>25</v>
      </c>
      <c r="C442" s="1">
        <f>C426</f>
        <v>259</v>
      </c>
      <c r="D442" s="1">
        <f>D426</f>
        <v>605</v>
      </c>
      <c r="E442" s="1">
        <f>E426</f>
        <v>7172</v>
      </c>
      <c r="F442" s="1">
        <f>F426</f>
        <v>2569</v>
      </c>
      <c r="G442" s="1">
        <f>G426</f>
        <v>979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1042.4994105336236</v>
      </c>
      <c r="E443" s="18">
        <f>(O434*O434*(100-E439)*(100-E439)*(I434)*(100-I434))/((L434-1)*100)</f>
        <v>13.286721448132976</v>
      </c>
      <c r="F443" s="18">
        <f>(O435*O435*(100-F439)*(100-F439)*(I435)*(100-I435))/((L435-1)*100)</f>
        <v>60.745082023939794</v>
      </c>
      <c r="G443" s="18">
        <f>(O436*O436*(100-G439)*(100-G439)*(I436)*(100-I436))/((L436-1)*100)</f>
        <v>129.20148171280351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86.550520188841475</v>
      </c>
      <c r="E444" s="18">
        <f>E439*E439*(SUM((H432*E432*(1-E421/H421))/(H421-1),(H433*E433*(1-E422/H422))/(H422-1), (H435*E435*(1-E424/H424))/(H424-1),(H436*E436*(1-E425/H425))/(H425-1)))</f>
        <v>140.00850685148029</v>
      </c>
      <c r="F444" s="18">
        <f>F439*F439*(SUM((H432*F432*(1-F421/H421))/(H421-1),(H433*F433*(1-F422/H422))/(H422-1), (H434*F434*(1-F423/H423))/(H423-1),(H436*F436*(1-F425/H425))/(H425-1)))</f>
        <v>103.56326473295856</v>
      </c>
      <c r="G444" s="18">
        <f>G439*G439*(SUM((H432*G432*(1-G421/H421))/(H421-1),(H433*G433*(1-G422/H422))/(H422-1), (H434*G434*(1-G423/H423))/(H423-1),(H435*G435*(1-G424/H424))/(H424-1)))</f>
        <v>62.6533704460496</v>
      </c>
    </row>
    <row r="445" spans="1:40" x14ac:dyDescent="0.3">
      <c r="AM445" s="78"/>
      <c r="AN445" s="78"/>
    </row>
    <row r="447" spans="1:40" x14ac:dyDescent="0.3">
      <c r="A447" s="361" t="s">
        <v>461</v>
      </c>
      <c r="B447" s="361"/>
      <c r="C447" s="361"/>
      <c r="D447" s="361"/>
      <c r="E447" s="361"/>
      <c r="F447" s="361"/>
      <c r="G447" s="361"/>
      <c r="H447" s="361"/>
      <c r="I447" s="361"/>
      <c r="J447" s="361"/>
      <c r="K447" s="361"/>
      <c r="L447" s="361" t="s">
        <v>93</v>
      </c>
      <c r="M447" s="361"/>
      <c r="N447" s="361"/>
      <c r="O447" s="361"/>
      <c r="P447" s="361"/>
      <c r="AM447" s="78"/>
      <c r="AN447" s="78"/>
    </row>
    <row r="448" spans="1:40" x14ac:dyDescent="0.3">
      <c r="A448" t="s">
        <v>15</v>
      </c>
      <c r="B448" t="s">
        <v>21</v>
      </c>
      <c r="I448" s="1" t="s">
        <v>58</v>
      </c>
      <c r="O448" s="143"/>
      <c r="P448" s="143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56</v>
      </c>
      <c r="O449" s="13"/>
      <c r="P449" s="13"/>
      <c r="AM449" s="78"/>
      <c r="AN449" s="78"/>
    </row>
    <row r="450" spans="1:40" x14ac:dyDescent="0.3">
      <c r="A450" t="s">
        <v>3</v>
      </c>
      <c r="B450" s="13">
        <v>0</v>
      </c>
      <c r="C450" s="26">
        <v>259</v>
      </c>
      <c r="D450" s="3">
        <v>0</v>
      </c>
      <c r="E450" s="3">
        <v>0</v>
      </c>
      <c r="F450" s="3">
        <v>0</v>
      </c>
      <c r="G450" s="4">
        <v>0</v>
      </c>
      <c r="H450" s="1">
        <f>SUM(C450:G450)</f>
        <v>259</v>
      </c>
      <c r="I450" s="10">
        <f>C450/H450</f>
        <v>1</v>
      </c>
      <c r="J450" s="11">
        <f>1-I450</f>
        <v>0</v>
      </c>
      <c r="K450">
        <f>H450-C455</f>
        <v>0</v>
      </c>
      <c r="N450" s="10">
        <f>2*(C456*I450)/(C456+I450)</f>
        <v>1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301</v>
      </c>
      <c r="E451" s="1">
        <v>44</v>
      </c>
      <c r="F451" s="1">
        <v>0</v>
      </c>
      <c r="G451" s="6">
        <v>2</v>
      </c>
      <c r="H451" s="1">
        <f>SUM(C451:G451)</f>
        <v>347</v>
      </c>
      <c r="I451" s="10">
        <f>D451/H451</f>
        <v>0.86743515850144093</v>
      </c>
      <c r="J451" s="11">
        <f>1-I451</f>
        <v>0.13256484149855907</v>
      </c>
      <c r="K451">
        <f>H451-D455</f>
        <v>-243</v>
      </c>
      <c r="N451" s="10">
        <f>2*(D456*I451)/(D456+I451)</f>
        <v>0.64247598719316967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281</v>
      </c>
      <c r="E452" s="27">
        <v>7031</v>
      </c>
      <c r="F452" s="1">
        <v>18</v>
      </c>
      <c r="G452" s="6">
        <v>20</v>
      </c>
      <c r="H452" s="1">
        <f>SUM(C452:G452)</f>
        <v>7350</v>
      </c>
      <c r="I452" s="10">
        <f>E452/H452</f>
        <v>0.95659863945578227</v>
      </c>
      <c r="J452" s="11">
        <f>1-I452</f>
        <v>4.3401360544217726E-2</v>
      </c>
      <c r="K452">
        <f>H452-E455</f>
        <v>165</v>
      </c>
      <c r="N452" s="10">
        <f>2*(E456*I452)/(E456+I452)</f>
        <v>0.96745786033711734</v>
      </c>
      <c r="O452" s="1"/>
      <c r="P452" s="1"/>
    </row>
    <row r="453" spans="1:40" x14ac:dyDescent="0.3">
      <c r="A453" t="s">
        <v>6</v>
      </c>
      <c r="B453" s="13">
        <v>3</v>
      </c>
      <c r="C453" s="5">
        <v>0</v>
      </c>
      <c r="D453" s="1">
        <v>7</v>
      </c>
      <c r="E453" s="1">
        <v>108</v>
      </c>
      <c r="F453" s="27">
        <v>2417</v>
      </c>
      <c r="G453" s="6">
        <v>106</v>
      </c>
      <c r="H453" s="1">
        <f>SUM(C453:G453)</f>
        <v>2638</v>
      </c>
      <c r="I453" s="10">
        <f>F453/H453</f>
        <v>0.91622441243366182</v>
      </c>
      <c r="J453" s="11">
        <f>1-I453</f>
        <v>8.3775587566338183E-2</v>
      </c>
      <c r="K453">
        <f>H453-F455</f>
        <v>77</v>
      </c>
      <c r="N453" s="10">
        <f>2*(F456*I453)/(F456+I453)</f>
        <v>0.92979419119061368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1</v>
      </c>
      <c r="E454" s="8">
        <v>2</v>
      </c>
      <c r="F454" s="8">
        <v>126</v>
      </c>
      <c r="G454" s="28">
        <v>861</v>
      </c>
      <c r="H454" s="1">
        <f>SUM(C454:G454)</f>
        <v>990</v>
      </c>
      <c r="I454" s="10">
        <f>G454/H454</f>
        <v>0.86969696969696975</v>
      </c>
      <c r="J454" s="11">
        <f>1-I454</f>
        <v>0.13030303030303025</v>
      </c>
      <c r="K454">
        <f>H454-G455</f>
        <v>1</v>
      </c>
      <c r="N454" s="10">
        <f>2*(G456*I454)/(G456+I454)</f>
        <v>0.87013643254168771</v>
      </c>
      <c r="O454" s="1"/>
      <c r="P454" s="1"/>
    </row>
    <row r="455" spans="1:40" ht="15.6" x14ac:dyDescent="0.35">
      <c r="B455" s="1" t="s">
        <v>19</v>
      </c>
      <c r="C455" s="1">
        <f>SUM(C450:C454)</f>
        <v>259</v>
      </c>
      <c r="D455" s="1">
        <f>SUM(D450:D454)</f>
        <v>590</v>
      </c>
      <c r="E455" s="1">
        <f>SUM(E450:E454)</f>
        <v>7185</v>
      </c>
      <c r="F455" s="1">
        <f>SUM(F450:F454)</f>
        <v>2561</v>
      </c>
      <c r="G455" s="1">
        <f>SUM(G450:G454)</f>
        <v>989</v>
      </c>
      <c r="H455" s="1">
        <f>SUM(H449:H454)</f>
        <v>11584</v>
      </c>
      <c r="I455" s="13" t="s">
        <v>12</v>
      </c>
      <c r="N455" s="16"/>
      <c r="O455" s="1"/>
      <c r="P455" s="1"/>
      <c r="AM455" s="78"/>
      <c r="AN455" s="78"/>
    </row>
    <row r="456" spans="1:40" x14ac:dyDescent="0.3">
      <c r="A456" s="1" t="s">
        <v>57</v>
      </c>
      <c r="B456" s="1" t="s">
        <v>2</v>
      </c>
      <c r="C456" s="10">
        <f>C450/C455</f>
        <v>1</v>
      </c>
      <c r="D456" s="10">
        <f>D451/D455</f>
        <v>0.51016949152542368</v>
      </c>
      <c r="E456" s="10">
        <f>E452/E455</f>
        <v>0.97856645789839947</v>
      </c>
      <c r="F456" s="10">
        <f>F453/F455</f>
        <v>0.94377196407653263</v>
      </c>
      <c r="G456" s="10">
        <f>G454/G455</f>
        <v>0.87057633973710824</v>
      </c>
      <c r="H456" s="10"/>
      <c r="I456" s="14">
        <f>(C450+D451+E452+F453+G454)/H455</f>
        <v>0.93827693370165743</v>
      </c>
    </row>
    <row r="457" spans="1:40" x14ac:dyDescent="0.3">
      <c r="B457" s="1" t="s">
        <v>14</v>
      </c>
      <c r="C457" s="11">
        <f>1-C456</f>
        <v>0</v>
      </c>
      <c r="D457" s="11">
        <f>1-D456</f>
        <v>0.48983050847457632</v>
      </c>
      <c r="E457" s="11">
        <f>1-E456</f>
        <v>2.1433542101600533E-2</v>
      </c>
      <c r="F457" s="11">
        <f>1-F456</f>
        <v>5.6228035923467368E-2</v>
      </c>
      <c r="G457" s="11">
        <f>1-G456</f>
        <v>0.12942366026289176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1.718153294541084</v>
      </c>
      <c r="D461" s="31">
        <f>(D450/$L461)*$O461</f>
        <v>0</v>
      </c>
      <c r="E461" s="31">
        <f>(E450/$L461)*$O461</f>
        <v>0</v>
      </c>
      <c r="F461" s="31">
        <f>(F450/$L461)*$O461</f>
        <v>0</v>
      </c>
      <c r="G461" s="32">
        <f>(G450/$L461)*$O461</f>
        <v>0</v>
      </c>
      <c r="H461" s="17">
        <f>SUM(C461:G461)</f>
        <v>1.718153294541084</v>
      </c>
      <c r="I461" s="17">
        <f>C461/H461*100</f>
        <v>100</v>
      </c>
      <c r="J461" s="17">
        <f>SQRT(I461*(100-I461)/(L461-1))</f>
        <v>0</v>
      </c>
      <c r="K461" s="18">
        <f>100-I461</f>
        <v>0</v>
      </c>
      <c r="L461" s="1">
        <f>H450</f>
        <v>259</v>
      </c>
      <c r="M461">
        <v>0</v>
      </c>
      <c r="N461" s="1">
        <v>3403.45</v>
      </c>
      <c r="O461" s="17">
        <f>N461/N466*100</f>
        <v>1.718153294541084</v>
      </c>
      <c r="P461" s="52">
        <f>((O461*O461*(I461/100)*(K461/100))/(L461-1))</f>
        <v>0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53">(C451/$L462)*$O462</f>
        <v>0</v>
      </c>
      <c r="D462" s="34">
        <f t="shared" si="53"/>
        <v>4.5859520506549192</v>
      </c>
      <c r="E462" s="19">
        <f t="shared" si="53"/>
        <v>0.67037172833493841</v>
      </c>
      <c r="F462" s="18">
        <f t="shared" si="53"/>
        <v>0</v>
      </c>
      <c r="G462" s="20">
        <f t="shared" si="53"/>
        <v>3.0471442197042651E-2</v>
      </c>
      <c r="H462" s="17">
        <f>SUM(C462:G462)</f>
        <v>5.2867952211869005</v>
      </c>
      <c r="I462" s="17">
        <f>D462/H462*100</f>
        <v>86.743515850144078</v>
      </c>
      <c r="J462" s="17">
        <f>SQRT(I462*(100-I462)/(L462-1))</f>
        <v>1.8230334586187342</v>
      </c>
      <c r="K462" s="18">
        <f>100-I462</f>
        <v>13.256484149855922</v>
      </c>
      <c r="L462" s="1">
        <f>H451</f>
        <v>347</v>
      </c>
      <c r="M462">
        <v>1</v>
      </c>
      <c r="N462" s="1">
        <v>10472.49</v>
      </c>
      <c r="O462" s="17">
        <f>N462/N466*100</f>
        <v>5.2867952211869005</v>
      </c>
      <c r="P462" s="52">
        <f>((O462*O462*(I462/100)*(K462/100))/(L462-1))</f>
        <v>9.289113222799527E-3</v>
      </c>
    </row>
    <row r="463" spans="1:40" x14ac:dyDescent="0.3">
      <c r="A463" t="s">
        <v>5</v>
      </c>
      <c r="B463" s="13">
        <v>2</v>
      </c>
      <c r="C463" s="33">
        <f t="shared" si="53"/>
        <v>0</v>
      </c>
      <c r="D463" s="19">
        <f t="shared" si="53"/>
        <v>2.4074437495296523</v>
      </c>
      <c r="E463" s="34">
        <f t="shared" si="53"/>
        <v>60.237498231113825</v>
      </c>
      <c r="F463" s="19">
        <f t="shared" si="53"/>
        <v>0.1542134786175578</v>
      </c>
      <c r="G463" s="20">
        <f t="shared" si="53"/>
        <v>0.17134830957506422</v>
      </c>
      <c r="H463" s="17">
        <f>SUM(C463:G463)</f>
        <v>62.970503768836103</v>
      </c>
      <c r="I463" s="17">
        <f>E463/H463*100</f>
        <v>95.659863945578223</v>
      </c>
      <c r="J463" s="17">
        <f>SQRT(I463*(100-I463)/(L463-1))</f>
        <v>0.2376853573287305</v>
      </c>
      <c r="K463" s="18">
        <f>100-I463</f>
        <v>4.3401360544217766</v>
      </c>
      <c r="L463" s="1">
        <f>H452</f>
        <v>7350</v>
      </c>
      <c r="M463">
        <v>2</v>
      </c>
      <c r="N463" s="1">
        <v>124736.81</v>
      </c>
      <c r="O463" s="17">
        <f>N463/N466*100</f>
        <v>62.970503768836103</v>
      </c>
      <c r="P463" s="52">
        <f>((O463*O463*(I463/100)*(K463/100))/(L463-1))</f>
        <v>2.2401607871026005E-2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53"/>
        <v>0</v>
      </c>
      <c r="D464" s="19">
        <f t="shared" si="53"/>
        <v>5.4852250104010743E-2</v>
      </c>
      <c r="E464" s="19">
        <f t="shared" si="53"/>
        <v>0.84629185874759416</v>
      </c>
      <c r="F464" s="34">
        <f t="shared" si="53"/>
        <v>18.939698357341992</v>
      </c>
      <c r="G464" s="20">
        <f t="shared" si="53"/>
        <v>0.83061978728930541</v>
      </c>
      <c r="H464" s="17">
        <f>SUM(C464:G464)</f>
        <v>20.6714622534829</v>
      </c>
      <c r="I464" s="17">
        <f>F464/H464*100</f>
        <v>91.622441243366197</v>
      </c>
      <c r="J464" s="17">
        <f>SQRT(I464*(100-I464)/(L464-1))</f>
        <v>0.53951634436163676</v>
      </c>
      <c r="K464" s="18">
        <f>100-I464</f>
        <v>8.3775587566338032</v>
      </c>
      <c r="L464" s="1">
        <f>H453</f>
        <v>2638</v>
      </c>
      <c r="M464">
        <v>3</v>
      </c>
      <c r="N464" s="1">
        <v>40947.620000000003</v>
      </c>
      <c r="O464" s="17">
        <f>N464/N466*100</f>
        <v>20.671462253482904</v>
      </c>
      <c r="P464" s="52">
        <f>((O464*O464*(I464/100)*(K464/100))/(L464-1))</f>
        <v>1.243803026888287E-2</v>
      </c>
    </row>
    <row r="465" spans="1:40" x14ac:dyDescent="0.3">
      <c r="A465" t="s">
        <v>7</v>
      </c>
      <c r="B465" s="13">
        <v>4</v>
      </c>
      <c r="C465" s="35">
        <f t="shared" si="53"/>
        <v>0</v>
      </c>
      <c r="D465" s="36">
        <f t="shared" si="53"/>
        <v>9.4475610726798085E-3</v>
      </c>
      <c r="E465" s="21">
        <f t="shared" si="53"/>
        <v>1.8895122145359617E-2</v>
      </c>
      <c r="F465" s="21">
        <f t="shared" si="53"/>
        <v>1.1903926951576558</v>
      </c>
      <c r="G465" s="37">
        <f t="shared" si="53"/>
        <v>8.1343500835773153</v>
      </c>
      <c r="H465" s="17">
        <f>SUM(C465:G465)</f>
        <v>9.353085461953011</v>
      </c>
      <c r="I465" s="17">
        <f>G465/H465*100</f>
        <v>86.969696969696969</v>
      </c>
      <c r="J465" s="17">
        <f>SQRT(I465*(100-I465)/(L465-1))</f>
        <v>1.070441875992074</v>
      </c>
      <c r="K465" s="18">
        <f>100-I465</f>
        <v>13.030303030303031</v>
      </c>
      <c r="L465" s="1">
        <f>H454</f>
        <v>990</v>
      </c>
      <c r="M465">
        <v>4</v>
      </c>
      <c r="N465" s="1">
        <v>18527.310000000001</v>
      </c>
      <c r="O465" s="17">
        <f>N465/N466*100</f>
        <v>9.353085461953011</v>
      </c>
      <c r="P465" s="52">
        <f>((O465*O465*(I465/100)*(K465/100))/(L465-1))</f>
        <v>1.0023882939281062E-2</v>
      </c>
      <c r="AM465" s="78"/>
      <c r="AN465" s="78"/>
    </row>
    <row r="466" spans="1:40" x14ac:dyDescent="0.3">
      <c r="B466" t="s">
        <v>28</v>
      </c>
      <c r="C466" s="17">
        <f t="shared" ref="C466:H466" si="54">SUM(C461:C465)</f>
        <v>1.718153294541084</v>
      </c>
      <c r="D466" s="17">
        <f t="shared" si="54"/>
        <v>7.0576956113612619</v>
      </c>
      <c r="E466" s="17">
        <f t="shared" si="54"/>
        <v>61.773056940341711</v>
      </c>
      <c r="F466" s="17">
        <f t="shared" si="54"/>
        <v>20.284304531117204</v>
      </c>
      <c r="G466" s="17">
        <f t="shared" si="54"/>
        <v>9.1667896226387278</v>
      </c>
      <c r="H466" s="18">
        <f t="shared" si="54"/>
        <v>100</v>
      </c>
      <c r="I466" s="13" t="s">
        <v>24</v>
      </c>
      <c r="J466" s="12" t="s">
        <v>29</v>
      </c>
      <c r="N466" s="1">
        <f>SUM(N461:N465)</f>
        <v>198087.67999999999</v>
      </c>
      <c r="O466" s="17">
        <f>SUM(O461:O465)</f>
        <v>100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0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0.17209654833901797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0.19456435697132296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0.15351302903575118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0.13485764835111935</v>
      </c>
      <c r="H467" s="1"/>
      <c r="I467" s="14">
        <f>(C461+D462+E463+F464+G465)/H466</f>
        <v>0.93615652017229134</v>
      </c>
      <c r="J467" s="53">
        <f>SQRT(SUM(P461:P465))/100</f>
        <v>2.327071857549514E-3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100</v>
      </c>
      <c r="D468" s="17">
        <f>D462/D466*100</f>
        <v>64.978036786859931</v>
      </c>
      <c r="E468" s="17">
        <f>E463/E466*100</f>
        <v>97.514193427871191</v>
      </c>
      <c r="F468" s="17">
        <f>F464/F466*100</f>
        <v>93.37119903858418</v>
      </c>
      <c r="G468" s="17">
        <f>G465/G466*100</f>
        <v>88.737174282786498</v>
      </c>
      <c r="H468" s="1"/>
    </row>
    <row r="469" spans="1:40" x14ac:dyDescent="0.3">
      <c r="B469" s="16" t="s">
        <v>39</v>
      </c>
      <c r="C469" s="18">
        <f>SQRT((C472+C473)/(C466*C466))</f>
        <v>0</v>
      </c>
      <c r="D469" s="18">
        <f>SQRT((D472+D473)/(D466*D466))</f>
        <v>4.9597302489141901</v>
      </c>
      <c r="E469" s="18">
        <f>SQRT((E472+E473)/(E466*E466))</f>
        <v>0.20546409007734384</v>
      </c>
      <c r="F469" s="18">
        <f>SQRT((F472+F473)/(F466*F466))</f>
        <v>0.60740331300031847</v>
      </c>
      <c r="G469" s="18">
        <f>SQRT((G472+G473)/(G466*G466))</f>
        <v>1.5097762986348258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0</v>
      </c>
      <c r="D470" s="18">
        <f>100-D468</f>
        <v>35.021963213140069</v>
      </c>
      <c r="E470" s="18">
        <f>100-E468</f>
        <v>2.4858065721288085</v>
      </c>
      <c r="F470" s="18">
        <f>100-F468</f>
        <v>6.6288009614158199</v>
      </c>
      <c r="G470" s="18">
        <f>100-G468</f>
        <v>11.262825717213502</v>
      </c>
    </row>
    <row r="471" spans="1:40" ht="15.6" x14ac:dyDescent="0.35">
      <c r="B471" s="1" t="s">
        <v>25</v>
      </c>
      <c r="C471" s="1">
        <f>C455</f>
        <v>259</v>
      </c>
      <c r="D471" s="1">
        <f>D455</f>
        <v>590</v>
      </c>
      <c r="E471" s="1">
        <f>E455</f>
        <v>7185</v>
      </c>
      <c r="F471" s="1">
        <f>F455</f>
        <v>2561</v>
      </c>
      <c r="G471" s="1">
        <f>G455</f>
        <v>989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1139.3449492988852</v>
      </c>
      <c r="E472" s="18">
        <f>(O463*O463*(100-E468)*(100-E468)*(I463)*(100-I463))/((L463-1)*100)</f>
        <v>13.842478404628501</v>
      </c>
      <c r="F472" s="18">
        <f>(O464*O464*(100-F468)*(100-F468)*(I464)*(100-I464))/((L464-1)*100)</f>
        <v>54.653951523535348</v>
      </c>
      <c r="G472" s="18">
        <f>(O465*O465*(100-G468)*(100-G468)*(I465)*(100-I465))/((L465-1)*100)</f>
        <v>127.15420119008103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85.953717694196598</v>
      </c>
      <c r="E473" s="18">
        <f>E468*E468*(SUM((H461*E461*(1-E450/H450))/(H450-1),(H462*E462*(1-E451/H451))/(H451-1), (H464*E464*(1-E453/H453))/(H453-1),(H465*E465*(1-E454/H454))/(H454-1)))</f>
        <v>147.24806466020792</v>
      </c>
      <c r="F473" s="18">
        <f>F468*F468*(SUM((H461*F461*(1-F450/H450))/(H450-1),(H462*F462*(1-F451/H451))/(H451-1), (H463*F463*(1-F452/H452))/(H452-1),(H465*F465*(1-F454/H454))/(H454-1)))</f>
        <v>97.147022038660253</v>
      </c>
      <c r="G473" s="18">
        <f>G468*G468*(SUM((H461*G461*(1-G450/H450))/(H450-1),(H462*G462*(1-G451/H451))/(H451-1), (H463*G463*(1-G452/H452))/(H452-1),(H464*G464*(1-G453/H453))/(H453-1)))</f>
        <v>64.385910094338655</v>
      </c>
      <c r="AM473" s="78"/>
      <c r="AN473" s="78"/>
    </row>
    <row r="475" spans="1:40" x14ac:dyDescent="0.3">
      <c r="AM475" s="78"/>
      <c r="AN475" s="78"/>
    </row>
    <row r="476" spans="1:40" x14ac:dyDescent="0.3">
      <c r="A476" s="361" t="s">
        <v>461</v>
      </c>
      <c r="B476" s="361"/>
      <c r="C476" s="361"/>
      <c r="D476" s="361"/>
      <c r="E476" s="361"/>
      <c r="F476" s="361"/>
      <c r="G476" s="361"/>
      <c r="H476" s="361"/>
      <c r="I476" s="361"/>
      <c r="J476" s="361"/>
      <c r="K476" s="361"/>
      <c r="L476" s="361" t="s">
        <v>94</v>
      </c>
      <c r="M476" s="361"/>
      <c r="N476" s="361"/>
      <c r="O476" s="361"/>
      <c r="P476" s="361"/>
    </row>
    <row r="477" spans="1:40" x14ac:dyDescent="0.3">
      <c r="A477" t="s">
        <v>15</v>
      </c>
      <c r="B477" t="s">
        <v>21</v>
      </c>
      <c r="I477" s="1" t="s">
        <v>58</v>
      </c>
      <c r="O477" s="143"/>
      <c r="P477" s="143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56</v>
      </c>
      <c r="O478" s="13"/>
      <c r="P478" s="13"/>
    </row>
    <row r="479" spans="1:40" x14ac:dyDescent="0.3">
      <c r="A479" t="s">
        <v>3</v>
      </c>
      <c r="B479" s="13">
        <v>0</v>
      </c>
      <c r="C479" s="26">
        <v>259</v>
      </c>
      <c r="D479" s="3">
        <v>0</v>
      </c>
      <c r="E479" s="3">
        <v>0</v>
      </c>
      <c r="F479" s="3">
        <v>0</v>
      </c>
      <c r="G479" s="4">
        <v>0</v>
      </c>
      <c r="H479" s="1">
        <f>SUM(C479:G479)</f>
        <v>259</v>
      </c>
      <c r="I479" s="10">
        <f>C479/H479</f>
        <v>1</v>
      </c>
      <c r="J479" s="11">
        <f>1-I479</f>
        <v>0</v>
      </c>
      <c r="K479">
        <f>H479-C484</f>
        <v>0</v>
      </c>
      <c r="N479" s="10">
        <f>2*(C485*I479)/(C485+I479)</f>
        <v>1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294</v>
      </c>
      <c r="E480" s="1">
        <v>51</v>
      </c>
      <c r="F480" s="1">
        <v>0</v>
      </c>
      <c r="G480" s="6">
        <v>2</v>
      </c>
      <c r="H480" s="1">
        <f>SUM(C480:G480)</f>
        <v>347</v>
      </c>
      <c r="I480" s="10">
        <f>D480/H480</f>
        <v>0.8472622478386167</v>
      </c>
      <c r="J480" s="11">
        <f>1-I480</f>
        <v>0.1527377521613833</v>
      </c>
      <c r="K480">
        <f>H480-D484</f>
        <v>-244</v>
      </c>
      <c r="N480" s="10">
        <f>2*(D485*I480)/(D485+I480)</f>
        <v>0.62686567164179108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289</v>
      </c>
      <c r="E481" s="27">
        <v>7021</v>
      </c>
      <c r="F481" s="1">
        <v>15</v>
      </c>
      <c r="G481" s="6">
        <v>25</v>
      </c>
      <c r="H481" s="1">
        <f>SUM(C481:G481)</f>
        <v>7350</v>
      </c>
      <c r="I481" s="10">
        <f>E481/H481</f>
        <v>0.95523809523809522</v>
      </c>
      <c r="J481" s="11">
        <f>1-I481</f>
        <v>4.4761904761904781E-2</v>
      </c>
      <c r="K481">
        <f>H481-E484</f>
        <v>155</v>
      </c>
      <c r="N481" s="10">
        <f>2*(E485*I481)/(E485+I481)</f>
        <v>0.96541766930216566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8</v>
      </c>
      <c r="E482" s="1">
        <v>121</v>
      </c>
      <c r="F482" s="27">
        <v>2414</v>
      </c>
      <c r="G482" s="6">
        <v>95</v>
      </c>
      <c r="H482" s="1">
        <f>SUM(C482:G482)</f>
        <v>2638</v>
      </c>
      <c r="I482" s="10">
        <f>F482/H482</f>
        <v>0.91508718726307814</v>
      </c>
      <c r="J482" s="11">
        <f>1-I482</f>
        <v>8.4912812736921861E-2</v>
      </c>
      <c r="K482">
        <f>H482-F484</f>
        <v>71</v>
      </c>
      <c r="N482" s="10">
        <f>2*(F485*I482)/(F485+I482)</f>
        <v>0.92756964457252655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0</v>
      </c>
      <c r="E483" s="8">
        <v>2</v>
      </c>
      <c r="F483" s="8">
        <v>138</v>
      </c>
      <c r="G483" s="28">
        <v>850</v>
      </c>
      <c r="H483" s="1">
        <f>SUM(C483:G483)</f>
        <v>990</v>
      </c>
      <c r="I483" s="10">
        <f>G483/H483</f>
        <v>0.85858585858585856</v>
      </c>
      <c r="J483" s="11">
        <f>1-I483</f>
        <v>0.14141414141414144</v>
      </c>
      <c r="K483">
        <f>H483-G484</f>
        <v>18</v>
      </c>
      <c r="N483" s="10">
        <f>2*(G485*I483)/(G485+I483)</f>
        <v>0.86646279306829754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259</v>
      </c>
      <c r="D484" s="1">
        <f>SUM(D479:D483)</f>
        <v>591</v>
      </c>
      <c r="E484" s="1">
        <f>SUM(E479:E483)</f>
        <v>7195</v>
      </c>
      <c r="F484" s="1">
        <f>SUM(F479:F483)</f>
        <v>2567</v>
      </c>
      <c r="G484" s="1">
        <f>SUM(G479:G483)</f>
        <v>972</v>
      </c>
      <c r="H484" s="1">
        <f>SUM(H478:H483)</f>
        <v>11584</v>
      </c>
      <c r="I484" s="13" t="s">
        <v>12</v>
      </c>
      <c r="N484" s="16"/>
      <c r="O484" s="1"/>
      <c r="P484" s="1"/>
    </row>
    <row r="485" spans="1:40" x14ac:dyDescent="0.3">
      <c r="A485" s="1" t="s">
        <v>57</v>
      </c>
      <c r="B485" s="1" t="s">
        <v>2</v>
      </c>
      <c r="C485" s="10">
        <f>C479/C484</f>
        <v>1</v>
      </c>
      <c r="D485" s="10">
        <f>D480/D484</f>
        <v>0.49746192893401014</v>
      </c>
      <c r="E485" s="10">
        <f>E481/E484</f>
        <v>0.9758165392633773</v>
      </c>
      <c r="F485" s="10">
        <f>F482/F484</f>
        <v>0.94039735099337751</v>
      </c>
      <c r="G485" s="10">
        <f>G483/G484</f>
        <v>0.87448559670781889</v>
      </c>
      <c r="H485" s="10"/>
      <c r="I485" s="14">
        <f>(C479+D480+E481+F482+G483)/H484</f>
        <v>0.93560082872928174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0.50253807106598991</v>
      </c>
      <c r="E486" s="11">
        <f>1-E485</f>
        <v>2.4183460736622697E-2</v>
      </c>
      <c r="F486" s="11">
        <f>1-F485</f>
        <v>5.9602649006622488E-2</v>
      </c>
      <c r="G486" s="11">
        <f>1-G485</f>
        <v>0.12551440329218111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1.6748745643784893</v>
      </c>
      <c r="D490" s="31">
        <f>(D479/$L490)*$O490</f>
        <v>0</v>
      </c>
      <c r="E490" s="31">
        <f>(E479/$L490)*$O490</f>
        <v>0</v>
      </c>
      <c r="F490" s="31">
        <f>(F479/$L490)*$O490</f>
        <v>0</v>
      </c>
      <c r="G490" s="32">
        <f>(G479/$L490)*$O490</f>
        <v>0</v>
      </c>
      <c r="H490" s="17">
        <f>SUM(C490:G490)</f>
        <v>1.6748745643784893</v>
      </c>
      <c r="I490" s="17">
        <f>C490/H490*100</f>
        <v>100</v>
      </c>
      <c r="J490" s="17">
        <f>SQRT(I490*(100-I490)/(L490-1))</f>
        <v>0</v>
      </c>
      <c r="K490" s="18">
        <f>100-I490</f>
        <v>0</v>
      </c>
      <c r="L490" s="1">
        <f>H479</f>
        <v>259</v>
      </c>
      <c r="M490">
        <v>0</v>
      </c>
      <c r="N490" s="1">
        <v>3317.72</v>
      </c>
      <c r="O490" s="17">
        <f>N490/N495*100</f>
        <v>1.6748745643784893</v>
      </c>
      <c r="P490" s="52">
        <f>((O490*O490*(I490/100)*(K490/100))/(L490-1))</f>
        <v>0</v>
      </c>
    </row>
    <row r="491" spans="1:40" x14ac:dyDescent="0.3">
      <c r="A491" t="s">
        <v>4</v>
      </c>
      <c r="B491" s="13">
        <v>1</v>
      </c>
      <c r="C491" s="33">
        <f t="shared" ref="C491:G494" si="55">(C480/$L491)*$O491</f>
        <v>0</v>
      </c>
      <c r="D491" s="34">
        <f t="shared" si="55"/>
        <v>4.3714994683526687</v>
      </c>
      <c r="E491" s="19">
        <f t="shared" si="55"/>
        <v>0.75832133634689158</v>
      </c>
      <c r="F491" s="18">
        <f t="shared" si="55"/>
        <v>0</v>
      </c>
      <c r="G491" s="20">
        <f t="shared" si="55"/>
        <v>2.9738091621446725E-2</v>
      </c>
      <c r="H491" s="17">
        <f>SUM(C491:G491)</f>
        <v>5.1595588963210064</v>
      </c>
      <c r="I491" s="17">
        <f>D491/H491*100</f>
        <v>84.726224783861682</v>
      </c>
      <c r="J491" s="17">
        <f>SQRT(I491*(100-I491)/(L491-1))</f>
        <v>1.9339448081537161</v>
      </c>
      <c r="K491" s="18">
        <f>100-I491</f>
        <v>15.273775216138318</v>
      </c>
      <c r="L491" s="1">
        <f>H480</f>
        <v>347</v>
      </c>
      <c r="M491">
        <v>1</v>
      </c>
      <c r="N491" s="1">
        <v>10220.450000000001</v>
      </c>
      <c r="O491" s="17">
        <f>N491/N495*100</f>
        <v>5.1595588963210073</v>
      </c>
      <c r="P491" s="52">
        <f>((O491*O491*(I491/100)*(K491/100))/(L491-1))</f>
        <v>9.956651359519935E-3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55"/>
        <v>0</v>
      </c>
      <c r="D492" s="19">
        <f t="shared" si="55"/>
        <v>2.4855459702866547</v>
      </c>
      <c r="E492" s="34">
        <f t="shared" si="55"/>
        <v>60.384146219316968</v>
      </c>
      <c r="F492" s="19">
        <f t="shared" si="55"/>
        <v>0.12900757631245616</v>
      </c>
      <c r="G492" s="20">
        <f t="shared" si="55"/>
        <v>0.21501262718742689</v>
      </c>
      <c r="H492" s="17">
        <f>SUM(C492:G492)</f>
        <v>63.213712393103506</v>
      </c>
      <c r="I492" s="17">
        <f>E492/H492*100</f>
        <v>95.523809523809518</v>
      </c>
      <c r="J492" s="17">
        <f>SQRT(I492*(100-I492)/(L492-1))</f>
        <v>0.24121036881683383</v>
      </c>
      <c r="K492" s="18">
        <f>100-I492</f>
        <v>4.4761904761904816</v>
      </c>
      <c r="L492" s="1">
        <f>H481</f>
        <v>7350</v>
      </c>
      <c r="M492">
        <v>2</v>
      </c>
      <c r="N492" s="1">
        <v>125218.57</v>
      </c>
      <c r="O492" s="17">
        <f>N492/N495*100</f>
        <v>63.213712393103506</v>
      </c>
      <c r="P492" s="52">
        <f>((O492*O492*(I492/100)*(K492/100))/(L492-1))</f>
        <v>2.324954926862971E-2</v>
      </c>
    </row>
    <row r="493" spans="1:40" x14ac:dyDescent="0.3">
      <c r="A493" t="s">
        <v>6</v>
      </c>
      <c r="B493" s="13">
        <v>3</v>
      </c>
      <c r="C493" s="33">
        <f t="shared" si="55"/>
        <v>0</v>
      </c>
      <c r="D493" s="19">
        <f t="shared" si="55"/>
        <v>6.1871135250297755E-2</v>
      </c>
      <c r="E493" s="19">
        <f t="shared" si="55"/>
        <v>0.9358009206607536</v>
      </c>
      <c r="F493" s="34">
        <f t="shared" si="55"/>
        <v>18.66961506177735</v>
      </c>
      <c r="G493" s="20">
        <f t="shared" si="55"/>
        <v>0.73471973109728583</v>
      </c>
      <c r="H493" s="17">
        <f>SUM(C493:G493)</f>
        <v>20.402006848785685</v>
      </c>
      <c r="I493" s="17">
        <f>F493/H493*100</f>
        <v>91.508718726307819</v>
      </c>
      <c r="J493" s="17">
        <f>SQRT(I493*(100-I493)/(L493-1))</f>
        <v>0.54282868085058522</v>
      </c>
      <c r="K493" s="18">
        <f>100-I493</f>
        <v>8.4912812736921808</v>
      </c>
      <c r="L493" s="1">
        <f>H482</f>
        <v>2638</v>
      </c>
      <c r="M493">
        <v>3</v>
      </c>
      <c r="N493" s="1">
        <v>40413.86</v>
      </c>
      <c r="O493" s="17">
        <f>N493/N495*100</f>
        <v>20.402006848785685</v>
      </c>
      <c r="P493" s="52">
        <f>((O493*O493*(I493/100)*(K493/100))/(L493-1))</f>
        <v>1.2265107242939015E-2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55"/>
        <v>0</v>
      </c>
      <c r="D494" s="36">
        <f t="shared" si="55"/>
        <v>0</v>
      </c>
      <c r="E494" s="21">
        <f t="shared" si="55"/>
        <v>1.9292620802851091E-2</v>
      </c>
      <c r="F494" s="21">
        <f t="shared" si="55"/>
        <v>1.3311908353967254</v>
      </c>
      <c r="G494" s="37">
        <f t="shared" si="55"/>
        <v>8.1993638412117136</v>
      </c>
      <c r="H494" s="17">
        <f>SUM(C494:G494)</f>
        <v>9.54984729741129</v>
      </c>
      <c r="I494" s="17">
        <f>G494/H494*100</f>
        <v>85.858585858585855</v>
      </c>
      <c r="J494" s="17">
        <f>SQRT(I494*(100-I494)/(L494-1))</f>
        <v>1.1080009692454078</v>
      </c>
      <c r="K494" s="18">
        <f>100-I494</f>
        <v>14.141414141414145</v>
      </c>
      <c r="L494" s="1">
        <f>H483</f>
        <v>990</v>
      </c>
      <c r="M494">
        <v>4</v>
      </c>
      <c r="N494" s="1">
        <v>18917.07</v>
      </c>
      <c r="O494" s="17">
        <f>N494/N495*100</f>
        <v>9.54984729741129</v>
      </c>
      <c r="P494" s="52">
        <f>((O494*O494*(I494/100)*(K494/100))/(L494-1))</f>
        <v>1.1196264124284564E-2</v>
      </c>
    </row>
    <row r="495" spans="1:40" x14ac:dyDescent="0.3">
      <c r="B495" t="s">
        <v>28</v>
      </c>
      <c r="C495" s="17">
        <f t="shared" ref="C495:H495" si="56">SUM(C490:C494)</f>
        <v>1.6748745643784893</v>
      </c>
      <c r="D495" s="17">
        <f t="shared" si="56"/>
        <v>6.9189165738896214</v>
      </c>
      <c r="E495" s="17">
        <f t="shared" si="56"/>
        <v>62.097561097127461</v>
      </c>
      <c r="F495" s="17">
        <f t="shared" si="56"/>
        <v>20.129813473486532</v>
      </c>
      <c r="G495" s="17">
        <f t="shared" si="56"/>
        <v>9.1788342911178731</v>
      </c>
      <c r="H495" s="18">
        <f t="shared" si="56"/>
        <v>99.999999999999986</v>
      </c>
      <c r="I495" s="13" t="s">
        <v>24</v>
      </c>
      <c r="J495" s="12" t="s">
        <v>29</v>
      </c>
      <c r="N495" s="1">
        <f>SUM(N490:N494)</f>
        <v>198087.67000000004</v>
      </c>
      <c r="O495" s="17">
        <f>SUM(O490:O494)</f>
        <v>99.999999999999986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0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0.17590175176483719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0.19988956318324838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0.15626527154099312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0.13764128700518036</v>
      </c>
      <c r="H496" s="1"/>
      <c r="I496" s="14">
        <f>(C490+D491+E492+F493+G494)/H495</f>
        <v>0.93299499155037191</v>
      </c>
      <c r="J496" s="53">
        <f>SQRT(SUM(P490:P494))/100</f>
        <v>2.3804951584780261E-3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63.181849667759963</v>
      </c>
      <c r="E497" s="17">
        <f>E492/E495*100</f>
        <v>97.240769448045597</v>
      </c>
      <c r="F497" s="17">
        <f>F493/F495*100</f>
        <v>92.746090699586233</v>
      </c>
      <c r="G497" s="17">
        <f>G494/G495*100</f>
        <v>89.329032218677611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5.4723689105817739</v>
      </c>
      <c r="E498" s="18">
        <f>SQRT((E501+E502)/(E495*E495))</f>
        <v>0.21363402114427985</v>
      </c>
      <c r="F498" s="18">
        <f>SQRT((F501+F502)/(F495*F495))</f>
        <v>0.64622811799409841</v>
      </c>
      <c r="G498" s="18">
        <f>SQRT((G501+G502)/(G495*G495))</f>
        <v>1.499521047999989</v>
      </c>
      <c r="H498" s="1"/>
    </row>
    <row r="499" spans="1:40" x14ac:dyDescent="0.3">
      <c r="B499" s="1" t="s">
        <v>37</v>
      </c>
      <c r="C499" s="18">
        <f>100-C497</f>
        <v>0</v>
      </c>
      <c r="D499" s="18">
        <f>100-D497</f>
        <v>36.818150332240037</v>
      </c>
      <c r="E499" s="18">
        <f>100-E497</f>
        <v>2.7592305519544027</v>
      </c>
      <c r="F499" s="18">
        <f>100-F497</f>
        <v>7.2539093004137669</v>
      </c>
      <c r="G499" s="18">
        <f>100-G497</f>
        <v>10.670967781322389</v>
      </c>
      <c r="AM499" s="78"/>
      <c r="AN499" s="78"/>
    </row>
    <row r="500" spans="1:40" ht="15.6" x14ac:dyDescent="0.35">
      <c r="B500" s="1" t="s">
        <v>25</v>
      </c>
      <c r="C500" s="1">
        <f>C484</f>
        <v>259</v>
      </c>
      <c r="D500" s="1">
        <f>D484</f>
        <v>591</v>
      </c>
      <c r="E500" s="1">
        <f>E484</f>
        <v>7195</v>
      </c>
      <c r="F500" s="1">
        <f>F484</f>
        <v>2567</v>
      </c>
      <c r="G500" s="1">
        <f>G484</f>
        <v>972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1349.6999553802109</v>
      </c>
      <c r="E501" s="18">
        <f>(O492*O492*(100-E497)*(100-E497)*(I492)*(100-I492))/((L492-1)*100)</f>
        <v>17.700703122585956</v>
      </c>
      <c r="F501" s="18">
        <f>(O493*O493*(100-F497)*(100-F497)*(I493)*(100-I493))/((L493-1)*100)</f>
        <v>64.538013273796054</v>
      </c>
      <c r="G501" s="18">
        <f>(O494*O494*(100-G497)*(100-G497)*(I494)*(100-I494))/((L494-1)*100)</f>
        <v>127.49135954689916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83.896511408491264</v>
      </c>
      <c r="E502" s="18">
        <f>E497*E497*(SUM((H490*E490*(1-E479/H479))/(H479-1),(H491*E491*(1-E480/H480))/(H480-1), (H493*E493*(1-E482/H482))/(H482-1),(H494*E494*(1-E483/H483))/(H483-1)))</f>
        <v>158.29007728564116</v>
      </c>
      <c r="F502" s="18">
        <f>F497*F497*(SUM((H490*F490*(1-F479/H479))/(H479-1),(H491*F491*(1-F480/H480))/(H480-1), (H492*F492*(1-F481/H481))/(H481-1),(H494*F494*(1-F483/H483))/(H483-1)))</f>
        <v>104.68179654378932</v>
      </c>
      <c r="G502" s="18">
        <f>G497*G497*(SUM((H490*G490*(1-G479/H479))/(H479-1),(H491*G491*(1-G480/H480))/(H480-1), (H492*G492*(1-G481/H481))/(H481-1),(H493*G493*(1-G482/H482))/(H482-1)))</f>
        <v>61.952350850072165</v>
      </c>
    </row>
    <row r="503" spans="1:40" x14ac:dyDescent="0.3">
      <c r="AM503" s="78"/>
      <c r="AN503" s="78"/>
    </row>
    <row r="505" spans="1:40" x14ac:dyDescent="0.3">
      <c r="A505" s="361" t="s">
        <v>461</v>
      </c>
      <c r="B505" s="361"/>
      <c r="C505" s="361"/>
      <c r="D505" s="361"/>
      <c r="E505" s="361"/>
      <c r="F505" s="361"/>
      <c r="G505" s="361"/>
      <c r="H505" s="361"/>
      <c r="I505" s="361"/>
      <c r="J505" s="361"/>
      <c r="K505" s="361"/>
      <c r="L505" s="361" t="s">
        <v>95</v>
      </c>
      <c r="M505" s="361"/>
      <c r="N505" s="361"/>
      <c r="O505" s="361"/>
      <c r="P505" s="361"/>
      <c r="AM505" s="78"/>
      <c r="AN505" s="78"/>
    </row>
    <row r="506" spans="1:40" x14ac:dyDescent="0.3">
      <c r="A506" t="s">
        <v>15</v>
      </c>
      <c r="B506" t="s">
        <v>21</v>
      </c>
      <c r="I506" s="1" t="s">
        <v>58</v>
      </c>
      <c r="O506" s="143"/>
      <c r="P506" s="143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56</v>
      </c>
      <c r="O507" s="13"/>
      <c r="P507" s="13"/>
      <c r="AM507" s="78"/>
      <c r="AN507" s="78"/>
    </row>
    <row r="508" spans="1:40" x14ac:dyDescent="0.3">
      <c r="A508" t="s">
        <v>3</v>
      </c>
      <c r="B508" s="13">
        <v>0</v>
      </c>
      <c r="C508" s="26">
        <v>259</v>
      </c>
      <c r="D508" s="3">
        <v>0</v>
      </c>
      <c r="E508" s="3">
        <v>0</v>
      </c>
      <c r="F508" s="3">
        <v>0</v>
      </c>
      <c r="G508" s="4">
        <v>0</v>
      </c>
      <c r="H508" s="1">
        <f>SUM(C508:G508)</f>
        <v>259</v>
      </c>
      <c r="I508" s="10">
        <f>C508/H508</f>
        <v>1</v>
      </c>
      <c r="J508" s="11">
        <f>1-I508</f>
        <v>0</v>
      </c>
      <c r="K508">
        <f>H508-C513</f>
        <v>0</v>
      </c>
      <c r="N508" s="10">
        <f>2*(C514*I508)/(C514+I508)</f>
        <v>1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306</v>
      </c>
      <c r="E509" s="1">
        <v>39</v>
      </c>
      <c r="F509" s="1">
        <v>0</v>
      </c>
      <c r="G509" s="6">
        <v>2</v>
      </c>
      <c r="H509" s="1">
        <f>SUM(C509:G509)</f>
        <v>347</v>
      </c>
      <c r="I509" s="10">
        <f>D509/H509</f>
        <v>0.88184438040345825</v>
      </c>
      <c r="J509" s="11">
        <f>1-I509</f>
        <v>0.11815561959654175</v>
      </c>
      <c r="K509">
        <f>H509-D513</f>
        <v>-246</v>
      </c>
      <c r="N509" s="10">
        <f>2*(D514*I509)/(D514+I509)</f>
        <v>0.65106382978723409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279</v>
      </c>
      <c r="E510" s="27">
        <v>7031</v>
      </c>
      <c r="F510" s="1">
        <v>17</v>
      </c>
      <c r="G510" s="6">
        <v>23</v>
      </c>
      <c r="H510" s="1">
        <f>SUM(C510:G510)</f>
        <v>7350</v>
      </c>
      <c r="I510" s="10">
        <f>E510/H510</f>
        <v>0.95659863945578227</v>
      </c>
      <c r="J510" s="11">
        <f>1-I510</f>
        <v>4.3401360544217726E-2</v>
      </c>
      <c r="K510">
        <f>H510-E513</f>
        <v>172</v>
      </c>
      <c r="N510" s="10">
        <f>2*(E514*I510)/(E514+I510)</f>
        <v>0.96792400881057272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8</v>
      </c>
      <c r="E511" s="1">
        <v>107</v>
      </c>
      <c r="F511" s="27">
        <v>2409</v>
      </c>
      <c r="G511" s="6">
        <v>114</v>
      </c>
      <c r="H511" s="1">
        <f>SUM(C511:G511)</f>
        <v>2638</v>
      </c>
      <c r="I511" s="10">
        <f>F511/H511</f>
        <v>0.91319181197877175</v>
      </c>
      <c r="J511" s="11">
        <f>1-I511</f>
        <v>8.680818802122825E-2</v>
      </c>
      <c r="K511">
        <f>H511-F513</f>
        <v>72</v>
      </c>
      <c r="N511" s="10">
        <f>2*(F514*I511)/(F514+I511)</f>
        <v>0.92582628747117601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0</v>
      </c>
      <c r="E512" s="8">
        <v>1</v>
      </c>
      <c r="F512" s="8">
        <v>140</v>
      </c>
      <c r="G512" s="28">
        <v>849</v>
      </c>
      <c r="H512" s="1">
        <f>SUM(C512:G512)</f>
        <v>990</v>
      </c>
      <c r="I512" s="10">
        <f>G512/H512</f>
        <v>0.85757575757575755</v>
      </c>
      <c r="J512" s="11">
        <f>1-I512</f>
        <v>0.14242424242424245</v>
      </c>
      <c r="K512">
        <f>H512-G513</f>
        <v>2</v>
      </c>
      <c r="N512" s="10">
        <f>2*(G514*I512)/(G514+I512)</f>
        <v>0.85844287158746213</v>
      </c>
      <c r="O512" s="1"/>
      <c r="P512" s="1"/>
    </row>
    <row r="513" spans="1:40" ht="15.6" x14ac:dyDescent="0.35">
      <c r="B513" s="1" t="s">
        <v>19</v>
      </c>
      <c r="C513" s="1">
        <f>SUM(C508:C512)</f>
        <v>259</v>
      </c>
      <c r="D513" s="1">
        <f>SUM(D508:D512)</f>
        <v>593</v>
      </c>
      <c r="E513" s="1">
        <f>SUM(E508:E512)</f>
        <v>7178</v>
      </c>
      <c r="F513" s="1">
        <f>SUM(F508:F512)</f>
        <v>2566</v>
      </c>
      <c r="G513" s="1">
        <f>SUM(G508:G512)</f>
        <v>988</v>
      </c>
      <c r="H513" s="1">
        <f>SUM(H507:H512)</f>
        <v>11584</v>
      </c>
      <c r="I513" s="13" t="s">
        <v>12</v>
      </c>
      <c r="N513" s="16"/>
      <c r="O513" s="1"/>
      <c r="P513" s="1"/>
      <c r="AM513" s="78"/>
      <c r="AN513" s="78"/>
    </row>
    <row r="514" spans="1:40" x14ac:dyDescent="0.3">
      <c r="A514" s="1" t="s">
        <v>57</v>
      </c>
      <c r="B514" s="1" t="s">
        <v>2</v>
      </c>
      <c r="C514" s="10">
        <f>C508/C513</f>
        <v>1</v>
      </c>
      <c r="D514" s="10">
        <f>D509/D513</f>
        <v>0.51602023608768977</v>
      </c>
      <c r="E514" s="10">
        <f>E510/E513</f>
        <v>0.97952075787127335</v>
      </c>
      <c r="F514" s="10">
        <f>F511/F513</f>
        <v>0.93881527669524556</v>
      </c>
      <c r="G514" s="10">
        <f>G512/G513</f>
        <v>0.85931174089068829</v>
      </c>
      <c r="H514" s="10"/>
      <c r="I514" s="14">
        <f>(C508+D509+E510+F511+G512)/H513</f>
        <v>0.93698204419889508</v>
      </c>
    </row>
    <row r="515" spans="1:40" x14ac:dyDescent="0.3">
      <c r="B515" s="1" t="s">
        <v>14</v>
      </c>
      <c r="C515" s="11">
        <f>1-C514</f>
        <v>0</v>
      </c>
      <c r="D515" s="11">
        <f>1-D514</f>
        <v>0.48397976391231023</v>
      </c>
      <c r="E515" s="11">
        <f>1-E514</f>
        <v>2.0479242128726649E-2</v>
      </c>
      <c r="F515" s="11">
        <f>1-F514</f>
        <v>6.118472330475444E-2</v>
      </c>
      <c r="G515" s="11">
        <f>1-G514</f>
        <v>0.14068825910931171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1.6844460838981044</v>
      </c>
      <c r="D519" s="31">
        <f>(D508/$L519)*$O519</f>
        <v>0</v>
      </c>
      <c r="E519" s="31">
        <f>(E508/$L519)*$O519</f>
        <v>0</v>
      </c>
      <c r="F519" s="31">
        <f>(F508/$L519)*$O519</f>
        <v>0</v>
      </c>
      <c r="G519" s="32">
        <f>(G508/$L519)*$O519</f>
        <v>0</v>
      </c>
      <c r="H519" s="17">
        <f>SUM(C519:G519)</f>
        <v>1.6844460838981044</v>
      </c>
      <c r="I519" s="17">
        <f>C519/H519*100</f>
        <v>100</v>
      </c>
      <c r="J519" s="17">
        <f>SQRT(I519*(100-I519)/(L519-1))</f>
        <v>0</v>
      </c>
      <c r="K519" s="18">
        <f>100-I519</f>
        <v>0</v>
      </c>
      <c r="L519" s="1">
        <f>H508</f>
        <v>259</v>
      </c>
      <c r="M519">
        <v>0</v>
      </c>
      <c r="N519" s="1">
        <v>3336.68</v>
      </c>
      <c r="O519" s="17">
        <f>N519/N524*100</f>
        <v>1.6844460838981044</v>
      </c>
      <c r="P519" s="52">
        <f>((O519*O519*(I519/100)*(K519/100))/(L519-1))</f>
        <v>0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57">(C509/$L520)*$O520</f>
        <v>0</v>
      </c>
      <c r="D520" s="34">
        <f t="shared" si="57"/>
        <v>4.4786103688098766</v>
      </c>
      <c r="E520" s="19">
        <f t="shared" si="57"/>
        <v>0.570803282299298</v>
      </c>
      <c r="F520" s="18">
        <f t="shared" si="57"/>
        <v>0</v>
      </c>
      <c r="G520" s="20">
        <f t="shared" si="57"/>
        <v>2.9271963194835795E-2</v>
      </c>
      <c r="H520" s="17">
        <f>SUM(C520:G520)</f>
        <v>5.0786856143040104</v>
      </c>
      <c r="I520" s="17">
        <f>D520/H520*100</f>
        <v>88.184438040345825</v>
      </c>
      <c r="J520" s="17">
        <f>SQRT(I520*(100-I520)/(L520-1))</f>
        <v>1.7353421574154884</v>
      </c>
      <c r="K520" s="18">
        <f>100-I520</f>
        <v>11.815561959654175</v>
      </c>
      <c r="L520" s="1">
        <f>H509</f>
        <v>347</v>
      </c>
      <c r="M520">
        <v>1</v>
      </c>
      <c r="N520" s="1">
        <v>10060.25</v>
      </c>
      <c r="O520" s="17">
        <f>N520/N524*100</f>
        <v>5.0786856143040104</v>
      </c>
      <c r="P520" s="52">
        <f>((O520*O520*(I520/100)*(K520/100))/(L520-1))</f>
        <v>7.7673503368097087E-3</v>
      </c>
    </row>
    <row r="521" spans="1:40" x14ac:dyDescent="0.3">
      <c r="A521" t="s">
        <v>5</v>
      </c>
      <c r="B521" s="13">
        <v>2</v>
      </c>
      <c r="C521" s="33">
        <f t="shared" si="57"/>
        <v>0</v>
      </c>
      <c r="D521" s="19">
        <f t="shared" si="57"/>
        <v>2.3862141362324416</v>
      </c>
      <c r="E521" s="34">
        <f t="shared" si="57"/>
        <v>60.13430678082544</v>
      </c>
      <c r="F521" s="19">
        <f t="shared" si="57"/>
        <v>0.14539656027222764</v>
      </c>
      <c r="G521" s="20">
        <f t="shared" si="57"/>
        <v>0.19671299330948444</v>
      </c>
      <c r="H521" s="17">
        <f>SUM(C521:G521)</f>
        <v>62.862630470639587</v>
      </c>
      <c r="I521" s="17">
        <f>E521/H521*100</f>
        <v>95.659863945578238</v>
      </c>
      <c r="J521" s="17">
        <f>SQRT(I521*(100-I521)/(L521-1))</f>
        <v>0.23768535732873014</v>
      </c>
      <c r="K521" s="18">
        <f>100-I521</f>
        <v>4.3401360544217624</v>
      </c>
      <c r="L521" s="1">
        <f>H510</f>
        <v>7350</v>
      </c>
      <c r="M521">
        <v>2</v>
      </c>
      <c r="N521" s="1">
        <v>124523.12</v>
      </c>
      <c r="O521" s="17">
        <f>N521/N524*100</f>
        <v>62.862630470639594</v>
      </c>
      <c r="P521" s="52">
        <f>((O521*O521*(I521/100)*(K521/100))/(L521-1))</f>
        <v>2.2324922269788779E-2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57"/>
        <v>0</v>
      </c>
      <c r="D522" s="19">
        <f t="shared" si="57"/>
        <v>6.3970220372407766E-2</v>
      </c>
      <c r="E522" s="19">
        <f t="shared" si="57"/>
        <v>0.85560169748095383</v>
      </c>
      <c r="F522" s="34">
        <f t="shared" si="57"/>
        <v>19.263032609641289</v>
      </c>
      <c r="G522" s="20">
        <f t="shared" si="57"/>
        <v>0.91157564030681071</v>
      </c>
      <c r="H522" s="17">
        <f>SUM(C522:G522)</f>
        <v>21.094180167801461</v>
      </c>
      <c r="I522" s="17">
        <f>F522/H522*100</f>
        <v>91.319181197877185</v>
      </c>
      <c r="J522" s="17">
        <f>SQRT(I522*(100-I522)/(L522-1))</f>
        <v>0.54828489958229798</v>
      </c>
      <c r="K522" s="18">
        <f>100-I522</f>
        <v>8.6808188021228148</v>
      </c>
      <c r="L522" s="1">
        <f>H511</f>
        <v>2638</v>
      </c>
      <c r="M522">
        <v>3</v>
      </c>
      <c r="N522" s="1">
        <v>41784.97</v>
      </c>
      <c r="O522" s="17">
        <f>N522/N524*100</f>
        <v>21.094180167801461</v>
      </c>
      <c r="P522" s="52">
        <f>((O522*O522*(I522/100)*(K522/100))/(L522-1))</f>
        <v>1.3376357651082442E-2</v>
      </c>
    </row>
    <row r="523" spans="1:40" x14ac:dyDescent="0.3">
      <c r="A523" t="s">
        <v>7</v>
      </c>
      <c r="B523" s="13">
        <v>4</v>
      </c>
      <c r="C523" s="35">
        <f t="shared" si="57"/>
        <v>0</v>
      </c>
      <c r="D523" s="36">
        <f t="shared" si="57"/>
        <v>0</v>
      </c>
      <c r="E523" s="21">
        <f t="shared" si="57"/>
        <v>9.3737956195523615E-3</v>
      </c>
      <c r="F523" s="21">
        <f t="shared" si="57"/>
        <v>1.3123313867373305</v>
      </c>
      <c r="G523" s="37">
        <f t="shared" si="57"/>
        <v>7.9583524809999542</v>
      </c>
      <c r="H523" s="17">
        <f>SUM(C523:G523)</f>
        <v>9.2800576633568372</v>
      </c>
      <c r="I523" s="17">
        <f>G523/H523*100</f>
        <v>85.757575757575751</v>
      </c>
      <c r="J523" s="17">
        <f>SQRT(I523*(100-I523)/(L523-1))</f>
        <v>1.1112967929966331</v>
      </c>
      <c r="K523" s="18">
        <f>100-I523</f>
        <v>14.242424242424249</v>
      </c>
      <c r="L523" s="1">
        <f>H512</f>
        <v>990</v>
      </c>
      <c r="M523">
        <v>4</v>
      </c>
      <c r="N523" s="1">
        <v>18382.650000000001</v>
      </c>
      <c r="O523" s="17">
        <f>N523/N524*100</f>
        <v>9.2800576633568372</v>
      </c>
      <c r="P523" s="52">
        <f>((O523*O523*(I523/100)*(K523/100))/(L523-1))</f>
        <v>1.0635587176097472E-2</v>
      </c>
      <c r="AM523" s="78"/>
      <c r="AN523" s="78"/>
    </row>
    <row r="524" spans="1:40" x14ac:dyDescent="0.3">
      <c r="B524" t="s">
        <v>28</v>
      </c>
      <c r="C524" s="17">
        <f>SUM(C519:C523)</f>
        <v>1.6844460838981044</v>
      </c>
      <c r="D524" s="17">
        <f>SUM(D519:D523)</f>
        <v>6.9287947254147255</v>
      </c>
      <c r="E524" s="17">
        <f>SUM(E519:E523)</f>
        <v>61.570085556225244</v>
      </c>
      <c r="F524" s="17">
        <f>SUM(F519:F523)</f>
        <v>20.720760556650848</v>
      </c>
      <c r="G524" s="17">
        <f>SUM(G519:G523)</f>
        <v>9.095913077811085</v>
      </c>
      <c r="H524" s="1">
        <f>SUM(H518:H523)</f>
        <v>100</v>
      </c>
      <c r="I524" s="13" t="s">
        <v>24</v>
      </c>
      <c r="J524" s="12" t="s">
        <v>29</v>
      </c>
      <c r="N524" s="1">
        <f>SUM(N519:N523)</f>
        <v>198087.66999999998</v>
      </c>
      <c r="O524" s="17">
        <f>SUM(O519:O523)</f>
        <v>100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0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0.16699972587057443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0.1907592815455175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0.1586627430798826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0.14036445645436949</v>
      </c>
      <c r="H525" s="1"/>
      <c r="I525" s="14">
        <f>(C519+D520+E521+F522+G523)/H524</f>
        <v>0.9351874832417465</v>
      </c>
      <c r="J525" s="53">
        <f>SQRT(SUM(P519:P523))/100</f>
        <v>2.3260313289759963E-3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100</v>
      </c>
      <c r="D526" s="17">
        <f>D520/D524*100</f>
        <v>64.637654112949747</v>
      </c>
      <c r="E526" s="17">
        <f>E521/E524*100</f>
        <v>97.66805785239869</v>
      </c>
      <c r="F526" s="17">
        <f>F522/F524*100</f>
        <v>92.964891693892653</v>
      </c>
      <c r="G526" s="17">
        <f>G523/G524*100</f>
        <v>87.493717375266712</v>
      </c>
      <c r="H526" s="1"/>
    </row>
    <row r="527" spans="1:40" x14ac:dyDescent="0.3">
      <c r="B527" s="16" t="s">
        <v>39</v>
      </c>
      <c r="C527" s="18">
        <f>SQRT((C530+C531)/(C524*C524))</f>
        <v>0</v>
      </c>
      <c r="D527" s="18">
        <f>SQRT((D530+D531)/(D524*D524))</f>
        <v>4.6888550524862849</v>
      </c>
      <c r="E527" s="18">
        <f>SQRT((E530+E531)/(E524*E524))</f>
        <v>0.19662271779227652</v>
      </c>
      <c r="F527" s="18">
        <f>SQRT((F530+F531)/(F524*F524))</f>
        <v>0.62609030376068653</v>
      </c>
      <c r="G527" s="18">
        <f>SQRT((G530+G531)/(G524*G524))</f>
        <v>1.6884497915039245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0</v>
      </c>
      <c r="D528" s="18">
        <f>100-D526</f>
        <v>35.362345887050253</v>
      </c>
      <c r="E528" s="18">
        <f>100-E526</f>
        <v>2.3319421476013105</v>
      </c>
      <c r="F528" s="18">
        <f>100-F526</f>
        <v>7.0351083061073467</v>
      </c>
      <c r="G528" s="18">
        <f>100-G526</f>
        <v>12.506282624733288</v>
      </c>
    </row>
    <row r="529" spans="1:40" ht="15.6" x14ac:dyDescent="0.35">
      <c r="B529" s="1" t="s">
        <v>25</v>
      </c>
      <c r="C529" s="1">
        <f>C513</f>
        <v>259</v>
      </c>
      <c r="D529" s="1">
        <f>D513</f>
        <v>593</v>
      </c>
      <c r="E529" s="1">
        <f>E513</f>
        <v>7178</v>
      </c>
      <c r="F529" s="1">
        <f>F513</f>
        <v>2566</v>
      </c>
      <c r="G529" s="1">
        <f>G513</f>
        <v>988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971.30366946433469</v>
      </c>
      <c r="E530" s="18">
        <f>(O521*O521*(100-E526)*(100-E526)*(I521)*(100-I521))/((L521-1)*100)</f>
        <v>12.140190436980188</v>
      </c>
      <c r="F530" s="18">
        <f>(O522*O522*(100-F526)*(100-F526)*(I522)*(100-I522))/((L522-1)*100)</f>
        <v>66.203271013617339</v>
      </c>
      <c r="G530" s="18">
        <f>(O523*O523*(100-G526)*(100-G526)*(I523)*(100-I523))/((L523-1)*100)</f>
        <v>166.34814011426039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84.173891942530531</v>
      </c>
      <c r="E531" s="18">
        <f>E526*E526*(SUM((H519*E519*(1-E508/H508))/(H508-1),(H520*E520*(1-E509/H509))/(H509-1), (H522*E522*(1-E511/H511))/(H511-1),(H523*E523*(1-E512/H512))/(H512-1)))</f>
        <v>134.41692337350159</v>
      </c>
      <c r="F531" s="18">
        <f>F526*F526*(SUM((H519*F519*(1-F508/H508))/(H508-1),(H520*F520*(1-F509/H509))/(H509-1), (H521*F521*(1-F510/H510))/(H510-1),(H523*F523*(1-F512/H512))/(H512-1)))</f>
        <v>102.09720340598598</v>
      </c>
      <c r="G531" s="18">
        <f>G526*G526*(SUM((H519*G519*(1-G508/H508))/(H508-1),(H520*G520*(1-G509/H509))/(H509-1), (H521*G521*(1-G510/H510))/(H510-1),(H522*G522*(1-G511/H511))/(H511-1)))</f>
        <v>69.519794737307478</v>
      </c>
      <c r="AM531" s="78"/>
      <c r="AN531" s="78"/>
    </row>
    <row r="533" spans="1:40" x14ac:dyDescent="0.3">
      <c r="AM533" s="78"/>
      <c r="AN533" s="78"/>
    </row>
    <row r="534" spans="1:40" x14ac:dyDescent="0.3">
      <c r="A534" s="361" t="s">
        <v>461</v>
      </c>
      <c r="B534" s="361"/>
      <c r="C534" s="361"/>
      <c r="D534" s="361"/>
      <c r="E534" s="361"/>
      <c r="F534" s="361"/>
      <c r="G534" s="361"/>
      <c r="H534" s="361"/>
      <c r="I534" s="361"/>
      <c r="J534" s="361"/>
      <c r="K534" s="361"/>
      <c r="L534" s="361" t="s">
        <v>96</v>
      </c>
      <c r="M534" s="361"/>
      <c r="N534" s="361"/>
      <c r="O534" s="361"/>
      <c r="P534" s="361"/>
    </row>
    <row r="535" spans="1:40" x14ac:dyDescent="0.3">
      <c r="A535" t="s">
        <v>15</v>
      </c>
      <c r="B535" t="s">
        <v>21</v>
      </c>
      <c r="I535" s="1" t="s">
        <v>58</v>
      </c>
      <c r="O535" s="143"/>
      <c r="P535" s="143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56</v>
      </c>
      <c r="O536" s="13"/>
      <c r="P536" s="13"/>
    </row>
    <row r="537" spans="1:40" x14ac:dyDescent="0.3">
      <c r="A537" t="s">
        <v>3</v>
      </c>
      <c r="B537" s="13">
        <v>0</v>
      </c>
      <c r="C537" s="26">
        <v>259</v>
      </c>
      <c r="D537" s="3">
        <v>0</v>
      </c>
      <c r="E537" s="3">
        <v>0</v>
      </c>
      <c r="F537" s="3">
        <v>0</v>
      </c>
      <c r="G537" s="4">
        <v>0</v>
      </c>
      <c r="H537" s="1">
        <f>SUM(C537:G537)</f>
        <v>259</v>
      </c>
      <c r="I537" s="10">
        <f>C537/H537</f>
        <v>1</v>
      </c>
      <c r="J537" s="11">
        <f>1-I537</f>
        <v>0</v>
      </c>
      <c r="K537">
        <f>H537-C542</f>
        <v>0</v>
      </c>
      <c r="N537" s="10">
        <f>2*(C543*I537)/(C543+I537)</f>
        <v>1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304</v>
      </c>
      <c r="E538" s="1">
        <v>41</v>
      </c>
      <c r="F538" s="1">
        <v>0</v>
      </c>
      <c r="G538" s="6">
        <v>2</v>
      </c>
      <c r="H538" s="1">
        <f>SUM(C538:G538)</f>
        <v>347</v>
      </c>
      <c r="I538" s="10">
        <f>D538/H538</f>
        <v>0.87608069164265134</v>
      </c>
      <c r="J538" s="11">
        <f>1-I538</f>
        <v>0.12391930835734866</v>
      </c>
      <c r="K538">
        <f>H538-D542</f>
        <v>-263</v>
      </c>
      <c r="N538" s="10">
        <f>2*(D543*I538)/(D543+I538)</f>
        <v>0.63531870428422155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299</v>
      </c>
      <c r="E539" s="27">
        <v>7011</v>
      </c>
      <c r="F539" s="1">
        <v>17</v>
      </c>
      <c r="G539" s="6">
        <v>23</v>
      </c>
      <c r="H539" s="1">
        <f>SUM(C539:G539)</f>
        <v>7350</v>
      </c>
      <c r="I539" s="10">
        <f>E539/H539</f>
        <v>0.95387755102040817</v>
      </c>
      <c r="J539" s="11">
        <f>1-I539</f>
        <v>4.6122448979591835E-2</v>
      </c>
      <c r="K539">
        <f>H539-E542</f>
        <v>177</v>
      </c>
      <c r="N539" s="10">
        <f>2*(E543*I539)/(E543+I539)</f>
        <v>0.96550299524891559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0</v>
      </c>
      <c r="D540" s="1">
        <v>7</v>
      </c>
      <c r="E540" s="1">
        <v>117</v>
      </c>
      <c r="F540" s="27">
        <v>2412</v>
      </c>
      <c r="G540" s="6">
        <v>102</v>
      </c>
      <c r="H540" s="1">
        <f>SUM(C540:G540)</f>
        <v>2638</v>
      </c>
      <c r="I540" s="10">
        <f>F540/H540</f>
        <v>0.91432903714935554</v>
      </c>
      <c r="J540" s="11">
        <f>1-I540</f>
        <v>8.5670962850644461E-2</v>
      </c>
      <c r="K540">
        <f>H540-F542</f>
        <v>65</v>
      </c>
      <c r="N540" s="10">
        <f>2*(F543*I540)/(F543+I540)</f>
        <v>0.92573402417962003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0</v>
      </c>
      <c r="E541" s="8">
        <v>4</v>
      </c>
      <c r="F541" s="8">
        <v>144</v>
      </c>
      <c r="G541" s="28">
        <v>842</v>
      </c>
      <c r="H541" s="1">
        <f>SUM(C541:G541)</f>
        <v>990</v>
      </c>
      <c r="I541" s="10">
        <f>G541/H541</f>
        <v>0.85050505050505054</v>
      </c>
      <c r="J541" s="11">
        <f>1-I541</f>
        <v>0.14949494949494946</v>
      </c>
      <c r="K541">
        <f>H541-G542</f>
        <v>21</v>
      </c>
      <c r="N541" s="10">
        <f>2*(G543*I541)/(G543+I541)</f>
        <v>0.85962225625319044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259</v>
      </c>
      <c r="D542" s="1">
        <f>SUM(D537:D541)</f>
        <v>610</v>
      </c>
      <c r="E542" s="1">
        <f>SUM(E537:E541)</f>
        <v>7173</v>
      </c>
      <c r="F542" s="1">
        <f>SUM(F537:F541)</f>
        <v>2573</v>
      </c>
      <c r="G542" s="1">
        <f>SUM(G537:G541)</f>
        <v>969</v>
      </c>
      <c r="H542" s="1">
        <f>SUM(H536:H541)</f>
        <v>11584</v>
      </c>
      <c r="I542" s="13" t="s">
        <v>12</v>
      </c>
      <c r="N542" s="16"/>
      <c r="O542" s="1"/>
      <c r="P542" s="1"/>
    </row>
    <row r="543" spans="1:40" x14ac:dyDescent="0.3">
      <c r="A543" s="1" t="s">
        <v>57</v>
      </c>
      <c r="B543" s="1" t="s">
        <v>2</v>
      </c>
      <c r="C543" s="10">
        <f>C537/C542</f>
        <v>1</v>
      </c>
      <c r="D543" s="10">
        <f>D538/D542</f>
        <v>0.49836065573770494</v>
      </c>
      <c r="E543" s="10">
        <f>E539/E542</f>
        <v>0.97741530740276039</v>
      </c>
      <c r="F543" s="10">
        <f>F540/F542</f>
        <v>0.93742712786630389</v>
      </c>
      <c r="G543" s="10">
        <f>G541/G542</f>
        <v>0.86893704850361198</v>
      </c>
      <c r="H543" s="10"/>
      <c r="I543" s="14">
        <f>(C537+D538+E539+F540+G541)/H542</f>
        <v>0.93473756906077343</v>
      </c>
    </row>
    <row r="544" spans="1:40" x14ac:dyDescent="0.3">
      <c r="B544" s="1" t="s">
        <v>14</v>
      </c>
      <c r="C544" s="11">
        <f>1-C543</f>
        <v>0</v>
      </c>
      <c r="D544" s="11">
        <f>1-D543</f>
        <v>0.50163934426229506</v>
      </c>
      <c r="E544" s="11">
        <f>1-E543</f>
        <v>2.2584692597239608E-2</v>
      </c>
      <c r="F544" s="11">
        <f>1-F543</f>
        <v>6.2572872133696111E-2</v>
      </c>
      <c r="G544" s="11">
        <f>1-G543</f>
        <v>0.13106295149638802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1.6992323803277416</v>
      </c>
      <c r="D548" s="31">
        <f>(D537/$L548)*$O548</f>
        <v>0</v>
      </c>
      <c r="E548" s="31">
        <f>(E537/$L548)*$O548</f>
        <v>0</v>
      </c>
      <c r="F548" s="31">
        <f>(F537/$L548)*$O548</f>
        <v>0</v>
      </c>
      <c r="G548" s="32">
        <f>(G537/$L548)*$O548</f>
        <v>0</v>
      </c>
      <c r="H548" s="17">
        <f>SUM(C548:G548)</f>
        <v>1.6992323803277416</v>
      </c>
      <c r="I548" s="17">
        <f>C548/H548*100</f>
        <v>100</v>
      </c>
      <c r="J548" s="17">
        <f>SQRT(I548*(100-I548)/(L548-1))</f>
        <v>0</v>
      </c>
      <c r="K548" s="18">
        <f>100-I548</f>
        <v>0</v>
      </c>
      <c r="L548" s="1">
        <f>H537</f>
        <v>259</v>
      </c>
      <c r="M548">
        <v>0</v>
      </c>
      <c r="N548" s="1">
        <v>3365.97</v>
      </c>
      <c r="O548" s="17">
        <f>N548/N553*100</f>
        <v>1.6992323803277416</v>
      </c>
      <c r="P548" s="52">
        <f>((O548*O548*(I548/100)*(K548/100))/(L548-1))</f>
        <v>0</v>
      </c>
    </row>
    <row r="549" spans="1:16" x14ac:dyDescent="0.3">
      <c r="A549" t="s">
        <v>4</v>
      </c>
      <c r="B549" s="13">
        <v>1</v>
      </c>
      <c r="C549" s="33">
        <f t="shared" ref="C549:G552" si="58">(C538/$L549)*$O549</f>
        <v>0</v>
      </c>
      <c r="D549" s="34">
        <f t="shared" si="58"/>
        <v>4.6119472780913169</v>
      </c>
      <c r="E549" s="19">
        <f t="shared" si="58"/>
        <v>0.62200604737415788</v>
      </c>
      <c r="F549" s="18">
        <f t="shared" si="58"/>
        <v>0</v>
      </c>
      <c r="G549" s="20">
        <f t="shared" si="58"/>
        <v>3.0341758408495501E-2</v>
      </c>
      <c r="H549" s="17">
        <f>SUM(C549:G549)</f>
        <v>5.2642950838739697</v>
      </c>
      <c r="I549" s="17">
        <f>D549/H549*100</f>
        <v>87.608069164265132</v>
      </c>
      <c r="J549" s="17">
        <f>SQRT(I549*(100-I549)/(L549-1))</f>
        <v>1.7713463852611102</v>
      </c>
      <c r="K549" s="18">
        <f>100-I549</f>
        <v>12.391930835734868</v>
      </c>
      <c r="L549" s="1">
        <f>H538</f>
        <v>347</v>
      </c>
      <c r="M549">
        <v>1</v>
      </c>
      <c r="N549" s="1">
        <v>10427.92</v>
      </c>
      <c r="O549" s="17">
        <f>N549/N553*100</f>
        <v>5.2642950838739697</v>
      </c>
      <c r="P549" s="52">
        <f>((O549*O549*(I549/100)*(K549/100))/(L549-1))</f>
        <v>8.6953574775958092E-3</v>
      </c>
    </row>
    <row r="550" spans="1:16" x14ac:dyDescent="0.3">
      <c r="A550" t="s">
        <v>5</v>
      </c>
      <c r="B550" s="13">
        <v>2</v>
      </c>
      <c r="C550" s="33">
        <f t="shared" si="58"/>
        <v>0</v>
      </c>
      <c r="D550" s="19">
        <f t="shared" si="58"/>
        <v>2.5575195345639998</v>
      </c>
      <c r="E550" s="34">
        <f t="shared" si="58"/>
        <v>59.969128618154528</v>
      </c>
      <c r="F550" s="19">
        <f t="shared" si="58"/>
        <v>0.14541080965748496</v>
      </c>
      <c r="G550" s="20">
        <f t="shared" si="58"/>
        <v>0.19673227188953846</v>
      </c>
      <c r="H550" s="17">
        <f>SUM(C550:G550)</f>
        <v>62.868791234265551</v>
      </c>
      <c r="I550" s="17">
        <f>E550/H550*100</f>
        <v>95.387755102040813</v>
      </c>
      <c r="J550" s="17">
        <f>SQRT(I550*(100-I550)/(L550-1))</f>
        <v>0.24467430866705089</v>
      </c>
      <c r="K550" s="18">
        <f>100-I550</f>
        <v>4.6122448979591866</v>
      </c>
      <c r="L550" s="1">
        <f>H539</f>
        <v>7350</v>
      </c>
      <c r="M550">
        <v>2</v>
      </c>
      <c r="N550" s="1">
        <v>124535.33</v>
      </c>
      <c r="O550" s="17">
        <f>N550/N553*100</f>
        <v>62.868791234265551</v>
      </c>
      <c r="P550" s="52">
        <f>((O550*O550*(I550/100)*(K550/100))/(L550-1))</f>
        <v>2.3661755391865085E-2</v>
      </c>
    </row>
    <row r="551" spans="1:16" x14ac:dyDescent="0.3">
      <c r="A551" t="s">
        <v>6</v>
      </c>
      <c r="B551" s="13">
        <v>3</v>
      </c>
      <c r="C551" s="33">
        <f t="shared" si="58"/>
        <v>0</v>
      </c>
      <c r="D551" s="19">
        <f t="shared" si="58"/>
        <v>5.5104933408611091E-2</v>
      </c>
      <c r="E551" s="19">
        <f t="shared" si="58"/>
        <v>0.92103960125821394</v>
      </c>
      <c r="F551" s="34">
        <f t="shared" si="58"/>
        <v>18.987585625938564</v>
      </c>
      <c r="G551" s="20">
        <f t="shared" si="58"/>
        <v>0.80295760109690439</v>
      </c>
      <c r="H551" s="17">
        <f>SUM(C551:G551)</f>
        <v>20.766687761702293</v>
      </c>
      <c r="I551" s="17">
        <f>F551/H551*100</f>
        <v>91.432903714935549</v>
      </c>
      <c r="J551" s="17">
        <f>SQRT(I551*(100-I551)/(L551-1))</f>
        <v>0.54502072260891488</v>
      </c>
      <c r="K551" s="18">
        <f>100-I551</f>
        <v>8.5670962850644514</v>
      </c>
      <c r="L551" s="1">
        <f>H540</f>
        <v>2638</v>
      </c>
      <c r="M551">
        <v>3</v>
      </c>
      <c r="N551" s="1">
        <v>41136.25</v>
      </c>
      <c r="O551" s="17">
        <f>N551/N553*100</f>
        <v>20.766687761702293</v>
      </c>
      <c r="P551" s="52">
        <f>((O551*O551*(I551/100)*(K551/100))/(L551-1))</f>
        <v>1.2810335282557459E-2</v>
      </c>
    </row>
    <row r="552" spans="1:16" x14ac:dyDescent="0.3">
      <c r="A552" t="s">
        <v>7</v>
      </c>
      <c r="B552" s="13">
        <v>4</v>
      </c>
      <c r="C552" s="35">
        <f t="shared" si="58"/>
        <v>0</v>
      </c>
      <c r="D552" s="36">
        <f t="shared" si="58"/>
        <v>0</v>
      </c>
      <c r="E552" s="21">
        <f t="shared" si="58"/>
        <v>3.7983812282143196E-2</v>
      </c>
      <c r="F552" s="21">
        <f t="shared" si="58"/>
        <v>1.3674172421571551</v>
      </c>
      <c r="G552" s="37">
        <f t="shared" si="58"/>
        <v>7.9955924853911435</v>
      </c>
      <c r="H552" s="17">
        <f>SUM(C552:G552)</f>
        <v>9.4009935398304414</v>
      </c>
      <c r="I552" s="17">
        <f>G552/H552*100</f>
        <v>85.050505050505052</v>
      </c>
      <c r="J552" s="17">
        <f>SQRT(I552*(100-I552)/(L552-1))</f>
        <v>1.1338446704947833</v>
      </c>
      <c r="K552" s="18">
        <f>100-I552</f>
        <v>14.949494949494948</v>
      </c>
      <c r="L552" s="1">
        <f>H541</f>
        <v>990</v>
      </c>
      <c r="M552">
        <v>4</v>
      </c>
      <c r="N552" s="1">
        <v>18622.21</v>
      </c>
      <c r="O552" s="17">
        <f>N552/N553*100</f>
        <v>9.4009935398304414</v>
      </c>
      <c r="P552" s="52">
        <f>((O552*O552*(I552/100)*(K552/100))/(L552-1))</f>
        <v>1.1361996066567889E-2</v>
      </c>
    </row>
    <row r="553" spans="1:16" x14ac:dyDescent="0.3">
      <c r="B553" t="s">
        <v>28</v>
      </c>
      <c r="C553" s="17">
        <f>SUM(C548:C552)</f>
        <v>1.6992323803277416</v>
      </c>
      <c r="D553" s="17">
        <f>SUM(D548:D552)</f>
        <v>7.224571746063928</v>
      </c>
      <c r="E553" s="17">
        <f>SUM(E548:E552)</f>
        <v>61.550158079069043</v>
      </c>
      <c r="F553" s="17">
        <f>SUM(F548:F552)</f>
        <v>20.500413677753205</v>
      </c>
      <c r="G553" s="17">
        <f>SUM(G548:G552)</f>
        <v>9.0256241167860818</v>
      </c>
      <c r="H553" s="1">
        <f>SUM(H547:H552)</f>
        <v>100</v>
      </c>
      <c r="I553" s="13" t="s">
        <v>24</v>
      </c>
      <c r="J553" s="12" t="s">
        <v>29</v>
      </c>
      <c r="N553" s="1">
        <f>SUM(N548:N552)</f>
        <v>198087.67999999999</v>
      </c>
      <c r="O553" s="17">
        <f>SUM(O548:O552)</f>
        <v>100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0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0.17346170261044383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0.1981619554989015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0.15856417585638688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0.13986515049315787</v>
      </c>
      <c r="H554" s="1"/>
      <c r="I554" s="56">
        <f>(C548+D549+E550+F551+G552)/H553</f>
        <v>0.93263486387903294</v>
      </c>
      <c r="J554" s="53">
        <f>SQRT(SUM(P548:P552))/100</f>
        <v>2.3775921479216372E-3</v>
      </c>
      <c r="M554" s="1"/>
      <c r="N554" s="9"/>
    </row>
    <row r="555" spans="1:16" x14ac:dyDescent="0.3">
      <c r="B555" s="1" t="s">
        <v>30</v>
      </c>
      <c r="C555" s="17">
        <f>C548/C553*100</f>
        <v>100</v>
      </c>
      <c r="D555" s="17">
        <f>D549/D553*100</f>
        <v>63.836964185510169</v>
      </c>
      <c r="E555" s="17">
        <f>E550/E553*100</f>
        <v>97.431315352783528</v>
      </c>
      <c r="F555" s="17">
        <f>F551/F553*100</f>
        <v>92.620499880661711</v>
      </c>
      <c r="G555" s="17">
        <f>G552/G553*100</f>
        <v>88.58769634025353</v>
      </c>
      <c r="H555" s="1"/>
    </row>
    <row r="556" spans="1:16" x14ac:dyDescent="0.3">
      <c r="B556" s="16" t="s">
        <v>39</v>
      </c>
      <c r="C556" s="18">
        <f>SQRT((C559+C560)/(C553*C553))</f>
        <v>0</v>
      </c>
      <c r="D556" s="18">
        <f>SQRT((D559+D560)/(D553*D553))</f>
        <v>4.8434808365642184</v>
      </c>
      <c r="E556" s="18">
        <f>SQRT((E559+E560)/(E553*E553))</f>
        <v>0.20809310751011831</v>
      </c>
      <c r="F556" s="18">
        <f>SQRT((F559+F560)/(F553*F553))</f>
        <v>0.64656977623733525</v>
      </c>
      <c r="G556" s="18">
        <f>SQRT((G559+G560)/(G553*G553))</f>
        <v>1.6149340819747144</v>
      </c>
      <c r="H556" s="1"/>
    </row>
    <row r="557" spans="1:16" x14ac:dyDescent="0.3">
      <c r="B557" s="1" t="s">
        <v>37</v>
      </c>
      <c r="C557" s="18">
        <f>100-C555</f>
        <v>0</v>
      </c>
      <c r="D557" s="18">
        <f>100-D555</f>
        <v>36.163035814489831</v>
      </c>
      <c r="E557" s="18">
        <f>100-E555</f>
        <v>2.5686846472164717</v>
      </c>
      <c r="F557" s="18">
        <f>100-F555</f>
        <v>7.3795001193382888</v>
      </c>
      <c r="G557" s="18">
        <f>100-G555</f>
        <v>11.41230365974647</v>
      </c>
    </row>
    <row r="558" spans="1:16" ht="15.6" x14ac:dyDescent="0.35">
      <c r="B558" s="1" t="s">
        <v>25</v>
      </c>
      <c r="C558" s="1">
        <f>C542</f>
        <v>259</v>
      </c>
      <c r="D558" s="1">
        <f>D542</f>
        <v>610</v>
      </c>
      <c r="E558" s="1">
        <f>E542</f>
        <v>7173</v>
      </c>
      <c r="F558" s="1">
        <f>F542</f>
        <v>2573</v>
      </c>
      <c r="G558" s="1">
        <f>G542</f>
        <v>969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1137.1485557033081</v>
      </c>
      <c r="E559" s="18">
        <f>(O550*O550*(100-E555)*(100-E555)*(I550)*(100-I550))/((L550-1)*100)</f>
        <v>15.612359404928172</v>
      </c>
      <c r="F559" s="18">
        <f>(O551*O551*(100-F555)*(100-F555)*(I551)*(100-I551))/((L551-1)*100)</f>
        <v>69.761271045454137</v>
      </c>
      <c r="G559" s="18">
        <f>(O552*O552*(100-G555)*(100-G555)*(I552)*(100-I552))/((L552-1)*100)</f>
        <v>147.97940350376962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87.296743416491694</v>
      </c>
      <c r="E560" s="18">
        <f>E555*E555*(SUM((H548*E548*(1-E537/H537))/(H537-1),(H549*E549*(1-E538/H538))/(H538-1), (H551*E551*(1-E540/H540))/(H540-1),(H552*E552*(1-E541/H541))/(H541-1)))</f>
        <v>148.43669699821555</v>
      </c>
      <c r="F560" s="18">
        <f>F555*F555*(SUM((H548*F548*(1-F537/H537))/(H537-1),(H549*F549*(1-F538/H538))/(H538-1), (H550*F550*(1-F539/H539))/(H539-1),(H552*F552*(1-F541/H541))/(H541-1)))</f>
        <v>105.93237237264485</v>
      </c>
      <c r="G560" s="18">
        <f>G555*G555*(SUM((H548*G548*(1-G537/H537))/(H537-1),(H549*G549*(1-G538/H538))/(H538-1), (H550*G550*(1-G539/H539))/(H539-1),(H551*G551*(1-G540/H540))/(H540-1)))</f>
        <v>64.474192238196181</v>
      </c>
    </row>
    <row r="563" spans="1:16" x14ac:dyDescent="0.3">
      <c r="A563" s="361" t="s">
        <v>461</v>
      </c>
      <c r="B563" s="361"/>
      <c r="C563" s="361"/>
      <c r="D563" s="361"/>
      <c r="E563" s="361"/>
      <c r="F563" s="361"/>
      <c r="G563" s="361"/>
      <c r="H563" s="361"/>
      <c r="I563" s="361"/>
      <c r="J563" s="361"/>
      <c r="K563" s="361"/>
      <c r="L563" s="361" t="s">
        <v>97</v>
      </c>
      <c r="M563" s="361"/>
      <c r="N563" s="361"/>
      <c r="O563" s="361"/>
      <c r="P563" s="361"/>
    </row>
    <row r="564" spans="1:16" x14ac:dyDescent="0.3">
      <c r="A564" t="s">
        <v>15</v>
      </c>
      <c r="B564" t="s">
        <v>21</v>
      </c>
      <c r="I564" s="1" t="s">
        <v>58</v>
      </c>
      <c r="O564" s="143"/>
      <c r="P564" s="143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56</v>
      </c>
      <c r="O565" s="13"/>
      <c r="P565" s="13"/>
    </row>
    <row r="566" spans="1:16" x14ac:dyDescent="0.3">
      <c r="A566" t="s">
        <v>3</v>
      </c>
      <c r="B566" s="13">
        <v>0</v>
      </c>
      <c r="C566" s="26">
        <v>259</v>
      </c>
      <c r="D566" s="3">
        <v>0</v>
      </c>
      <c r="E566" s="3">
        <v>0</v>
      </c>
      <c r="F566" s="3">
        <v>0</v>
      </c>
      <c r="G566" s="4">
        <v>0</v>
      </c>
      <c r="H566" s="1">
        <f>SUM(C566:G566)</f>
        <v>259</v>
      </c>
      <c r="I566" s="10">
        <f>C566/H566</f>
        <v>1</v>
      </c>
      <c r="J566" s="11">
        <f>1-I566</f>
        <v>0</v>
      </c>
      <c r="K566">
        <f>H566-C571</f>
        <v>0</v>
      </c>
      <c r="N566" s="10">
        <f>2*(C572*I566)/(C572+I566)</f>
        <v>1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297</v>
      </c>
      <c r="E567" s="1">
        <v>47</v>
      </c>
      <c r="F567" s="1">
        <v>0</v>
      </c>
      <c r="G567" s="6">
        <v>3</v>
      </c>
      <c r="H567" s="1">
        <f>SUM(C567:G567)</f>
        <v>347</v>
      </c>
      <c r="I567" s="10">
        <f>D567/H567</f>
        <v>0.85590778097982712</v>
      </c>
      <c r="J567" s="11">
        <f>1-I567</f>
        <v>0.14409221902017288</v>
      </c>
      <c r="K567">
        <f>H567-D571</f>
        <v>-230</v>
      </c>
      <c r="N567" s="10">
        <f>2*(D572*I567)/(D572+I567)</f>
        <v>0.6428571428571429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272</v>
      </c>
      <c r="E568" s="27">
        <v>7043</v>
      </c>
      <c r="F568" s="1">
        <v>14</v>
      </c>
      <c r="G568" s="6">
        <v>21</v>
      </c>
      <c r="H568" s="1">
        <f>SUM(C568:G568)</f>
        <v>7350</v>
      </c>
      <c r="I568" s="10">
        <f>E568/H568</f>
        <v>0.95823129251700678</v>
      </c>
      <c r="J568" s="11">
        <f>1-I568</f>
        <v>4.1768707482993217E-2</v>
      </c>
      <c r="K568">
        <f>H568-E571</f>
        <v>147</v>
      </c>
      <c r="N568" s="10">
        <f>2*(E572*I568)/(E572+I568)</f>
        <v>0.96791039648182498</v>
      </c>
      <c r="O568" s="1"/>
      <c r="P568" s="1"/>
    </row>
    <row r="569" spans="1:16" x14ac:dyDescent="0.3">
      <c r="A569" t="s">
        <v>6</v>
      </c>
      <c r="B569" s="13">
        <v>3</v>
      </c>
      <c r="C569" s="5">
        <v>0</v>
      </c>
      <c r="D569" s="1">
        <v>8</v>
      </c>
      <c r="E569" s="1">
        <v>110</v>
      </c>
      <c r="F569" s="27">
        <v>2409</v>
      </c>
      <c r="G569" s="6">
        <v>111</v>
      </c>
      <c r="H569" s="1">
        <f>SUM(C569:G569)</f>
        <v>2638</v>
      </c>
      <c r="I569" s="10">
        <f>F569/H569</f>
        <v>0.91319181197877175</v>
      </c>
      <c r="J569" s="11">
        <f>1-I569</f>
        <v>8.680818802122825E-2</v>
      </c>
      <c r="K569">
        <f>H569-F571</f>
        <v>91</v>
      </c>
      <c r="N569" s="10">
        <f>2*(F572*I569)/(F572+I569)</f>
        <v>0.92921890067502411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0</v>
      </c>
      <c r="E570" s="8">
        <v>3</v>
      </c>
      <c r="F570" s="8">
        <v>124</v>
      </c>
      <c r="G570" s="28">
        <v>863</v>
      </c>
      <c r="H570" s="1">
        <f>SUM(C570:G570)</f>
        <v>990</v>
      </c>
      <c r="I570" s="10">
        <f>G570/H570</f>
        <v>0.87171717171717167</v>
      </c>
      <c r="J570" s="11">
        <f>1-I570</f>
        <v>0.12828282828282833</v>
      </c>
      <c r="K570">
        <f>H570-G571</f>
        <v>-8</v>
      </c>
      <c r="N570" s="10">
        <f>2*(G572*I570)/(G572+I570)</f>
        <v>0.86820925553319916</v>
      </c>
      <c r="O570" s="1"/>
      <c r="P570" s="1"/>
    </row>
    <row r="571" spans="1:16" ht="15.6" x14ac:dyDescent="0.35">
      <c r="B571" s="1" t="s">
        <v>19</v>
      </c>
      <c r="C571" s="1">
        <f>SUM(C566:C570)</f>
        <v>259</v>
      </c>
      <c r="D571" s="1">
        <f>SUM(D566:D570)</f>
        <v>577</v>
      </c>
      <c r="E571" s="1">
        <f>SUM(E566:E570)</f>
        <v>7203</v>
      </c>
      <c r="F571" s="1">
        <f>SUM(F566:F570)</f>
        <v>2547</v>
      </c>
      <c r="G571" s="1">
        <f>SUM(G566:G570)</f>
        <v>998</v>
      </c>
      <c r="H571" s="1">
        <f>SUM(H565:H570)</f>
        <v>11584</v>
      </c>
      <c r="I571" s="13" t="s">
        <v>12</v>
      </c>
      <c r="N571" s="16"/>
      <c r="O571" s="1"/>
      <c r="P571" s="1"/>
    </row>
    <row r="572" spans="1:16" x14ac:dyDescent="0.3">
      <c r="A572" s="1" t="s">
        <v>57</v>
      </c>
      <c r="B572" s="1" t="s">
        <v>2</v>
      </c>
      <c r="C572" s="10">
        <f>C566/C571</f>
        <v>1</v>
      </c>
      <c r="D572" s="10">
        <f>D567/D571</f>
        <v>0.51473136915077988</v>
      </c>
      <c r="E572" s="10">
        <f>E568/E571</f>
        <v>0.97778703318061921</v>
      </c>
      <c r="F572" s="10">
        <f>F569/F571</f>
        <v>0.94581861012956414</v>
      </c>
      <c r="G572" s="10">
        <f>G570/G571</f>
        <v>0.8647294589178357</v>
      </c>
      <c r="H572" s="10"/>
      <c r="I572" s="14">
        <f>(C566+D567+E568+F569+G570)/H571</f>
        <v>0.93844958563535907</v>
      </c>
    </row>
    <row r="573" spans="1:16" x14ac:dyDescent="0.3">
      <c r="B573" s="1" t="s">
        <v>14</v>
      </c>
      <c r="C573" s="11">
        <f>1-C572</f>
        <v>0</v>
      </c>
      <c r="D573" s="11">
        <f>1-D572</f>
        <v>0.48526863084922012</v>
      </c>
      <c r="E573" s="11">
        <f>1-E572</f>
        <v>2.2212966819380786E-2</v>
      </c>
      <c r="F573" s="11">
        <f>1-F572</f>
        <v>5.4181389870435859E-2</v>
      </c>
      <c r="G573" s="11">
        <f>1-G572</f>
        <v>0.1352705410821643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1.7129486151258175</v>
      </c>
      <c r="D577" s="31">
        <f>(D566/$L577)*$O577</f>
        <v>0</v>
      </c>
      <c r="E577" s="31">
        <f>(E566/$L577)*$O577</f>
        <v>0</v>
      </c>
      <c r="F577" s="31">
        <f>(F566/$L577)*$O577</f>
        <v>0</v>
      </c>
      <c r="G577" s="32">
        <f>(G566/$L577)*$O577</f>
        <v>0</v>
      </c>
      <c r="H577" s="17">
        <f>SUM(C577:G577)</f>
        <v>1.7129486151258175</v>
      </c>
      <c r="I577" s="17">
        <f>C577/H577*100</f>
        <v>100</v>
      </c>
      <c r="J577" s="17">
        <f>SQRT(I577*(100-I577)/(L577-1))</f>
        <v>0</v>
      </c>
      <c r="K577" s="18">
        <f>100-I577</f>
        <v>0</v>
      </c>
      <c r="L577" s="1">
        <f>H566</f>
        <v>259</v>
      </c>
      <c r="M577">
        <v>0</v>
      </c>
      <c r="N577" s="1">
        <v>3393.14</v>
      </c>
      <c r="O577" s="17">
        <f>N577/N582*100</f>
        <v>1.7129486151258175</v>
      </c>
      <c r="P577" s="52">
        <f>((O577*O577*(I577/100)*(K577/100))/(L577-1))</f>
        <v>0</v>
      </c>
    </row>
    <row r="578" spans="1:16" x14ac:dyDescent="0.3">
      <c r="A578" t="s">
        <v>4</v>
      </c>
      <c r="B578" s="13">
        <v>1</v>
      </c>
      <c r="C578" s="33">
        <f t="shared" ref="C578:G581" si="59">(C567/$L578)*$O578</f>
        <v>0</v>
      </c>
      <c r="D578" s="34">
        <f t="shared" si="59"/>
        <v>4.3466359249363364</v>
      </c>
      <c r="E578" s="19">
        <f t="shared" si="59"/>
        <v>0.6878514763367265</v>
      </c>
      <c r="F578" s="18">
        <f t="shared" si="59"/>
        <v>0</v>
      </c>
      <c r="G578" s="20">
        <f t="shared" si="59"/>
        <v>4.390541338319532E-2</v>
      </c>
      <c r="H578" s="17">
        <f>SUM(C578:G578)</f>
        <v>5.0783928146562589</v>
      </c>
      <c r="I578" s="17">
        <f>D578/H578*100</f>
        <v>85.590778097982707</v>
      </c>
      <c r="J578" s="17">
        <f>SQRT(I578*(100-I578)/(L578-1))</f>
        <v>1.8879726674415145</v>
      </c>
      <c r="K578" s="18">
        <f>100-I578</f>
        <v>14.409221902017293</v>
      </c>
      <c r="L578" s="1">
        <f>H567</f>
        <v>347</v>
      </c>
      <c r="M578">
        <v>1</v>
      </c>
      <c r="N578" s="1">
        <v>10059.67</v>
      </c>
      <c r="O578" s="17">
        <f>N578/N582*100</f>
        <v>5.078392814656258</v>
      </c>
      <c r="P578" s="52">
        <f>((O578*O578*(I578/100)*(K578/100))/(L578-1))</f>
        <v>9.1927190323014153E-3</v>
      </c>
    </row>
    <row r="579" spans="1:16" x14ac:dyDescent="0.3">
      <c r="A579" t="s">
        <v>5</v>
      </c>
      <c r="B579" s="13">
        <v>2</v>
      </c>
      <c r="C579" s="33">
        <f t="shared" si="59"/>
        <v>0</v>
      </c>
      <c r="D579" s="19">
        <f t="shared" si="59"/>
        <v>2.3376619791321565</v>
      </c>
      <c r="E579" s="34">
        <f t="shared" si="59"/>
        <v>60.529975437602126</v>
      </c>
      <c r="F579" s="19">
        <f t="shared" si="59"/>
        <v>0.12032083716121393</v>
      </c>
      <c r="G579" s="20">
        <f t="shared" si="59"/>
        <v>0.18048125574182092</v>
      </c>
      <c r="H579" s="17">
        <f>SUM(C579:G579)</f>
        <v>63.168439509637317</v>
      </c>
      <c r="I579" s="17">
        <f>E579/H579*100</f>
        <v>95.823129251700678</v>
      </c>
      <c r="J579" s="17">
        <f>SQRT(I579*(100-I579)/(L579-1))</f>
        <v>0.23337082911337317</v>
      </c>
      <c r="K579" s="18">
        <f>100-I579</f>
        <v>4.1768707482993221</v>
      </c>
      <c r="L579" s="1">
        <f>H568</f>
        <v>7350</v>
      </c>
      <c r="M579">
        <v>2</v>
      </c>
      <c r="N579" s="1">
        <v>125128.89</v>
      </c>
      <c r="O579" s="17">
        <f>N579/N582*100</f>
        <v>63.168439509637317</v>
      </c>
      <c r="P579" s="52">
        <f>((O579*O579*(I579/100)*(K579/100))/(L579-1))</f>
        <v>2.1731686688431884E-2</v>
      </c>
    </row>
    <row r="580" spans="1:16" x14ac:dyDescent="0.3">
      <c r="A580" t="s">
        <v>6</v>
      </c>
      <c r="B580" s="13">
        <v>3</v>
      </c>
      <c r="C580" s="33">
        <f t="shared" si="59"/>
        <v>0</v>
      </c>
      <c r="D580" s="19">
        <f t="shared" si="59"/>
        <v>6.1894206493881589E-2</v>
      </c>
      <c r="E580" s="19">
        <f t="shared" si="59"/>
        <v>0.85104533929087189</v>
      </c>
      <c r="F580" s="34">
        <f t="shared" si="59"/>
        <v>18.637892930470091</v>
      </c>
      <c r="G580" s="20">
        <f t="shared" si="59"/>
        <v>0.85878211510260705</v>
      </c>
      <c r="H580" s="17">
        <f>SUM(C580:G580)</f>
        <v>20.40961459135745</v>
      </c>
      <c r="I580" s="17">
        <f>F580/H580*100</f>
        <v>91.319181197877185</v>
      </c>
      <c r="J580" s="17">
        <f>SQRT(I580*(100-I580)/(L580-1))</f>
        <v>0.54828489958229798</v>
      </c>
      <c r="K580" s="18">
        <f>100-I580</f>
        <v>8.6808188021228148</v>
      </c>
      <c r="L580" s="1">
        <f>H569</f>
        <v>2638</v>
      </c>
      <c r="M580">
        <v>3</v>
      </c>
      <c r="N580" s="1">
        <v>40428.93</v>
      </c>
      <c r="O580" s="17">
        <f>N580/N582*100</f>
        <v>20.409614591357453</v>
      </c>
      <c r="P580" s="52">
        <f>((O580*O580*(I580/100)*(K580/100))/(L580-1))</f>
        <v>1.2522244451351248E-2</v>
      </c>
    </row>
    <row r="581" spans="1:16" x14ac:dyDescent="0.3">
      <c r="A581" t="s">
        <v>7</v>
      </c>
      <c r="B581" s="13">
        <v>4</v>
      </c>
      <c r="C581" s="35">
        <f t="shared" si="59"/>
        <v>0</v>
      </c>
      <c r="D581" s="36">
        <f t="shared" si="59"/>
        <v>0</v>
      </c>
      <c r="E581" s="21">
        <f t="shared" si="59"/>
        <v>2.918364990673681E-2</v>
      </c>
      <c r="F581" s="21">
        <f t="shared" si="59"/>
        <v>1.2062575294784548</v>
      </c>
      <c r="G581" s="37">
        <f t="shared" si="59"/>
        <v>8.3951632898379547</v>
      </c>
      <c r="H581" s="17">
        <f>SUM(C581:G581)</f>
        <v>9.6306044692231456</v>
      </c>
      <c r="I581" s="17">
        <f>G581/H581*100</f>
        <v>87.171717171717177</v>
      </c>
      <c r="J581" s="17">
        <f>SQRT(I581*(100-I581)/(L581-1))</f>
        <v>1.0633443258010133</v>
      </c>
      <c r="K581" s="18">
        <f>100-I581</f>
        <v>12.828282828282823</v>
      </c>
      <c r="L581" s="1">
        <f>H570</f>
        <v>990</v>
      </c>
      <c r="M581">
        <v>4</v>
      </c>
      <c r="N581" s="1">
        <v>19077.04</v>
      </c>
      <c r="O581" s="17">
        <f>N581/N582*100</f>
        <v>9.6306044692231474</v>
      </c>
      <c r="P581" s="52">
        <f>((O581*O581*(I581/100)*(K581/100))/(L581-1))</f>
        <v>1.0487088408421299E-2</v>
      </c>
    </row>
    <row r="582" spans="1:16" x14ac:dyDescent="0.3">
      <c r="B582" t="s">
        <v>28</v>
      </c>
      <c r="C582" s="17">
        <f t="shared" ref="C582:H582" si="60">SUM(C577:C581)</f>
        <v>1.7129486151258175</v>
      </c>
      <c r="D582" s="17">
        <f t="shared" si="60"/>
        <v>6.7461921105623741</v>
      </c>
      <c r="E582" s="17">
        <f t="shared" si="60"/>
        <v>62.098055903136455</v>
      </c>
      <c r="F582" s="17">
        <f t="shared" si="60"/>
        <v>19.96447129710976</v>
      </c>
      <c r="G582" s="17">
        <f t="shared" si="60"/>
        <v>9.4783320740655785</v>
      </c>
      <c r="H582" s="18">
        <f t="shared" si="60"/>
        <v>99.999999999999986</v>
      </c>
      <c r="I582" s="13" t="s">
        <v>24</v>
      </c>
      <c r="J582" s="12" t="s">
        <v>29</v>
      </c>
      <c r="N582" s="1">
        <f>SUM(N577:N581)</f>
        <v>198087.67</v>
      </c>
      <c r="O582" s="17">
        <f>SUM(O577:O581)</f>
        <v>99.999999999999986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0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0.17026690680117548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0.19241840437648453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0.15431845144918496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0.13793049942850397</v>
      </c>
      <c r="H583" s="1"/>
      <c r="I583" s="56">
        <f>(C577+D578+E579+F580+G581)/H582</f>
        <v>0.9362261619797233</v>
      </c>
      <c r="J583" s="53">
        <f>SQRT(SUM(P577:P581))/100</f>
        <v>2.3223638513485746E-3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64.430953843293281</v>
      </c>
      <c r="E584" s="17">
        <f>E579/E582*100</f>
        <v>97.474831630831886</v>
      </c>
      <c r="F584" s="17">
        <f>F580/F582*100</f>
        <v>93.355304295828176</v>
      </c>
      <c r="G584" s="17">
        <f>G581/G582*100</f>
        <v>88.572158310517864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5.2309935017358704</v>
      </c>
      <c r="E585" s="18">
        <f>SQRT((E588+E589)/(E582*E582))</f>
        <v>0.20334868033283873</v>
      </c>
      <c r="F585" s="18">
        <f>SQRT((F588+F589)/(F582*F582))</f>
        <v>0.62125056443706506</v>
      </c>
      <c r="G585" s="18">
        <f>SQRT((G588+G589)/(G582*G582))</f>
        <v>1.5070935972826833</v>
      </c>
      <c r="H585" s="1"/>
    </row>
    <row r="586" spans="1:16" x14ac:dyDescent="0.3">
      <c r="B586" s="1" t="s">
        <v>37</v>
      </c>
      <c r="C586" s="18">
        <f>100-C584</f>
        <v>0</v>
      </c>
      <c r="D586" s="18">
        <f>100-D584</f>
        <v>35.569046156706719</v>
      </c>
      <c r="E586" s="18">
        <f>100-E584</f>
        <v>2.5251683691681137</v>
      </c>
      <c r="F586" s="18">
        <f>100-F584</f>
        <v>6.6446957041718235</v>
      </c>
      <c r="G586" s="18">
        <f>100-G584</f>
        <v>11.427841689482136</v>
      </c>
    </row>
    <row r="587" spans="1:16" ht="15.6" x14ac:dyDescent="0.35">
      <c r="B587" s="1" t="s">
        <v>25</v>
      </c>
      <c r="C587" s="1">
        <f>C571</f>
        <v>259</v>
      </c>
      <c r="D587" s="1">
        <f>D571</f>
        <v>577</v>
      </c>
      <c r="E587" s="1">
        <f>E571</f>
        <v>7203</v>
      </c>
      <c r="F587" s="1">
        <f>F571</f>
        <v>2547</v>
      </c>
      <c r="G587" s="1">
        <f>G571</f>
        <v>998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1163.0233241806357</v>
      </c>
      <c r="E588" s="18">
        <f>(O579*O579*(100-E584)*(100-E584)*(I579)*(100-I579))/((L579-1)*100)</f>
        <v>13.85715632363349</v>
      </c>
      <c r="F588" s="18">
        <f>(O580*O580*(100-F584)*(100-F584)*(I580)*(100-I580))/((L580-1)*100)</f>
        <v>55.288189910643247</v>
      </c>
      <c r="G588" s="18">
        <f>(O581*O581*(100-G584)*(100-G584)*(I581)*(100-I581))/((L581-1)*100)</f>
        <v>136.95672430325448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82.310459267804859</v>
      </c>
      <c r="E589" s="18">
        <f>E584*E584*(SUM((H577*E577*(1-E566/H566))/(H566-1),(H578*E578*(1-E567/H567))/(H567-1), (H580*E580*(1-E569/H569))/(H569-1),(H581*E581*(1-E570/H570))/(H570-1)))</f>
        <v>145.59805762651922</v>
      </c>
      <c r="F589" s="18">
        <f>F584*F584*(SUM((H577*F577*(1-F566/H566))/(H566-1),(H578*F578*(1-F567/H567))/(H567-1), (H579*F579*(1-F568/H568))/(H568-1),(H581*F581*(1-F570/H570))/(H570-1)))</f>
        <v>98.544707465464455</v>
      </c>
      <c r="G589" s="18">
        <f>G584*G584*(SUM((H577*G577*(1-G566/H566))/(H566-1),(H578*G578*(1-G567/H567))/(H567-1), (H579*G579*(1-G568/H568))/(H568-1),(H580*G580*(1-G569/H569))/(H569-1)))</f>
        <v>67.096889198131095</v>
      </c>
    </row>
    <row r="592" spans="1:16" x14ac:dyDescent="0.3">
      <c r="A592" s="361"/>
      <c r="B592" s="361"/>
      <c r="C592" s="361"/>
      <c r="D592" s="361"/>
      <c r="E592" s="361"/>
      <c r="F592" s="361"/>
      <c r="G592" s="361"/>
      <c r="H592" s="361"/>
      <c r="I592" s="361"/>
      <c r="J592" s="361"/>
      <c r="K592" s="361"/>
      <c r="L592" s="361"/>
      <c r="M592" s="361"/>
      <c r="N592" s="361"/>
      <c r="O592" s="361"/>
      <c r="P592" s="361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61"/>
      <c r="B621" s="361"/>
      <c r="C621" s="361"/>
      <c r="D621" s="361"/>
      <c r="E621" s="361"/>
      <c r="F621" s="361"/>
      <c r="G621" s="361"/>
      <c r="H621" s="361"/>
      <c r="I621" s="361"/>
      <c r="J621" s="361"/>
      <c r="K621" s="361"/>
      <c r="L621" s="361"/>
      <c r="M621" s="361"/>
      <c r="N621" s="361"/>
      <c r="O621" s="361"/>
      <c r="P621" s="361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61"/>
      <c r="B650" s="361"/>
      <c r="C650" s="361"/>
      <c r="D650" s="361"/>
      <c r="E650" s="361"/>
      <c r="F650" s="361"/>
      <c r="G650" s="361"/>
      <c r="H650" s="361"/>
      <c r="I650" s="361"/>
      <c r="J650" s="361"/>
      <c r="K650" s="361"/>
      <c r="L650" s="361"/>
      <c r="M650" s="361"/>
      <c r="N650" s="361"/>
      <c r="O650" s="361"/>
      <c r="P650" s="361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61"/>
      <c r="B679" s="361"/>
      <c r="C679" s="361"/>
      <c r="D679" s="361"/>
      <c r="E679" s="361"/>
      <c r="F679" s="361"/>
      <c r="G679" s="361"/>
      <c r="H679" s="361"/>
      <c r="I679" s="361"/>
      <c r="J679" s="361"/>
      <c r="K679" s="361"/>
      <c r="L679" s="361"/>
      <c r="M679" s="361"/>
      <c r="N679" s="361"/>
      <c r="O679" s="361"/>
      <c r="P679" s="361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61"/>
      <c r="B708" s="361"/>
      <c r="C708" s="361"/>
      <c r="D708" s="361"/>
      <c r="E708" s="361"/>
      <c r="F708" s="361"/>
      <c r="G708" s="361"/>
      <c r="H708" s="361"/>
      <c r="I708" s="361"/>
      <c r="J708" s="361"/>
      <c r="K708" s="361"/>
      <c r="L708" s="361"/>
      <c r="M708" s="361"/>
      <c r="N708" s="361"/>
      <c r="O708" s="361"/>
      <c r="P708" s="361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61"/>
      <c r="B737" s="361"/>
      <c r="C737" s="361"/>
      <c r="D737" s="361"/>
      <c r="E737" s="361"/>
      <c r="F737" s="361"/>
      <c r="G737" s="361"/>
      <c r="H737" s="361"/>
      <c r="I737" s="361"/>
      <c r="J737" s="361"/>
      <c r="K737" s="361"/>
      <c r="L737" s="361"/>
      <c r="M737" s="361"/>
      <c r="N737" s="361"/>
      <c r="O737" s="361"/>
      <c r="P737" s="361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61"/>
      <c r="B766" s="361"/>
      <c r="C766" s="361"/>
      <c r="D766" s="361"/>
      <c r="E766" s="361"/>
      <c r="F766" s="361"/>
      <c r="G766" s="361"/>
      <c r="H766" s="361"/>
      <c r="I766" s="361"/>
      <c r="J766" s="361"/>
      <c r="K766" s="361"/>
      <c r="L766" s="361"/>
      <c r="M766" s="361"/>
      <c r="N766" s="361"/>
      <c r="O766" s="361"/>
      <c r="P766" s="361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61"/>
      <c r="B795" s="361"/>
      <c r="C795" s="361"/>
      <c r="D795" s="361"/>
      <c r="E795" s="361"/>
      <c r="F795" s="361"/>
      <c r="G795" s="361"/>
      <c r="H795" s="361"/>
      <c r="I795" s="361"/>
      <c r="J795" s="361"/>
      <c r="K795" s="361"/>
      <c r="L795" s="361"/>
      <c r="M795" s="361"/>
      <c r="N795" s="361"/>
      <c r="O795" s="361"/>
      <c r="P795" s="361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61"/>
      <c r="B824" s="361"/>
      <c r="C824" s="361"/>
      <c r="D824" s="361"/>
      <c r="E824" s="361"/>
      <c r="F824" s="361"/>
      <c r="G824" s="361"/>
      <c r="H824" s="361"/>
      <c r="I824" s="361"/>
      <c r="J824" s="361"/>
      <c r="K824" s="361"/>
      <c r="L824" s="361"/>
      <c r="M824" s="361"/>
      <c r="N824" s="361"/>
      <c r="O824" s="361"/>
      <c r="P824" s="361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61"/>
      <c r="B853" s="361"/>
      <c r="C853" s="361"/>
      <c r="D853" s="361"/>
      <c r="E853" s="361"/>
      <c r="F853" s="361"/>
      <c r="G853" s="361"/>
      <c r="H853" s="361"/>
      <c r="I853" s="361"/>
      <c r="J853" s="361"/>
      <c r="K853" s="361"/>
      <c r="L853" s="361"/>
      <c r="M853" s="361"/>
      <c r="N853" s="361"/>
      <c r="O853" s="361"/>
      <c r="P853" s="361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61"/>
      <c r="B882" s="361"/>
      <c r="C882" s="361"/>
      <c r="D882" s="361"/>
      <c r="E882" s="361"/>
      <c r="F882" s="361"/>
      <c r="G882" s="361"/>
      <c r="H882" s="361"/>
      <c r="I882" s="361"/>
      <c r="J882" s="361"/>
      <c r="K882" s="361"/>
      <c r="L882" s="361"/>
      <c r="M882" s="361"/>
      <c r="N882" s="361"/>
      <c r="O882" s="361"/>
      <c r="P882" s="361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61"/>
      <c r="B911" s="361"/>
      <c r="C911" s="361"/>
      <c r="D911" s="361"/>
      <c r="E911" s="361"/>
      <c r="F911" s="361"/>
      <c r="G911" s="361"/>
      <c r="H911" s="361"/>
      <c r="I911" s="361"/>
      <c r="J911" s="361"/>
      <c r="K911" s="361"/>
      <c r="L911" s="361"/>
      <c r="M911" s="361"/>
      <c r="N911" s="361"/>
      <c r="O911" s="361"/>
      <c r="P911" s="361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61"/>
      <c r="B940" s="361"/>
      <c r="C940" s="361"/>
      <c r="D940" s="361"/>
      <c r="E940" s="361"/>
      <c r="F940" s="361"/>
      <c r="G940" s="361"/>
      <c r="H940" s="361"/>
      <c r="I940" s="361"/>
      <c r="J940" s="361"/>
      <c r="K940" s="361"/>
      <c r="L940" s="361"/>
      <c r="M940" s="361"/>
      <c r="N940" s="361"/>
      <c r="O940" s="361"/>
      <c r="P940" s="361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61"/>
      <c r="B969" s="361"/>
      <c r="C969" s="361"/>
      <c r="D969" s="361"/>
      <c r="E969" s="361"/>
      <c r="F969" s="361"/>
      <c r="G969" s="361"/>
      <c r="H969" s="361"/>
      <c r="I969" s="361"/>
      <c r="J969" s="361"/>
      <c r="K969" s="361"/>
      <c r="L969" s="361"/>
      <c r="M969" s="361"/>
      <c r="N969" s="361"/>
      <c r="O969" s="361"/>
      <c r="P969" s="361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61"/>
      <c r="B998" s="361"/>
      <c r="C998" s="361"/>
      <c r="D998" s="361"/>
      <c r="E998" s="361"/>
      <c r="F998" s="361"/>
      <c r="G998" s="361"/>
      <c r="H998" s="361"/>
      <c r="I998" s="361"/>
      <c r="J998" s="361"/>
      <c r="K998" s="361"/>
      <c r="L998" s="361"/>
      <c r="M998" s="361"/>
      <c r="N998" s="361"/>
      <c r="O998" s="361"/>
      <c r="P998" s="361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61"/>
      <c r="B1027" s="361"/>
      <c r="C1027" s="361"/>
      <c r="D1027" s="361"/>
      <c r="E1027" s="361"/>
      <c r="F1027" s="361"/>
      <c r="G1027" s="361"/>
      <c r="H1027" s="361"/>
      <c r="I1027" s="361"/>
      <c r="J1027" s="361"/>
      <c r="K1027" s="361"/>
      <c r="L1027" s="361"/>
      <c r="M1027" s="361"/>
      <c r="N1027" s="361"/>
      <c r="O1027" s="361"/>
      <c r="P1027" s="361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61"/>
      <c r="B1056" s="361"/>
      <c r="C1056" s="361"/>
      <c r="D1056" s="361"/>
      <c r="E1056" s="361"/>
      <c r="F1056" s="361"/>
      <c r="G1056" s="361"/>
      <c r="H1056" s="361"/>
      <c r="I1056" s="361"/>
      <c r="J1056" s="361"/>
      <c r="K1056" s="361"/>
      <c r="L1056" s="361"/>
      <c r="M1056" s="361"/>
      <c r="N1056" s="361"/>
      <c r="O1056" s="361"/>
      <c r="P1056" s="361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61"/>
      <c r="B1085" s="361"/>
      <c r="C1085" s="361"/>
      <c r="D1085" s="361"/>
      <c r="E1085" s="361"/>
      <c r="F1085" s="361"/>
      <c r="G1085" s="361"/>
      <c r="H1085" s="361"/>
      <c r="I1085" s="361"/>
      <c r="J1085" s="361"/>
      <c r="K1085" s="361"/>
      <c r="L1085" s="361"/>
      <c r="M1085" s="361"/>
      <c r="N1085" s="361"/>
      <c r="O1085" s="361"/>
      <c r="P1085" s="361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61"/>
      <c r="B1114" s="361"/>
      <c r="C1114" s="361"/>
      <c r="D1114" s="361"/>
      <c r="E1114" s="361"/>
      <c r="F1114" s="361"/>
      <c r="G1114" s="361"/>
      <c r="H1114" s="361"/>
      <c r="I1114" s="361"/>
      <c r="J1114" s="361"/>
      <c r="K1114" s="361"/>
      <c r="L1114" s="361"/>
      <c r="M1114" s="361"/>
      <c r="N1114" s="361"/>
      <c r="O1114" s="361"/>
      <c r="P1114" s="361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61"/>
      <c r="B1143" s="361"/>
      <c r="C1143" s="361"/>
      <c r="D1143" s="361"/>
      <c r="E1143" s="361"/>
      <c r="F1143" s="361"/>
      <c r="G1143" s="361"/>
      <c r="H1143" s="361"/>
      <c r="I1143" s="361"/>
      <c r="J1143" s="361"/>
      <c r="K1143" s="361"/>
      <c r="L1143" s="361"/>
      <c r="M1143" s="361"/>
      <c r="N1143" s="361"/>
      <c r="O1143" s="361"/>
      <c r="P1143" s="361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61"/>
      <c r="B1172" s="361"/>
      <c r="C1172" s="361"/>
      <c r="D1172" s="361"/>
      <c r="E1172" s="361"/>
      <c r="F1172" s="361"/>
      <c r="G1172" s="361"/>
      <c r="H1172" s="361"/>
      <c r="I1172" s="361"/>
      <c r="J1172" s="361"/>
      <c r="K1172" s="361"/>
      <c r="L1172" s="361"/>
      <c r="M1172" s="361"/>
      <c r="N1172" s="361"/>
      <c r="O1172" s="361"/>
      <c r="P1172" s="361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61"/>
      <c r="B1201" s="361"/>
      <c r="C1201" s="361"/>
      <c r="D1201" s="361"/>
      <c r="E1201" s="361"/>
      <c r="F1201" s="361"/>
      <c r="G1201" s="361"/>
      <c r="H1201" s="361"/>
      <c r="I1201" s="361"/>
      <c r="J1201" s="361"/>
      <c r="K1201" s="361"/>
      <c r="L1201" s="361"/>
      <c r="M1201" s="361"/>
      <c r="N1201" s="361"/>
      <c r="O1201" s="361"/>
      <c r="P1201" s="361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61"/>
      <c r="B1230" s="361"/>
      <c r="C1230" s="361"/>
      <c r="D1230" s="361"/>
      <c r="E1230" s="361"/>
      <c r="F1230" s="361"/>
      <c r="G1230" s="361"/>
      <c r="H1230" s="361"/>
      <c r="I1230" s="361"/>
      <c r="J1230" s="361"/>
      <c r="K1230" s="361"/>
      <c r="L1230" s="361"/>
      <c r="M1230" s="361"/>
      <c r="N1230" s="361"/>
      <c r="O1230" s="361"/>
      <c r="P1230" s="361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61"/>
      <c r="B1259" s="361"/>
      <c r="C1259" s="361"/>
      <c r="D1259" s="361"/>
      <c r="E1259" s="361"/>
      <c r="F1259" s="361"/>
      <c r="G1259" s="361"/>
      <c r="H1259" s="361"/>
      <c r="I1259" s="361"/>
      <c r="J1259" s="361"/>
      <c r="K1259" s="361"/>
      <c r="L1259" s="361"/>
      <c r="M1259" s="361"/>
      <c r="N1259" s="361"/>
      <c r="O1259" s="361"/>
      <c r="P1259" s="361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61"/>
      <c r="B1288" s="361"/>
      <c r="C1288" s="361"/>
      <c r="D1288" s="361"/>
      <c r="E1288" s="361"/>
      <c r="F1288" s="361"/>
      <c r="G1288" s="361"/>
      <c r="H1288" s="361"/>
      <c r="I1288" s="361"/>
      <c r="J1288" s="361"/>
      <c r="K1288" s="361"/>
      <c r="L1288" s="361"/>
      <c r="M1288" s="361"/>
      <c r="N1288" s="361"/>
      <c r="O1288" s="361"/>
      <c r="P1288" s="361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61"/>
      <c r="B1317" s="361"/>
      <c r="C1317" s="361"/>
      <c r="D1317" s="361"/>
      <c r="E1317" s="361"/>
      <c r="F1317" s="361"/>
      <c r="G1317" s="361"/>
      <c r="H1317" s="361"/>
      <c r="I1317" s="361"/>
      <c r="J1317" s="361"/>
      <c r="K1317" s="361"/>
      <c r="L1317" s="361"/>
      <c r="M1317" s="361"/>
      <c r="N1317" s="361"/>
      <c r="O1317" s="361"/>
      <c r="P1317" s="361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61"/>
      <c r="B1346" s="361"/>
      <c r="C1346" s="361"/>
      <c r="D1346" s="361"/>
      <c r="E1346" s="361"/>
      <c r="F1346" s="361"/>
      <c r="G1346" s="361"/>
      <c r="H1346" s="361"/>
      <c r="I1346" s="361"/>
      <c r="J1346" s="361"/>
      <c r="K1346" s="361"/>
      <c r="L1346" s="361"/>
      <c r="M1346" s="361"/>
      <c r="N1346" s="361"/>
      <c r="O1346" s="361"/>
      <c r="P1346" s="361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61"/>
      <c r="B1375" s="361"/>
      <c r="C1375" s="361"/>
      <c r="D1375" s="361"/>
      <c r="E1375" s="361"/>
      <c r="F1375" s="361"/>
      <c r="G1375" s="361"/>
      <c r="H1375" s="361"/>
      <c r="I1375" s="361"/>
      <c r="J1375" s="361"/>
      <c r="K1375" s="361"/>
      <c r="L1375" s="361"/>
      <c r="M1375" s="361"/>
      <c r="N1375" s="361"/>
      <c r="O1375" s="361"/>
      <c r="P1375" s="361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61"/>
      <c r="B1404" s="361"/>
      <c r="C1404" s="361"/>
      <c r="D1404" s="361"/>
      <c r="E1404" s="361"/>
      <c r="F1404" s="361"/>
      <c r="G1404" s="361"/>
      <c r="H1404" s="361"/>
      <c r="I1404" s="361"/>
      <c r="J1404" s="361"/>
      <c r="K1404" s="361"/>
      <c r="L1404" s="361"/>
      <c r="M1404" s="361"/>
      <c r="N1404" s="361"/>
      <c r="O1404" s="361"/>
      <c r="P1404" s="361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61"/>
      <c r="B1433" s="361"/>
      <c r="C1433" s="361"/>
      <c r="D1433" s="361"/>
      <c r="E1433" s="361"/>
      <c r="F1433" s="361"/>
      <c r="G1433" s="361"/>
      <c r="H1433" s="361"/>
      <c r="I1433" s="361"/>
      <c r="J1433" s="361"/>
      <c r="K1433" s="361"/>
      <c r="L1433" s="361"/>
      <c r="M1433" s="361"/>
      <c r="N1433" s="361"/>
      <c r="O1433" s="361"/>
      <c r="P1433" s="361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mergeCells count="102">
    <mergeCell ref="A12:K12"/>
    <mergeCell ref="L12:P12"/>
    <mergeCell ref="A41:K41"/>
    <mergeCell ref="L41:P41"/>
    <mergeCell ref="A70:K70"/>
    <mergeCell ref="L70:P70"/>
    <mergeCell ref="A157:K157"/>
    <mergeCell ref="L157:P157"/>
    <mergeCell ref="A186:K186"/>
    <mergeCell ref="L186:P186"/>
    <mergeCell ref="A215:K215"/>
    <mergeCell ref="L215:P215"/>
    <mergeCell ref="AJ80:AT80"/>
    <mergeCell ref="AU80:AY80"/>
    <mergeCell ref="A99:K99"/>
    <mergeCell ref="L99:P99"/>
    <mergeCell ref="A128:K128"/>
    <mergeCell ref="L128:P128"/>
    <mergeCell ref="A331:K331"/>
    <mergeCell ref="L331:P331"/>
    <mergeCell ref="A360:K360"/>
    <mergeCell ref="L360:P360"/>
    <mergeCell ref="A389:K389"/>
    <mergeCell ref="L389:P389"/>
    <mergeCell ref="A244:K244"/>
    <mergeCell ref="L244:P244"/>
    <mergeCell ref="A273:K273"/>
    <mergeCell ref="L273:P273"/>
    <mergeCell ref="A302:K302"/>
    <mergeCell ref="L302:P302"/>
    <mergeCell ref="A505:K505"/>
    <mergeCell ref="L505:P505"/>
    <mergeCell ref="A534:K534"/>
    <mergeCell ref="L534:P534"/>
    <mergeCell ref="A563:K563"/>
    <mergeCell ref="L563:P563"/>
    <mergeCell ref="A418:K418"/>
    <mergeCell ref="L418:P418"/>
    <mergeCell ref="A447:K447"/>
    <mergeCell ref="L447:P447"/>
    <mergeCell ref="A476:K476"/>
    <mergeCell ref="L476:P476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58FF3-CC9D-46BD-9B20-A173A0D8F060}">
  <dimension ref="B1:L612"/>
  <sheetViews>
    <sheetView topLeftCell="A28" zoomScale="85" zoomScaleNormal="85" workbookViewId="0">
      <selection activeCell="L38" sqref="L38"/>
    </sheetView>
  </sheetViews>
  <sheetFormatPr baseColWidth="10" defaultRowHeight="14.4" x14ac:dyDescent="0.3"/>
  <cols>
    <col min="1" max="1" width="7.21875" bestFit="1" customWidth="1"/>
    <col min="2" max="2" width="15" bestFit="1" customWidth="1"/>
    <col min="10" max="10" width="12.6640625" bestFit="1" customWidth="1"/>
    <col min="11" max="11" width="13" customWidth="1"/>
  </cols>
  <sheetData>
    <row r="1" spans="2:12" x14ac:dyDescent="0.3">
      <c r="J1" s="131" t="s">
        <v>528</v>
      </c>
      <c r="K1" s="138">
        <v>199190</v>
      </c>
      <c r="L1" s="16"/>
    </row>
    <row r="2" spans="2:12" x14ac:dyDescent="0.3">
      <c r="J2" s="131" t="s">
        <v>535</v>
      </c>
      <c r="K2" s="138">
        <f>22056*1.005</f>
        <v>22166.28</v>
      </c>
    </row>
    <row r="3" spans="2:12" x14ac:dyDescent="0.3">
      <c r="D3" t="s">
        <v>3</v>
      </c>
      <c r="E3" t="s">
        <v>4</v>
      </c>
      <c r="F3" t="s">
        <v>5</v>
      </c>
      <c r="G3" t="s">
        <v>6</v>
      </c>
      <c r="H3" t="s">
        <v>7</v>
      </c>
      <c r="J3" s="131" t="s">
        <v>417</v>
      </c>
      <c r="K3" s="138">
        <v>43418.09</v>
      </c>
    </row>
    <row r="4" spans="2:12" x14ac:dyDescent="0.3">
      <c r="D4" t="s">
        <v>468</v>
      </c>
      <c r="E4" t="s">
        <v>469</v>
      </c>
      <c r="F4" t="s">
        <v>470</v>
      </c>
      <c r="G4" t="s">
        <v>471</v>
      </c>
      <c r="H4" t="s">
        <v>472</v>
      </c>
      <c r="J4" s="131" t="s">
        <v>536</v>
      </c>
      <c r="K4" s="138">
        <v>1861.55</v>
      </c>
    </row>
    <row r="5" spans="2:12" x14ac:dyDescent="0.3">
      <c r="B5" s="118" t="s">
        <v>375</v>
      </c>
      <c r="C5" s="8">
        <v>20</v>
      </c>
      <c r="D5" s="90" t="s">
        <v>524</v>
      </c>
      <c r="E5" s="91" t="s">
        <v>523</v>
      </c>
      <c r="F5" s="92" t="s">
        <v>525</v>
      </c>
      <c r="G5" s="124" t="s">
        <v>526</v>
      </c>
      <c r="H5" s="123" t="s">
        <v>527</v>
      </c>
      <c r="I5" s="212" t="s">
        <v>529</v>
      </c>
    </row>
    <row r="6" spans="2:12" x14ac:dyDescent="0.3">
      <c r="B6" s="106" t="s">
        <v>392</v>
      </c>
      <c r="C6" s="107" t="s">
        <v>28</v>
      </c>
      <c r="D6" s="108">
        <f>'77_Seeds'!AL109</f>
        <v>1.568604219153279</v>
      </c>
      <c r="E6" s="108">
        <f>'77_Seeds'!AM109</f>
        <v>9.7473524778686045</v>
      </c>
      <c r="F6" s="108">
        <f>'77_Seeds'!AN109</f>
        <v>41.747326487867909</v>
      </c>
      <c r="G6" s="108">
        <f>'77_Seeds'!AO109</f>
        <v>29.531860515800762</v>
      </c>
      <c r="H6" s="108">
        <f>'77_Seeds'!AP109</f>
        <v>17.404856299309444</v>
      </c>
      <c r="I6" s="111"/>
      <c r="J6" s="232" t="s">
        <v>77</v>
      </c>
      <c r="K6" s="233">
        <f>'77_Seeds'!AS109</f>
        <v>0.90566080639610325</v>
      </c>
      <c r="L6" s="119">
        <v>1977</v>
      </c>
    </row>
    <row r="7" spans="2:12" x14ac:dyDescent="0.3">
      <c r="B7" s="107"/>
      <c r="C7" s="109" t="s">
        <v>39</v>
      </c>
      <c r="D7" s="110">
        <f>'77_Seeds'!AL110</f>
        <v>0</v>
      </c>
      <c r="E7" s="110">
        <f>'77_Seeds'!AM110</f>
        <v>0.28133519793288403</v>
      </c>
      <c r="F7" s="110">
        <f>'77_Seeds'!AN110</f>
        <v>0.34497304725831718</v>
      </c>
      <c r="G7" s="110">
        <f>'77_Seeds'!AO110</f>
        <v>0.57299359948929673</v>
      </c>
      <c r="H7" s="110">
        <f>'77_Seeds'!AP110</f>
        <v>0.5590034644150319</v>
      </c>
      <c r="I7" s="111"/>
      <c r="J7" s="232" t="s">
        <v>29</v>
      </c>
      <c r="K7" s="233">
        <f>'77_Seeds'!AS110</f>
        <v>6.4183019921026973E-3</v>
      </c>
      <c r="L7" s="119">
        <v>1988</v>
      </c>
    </row>
    <row r="8" spans="2:12" x14ac:dyDescent="0.3">
      <c r="B8" s="107"/>
      <c r="C8" s="107" t="s">
        <v>30</v>
      </c>
      <c r="D8" s="108">
        <f>'77_Seeds'!AL111</f>
        <v>100</v>
      </c>
      <c r="E8" s="108">
        <f>'77_Seeds'!AM111</f>
        <v>84.532221426595456</v>
      </c>
      <c r="F8" s="108">
        <f>'77_Seeds'!AN111</f>
        <v>97.383260553767045</v>
      </c>
      <c r="G8" s="108">
        <f>'77_Seeds'!AO111</f>
        <v>89.665278305413196</v>
      </c>
      <c r="H8" s="108">
        <f>'77_Seeds'!AP111</f>
        <v>78.271776326033319</v>
      </c>
      <c r="I8" s="111"/>
      <c r="J8" s="111"/>
      <c r="K8" s="111"/>
      <c r="L8" s="119" t="s">
        <v>397</v>
      </c>
    </row>
    <row r="9" spans="2:12" x14ac:dyDescent="0.3">
      <c r="B9" s="107"/>
      <c r="C9" s="109" t="s">
        <v>39</v>
      </c>
      <c r="D9" s="110">
        <f>'77_Seeds'!AL112</f>
        <v>0</v>
      </c>
      <c r="E9" s="110">
        <f>'77_Seeds'!AM112</f>
        <v>3.4602129973897178</v>
      </c>
      <c r="F9" s="110">
        <f>'77_Seeds'!AN112</f>
        <v>0.6500485800386161</v>
      </c>
      <c r="G9" s="110">
        <f>'77_Seeds'!AO112</f>
        <v>1.8837822882175099</v>
      </c>
      <c r="H9" s="110">
        <f>'77_Seeds'!AP112</f>
        <v>5.3359983030271971</v>
      </c>
      <c r="I9" s="111"/>
      <c r="J9" s="111"/>
      <c r="K9" s="111"/>
      <c r="L9" s="119" t="s">
        <v>401</v>
      </c>
    </row>
    <row r="10" spans="2:12" x14ac:dyDescent="0.3">
      <c r="B10" s="107"/>
      <c r="C10" s="111" t="s">
        <v>31</v>
      </c>
      <c r="D10" s="112">
        <f>'77_Seeds'!AL113</f>
        <v>100</v>
      </c>
      <c r="E10" s="112">
        <f>'77_Seeds'!AM113</f>
        <v>95.652173913043484</v>
      </c>
      <c r="F10" s="112">
        <f>'77_Seeds'!AN113</f>
        <v>95.298672566371707</v>
      </c>
      <c r="G10" s="112">
        <f>'77_Seeds'!AO113</f>
        <v>86.370597243491574</v>
      </c>
      <c r="H10" s="112">
        <f>'77_Seeds'!AP113</f>
        <v>82.572614107883808</v>
      </c>
      <c r="I10" s="111"/>
      <c r="J10" s="111"/>
      <c r="K10" s="111"/>
      <c r="L10" s="119" t="s">
        <v>405</v>
      </c>
    </row>
    <row r="11" spans="2:12" x14ac:dyDescent="0.3">
      <c r="B11" s="107"/>
      <c r="C11" s="113" t="s">
        <v>39</v>
      </c>
      <c r="D11" s="114">
        <f>'77_Seeds'!AL114</f>
        <v>0</v>
      </c>
      <c r="E11" s="114">
        <f>'77_Seeds'!AM114</f>
        <v>2.1377790082367012</v>
      </c>
      <c r="F11" s="114">
        <f>'77_Seeds'!AN114</f>
        <v>0.49793723016302543</v>
      </c>
      <c r="G11" s="114">
        <f>'77_Seeds'!AO114</f>
        <v>1.3436853315309185</v>
      </c>
      <c r="H11" s="114">
        <f>'77_Seeds'!AP114</f>
        <v>2.4486601865262365</v>
      </c>
      <c r="I11" s="107"/>
      <c r="J11" s="107"/>
      <c r="K11" s="107"/>
      <c r="L11" s="119" t="s">
        <v>429</v>
      </c>
    </row>
    <row r="12" spans="2:12" x14ac:dyDescent="0.3">
      <c r="B12" s="107"/>
      <c r="C12" s="109" t="s">
        <v>56</v>
      </c>
      <c r="D12" s="110">
        <f>'77_Seeds'!AL115</f>
        <v>100</v>
      </c>
      <c r="E12" s="110">
        <f>'77_Seeds'!AM115</f>
        <v>75.213675213675231</v>
      </c>
      <c r="F12" s="110">
        <f>'77_Seeds'!AN115</f>
        <v>97.125140924464475</v>
      </c>
      <c r="G12" s="110">
        <f>'77_Seeds'!AO115</f>
        <v>88.401253918495286</v>
      </c>
      <c r="H12" s="110">
        <f>'77_Seeds'!AP115</f>
        <v>75.094339622641513</v>
      </c>
      <c r="I12" s="107"/>
      <c r="J12" s="107"/>
      <c r="K12" s="107"/>
      <c r="L12" s="119" t="s">
        <v>437</v>
      </c>
    </row>
    <row r="13" spans="2:12" x14ac:dyDescent="0.3">
      <c r="B13" s="115" t="s">
        <v>409</v>
      </c>
      <c r="C13" s="107" t="s">
        <v>9</v>
      </c>
      <c r="D13" s="116">
        <f>'77_Seeds'!AL116</f>
        <v>3023.82</v>
      </c>
      <c r="E13" s="116">
        <f>'77_Seeds'!AM116</f>
        <v>16605.68</v>
      </c>
      <c r="F13" s="116">
        <f>'77_Seeds'!AN116</f>
        <v>82237.27</v>
      </c>
      <c r="G13" s="116">
        <f>'77_Seeds'!AO116</f>
        <v>59100.58</v>
      </c>
      <c r="H13" s="116">
        <f>'77_Seeds'!AP116</f>
        <v>31804.03</v>
      </c>
      <c r="I13" s="144">
        <f>$K$1-K13</f>
        <v>6418.6199999999953</v>
      </c>
      <c r="J13" s="115" t="s">
        <v>36</v>
      </c>
      <c r="K13" s="111">
        <f>SUM(D13:H13)</f>
        <v>192771.38</v>
      </c>
      <c r="L13" s="119" t="s">
        <v>530</v>
      </c>
    </row>
    <row r="14" spans="2:12" x14ac:dyDescent="0.3">
      <c r="B14" s="115" t="s">
        <v>378</v>
      </c>
      <c r="C14" s="107" t="s">
        <v>467</v>
      </c>
      <c r="D14" s="108">
        <f>'77_Seeds'!AL117</f>
        <v>3023.82</v>
      </c>
      <c r="E14" s="108">
        <f>'77_Seeds'!AM117</f>
        <v>18790.105885051504</v>
      </c>
      <c r="F14" s="108">
        <f>'77_Seeds'!AN117</f>
        <v>80476.897383768504</v>
      </c>
      <c r="G14" s="108">
        <f>'77_Seeds'!AO117</f>
        <v>56928.975055984251</v>
      </c>
      <c r="H14" s="108">
        <f>'77_Seeds'!AP117</f>
        <v>33551.581675195746</v>
      </c>
      <c r="I14" s="144">
        <f>$K$1-K14</f>
        <v>6418.6199999999953</v>
      </c>
      <c r="J14" s="115" t="s">
        <v>36</v>
      </c>
      <c r="K14" s="111">
        <f>SUM(D14:H14)</f>
        <v>192771.38</v>
      </c>
      <c r="L14" s="119" t="s">
        <v>531</v>
      </c>
    </row>
    <row r="15" spans="2:12" x14ac:dyDescent="0.3">
      <c r="B15" s="115"/>
      <c r="C15" s="107" t="s">
        <v>533</v>
      </c>
      <c r="D15" s="147">
        <f t="shared" ref="D15:I15" si="0">D14/$K$1</f>
        <v>1.5180581354485669E-2</v>
      </c>
      <c r="E15" s="147">
        <f t="shared" si="0"/>
        <v>9.4332576359513545E-2</v>
      </c>
      <c r="F15" s="147">
        <f t="shared" si="0"/>
        <v>0.40402077104156087</v>
      </c>
      <c r="G15" s="147">
        <f t="shared" si="0"/>
        <v>0.28580237489825921</v>
      </c>
      <c r="H15" s="147">
        <f t="shared" si="0"/>
        <v>0.16844009074348987</v>
      </c>
      <c r="I15" s="147">
        <f t="shared" si="0"/>
        <v>3.2223605602690872E-2</v>
      </c>
      <c r="J15" s="145">
        <f>SUM(D15:I15)</f>
        <v>1</v>
      </c>
      <c r="K15" s="117"/>
      <c r="L15" s="119" t="s">
        <v>532</v>
      </c>
    </row>
    <row r="16" spans="2:12" x14ac:dyDescent="0.3">
      <c r="B16" s="107"/>
      <c r="C16" s="107" t="s">
        <v>377</v>
      </c>
      <c r="D16" s="108">
        <f>'77_Seeds'!AL118</f>
        <v>0</v>
      </c>
      <c r="E16" s="108">
        <f>'77_Seeds'!AM118</f>
        <v>542.33374348095208</v>
      </c>
      <c r="F16" s="108">
        <f>'77_Seeds'!AN118</f>
        <v>665.00930382791023</v>
      </c>
      <c r="G16" s="108">
        <f>'77_Seeds'!AO118</f>
        <v>1104.5676690471903</v>
      </c>
      <c r="H16" s="108">
        <f>'77_Seeds'!AP118</f>
        <v>1077.598692600666</v>
      </c>
      <c r="I16" s="107"/>
      <c r="J16" s="107"/>
      <c r="K16" s="107"/>
      <c r="L16" s="119" t="s">
        <v>461</v>
      </c>
    </row>
    <row r="17" spans="2:11" x14ac:dyDescent="0.3">
      <c r="B17" s="107"/>
      <c r="C17" s="148" t="s">
        <v>538</v>
      </c>
      <c r="D17" s="108">
        <f>1.96*D16</f>
        <v>0</v>
      </c>
      <c r="E17" s="108">
        <f>1.96*E16</f>
        <v>1062.9741372226661</v>
      </c>
      <c r="F17" s="108">
        <f>1.96*F16</f>
        <v>1303.418235502704</v>
      </c>
      <c r="G17" s="108">
        <f>1.96*G16</f>
        <v>2164.9526313324927</v>
      </c>
      <c r="H17" s="108">
        <f>1.96*H16</f>
        <v>2112.0934374973053</v>
      </c>
      <c r="I17" s="107"/>
      <c r="J17" s="107"/>
      <c r="K17" s="107"/>
    </row>
    <row r="18" spans="2:11" x14ac:dyDescent="0.3">
      <c r="B18" s="107"/>
      <c r="C18" s="148" t="s">
        <v>537</v>
      </c>
      <c r="D18" s="149">
        <f>D16/$K$1</f>
        <v>0</v>
      </c>
      <c r="E18" s="149">
        <f>E16/$K$1</f>
        <v>2.7226956347253983E-3</v>
      </c>
      <c r="F18" s="149">
        <f>F16/$K$1</f>
        <v>3.3385677183990674E-3</v>
      </c>
      <c r="G18" s="149">
        <f>G16/$K$1</f>
        <v>5.5452967972648738E-3</v>
      </c>
      <c r="H18" s="149">
        <f>H16/$K$1</f>
        <v>5.4099035724718414E-3</v>
      </c>
      <c r="I18" s="147"/>
      <c r="J18" s="107"/>
      <c r="K18" s="107"/>
    </row>
    <row r="19" spans="2:11" x14ac:dyDescent="0.3">
      <c r="B19" s="107"/>
      <c r="C19" s="129" t="s">
        <v>539</v>
      </c>
      <c r="D19" s="150">
        <f>1.96*D18</f>
        <v>0</v>
      </c>
      <c r="E19" s="150">
        <f>1.96*E18</f>
        <v>5.3364834440617808E-3</v>
      </c>
      <c r="F19" s="150">
        <f>1.96*F18</f>
        <v>6.5435927280621722E-3</v>
      </c>
      <c r="G19" s="150">
        <f>1.96*G18</f>
        <v>1.0868781722639153E-2</v>
      </c>
      <c r="H19" s="150">
        <f>1.96*H18</f>
        <v>1.0603411002044809E-2</v>
      </c>
      <c r="I19" s="107"/>
      <c r="J19" s="107"/>
      <c r="K19" s="107"/>
    </row>
    <row r="20" spans="2:11" x14ac:dyDescent="0.3">
      <c r="B20" s="115" t="s">
        <v>410</v>
      </c>
      <c r="C20" s="122" t="s">
        <v>9</v>
      </c>
      <c r="D20" s="136">
        <f>'77_Seeds'!AL119</f>
        <v>3006.0064999999995</v>
      </c>
      <c r="E20" s="136">
        <f>'77_Seeds'!AM119</f>
        <v>16398.723000000002</v>
      </c>
      <c r="F20" s="136">
        <f>'77_Seeds'!AN119</f>
        <v>82480.828500000018</v>
      </c>
      <c r="G20" s="136">
        <f>'77_Seeds'!AO119</f>
        <v>59105.118500000004</v>
      </c>
      <c r="H20" s="136">
        <f>'77_Seeds'!AP119</f>
        <v>31780.710500000005</v>
      </c>
      <c r="I20" s="107"/>
      <c r="J20" s="115" t="s">
        <v>36</v>
      </c>
      <c r="K20" s="137">
        <f>SUM(D20:H20)</f>
        <v>192771.38700000005</v>
      </c>
    </row>
    <row r="21" spans="2:11" x14ac:dyDescent="0.3">
      <c r="B21" s="107"/>
      <c r="C21" s="148" t="s">
        <v>394</v>
      </c>
      <c r="D21" s="108">
        <f>'77_Seeds'!AL120</f>
        <v>7.6137179960702719</v>
      </c>
      <c r="E21" s="108">
        <f>'77_Seeds'!AM120</f>
        <v>107.93240630647149</v>
      </c>
      <c r="F21" s="108">
        <f>'77_Seeds'!AN120</f>
        <v>181.41292854653153</v>
      </c>
      <c r="G21" s="108">
        <f>'77_Seeds'!AO120</f>
        <v>192.5308376137445</v>
      </c>
      <c r="H21" s="108">
        <f>'77_Seeds'!AP120</f>
        <v>124.37985620559179</v>
      </c>
      <c r="I21" s="107"/>
      <c r="J21" s="107"/>
      <c r="K21" s="107"/>
    </row>
    <row r="22" spans="2:11" x14ac:dyDescent="0.3">
      <c r="B22" s="107"/>
      <c r="C22" s="148" t="s">
        <v>538</v>
      </c>
      <c r="D22" s="108">
        <f>1.96*D21</f>
        <v>14.922887272297732</v>
      </c>
      <c r="E22" s="108">
        <f>1.96*E21</f>
        <v>211.54751636068411</v>
      </c>
      <c r="F22" s="108">
        <f>1.96*F21</f>
        <v>355.56933995120181</v>
      </c>
      <c r="G22" s="108">
        <f>1.96*G21</f>
        <v>377.36044172293919</v>
      </c>
      <c r="H22" s="108">
        <f>1.96*H21</f>
        <v>243.7845181629599</v>
      </c>
      <c r="I22" s="107"/>
      <c r="J22" s="107"/>
      <c r="K22" s="107"/>
    </row>
    <row r="23" spans="2:11" x14ac:dyDescent="0.3">
      <c r="B23" s="107"/>
      <c r="C23" s="148" t="s">
        <v>537</v>
      </c>
      <c r="D23" s="149">
        <f>D21/$K$1</f>
        <v>3.8223394729003827E-5</v>
      </c>
      <c r="E23" s="149">
        <f>E21/$K$1</f>
        <v>5.4185655056213414E-4</v>
      </c>
      <c r="F23" s="149">
        <f>F21/$K$1</f>
        <v>9.1075319316497581E-4</v>
      </c>
      <c r="G23" s="149">
        <f>G21/$K$1</f>
        <v>9.6656879167500626E-4</v>
      </c>
      <c r="H23" s="149">
        <f>H21/$K$1</f>
        <v>6.2442821529992362E-4</v>
      </c>
      <c r="I23" s="107"/>
      <c r="J23" s="107"/>
      <c r="K23" s="107"/>
    </row>
    <row r="24" spans="2:11" x14ac:dyDescent="0.3">
      <c r="B24" s="107"/>
      <c r="C24" s="129" t="s">
        <v>539</v>
      </c>
      <c r="D24" s="150">
        <f>1.96*D23</f>
        <v>7.4917853668847499E-5</v>
      </c>
      <c r="E24" s="150">
        <f>1.96*E23</f>
        <v>1.0620388391017828E-3</v>
      </c>
      <c r="F24" s="150">
        <f>1.96*F23</f>
        <v>1.7850762586033525E-3</v>
      </c>
      <c r="G24" s="150">
        <f>1.96*G23</f>
        <v>1.8944748316830123E-3</v>
      </c>
      <c r="H24" s="150">
        <f>1.96*H23</f>
        <v>1.2238793019878503E-3</v>
      </c>
      <c r="I24" s="107"/>
      <c r="J24" s="107"/>
      <c r="K24" s="107"/>
    </row>
    <row r="25" spans="2:11" x14ac:dyDescent="0.3">
      <c r="B25" s="119" t="s">
        <v>393</v>
      </c>
      <c r="C25" s="107"/>
      <c r="D25" s="116"/>
      <c r="E25" s="116"/>
      <c r="F25" s="116"/>
      <c r="G25" s="116"/>
      <c r="H25" s="116"/>
      <c r="I25" s="107"/>
      <c r="J25" s="107"/>
      <c r="K25" s="107"/>
    </row>
    <row r="26" spans="2:11" x14ac:dyDescent="0.3">
      <c r="B26" s="115" t="s">
        <v>409</v>
      </c>
      <c r="C26" s="122" t="s">
        <v>9</v>
      </c>
      <c r="D26" s="136">
        <f>'77_Seeds'!AL122</f>
        <v>273.33</v>
      </c>
      <c r="E26" s="136">
        <f>'77_Seeds'!AM122</f>
        <v>944.96</v>
      </c>
      <c r="F26" s="136">
        <f>'77_Seeds'!AN122</f>
        <v>13685.26</v>
      </c>
      <c r="G26" s="136">
        <f>'77_Seeds'!AO122</f>
        <v>3857.87</v>
      </c>
      <c r="H26" s="136">
        <f>'77_Seeds'!AP122</f>
        <v>3293.95</v>
      </c>
      <c r="I26" s="108">
        <f>$K$2-K26</f>
        <v>110.90999999999985</v>
      </c>
      <c r="J26" s="115" t="s">
        <v>36</v>
      </c>
      <c r="K26" s="137">
        <f t="shared" ref="K26:K28" si="1">SUM(D26:H26)</f>
        <v>22055.37</v>
      </c>
    </row>
    <row r="27" spans="2:11" x14ac:dyDescent="0.3">
      <c r="B27" s="107"/>
      <c r="C27" s="107" t="s">
        <v>533</v>
      </c>
      <c r="D27" s="146">
        <f t="shared" ref="D27:I27" si="2">D26/$K$2</f>
        <v>1.2330891786984554E-2</v>
      </c>
      <c r="E27" s="146">
        <f t="shared" si="2"/>
        <v>4.2630518066179804E-2</v>
      </c>
      <c r="F27" s="146">
        <f t="shared" si="2"/>
        <v>0.61739091990176076</v>
      </c>
      <c r="G27" s="146">
        <f t="shared" si="2"/>
        <v>0.17404228404585703</v>
      </c>
      <c r="H27" s="146">
        <f t="shared" si="2"/>
        <v>0.14860184027270251</v>
      </c>
      <c r="I27" s="146">
        <f t="shared" si="2"/>
        <v>5.0035459265154033E-3</v>
      </c>
      <c r="J27" s="145">
        <f>SUM(D27:I27)</f>
        <v>1</v>
      </c>
      <c r="K27" s="107"/>
    </row>
    <row r="28" spans="2:11" x14ac:dyDescent="0.3">
      <c r="B28" s="115" t="s">
        <v>410</v>
      </c>
      <c r="C28" s="122" t="s">
        <v>9</v>
      </c>
      <c r="D28" s="136">
        <f>'77_Seeds'!AL124</f>
        <v>272.59649999999999</v>
      </c>
      <c r="E28" s="136">
        <f>'77_Seeds'!AM124</f>
        <v>950.7355</v>
      </c>
      <c r="F28" s="136">
        <f>'77_Seeds'!AN124</f>
        <v>13627.662500000002</v>
      </c>
      <c r="G28" s="136">
        <f>'77_Seeds'!AO124</f>
        <v>3901.4925000000003</v>
      </c>
      <c r="H28" s="136">
        <f>'77_Seeds'!AP124</f>
        <v>3302.8789999999995</v>
      </c>
      <c r="I28" s="108">
        <f>$K$2-K28</f>
        <v>110.91399999999703</v>
      </c>
      <c r="J28" s="115" t="s">
        <v>36</v>
      </c>
      <c r="K28" s="137">
        <f t="shared" si="1"/>
        <v>22055.366000000002</v>
      </c>
    </row>
    <row r="29" spans="2:11" x14ac:dyDescent="0.3">
      <c r="B29" s="115"/>
      <c r="C29" s="141" t="s">
        <v>533</v>
      </c>
      <c r="D29" s="151">
        <f t="shared" ref="D29:I29" si="3">D28/$K$2</f>
        <v>1.2297800984197619E-2</v>
      </c>
      <c r="E29" s="151">
        <f t="shared" si="3"/>
        <v>4.2891071483352194E-2</v>
      </c>
      <c r="F29" s="151">
        <f t="shared" si="3"/>
        <v>0.61479249111713841</v>
      </c>
      <c r="G29" s="151">
        <f t="shared" si="3"/>
        <v>0.1760102507051251</v>
      </c>
      <c r="H29" s="151">
        <f t="shared" si="3"/>
        <v>0.1490046593293958</v>
      </c>
      <c r="I29" s="147">
        <f t="shared" si="3"/>
        <v>5.0037263807908693E-3</v>
      </c>
      <c r="J29" s="145">
        <f>SUM(D29:I29)</f>
        <v>0.99999999999999989</v>
      </c>
      <c r="K29" s="137"/>
    </row>
    <row r="30" spans="2:11" x14ac:dyDescent="0.3">
      <c r="B30" s="107"/>
      <c r="C30" s="148" t="s">
        <v>394</v>
      </c>
      <c r="D30" s="136">
        <f>'77_Seeds'!AL125</f>
        <v>0.90813814014110672</v>
      </c>
      <c r="E30" s="136">
        <f>'77_Seeds'!AM125</f>
        <v>5.8963895052284681</v>
      </c>
      <c r="F30" s="136">
        <f>'77_Seeds'!AN125</f>
        <v>30.282641344115163</v>
      </c>
      <c r="G30" s="136">
        <f>'77_Seeds'!AO125</f>
        <v>27.701686390571599</v>
      </c>
      <c r="H30" s="136">
        <f>'77_Seeds'!AP125</f>
        <v>14.390609491133992</v>
      </c>
      <c r="I30" s="107"/>
      <c r="J30" s="107"/>
      <c r="K30" s="107"/>
    </row>
    <row r="31" spans="2:11" x14ac:dyDescent="0.3">
      <c r="B31" s="107"/>
      <c r="C31" s="148" t="s">
        <v>538</v>
      </c>
      <c r="D31" s="108">
        <f>1.96*D30</f>
        <v>1.7799507546765692</v>
      </c>
      <c r="E31" s="108">
        <f>1.96*E30</f>
        <v>11.556923430247798</v>
      </c>
      <c r="F31" s="108">
        <f>1.96*F30</f>
        <v>59.353977034465721</v>
      </c>
      <c r="G31" s="108">
        <f>1.96*G30</f>
        <v>54.295305325520332</v>
      </c>
      <c r="H31" s="108">
        <f>1.96*H30</f>
        <v>28.205594602622622</v>
      </c>
      <c r="I31" s="107"/>
      <c r="J31" s="107"/>
      <c r="K31" s="107"/>
    </row>
    <row r="32" spans="2:11" x14ac:dyDescent="0.3">
      <c r="B32" s="107"/>
      <c r="C32" s="148" t="s">
        <v>537</v>
      </c>
      <c r="D32" s="149">
        <f>D30/$K$2</f>
        <v>4.0969352554470427E-5</v>
      </c>
      <c r="E32" s="149">
        <f>E30/$K$2</f>
        <v>2.660071741956011E-4</v>
      </c>
      <c r="F32" s="149">
        <f>F30/$K$2</f>
        <v>1.3661580267016009E-3</v>
      </c>
      <c r="G32" s="149">
        <f>G30/$K$2</f>
        <v>1.2497219375813893E-3</v>
      </c>
      <c r="H32" s="149">
        <f>H30/$K$2</f>
        <v>6.4921175276744648E-4</v>
      </c>
      <c r="I32" s="149"/>
      <c r="J32" s="107"/>
      <c r="K32" s="107"/>
    </row>
    <row r="33" spans="2:11" x14ac:dyDescent="0.3">
      <c r="B33" s="141"/>
      <c r="C33" s="129" t="s">
        <v>539</v>
      </c>
      <c r="D33" s="150">
        <f>1.96*D32</f>
        <v>8.0299931006762038E-5</v>
      </c>
      <c r="E33" s="150">
        <f>1.96*E32</f>
        <v>5.2137406142337812E-4</v>
      </c>
      <c r="F33" s="150">
        <f>1.96*F32</f>
        <v>2.6776697323351376E-3</v>
      </c>
      <c r="G33" s="150">
        <f>1.96*G32</f>
        <v>2.4494549976595229E-3</v>
      </c>
      <c r="H33" s="150">
        <f>1.96*H32</f>
        <v>1.2724550354241951E-3</v>
      </c>
      <c r="I33" s="107"/>
      <c r="J33" s="107"/>
      <c r="K33" s="107"/>
    </row>
    <row r="34" spans="2:11" x14ac:dyDescent="0.3">
      <c r="B34" s="119" t="s">
        <v>413</v>
      </c>
      <c r="C34" s="107"/>
      <c r="D34" s="116"/>
      <c r="E34" s="116"/>
      <c r="F34" s="116"/>
      <c r="G34" s="116"/>
      <c r="H34" s="116"/>
      <c r="I34" s="107"/>
      <c r="J34" s="107"/>
      <c r="K34" s="107"/>
    </row>
    <row r="35" spans="2:11" x14ac:dyDescent="0.3">
      <c r="B35" s="115" t="s">
        <v>409</v>
      </c>
      <c r="C35" s="122" t="s">
        <v>9</v>
      </c>
      <c r="D35" s="136">
        <f>'77_Seeds'!AL127</f>
        <v>259.14999999999998</v>
      </c>
      <c r="E35" s="136">
        <f>'77_Seeds'!AM127</f>
        <v>66.38</v>
      </c>
      <c r="F35" s="136">
        <f>'77_Seeds'!AN127</f>
        <v>9890.15</v>
      </c>
      <c r="G35" s="136">
        <f>'77_Seeds'!AO127</f>
        <v>18503.009999999998</v>
      </c>
      <c r="H35" s="136">
        <f>'77_Seeds'!AP127</f>
        <v>14506.12</v>
      </c>
      <c r="I35" s="108">
        <f>$K$3-K35</f>
        <v>193.27999999999884</v>
      </c>
      <c r="J35" s="115" t="s">
        <v>36</v>
      </c>
      <c r="K35" s="137">
        <f t="shared" ref="K35" si="4">SUM(D35:H35)</f>
        <v>43224.81</v>
      </c>
    </row>
    <row r="36" spans="2:11" x14ac:dyDescent="0.3">
      <c r="B36" s="107"/>
      <c r="C36" s="107" t="s">
        <v>533</v>
      </c>
      <c r="D36" s="146">
        <f t="shared" ref="D36:I36" si="5">D35/$K$3</f>
        <v>5.9687102772139448E-3</v>
      </c>
      <c r="E36" s="146">
        <f t="shared" si="5"/>
        <v>1.528855829448048E-3</v>
      </c>
      <c r="F36" s="146">
        <f t="shared" si="5"/>
        <v>0.2277886936067432</v>
      </c>
      <c r="G36" s="146">
        <f t="shared" si="5"/>
        <v>0.426159004230725</v>
      </c>
      <c r="H36" s="146">
        <f t="shared" si="5"/>
        <v>0.33410313535210789</v>
      </c>
      <c r="I36" s="146">
        <f t="shared" si="5"/>
        <v>4.4516007037619307E-3</v>
      </c>
      <c r="J36" s="145">
        <f>SUM(D36:I36)</f>
        <v>1</v>
      </c>
      <c r="K36" s="107"/>
    </row>
    <row r="37" spans="2:11" x14ac:dyDescent="0.3">
      <c r="B37" s="115" t="s">
        <v>410</v>
      </c>
      <c r="C37" s="122" t="s">
        <v>9</v>
      </c>
      <c r="D37" s="136">
        <f>'77_Seeds'!AL129</f>
        <v>253.65250000000006</v>
      </c>
      <c r="E37" s="136">
        <f>'77_Seeds'!AM129</f>
        <v>81.317000000000021</v>
      </c>
      <c r="F37" s="136">
        <f>'77_Seeds'!AN129</f>
        <v>9886.5280000000002</v>
      </c>
      <c r="G37" s="136">
        <f>'77_Seeds'!AO129</f>
        <v>18577.997499999994</v>
      </c>
      <c r="H37" s="136">
        <f>'77_Seeds'!AP129</f>
        <v>14425.309999999998</v>
      </c>
      <c r="I37" s="108">
        <f>$K$3-K37</f>
        <v>193.28500000000349</v>
      </c>
      <c r="J37" s="115" t="s">
        <v>36</v>
      </c>
      <c r="K37" s="137">
        <f t="shared" ref="K37" si="6">SUM(D37:H37)</f>
        <v>43224.804999999993</v>
      </c>
    </row>
    <row r="38" spans="2:11" x14ac:dyDescent="0.3">
      <c r="B38" s="115"/>
      <c r="C38" s="141" t="s">
        <v>533</v>
      </c>
      <c r="D38" s="151">
        <f t="shared" ref="D38:I38" si="7">D37/$K$3</f>
        <v>5.8420925471387632E-3</v>
      </c>
      <c r="E38" s="151">
        <f t="shared" si="7"/>
        <v>1.8728829388856127E-3</v>
      </c>
      <c r="F38" s="151">
        <f t="shared" si="7"/>
        <v>0.22770527215729666</v>
      </c>
      <c r="G38" s="151">
        <f t="shared" si="7"/>
        <v>0.4278861069199496</v>
      </c>
      <c r="H38" s="151">
        <f t="shared" si="7"/>
        <v>0.33224192957359477</v>
      </c>
      <c r="I38" s="147">
        <f t="shared" si="7"/>
        <v>4.4517158631345484E-3</v>
      </c>
      <c r="J38" s="145">
        <f>SUM(D38:I38)</f>
        <v>1</v>
      </c>
      <c r="K38" s="137"/>
    </row>
    <row r="39" spans="2:11" x14ac:dyDescent="0.3">
      <c r="B39" s="107"/>
      <c r="C39" s="148" t="s">
        <v>394</v>
      </c>
      <c r="D39" s="108">
        <f>'77_Seeds'!AL130</f>
        <v>4.1894248364812938</v>
      </c>
      <c r="E39" s="108">
        <f>'77_Seeds'!AM130</f>
        <v>2.8869136770861665</v>
      </c>
      <c r="F39" s="108">
        <f>'77_Seeds'!AN130</f>
        <v>45.511989719309412</v>
      </c>
      <c r="G39" s="108">
        <f>'77_Seeds'!AO130</f>
        <v>51.174386890498411</v>
      </c>
      <c r="H39" s="108">
        <f>'77_Seeds'!AP130</f>
        <v>37.408954416373568</v>
      </c>
      <c r="I39" s="107"/>
      <c r="J39" s="107"/>
      <c r="K39" s="107"/>
    </row>
    <row r="40" spans="2:11" x14ac:dyDescent="0.3">
      <c r="B40" s="107"/>
      <c r="C40" s="148" t="s">
        <v>538</v>
      </c>
      <c r="D40" s="108">
        <f>1.96*D39</f>
        <v>8.2112726795033364</v>
      </c>
      <c r="E40" s="108">
        <f>1.96*E39</f>
        <v>5.6583508070888859</v>
      </c>
      <c r="F40" s="108">
        <f>1.96*F39</f>
        <v>89.203499849846452</v>
      </c>
      <c r="G40" s="108">
        <f>1.96*G39</f>
        <v>100.30179830537688</v>
      </c>
      <c r="H40" s="108">
        <f>1.96*H39</f>
        <v>73.321550656092185</v>
      </c>
      <c r="I40" s="107"/>
      <c r="J40" s="107"/>
      <c r="K40" s="107"/>
    </row>
    <row r="41" spans="2:11" x14ac:dyDescent="0.3">
      <c r="B41" s="107"/>
      <c r="C41" s="148" t="s">
        <v>537</v>
      </c>
      <c r="D41" s="149">
        <f>D39/$K$3</f>
        <v>9.6490307069732779E-5</v>
      </c>
      <c r="E41" s="149">
        <f>E39/$K$3</f>
        <v>6.6491033508985921E-5</v>
      </c>
      <c r="F41" s="149">
        <f>F39/$K$3</f>
        <v>1.0482264355550742E-3</v>
      </c>
      <c r="G41" s="149">
        <f>G39/$K$3</f>
        <v>1.1786420565828301E-3</v>
      </c>
      <c r="H41" s="149">
        <f>H39/$K$3</f>
        <v>8.6159834337193482E-4</v>
      </c>
      <c r="I41" s="149"/>
      <c r="J41" s="107"/>
      <c r="K41" s="107"/>
    </row>
    <row r="42" spans="2:11" x14ac:dyDescent="0.3">
      <c r="B42" s="141"/>
      <c r="C42" s="129" t="s">
        <v>539</v>
      </c>
      <c r="D42" s="150">
        <f>1.96*D41</f>
        <v>1.8912100185667624E-4</v>
      </c>
      <c r="E42" s="150">
        <f>1.96*E41</f>
        <v>1.303224256776124E-4</v>
      </c>
      <c r="F42" s="150">
        <f>1.96*F41</f>
        <v>2.0545238136879455E-3</v>
      </c>
      <c r="G42" s="150">
        <f>1.96*G41</f>
        <v>2.310138430902347E-3</v>
      </c>
      <c r="H42" s="150">
        <f>1.96*H41</f>
        <v>1.6887327530089923E-3</v>
      </c>
      <c r="I42" s="107"/>
      <c r="J42" s="107"/>
      <c r="K42" s="107"/>
    </row>
    <row r="43" spans="2:11" x14ac:dyDescent="0.3">
      <c r="B43" s="119" t="s">
        <v>414</v>
      </c>
      <c r="C43" s="107"/>
      <c r="D43" s="116"/>
      <c r="E43" s="116"/>
      <c r="F43" s="116"/>
      <c r="G43" s="116"/>
      <c r="H43" s="116"/>
      <c r="I43" s="107"/>
      <c r="J43" s="107"/>
      <c r="K43" s="107"/>
    </row>
    <row r="44" spans="2:11" x14ac:dyDescent="0.3">
      <c r="B44" s="115" t="s">
        <v>409</v>
      </c>
      <c r="C44" s="122" t="s">
        <v>9</v>
      </c>
      <c r="D44" s="140">
        <f>'77_Seeds'!AL132</f>
        <v>0.26</v>
      </c>
      <c r="E44" s="136">
        <f>'77_Seeds'!AM132</f>
        <v>4.53</v>
      </c>
      <c r="F44" s="136">
        <f>'77_Seeds'!AN132</f>
        <v>921.5</v>
      </c>
      <c r="G44" s="136">
        <f>'77_Seeds'!AO132</f>
        <v>663.63</v>
      </c>
      <c r="H44" s="136">
        <f>'77_Seeds'!AP132</f>
        <v>261.73</v>
      </c>
      <c r="I44" s="108">
        <f>$K$4-K44</f>
        <v>9.8999999999998636</v>
      </c>
      <c r="J44" s="115" t="s">
        <v>36</v>
      </c>
      <c r="K44" s="137">
        <f t="shared" ref="K44" si="8">SUM(D44:H44)</f>
        <v>1851.65</v>
      </c>
    </row>
    <row r="45" spans="2:11" x14ac:dyDescent="0.3">
      <c r="B45" s="107"/>
      <c r="C45" s="141" t="s">
        <v>533</v>
      </c>
      <c r="D45" s="151">
        <f t="shared" ref="D45:I45" si="9">D44/$K$4</f>
        <v>1.3966855577341464E-4</v>
      </c>
      <c r="E45" s="151">
        <f t="shared" si="9"/>
        <v>2.433455990975263E-3</v>
      </c>
      <c r="F45" s="151">
        <f t="shared" si="9"/>
        <v>0.49501759286615993</v>
      </c>
      <c r="G45" s="151">
        <f t="shared" si="9"/>
        <v>0.35649324487658135</v>
      </c>
      <c r="H45" s="151">
        <f t="shared" si="9"/>
        <v>0.14059788885606081</v>
      </c>
      <c r="I45" s="147">
        <f t="shared" si="9"/>
        <v>5.3181488544491763E-3</v>
      </c>
      <c r="J45" s="145">
        <f>SUM(D45:I45)</f>
        <v>1</v>
      </c>
      <c r="K45" s="107"/>
    </row>
    <row r="46" spans="2:11" x14ac:dyDescent="0.3">
      <c r="B46" s="115" t="s">
        <v>410</v>
      </c>
      <c r="C46" s="122" t="s">
        <v>9</v>
      </c>
      <c r="D46" s="139">
        <f>'77_Seeds'!AL134</f>
        <v>0.14799999999999999</v>
      </c>
      <c r="E46" s="136">
        <f>'77_Seeds'!AM134</f>
        <v>4.7445000000000013</v>
      </c>
      <c r="F46" s="136">
        <f>'77_Seeds'!AN134</f>
        <v>914.08799999999997</v>
      </c>
      <c r="G46" s="136">
        <f>'77_Seeds'!AO134</f>
        <v>670.26400000000012</v>
      </c>
      <c r="H46" s="136">
        <f>'77_Seeds'!AP134</f>
        <v>262.39449999999999</v>
      </c>
      <c r="I46" s="108">
        <f>$K$4-K46</f>
        <v>9.9109999999998308</v>
      </c>
      <c r="J46" s="115" t="s">
        <v>36</v>
      </c>
      <c r="K46" s="137">
        <f t="shared" ref="K46" si="10">SUM(D46:H46)</f>
        <v>1851.6390000000001</v>
      </c>
    </row>
    <row r="47" spans="2:11" x14ac:dyDescent="0.3">
      <c r="B47" s="115"/>
      <c r="C47" s="141" t="s">
        <v>533</v>
      </c>
      <c r="D47" s="151">
        <f t="shared" ref="D47:I47" si="11">D46/$K$4</f>
        <v>7.9503639440251401E-5</v>
      </c>
      <c r="E47" s="151">
        <f t="shared" si="11"/>
        <v>2.5486825494883303E-3</v>
      </c>
      <c r="F47" s="151">
        <f t="shared" si="11"/>
        <v>0.49103596465311167</v>
      </c>
      <c r="G47" s="151">
        <f t="shared" si="11"/>
        <v>0.36005694179581538</v>
      </c>
      <c r="H47" s="151">
        <f t="shared" si="11"/>
        <v>0.14095484945341247</v>
      </c>
      <c r="I47" s="147">
        <f t="shared" si="11"/>
        <v>5.3240579087318798E-3</v>
      </c>
      <c r="J47" s="145">
        <f>SUM(D47:I47)</f>
        <v>1</v>
      </c>
      <c r="K47" s="137"/>
    </row>
    <row r="48" spans="2:11" x14ac:dyDescent="0.3">
      <c r="B48" s="107"/>
      <c r="C48" s="148" t="s">
        <v>394</v>
      </c>
      <c r="D48" s="108">
        <f>'77_Seeds'!AL135</f>
        <v>3.820719138701785E-2</v>
      </c>
      <c r="E48" s="108">
        <f>'77_Seeds'!AM135</f>
        <v>8.3683221609516023E-2</v>
      </c>
      <c r="F48" s="108">
        <f>'77_Seeds'!AN135</f>
        <v>3.3321035398078469</v>
      </c>
      <c r="G48" s="108">
        <f>'77_Seeds'!AO135</f>
        <v>3.2890591679880599</v>
      </c>
      <c r="H48" s="108">
        <f>'77_Seeds'!AP135</f>
        <v>1.3933370535289882</v>
      </c>
      <c r="I48" s="107"/>
      <c r="J48" s="107"/>
      <c r="K48" s="107"/>
    </row>
    <row r="49" spans="2:11" x14ac:dyDescent="0.3">
      <c r="B49" s="107"/>
      <c r="C49" s="148" t="s">
        <v>538</v>
      </c>
      <c r="D49" s="108">
        <f>1.96*D48</f>
        <v>7.4886095118554985E-2</v>
      </c>
      <c r="E49" s="108">
        <f>1.96*E48</f>
        <v>0.16401911435465141</v>
      </c>
      <c r="F49" s="108">
        <f>1.96*F48</f>
        <v>6.5309229380233802</v>
      </c>
      <c r="G49" s="108">
        <f>1.96*G48</f>
        <v>6.4465559692565968</v>
      </c>
      <c r="H49" s="108">
        <f>1.96*H48</f>
        <v>2.7309406249168169</v>
      </c>
      <c r="I49" s="107"/>
      <c r="J49" s="107"/>
      <c r="K49" s="107"/>
    </row>
    <row r="50" spans="2:11" x14ac:dyDescent="0.3">
      <c r="B50" s="107"/>
      <c r="C50" s="148" t="s">
        <v>537</v>
      </c>
      <c r="D50" s="149">
        <f>D48/$K$4</f>
        <v>2.0524397081473959E-5</v>
      </c>
      <c r="E50" s="149">
        <f>E48/$K$4</f>
        <v>4.4953518094875786E-5</v>
      </c>
      <c r="F50" s="149">
        <f>F48/$K$4</f>
        <v>1.7899618811247869E-3</v>
      </c>
      <c r="G50" s="149">
        <f>G48/$K$4</f>
        <v>1.7668390147930809E-3</v>
      </c>
      <c r="H50" s="149">
        <f>H48/$K$4</f>
        <v>7.4848220758453341E-4</v>
      </c>
      <c r="I50" s="149"/>
      <c r="J50" s="107"/>
      <c r="K50" s="107"/>
    </row>
    <row r="51" spans="2:11" x14ac:dyDescent="0.3">
      <c r="B51" s="107"/>
      <c r="C51" s="129" t="s">
        <v>539</v>
      </c>
      <c r="D51" s="150">
        <f>1.96*D50</f>
        <v>4.0227818279688962E-5</v>
      </c>
      <c r="E51" s="150">
        <f>1.96*E50</f>
        <v>8.8108895465956543E-5</v>
      </c>
      <c r="F51" s="150">
        <f>1.96*F50</f>
        <v>3.5083252870045825E-3</v>
      </c>
      <c r="G51" s="150">
        <f>1.96*G50</f>
        <v>3.4630044689944383E-3</v>
      </c>
      <c r="H51" s="150">
        <f>1.96*H50</f>
        <v>1.4670251268656855E-3</v>
      </c>
      <c r="I51" s="107"/>
      <c r="J51" s="107"/>
      <c r="K51" s="107"/>
    </row>
    <row r="52" spans="2:11" x14ac:dyDescent="0.3">
      <c r="D52" t="s">
        <v>473</v>
      </c>
      <c r="E52" t="s">
        <v>474</v>
      </c>
      <c r="F52" t="s">
        <v>475</v>
      </c>
      <c r="G52" t="s">
        <v>476</v>
      </c>
      <c r="H52" t="s">
        <v>477</v>
      </c>
    </row>
    <row r="53" spans="2:11" x14ac:dyDescent="0.3">
      <c r="B53" s="118" t="s">
        <v>375</v>
      </c>
      <c r="C53" s="8">
        <v>20</v>
      </c>
      <c r="D53" s="90" t="s">
        <v>524</v>
      </c>
      <c r="E53" s="91" t="s">
        <v>523</v>
      </c>
      <c r="F53" s="92" t="s">
        <v>525</v>
      </c>
      <c r="G53" s="124" t="s">
        <v>526</v>
      </c>
      <c r="H53" s="123" t="s">
        <v>527</v>
      </c>
      <c r="I53" s="212" t="s">
        <v>529</v>
      </c>
    </row>
    <row r="54" spans="2:11" x14ac:dyDescent="0.3">
      <c r="B54" s="106" t="s">
        <v>395</v>
      </c>
      <c r="C54" s="107" t="s">
        <v>28</v>
      </c>
      <c r="D54" s="108">
        <f>'88_Seeds'!AL109</f>
        <v>1.1226059508355311</v>
      </c>
      <c r="E54" s="108">
        <f>'88_Seeds'!AM109</f>
        <v>4.4652371101549111</v>
      </c>
      <c r="F54" s="108">
        <f>'88_Seeds'!AN109</f>
        <v>53.501909394918734</v>
      </c>
      <c r="G54" s="108">
        <f>'88_Seeds'!AO109</f>
        <v>20.152002255388094</v>
      </c>
      <c r="H54" s="108">
        <f>'88_Seeds'!AP109</f>
        <v>20.758245288702732</v>
      </c>
      <c r="I54" s="111"/>
      <c r="J54" s="232" t="s">
        <v>77</v>
      </c>
      <c r="K54" s="233">
        <f>'88_Seeds'!AS109</f>
        <v>0.88226203498183009</v>
      </c>
    </row>
    <row r="55" spans="2:11" x14ac:dyDescent="0.3">
      <c r="B55" s="107"/>
      <c r="C55" s="109" t="s">
        <v>39</v>
      </c>
      <c r="D55" s="110">
        <f>'88_Seeds'!AL110</f>
        <v>0</v>
      </c>
      <c r="E55" s="110">
        <f>'88_Seeds'!AM110</f>
        <v>0.10122645634039594</v>
      </c>
      <c r="F55" s="110">
        <f>'88_Seeds'!AN110</f>
        <v>0.48703055710567605</v>
      </c>
      <c r="G55" s="110">
        <f>'88_Seeds'!AO110</f>
        <v>0.52305073282032977</v>
      </c>
      <c r="H55" s="110">
        <f>'88_Seeds'!AP110</f>
        <v>0.62585609763328509</v>
      </c>
      <c r="I55" s="111"/>
      <c r="J55" s="232" t="s">
        <v>29</v>
      </c>
      <c r="K55" s="234">
        <f>'88_Seeds'!AS110</f>
        <v>6.6407652331395735E-3</v>
      </c>
    </row>
    <row r="56" spans="2:11" x14ac:dyDescent="0.3">
      <c r="B56" s="107"/>
      <c r="C56" s="107" t="s">
        <v>30</v>
      </c>
      <c r="D56" s="108">
        <f>'88_Seeds'!AL111</f>
        <v>100</v>
      </c>
      <c r="E56" s="108">
        <f>'88_Seeds'!AM111</f>
        <v>95.805803120536709</v>
      </c>
      <c r="F56" s="108">
        <f>'88_Seeds'!AN111</f>
        <v>96.670800472577696</v>
      </c>
      <c r="G56" s="108">
        <f>'88_Seeds'!AO111</f>
        <v>82.884240549199234</v>
      </c>
      <c r="H56" s="108">
        <f>'88_Seeds'!AP111</f>
        <v>69.380060633295685</v>
      </c>
      <c r="I56" s="111"/>
      <c r="J56" s="111"/>
      <c r="K56" s="111"/>
    </row>
    <row r="57" spans="2:11" x14ac:dyDescent="0.3">
      <c r="B57" s="107"/>
      <c r="C57" s="109" t="s">
        <v>39</v>
      </c>
      <c r="D57" s="110">
        <f>'88_Seeds'!AL112</f>
        <v>0</v>
      </c>
      <c r="E57" s="110">
        <f>'88_Seeds'!AM112</f>
        <v>1.7544102301500859</v>
      </c>
      <c r="F57" s="110">
        <f>'88_Seeds'!AN112</f>
        <v>0.62274478762877639</v>
      </c>
      <c r="G57" s="110">
        <f>'88_Seeds'!AO112</f>
        <v>3.0705092571012704</v>
      </c>
      <c r="H57" s="110">
        <f>'88_Seeds'!AP112</f>
        <v>6.98244848169601</v>
      </c>
      <c r="I57" s="111"/>
      <c r="J57" s="111"/>
      <c r="K57" s="111"/>
    </row>
    <row r="58" spans="2:11" x14ac:dyDescent="0.3">
      <c r="B58" s="107"/>
      <c r="C58" s="111" t="s">
        <v>31</v>
      </c>
      <c r="D58" s="112">
        <f>'88_Seeds'!AL113</f>
        <v>100</v>
      </c>
      <c r="E58" s="112">
        <f>'88_Seeds'!AM113</f>
        <v>97.826086956521735</v>
      </c>
      <c r="F58" s="112">
        <f>'88_Seeds'!AN113</f>
        <v>91.648230088495581</v>
      </c>
      <c r="G58" s="112">
        <f>'88_Seeds'!AO113</f>
        <v>83.154670750382863</v>
      </c>
      <c r="H58" s="112">
        <f>'88_Seeds'!AP113</f>
        <v>80.08298755186722</v>
      </c>
      <c r="I58" s="111"/>
      <c r="J58" s="111"/>
      <c r="K58" s="111"/>
    </row>
    <row r="59" spans="2:11" x14ac:dyDescent="0.3">
      <c r="B59" s="107"/>
      <c r="C59" s="113" t="s">
        <v>39</v>
      </c>
      <c r="D59" s="114">
        <f>'88_Seeds'!AL114</f>
        <v>0</v>
      </c>
      <c r="E59" s="114">
        <f>'88_Seeds'!AM114</f>
        <v>1.5287192313211824</v>
      </c>
      <c r="F59" s="114">
        <f>'88_Seeds'!AN114</f>
        <v>0.6508369863389688</v>
      </c>
      <c r="G59" s="114">
        <f>'88_Seeds'!AO114</f>
        <v>1.4657478918855846</v>
      </c>
      <c r="H59" s="114">
        <f>'88_Seeds'!AP114</f>
        <v>2.5779625837359448</v>
      </c>
      <c r="I59" s="107"/>
      <c r="J59" s="107"/>
      <c r="K59" s="107"/>
    </row>
    <row r="60" spans="2:11" x14ac:dyDescent="0.3">
      <c r="B60" s="107"/>
      <c r="C60" s="109" t="s">
        <v>56</v>
      </c>
      <c r="D60" s="110">
        <f>'88_Seeds'!AL115</f>
        <v>100</v>
      </c>
      <c r="E60" s="110">
        <f>'88_Seeds'!AM115</f>
        <v>95.744680851063833</v>
      </c>
      <c r="F60" s="110">
        <f>'88_Seeds'!AN115</f>
        <v>94.712775078593879</v>
      </c>
      <c r="G60" s="110">
        <f>'88_Seeds'!AO115</f>
        <v>86.053882725832011</v>
      </c>
      <c r="H60" s="110">
        <f>'88_Seeds'!AP115</f>
        <v>60.406885758998428</v>
      </c>
      <c r="I60" s="152"/>
      <c r="J60" s="107"/>
      <c r="K60" s="107"/>
    </row>
    <row r="61" spans="2:11" x14ac:dyDescent="0.3">
      <c r="B61" s="115" t="s">
        <v>409</v>
      </c>
      <c r="C61" s="107" t="s">
        <v>9</v>
      </c>
      <c r="D61" s="116">
        <f>'88_Seeds'!AL116</f>
        <v>2215.63</v>
      </c>
      <c r="E61" s="116">
        <f>'88_Seeds'!AM116</f>
        <v>8630.81</v>
      </c>
      <c r="F61" s="116">
        <f>'88_Seeds'!AN116</f>
        <v>111380.82</v>
      </c>
      <c r="G61" s="116">
        <f>'88_Seeds'!AO116</f>
        <v>39643.629999999997</v>
      </c>
      <c r="H61" s="116">
        <f>'88_Seeds'!AP116</f>
        <v>35494</v>
      </c>
      <c r="I61" s="144">
        <f>$K$1-K61</f>
        <v>1825.109999999986</v>
      </c>
      <c r="J61" s="115" t="s">
        <v>36</v>
      </c>
      <c r="K61" s="137">
        <f t="shared" ref="K61:K62" si="12">SUM(D61:H61)</f>
        <v>197364.89</v>
      </c>
    </row>
    <row r="62" spans="2:11" x14ac:dyDescent="0.3">
      <c r="B62" s="115" t="s">
        <v>378</v>
      </c>
      <c r="C62" s="107" t="s">
        <v>467</v>
      </c>
      <c r="D62" s="108">
        <f>'88_Seeds'!AL117</f>
        <v>2215.63</v>
      </c>
      <c r="E62" s="108">
        <f>'88_Seeds'!AM117</f>
        <v>8812.810310696419</v>
      </c>
      <c r="F62" s="108">
        <f>'88_Seeds'!AN117</f>
        <v>105593.98462518104</v>
      </c>
      <c r="G62" s="108">
        <f>'88_Seeds'!AO117</f>
        <v>39772.97708414423</v>
      </c>
      <c r="H62" s="108">
        <f>'88_Seeds'!AP117</f>
        <v>40969.48797997833</v>
      </c>
      <c r="I62" s="144">
        <f>$K$1-K62</f>
        <v>1825.109999999986</v>
      </c>
      <c r="J62" s="115" t="s">
        <v>36</v>
      </c>
      <c r="K62" s="137">
        <f t="shared" si="12"/>
        <v>197364.89</v>
      </c>
    </row>
    <row r="63" spans="2:11" x14ac:dyDescent="0.3">
      <c r="B63" s="115"/>
      <c r="C63" s="107" t="s">
        <v>533</v>
      </c>
      <c r="D63" s="147">
        <f t="shared" ref="D63:I63" si="13">D62/$K$1</f>
        <v>1.1123198955770873E-2</v>
      </c>
      <c r="E63" s="147">
        <f t="shared" si="13"/>
        <v>4.4243236661963045E-2</v>
      </c>
      <c r="F63" s="147">
        <f t="shared" si="13"/>
        <v>0.53011689655696093</v>
      </c>
      <c r="G63" s="147">
        <f t="shared" si="13"/>
        <v>0.19967356335229797</v>
      </c>
      <c r="H63" s="147">
        <f t="shared" si="13"/>
        <v>0.20568044570499688</v>
      </c>
      <c r="I63" s="147">
        <f t="shared" si="13"/>
        <v>9.1626587680103729E-3</v>
      </c>
      <c r="J63" s="145">
        <f>SUM(D63:I63)</f>
        <v>1</v>
      </c>
      <c r="K63" s="137"/>
    </row>
    <row r="64" spans="2:11" x14ac:dyDescent="0.3">
      <c r="B64" s="107"/>
      <c r="C64" s="107" t="s">
        <v>377</v>
      </c>
      <c r="D64" s="108">
        <f>'88_Seeds'!AL118</f>
        <v>0</v>
      </c>
      <c r="E64" s="108">
        <f>'88_Seeds'!AM118</f>
        <v>199.7854842071205</v>
      </c>
      <c r="F64" s="108">
        <f>'88_Seeds'!AN118</f>
        <v>961.22732329800476</v>
      </c>
      <c r="G64" s="108">
        <f>'88_Seeds'!AO118</f>
        <v>1032.3185034750379</v>
      </c>
      <c r="H64" s="108">
        <f>'88_Seeds'!AP118</f>
        <v>1235.2201986522259</v>
      </c>
      <c r="I64" s="107"/>
      <c r="J64" s="107"/>
      <c r="K64" s="107"/>
    </row>
    <row r="65" spans="2:11" x14ac:dyDescent="0.3">
      <c r="B65" s="107"/>
      <c r="C65" s="148" t="s">
        <v>538</v>
      </c>
      <c r="D65" s="108">
        <f>1.96*D64</f>
        <v>0</v>
      </c>
      <c r="E65" s="108">
        <f>1.96*E64</f>
        <v>391.57954904595618</v>
      </c>
      <c r="F65" s="108">
        <f>1.96*F64</f>
        <v>1884.0055536640893</v>
      </c>
      <c r="G65" s="108">
        <f>1.96*G64</f>
        <v>2023.3442668110742</v>
      </c>
      <c r="H65" s="108">
        <f>1.96*H64</f>
        <v>2421.0315893583629</v>
      </c>
      <c r="I65" s="107"/>
      <c r="J65" s="107"/>
      <c r="K65" s="107"/>
    </row>
    <row r="66" spans="2:11" x14ac:dyDescent="0.3">
      <c r="B66" s="107"/>
      <c r="C66" s="148" t="s">
        <v>537</v>
      </c>
      <c r="D66" s="149">
        <f>D64/$K$1</f>
        <v>0</v>
      </c>
      <c r="E66" s="149">
        <f>E64/$K$1</f>
        <v>1.00298952862654E-3</v>
      </c>
      <c r="F66" s="149">
        <f>F64/$K$1</f>
        <v>4.8256806230132275E-3</v>
      </c>
      <c r="G66" s="149">
        <f>G64/$K$1</f>
        <v>5.1825819743713938E-3</v>
      </c>
      <c r="H66" s="149">
        <f>H64/$K$1</f>
        <v>6.2012159177279279E-3</v>
      </c>
      <c r="I66" s="107"/>
      <c r="J66" s="107"/>
      <c r="K66" s="107"/>
    </row>
    <row r="67" spans="2:11" x14ac:dyDescent="0.3">
      <c r="B67" s="107"/>
      <c r="C67" s="129" t="s">
        <v>539</v>
      </c>
      <c r="D67" s="150">
        <f>1.96*D66</f>
        <v>0</v>
      </c>
      <c r="E67" s="150">
        <f>1.96*E66</f>
        <v>1.9658594761080184E-3</v>
      </c>
      <c r="F67" s="150">
        <f>1.96*F66</f>
        <v>9.4583340211059266E-3</v>
      </c>
      <c r="G67" s="150">
        <f>1.96*G66</f>
        <v>1.0157860669767932E-2</v>
      </c>
      <c r="H67" s="150">
        <f>1.96*H66</f>
        <v>1.2154383198746739E-2</v>
      </c>
      <c r="I67" s="107"/>
      <c r="J67" s="107"/>
      <c r="K67" s="107"/>
    </row>
    <row r="68" spans="2:11" x14ac:dyDescent="0.3">
      <c r="B68" s="115" t="s">
        <v>410</v>
      </c>
      <c r="C68" s="122" t="s">
        <v>9</v>
      </c>
      <c r="D68" s="136">
        <f>'88_Seeds'!AL119</f>
        <v>2207.4175</v>
      </c>
      <c r="E68" s="136">
        <f>'88_Seeds'!AM119</f>
        <v>8776.0074999999997</v>
      </c>
      <c r="F68" s="136">
        <f>'88_Seeds'!AN119</f>
        <v>110837.50450000001</v>
      </c>
      <c r="G68" s="140">
        <f>'88_Seeds'!AO119</f>
        <v>39512.947499999995</v>
      </c>
      <c r="H68" s="136">
        <f>'88_Seeds'!AP119</f>
        <v>36031.019500000009</v>
      </c>
      <c r="I68" s="107"/>
      <c r="J68" s="115" t="s">
        <v>36</v>
      </c>
      <c r="K68" s="137">
        <f t="shared" ref="K68" si="14">SUM(D68:H68)</f>
        <v>197364.89650000003</v>
      </c>
    </row>
    <row r="69" spans="2:11" x14ac:dyDescent="0.3">
      <c r="B69" s="107"/>
      <c r="C69" s="148" t="s">
        <v>394</v>
      </c>
      <c r="D69" s="108">
        <f>'88_Seeds'!AL120</f>
        <v>5.5046470738726452</v>
      </c>
      <c r="E69" s="108">
        <f>'88_Seeds'!AM120</f>
        <v>69.540120831052434</v>
      </c>
      <c r="F69" s="108">
        <f>'88_Seeds'!AN120</f>
        <v>174.86878852212999</v>
      </c>
      <c r="G69" s="108">
        <f>'88_Seeds'!AO120</f>
        <v>97.465704118976433</v>
      </c>
      <c r="H69" s="108">
        <f>'88_Seeds'!AP120</f>
        <v>158.27146653351969</v>
      </c>
      <c r="I69" s="107"/>
      <c r="J69" s="107"/>
      <c r="K69" s="107"/>
    </row>
    <row r="70" spans="2:11" x14ac:dyDescent="0.3">
      <c r="B70" s="107"/>
      <c r="C70" s="148" t="s">
        <v>538</v>
      </c>
      <c r="D70" s="108">
        <f>1.96*D69</f>
        <v>10.789108264790384</v>
      </c>
      <c r="E70" s="108">
        <f>1.96*E69</f>
        <v>136.29863682886275</v>
      </c>
      <c r="F70" s="108">
        <f>1.96*F69</f>
        <v>342.74282550337477</v>
      </c>
      <c r="G70" s="108">
        <f>1.96*G69</f>
        <v>191.03278007319381</v>
      </c>
      <c r="H70" s="108">
        <f>1.96*H69</f>
        <v>310.21207440569856</v>
      </c>
      <c r="I70" s="107"/>
      <c r="J70" s="107"/>
      <c r="K70" s="107"/>
    </row>
    <row r="71" spans="2:11" x14ac:dyDescent="0.3">
      <c r="B71" s="107"/>
      <c r="C71" s="148" t="s">
        <v>537</v>
      </c>
      <c r="D71" s="149">
        <f>D69/$K$1</f>
        <v>2.7635157758284276E-5</v>
      </c>
      <c r="E71" s="149">
        <f>E69/$K$1</f>
        <v>3.4911451795297172E-4</v>
      </c>
      <c r="F71" s="149">
        <f>F69/$K$1</f>
        <v>8.7789943532371102E-4</v>
      </c>
      <c r="G71" s="149">
        <f>G69/$K$1</f>
        <v>4.8931022701429003E-4</v>
      </c>
      <c r="H71" s="149">
        <f>H69/$K$1</f>
        <v>7.9457536288729199E-4</v>
      </c>
      <c r="I71" s="107"/>
      <c r="J71" s="107"/>
      <c r="K71" s="107"/>
    </row>
    <row r="72" spans="2:11" x14ac:dyDescent="0.3">
      <c r="B72" s="141"/>
      <c r="C72" s="129" t="s">
        <v>539</v>
      </c>
      <c r="D72" s="150">
        <f>1.96*D71</f>
        <v>5.416490920623718E-5</v>
      </c>
      <c r="E72" s="150">
        <f>1.96*E71</f>
        <v>6.8426445518782457E-4</v>
      </c>
      <c r="F72" s="150">
        <f>1.96*F71</f>
        <v>1.7206828932344737E-3</v>
      </c>
      <c r="G72" s="150">
        <f>1.96*G71</f>
        <v>9.5904804494800842E-4</v>
      </c>
      <c r="H72" s="150">
        <f>1.96*H71</f>
        <v>1.5573677112590922E-3</v>
      </c>
      <c r="I72" s="107"/>
      <c r="J72" s="107"/>
      <c r="K72" s="107"/>
    </row>
    <row r="73" spans="2:11" x14ac:dyDescent="0.3">
      <c r="B73" s="119" t="s">
        <v>396</v>
      </c>
      <c r="C73" s="107"/>
      <c r="D73" s="116"/>
      <c r="E73" s="116"/>
      <c r="F73" s="116"/>
      <c r="G73" s="116"/>
      <c r="H73" s="116"/>
      <c r="I73" s="107"/>
      <c r="J73" s="107"/>
      <c r="K73" s="107"/>
    </row>
    <row r="74" spans="2:11" x14ac:dyDescent="0.3">
      <c r="B74" s="115" t="s">
        <v>409</v>
      </c>
      <c r="C74" s="122" t="s">
        <v>9</v>
      </c>
      <c r="D74" s="136">
        <f>'88_Seeds'!AL122</f>
        <v>265.05</v>
      </c>
      <c r="E74" s="136">
        <f>'88_Seeds'!AM122</f>
        <v>1744.4</v>
      </c>
      <c r="F74" s="136">
        <f>'88_Seeds'!AN122</f>
        <v>15190.54</v>
      </c>
      <c r="G74" s="136">
        <f>'88_Seeds'!AO122</f>
        <v>1689.64</v>
      </c>
      <c r="H74" s="136">
        <f>'88_Seeds'!AP122</f>
        <v>3201.03</v>
      </c>
      <c r="I74" s="108">
        <f>$K$2-K74</f>
        <v>75.619999999998981</v>
      </c>
      <c r="J74" s="115" t="s">
        <v>36</v>
      </c>
      <c r="K74" s="137">
        <f t="shared" ref="K74" si="15">SUM(D74:H74)</f>
        <v>22090.66</v>
      </c>
    </row>
    <row r="75" spans="2:11" x14ac:dyDescent="0.3">
      <c r="B75" s="107"/>
      <c r="C75" s="107" t="s">
        <v>533</v>
      </c>
      <c r="D75" s="146">
        <f t="shared" ref="D75:I75" si="16">D74/$K$2</f>
        <v>1.1957351436506261E-2</v>
      </c>
      <c r="E75" s="146">
        <f t="shared" si="16"/>
        <v>7.8696109586272489E-2</v>
      </c>
      <c r="F75" s="146">
        <f t="shared" si="16"/>
        <v>0.68529947289306103</v>
      </c>
      <c r="G75" s="146">
        <f t="shared" si="16"/>
        <v>7.6225690553399131E-2</v>
      </c>
      <c r="H75" s="146">
        <f t="shared" si="16"/>
        <v>0.14440988745066832</v>
      </c>
      <c r="I75" s="146">
        <f t="shared" si="16"/>
        <v>3.4114880800927799E-3</v>
      </c>
      <c r="J75" s="145">
        <f>SUM(D75:I75)</f>
        <v>0.99999999999999989</v>
      </c>
      <c r="K75" s="107"/>
    </row>
    <row r="76" spans="2:11" x14ac:dyDescent="0.3">
      <c r="B76" s="115" t="s">
        <v>410</v>
      </c>
      <c r="C76" s="122" t="s">
        <v>9</v>
      </c>
      <c r="D76" s="136">
        <f>'88_Seeds'!AL124</f>
        <v>264.45650000000006</v>
      </c>
      <c r="E76" s="140">
        <f>'88_Seeds'!AM124</f>
        <v>1796.8690000000001</v>
      </c>
      <c r="F76" s="136">
        <f>'88_Seeds'!AN124</f>
        <v>15060.646499999999</v>
      </c>
      <c r="G76" s="136">
        <f>'88_Seeds'!AO124</f>
        <v>1683.4674999999995</v>
      </c>
      <c r="H76" s="136">
        <f>'88_Seeds'!AP124</f>
        <v>3285.22</v>
      </c>
      <c r="I76" s="108">
        <f>$K$2-K76</f>
        <v>75.620500000000902</v>
      </c>
      <c r="J76" s="115" t="s">
        <v>36</v>
      </c>
      <c r="K76" s="137">
        <f t="shared" ref="K76" si="17">SUM(D76:H76)</f>
        <v>22090.659499999998</v>
      </c>
    </row>
    <row r="77" spans="2:11" x14ac:dyDescent="0.3">
      <c r="B77" s="115"/>
      <c r="C77" s="141" t="s">
        <v>533</v>
      </c>
      <c r="D77" s="151">
        <f t="shared" ref="D77:I77" si="18">D76/$K$2</f>
        <v>1.1930576533365097E-2</v>
      </c>
      <c r="E77" s="151">
        <f t="shared" si="18"/>
        <v>8.1063173432799743E-2</v>
      </c>
      <c r="F77" s="151">
        <f t="shared" si="18"/>
        <v>0.67943951353136389</v>
      </c>
      <c r="G77" s="151">
        <f t="shared" si="18"/>
        <v>7.594722704937408E-2</v>
      </c>
      <c r="H77" s="151">
        <f t="shared" si="18"/>
        <v>0.14820799881621996</v>
      </c>
      <c r="I77" s="146">
        <f t="shared" si="18"/>
        <v>3.4115106368773156E-3</v>
      </c>
      <c r="J77" s="145">
        <f>SUM(D77:I77)</f>
        <v>1</v>
      </c>
      <c r="K77" s="137"/>
    </row>
    <row r="78" spans="2:11" x14ac:dyDescent="0.3">
      <c r="B78" s="107"/>
      <c r="C78" s="148" t="s">
        <v>394</v>
      </c>
      <c r="D78" s="108">
        <f>'88_Seeds'!AL125</f>
        <v>1.4633796994412773</v>
      </c>
      <c r="E78" s="108">
        <f>'88_Seeds'!AM125</f>
        <v>15.569559164566842</v>
      </c>
      <c r="F78" s="108">
        <f>'88_Seeds'!AN125</f>
        <v>23.989584760617355</v>
      </c>
      <c r="G78" s="108">
        <f>'88_Seeds'!AO125</f>
        <v>6.784988766813802</v>
      </c>
      <c r="H78" s="108">
        <f>'88_Seeds'!AP125</f>
        <v>22.579796570339031</v>
      </c>
      <c r="I78" s="107"/>
      <c r="J78" s="107"/>
      <c r="K78" s="107"/>
    </row>
    <row r="79" spans="2:11" x14ac:dyDescent="0.3">
      <c r="B79" s="107"/>
      <c r="C79" s="148" t="s">
        <v>538</v>
      </c>
      <c r="D79" s="108">
        <f>1.96*D78</f>
        <v>2.8682242109049034</v>
      </c>
      <c r="E79" s="108">
        <f>1.96*E78</f>
        <v>30.516335962551011</v>
      </c>
      <c r="F79" s="108">
        <f>1.96*F78</f>
        <v>47.019586130810012</v>
      </c>
      <c r="G79" s="108">
        <f>1.96*G78</f>
        <v>13.298577982955052</v>
      </c>
      <c r="H79" s="108">
        <f>1.96*H78</f>
        <v>44.256401277864498</v>
      </c>
      <c r="I79" s="107"/>
      <c r="J79" s="107"/>
      <c r="K79" s="107"/>
    </row>
    <row r="80" spans="2:11" x14ac:dyDescent="0.3">
      <c r="B80" s="107"/>
      <c r="C80" s="148" t="s">
        <v>537</v>
      </c>
      <c r="D80" s="149">
        <f>D78/$K$2</f>
        <v>6.6018280895183013E-5</v>
      </c>
      <c r="E80" s="149">
        <f>E78/$K$2</f>
        <v>7.0239838008754035E-4</v>
      </c>
      <c r="F80" s="149">
        <f>F78/$K$2</f>
        <v>1.082255784940791E-3</v>
      </c>
      <c r="G80" s="149">
        <f>G78/$K$2</f>
        <v>3.0609505820614925E-4</v>
      </c>
      <c r="H80" s="149">
        <f>H78/$K$2</f>
        <v>1.0186552082865972E-3</v>
      </c>
      <c r="I80" s="107"/>
      <c r="J80" s="107"/>
      <c r="K80" s="107"/>
    </row>
    <row r="81" spans="2:11" x14ac:dyDescent="0.3">
      <c r="B81" s="141"/>
      <c r="C81" s="129" t="s">
        <v>539</v>
      </c>
      <c r="D81" s="150">
        <f>1.96*D80</f>
        <v>1.293958305545587E-4</v>
      </c>
      <c r="E81" s="150">
        <f>1.96*E80</f>
        <v>1.3767008249715791E-3</v>
      </c>
      <c r="F81" s="150">
        <f>1.96*F80</f>
        <v>2.1212213384839505E-3</v>
      </c>
      <c r="G81" s="150">
        <f>1.96*G80</f>
        <v>5.9994631408405257E-4</v>
      </c>
      <c r="H81" s="150">
        <f>1.96*H80</f>
        <v>1.9965642082417304E-3</v>
      </c>
      <c r="I81" s="107"/>
      <c r="J81" s="107"/>
      <c r="K81" s="107"/>
    </row>
    <row r="82" spans="2:11" x14ac:dyDescent="0.3">
      <c r="B82" s="119" t="s">
        <v>423</v>
      </c>
      <c r="C82" s="107"/>
      <c r="D82" s="116"/>
      <c r="E82" s="116"/>
      <c r="F82" s="116"/>
      <c r="G82" s="116"/>
      <c r="H82" s="116"/>
      <c r="I82" s="107"/>
      <c r="J82" s="107"/>
      <c r="K82" s="107"/>
    </row>
    <row r="83" spans="2:11" x14ac:dyDescent="0.3">
      <c r="B83" s="115" t="s">
        <v>409</v>
      </c>
      <c r="C83" s="122" t="s">
        <v>9</v>
      </c>
      <c r="D83" s="136">
        <f>'88_Seeds'!AL127</f>
        <v>63.71</v>
      </c>
      <c r="E83" s="136">
        <f>'88_Seeds'!AM127</f>
        <v>28.18</v>
      </c>
      <c r="F83" s="136">
        <f>'88_Seeds'!AN127</f>
        <v>12137.33</v>
      </c>
      <c r="G83" s="136">
        <f>'88_Seeds'!AO127</f>
        <v>15486.76</v>
      </c>
      <c r="H83" s="136">
        <f>'88_Seeds'!AP127</f>
        <v>15506.46</v>
      </c>
      <c r="I83" s="108">
        <f>$K$3-K83</f>
        <v>195.64999999999418</v>
      </c>
      <c r="J83" s="115" t="s">
        <v>36</v>
      </c>
      <c r="K83" s="137">
        <f>SUM(D83:H83)</f>
        <v>43222.44</v>
      </c>
    </row>
    <row r="84" spans="2:11" x14ac:dyDescent="0.3">
      <c r="B84" s="107"/>
      <c r="C84" s="141" t="s">
        <v>533</v>
      </c>
      <c r="D84" s="146">
        <f t="shared" ref="D84:I84" si="19">D83/$K$3</f>
        <v>1.4673607245274955E-3</v>
      </c>
      <c r="E84" s="146">
        <f t="shared" si="19"/>
        <v>6.4903822346860495E-4</v>
      </c>
      <c r="F84" s="146">
        <f t="shared" si="19"/>
        <v>0.2795454613503266</v>
      </c>
      <c r="G84" s="146">
        <f t="shared" si="19"/>
        <v>0.35668911276382725</v>
      </c>
      <c r="H84" s="146">
        <f t="shared" si="19"/>
        <v>0.35714284069151825</v>
      </c>
      <c r="I84" s="146">
        <f t="shared" si="19"/>
        <v>4.5061862463317524E-3</v>
      </c>
      <c r="J84" s="145">
        <f>SUM(D84:I84)</f>
        <v>0.99999999999999989</v>
      </c>
      <c r="K84" s="107"/>
    </row>
    <row r="85" spans="2:11" x14ac:dyDescent="0.3">
      <c r="B85" s="115" t="s">
        <v>410</v>
      </c>
      <c r="C85" s="122" t="s">
        <v>9</v>
      </c>
      <c r="D85" s="140">
        <f>'88_Seeds'!AL129</f>
        <v>60.878</v>
      </c>
      <c r="E85" s="136">
        <f>'88_Seeds'!AM129</f>
        <v>30.201000000000004</v>
      </c>
      <c r="F85" s="136">
        <f>'88_Seeds'!AN129</f>
        <v>12161.712</v>
      </c>
      <c r="G85" s="136">
        <f>'88_Seeds'!AO129</f>
        <v>15438.344500000001</v>
      </c>
      <c r="H85" s="136">
        <f>'88_Seeds'!AP129</f>
        <v>15531.3115</v>
      </c>
      <c r="I85" s="108">
        <f>$K$3-K85</f>
        <v>195.64299999999639</v>
      </c>
      <c r="J85" s="115" t="s">
        <v>36</v>
      </c>
      <c r="K85" s="137">
        <f t="shared" ref="K85" si="20">SUM(D85:H85)</f>
        <v>43222.447</v>
      </c>
    </row>
    <row r="86" spans="2:11" x14ac:dyDescent="0.3">
      <c r="B86" s="115"/>
      <c r="C86" s="141" t="s">
        <v>533</v>
      </c>
      <c r="D86" s="151">
        <f t="shared" ref="D86:I86" si="21">D85/$K$3</f>
        <v>1.4021344559376058E-3</v>
      </c>
      <c r="E86" s="151">
        <f t="shared" si="21"/>
        <v>6.955856418373081E-4</v>
      </c>
      <c r="F86" s="151">
        <f t="shared" si="21"/>
        <v>0.28010702451443625</v>
      </c>
      <c r="G86" s="151">
        <f t="shared" si="21"/>
        <v>0.35557401304387187</v>
      </c>
      <c r="H86" s="151">
        <f t="shared" si="21"/>
        <v>0.35771521732070666</v>
      </c>
      <c r="I86" s="146">
        <f t="shared" si="21"/>
        <v>4.506025023210289E-3</v>
      </c>
      <c r="J86" s="145">
        <f>SUM(D86:I86)</f>
        <v>1</v>
      </c>
      <c r="K86" s="137"/>
    </row>
    <row r="87" spans="2:11" x14ac:dyDescent="0.3">
      <c r="B87" s="107"/>
      <c r="C87" s="148" t="s">
        <v>394</v>
      </c>
      <c r="D87" s="108">
        <f>'88_Seeds'!AL130</f>
        <v>2.8958226355980612</v>
      </c>
      <c r="E87" s="108">
        <f>'88_Seeds'!AM130</f>
        <v>0.82832580038228065</v>
      </c>
      <c r="F87" s="108">
        <f>'88_Seeds'!AN130</f>
        <v>43.373460746842625</v>
      </c>
      <c r="G87" s="108">
        <f>'88_Seeds'!AO130</f>
        <v>36.338837730703766</v>
      </c>
      <c r="H87" s="108">
        <f>'88_Seeds'!AP130</f>
        <v>40.798888286421423</v>
      </c>
      <c r="I87" s="107"/>
      <c r="J87" s="107"/>
      <c r="K87" s="107"/>
    </row>
    <row r="88" spans="2:11" x14ac:dyDescent="0.3">
      <c r="B88" s="107"/>
      <c r="C88" s="148" t="s">
        <v>538</v>
      </c>
      <c r="D88" s="108">
        <f>1.96*D87</f>
        <v>5.6758123657721997</v>
      </c>
      <c r="E88" s="108">
        <f>1.96*E87</f>
        <v>1.6235185687492701</v>
      </c>
      <c r="F88" s="108">
        <f>1.96*F87</f>
        <v>85.011983063811542</v>
      </c>
      <c r="G88" s="108">
        <f>1.96*G87</f>
        <v>71.224121952179374</v>
      </c>
      <c r="H88" s="108">
        <f>1.96*H87</f>
        <v>79.965821041385993</v>
      </c>
      <c r="I88" s="107"/>
      <c r="J88" s="107"/>
      <c r="K88" s="107"/>
    </row>
    <row r="89" spans="2:11" x14ac:dyDescent="0.3">
      <c r="B89" s="107"/>
      <c r="C89" s="148" t="s">
        <v>537</v>
      </c>
      <c r="D89" s="149">
        <f>D87/$K$3</f>
        <v>6.6696223523376118E-5</v>
      </c>
      <c r="E89" s="149">
        <f>E87/$K$3</f>
        <v>1.9077895881239379E-5</v>
      </c>
      <c r="F89" s="149">
        <f>F87/$K$3</f>
        <v>9.9897210464215788E-4</v>
      </c>
      <c r="G89" s="149">
        <f>G87/$K$3</f>
        <v>8.3695155016500649E-4</v>
      </c>
      <c r="H89" s="149">
        <f>H87/$K$3</f>
        <v>9.3967487483722625E-4</v>
      </c>
      <c r="I89" s="107"/>
      <c r="J89" s="107"/>
      <c r="K89" s="107"/>
    </row>
    <row r="90" spans="2:11" x14ac:dyDescent="0.3">
      <c r="B90" s="141"/>
      <c r="C90" s="129" t="s">
        <v>539</v>
      </c>
      <c r="D90" s="150">
        <f>1.96*D89</f>
        <v>1.3072459810581718E-4</v>
      </c>
      <c r="E90" s="150">
        <f>1.96*E89</f>
        <v>3.7392675927229183E-5</v>
      </c>
      <c r="F90" s="150">
        <f>1.96*F89</f>
        <v>1.9579853250986292E-3</v>
      </c>
      <c r="G90" s="150">
        <f>1.96*G89</f>
        <v>1.6404250383234126E-3</v>
      </c>
      <c r="H90" s="150">
        <f>1.96*H89</f>
        <v>1.8417627546809634E-3</v>
      </c>
      <c r="I90" s="107"/>
      <c r="J90" s="107"/>
      <c r="K90" s="107"/>
    </row>
    <row r="91" spans="2:11" x14ac:dyDescent="0.3">
      <c r="B91" s="119" t="s">
        <v>424</v>
      </c>
      <c r="C91" s="107"/>
      <c r="D91" s="116"/>
      <c r="E91" s="116"/>
      <c r="F91" s="116"/>
      <c r="G91" s="116"/>
      <c r="H91" s="116"/>
      <c r="I91" s="107"/>
      <c r="J91" s="107"/>
      <c r="K91" s="107"/>
    </row>
    <row r="92" spans="2:11" x14ac:dyDescent="0.3">
      <c r="B92" s="115" t="s">
        <v>409</v>
      </c>
      <c r="C92" s="122" t="s">
        <v>9</v>
      </c>
      <c r="D92" s="136">
        <f>'88_Seeds'!AL132</f>
        <v>0</v>
      </c>
      <c r="E92" s="136">
        <f>'88_Seeds'!AM132</f>
        <v>3.49</v>
      </c>
      <c r="F92" s="136">
        <f>'88_Seeds'!AN132</f>
        <v>897.34</v>
      </c>
      <c r="G92" s="136">
        <f>'88_Seeds'!AO132</f>
        <v>405.06</v>
      </c>
      <c r="H92" s="136">
        <f>'88_Seeds'!AP132</f>
        <v>547.04999999999995</v>
      </c>
      <c r="I92" s="108">
        <f>$K$4-K92</f>
        <v>8.6099999999999</v>
      </c>
      <c r="J92" s="115" t="s">
        <v>36</v>
      </c>
      <c r="K92" s="137">
        <f t="shared" ref="K92" si="22">SUM(D92:H92)</f>
        <v>1852.94</v>
      </c>
    </row>
    <row r="93" spans="2:11" x14ac:dyDescent="0.3">
      <c r="B93" s="107"/>
      <c r="C93" s="141" t="s">
        <v>533</v>
      </c>
      <c r="D93" s="151">
        <f t="shared" ref="D93:I93" si="23">D92/$K$4</f>
        <v>0</v>
      </c>
      <c r="E93" s="151">
        <f t="shared" si="23"/>
        <v>1.8747817678816043E-3</v>
      </c>
      <c r="F93" s="151">
        <f t="shared" si="23"/>
        <v>0.48203916091429189</v>
      </c>
      <c r="G93" s="151">
        <f t="shared" si="23"/>
        <v>0.21759286615992049</v>
      </c>
      <c r="H93" s="151">
        <f t="shared" si="23"/>
        <v>0.29386801321479411</v>
      </c>
      <c r="I93" s="147">
        <f t="shared" si="23"/>
        <v>4.6251779431118693E-3</v>
      </c>
      <c r="J93" s="145">
        <f>SUM(D93:I93)</f>
        <v>1</v>
      </c>
      <c r="K93" s="107"/>
    </row>
    <row r="94" spans="2:11" x14ac:dyDescent="0.3">
      <c r="B94" s="115" t="s">
        <v>410</v>
      </c>
      <c r="C94" s="122" t="s">
        <v>9</v>
      </c>
      <c r="D94" s="136">
        <f>'88_Seeds'!AL134</f>
        <v>0</v>
      </c>
      <c r="E94" s="136">
        <f>'88_Seeds'!AM134</f>
        <v>4.1175000000000006</v>
      </c>
      <c r="F94" s="136">
        <f>'88_Seeds'!AN134</f>
        <v>892.18299999999999</v>
      </c>
      <c r="G94" s="136">
        <f>'88_Seeds'!AO134</f>
        <v>405.89250000000004</v>
      </c>
      <c r="H94" s="136">
        <f>'88_Seeds'!AP134</f>
        <v>550.73950000000002</v>
      </c>
      <c r="I94" s="108">
        <f>$K$4-K94</f>
        <v>8.6175000000000637</v>
      </c>
      <c r="J94" s="115" t="s">
        <v>36</v>
      </c>
      <c r="K94" s="137">
        <f t="shared" ref="K94" si="24">SUM(D94:H94)</f>
        <v>1852.9324999999999</v>
      </c>
    </row>
    <row r="95" spans="2:11" x14ac:dyDescent="0.3">
      <c r="B95" s="115"/>
      <c r="C95" s="141" t="s">
        <v>533</v>
      </c>
      <c r="D95" s="151">
        <f t="shared" ref="D95:I95" si="25">D94/$K$4</f>
        <v>0</v>
      </c>
      <c r="E95" s="151">
        <f t="shared" si="25"/>
        <v>2.2118664553732108E-3</v>
      </c>
      <c r="F95" s="151">
        <f t="shared" si="25"/>
        <v>0.47926888882920149</v>
      </c>
      <c r="G95" s="151">
        <f t="shared" si="25"/>
        <v>0.21804007413177193</v>
      </c>
      <c r="H95" s="151">
        <f t="shared" si="25"/>
        <v>0.2958499637398942</v>
      </c>
      <c r="I95" s="147">
        <f t="shared" si="25"/>
        <v>4.6292068437592676E-3</v>
      </c>
      <c r="J95" s="145">
        <f>SUM(D95:I95)</f>
        <v>1</v>
      </c>
      <c r="K95" s="137"/>
    </row>
    <row r="96" spans="2:11" x14ac:dyDescent="0.3">
      <c r="B96" s="107"/>
      <c r="C96" s="148" t="s">
        <v>394</v>
      </c>
      <c r="D96" s="108">
        <f>'88_Seeds'!AL135</f>
        <v>0</v>
      </c>
      <c r="E96" s="108">
        <f>'88_Seeds'!AM135</f>
        <v>0.28388459015296269</v>
      </c>
      <c r="F96" s="108">
        <f>'88_Seeds'!AN135</f>
        <v>3.0459367325910343</v>
      </c>
      <c r="G96" s="108">
        <f>'88_Seeds'!AO135</f>
        <v>0.99955276183111597</v>
      </c>
      <c r="H96" s="108">
        <f>'88_Seeds'!AP135</f>
        <v>3.0866219377892858</v>
      </c>
      <c r="I96" s="107"/>
      <c r="J96" s="107"/>
      <c r="K96" s="107"/>
    </row>
    <row r="97" spans="2:11" x14ac:dyDescent="0.3">
      <c r="B97" s="107"/>
      <c r="C97" s="148" t="s">
        <v>538</v>
      </c>
      <c r="D97" s="108">
        <f>1.96*D96</f>
        <v>0</v>
      </c>
      <c r="E97" s="108">
        <f>1.96*E96</f>
        <v>0.55641379669980684</v>
      </c>
      <c r="F97" s="108">
        <f>1.96*F96</f>
        <v>5.970035995878427</v>
      </c>
      <c r="G97" s="108">
        <f>1.96*G96</f>
        <v>1.9591234131889872</v>
      </c>
      <c r="H97" s="108">
        <f>1.96*H96</f>
        <v>6.0497789980670005</v>
      </c>
      <c r="I97" s="107"/>
      <c r="J97" s="107"/>
      <c r="K97" s="107"/>
    </row>
    <row r="98" spans="2:11" x14ac:dyDescent="0.3">
      <c r="B98" s="107"/>
      <c r="C98" s="148" t="s">
        <v>537</v>
      </c>
      <c r="D98" s="149">
        <f>D96/$K$4</f>
        <v>0</v>
      </c>
      <c r="E98" s="149">
        <f>E96/$K$4</f>
        <v>1.5249904120381548E-4</v>
      </c>
      <c r="F98" s="149">
        <f>F96/$K$4</f>
        <v>1.6362368631468584E-3</v>
      </c>
      <c r="G98" s="149">
        <f>G96/$K$4</f>
        <v>5.3694650255492254E-4</v>
      </c>
      <c r="H98" s="149">
        <f>H96/$K$4</f>
        <v>1.6580924164214155E-3</v>
      </c>
      <c r="I98" s="107"/>
      <c r="J98" s="107"/>
      <c r="K98" s="107"/>
    </row>
    <row r="99" spans="2:11" x14ac:dyDescent="0.3">
      <c r="B99" s="107"/>
      <c r="C99" s="129" t="s">
        <v>539</v>
      </c>
      <c r="D99" s="150">
        <f>1.96*D98</f>
        <v>0</v>
      </c>
      <c r="E99" s="150">
        <f>1.96*E98</f>
        <v>2.9889812075947834E-4</v>
      </c>
      <c r="F99" s="150">
        <f>1.96*F98</f>
        <v>3.2070242517678424E-3</v>
      </c>
      <c r="G99" s="150">
        <f>1.96*G98</f>
        <v>1.0524151450076482E-3</v>
      </c>
      <c r="H99" s="150">
        <f>1.96*H98</f>
        <v>3.2498611361859741E-3</v>
      </c>
      <c r="I99" s="107"/>
      <c r="J99" s="107"/>
      <c r="K99" s="107"/>
    </row>
    <row r="100" spans="2:11" x14ac:dyDescent="0.3">
      <c r="D100" t="s">
        <v>478</v>
      </c>
      <c r="E100" t="s">
        <v>479</v>
      </c>
      <c r="F100" t="s">
        <v>480</v>
      </c>
      <c r="G100" t="s">
        <v>481</v>
      </c>
      <c r="H100" t="s">
        <v>482</v>
      </c>
    </row>
    <row r="101" spans="2:11" x14ac:dyDescent="0.3">
      <c r="B101" s="118" t="s">
        <v>375</v>
      </c>
      <c r="C101" s="8">
        <v>20</v>
      </c>
      <c r="D101" s="90" t="s">
        <v>524</v>
      </c>
      <c r="E101" s="91" t="s">
        <v>523</v>
      </c>
      <c r="F101" s="92" t="s">
        <v>525</v>
      </c>
      <c r="G101" s="124" t="s">
        <v>526</v>
      </c>
      <c r="H101" s="123" t="s">
        <v>527</v>
      </c>
      <c r="I101" s="212" t="s">
        <v>529</v>
      </c>
    </row>
    <row r="102" spans="2:11" x14ac:dyDescent="0.3">
      <c r="B102" s="106" t="s">
        <v>399</v>
      </c>
      <c r="C102" s="107" t="s">
        <v>28</v>
      </c>
      <c r="D102" s="108">
        <f>'88T_Seeds'!AL109</f>
        <v>1.1686435586737847</v>
      </c>
      <c r="E102" s="108">
        <f>'88T_Seeds'!AM109</f>
        <v>6.7576496368386589</v>
      </c>
      <c r="F102" s="108">
        <f>'88T_Seeds'!AN109</f>
        <v>58.941607025003279</v>
      </c>
      <c r="G102" s="108">
        <f>'88T_Seeds'!AO109</f>
        <v>21.852422134791453</v>
      </c>
      <c r="H102" s="108">
        <f>'88T_Seeds'!AP109</f>
        <v>11.279677644692837</v>
      </c>
      <c r="I102" s="111"/>
      <c r="J102" s="232" t="s">
        <v>77</v>
      </c>
      <c r="K102" s="233">
        <f>'88T_Seeds'!AS109</f>
        <v>0.94497894827037632</v>
      </c>
    </row>
    <row r="103" spans="2:11" x14ac:dyDescent="0.3">
      <c r="B103" s="107"/>
      <c r="C103" s="109" t="s">
        <v>39</v>
      </c>
      <c r="D103" s="110">
        <f>'88T_Seeds'!AL110</f>
        <v>0</v>
      </c>
      <c r="E103" s="110">
        <f>'88T_Seeds'!AM110</f>
        <v>7.6345688926890351E-2</v>
      </c>
      <c r="F103" s="110">
        <f>'88T_Seeds'!AN110</f>
        <v>0.14082499745821769</v>
      </c>
      <c r="G103" s="110">
        <f>'88T_Seeds'!AO110</f>
        <v>0.18142848011878043</v>
      </c>
      <c r="H103" s="110">
        <f>'88T_Seeds'!AP110</f>
        <v>0.18488913284391428</v>
      </c>
      <c r="I103" s="111"/>
      <c r="J103" s="232" t="s">
        <v>29</v>
      </c>
      <c r="K103" s="234">
        <f>'88T_Seeds'!AS110</f>
        <v>2.1390344995911837E-3</v>
      </c>
    </row>
    <row r="104" spans="2:11" x14ac:dyDescent="0.3">
      <c r="B104" s="107"/>
      <c r="C104" s="107" t="s">
        <v>30</v>
      </c>
      <c r="D104" s="108">
        <f>'88T_Seeds'!AL111</f>
        <v>100</v>
      </c>
      <c r="E104" s="108">
        <f>'88T_Seeds'!AM111</f>
        <v>89.877919012353431</v>
      </c>
      <c r="F104" s="108">
        <f>'88T_Seeds'!AN111</f>
        <v>99.070406022095511</v>
      </c>
      <c r="G104" s="108">
        <f>'88T_Seeds'!AO111</f>
        <v>90.800359491934117</v>
      </c>
      <c r="H104" s="108">
        <f>'88T_Seeds'!AP111</f>
        <v>79.965486896400463</v>
      </c>
      <c r="I104" s="111"/>
      <c r="J104" s="111"/>
      <c r="K104" s="111"/>
    </row>
    <row r="105" spans="2:11" x14ac:dyDescent="0.3">
      <c r="B105" s="107"/>
      <c r="C105" s="109" t="s">
        <v>39</v>
      </c>
      <c r="D105" s="110">
        <f>'88T_Seeds'!AL112</f>
        <v>0</v>
      </c>
      <c r="E105" s="110">
        <f>'88T_Seeds'!AM112</f>
        <v>1.0230769856004167</v>
      </c>
      <c r="F105" s="110">
        <f>'88T_Seeds'!AN112</f>
        <v>0.12250712461439517</v>
      </c>
      <c r="G105" s="110">
        <f>'88T_Seeds'!AO112</f>
        <v>0.75844646730943432</v>
      </c>
      <c r="H105" s="110">
        <f>'88T_Seeds'!AP112</f>
        <v>2.4667415158523145</v>
      </c>
      <c r="I105" s="111"/>
      <c r="J105" s="111"/>
      <c r="K105" s="111"/>
    </row>
    <row r="106" spans="2:11" x14ac:dyDescent="0.3">
      <c r="B106" s="107"/>
      <c r="C106" s="111" t="s">
        <v>31</v>
      </c>
      <c r="D106" s="112">
        <f>'88T_Seeds'!AL113</f>
        <v>100</v>
      </c>
      <c r="E106" s="112">
        <f>'88T_Seeds'!AM113</f>
        <v>99.705014749262531</v>
      </c>
      <c r="F106" s="112">
        <f>'88T_Seeds'!AN113</f>
        <v>96.918502500337894</v>
      </c>
      <c r="G106" s="112">
        <f>'88T_Seeds'!AO113</f>
        <v>91.356127545140225</v>
      </c>
      <c r="H106" s="112">
        <f>'88T_Seeds'!AP113</f>
        <v>83.749999999999986</v>
      </c>
      <c r="I106" s="111"/>
      <c r="J106" s="111"/>
      <c r="K106" s="111"/>
    </row>
    <row r="107" spans="2:11" x14ac:dyDescent="0.3">
      <c r="B107" s="107"/>
      <c r="C107" s="113" t="s">
        <v>39</v>
      </c>
      <c r="D107" s="114">
        <f>'88T_Seeds'!AL114</f>
        <v>0</v>
      </c>
      <c r="E107" s="114">
        <f>'88T_Seeds'!AM114</f>
        <v>0.2949852507374659</v>
      </c>
      <c r="F107" s="114">
        <f>'88T_Seeds'!AN114</f>
        <v>0.20092181559870553</v>
      </c>
      <c r="G107" s="114">
        <f>'88T_Seeds'!AO114</f>
        <v>0.55089568409461287</v>
      </c>
      <c r="H107" s="114">
        <f>'88T_Seeds'!AP114</f>
        <v>1.1912688532439153</v>
      </c>
      <c r="I107" s="107"/>
      <c r="J107" s="107"/>
      <c r="K107" s="107"/>
    </row>
    <row r="108" spans="2:11" x14ac:dyDescent="0.3">
      <c r="B108" s="107"/>
      <c r="C108" s="109" t="s">
        <v>56</v>
      </c>
      <c r="D108" s="110">
        <f>'88T_Seeds'!AL115</f>
        <v>100</v>
      </c>
      <c r="E108" s="110">
        <f>'88T_Seeds'!AM115</f>
        <v>88.830486202365307</v>
      </c>
      <c r="F108" s="110">
        <f>'88T_Seeds'!AN115</f>
        <v>98.038143413767173</v>
      </c>
      <c r="G108" s="110">
        <f>'88T_Seeds'!AO115</f>
        <v>91.903381642512073</v>
      </c>
      <c r="H108" s="110">
        <f>'88T_Seeds'!AP115</f>
        <v>78.939617083946985</v>
      </c>
      <c r="I108" s="107"/>
      <c r="J108" s="107"/>
      <c r="K108" s="107"/>
    </row>
    <row r="109" spans="2:11" x14ac:dyDescent="0.3">
      <c r="B109" s="115" t="s">
        <v>409</v>
      </c>
      <c r="C109" s="107" t="s">
        <v>9</v>
      </c>
      <c r="D109" s="116">
        <f>'88T_Seeds'!AL116</f>
        <v>2318.36</v>
      </c>
      <c r="E109" s="116">
        <f>'88T_Seeds'!AM116</f>
        <v>12084.55</v>
      </c>
      <c r="F109" s="116">
        <f>'88T_Seeds'!AN116</f>
        <v>119524.8</v>
      </c>
      <c r="G109" s="116">
        <f>'88T_Seeds'!AO116</f>
        <v>43087.199999999997</v>
      </c>
      <c r="H109" s="116">
        <f>'88T_Seeds'!AP116</f>
        <v>21365.51</v>
      </c>
      <c r="I109" s="144">
        <f>$K$1-K109</f>
        <v>809.5800000000163</v>
      </c>
      <c r="J109" s="115" t="s">
        <v>36</v>
      </c>
      <c r="K109" s="137">
        <f t="shared" ref="K109:K110" si="26">SUM(D109:H109)</f>
        <v>198380.41999999998</v>
      </c>
    </row>
    <row r="110" spans="2:11" x14ac:dyDescent="0.3">
      <c r="B110" s="115" t="s">
        <v>378</v>
      </c>
      <c r="C110" s="107" t="s">
        <v>467</v>
      </c>
      <c r="D110" s="108">
        <f>'88T_Seeds'!AL117</f>
        <v>2318.36</v>
      </c>
      <c r="E110" s="108">
        <f>'88T_Seeds'!AM117</f>
        <v>13405.853731689007</v>
      </c>
      <c r="F110" s="108">
        <f>'88T_Seeds'!AN117</f>
        <v>116928.607570951</v>
      </c>
      <c r="G110" s="108">
        <f>'88T_Seeds'!AO117</f>
        <v>43350.926811172249</v>
      </c>
      <c r="H110" s="108">
        <f>'88T_Seeds'!AP117</f>
        <v>22376.671886187756</v>
      </c>
      <c r="I110" s="144">
        <f>$K$1-K110</f>
        <v>809.57999999998719</v>
      </c>
      <c r="J110" s="115" t="s">
        <v>36</v>
      </c>
      <c r="K110" s="137">
        <f t="shared" si="26"/>
        <v>198380.42</v>
      </c>
    </row>
    <row r="111" spans="2:11" x14ac:dyDescent="0.3">
      <c r="B111" s="115"/>
      <c r="C111" s="107" t="s">
        <v>533</v>
      </c>
      <c r="D111" s="147">
        <f t="shared" ref="D111:I111" si="27">D110/$K$1</f>
        <v>1.1638937697675586E-2</v>
      </c>
      <c r="E111" s="147">
        <f t="shared" si="27"/>
        <v>6.7301841114960625E-2</v>
      </c>
      <c r="F111" s="147">
        <f t="shared" si="27"/>
        <v>0.58702047076133845</v>
      </c>
      <c r="G111" s="147">
        <f t="shared" si="27"/>
        <v>0.21763606009926326</v>
      </c>
      <c r="H111" s="147">
        <f t="shared" si="27"/>
        <v>0.11233832966608644</v>
      </c>
      <c r="I111" s="147">
        <f t="shared" si="27"/>
        <v>4.0643606606756725E-3</v>
      </c>
      <c r="J111" s="145">
        <f>SUM(D111:I111)</f>
        <v>1</v>
      </c>
      <c r="K111" s="137"/>
    </row>
    <row r="112" spans="2:11" x14ac:dyDescent="0.3">
      <c r="B112" s="107"/>
      <c r="C112" s="107" t="s">
        <v>377</v>
      </c>
      <c r="D112" s="108">
        <f>'88T_Seeds'!AL118</f>
        <v>0</v>
      </c>
      <c r="E112" s="108">
        <f>'88T_Seeds'!AM118</f>
        <v>151.45489834505855</v>
      </c>
      <c r="F112" s="108">
        <f>'88T_Seeds'!AN118</f>
        <v>279.36922142260153</v>
      </c>
      <c r="G112" s="108">
        <f>'88T_Seeds'!AO118</f>
        <v>359.9185808592531</v>
      </c>
      <c r="H112" s="108">
        <f>'88T_Seeds'!AP118</f>
        <v>366.7838382701151</v>
      </c>
      <c r="I112" s="107"/>
      <c r="J112" s="107"/>
      <c r="K112" s="107"/>
    </row>
    <row r="113" spans="2:11" x14ac:dyDescent="0.3">
      <c r="B113" s="107"/>
      <c r="C113" s="148" t="s">
        <v>538</v>
      </c>
      <c r="D113" s="108">
        <f>1.96*D112</f>
        <v>0</v>
      </c>
      <c r="E113" s="108">
        <f>1.96*E112</f>
        <v>296.85160075631478</v>
      </c>
      <c r="F113" s="108">
        <f>1.96*F112</f>
        <v>547.563673988299</v>
      </c>
      <c r="G113" s="108">
        <f>1.96*G112</f>
        <v>705.4404184841361</v>
      </c>
      <c r="H113" s="108">
        <f>1.96*H112</f>
        <v>718.8963230094256</v>
      </c>
      <c r="I113" s="107"/>
      <c r="J113" s="107"/>
      <c r="K113" s="107"/>
    </row>
    <row r="114" spans="2:11" x14ac:dyDescent="0.3">
      <c r="B114" s="107"/>
      <c r="C114" s="148" t="s">
        <v>537</v>
      </c>
      <c r="D114" s="149">
        <f>D112/$K$1</f>
        <v>0</v>
      </c>
      <c r="E114" s="149">
        <f>E112/$K$1</f>
        <v>7.6035392512203699E-4</v>
      </c>
      <c r="F114" s="149">
        <f>F112/$K$1</f>
        <v>1.4025263387850873E-3</v>
      </c>
      <c r="G114" s="149">
        <f>G112/$K$1</f>
        <v>1.8069108934145946E-3</v>
      </c>
      <c r="H114" s="149">
        <f>H112/$K$1</f>
        <v>1.8413767672579703E-3</v>
      </c>
      <c r="I114" s="107"/>
      <c r="J114" s="107"/>
      <c r="K114" s="107"/>
    </row>
    <row r="115" spans="2:11" x14ac:dyDescent="0.3">
      <c r="B115" s="107"/>
      <c r="C115" s="129" t="s">
        <v>539</v>
      </c>
      <c r="D115" s="150">
        <f>1.96*D114</f>
        <v>0</v>
      </c>
      <c r="E115" s="150">
        <f>1.96*E114</f>
        <v>1.4902936932391926E-3</v>
      </c>
      <c r="F115" s="150">
        <f>1.96*F114</f>
        <v>2.748951624018771E-3</v>
      </c>
      <c r="G115" s="150">
        <f>1.96*G114</f>
        <v>3.5415453510926052E-3</v>
      </c>
      <c r="H115" s="150">
        <f>1.96*H114</f>
        <v>3.6090984638256218E-3</v>
      </c>
      <c r="I115" s="107"/>
      <c r="J115" s="107"/>
      <c r="K115" s="107"/>
    </row>
    <row r="116" spans="2:11" x14ac:dyDescent="0.3">
      <c r="B116" s="115" t="s">
        <v>410</v>
      </c>
      <c r="C116" s="122" t="s">
        <v>9</v>
      </c>
      <c r="D116" s="136">
        <f>'88T_Seeds'!AL119</f>
        <v>2316.54</v>
      </c>
      <c r="E116" s="136">
        <f>'88T_Seeds'!AM119</f>
        <v>12090.2605</v>
      </c>
      <c r="F116" s="140">
        <f>'88T_Seeds'!AN119</f>
        <v>119374.80349999999</v>
      </c>
      <c r="G116" s="136">
        <f>'88T_Seeds'!AO119</f>
        <v>43041.758499999996</v>
      </c>
      <c r="H116" s="136">
        <f>'88T_Seeds'!AP119</f>
        <v>21557.055499999999</v>
      </c>
      <c r="I116" s="107"/>
      <c r="J116" s="115" t="s">
        <v>36</v>
      </c>
      <c r="K116" s="137">
        <f t="shared" ref="K116" si="28">SUM(D116:H116)</f>
        <v>198380.41799999998</v>
      </c>
    </row>
    <row r="117" spans="2:11" x14ac:dyDescent="0.3">
      <c r="B117" s="107"/>
      <c r="C117" s="148" t="s">
        <v>394</v>
      </c>
      <c r="D117" s="108">
        <f>'88T_Seeds'!AL120</f>
        <v>5.0196240685407663</v>
      </c>
      <c r="E117" s="108">
        <f>'88T_Seeds'!AM120</f>
        <v>48.504249924891269</v>
      </c>
      <c r="F117" s="108">
        <f>'88T_Seeds'!AN120</f>
        <v>85.010288554649634</v>
      </c>
      <c r="G117" s="108">
        <f>'88T_Seeds'!AO120</f>
        <v>47.774415302682165</v>
      </c>
      <c r="H117" s="108">
        <f>'88T_Seeds'!AP120</f>
        <v>65.725971612905951</v>
      </c>
      <c r="I117" s="107"/>
      <c r="J117" s="107"/>
      <c r="K117" s="107"/>
    </row>
    <row r="118" spans="2:11" x14ac:dyDescent="0.3">
      <c r="B118" s="107"/>
      <c r="C118" s="148" t="s">
        <v>538</v>
      </c>
      <c r="D118" s="108">
        <f>1.96*D117</f>
        <v>9.8384631743399016</v>
      </c>
      <c r="E118" s="108">
        <f>1.96*E117</f>
        <v>95.068329852786889</v>
      </c>
      <c r="F118" s="108">
        <f>1.96*F117</f>
        <v>166.62016556711328</v>
      </c>
      <c r="G118" s="108">
        <f>1.96*G117</f>
        <v>93.637853993257039</v>
      </c>
      <c r="H118" s="108">
        <f>1.96*H117</f>
        <v>128.82290436129566</v>
      </c>
      <c r="I118" s="107"/>
      <c r="J118" s="107"/>
      <c r="K118" s="107"/>
    </row>
    <row r="119" spans="2:11" x14ac:dyDescent="0.3">
      <c r="B119" s="107"/>
      <c r="C119" s="148" t="s">
        <v>537</v>
      </c>
      <c r="D119" s="149">
        <f>D117/$K$1</f>
        <v>2.5200181076061883E-5</v>
      </c>
      <c r="E119" s="149">
        <f>E117/$K$1</f>
        <v>2.4350745481646301E-4</v>
      </c>
      <c r="F119" s="149">
        <f>F117/$K$1</f>
        <v>4.2677990137381208E-4</v>
      </c>
      <c r="G119" s="149">
        <f>G117/$K$1</f>
        <v>2.3984344245535502E-4</v>
      </c>
      <c r="H119" s="149">
        <f>H117/$K$1</f>
        <v>3.2996622126063531E-4</v>
      </c>
      <c r="I119" s="107"/>
      <c r="J119" s="107"/>
      <c r="K119" s="107"/>
    </row>
    <row r="120" spans="2:11" x14ac:dyDescent="0.3">
      <c r="B120" s="141"/>
      <c r="C120" s="129" t="s">
        <v>539</v>
      </c>
      <c r="D120" s="150">
        <f>1.96*D119</f>
        <v>4.9392354909081288E-5</v>
      </c>
      <c r="E120" s="150">
        <f>1.96*E119</f>
        <v>4.7727461144026747E-4</v>
      </c>
      <c r="F120" s="150">
        <f>1.96*F119</f>
        <v>8.3648860669267172E-4</v>
      </c>
      <c r="G120" s="150">
        <f>1.96*G119</f>
        <v>4.7009314721249582E-4</v>
      </c>
      <c r="H120" s="150">
        <f>1.96*H119</f>
        <v>6.4673379367084522E-4</v>
      </c>
      <c r="I120" s="107"/>
      <c r="J120" s="107"/>
      <c r="K120" s="107"/>
    </row>
    <row r="121" spans="2:11" x14ac:dyDescent="0.3">
      <c r="B121" s="119" t="s">
        <v>400</v>
      </c>
      <c r="C121" s="107"/>
      <c r="D121" s="116"/>
      <c r="E121" s="116"/>
      <c r="F121" s="116"/>
      <c r="G121" s="116"/>
      <c r="H121" s="116"/>
      <c r="I121" s="107"/>
      <c r="J121" s="107"/>
      <c r="K121" s="107"/>
    </row>
    <row r="122" spans="2:11" x14ac:dyDescent="0.3">
      <c r="B122" s="115" t="s">
        <v>409</v>
      </c>
      <c r="C122" s="122" t="s">
        <v>9</v>
      </c>
      <c r="D122" s="136">
        <f>'88T_Seeds'!AL122</f>
        <v>289.81</v>
      </c>
      <c r="E122" s="136">
        <f>'88T_Seeds'!AM122</f>
        <v>2354.4299999999998</v>
      </c>
      <c r="F122" s="136">
        <f>'88T_Seeds'!AN122</f>
        <v>16262.74</v>
      </c>
      <c r="G122" s="136">
        <f>'88T_Seeds'!AO122</f>
        <v>2055.6999999999998</v>
      </c>
      <c r="H122" s="136">
        <f>'88T_Seeds'!AP122</f>
        <v>1182.26</v>
      </c>
      <c r="I122" s="108">
        <f>$K$2-K122</f>
        <v>21.340000000000146</v>
      </c>
      <c r="J122" s="115" t="s">
        <v>36</v>
      </c>
      <c r="K122" s="137">
        <f t="shared" ref="K122" si="29">SUM(D122:H122)</f>
        <v>22144.94</v>
      </c>
    </row>
    <row r="123" spans="2:11" x14ac:dyDescent="0.3">
      <c r="B123" s="107"/>
      <c r="C123" s="107" t="s">
        <v>533</v>
      </c>
      <c r="D123" s="151">
        <f t="shared" ref="D123:I123" si="30">D122/$K$2</f>
        <v>1.3074363402429276E-2</v>
      </c>
      <c r="E123" s="151">
        <f t="shared" si="30"/>
        <v>0.10621674002132969</v>
      </c>
      <c r="F123" s="151">
        <f t="shared" si="30"/>
        <v>0.73367024146586624</v>
      </c>
      <c r="G123" s="151">
        <f t="shared" si="30"/>
        <v>9.2739963584327179E-2</v>
      </c>
      <c r="H123" s="151">
        <f t="shared" si="30"/>
        <v>5.3335967965757E-2</v>
      </c>
      <c r="I123" s="147">
        <f t="shared" si="30"/>
        <v>9.6272356029068241E-4</v>
      </c>
      <c r="J123" s="145">
        <f>SUM(D123:I123)</f>
        <v>1</v>
      </c>
      <c r="K123" s="107"/>
    </row>
    <row r="124" spans="2:11" x14ac:dyDescent="0.3">
      <c r="B124" s="115" t="s">
        <v>410</v>
      </c>
      <c r="C124" s="122" t="s">
        <v>9</v>
      </c>
      <c r="D124" s="140">
        <f>'88T_Seeds'!AL124</f>
        <v>288.91899999999998</v>
      </c>
      <c r="E124" s="140">
        <f>'88T_Seeds'!AM124</f>
        <v>2409.4080000000004</v>
      </c>
      <c r="F124" s="136">
        <f>'88T_Seeds'!AN124</f>
        <v>16188.861500000003</v>
      </c>
      <c r="G124" s="136">
        <f>'88T_Seeds'!AO124</f>
        <v>2052.3989999999999</v>
      </c>
      <c r="H124" s="136">
        <f>'88T_Seeds'!AP124</f>
        <v>1205.3570000000002</v>
      </c>
      <c r="I124" s="108">
        <f>$K$2-K124</f>
        <v>21.335499999993772</v>
      </c>
      <c r="J124" s="115" t="s">
        <v>36</v>
      </c>
      <c r="K124" s="137">
        <f t="shared" ref="K124" si="31">SUM(D124:H124)</f>
        <v>22144.944500000005</v>
      </c>
    </row>
    <row r="125" spans="2:11" x14ac:dyDescent="0.3">
      <c r="B125" s="115"/>
      <c r="C125" s="141" t="s">
        <v>533</v>
      </c>
      <c r="D125" s="151">
        <f t="shared" ref="D125:I125" si="32">D124/$K$2</f>
        <v>1.3034167212540851E-2</v>
      </c>
      <c r="E125" s="151">
        <f t="shared" si="32"/>
        <v>0.10869699381222291</v>
      </c>
      <c r="F125" s="151">
        <f t="shared" si="32"/>
        <v>0.73033731866600993</v>
      </c>
      <c r="G125" s="151">
        <f t="shared" si="32"/>
        <v>9.2591043693393743E-2</v>
      </c>
      <c r="H125" s="151">
        <f t="shared" si="32"/>
        <v>5.4377956066602076E-2</v>
      </c>
      <c r="I125" s="147">
        <f t="shared" si="32"/>
        <v>9.625205492303523E-4</v>
      </c>
      <c r="J125" s="145">
        <f>SUM(D125:I125)</f>
        <v>1</v>
      </c>
      <c r="K125" s="137"/>
    </row>
    <row r="126" spans="2:11" x14ac:dyDescent="0.3">
      <c r="B126" s="107"/>
      <c r="C126" s="148" t="s">
        <v>394</v>
      </c>
      <c r="D126" s="108">
        <f>'88T_Seeds'!AL125</f>
        <v>0.98656845469002963</v>
      </c>
      <c r="E126" s="108">
        <f>'88T_Seeds'!AM125</f>
        <v>18.643322165548199</v>
      </c>
      <c r="F126" s="108">
        <f>'88T_Seeds'!AN125</f>
        <v>20.081416078645542</v>
      </c>
      <c r="G126" s="108">
        <f>'88T_Seeds'!AO125</f>
        <v>5.7374672066486232</v>
      </c>
      <c r="H126" s="108">
        <f>'88T_Seeds'!AP125</f>
        <v>7.2552982128851671</v>
      </c>
      <c r="I126" s="107"/>
      <c r="J126" s="107"/>
      <c r="K126" s="107"/>
    </row>
    <row r="127" spans="2:11" x14ac:dyDescent="0.3">
      <c r="B127" s="107"/>
      <c r="C127" s="148" t="s">
        <v>538</v>
      </c>
      <c r="D127" s="108">
        <f>1.96*D126</f>
        <v>1.9336741711924581</v>
      </c>
      <c r="E127" s="108">
        <f>1.96*E126</f>
        <v>36.540911444474467</v>
      </c>
      <c r="F127" s="108">
        <f>1.96*F126</f>
        <v>39.359575514145263</v>
      </c>
      <c r="G127" s="108">
        <f>1.96*G126</f>
        <v>11.245435725031301</v>
      </c>
      <c r="H127" s="108">
        <f>1.96*H126</f>
        <v>14.220384497254928</v>
      </c>
      <c r="I127" s="107"/>
      <c r="J127" s="107"/>
      <c r="K127" s="107"/>
    </row>
    <row r="128" spans="2:11" x14ac:dyDescent="0.3">
      <c r="B128" s="107"/>
      <c r="C128" s="148" t="s">
        <v>537</v>
      </c>
      <c r="D128" s="149">
        <f>D126/$K$2</f>
        <v>4.4507623953592108E-5</v>
      </c>
      <c r="E128" s="149">
        <f>E126/$K$2</f>
        <v>8.4106679900949552E-4</v>
      </c>
      <c r="F128" s="149">
        <f>F126/$K$2</f>
        <v>9.0594434784030268E-4</v>
      </c>
      <c r="G128" s="149">
        <f>G126/$K$2</f>
        <v>2.5883762212913596E-4</v>
      </c>
      <c r="H128" s="149">
        <f>H126/$K$2</f>
        <v>3.273123958050321E-4</v>
      </c>
      <c r="I128" s="107"/>
      <c r="J128" s="107"/>
      <c r="K128" s="107"/>
    </row>
    <row r="129" spans="2:11" x14ac:dyDescent="0.3">
      <c r="B129" s="141"/>
      <c r="C129" s="129" t="s">
        <v>539</v>
      </c>
      <c r="D129" s="150">
        <f>1.96*D128</f>
        <v>8.7234942949040531E-5</v>
      </c>
      <c r="E129" s="150">
        <f>1.96*E128</f>
        <v>1.6484909260586112E-3</v>
      </c>
      <c r="F129" s="150">
        <f>1.96*F128</f>
        <v>1.7756509217669932E-3</v>
      </c>
      <c r="G129" s="150">
        <f>1.96*G128</f>
        <v>5.073217393731065E-4</v>
      </c>
      <c r="H129" s="150">
        <f>1.96*H128</f>
        <v>6.4153229577786292E-4</v>
      </c>
      <c r="I129" s="107"/>
      <c r="J129" s="107"/>
      <c r="K129" s="107"/>
    </row>
    <row r="130" spans="2:11" x14ac:dyDescent="0.3">
      <c r="B130" s="119" t="s">
        <v>425</v>
      </c>
      <c r="C130" s="107"/>
      <c r="D130" s="116"/>
      <c r="E130" s="116"/>
      <c r="F130" s="116"/>
      <c r="G130" s="116"/>
      <c r="H130" s="116"/>
      <c r="I130" s="107"/>
      <c r="J130" s="107"/>
      <c r="K130" s="107"/>
    </row>
    <row r="131" spans="2:11" x14ac:dyDescent="0.3">
      <c r="B131" s="115" t="s">
        <v>409</v>
      </c>
      <c r="C131" s="122" t="s">
        <v>9</v>
      </c>
      <c r="D131" s="136">
        <f>'88T_Seeds'!AL127</f>
        <v>31.34</v>
      </c>
      <c r="E131" s="140">
        <f>'88T_Seeds'!AM127</f>
        <v>90.99</v>
      </c>
      <c r="F131" s="136">
        <f>'88T_Seeds'!AN127</f>
        <v>16323.8</v>
      </c>
      <c r="G131" s="136">
        <f>'88T_Seeds'!AO127</f>
        <v>15088.63</v>
      </c>
      <c r="H131" s="136">
        <f>'88T_Seeds'!AP127</f>
        <v>11691.88</v>
      </c>
      <c r="I131" s="108">
        <f>$K$3-K131</f>
        <v>191.44999999999709</v>
      </c>
      <c r="J131" s="115" t="s">
        <v>36</v>
      </c>
      <c r="K131" s="137">
        <f t="shared" ref="K131" si="33">SUM(D131:H131)</f>
        <v>43226.64</v>
      </c>
    </row>
    <row r="132" spans="2:11" x14ac:dyDescent="0.3">
      <c r="B132" s="107"/>
      <c r="C132" s="107" t="s">
        <v>533</v>
      </c>
      <c r="D132" s="146">
        <f t="shared" ref="D132:I132" si="34">D131/$K$3</f>
        <v>7.2181894689517668E-4</v>
      </c>
      <c r="E132" s="146">
        <f t="shared" si="34"/>
        <v>2.0956702609442285E-3</v>
      </c>
      <c r="F132" s="146">
        <f t="shared" si="34"/>
        <v>0.37596771299704801</v>
      </c>
      <c r="G132" s="146">
        <f t="shared" si="34"/>
        <v>0.3475194325683143</v>
      </c>
      <c r="H132" s="146">
        <f t="shared" si="34"/>
        <v>0.26928591285337516</v>
      </c>
      <c r="I132" s="146">
        <f t="shared" si="34"/>
        <v>4.4094523734230845E-3</v>
      </c>
      <c r="J132" s="145">
        <f>SUM(D132:I132)</f>
        <v>1</v>
      </c>
      <c r="K132" s="107"/>
    </row>
    <row r="133" spans="2:11" x14ac:dyDescent="0.3">
      <c r="B133" s="115" t="s">
        <v>410</v>
      </c>
      <c r="C133" s="122" t="s">
        <v>9</v>
      </c>
      <c r="D133" s="136">
        <f>'88T_Seeds'!AL129</f>
        <v>32.717500000000001</v>
      </c>
      <c r="E133" s="136">
        <f>'88T_Seeds'!AM129</f>
        <v>96.595500000000015</v>
      </c>
      <c r="F133" s="136">
        <f>'88T_Seeds'!AN129</f>
        <v>16288.934999999998</v>
      </c>
      <c r="G133" s="136">
        <f>'88T_Seeds'!AO129</f>
        <v>15071.924499999999</v>
      </c>
      <c r="H133" s="136">
        <f>'88T_Seeds'!AP129</f>
        <v>11736.458500000001</v>
      </c>
      <c r="I133" s="108">
        <f>$K$3-K133</f>
        <v>191.45900000000256</v>
      </c>
      <c r="J133" s="115" t="s">
        <v>36</v>
      </c>
      <c r="K133" s="137">
        <f t="shared" ref="K133" si="35">SUM(D133:H133)</f>
        <v>43226.630999999994</v>
      </c>
    </row>
    <row r="134" spans="2:11" x14ac:dyDescent="0.3">
      <c r="B134" s="115"/>
      <c r="C134" s="141" t="s">
        <v>533</v>
      </c>
      <c r="D134" s="151">
        <f t="shared" ref="D134:I134" si="36">D133/$K$3</f>
        <v>7.5354535402179148E-4</v>
      </c>
      <c r="E134" s="151">
        <f t="shared" si="36"/>
        <v>2.2247754334656367E-3</v>
      </c>
      <c r="F134" s="151">
        <f t="shared" si="36"/>
        <v>0.37516470669253299</v>
      </c>
      <c r="G134" s="151">
        <f t="shared" si="36"/>
        <v>0.34713467358881978</v>
      </c>
      <c r="H134" s="151">
        <f t="shared" si="36"/>
        <v>0.27031263927086618</v>
      </c>
      <c r="I134" s="146">
        <f t="shared" si="36"/>
        <v>4.4096596602937292E-3</v>
      </c>
      <c r="J134" s="145">
        <f>SUM(D134:I134)</f>
        <v>1.0000000000000002</v>
      </c>
      <c r="K134" s="137"/>
    </row>
    <row r="135" spans="2:11" x14ac:dyDescent="0.3">
      <c r="B135" s="107"/>
      <c r="C135" s="148" t="s">
        <v>394</v>
      </c>
      <c r="D135" s="108">
        <f>'88T_Seeds'!AL130</f>
        <v>2.1386196821166767</v>
      </c>
      <c r="E135" s="108">
        <f>'88T_Seeds'!AM130</f>
        <v>1.3248573855722219</v>
      </c>
      <c r="F135" s="108">
        <f>'88T_Seeds'!AN130</f>
        <v>17.0732866675277</v>
      </c>
      <c r="G135" s="108">
        <f>'88T_Seeds'!AO130</f>
        <v>21.794939254150393</v>
      </c>
      <c r="H135" s="108">
        <f>'88T_Seeds'!AP130</f>
        <v>22.419840617244201</v>
      </c>
      <c r="I135" s="107"/>
      <c r="J135" s="107"/>
      <c r="K135" s="107"/>
    </row>
    <row r="136" spans="2:11" x14ac:dyDescent="0.3">
      <c r="B136" s="107"/>
      <c r="C136" s="148" t="s">
        <v>538</v>
      </c>
      <c r="D136" s="108">
        <f>1.96*D135</f>
        <v>4.1916945769486862</v>
      </c>
      <c r="E136" s="108">
        <f>1.96*E135</f>
        <v>2.596720475721555</v>
      </c>
      <c r="F136" s="108">
        <f>1.96*F135</f>
        <v>33.463641868354294</v>
      </c>
      <c r="G136" s="108">
        <f>1.96*G135</f>
        <v>42.718080938134769</v>
      </c>
      <c r="H136" s="108">
        <f>1.96*H135</f>
        <v>43.942887609798632</v>
      </c>
      <c r="I136" s="107"/>
      <c r="J136" s="107"/>
      <c r="K136" s="107"/>
    </row>
    <row r="137" spans="2:11" x14ac:dyDescent="0.3">
      <c r="B137" s="107"/>
      <c r="C137" s="148" t="s">
        <v>537</v>
      </c>
      <c r="D137" s="149">
        <f>D135/$K$3</f>
        <v>4.9256420126188806E-5</v>
      </c>
      <c r="E137" s="149">
        <f>E135/$K$3</f>
        <v>3.0513949037652783E-5</v>
      </c>
      <c r="F137" s="149">
        <f>F135/$K$3</f>
        <v>3.9322979586452791E-4</v>
      </c>
      <c r="G137" s="149">
        <f>G135/$K$3</f>
        <v>5.0197830568204157E-4</v>
      </c>
      <c r="H137" s="149">
        <f>H135/$K$3</f>
        <v>5.1637095545299671E-4</v>
      </c>
      <c r="I137" s="107"/>
      <c r="J137" s="107"/>
      <c r="K137" s="107"/>
    </row>
    <row r="138" spans="2:11" x14ac:dyDescent="0.3">
      <c r="B138" s="141"/>
      <c r="C138" s="129" t="s">
        <v>539</v>
      </c>
      <c r="D138" s="150">
        <f>1.96*D137</f>
        <v>9.6542583447330053E-5</v>
      </c>
      <c r="E138" s="150">
        <f>1.96*E137</f>
        <v>5.9807340113799454E-5</v>
      </c>
      <c r="F138" s="150">
        <f>1.96*F137</f>
        <v>7.707303998944747E-4</v>
      </c>
      <c r="G138" s="150">
        <f>1.96*G137</f>
        <v>9.8387747913680139E-4</v>
      </c>
      <c r="H138" s="150">
        <f>1.96*H137</f>
        <v>1.0120870726878736E-3</v>
      </c>
      <c r="I138" s="107"/>
      <c r="J138" s="107"/>
      <c r="K138" s="107"/>
    </row>
    <row r="139" spans="2:11" x14ac:dyDescent="0.3">
      <c r="B139" s="119" t="s">
        <v>426</v>
      </c>
      <c r="C139" s="107"/>
      <c r="D139" s="116"/>
      <c r="E139" s="116"/>
      <c r="F139" s="116"/>
      <c r="G139" s="116"/>
      <c r="H139" s="116"/>
      <c r="I139" s="107"/>
      <c r="J139" s="107"/>
      <c r="K139" s="107"/>
    </row>
    <row r="140" spans="2:11" x14ac:dyDescent="0.3">
      <c r="B140" s="115" t="s">
        <v>409</v>
      </c>
      <c r="C140" s="122" t="s">
        <v>9</v>
      </c>
      <c r="D140" s="136">
        <f>'88T_Seeds'!AL132</f>
        <v>0</v>
      </c>
      <c r="E140" s="136">
        <f>'88T_Seeds'!AM132</f>
        <v>2.08</v>
      </c>
      <c r="F140" s="136">
        <f>'88T_Seeds'!AN132</f>
        <v>1351.07</v>
      </c>
      <c r="G140" s="136">
        <f>'88T_Seeds'!AO132</f>
        <v>438.75</v>
      </c>
      <c r="H140" s="136">
        <f>'88T_Seeds'!AP132</f>
        <v>61.32</v>
      </c>
      <c r="I140" s="108">
        <f>$K$4-K140</f>
        <v>8.3300000000001546</v>
      </c>
      <c r="J140" s="115" t="s">
        <v>36</v>
      </c>
      <c r="K140" s="137">
        <f t="shared" ref="K140" si="37">SUM(D140:H140)</f>
        <v>1853.2199999999998</v>
      </c>
    </row>
    <row r="141" spans="2:11" x14ac:dyDescent="0.3">
      <c r="B141" s="107"/>
      <c r="C141" s="107" t="s">
        <v>533</v>
      </c>
      <c r="D141" s="151">
        <f t="shared" ref="D141:I141" si="38">D140/$K$4</f>
        <v>0</v>
      </c>
      <c r="E141" s="151">
        <f t="shared" si="38"/>
        <v>1.1173484461873171E-3</v>
      </c>
      <c r="F141" s="151">
        <f t="shared" si="38"/>
        <v>0.72577690634148961</v>
      </c>
      <c r="G141" s="151">
        <f t="shared" si="38"/>
        <v>0.23569068786763719</v>
      </c>
      <c r="H141" s="151">
        <f t="shared" si="38"/>
        <v>3.2940291692406864E-2</v>
      </c>
      <c r="I141" s="147">
        <f t="shared" si="38"/>
        <v>4.4747656522790983E-3</v>
      </c>
      <c r="J141" s="145">
        <f>SUM(D141:I141)</f>
        <v>1</v>
      </c>
      <c r="K141" s="107"/>
    </row>
    <row r="142" spans="2:11" x14ac:dyDescent="0.3">
      <c r="B142" s="115" t="s">
        <v>410</v>
      </c>
      <c r="C142" s="122" t="s">
        <v>9</v>
      </c>
      <c r="D142" s="136">
        <f>'88T_Seeds'!AL134</f>
        <v>0</v>
      </c>
      <c r="E142" s="136">
        <f>'88T_Seeds'!AM134</f>
        <v>2.4165000000000001</v>
      </c>
      <c r="F142" s="136">
        <f>'88T_Seeds'!AN134</f>
        <v>1347.154</v>
      </c>
      <c r="G142" s="136">
        <f>'88T_Seeds'!AO134</f>
        <v>439.12699999999995</v>
      </c>
      <c r="H142" s="136">
        <f>'88T_Seeds'!AP134</f>
        <v>64.524000000000001</v>
      </c>
      <c r="I142" s="108">
        <f>$K$4-K142</f>
        <v>8.328499999999849</v>
      </c>
      <c r="J142" s="115" t="s">
        <v>36</v>
      </c>
      <c r="K142" s="137">
        <f t="shared" ref="K142" si="39">SUM(D142:H142)</f>
        <v>1853.2215000000001</v>
      </c>
    </row>
    <row r="143" spans="2:11" x14ac:dyDescent="0.3">
      <c r="B143" s="115"/>
      <c r="C143" s="141" t="s">
        <v>533</v>
      </c>
      <c r="D143" s="151">
        <f t="shared" ref="D143:I143" si="40">D142/$K$4</f>
        <v>0</v>
      </c>
      <c r="E143" s="151">
        <f t="shared" si="40"/>
        <v>1.2981117885632941E-3</v>
      </c>
      <c r="F143" s="151">
        <f t="shared" si="40"/>
        <v>0.72367328301684086</v>
      </c>
      <c r="G143" s="151">
        <f t="shared" si="40"/>
        <v>0.23589320727350863</v>
      </c>
      <c r="H143" s="151">
        <f t="shared" si="40"/>
        <v>3.4661438048937718E-2</v>
      </c>
      <c r="I143" s="147">
        <f t="shared" si="40"/>
        <v>4.473959872149472E-3</v>
      </c>
      <c r="J143" s="145">
        <f>SUM(D143:I143)</f>
        <v>1</v>
      </c>
      <c r="K143" s="137"/>
    </row>
    <row r="144" spans="2:11" x14ac:dyDescent="0.3">
      <c r="B144" s="107"/>
      <c r="C144" s="148" t="s">
        <v>394</v>
      </c>
      <c r="D144" s="108">
        <f>'88T_Seeds'!AL135</f>
        <v>0</v>
      </c>
      <c r="E144" s="108">
        <f>'88T_Seeds'!AM135</f>
        <v>9.4491088413001162E-2</v>
      </c>
      <c r="F144" s="108">
        <f>'88T_Seeds'!AN135</f>
        <v>1.1122469907448884</v>
      </c>
      <c r="G144" s="108">
        <f>'88T_Seeds'!AO135</f>
        <v>0.93749136136370881</v>
      </c>
      <c r="H144" s="108">
        <f>'88T_Seeds'!AP135</f>
        <v>0.66632155979874408</v>
      </c>
      <c r="I144" s="107"/>
      <c r="J144" s="107"/>
      <c r="K144" s="107"/>
    </row>
    <row r="145" spans="2:11" x14ac:dyDescent="0.3">
      <c r="B145" s="107"/>
      <c r="C145" s="148" t="s">
        <v>538</v>
      </c>
      <c r="D145" s="108">
        <f>1.96*D144</f>
        <v>0</v>
      </c>
      <c r="E145" s="108">
        <f>1.96*E144</f>
        <v>0.18520253328948227</v>
      </c>
      <c r="F145" s="108">
        <f>1.96*F144</f>
        <v>2.1800041018599812</v>
      </c>
      <c r="G145" s="108">
        <f>1.96*G144</f>
        <v>1.8374830682728693</v>
      </c>
      <c r="H145" s="108">
        <f>1.96*H144</f>
        <v>1.3059902572055384</v>
      </c>
      <c r="I145" s="107"/>
      <c r="J145" s="107"/>
      <c r="K145" s="107"/>
    </row>
    <row r="146" spans="2:11" x14ac:dyDescent="0.3">
      <c r="B146" s="107"/>
      <c r="C146" s="148" t="s">
        <v>537</v>
      </c>
      <c r="D146" s="149">
        <f>D144/$K$4</f>
        <v>0</v>
      </c>
      <c r="E146" s="149">
        <f>E144/$K$4</f>
        <v>5.0759360969622716E-5</v>
      </c>
      <c r="F146" s="149">
        <f>F144/$K$4</f>
        <v>5.9748434946409624E-4</v>
      </c>
      <c r="G146" s="149">
        <f>G144/$K$4</f>
        <v>5.0360794035277524E-4</v>
      </c>
      <c r="H146" s="149">
        <f>H144/$K$4</f>
        <v>3.5793911514530582E-4</v>
      </c>
      <c r="I146" s="107"/>
      <c r="J146" s="107"/>
      <c r="K146" s="137">
        <f t="shared" ref="K146" si="41">SUM(D146:H146)</f>
        <v>1.5097907659318002E-3</v>
      </c>
    </row>
    <row r="147" spans="2:11" x14ac:dyDescent="0.3">
      <c r="B147" s="107"/>
      <c r="C147" s="129" t="s">
        <v>539</v>
      </c>
      <c r="D147" s="150">
        <f>1.96*D146</f>
        <v>0</v>
      </c>
      <c r="E147" s="150">
        <f>1.96*E146</f>
        <v>9.9488347500460516E-5</v>
      </c>
      <c r="F147" s="150">
        <f>1.96*F146</f>
        <v>1.1710693249496287E-3</v>
      </c>
      <c r="G147" s="150">
        <f>1.96*G146</f>
        <v>9.8707156309143953E-4</v>
      </c>
      <c r="H147" s="150">
        <f>1.96*H146</f>
        <v>7.0156066568479944E-4</v>
      </c>
      <c r="I147" s="107"/>
      <c r="J147" s="107"/>
      <c r="K147" s="107"/>
    </row>
    <row r="148" spans="2:11" x14ac:dyDescent="0.3">
      <c r="D148" t="s">
        <v>483</v>
      </c>
      <c r="E148" t="s">
        <v>484</v>
      </c>
      <c r="F148" t="s">
        <v>485</v>
      </c>
      <c r="G148" t="s">
        <v>486</v>
      </c>
      <c r="H148" t="s">
        <v>487</v>
      </c>
    </row>
    <row r="149" spans="2:11" x14ac:dyDescent="0.3">
      <c r="B149" s="118" t="s">
        <v>375</v>
      </c>
      <c r="C149" s="8">
        <v>20</v>
      </c>
      <c r="D149" s="90" t="s">
        <v>524</v>
      </c>
      <c r="E149" s="91" t="s">
        <v>523</v>
      </c>
      <c r="F149" s="92" t="s">
        <v>525</v>
      </c>
      <c r="G149" s="124" t="s">
        <v>526</v>
      </c>
      <c r="H149" s="123" t="s">
        <v>527</v>
      </c>
      <c r="I149" s="212" t="s">
        <v>529</v>
      </c>
    </row>
    <row r="150" spans="2:11" x14ac:dyDescent="0.3">
      <c r="B150" s="106" t="s">
        <v>403</v>
      </c>
      <c r="C150" s="107" t="s">
        <v>28</v>
      </c>
      <c r="D150" s="108">
        <f>'91T_Seeds'!AL109</f>
        <v>1.4251597513741745</v>
      </c>
      <c r="E150" s="108">
        <f>'91T_Seeds'!AM109</f>
        <v>9.2825297859057727</v>
      </c>
      <c r="F150" s="108">
        <f>'91T_Seeds'!AN109</f>
        <v>57.477837372966789</v>
      </c>
      <c r="G150" s="108">
        <f>'91T_Seeds'!AO109</f>
        <v>21.949323663938312</v>
      </c>
      <c r="H150" s="108">
        <f>'91T_Seeds'!AP109</f>
        <v>9.8651494258149484</v>
      </c>
      <c r="I150" s="111"/>
      <c r="J150" s="232" t="s">
        <v>77</v>
      </c>
      <c r="K150" s="233">
        <f>'91T_Seeds'!AS109</f>
        <v>0.91800380862285236</v>
      </c>
    </row>
    <row r="151" spans="2:11" x14ac:dyDescent="0.3">
      <c r="B151" s="107"/>
      <c r="C151" s="109" t="s">
        <v>39</v>
      </c>
      <c r="D151" s="110">
        <f>'91T_Seeds'!AL110</f>
        <v>0</v>
      </c>
      <c r="E151" s="110">
        <f>'91T_Seeds'!AM110</f>
        <v>0.21776644384079916</v>
      </c>
      <c r="F151" s="110">
        <f>'91T_Seeds'!AN110</f>
        <v>0.21789884340582333</v>
      </c>
      <c r="G151" s="110">
        <f>'91T_Seeds'!AO110</f>
        <v>0.15586637111937232</v>
      </c>
      <c r="H151" s="110">
        <f>'91T_Seeds'!AP110</f>
        <v>0.18130110595069546</v>
      </c>
      <c r="I151" s="111"/>
      <c r="J151" s="232" t="s">
        <v>29</v>
      </c>
      <c r="K151" s="234">
        <f>'91T_Seeds'!AS110</f>
        <v>2.7122304755798632E-3</v>
      </c>
    </row>
    <row r="152" spans="2:11" x14ac:dyDescent="0.3">
      <c r="B152" s="107"/>
      <c r="C152" s="107" t="s">
        <v>30</v>
      </c>
      <c r="D152" s="108">
        <f>'91T_Seeds'!AL111</f>
        <v>100</v>
      </c>
      <c r="E152" s="108">
        <f>'91T_Seeds'!AM111</f>
        <v>57.419139761296556</v>
      </c>
      <c r="F152" s="108">
        <f>'91T_Seeds'!AN111</f>
        <v>97.849476671103162</v>
      </c>
      <c r="G152" s="108">
        <f>'91T_Seeds'!AO111</f>
        <v>91.653706329224988</v>
      </c>
      <c r="H152" s="108">
        <f>'91T_Seeds'!AP111</f>
        <v>88.04874879558588</v>
      </c>
      <c r="I152" s="111"/>
      <c r="J152" s="111"/>
      <c r="K152" s="111"/>
    </row>
    <row r="153" spans="2:11" x14ac:dyDescent="0.3">
      <c r="B153" s="107"/>
      <c r="C153" s="109" t="s">
        <v>39</v>
      </c>
      <c r="D153" s="110">
        <f>'91T_Seeds'!AL112</f>
        <v>0</v>
      </c>
      <c r="E153" s="110">
        <f>'91T_Seeds'!AM112</f>
        <v>5.3923953967050879</v>
      </c>
      <c r="F153" s="110">
        <f>'91T_Seeds'!AN112</f>
        <v>0.23337877767773202</v>
      </c>
      <c r="G153" s="110">
        <f>'91T_Seeds'!AO112</f>
        <v>0.63536852981085323</v>
      </c>
      <c r="H153" s="110">
        <f>'91T_Seeds'!AP112</f>
        <v>2.0471241424842521</v>
      </c>
      <c r="I153" s="111"/>
      <c r="J153" s="111"/>
      <c r="K153" s="111"/>
    </row>
    <row r="154" spans="2:11" x14ac:dyDescent="0.3">
      <c r="B154" s="107"/>
      <c r="C154" s="111" t="s">
        <v>31</v>
      </c>
      <c r="D154" s="112">
        <f>'91T_Seeds'!AL113</f>
        <v>100</v>
      </c>
      <c r="E154" s="112">
        <f>'91T_Seeds'!AM113</f>
        <v>86.430678466076699</v>
      </c>
      <c r="F154" s="112">
        <f>'91T_Seeds'!AN113</f>
        <v>93.40451412353022</v>
      </c>
      <c r="G154" s="112">
        <f>'91T_Seeds'!AO113</f>
        <v>95.952380952380949</v>
      </c>
      <c r="H154" s="112">
        <f>'91T_Seeds'!AP113</f>
        <v>77.354497354497369</v>
      </c>
      <c r="I154" s="111"/>
      <c r="J154" s="111"/>
      <c r="K154" s="111"/>
    </row>
    <row r="155" spans="2:11" x14ac:dyDescent="0.3">
      <c r="B155" s="107"/>
      <c r="C155" s="113" t="s">
        <v>39</v>
      </c>
      <c r="D155" s="114">
        <f>'91T_Seeds'!AL114</f>
        <v>0</v>
      </c>
      <c r="E155" s="114">
        <f>'91T_Seeds'!AM114</f>
        <v>1.8627504529603398</v>
      </c>
      <c r="F155" s="114">
        <f>'91T_Seeds'!AN114</f>
        <v>0.28856932705211469</v>
      </c>
      <c r="G155" s="114">
        <f>'91T_Seeds'!AO114</f>
        <v>0.39265724002115482</v>
      </c>
      <c r="H155" s="114">
        <f>'91T_Seeds'!AP114</f>
        <v>1.3622216223481378</v>
      </c>
      <c r="I155" s="107"/>
      <c r="J155" s="107"/>
      <c r="K155" s="107"/>
    </row>
    <row r="156" spans="2:11" x14ac:dyDescent="0.3">
      <c r="B156" s="107"/>
      <c r="C156" s="109" t="s">
        <v>56</v>
      </c>
      <c r="D156" s="110">
        <f>'91T_Seeds'!AL115</f>
        <v>100</v>
      </c>
      <c r="E156" s="110">
        <f>'91T_Seeds'!AM115</f>
        <v>54.868913857677903</v>
      </c>
      <c r="F156" s="110">
        <f>'91T_Seeds'!AN115</f>
        <v>96.01945119833276</v>
      </c>
      <c r="G156" s="110">
        <f>'91T_Seeds'!AO115</f>
        <v>94.379391100702577</v>
      </c>
      <c r="H156" s="110">
        <f>'91T_Seeds'!AP115</f>
        <v>80.37383177570095</v>
      </c>
      <c r="I156" s="145"/>
      <c r="J156" s="107"/>
      <c r="K156" s="107"/>
    </row>
    <row r="157" spans="2:11" x14ac:dyDescent="0.3">
      <c r="B157" s="115" t="s">
        <v>409</v>
      </c>
      <c r="C157" s="107" t="s">
        <v>9</v>
      </c>
      <c r="D157" s="116">
        <f>'91T_Seeds'!AL116</f>
        <v>2541.29</v>
      </c>
      <c r="E157" s="116">
        <f>'91T_Seeds'!AM116</f>
        <v>10996.28</v>
      </c>
      <c r="F157" s="116">
        <f>'91T_Seeds'!AN116</f>
        <v>107369.7</v>
      </c>
      <c r="G157" s="116">
        <f>'91T_Seeds'!AO116</f>
        <v>37385.75</v>
      </c>
      <c r="H157" s="116">
        <f>'91T_Seeds'!AP116</f>
        <v>20023.13</v>
      </c>
      <c r="I157" s="107"/>
      <c r="J157" s="115" t="s">
        <v>36</v>
      </c>
      <c r="K157" s="137">
        <f t="shared" ref="K157:K158" si="42">SUM(D157:H157)</f>
        <v>178316.15</v>
      </c>
    </row>
    <row r="158" spans="2:11" x14ac:dyDescent="0.3">
      <c r="B158" s="115" t="s">
        <v>378</v>
      </c>
      <c r="C158" s="107" t="s">
        <v>467</v>
      </c>
      <c r="D158" s="108">
        <f>'91T_Seeds'!AL117</f>
        <v>2541.29</v>
      </c>
      <c r="E158" s="108">
        <f>'91T_Seeds'!AM117</f>
        <v>16552.249736830414</v>
      </c>
      <c r="F158" s="108">
        <f>'91T_Seeds'!AN117</f>
        <v>102492.26670673551</v>
      </c>
      <c r="G158" s="108">
        <f>'91T_Seeds'!AO117</f>
        <v>39139.188908573735</v>
      </c>
      <c r="H158" s="108">
        <f>'91T_Seeds'!AP117</f>
        <v>17591.154647860323</v>
      </c>
      <c r="I158" s="144">
        <f>$K$1-K158</f>
        <v>20873.850000000035</v>
      </c>
      <c r="J158" s="115" t="s">
        <v>36</v>
      </c>
      <c r="K158" s="137">
        <f t="shared" si="42"/>
        <v>178316.14999999997</v>
      </c>
    </row>
    <row r="159" spans="2:11" x14ac:dyDescent="0.3">
      <c r="B159" s="115"/>
      <c r="C159" s="107" t="s">
        <v>533</v>
      </c>
      <c r="D159" s="147">
        <f t="shared" ref="D159:I159" si="43">D158/$K$1</f>
        <v>1.2758120387569656E-2</v>
      </c>
      <c r="E159" s="147">
        <f t="shared" si="43"/>
        <v>8.3097794752901313E-2</v>
      </c>
      <c r="F159" s="147">
        <f t="shared" si="43"/>
        <v>0.51454524176281691</v>
      </c>
      <c r="G159" s="147">
        <f t="shared" si="43"/>
        <v>0.19649173607396825</v>
      </c>
      <c r="H159" s="147">
        <f t="shared" si="43"/>
        <v>8.8313442682164386E-2</v>
      </c>
      <c r="I159" s="147">
        <f t="shared" si="43"/>
        <v>0.10479366434057952</v>
      </c>
      <c r="J159" s="145">
        <f>SUM(D159:I159)</f>
        <v>1</v>
      </c>
      <c r="K159" s="137"/>
    </row>
    <row r="160" spans="2:11" x14ac:dyDescent="0.3">
      <c r="B160" s="107"/>
      <c r="C160" s="107" t="s">
        <v>377</v>
      </c>
      <c r="D160" s="108">
        <f>'91T_Seeds'!AL118</f>
        <v>0</v>
      </c>
      <c r="E160" s="108">
        <f>'91T_Seeds'!AM118</f>
        <v>388.31273864882519</v>
      </c>
      <c r="F160" s="108">
        <f>'91T_Seeds'!AN118</f>
        <v>388.54882845579306</v>
      </c>
      <c r="G160" s="108">
        <f>'91T_Seeds'!AO118</f>
        <v>277.93491212477659</v>
      </c>
      <c r="H160" s="108">
        <f>'91T_Seeds'!AP118</f>
        <v>323.28915203870105</v>
      </c>
      <c r="I160" s="107"/>
      <c r="J160" s="107"/>
      <c r="K160" s="107"/>
    </row>
    <row r="161" spans="2:11" x14ac:dyDescent="0.3">
      <c r="B161" s="107"/>
      <c r="C161" s="148" t="s">
        <v>538</v>
      </c>
      <c r="D161" s="108">
        <f>1.96*D160</f>
        <v>0</v>
      </c>
      <c r="E161" s="108">
        <f>1.96*E160</f>
        <v>761.0929677516973</v>
      </c>
      <c r="F161" s="108">
        <f>1.96*F160</f>
        <v>761.55570377335437</v>
      </c>
      <c r="G161" s="108">
        <f>1.96*G160</f>
        <v>544.75242776456207</v>
      </c>
      <c r="H161" s="108">
        <f>1.96*H160</f>
        <v>633.6467379958541</v>
      </c>
      <c r="I161" s="107"/>
      <c r="J161" s="107"/>
      <c r="K161" s="107"/>
    </row>
    <row r="162" spans="2:11" x14ac:dyDescent="0.3">
      <c r="B162" s="107"/>
      <c r="C162" s="148" t="s">
        <v>537</v>
      </c>
      <c r="D162" s="149">
        <f>D160/$K$1</f>
        <v>0</v>
      </c>
      <c r="E162" s="149">
        <f>E160/$K$1</f>
        <v>1.9494590022030482E-3</v>
      </c>
      <c r="F162" s="149">
        <f>F160/$K$1</f>
        <v>1.9506442514975303E-3</v>
      </c>
      <c r="G162" s="149">
        <f>G160/$K$1</f>
        <v>1.3953256294230462E-3</v>
      </c>
      <c r="H162" s="149">
        <f>H160/$K$1</f>
        <v>1.6230189870912247E-3</v>
      </c>
      <c r="I162" s="107"/>
      <c r="J162" s="107"/>
      <c r="K162" s="107"/>
    </row>
    <row r="163" spans="2:11" x14ac:dyDescent="0.3">
      <c r="B163" s="107"/>
      <c r="C163" s="129" t="s">
        <v>539</v>
      </c>
      <c r="D163" s="150">
        <f>1.96*D162</f>
        <v>0</v>
      </c>
      <c r="E163" s="150">
        <f>1.96*E162</f>
        <v>3.8209396443179746E-3</v>
      </c>
      <c r="F163" s="150">
        <f>1.96*F162</f>
        <v>3.8232627329351592E-3</v>
      </c>
      <c r="G163" s="150">
        <f>1.96*G162</f>
        <v>2.7348382336691707E-3</v>
      </c>
      <c r="H163" s="150">
        <f>1.96*H162</f>
        <v>3.1811172146988002E-3</v>
      </c>
      <c r="I163" s="107"/>
      <c r="J163" s="107"/>
      <c r="K163" s="107"/>
    </row>
    <row r="164" spans="2:11" x14ac:dyDescent="0.3">
      <c r="B164" s="115" t="s">
        <v>410</v>
      </c>
      <c r="C164" s="122" t="s">
        <v>9</v>
      </c>
      <c r="D164" s="136">
        <f>'91T_Seeds'!AL119</f>
        <v>2531.4524999999999</v>
      </c>
      <c r="E164" s="136">
        <f>'91T_Seeds'!AM119</f>
        <v>11069.595000000001</v>
      </c>
      <c r="F164" s="136">
        <f>'91T_Seeds'!AN119</f>
        <v>106994.75</v>
      </c>
      <c r="G164" s="136">
        <f>'91T_Seeds'!AO119</f>
        <v>37367.996499999994</v>
      </c>
      <c r="H164" s="140">
        <f>'91T_Seeds'!AP119</f>
        <v>20352.357500000002</v>
      </c>
      <c r="I164" s="107"/>
      <c r="J164" s="115" t="s">
        <v>36</v>
      </c>
      <c r="K164" s="137">
        <f t="shared" ref="K164" si="44">SUM(D164:H164)</f>
        <v>178316.15150000001</v>
      </c>
    </row>
    <row r="165" spans="2:11" x14ac:dyDescent="0.3">
      <c r="B165" s="107"/>
      <c r="C165" s="148" t="s">
        <v>394</v>
      </c>
      <c r="D165" s="108">
        <f>'91T_Seeds'!AL120</f>
        <v>3.6858700233387789</v>
      </c>
      <c r="E165" s="108">
        <f>'91T_Seeds'!AM120</f>
        <v>68.134879824391078</v>
      </c>
      <c r="F165" s="108">
        <f>'91T_Seeds'!AN120</f>
        <v>140.29912046091076</v>
      </c>
      <c r="G165" s="108">
        <f>'91T_Seeds'!AO120</f>
        <v>64.672480876925633</v>
      </c>
      <c r="H165" s="108">
        <f>'91T_Seeds'!AP120</f>
        <v>66.796331946546019</v>
      </c>
      <c r="I165" s="107"/>
      <c r="J165" s="107"/>
      <c r="K165" s="107"/>
    </row>
    <row r="166" spans="2:11" x14ac:dyDescent="0.3">
      <c r="B166" s="107"/>
      <c r="C166" s="148" t="s">
        <v>538</v>
      </c>
      <c r="D166" s="108">
        <f>1.96*D165</f>
        <v>7.2243052457440067</v>
      </c>
      <c r="E166" s="108">
        <f>1.96*E165</f>
        <v>133.54436445580652</v>
      </c>
      <c r="F166" s="108">
        <f>1.96*F165</f>
        <v>274.98627610338508</v>
      </c>
      <c r="G166" s="108">
        <f>1.96*G165</f>
        <v>126.75806251877424</v>
      </c>
      <c r="H166" s="108">
        <f>1.96*H165</f>
        <v>130.92081061523018</v>
      </c>
      <c r="I166" s="107"/>
      <c r="J166" s="107"/>
      <c r="K166" s="107"/>
    </row>
    <row r="167" spans="2:11" x14ac:dyDescent="0.3">
      <c r="B167" s="107"/>
      <c r="C167" s="148" t="s">
        <v>537</v>
      </c>
      <c r="D167" s="149">
        <f>D165/$K$1</f>
        <v>1.8504292501324259E-5</v>
      </c>
      <c r="E167" s="149">
        <f>E165/$K$1</f>
        <v>3.4205974107330225E-4</v>
      </c>
      <c r="F167" s="149">
        <f>F165/$K$1</f>
        <v>7.043482125654438E-4</v>
      </c>
      <c r="G167" s="149">
        <f>G165/$K$1</f>
        <v>3.2467734764258062E-4</v>
      </c>
      <c r="H167" s="149">
        <f>H165/$K$1</f>
        <v>3.353397858654853E-4</v>
      </c>
      <c r="I167" s="107"/>
      <c r="J167" s="107"/>
      <c r="K167" s="107"/>
    </row>
    <row r="168" spans="2:11" x14ac:dyDescent="0.3">
      <c r="B168" s="141"/>
      <c r="C168" s="129" t="s">
        <v>539</v>
      </c>
      <c r="D168" s="150">
        <f>1.96*D167</f>
        <v>3.626841330259555E-5</v>
      </c>
      <c r="E168" s="150">
        <f>1.96*E167</f>
        <v>6.7043709250367244E-4</v>
      </c>
      <c r="F168" s="150">
        <f>1.96*F167</f>
        <v>1.3805224966282699E-3</v>
      </c>
      <c r="G168" s="150">
        <f>1.96*G167</f>
        <v>6.3636760137945805E-4</v>
      </c>
      <c r="H168" s="150">
        <f>1.96*H167</f>
        <v>6.5726598029635112E-4</v>
      </c>
      <c r="I168" s="107"/>
      <c r="J168" s="107"/>
      <c r="K168" s="107"/>
    </row>
    <row r="169" spans="2:11" x14ac:dyDescent="0.3">
      <c r="B169" s="119" t="s">
        <v>404</v>
      </c>
      <c r="C169" s="107"/>
      <c r="D169" s="116"/>
      <c r="E169" s="116"/>
      <c r="F169" s="116"/>
      <c r="G169" s="116"/>
      <c r="H169" s="116"/>
      <c r="I169" s="107"/>
      <c r="J169" s="107"/>
      <c r="K169" s="107"/>
    </row>
    <row r="170" spans="2:11" x14ac:dyDescent="0.3">
      <c r="B170" s="115" t="s">
        <v>409</v>
      </c>
      <c r="C170" s="122" t="s">
        <v>9</v>
      </c>
      <c r="D170" s="136">
        <f>'91T_Seeds'!AL122</f>
        <v>272.33999999999997</v>
      </c>
      <c r="E170" s="136">
        <f>'91T_Seeds'!AM122</f>
        <v>1576.42</v>
      </c>
      <c r="F170" s="136">
        <f>'91T_Seeds'!AN122</f>
        <v>15782.98</v>
      </c>
      <c r="G170" s="136">
        <f>'91T_Seeds'!AO122</f>
        <v>2166.17</v>
      </c>
      <c r="H170" s="136">
        <f>'91T_Seeds'!AP122</f>
        <v>1724.85</v>
      </c>
      <c r="I170" s="108">
        <f>$K$2-K170</f>
        <v>643.52000000000407</v>
      </c>
      <c r="J170" s="115" t="s">
        <v>36</v>
      </c>
      <c r="K170" s="137">
        <f t="shared" ref="K170" si="45">SUM(D170:H170)</f>
        <v>21522.759999999995</v>
      </c>
    </row>
    <row r="171" spans="2:11" x14ac:dyDescent="0.3">
      <c r="B171" s="107"/>
      <c r="C171" s="107" t="s">
        <v>533</v>
      </c>
      <c r="D171" s="151">
        <f t="shared" ref="D171:I171" si="46">D170/$K$2</f>
        <v>1.2286229353775192E-2</v>
      </c>
      <c r="E171" s="151">
        <f t="shared" si="46"/>
        <v>7.1117932282728544E-2</v>
      </c>
      <c r="F171" s="151">
        <f t="shared" si="46"/>
        <v>0.71202655565119632</v>
      </c>
      <c r="G171" s="151">
        <f t="shared" si="46"/>
        <v>9.7723659540527336E-2</v>
      </c>
      <c r="H171" s="151">
        <f t="shared" si="46"/>
        <v>7.7814139314309846E-2</v>
      </c>
      <c r="I171" s="147">
        <f t="shared" si="46"/>
        <v>2.9031483857462962E-2</v>
      </c>
      <c r="J171" s="145">
        <f>SUM(D171:I171)</f>
        <v>1.0000000000000002</v>
      </c>
      <c r="K171" s="107"/>
    </row>
    <row r="172" spans="2:11" x14ac:dyDescent="0.3">
      <c r="B172" s="115" t="s">
        <v>410</v>
      </c>
      <c r="C172" s="122" t="s">
        <v>9</v>
      </c>
      <c r="D172" s="136">
        <f>'91T_Seeds'!AL124</f>
        <v>271.13549999999998</v>
      </c>
      <c r="E172" s="136">
        <f>'91T_Seeds'!AM124</f>
        <v>1596.4944999999996</v>
      </c>
      <c r="F172" s="136">
        <f>'91T_Seeds'!AN124</f>
        <v>15718.704999999998</v>
      </c>
      <c r="G172" s="136">
        <f>'91T_Seeds'!AO124</f>
        <v>2168.3575000000001</v>
      </c>
      <c r="H172" s="136">
        <f>'91T_Seeds'!AP124</f>
        <v>1768.0710000000004</v>
      </c>
      <c r="I172" s="108">
        <f>$K$2-K172</f>
        <v>643.51650000000154</v>
      </c>
      <c r="J172" s="115" t="s">
        <v>36</v>
      </c>
      <c r="K172" s="137">
        <f t="shared" ref="K172" si="47">SUM(D172:H172)</f>
        <v>21522.763499999997</v>
      </c>
    </row>
    <row r="173" spans="2:11" x14ac:dyDescent="0.3">
      <c r="B173" s="115"/>
      <c r="C173" s="141" t="s">
        <v>533</v>
      </c>
      <c r="D173" s="151">
        <f t="shared" ref="D173:I173" si="48">D172/$K$2</f>
        <v>1.2231890060037137E-2</v>
      </c>
      <c r="E173" s="151">
        <f t="shared" si="48"/>
        <v>7.2023564621578343E-2</v>
      </c>
      <c r="F173" s="151">
        <f t="shared" si="48"/>
        <v>0.70912688101025512</v>
      </c>
      <c r="G173" s="151">
        <f t="shared" si="48"/>
        <v>9.7822345472492467E-2</v>
      </c>
      <c r="H173" s="151">
        <f t="shared" si="48"/>
        <v>7.9763992875665227E-2</v>
      </c>
      <c r="I173" s="147">
        <f t="shared" si="48"/>
        <v>2.9031325959971703E-2</v>
      </c>
      <c r="J173" s="145">
        <f>SUM(D173:I173)</f>
        <v>1</v>
      </c>
      <c r="K173" s="137"/>
    </row>
    <row r="174" spans="2:11" x14ac:dyDescent="0.3">
      <c r="B174" s="107"/>
      <c r="C174" s="148" t="s">
        <v>394</v>
      </c>
      <c r="D174" s="108">
        <f>'91T_Seeds'!AL125</f>
        <v>0.70161373201168831</v>
      </c>
      <c r="E174" s="108">
        <f>'91T_Seeds'!AM125</f>
        <v>12.318300559373135</v>
      </c>
      <c r="F174" s="108">
        <f>'91T_Seeds'!AN125</f>
        <v>23.591357522127488</v>
      </c>
      <c r="G174" s="108">
        <f>'91T_Seeds'!AO125</f>
        <v>7.9132746523600472</v>
      </c>
      <c r="H174" s="108">
        <f>'91T_Seeds'!AP125</f>
        <v>12.601356274122578</v>
      </c>
      <c r="I174" s="107"/>
      <c r="J174" s="107"/>
      <c r="K174" s="107"/>
    </row>
    <row r="175" spans="2:11" x14ac:dyDescent="0.3">
      <c r="B175" s="107"/>
      <c r="C175" s="148" t="s">
        <v>538</v>
      </c>
      <c r="D175" s="108">
        <f>1.96*D174</f>
        <v>1.375162914742909</v>
      </c>
      <c r="E175" s="108">
        <f>1.96*E174</f>
        <v>24.143869096371343</v>
      </c>
      <c r="F175" s="108">
        <f>1.96*F174</f>
        <v>46.239060743369876</v>
      </c>
      <c r="G175" s="108">
        <f>1.96*G174</f>
        <v>15.510018318625692</v>
      </c>
      <c r="H175" s="108">
        <f>1.96*H174</f>
        <v>24.698658297280254</v>
      </c>
      <c r="I175" s="107"/>
      <c r="J175" s="107"/>
      <c r="K175" s="107"/>
    </row>
    <row r="176" spans="2:11" x14ac:dyDescent="0.3">
      <c r="B176" s="107"/>
      <c r="C176" s="148" t="s">
        <v>537</v>
      </c>
      <c r="D176" s="149">
        <f>D174/$K$2</f>
        <v>3.1652299439134053E-5</v>
      </c>
      <c r="E176" s="149">
        <f>E174/$K$2</f>
        <v>5.5572250099579794E-4</v>
      </c>
      <c r="F176" s="149">
        <f>F174/$K$2</f>
        <v>1.0642903329799809E-3</v>
      </c>
      <c r="G176" s="149">
        <f>G174/$K$2</f>
        <v>3.5699606124076967E-4</v>
      </c>
      <c r="H176" s="149">
        <f>H174/$K$2</f>
        <v>5.6849215448521713E-4</v>
      </c>
      <c r="I176" s="107"/>
      <c r="J176" s="107"/>
      <c r="K176" s="107"/>
    </row>
    <row r="177" spans="2:11" x14ac:dyDescent="0.3">
      <c r="B177" s="141"/>
      <c r="C177" s="129" t="s">
        <v>539</v>
      </c>
      <c r="D177" s="150">
        <f>1.96*D176</f>
        <v>6.2038506900702746E-5</v>
      </c>
      <c r="E177" s="150">
        <f>1.96*E176</f>
        <v>1.0892161019517639E-3</v>
      </c>
      <c r="F177" s="150">
        <f>1.96*F176</f>
        <v>2.0860090526407626E-3</v>
      </c>
      <c r="G177" s="150">
        <f>1.96*G176</f>
        <v>6.9971228003190848E-4</v>
      </c>
      <c r="H177" s="150">
        <f>1.96*H176</f>
        <v>1.1142446227910255E-3</v>
      </c>
      <c r="I177" s="107"/>
      <c r="J177" s="107"/>
      <c r="K177" s="107"/>
    </row>
    <row r="178" spans="2:11" x14ac:dyDescent="0.3">
      <c r="B178" s="119" t="s">
        <v>427</v>
      </c>
      <c r="C178" s="107"/>
      <c r="D178" s="116"/>
      <c r="E178" s="116"/>
      <c r="F178" s="116"/>
      <c r="G178" s="116"/>
      <c r="H178" s="116"/>
      <c r="I178" s="107"/>
      <c r="J178" s="107"/>
      <c r="K178" s="107"/>
    </row>
    <row r="179" spans="2:11" x14ac:dyDescent="0.3">
      <c r="B179" s="115" t="s">
        <v>409</v>
      </c>
      <c r="C179" s="122" t="s">
        <v>9</v>
      </c>
      <c r="D179" s="136">
        <f>'91T_Seeds'!AL127</f>
        <v>78.010000000000005</v>
      </c>
      <c r="E179" s="136">
        <f>'91T_Seeds'!AM127</f>
        <v>772.25</v>
      </c>
      <c r="F179" s="136">
        <f>'91T_Seeds'!AN127</f>
        <v>15605.63</v>
      </c>
      <c r="G179" s="136">
        <f>'91T_Seeds'!AO127</f>
        <v>12772.47</v>
      </c>
      <c r="H179" s="136">
        <f>'91T_Seeds'!AP127</f>
        <v>11117.02</v>
      </c>
      <c r="I179" s="108">
        <f>$K$3-K179</f>
        <v>3072.7099999999919</v>
      </c>
      <c r="J179" s="115" t="s">
        <v>36</v>
      </c>
      <c r="K179" s="137">
        <f t="shared" ref="K179" si="49">SUM(D179:H179)</f>
        <v>40345.380000000005</v>
      </c>
    </row>
    <row r="180" spans="2:11" x14ac:dyDescent="0.3">
      <c r="B180" s="107"/>
      <c r="C180" s="107" t="s">
        <v>534</v>
      </c>
      <c r="D180" s="146">
        <f t="shared" ref="D180:I180" si="50">D179/$K$3</f>
        <v>1.7967165299072347E-3</v>
      </c>
      <c r="E180" s="146">
        <f t="shared" si="50"/>
        <v>1.778636508423102E-2</v>
      </c>
      <c r="F180" s="146">
        <f t="shared" si="50"/>
        <v>0.35942691168588947</v>
      </c>
      <c r="G180" s="146">
        <f t="shared" si="50"/>
        <v>0.29417392612157744</v>
      </c>
      <c r="H180" s="146">
        <f t="shared" si="50"/>
        <v>0.2560458094771097</v>
      </c>
      <c r="I180" s="146">
        <f t="shared" si="50"/>
        <v>7.0770271101285018E-2</v>
      </c>
      <c r="J180" s="145">
        <f>SUM(D180:I180)</f>
        <v>0.99999999999999978</v>
      </c>
      <c r="K180" s="107"/>
    </row>
    <row r="181" spans="2:11" x14ac:dyDescent="0.3">
      <c r="B181" s="115" t="s">
        <v>410</v>
      </c>
      <c r="C181" s="122" t="s">
        <v>9</v>
      </c>
      <c r="D181" s="136">
        <f>'91T_Seeds'!AL129</f>
        <v>77.895500000000013</v>
      </c>
      <c r="E181" s="136">
        <f>'91T_Seeds'!AM129</f>
        <v>786.88400000000001</v>
      </c>
      <c r="F181" s="136">
        <f>'91T_Seeds'!AN129</f>
        <v>15525.892000000002</v>
      </c>
      <c r="G181" s="140">
        <f>'91T_Seeds'!AO129</f>
        <v>12738.239</v>
      </c>
      <c r="H181" s="140">
        <f>'91T_Seeds'!AP129</f>
        <v>11216.472000000002</v>
      </c>
      <c r="I181" s="108">
        <f>$K$3-K181</f>
        <v>3072.7074999999968</v>
      </c>
      <c r="J181" s="115" t="s">
        <v>36</v>
      </c>
      <c r="K181" s="137">
        <f t="shared" ref="K181" si="51">SUM(D181:H181)</f>
        <v>40345.3825</v>
      </c>
    </row>
    <row r="182" spans="2:11" x14ac:dyDescent="0.3">
      <c r="B182" s="115"/>
      <c r="C182" s="141" t="s">
        <v>533</v>
      </c>
      <c r="D182" s="151">
        <f t="shared" ref="D182:I182" si="52">D181/$K$3</f>
        <v>1.7940793802767468E-3</v>
      </c>
      <c r="E182" s="151">
        <f t="shared" si="52"/>
        <v>1.8123413535694455E-2</v>
      </c>
      <c r="F182" s="151">
        <f t="shared" si="52"/>
        <v>0.35759039607684268</v>
      </c>
      <c r="G182" s="151">
        <f t="shared" si="52"/>
        <v>0.29338552202549678</v>
      </c>
      <c r="H182" s="151">
        <f t="shared" si="52"/>
        <v>0.25833637546009053</v>
      </c>
      <c r="I182" s="146">
        <f t="shared" si="52"/>
        <v>7.0770213521598874E-2</v>
      </c>
      <c r="J182" s="145">
        <f>SUM(D182:I182)</f>
        <v>1</v>
      </c>
      <c r="K182" s="137"/>
    </row>
    <row r="183" spans="2:11" x14ac:dyDescent="0.3">
      <c r="B183" s="107"/>
      <c r="C183" s="148" t="s">
        <v>394</v>
      </c>
      <c r="D183" s="108">
        <f>'91T_Seeds'!AL130</f>
        <v>1.4244776466443669</v>
      </c>
      <c r="E183" s="108">
        <f>'91T_Seeds'!AM130</f>
        <v>12.625683543767774</v>
      </c>
      <c r="F183" s="108">
        <f>'91T_Seeds'!AN130</f>
        <v>31.540410917458019</v>
      </c>
      <c r="G183" s="108">
        <f>'91T_Seeds'!AO130</f>
        <v>23.144598948214345</v>
      </c>
      <c r="H183" s="108">
        <f>'91T_Seeds'!AP130</f>
        <v>21.116242271867634</v>
      </c>
      <c r="I183" s="107"/>
      <c r="J183" s="107"/>
      <c r="K183" s="107"/>
    </row>
    <row r="184" spans="2:11" x14ac:dyDescent="0.3">
      <c r="B184" s="107"/>
      <c r="C184" s="148" t="s">
        <v>538</v>
      </c>
      <c r="D184" s="108">
        <f>1.96*D183</f>
        <v>2.7919761874229589</v>
      </c>
      <c r="E184" s="108">
        <f>1.96*E183</f>
        <v>24.746339745784837</v>
      </c>
      <c r="F184" s="108">
        <f>1.96*F183</f>
        <v>61.819205398217719</v>
      </c>
      <c r="G184" s="108">
        <f>1.96*G183</f>
        <v>45.363413938500116</v>
      </c>
      <c r="H184" s="108">
        <f>1.96*H183</f>
        <v>41.387834852860564</v>
      </c>
      <c r="I184" s="107"/>
      <c r="J184" s="107"/>
      <c r="K184" s="107"/>
    </row>
    <row r="185" spans="2:11" x14ac:dyDescent="0.3">
      <c r="B185" s="107"/>
      <c r="C185" s="148" t="s">
        <v>537</v>
      </c>
      <c r="D185" s="149">
        <f>D183/$K$3</f>
        <v>3.2808390388530843E-5</v>
      </c>
      <c r="E185" s="149">
        <f>E183/$K$3</f>
        <v>2.907931588830318E-4</v>
      </c>
      <c r="F185" s="149">
        <f>F183/$K$3</f>
        <v>7.2643478599491648E-4</v>
      </c>
      <c r="G185" s="149">
        <f>G183/$K$3</f>
        <v>5.3306349837623781E-4</v>
      </c>
      <c r="H185" s="149">
        <f>H183/$K$3</f>
        <v>4.8634664196116491E-4</v>
      </c>
      <c r="I185" s="107"/>
      <c r="J185" s="107"/>
      <c r="K185" s="107"/>
    </row>
    <row r="186" spans="2:11" x14ac:dyDescent="0.3">
      <c r="B186" s="141"/>
      <c r="C186" s="129" t="s">
        <v>539</v>
      </c>
      <c r="D186" s="150">
        <f>1.96*D185</f>
        <v>6.4304445161520452E-5</v>
      </c>
      <c r="E186" s="150">
        <f>1.96*E185</f>
        <v>5.6995459141074233E-4</v>
      </c>
      <c r="F186" s="150">
        <f>1.96*F185</f>
        <v>1.4238121805500363E-3</v>
      </c>
      <c r="G186" s="150">
        <f>1.96*G185</f>
        <v>1.044804456817426E-3</v>
      </c>
      <c r="H186" s="150">
        <f>1.96*H185</f>
        <v>9.5323941824388325E-4</v>
      </c>
      <c r="I186" s="107"/>
      <c r="J186" s="107"/>
      <c r="K186" s="107"/>
    </row>
    <row r="187" spans="2:11" x14ac:dyDescent="0.3">
      <c r="B187" s="119" t="s">
        <v>428</v>
      </c>
      <c r="C187" s="107"/>
      <c r="D187" s="116"/>
      <c r="E187" s="116"/>
      <c r="F187" s="116"/>
      <c r="G187" s="116"/>
      <c r="H187" s="116"/>
      <c r="I187" s="107"/>
      <c r="J187" s="107"/>
      <c r="K187" s="107"/>
    </row>
    <row r="188" spans="2:11" x14ac:dyDescent="0.3">
      <c r="B188" s="115" t="s">
        <v>409</v>
      </c>
      <c r="C188" s="122" t="s">
        <v>9</v>
      </c>
      <c r="D188" s="136">
        <f>'91T_Seeds'!AL132</f>
        <v>0</v>
      </c>
      <c r="E188" s="136">
        <f>'91T_Seeds'!AM132</f>
        <v>9.9</v>
      </c>
      <c r="F188" s="136">
        <f>'91T_Seeds'!AN132</f>
        <v>1312.2</v>
      </c>
      <c r="G188" s="136">
        <f>'91T_Seeds'!AO132</f>
        <v>390.77</v>
      </c>
      <c r="H188" s="136">
        <f>'91T_Seeds'!AP132</f>
        <v>87.67</v>
      </c>
      <c r="I188" s="108">
        <f>$K$4-K188</f>
        <v>61.009999999999764</v>
      </c>
      <c r="J188" s="115" t="s">
        <v>36</v>
      </c>
      <c r="K188" s="137">
        <f t="shared" ref="K188" si="53">SUM(D188:H188)</f>
        <v>1800.5400000000002</v>
      </c>
    </row>
    <row r="189" spans="2:11" x14ac:dyDescent="0.3">
      <c r="B189" s="107"/>
      <c r="C189" s="107" t="s">
        <v>391</v>
      </c>
      <c r="D189" s="151">
        <f t="shared" ref="D189:I189" si="54">D188/$K$4</f>
        <v>0</v>
      </c>
      <c r="E189" s="151">
        <f t="shared" si="54"/>
        <v>5.3181488544492492E-3</v>
      </c>
      <c r="F189" s="151">
        <f t="shared" si="54"/>
        <v>0.70489645725336414</v>
      </c>
      <c r="G189" s="151">
        <f t="shared" si="54"/>
        <v>0.20991646745991244</v>
      </c>
      <c r="H189" s="151">
        <f t="shared" si="54"/>
        <v>4.7095162633289465E-2</v>
      </c>
      <c r="I189" s="147">
        <f t="shared" si="54"/>
        <v>3.2773763798984591E-2</v>
      </c>
      <c r="J189" s="145">
        <f>SUM(D189:I189)</f>
        <v>0.99999999999999989</v>
      </c>
      <c r="K189" s="107"/>
    </row>
    <row r="190" spans="2:11" x14ac:dyDescent="0.3">
      <c r="B190" s="115" t="s">
        <v>410</v>
      </c>
      <c r="C190" s="122" t="s">
        <v>9</v>
      </c>
      <c r="D190" s="136">
        <f>'91T_Seeds'!AL134</f>
        <v>0</v>
      </c>
      <c r="E190" s="136">
        <f>'91T_Seeds'!AM134</f>
        <v>10.417999999999999</v>
      </c>
      <c r="F190" s="140">
        <f>'91T_Seeds'!AN134</f>
        <v>1303.0029999999999</v>
      </c>
      <c r="G190" s="140">
        <f>'91T_Seeds'!AO134</f>
        <v>395.07799999999997</v>
      </c>
      <c r="H190" s="136">
        <f>'91T_Seeds'!AP134</f>
        <v>92.042000000000002</v>
      </c>
      <c r="I190" s="108">
        <f>$K$4-K190</f>
        <v>61.009000000000242</v>
      </c>
      <c r="J190" s="115" t="s">
        <v>36</v>
      </c>
      <c r="K190" s="137">
        <f t="shared" ref="K190" si="55">SUM(D190:H190)</f>
        <v>1800.5409999999997</v>
      </c>
    </row>
    <row r="191" spans="2:11" x14ac:dyDescent="0.3">
      <c r="B191" s="115"/>
      <c r="C191" s="141" t="s">
        <v>533</v>
      </c>
      <c r="D191" s="151">
        <f t="shared" ref="D191:I191" si="56">D190/$K$4</f>
        <v>0</v>
      </c>
      <c r="E191" s="151">
        <f t="shared" si="56"/>
        <v>5.5964115924901289E-3</v>
      </c>
      <c r="F191" s="151">
        <f t="shared" si="56"/>
        <v>0.69995595068625605</v>
      </c>
      <c r="G191" s="151">
        <f t="shared" si="56"/>
        <v>0.21223066799172732</v>
      </c>
      <c r="H191" s="151">
        <f t="shared" si="56"/>
        <v>4.9443743117294728E-2</v>
      </c>
      <c r="I191" s="147">
        <f t="shared" si="56"/>
        <v>3.2773226612231872E-2</v>
      </c>
      <c r="J191" s="145">
        <f>SUM(D191:I191)</f>
        <v>1</v>
      </c>
      <c r="K191" s="137"/>
    </row>
    <row r="192" spans="2:11" x14ac:dyDescent="0.3">
      <c r="B192" s="107"/>
      <c r="C192" s="148" t="s">
        <v>394</v>
      </c>
      <c r="D192" s="108">
        <f>'91T_Seeds'!AL135</f>
        <v>0</v>
      </c>
      <c r="E192" s="108">
        <f>'91T_Seeds'!AM135</f>
        <v>0.15700251422727027</v>
      </c>
      <c r="F192" s="108">
        <f>'91T_Seeds'!AN135</f>
        <v>2.6323372744228242</v>
      </c>
      <c r="G192" s="108">
        <f>'91T_Seeds'!AO135</f>
        <v>1.8163612555123263</v>
      </c>
      <c r="H192" s="108">
        <f>'91T_Seeds'!AP135</f>
        <v>1.2935918171794702</v>
      </c>
      <c r="I192" s="107"/>
      <c r="J192" s="107"/>
      <c r="K192" s="107"/>
    </row>
    <row r="193" spans="2:11" x14ac:dyDescent="0.3">
      <c r="B193" s="107"/>
      <c r="C193" s="148" t="s">
        <v>538</v>
      </c>
      <c r="D193" s="108">
        <f>1.96*D192</f>
        <v>0</v>
      </c>
      <c r="E193" s="108">
        <f>1.96*E192</f>
        <v>0.30772492788544969</v>
      </c>
      <c r="F193" s="108">
        <f>1.96*F192</f>
        <v>5.1593810578687354</v>
      </c>
      <c r="G193" s="108">
        <f>1.96*G192</f>
        <v>3.5600680608041593</v>
      </c>
      <c r="H193" s="108">
        <f>1.96*H192</f>
        <v>2.5354399616717616</v>
      </c>
      <c r="I193" s="107"/>
      <c r="J193" s="107"/>
      <c r="K193" s="107"/>
    </row>
    <row r="194" spans="2:11" x14ac:dyDescent="0.3">
      <c r="B194" s="107"/>
      <c r="C194" s="148" t="s">
        <v>537</v>
      </c>
      <c r="D194" s="149">
        <f>D192/$K$4</f>
        <v>0</v>
      </c>
      <c r="E194" s="149">
        <f>E192/$K$4</f>
        <v>8.4339670826607012E-5</v>
      </c>
      <c r="F194" s="149">
        <f>F192/$K$4</f>
        <v>1.4140567131813941E-3</v>
      </c>
      <c r="G194" s="149">
        <f>G192/$K$4</f>
        <v>9.7572520507766447E-4</v>
      </c>
      <c r="H194" s="149">
        <f>H192/$K$4</f>
        <v>6.9490038794524475E-4</v>
      </c>
      <c r="I194" s="107"/>
      <c r="J194" s="107"/>
      <c r="K194" s="107"/>
    </row>
    <row r="195" spans="2:11" x14ac:dyDescent="0.3">
      <c r="B195" s="107"/>
      <c r="C195" s="129" t="s">
        <v>539</v>
      </c>
      <c r="D195" s="150">
        <f>1.96*D194</f>
        <v>0</v>
      </c>
      <c r="E195" s="150">
        <f>1.96*E194</f>
        <v>1.6530575482014975E-4</v>
      </c>
      <c r="F195" s="150">
        <f>1.96*F194</f>
        <v>2.7715511578355321E-3</v>
      </c>
      <c r="G195" s="150">
        <f>1.96*G194</f>
        <v>1.9124214019522222E-3</v>
      </c>
      <c r="H195" s="150">
        <f>1.96*H194</f>
        <v>1.3620047603726797E-3</v>
      </c>
      <c r="I195" s="107"/>
      <c r="J195" s="107"/>
      <c r="K195" s="107"/>
    </row>
    <row r="196" spans="2:11" x14ac:dyDescent="0.3">
      <c r="D196" t="s">
        <v>488</v>
      </c>
      <c r="E196" t="s">
        <v>489</v>
      </c>
      <c r="F196" t="s">
        <v>490</v>
      </c>
      <c r="G196" t="s">
        <v>491</v>
      </c>
      <c r="H196" t="s">
        <v>492</v>
      </c>
    </row>
    <row r="197" spans="2:11" x14ac:dyDescent="0.3">
      <c r="B197" s="118" t="s">
        <v>375</v>
      </c>
      <c r="C197" s="8">
        <v>20</v>
      </c>
      <c r="D197" s="90" t="s">
        <v>524</v>
      </c>
      <c r="E197" s="91" t="s">
        <v>523</v>
      </c>
      <c r="F197" s="92" t="s">
        <v>525</v>
      </c>
      <c r="G197" s="124" t="s">
        <v>526</v>
      </c>
      <c r="H197" s="123" t="s">
        <v>527</v>
      </c>
      <c r="I197" s="212" t="s">
        <v>529</v>
      </c>
    </row>
    <row r="198" spans="2:11" x14ac:dyDescent="0.3">
      <c r="B198" s="106" t="s">
        <v>407</v>
      </c>
      <c r="C198" s="107" t="s">
        <v>28</v>
      </c>
      <c r="D198" s="108">
        <f>'01T_Seeds'!AL109</f>
        <v>1.439934444895123</v>
      </c>
      <c r="E198" s="108">
        <f>'01T_Seeds'!AM109</f>
        <v>5.8505879942004873</v>
      </c>
      <c r="F198" s="108">
        <f>'01T_Seeds'!AN109</f>
        <v>56.735972866234306</v>
      </c>
      <c r="G198" s="108">
        <f>'01T_Seeds'!AO109</f>
        <v>23.418687849037827</v>
      </c>
      <c r="H198" s="108">
        <f>'01T_Seeds'!AP109</f>
        <v>12.55481684563224</v>
      </c>
      <c r="I198" s="111"/>
      <c r="J198" s="232" t="s">
        <v>77</v>
      </c>
      <c r="K198" s="233">
        <f>'01T_Seeds'!AS109</f>
        <v>0.92964975936647731</v>
      </c>
    </row>
    <row r="199" spans="2:11" x14ac:dyDescent="0.3">
      <c r="B199" s="107"/>
      <c r="C199" s="109" t="s">
        <v>39</v>
      </c>
      <c r="D199" s="110">
        <f>'01T_Seeds'!AL110</f>
        <v>0</v>
      </c>
      <c r="E199" s="110">
        <f>'01T_Seeds'!AM110</f>
        <v>0.11447725144827701</v>
      </c>
      <c r="F199" s="110">
        <f>'01T_Seeds'!AN110</f>
        <v>0.20478304715519641</v>
      </c>
      <c r="G199" s="110">
        <f>'01T_Seeds'!AO110</f>
        <v>0.20206558305584485</v>
      </c>
      <c r="H199" s="110">
        <f>'01T_Seeds'!AP110</f>
        <v>0.1920528000051013</v>
      </c>
      <c r="I199" s="111"/>
      <c r="J199" s="232" t="s">
        <v>29</v>
      </c>
      <c r="K199" s="234">
        <f>'01T_Seeds'!AS110</f>
        <v>2.5431929706373497E-3</v>
      </c>
    </row>
    <row r="200" spans="2:11" x14ac:dyDescent="0.3">
      <c r="B200" s="107"/>
      <c r="C200" s="107" t="s">
        <v>30</v>
      </c>
      <c r="D200" s="108">
        <f>'01T_Seeds'!AL111</f>
        <v>100</v>
      </c>
      <c r="E200" s="108">
        <f>'01T_Seeds'!AM111</f>
        <v>81.579020354369035</v>
      </c>
      <c r="F200" s="108">
        <f>'01T_Seeds'!AN111</f>
        <v>96.233124820910405</v>
      </c>
      <c r="G200" s="108">
        <f>'01T_Seeds'!AO111</f>
        <v>89.990530339464598</v>
      </c>
      <c r="H200" s="108">
        <f>'01T_Seeds'!AP111</f>
        <v>88.243327455260911</v>
      </c>
      <c r="I200" s="111"/>
      <c r="J200" s="111"/>
      <c r="K200" s="111"/>
    </row>
    <row r="201" spans="2:11" x14ac:dyDescent="0.3">
      <c r="B201" s="107"/>
      <c r="C201" s="109" t="s">
        <v>39</v>
      </c>
      <c r="D201" s="110">
        <f>'01T_Seeds'!AL112</f>
        <v>0</v>
      </c>
      <c r="E201" s="110">
        <f>'01T_Seeds'!AM112</f>
        <v>2.5417107325259485</v>
      </c>
      <c r="F201" s="110">
        <f>'01T_Seeds'!AN112</f>
        <v>0.27449026131463011</v>
      </c>
      <c r="G201" s="110">
        <f>'01T_Seeds'!AO112</f>
        <v>0.81264922131588224</v>
      </c>
      <c r="H201" s="110">
        <f>'01T_Seeds'!AP112</f>
        <v>1.6656578062102736</v>
      </c>
      <c r="I201" s="111"/>
      <c r="J201" s="111"/>
      <c r="K201" s="111"/>
    </row>
    <row r="202" spans="2:11" x14ac:dyDescent="0.3">
      <c r="B202" s="107"/>
      <c r="C202" s="111" t="s">
        <v>31</v>
      </c>
      <c r="D202" s="112">
        <f>'01T_Seeds'!AL113</f>
        <v>100</v>
      </c>
      <c r="E202" s="112">
        <f>'01T_Seeds'!AM113</f>
        <v>93.215339233038335</v>
      </c>
      <c r="F202" s="112">
        <f>'01T_Seeds'!AN113</f>
        <v>95.5804838491688</v>
      </c>
      <c r="G202" s="112">
        <f>'01T_Seeds'!AO113</f>
        <v>91.279293123319235</v>
      </c>
      <c r="H202" s="112">
        <f>'01T_Seeds'!AP113</f>
        <v>83.75</v>
      </c>
      <c r="I202" s="111"/>
      <c r="J202" s="111"/>
      <c r="K202" s="111"/>
    </row>
    <row r="203" spans="2:11" x14ac:dyDescent="0.3">
      <c r="B203" s="107"/>
      <c r="C203" s="113" t="s">
        <v>39</v>
      </c>
      <c r="D203" s="114">
        <f>'01T_Seeds'!AL114</f>
        <v>0</v>
      </c>
      <c r="E203" s="114">
        <f>'01T_Seeds'!AM114</f>
        <v>1.3678844450285044</v>
      </c>
      <c r="F203" s="114">
        <f>'01T_Seeds'!AN114</f>
        <v>0.23895427878015812</v>
      </c>
      <c r="G203" s="114">
        <f>'01T_Seeds'!AO114</f>
        <v>0.5531059527269635</v>
      </c>
      <c r="H203" s="114">
        <f>'01T_Seeds'!AP114</f>
        <v>1.1912688532439148</v>
      </c>
      <c r="I203" s="107"/>
      <c r="J203" s="107"/>
      <c r="K203" s="107"/>
    </row>
    <row r="204" spans="2:11" x14ac:dyDescent="0.3">
      <c r="B204" s="107"/>
      <c r="C204" s="109" t="s">
        <v>56</v>
      </c>
      <c r="D204" s="110">
        <f>'01T_Seeds'!AL115</f>
        <v>100</v>
      </c>
      <c r="E204" s="110">
        <f>'01T_Seeds'!AM115</f>
        <v>79.596977329974806</v>
      </c>
      <c r="F204" s="110">
        <f>'01T_Seeds'!AN115</f>
        <v>96.434171950637491</v>
      </c>
      <c r="G204" s="110">
        <f>'01T_Seeds'!AO115</f>
        <v>91.367044799077107</v>
      </c>
      <c r="H204" s="110">
        <f>'01T_Seeds'!AP115</f>
        <v>82.886597938144334</v>
      </c>
      <c r="I204" s="145"/>
      <c r="J204" s="107"/>
      <c r="K204" s="107"/>
    </row>
    <row r="205" spans="2:11" x14ac:dyDescent="0.3">
      <c r="B205" s="115" t="s">
        <v>409</v>
      </c>
      <c r="C205" s="107" t="s">
        <v>9</v>
      </c>
      <c r="D205" s="116">
        <f>'01T_Seeds'!AL116</f>
        <v>2628.45</v>
      </c>
      <c r="E205" s="116">
        <f>'01T_Seeds'!AM116</f>
        <v>9346.4699999999993</v>
      </c>
      <c r="F205" s="116">
        <f>'01T_Seeds'!AN116</f>
        <v>104272.76</v>
      </c>
      <c r="G205" s="116">
        <f>'01T_Seeds'!AO116</f>
        <v>42144.81</v>
      </c>
      <c r="H205" s="116">
        <f>'01T_Seeds'!AP116</f>
        <v>24147.07</v>
      </c>
      <c r="I205" s="107"/>
      <c r="J205" s="115" t="s">
        <v>36</v>
      </c>
      <c r="K205" s="137">
        <f t="shared" ref="K205:K206" si="57">SUM(D205:H205)</f>
        <v>182539.56</v>
      </c>
    </row>
    <row r="206" spans="2:11" x14ac:dyDescent="0.3">
      <c r="B206" s="115" t="s">
        <v>378</v>
      </c>
      <c r="C206" s="107" t="s">
        <v>467</v>
      </c>
      <c r="D206" s="108">
        <f>'01T_Seeds'!AL117</f>
        <v>2628.45</v>
      </c>
      <c r="E206" s="108">
        <f>'01T_Seeds'!AM117</f>
        <v>10679.637582026395</v>
      </c>
      <c r="F206" s="108">
        <f>'01T_Seeds'!AN117</f>
        <v>103565.59523174349</v>
      </c>
      <c r="G206" s="108">
        <f>'01T_Seeds'!AO117</f>
        <v>42748.369757407112</v>
      </c>
      <c r="H206" s="108">
        <f>'01T_Seeds'!AP117</f>
        <v>22917.50742882297</v>
      </c>
      <c r="I206" s="144">
        <f>$K$1-K206</f>
        <v>16650.440000000031</v>
      </c>
      <c r="J206" s="115" t="s">
        <v>36</v>
      </c>
      <c r="K206" s="137">
        <f t="shared" si="57"/>
        <v>182539.55999999997</v>
      </c>
    </row>
    <row r="207" spans="2:11" x14ac:dyDescent="0.3">
      <c r="B207" s="115"/>
      <c r="C207" s="107" t="s">
        <v>533</v>
      </c>
      <c r="D207" s="147">
        <f t="shared" ref="D207:I207" si="58">D206/$K$1</f>
        <v>1.319569255484713E-2</v>
      </c>
      <c r="E207" s="147">
        <f t="shared" si="58"/>
        <v>5.3615329996618277E-2</v>
      </c>
      <c r="F207" s="147">
        <f t="shared" si="58"/>
        <v>0.5199337076748004</v>
      </c>
      <c r="G207" s="147">
        <f t="shared" si="58"/>
        <v>0.21461102343193489</v>
      </c>
      <c r="H207" s="147">
        <f t="shared" si="58"/>
        <v>0.11505350383464516</v>
      </c>
      <c r="I207" s="147">
        <f t="shared" si="58"/>
        <v>8.3590742507154134E-2</v>
      </c>
      <c r="J207" s="145">
        <f>SUM(D207:I207)</f>
        <v>1</v>
      </c>
      <c r="K207" s="137"/>
    </row>
    <row r="208" spans="2:11" x14ac:dyDescent="0.3">
      <c r="B208" s="107"/>
      <c r="C208" s="107" t="s">
        <v>377</v>
      </c>
      <c r="D208" s="108">
        <f>'01T_Seeds'!AL118</f>
        <v>0</v>
      </c>
      <c r="E208" s="108">
        <f>'01T_Seeds'!AM118</f>
        <v>208.96627109377849</v>
      </c>
      <c r="F208" s="108">
        <f>'01T_Seeds'!AN118</f>
        <v>373.81007323168802</v>
      </c>
      <c r="G208" s="108">
        <f>'01T_Seeds'!AO118</f>
        <v>368.84962622157371</v>
      </c>
      <c r="H208" s="108">
        <f>'01T_Seeds'!AP118</f>
        <v>350.57233609699188</v>
      </c>
      <c r="I208" s="107"/>
      <c r="J208" s="107"/>
      <c r="K208" s="107"/>
    </row>
    <row r="209" spans="2:11" x14ac:dyDescent="0.3">
      <c r="B209" s="107"/>
      <c r="C209" s="148" t="s">
        <v>538</v>
      </c>
      <c r="D209" s="108">
        <f>1.96*D208</f>
        <v>0</v>
      </c>
      <c r="E209" s="108">
        <f>1.96*E208</f>
        <v>409.57389134380583</v>
      </c>
      <c r="F209" s="108">
        <f>1.96*F208</f>
        <v>732.66774353410847</v>
      </c>
      <c r="G209" s="108">
        <f>1.96*G208</f>
        <v>722.94526739428443</v>
      </c>
      <c r="H209" s="108">
        <f>1.96*H208</f>
        <v>687.12177875010411</v>
      </c>
      <c r="I209" s="107"/>
      <c r="J209" s="107"/>
      <c r="K209" s="107"/>
    </row>
    <row r="210" spans="2:11" x14ac:dyDescent="0.3">
      <c r="B210" s="107"/>
      <c r="C210" s="148" t="s">
        <v>537</v>
      </c>
      <c r="D210" s="149">
        <f>D208/$K$1</f>
        <v>0</v>
      </c>
      <c r="E210" s="149">
        <f>E208/$K$1</f>
        <v>1.0490801299953736E-3</v>
      </c>
      <c r="F210" s="149">
        <f>F208/$K$1</f>
        <v>1.8766508019061601E-3</v>
      </c>
      <c r="G210" s="149">
        <f>G208/$K$1</f>
        <v>1.8517477093306577E-3</v>
      </c>
      <c r="H210" s="149">
        <f>H208/$K$1</f>
        <v>1.7599896385209694E-3</v>
      </c>
      <c r="I210" s="107"/>
      <c r="J210" s="107"/>
      <c r="K210" s="107"/>
    </row>
    <row r="211" spans="2:11" x14ac:dyDescent="0.3">
      <c r="B211" s="107"/>
      <c r="C211" s="129" t="s">
        <v>539</v>
      </c>
      <c r="D211" s="150">
        <f>1.96*D210</f>
        <v>0</v>
      </c>
      <c r="E211" s="150">
        <f>1.96*E210</f>
        <v>2.0561970547909323E-3</v>
      </c>
      <c r="F211" s="150">
        <f>1.96*F210</f>
        <v>3.6782355717360736E-3</v>
      </c>
      <c r="G211" s="150">
        <f>1.96*G210</f>
        <v>3.6294255102880891E-3</v>
      </c>
      <c r="H211" s="150">
        <f>1.96*H210</f>
        <v>3.4495796915010998E-3</v>
      </c>
      <c r="I211" s="107"/>
      <c r="J211" s="107"/>
      <c r="K211" s="107"/>
    </row>
    <row r="212" spans="2:11" x14ac:dyDescent="0.3">
      <c r="B212" s="115" t="s">
        <v>410</v>
      </c>
      <c r="C212" s="122" t="s">
        <v>9</v>
      </c>
      <c r="D212" s="136">
        <f>'01T_Seeds'!AL119</f>
        <v>2626.1444999999999</v>
      </c>
      <c r="E212" s="136">
        <f>'01T_Seeds'!AM119</f>
        <v>9381.0889999999999</v>
      </c>
      <c r="F212" s="136">
        <f>'01T_Seeds'!AN119</f>
        <v>104033.00799999999</v>
      </c>
      <c r="G212" s="136">
        <f>'01T_Seeds'!AO119</f>
        <v>42025.1</v>
      </c>
      <c r="H212" s="136">
        <f>'01T_Seeds'!AP119</f>
        <v>24474.207499999997</v>
      </c>
      <c r="I212" s="107"/>
      <c r="J212" s="115" t="s">
        <v>36</v>
      </c>
      <c r="K212" s="137">
        <f t="shared" ref="K212" si="59">SUM(D212:H212)</f>
        <v>182539.54899999997</v>
      </c>
    </row>
    <row r="213" spans="2:11" x14ac:dyDescent="0.3">
      <c r="B213" s="107"/>
      <c r="C213" s="148" t="s">
        <v>394</v>
      </c>
      <c r="D213" s="108">
        <f>'01T_Seeds'!AL120</f>
        <v>4.7978768591183369</v>
      </c>
      <c r="E213" s="108">
        <f>'01T_Seeds'!AM120</f>
        <v>42.887673280571569</v>
      </c>
      <c r="F213" s="108">
        <f>'01T_Seeds'!AN120</f>
        <v>93.713141971713455</v>
      </c>
      <c r="G213" s="108">
        <f>'01T_Seeds'!AO120</f>
        <v>78.235566814185233</v>
      </c>
      <c r="H213" s="108">
        <f>'01T_Seeds'!AP120</f>
        <v>58.183914823125697</v>
      </c>
      <c r="I213" s="107"/>
      <c r="J213" s="107"/>
      <c r="K213" s="107"/>
    </row>
    <row r="214" spans="2:11" x14ac:dyDescent="0.3">
      <c r="B214" s="107"/>
      <c r="C214" s="148" t="s">
        <v>538</v>
      </c>
      <c r="D214" s="108">
        <f>1.96*D213</f>
        <v>9.403838643871941</v>
      </c>
      <c r="E214" s="108">
        <f>1.96*E213</f>
        <v>84.059839629920276</v>
      </c>
      <c r="F214" s="108">
        <f>1.96*F213</f>
        <v>183.67775826455838</v>
      </c>
      <c r="G214" s="108">
        <f>1.96*G213</f>
        <v>153.34171095580305</v>
      </c>
      <c r="H214" s="108">
        <f>1.96*H213</f>
        <v>114.04047305332637</v>
      </c>
      <c r="I214" s="107"/>
      <c r="J214" s="107"/>
      <c r="K214" s="107"/>
    </row>
    <row r="215" spans="2:11" x14ac:dyDescent="0.3">
      <c r="B215" s="107"/>
      <c r="C215" s="148" t="s">
        <v>537</v>
      </c>
      <c r="D215" s="149">
        <f>D213/$K$1</f>
        <v>2.4086936387962933E-5</v>
      </c>
      <c r="E215" s="149">
        <f>E213/$K$1</f>
        <v>2.1531037341518936E-4</v>
      </c>
      <c r="F215" s="149">
        <f>F213/$K$1</f>
        <v>4.7047111788600562E-4</v>
      </c>
      <c r="G215" s="149">
        <f>G213/$K$1</f>
        <v>3.9276854668500043E-4</v>
      </c>
      <c r="H215" s="149">
        <f>H213/$K$1</f>
        <v>2.9210258960352277E-4</v>
      </c>
      <c r="I215" s="107"/>
      <c r="J215" s="107"/>
      <c r="K215" s="107"/>
    </row>
    <row r="216" spans="2:11" x14ac:dyDescent="0.3">
      <c r="B216" s="141"/>
      <c r="C216" s="129" t="s">
        <v>539</v>
      </c>
      <c r="D216" s="150">
        <f>1.96*D215</f>
        <v>4.7210395320407347E-5</v>
      </c>
      <c r="E216" s="150">
        <f>1.96*E215</f>
        <v>4.2200833189377112E-4</v>
      </c>
      <c r="F216" s="150">
        <f>1.96*F215</f>
        <v>9.2212339105657098E-4</v>
      </c>
      <c r="G216" s="150">
        <f>1.96*G215</f>
        <v>7.6982635150260083E-4</v>
      </c>
      <c r="H216" s="150">
        <f>1.96*H215</f>
        <v>5.7252107562290463E-4</v>
      </c>
      <c r="I216" s="107"/>
      <c r="J216" s="107"/>
      <c r="K216" s="107"/>
    </row>
    <row r="217" spans="2:11" x14ac:dyDescent="0.3">
      <c r="B217" s="119" t="s">
        <v>408</v>
      </c>
      <c r="C217" s="107"/>
      <c r="D217" s="116"/>
      <c r="E217" s="116"/>
      <c r="F217" s="116"/>
      <c r="G217" s="116"/>
      <c r="H217" s="116"/>
      <c r="I217" s="107"/>
      <c r="J217" s="107"/>
      <c r="K217" s="107"/>
    </row>
    <row r="218" spans="2:11" x14ac:dyDescent="0.3">
      <c r="B218" s="115" t="s">
        <v>409</v>
      </c>
      <c r="C218" s="122" t="s">
        <v>9</v>
      </c>
      <c r="D218" s="136">
        <f>'01T_Seeds'!AL122</f>
        <v>172.86</v>
      </c>
      <c r="E218" s="136">
        <f>'01T_Seeds'!AM122</f>
        <v>1182.44</v>
      </c>
      <c r="F218" s="136">
        <f>'01T_Seeds'!AN122</f>
        <v>16238.62</v>
      </c>
      <c r="G218" s="136">
        <f>'01T_Seeds'!AO122</f>
        <v>2470.29</v>
      </c>
      <c r="H218" s="136">
        <f>'01T_Seeds'!AP122</f>
        <v>2080.64</v>
      </c>
      <c r="I218" s="108">
        <f>$K$2-K218</f>
        <v>21.429999999996653</v>
      </c>
      <c r="J218" s="115" t="s">
        <v>36</v>
      </c>
      <c r="K218" s="137">
        <f t="shared" ref="K218" si="60">SUM(D218:H218)</f>
        <v>22144.850000000002</v>
      </c>
    </row>
    <row r="219" spans="2:11" x14ac:dyDescent="0.3">
      <c r="B219" s="107"/>
      <c r="C219" s="107" t="s">
        <v>533</v>
      </c>
      <c r="D219" s="151">
        <f t="shared" ref="D219:I219" si="61">D218/$K$2</f>
        <v>7.7983315197678645E-3</v>
      </c>
      <c r="E219" s="151">
        <f t="shared" si="61"/>
        <v>5.3344088408158706E-2</v>
      </c>
      <c r="F219" s="151">
        <f t="shared" si="61"/>
        <v>0.73258210218403819</v>
      </c>
      <c r="G219" s="151">
        <f t="shared" si="61"/>
        <v>0.11144359811389191</v>
      </c>
      <c r="H219" s="151">
        <f t="shared" si="61"/>
        <v>9.3865095992651901E-2</v>
      </c>
      <c r="I219" s="147">
        <f t="shared" si="61"/>
        <v>9.6678378149137587E-4</v>
      </c>
      <c r="J219" s="145">
        <f>SUM(D219:I219)</f>
        <v>1</v>
      </c>
      <c r="K219" s="107"/>
    </row>
    <row r="220" spans="2:11" x14ac:dyDescent="0.3">
      <c r="B220" s="115" t="s">
        <v>410</v>
      </c>
      <c r="C220" s="122" t="s">
        <v>9</v>
      </c>
      <c r="D220" s="136">
        <f>'01T_Seeds'!AL124</f>
        <v>172.554</v>
      </c>
      <c r="E220" s="140">
        <f>'01T_Seeds'!AM124</f>
        <v>1189.7774999999997</v>
      </c>
      <c r="F220" s="136">
        <f>'01T_Seeds'!AN124</f>
        <v>16200.940500000002</v>
      </c>
      <c r="G220" s="136">
        <f>'01T_Seeds'!AO124</f>
        <v>2457.2175000000002</v>
      </c>
      <c r="H220" s="136">
        <f>'01T_Seeds'!AP124</f>
        <v>2124.3645000000001</v>
      </c>
      <c r="I220" s="108">
        <f>$K$2-K220</f>
        <v>21.425999999999476</v>
      </c>
      <c r="J220" s="115" t="s">
        <v>36</v>
      </c>
      <c r="K220" s="137">
        <f t="shared" ref="K220" si="62">SUM(D220:H220)</f>
        <v>22144.853999999999</v>
      </c>
    </row>
    <row r="221" spans="2:11" x14ac:dyDescent="0.3">
      <c r="B221" s="115"/>
      <c r="C221" s="141" t="s">
        <v>533</v>
      </c>
      <c r="D221" s="151">
        <f t="shared" ref="D221:I221" si="63">D220/$K$2</f>
        <v>7.7845267676849702E-3</v>
      </c>
      <c r="E221" s="151">
        <f t="shared" si="63"/>
        <v>5.3675109219950293E-2</v>
      </c>
      <c r="F221" s="151">
        <f t="shared" si="63"/>
        <v>0.73088224546473302</v>
      </c>
      <c r="G221" s="151">
        <f t="shared" si="63"/>
        <v>0.11085385098446832</v>
      </c>
      <c r="H221" s="151">
        <f t="shared" si="63"/>
        <v>9.5837664235947584E-2</v>
      </c>
      <c r="I221" s="147">
        <f t="shared" si="63"/>
        <v>9.6660332721590976E-4</v>
      </c>
      <c r="J221" s="145">
        <f>SUM(D221:I221)</f>
        <v>1.0000000000000002</v>
      </c>
      <c r="K221" s="137"/>
    </row>
    <row r="222" spans="2:11" x14ac:dyDescent="0.3">
      <c r="B222" s="107"/>
      <c r="C222" s="148" t="s">
        <v>394</v>
      </c>
      <c r="D222" s="108">
        <f>'01T_Seeds'!AL125</f>
        <v>0.42961512763721088</v>
      </c>
      <c r="E222" s="108">
        <f>'01T_Seeds'!AM125</f>
        <v>8.5533499400742645</v>
      </c>
      <c r="F222" s="108">
        <f>'01T_Seeds'!AN125</f>
        <v>12.112208422974673</v>
      </c>
      <c r="G222" s="108">
        <f>'01T_Seeds'!AO125</f>
        <v>6.266727672692042</v>
      </c>
      <c r="H222" s="108">
        <f>'01T_Seeds'!AP125</f>
        <v>8.689815438504036</v>
      </c>
      <c r="I222" s="107"/>
      <c r="J222" s="107"/>
      <c r="K222" s="142"/>
    </row>
    <row r="223" spans="2:11" x14ac:dyDescent="0.3">
      <c r="B223" s="107"/>
      <c r="C223" s="148" t="s">
        <v>538</v>
      </c>
      <c r="D223" s="108">
        <f>1.96*D222</f>
        <v>0.84204565016893329</v>
      </c>
      <c r="E223" s="108">
        <f>1.96*E222</f>
        <v>16.764565882545558</v>
      </c>
      <c r="F223" s="108">
        <f>1.96*F222</f>
        <v>23.73992850903036</v>
      </c>
      <c r="G223" s="108">
        <f>1.96*G222</f>
        <v>12.282786238476403</v>
      </c>
      <c r="H223" s="108">
        <f>1.96*H222</f>
        <v>17.03203825946791</v>
      </c>
      <c r="I223" s="107"/>
      <c r="J223" s="107"/>
      <c r="K223" s="142"/>
    </row>
    <row r="224" spans="2:11" x14ac:dyDescent="0.3">
      <c r="B224" s="107"/>
      <c r="C224" s="148" t="s">
        <v>537</v>
      </c>
      <c r="D224" s="149">
        <f>D222/$K$2</f>
        <v>1.9381471660432464E-5</v>
      </c>
      <c r="E224" s="149">
        <f>E222/$K$2</f>
        <v>3.8587214183319281E-4</v>
      </c>
      <c r="F224" s="149">
        <f>F222/$K$2</f>
        <v>5.4642494920097888E-4</v>
      </c>
      <c r="G224" s="149">
        <f>G222/$K$2</f>
        <v>2.8271445062915573E-4</v>
      </c>
      <c r="H224" s="149">
        <f>H222/$K$2</f>
        <v>3.9202858749885127E-4</v>
      </c>
      <c r="I224" s="107"/>
      <c r="J224" s="107"/>
      <c r="K224" s="142"/>
    </row>
    <row r="225" spans="2:11" x14ac:dyDescent="0.3">
      <c r="B225" s="141"/>
      <c r="C225" s="129" t="s">
        <v>539</v>
      </c>
      <c r="D225" s="150">
        <f>1.96*D224</f>
        <v>3.7987684454447628E-5</v>
      </c>
      <c r="E225" s="150">
        <f>1.96*E224</f>
        <v>7.5630939799305793E-4</v>
      </c>
      <c r="F225" s="150">
        <f>1.96*F224</f>
        <v>1.0709929004339186E-3</v>
      </c>
      <c r="G225" s="150">
        <f>1.96*G224</f>
        <v>5.5412032323314518E-4</v>
      </c>
      <c r="H225" s="150">
        <f>1.96*H224</f>
        <v>7.683760314977485E-4</v>
      </c>
      <c r="I225" s="107"/>
      <c r="J225" s="107"/>
      <c r="K225" s="142"/>
    </row>
    <row r="226" spans="2:11" x14ac:dyDescent="0.3">
      <c r="B226" s="119" t="s">
        <v>435</v>
      </c>
      <c r="C226" s="107"/>
      <c r="D226" s="116"/>
      <c r="E226" s="116"/>
      <c r="F226" s="116"/>
      <c r="G226" s="116"/>
      <c r="H226" s="116"/>
      <c r="I226" s="107"/>
      <c r="J226" s="107"/>
      <c r="K226" s="142"/>
    </row>
    <row r="227" spans="2:11" x14ac:dyDescent="0.3">
      <c r="B227" s="115" t="s">
        <v>409</v>
      </c>
      <c r="C227" s="122" t="s">
        <v>9</v>
      </c>
      <c r="D227" s="136">
        <f>'01T_Seeds'!AL127</f>
        <v>40.92</v>
      </c>
      <c r="E227" s="136">
        <f>'01T_Seeds'!AM127</f>
        <v>235.73</v>
      </c>
      <c r="F227" s="136">
        <f>'01T_Seeds'!AN127</f>
        <v>16056.11</v>
      </c>
      <c r="G227" s="136">
        <f>'01T_Seeds'!AO127</f>
        <v>14772.43</v>
      </c>
      <c r="H227" s="136">
        <f>'01T_Seeds'!AP127</f>
        <v>11804.65</v>
      </c>
      <c r="I227" s="108">
        <f>$K$3-K227</f>
        <v>508.24999999999272</v>
      </c>
      <c r="J227" s="115" t="s">
        <v>36</v>
      </c>
      <c r="K227" s="137">
        <f t="shared" ref="K227" si="64">SUM(D227:H227)</f>
        <v>42909.840000000004</v>
      </c>
    </row>
    <row r="228" spans="2:11" x14ac:dyDescent="0.3">
      <c r="B228" s="107"/>
      <c r="C228" s="107" t="s">
        <v>534</v>
      </c>
      <c r="D228" s="146">
        <f t="shared" ref="D228:I228" si="65">D227/$K$3</f>
        <v>9.4246430462509995E-4</v>
      </c>
      <c r="E228" s="146">
        <f t="shared" si="65"/>
        <v>5.4293037763752392E-3</v>
      </c>
      <c r="F228" s="146">
        <f t="shared" si="65"/>
        <v>0.36980231051158635</v>
      </c>
      <c r="G228" s="146">
        <f t="shared" si="65"/>
        <v>0.34023675385075669</v>
      </c>
      <c r="H228" s="146">
        <f t="shared" si="65"/>
        <v>0.2718832173409747</v>
      </c>
      <c r="I228" s="146">
        <f t="shared" si="65"/>
        <v>1.1705950215681823E-2</v>
      </c>
      <c r="J228" s="145">
        <f>SUM(D228:I228)</f>
        <v>0.99999999999999978</v>
      </c>
      <c r="K228" s="142"/>
    </row>
    <row r="229" spans="2:11" x14ac:dyDescent="0.3">
      <c r="B229" s="115" t="s">
        <v>410</v>
      </c>
      <c r="C229" s="122" t="s">
        <v>9</v>
      </c>
      <c r="D229" s="136">
        <f>'01T_Seeds'!AL129</f>
        <v>43.940500000000007</v>
      </c>
      <c r="E229" s="136">
        <f>'01T_Seeds'!AM129</f>
        <v>240.51400000000004</v>
      </c>
      <c r="F229" s="136">
        <f>'01T_Seeds'!AN129</f>
        <v>16000.021499999999</v>
      </c>
      <c r="G229" s="136">
        <f>'01T_Seeds'!AO129</f>
        <v>14747.1055</v>
      </c>
      <c r="H229" s="136">
        <f>'01T_Seeds'!AP129</f>
        <v>11878.2585</v>
      </c>
      <c r="I229" s="108">
        <f>$K$3-K229</f>
        <v>508.25</v>
      </c>
      <c r="J229" s="115" t="s">
        <v>36</v>
      </c>
      <c r="K229" s="137">
        <f t="shared" ref="K229" si="66">SUM(D229:H229)</f>
        <v>42909.84</v>
      </c>
    </row>
    <row r="230" spans="2:11" x14ac:dyDescent="0.3">
      <c r="B230" s="115"/>
      <c r="C230" s="141" t="s">
        <v>533</v>
      </c>
      <c r="D230" s="151">
        <f t="shared" ref="D230:I230" si="67">D229/$K$3</f>
        <v>1.0120320815586318E-3</v>
      </c>
      <c r="E230" s="151">
        <f t="shared" si="67"/>
        <v>5.5394882639931897E-3</v>
      </c>
      <c r="F230" s="151">
        <f t="shared" si="67"/>
        <v>0.36851048721857643</v>
      </c>
      <c r="G230" s="151">
        <f t="shared" si="67"/>
        <v>0.33965348314492877</v>
      </c>
      <c r="H230" s="151">
        <f t="shared" si="67"/>
        <v>0.27357855907526102</v>
      </c>
      <c r="I230" s="146">
        <f t="shared" si="67"/>
        <v>1.1705950215681989E-2</v>
      </c>
      <c r="J230" s="145">
        <f>SUM(D230:I230)</f>
        <v>1</v>
      </c>
      <c r="K230" s="137"/>
    </row>
    <row r="231" spans="2:11" x14ac:dyDescent="0.3">
      <c r="B231" s="107"/>
      <c r="C231" s="148" t="s">
        <v>394</v>
      </c>
      <c r="D231" s="108">
        <f>'01T_Seeds'!AL130</f>
        <v>1.2008552818282068</v>
      </c>
      <c r="E231" s="108">
        <f>'01T_Seeds'!AM130</f>
        <v>3.221561357315327</v>
      </c>
      <c r="F231" s="108">
        <f>'01T_Seeds'!AN130</f>
        <v>23.676627796815708</v>
      </c>
      <c r="G231" s="108">
        <f>'01T_Seeds'!AO130</f>
        <v>29.689655973570105</v>
      </c>
      <c r="H231" s="108">
        <f>'01T_Seeds'!AP130</f>
        <v>22.518494016614785</v>
      </c>
      <c r="I231" s="107"/>
      <c r="J231" s="107"/>
      <c r="K231" s="142"/>
    </row>
    <row r="232" spans="2:11" x14ac:dyDescent="0.3">
      <c r="B232" s="107"/>
      <c r="C232" s="148" t="s">
        <v>538</v>
      </c>
      <c r="D232" s="108">
        <f>1.96*D231</f>
        <v>2.3536763523832853</v>
      </c>
      <c r="E232" s="108">
        <f>1.96*E231</f>
        <v>6.3142602603380409</v>
      </c>
      <c r="F232" s="108">
        <f>1.96*F231</f>
        <v>46.406190481758784</v>
      </c>
      <c r="G232" s="108">
        <f>1.96*G231</f>
        <v>58.191725708197403</v>
      </c>
      <c r="H232" s="108">
        <f>1.96*H231</f>
        <v>44.136248272564977</v>
      </c>
      <c r="I232" s="107"/>
      <c r="J232" s="107"/>
      <c r="K232" s="142"/>
    </row>
    <row r="233" spans="2:11" x14ac:dyDescent="0.3">
      <c r="B233" s="107"/>
      <c r="C233" s="148" t="s">
        <v>537</v>
      </c>
      <c r="D233" s="149">
        <f>D231/$K$3</f>
        <v>2.7657948146226767E-5</v>
      </c>
      <c r="E233" s="149">
        <f>E231/$K$3</f>
        <v>7.4198596882436038E-5</v>
      </c>
      <c r="F233" s="149">
        <f>F231/$K$3</f>
        <v>5.4531712004871036E-4</v>
      </c>
      <c r="G233" s="149">
        <f>G231/$K$3</f>
        <v>6.8380843039318653E-4</v>
      </c>
      <c r="H233" s="149">
        <f>H231/$K$3</f>
        <v>5.1864312816650351E-4</v>
      </c>
      <c r="I233" s="107"/>
      <c r="J233" s="107"/>
      <c r="K233" s="142"/>
    </row>
    <row r="234" spans="2:11" x14ac:dyDescent="0.3">
      <c r="B234" s="141"/>
      <c r="C234" s="129" t="s">
        <v>539</v>
      </c>
      <c r="D234" s="150">
        <f>1.96*D233</f>
        <v>5.4209578366604462E-5</v>
      </c>
      <c r="E234" s="150">
        <f>1.96*E233</f>
        <v>1.4542924988957464E-4</v>
      </c>
      <c r="F234" s="150">
        <f>1.96*F233</f>
        <v>1.0688215552954723E-3</v>
      </c>
      <c r="G234" s="150">
        <f>1.96*G233</f>
        <v>1.3402645235706455E-3</v>
      </c>
      <c r="H234" s="150">
        <f>1.96*H233</f>
        <v>1.0165405312063469E-3</v>
      </c>
      <c r="I234" s="107"/>
      <c r="J234" s="107"/>
      <c r="K234" s="142"/>
    </row>
    <row r="235" spans="2:11" x14ac:dyDescent="0.3">
      <c r="B235" s="119" t="s">
        <v>436</v>
      </c>
      <c r="C235" s="107"/>
      <c r="D235" s="116"/>
      <c r="E235" s="116"/>
      <c r="F235" s="116"/>
      <c r="G235" s="116"/>
      <c r="H235" s="116"/>
      <c r="I235" s="107"/>
      <c r="J235" s="107"/>
      <c r="K235" s="142"/>
    </row>
    <row r="236" spans="2:11" x14ac:dyDescent="0.3">
      <c r="B236" s="115" t="s">
        <v>409</v>
      </c>
      <c r="C236" s="122" t="s">
        <v>9</v>
      </c>
      <c r="D236" s="136">
        <f>'01T_Seeds'!AL132</f>
        <v>0</v>
      </c>
      <c r="E236" s="136">
        <f>'01T_Seeds'!AM132</f>
        <v>5.9</v>
      </c>
      <c r="F236" s="136">
        <f>'01T_Seeds'!AN132</f>
        <v>1279.71</v>
      </c>
      <c r="G236" s="136">
        <f>'01T_Seeds'!AO132</f>
        <v>417.34</v>
      </c>
      <c r="H236" s="136">
        <f>'01T_Seeds'!AP132</f>
        <v>150.27000000000001</v>
      </c>
      <c r="I236" s="108">
        <f>$K$4-K236</f>
        <v>8.3299999999999272</v>
      </c>
      <c r="J236" s="115" t="s">
        <v>36</v>
      </c>
      <c r="K236" s="137">
        <f t="shared" ref="K236" si="68">SUM(D236:H236)</f>
        <v>1853.22</v>
      </c>
    </row>
    <row r="237" spans="2:11" x14ac:dyDescent="0.3">
      <c r="B237" s="107"/>
      <c r="C237" s="141" t="s">
        <v>533</v>
      </c>
      <c r="D237" s="151">
        <f t="shared" ref="D237:I237" si="69">D236/$K$4</f>
        <v>0</v>
      </c>
      <c r="E237" s="151">
        <f t="shared" si="69"/>
        <v>3.1694018425505628E-3</v>
      </c>
      <c r="F237" s="151">
        <f t="shared" si="69"/>
        <v>0.68744325964921704</v>
      </c>
      <c r="G237" s="151">
        <f t="shared" si="69"/>
        <v>0.22418951948644947</v>
      </c>
      <c r="H237" s="151">
        <f t="shared" si="69"/>
        <v>8.0723053369503917E-2</v>
      </c>
      <c r="I237" s="147">
        <f t="shared" si="69"/>
        <v>4.474765652278976E-3</v>
      </c>
      <c r="J237" s="145">
        <f>SUM(D237:I237)</f>
        <v>1</v>
      </c>
      <c r="K237" s="142"/>
    </row>
    <row r="238" spans="2:11" x14ac:dyDescent="0.3">
      <c r="B238" s="115" t="s">
        <v>410</v>
      </c>
      <c r="C238" s="122" t="s">
        <v>9</v>
      </c>
      <c r="D238" s="136">
        <f>'01T_Seeds'!AL134</f>
        <v>8.9999999999999993E-3</v>
      </c>
      <c r="E238" s="136">
        <f>'01T_Seeds'!AM134</f>
        <v>6.3680000000000003</v>
      </c>
      <c r="F238" s="136">
        <f>'01T_Seeds'!AN134</f>
        <v>1272.7224999999999</v>
      </c>
      <c r="G238" s="136">
        <f>'01T_Seeds'!AO134</f>
        <v>417.59499999999997</v>
      </c>
      <c r="H238" s="136">
        <f>'01T_Seeds'!AP134</f>
        <v>156.524</v>
      </c>
      <c r="I238" s="108">
        <f>$K$4-K238</f>
        <v>8.3315000000000055</v>
      </c>
      <c r="J238" s="115" t="s">
        <v>36</v>
      </c>
      <c r="K238" s="137">
        <f t="shared" ref="K238" si="70">SUM(D238:H238)</f>
        <v>1853.2184999999999</v>
      </c>
    </row>
    <row r="239" spans="2:11" x14ac:dyDescent="0.3">
      <c r="B239" s="115"/>
      <c r="C239" s="141" t="s">
        <v>533</v>
      </c>
      <c r="D239" s="151">
        <f t="shared" ref="D239:I239" si="71">D238/$K$4</f>
        <v>4.8346807767720445E-6</v>
      </c>
      <c r="E239" s="151">
        <f t="shared" si="71"/>
        <v>3.4208052429427092E-3</v>
      </c>
      <c r="F239" s="151">
        <f t="shared" si="71"/>
        <v>0.68368966721280644</v>
      </c>
      <c r="G239" s="151">
        <f t="shared" si="71"/>
        <v>0.224326502108458</v>
      </c>
      <c r="H239" s="151">
        <f t="shared" si="71"/>
        <v>8.4082619322607507E-2</v>
      </c>
      <c r="I239" s="147">
        <f t="shared" si="71"/>
        <v>4.4755714324084799E-3</v>
      </c>
      <c r="J239" s="145">
        <f>SUM(D239:I239)</f>
        <v>0.99999999999999989</v>
      </c>
      <c r="K239" s="137"/>
    </row>
    <row r="240" spans="2:11" x14ac:dyDescent="0.3">
      <c r="B240" s="107"/>
      <c r="C240" s="148" t="s">
        <v>394</v>
      </c>
      <c r="D240" s="108">
        <f>'01T_Seeds'!AL135</f>
        <v>6.1942248145051672E-3</v>
      </c>
      <c r="E240" s="108">
        <f>'01T_Seeds'!AM135</f>
        <v>0.18240296627320118</v>
      </c>
      <c r="F240" s="108">
        <f>'01T_Seeds'!AN135</f>
        <v>1.6938601003251972</v>
      </c>
      <c r="G240" s="108">
        <f>'01T_Seeds'!AO135</f>
        <v>1.1319937000010678</v>
      </c>
      <c r="H240" s="108">
        <f>'01T_Seeds'!AP135</f>
        <v>1.2960040610722596</v>
      </c>
      <c r="I240" s="107"/>
      <c r="J240" s="107"/>
      <c r="K240" s="107"/>
    </row>
    <row r="241" spans="2:11" x14ac:dyDescent="0.3">
      <c r="B241" s="107"/>
      <c r="C241" s="148" t="s">
        <v>538</v>
      </c>
      <c r="D241" s="108">
        <f>1.96*D240</f>
        <v>1.2140680636430128E-2</v>
      </c>
      <c r="E241" s="108">
        <f>1.96*E240</f>
        <v>0.35750981389547432</v>
      </c>
      <c r="F241" s="108">
        <f>1.96*F240</f>
        <v>3.3199657966373866</v>
      </c>
      <c r="G241" s="108">
        <f>1.96*G240</f>
        <v>2.218707652002093</v>
      </c>
      <c r="H241" s="108">
        <f>1.96*H240</f>
        <v>2.5401679597016287</v>
      </c>
      <c r="I241" s="107"/>
      <c r="J241" s="107"/>
      <c r="K241" s="107"/>
    </row>
    <row r="242" spans="2:11" x14ac:dyDescent="0.3">
      <c r="B242" s="107"/>
      <c r="C242" s="148" t="s">
        <v>537</v>
      </c>
      <c r="D242" s="149">
        <f>D240/$K$4</f>
        <v>3.3274555152991687E-6</v>
      </c>
      <c r="E242" s="149">
        <f>E240/$K$4</f>
        <v>9.7984457185249486E-5</v>
      </c>
      <c r="F242" s="149">
        <f>F240/$K$4</f>
        <v>9.0991920728704422E-4</v>
      </c>
      <c r="G242" s="149">
        <f>G240/$K$4</f>
        <v>6.0809202009135823E-4</v>
      </c>
      <c r="H242" s="149">
        <f>H240/$K$4</f>
        <v>6.9619621340939524E-4</v>
      </c>
      <c r="I242" s="107"/>
      <c r="J242" s="107"/>
      <c r="K242" s="107"/>
    </row>
    <row r="243" spans="2:11" x14ac:dyDescent="0.3">
      <c r="B243" s="107"/>
      <c r="C243" s="129" t="s">
        <v>539</v>
      </c>
      <c r="D243" s="150">
        <f>1.96*D242</f>
        <v>6.52181280998637E-6</v>
      </c>
      <c r="E243" s="150">
        <f>1.96*E242</f>
        <v>1.9204953608308899E-4</v>
      </c>
      <c r="F243" s="150">
        <f>1.96*F242</f>
        <v>1.7834416462826066E-3</v>
      </c>
      <c r="G243" s="150">
        <f>1.96*G242</f>
        <v>1.1918603593790622E-3</v>
      </c>
      <c r="H243" s="150">
        <f>1.96*H242</f>
        <v>1.3645445782824147E-3</v>
      </c>
      <c r="I243" s="107"/>
      <c r="J243" s="107"/>
      <c r="K243" s="107"/>
    </row>
    <row r="244" spans="2:11" x14ac:dyDescent="0.3">
      <c r="D244" t="s">
        <v>493</v>
      </c>
      <c r="E244" t="s">
        <v>494</v>
      </c>
      <c r="F244" t="s">
        <v>495</v>
      </c>
      <c r="G244" t="s">
        <v>496</v>
      </c>
      <c r="H244" t="s">
        <v>497</v>
      </c>
    </row>
    <row r="245" spans="2:11" x14ac:dyDescent="0.3">
      <c r="B245" s="118" t="s">
        <v>375</v>
      </c>
      <c r="C245" s="8">
        <v>20</v>
      </c>
      <c r="D245" s="90" t="s">
        <v>524</v>
      </c>
      <c r="E245" s="91" t="s">
        <v>523</v>
      </c>
      <c r="F245" s="92" t="s">
        <v>525</v>
      </c>
      <c r="G245" s="124" t="s">
        <v>526</v>
      </c>
      <c r="H245" s="123" t="s">
        <v>527</v>
      </c>
      <c r="I245" s="212" t="s">
        <v>529</v>
      </c>
    </row>
    <row r="246" spans="2:11" x14ac:dyDescent="0.3">
      <c r="B246" s="106" t="s">
        <v>431</v>
      </c>
      <c r="C246" s="107" t="s">
        <v>28</v>
      </c>
      <c r="D246" s="108">
        <f>'07E_Seeds'!AL109</f>
        <v>1.350169265109987</v>
      </c>
      <c r="E246" s="108">
        <f>'07E_Seeds'!AM109</f>
        <v>5.6581070935970583</v>
      </c>
      <c r="F246" s="108">
        <f>'07E_Seeds'!AN109</f>
        <v>58.369841710428943</v>
      </c>
      <c r="G246" s="108">
        <f>'07E_Seeds'!AO109</f>
        <v>24.972115312163304</v>
      </c>
      <c r="H246" s="108">
        <f>'07E_Seeds'!AP109</f>
        <v>9.6497666187007294</v>
      </c>
      <c r="I246" s="111"/>
      <c r="J246" s="232" t="s">
        <v>77</v>
      </c>
      <c r="K246" s="233">
        <f>'07E_Seeds'!AS109</f>
        <v>0.92880721576612801</v>
      </c>
    </row>
    <row r="247" spans="2:11" x14ac:dyDescent="0.3">
      <c r="B247" s="107"/>
      <c r="C247" s="109" t="s">
        <v>39</v>
      </c>
      <c r="D247" s="110">
        <f>'07E_Seeds'!AL110</f>
        <v>0</v>
      </c>
      <c r="E247" s="110">
        <f>'07E_Seeds'!AM110</f>
        <v>0.14116040156394305</v>
      </c>
      <c r="F247" s="110">
        <f>'07E_Seeds'!AN110</f>
        <v>0.19641717337489359</v>
      </c>
      <c r="G247" s="110">
        <f>'07E_Seeds'!AO110</f>
        <v>0.2297950941720788</v>
      </c>
      <c r="H247" s="110">
        <f>'07E_Seeds'!AP110</f>
        <v>0.21518733174249552</v>
      </c>
      <c r="I247" s="111"/>
      <c r="J247" s="232" t="s">
        <v>29</v>
      </c>
      <c r="K247" s="234">
        <f>'07E_Seeds'!AS110</f>
        <v>2.7761448885463206E-3</v>
      </c>
    </row>
    <row r="248" spans="2:11" x14ac:dyDescent="0.3">
      <c r="B248" s="107"/>
      <c r="C248" s="107" t="s">
        <v>30</v>
      </c>
      <c r="D248" s="108">
        <f>'07E_Seeds'!AL111</f>
        <v>100</v>
      </c>
      <c r="E248" s="108">
        <f>'07E_Seeds'!AM111</f>
        <v>76.234502183087443</v>
      </c>
      <c r="F248" s="108">
        <f>'07E_Seeds'!AN111</f>
        <v>97.416530664631907</v>
      </c>
      <c r="G248" s="108">
        <f>'07E_Seeds'!AO111</f>
        <v>87.705836516974827</v>
      </c>
      <c r="H248" s="108">
        <f>'07E_Seeds'!AP111</f>
        <v>87.600513986293791</v>
      </c>
      <c r="I248" s="111"/>
      <c r="J248" s="111"/>
      <c r="K248" s="111"/>
    </row>
    <row r="249" spans="2:11" x14ac:dyDescent="0.3">
      <c r="B249" s="107"/>
      <c r="C249" s="109" t="s">
        <v>39</v>
      </c>
      <c r="D249" s="110">
        <f>'07E_Seeds'!AL112</f>
        <v>0</v>
      </c>
      <c r="E249" s="110">
        <f>'07E_Seeds'!AM112</f>
        <v>3.8271250282764773</v>
      </c>
      <c r="F249" s="110">
        <f>'07E_Seeds'!AN112</f>
        <v>0.24369856602539555</v>
      </c>
      <c r="G249" s="110">
        <f>'07E_Seeds'!AO112</f>
        <v>0.92824244358332397</v>
      </c>
      <c r="H249" s="110">
        <f>'07E_Seeds'!AP112</f>
        <v>2.5734091835796948</v>
      </c>
      <c r="I249" s="111"/>
      <c r="J249" s="111"/>
      <c r="K249" s="111"/>
    </row>
    <row r="250" spans="2:11" x14ac:dyDescent="0.3">
      <c r="B250" s="107"/>
      <c r="C250" s="111" t="s">
        <v>31</v>
      </c>
      <c r="D250" s="112">
        <f>'07E_Seeds'!AL113</f>
        <v>100</v>
      </c>
      <c r="E250" s="112">
        <f>'07E_Seeds'!AM113</f>
        <v>93.03482587064677</v>
      </c>
      <c r="F250" s="112">
        <f>'07E_Seeds'!AN113</f>
        <v>96.689075630252091</v>
      </c>
      <c r="G250" s="112">
        <f>'07E_Seeds'!AO113</f>
        <v>92.237243785433932</v>
      </c>
      <c r="H250" s="112">
        <f>'07E_Seeds'!AP113</f>
        <v>73.768308921438091</v>
      </c>
      <c r="I250" s="111"/>
      <c r="J250" s="111"/>
      <c r="K250" s="111"/>
    </row>
    <row r="251" spans="2:11" x14ac:dyDescent="0.3">
      <c r="B251" s="107"/>
      <c r="C251" s="113" t="s">
        <v>39</v>
      </c>
      <c r="D251" s="114">
        <f>'07E_Seeds'!AL114</f>
        <v>0</v>
      </c>
      <c r="E251" s="114">
        <f>'07E_Seeds'!AM114</f>
        <v>1.8000052253856256</v>
      </c>
      <c r="F251" s="114">
        <f>'07E_Seeds'!AN114</f>
        <v>0.23197508893876798</v>
      </c>
      <c r="G251" s="114">
        <f>'07E_Seeds'!AO114</f>
        <v>0.55892537340948734</v>
      </c>
      <c r="H251" s="114">
        <f>'07E_Seeds'!AP114</f>
        <v>1.6062658522237578</v>
      </c>
      <c r="I251" s="107"/>
      <c r="J251" s="107"/>
      <c r="K251" s="107"/>
    </row>
    <row r="252" spans="2:11" x14ac:dyDescent="0.3">
      <c r="B252" s="107"/>
      <c r="C252" s="109" t="s">
        <v>56</v>
      </c>
      <c r="D252" s="110">
        <f>'07E_Seeds'!AL115</f>
        <v>100</v>
      </c>
      <c r="E252" s="110">
        <f>'07E_Seeds'!AM115</f>
        <v>71.374045801526705</v>
      </c>
      <c r="F252" s="110">
        <f>'07E_Seeds'!AN115</f>
        <v>97.31878541825256</v>
      </c>
      <c r="G252" s="110">
        <f>'07E_Seeds'!AO115</f>
        <v>91.479238754325252</v>
      </c>
      <c r="H252" s="110">
        <f>'07E_Seeds'!AP115</f>
        <v>78.083157152924585</v>
      </c>
      <c r="I252" s="145"/>
      <c r="J252" s="107"/>
      <c r="K252" s="107"/>
    </row>
    <row r="253" spans="2:11" x14ac:dyDescent="0.3">
      <c r="B253" s="115" t="s">
        <v>409</v>
      </c>
      <c r="C253" s="107" t="s">
        <v>9</v>
      </c>
      <c r="D253" s="116">
        <f>'07E_Seeds'!AL116</f>
        <v>2104.7199999999998</v>
      </c>
      <c r="E253" s="116">
        <f>'07E_Seeds'!AM116</f>
        <v>7227.42</v>
      </c>
      <c r="F253" s="116">
        <f>'07E_Seeds'!AN116</f>
        <v>91674.78</v>
      </c>
      <c r="G253" s="116">
        <f>'07E_Seeds'!AO116</f>
        <v>37015.5</v>
      </c>
      <c r="H253" s="116">
        <f>'07E_Seeds'!AP116</f>
        <v>17863.22</v>
      </c>
      <c r="I253" s="107"/>
      <c r="J253" s="115" t="s">
        <v>36</v>
      </c>
      <c r="K253" s="137">
        <f t="shared" ref="K253:K254" si="72">SUM(D253:H253)</f>
        <v>155885.63999999998</v>
      </c>
    </row>
    <row r="254" spans="2:11" x14ac:dyDescent="0.3">
      <c r="B254" s="115" t="s">
        <v>378</v>
      </c>
      <c r="C254" s="107" t="s">
        <v>467</v>
      </c>
      <c r="D254" s="108">
        <f>'07E_Seeds'!AL117</f>
        <v>2104.7199999999998</v>
      </c>
      <c r="E254" s="108">
        <f>'07E_Seeds'!AM117</f>
        <v>8820.1764547391722</v>
      </c>
      <c r="F254" s="108">
        <f>'07E_Seeds'!AN117</f>
        <v>90990.201317289102</v>
      </c>
      <c r="G254" s="108">
        <f>'07E_Seeds'!AO117</f>
        <v>38927.941775903761</v>
      </c>
      <c r="H254" s="108">
        <f>'07E_Seeds'!AP117</f>
        <v>15042.600452067989</v>
      </c>
      <c r="I254" s="144">
        <f>$K$1-K254</f>
        <v>43304.359999999957</v>
      </c>
      <c r="J254" s="115" t="s">
        <v>36</v>
      </c>
      <c r="K254" s="137">
        <f t="shared" si="72"/>
        <v>155885.64000000004</v>
      </c>
    </row>
    <row r="255" spans="2:11" x14ac:dyDescent="0.3">
      <c r="B255" s="115"/>
      <c r="C255" s="107" t="s">
        <v>533</v>
      </c>
      <c r="D255" s="147">
        <f t="shared" ref="D255:I255" si="73">D254/$K$1</f>
        <v>1.0566393895275866E-2</v>
      </c>
      <c r="E255" s="147">
        <f t="shared" si="73"/>
        <v>4.4280217153166185E-2</v>
      </c>
      <c r="F255" s="147">
        <f t="shared" si="73"/>
        <v>0.45680105084235706</v>
      </c>
      <c r="G255" s="147">
        <f t="shared" si="73"/>
        <v>0.19543120526082514</v>
      </c>
      <c r="H255" s="147">
        <f t="shared" si="73"/>
        <v>7.5518853617490778E-2</v>
      </c>
      <c r="I255" s="147">
        <f t="shared" si="73"/>
        <v>0.21740227923088487</v>
      </c>
      <c r="J255" s="145">
        <f>SUM(D255:I255)</f>
        <v>0.99999999999999989</v>
      </c>
      <c r="K255" s="137"/>
    </row>
    <row r="256" spans="2:11" x14ac:dyDescent="0.3">
      <c r="B256" s="107"/>
      <c r="C256" s="107" t="s">
        <v>377</v>
      </c>
      <c r="D256" s="108">
        <f>'07E_Seeds'!AL118</f>
        <v>0</v>
      </c>
      <c r="E256" s="108">
        <f>'07E_Seeds'!AM118</f>
        <v>220.04879540452259</v>
      </c>
      <c r="F256" s="108">
        <f>'07E_Seeds'!AN118</f>
        <v>306.18616778536244</v>
      </c>
      <c r="G256" s="108">
        <f>'07E_Seeds'!AO118</f>
        <v>358.21755323874771</v>
      </c>
      <c r="H256" s="108">
        <f>'07E_Seeds'!AP118</f>
        <v>335.44614928571224</v>
      </c>
      <c r="I256" s="107"/>
      <c r="J256" s="107"/>
      <c r="K256" s="107"/>
    </row>
    <row r="257" spans="2:11" x14ac:dyDescent="0.3">
      <c r="B257" s="107"/>
      <c r="C257" s="148" t="s">
        <v>538</v>
      </c>
      <c r="D257" s="108">
        <f>1.96*D256</f>
        <v>0</v>
      </c>
      <c r="E257" s="108">
        <f>1.96*E256</f>
        <v>431.29563899286427</v>
      </c>
      <c r="F257" s="108">
        <f>1.96*F256</f>
        <v>600.12488885931043</v>
      </c>
      <c r="G257" s="108">
        <f>1.96*G256</f>
        <v>702.1064043479455</v>
      </c>
      <c r="H257" s="108">
        <f>1.96*H256</f>
        <v>657.47445259999597</v>
      </c>
      <c r="I257" s="107"/>
      <c r="J257" s="107"/>
      <c r="K257" s="107"/>
    </row>
    <row r="258" spans="2:11" x14ac:dyDescent="0.3">
      <c r="B258" s="107"/>
      <c r="C258" s="148" t="s">
        <v>537</v>
      </c>
      <c r="D258" s="149">
        <f>D256/$K$1</f>
        <v>0</v>
      </c>
      <c r="E258" s="149">
        <f>E256/$K$1</f>
        <v>1.1047180852679481E-3</v>
      </c>
      <c r="F258" s="149">
        <f>F256/$K$1</f>
        <v>1.5371563220310379E-3</v>
      </c>
      <c r="G258" s="149">
        <f>G256/$K$1</f>
        <v>1.7983711694299297E-3</v>
      </c>
      <c r="H258" s="149">
        <f>H256/$K$1</f>
        <v>1.6840511536006437E-3</v>
      </c>
      <c r="I258" s="107"/>
      <c r="J258" s="107"/>
      <c r="K258" s="107"/>
    </row>
    <row r="259" spans="2:11" x14ac:dyDescent="0.3">
      <c r="B259" s="107"/>
      <c r="C259" s="129" t="s">
        <v>539</v>
      </c>
      <c r="D259" s="150">
        <f>1.96*D258</f>
        <v>0</v>
      </c>
      <c r="E259" s="150">
        <f>1.96*E258</f>
        <v>2.1652474471251779E-3</v>
      </c>
      <c r="F259" s="150">
        <f>1.96*F258</f>
        <v>3.0128263911808344E-3</v>
      </c>
      <c r="G259" s="150">
        <f>1.96*G258</f>
        <v>3.524807492082662E-3</v>
      </c>
      <c r="H259" s="150">
        <f>1.96*H258</f>
        <v>3.3007402610572617E-3</v>
      </c>
      <c r="I259" s="107"/>
      <c r="J259" s="107"/>
      <c r="K259" s="107"/>
    </row>
    <row r="260" spans="2:11" x14ac:dyDescent="0.3">
      <c r="B260" s="115" t="s">
        <v>410</v>
      </c>
      <c r="C260" s="122" t="s">
        <v>9</v>
      </c>
      <c r="D260" s="136">
        <f>'07E_Seeds'!AL119</f>
        <v>2093.3135000000002</v>
      </c>
      <c r="E260" s="136">
        <f>'07E_Seeds'!AM119</f>
        <v>7245.4624999999996</v>
      </c>
      <c r="F260" s="136">
        <f>'07E_Seeds'!AN119</f>
        <v>91535.944500000012</v>
      </c>
      <c r="G260" s="136">
        <f>'07E_Seeds'!AO119</f>
        <v>37035.397000000004</v>
      </c>
      <c r="H260" s="136">
        <f>'07E_Seeds'!AP119</f>
        <v>17975.521500000006</v>
      </c>
      <c r="I260" s="107"/>
      <c r="J260" s="115" t="s">
        <v>36</v>
      </c>
      <c r="K260" s="137">
        <f t="shared" ref="K260" si="74">SUM(D260:H260)</f>
        <v>155885.63900000002</v>
      </c>
    </row>
    <row r="261" spans="2:11" x14ac:dyDescent="0.3">
      <c r="B261" s="107"/>
      <c r="C261" s="148" t="s">
        <v>394</v>
      </c>
      <c r="D261" s="108">
        <f>'07E_Seeds'!AL120</f>
        <v>3.3121747725149091</v>
      </c>
      <c r="E261" s="108">
        <f>'07E_Seeds'!AM120</f>
        <v>49.232357197247495</v>
      </c>
      <c r="F261" s="108">
        <f>'07E_Seeds'!AN120</f>
        <v>61.38274043150561</v>
      </c>
      <c r="G261" s="108">
        <f>'07E_Seeds'!AO120</f>
        <v>38.050913586791395</v>
      </c>
      <c r="H261" s="108">
        <f>'07E_Seeds'!AP120</f>
        <v>45.965427576059859</v>
      </c>
      <c r="I261" s="107"/>
      <c r="J261" s="107"/>
      <c r="K261" s="107"/>
    </row>
    <row r="262" spans="2:11" x14ac:dyDescent="0.3">
      <c r="B262" s="107"/>
      <c r="C262" s="148" t="s">
        <v>538</v>
      </c>
      <c r="D262" s="108">
        <f>1.96*D261</f>
        <v>6.4918625541292219</v>
      </c>
      <c r="E262" s="108">
        <f>1.96*E261</f>
        <v>96.495420106605096</v>
      </c>
      <c r="F262" s="108">
        <f>1.96*F261</f>
        <v>120.31017124575099</v>
      </c>
      <c r="G262" s="108">
        <f>1.96*G261</f>
        <v>74.579790630111134</v>
      </c>
      <c r="H262" s="108">
        <f>1.96*H261</f>
        <v>90.092238049077324</v>
      </c>
      <c r="I262" s="107"/>
      <c r="J262" s="107"/>
      <c r="K262" s="107"/>
    </row>
    <row r="263" spans="2:11" x14ac:dyDescent="0.3">
      <c r="B263" s="107"/>
      <c r="C263" s="148" t="s">
        <v>537</v>
      </c>
      <c r="D263" s="149">
        <f>D261/$K$1</f>
        <v>1.6628218146066112E-5</v>
      </c>
      <c r="E263" s="149">
        <f>E261/$K$1</f>
        <v>2.4716279530723179E-4</v>
      </c>
      <c r="F263" s="149">
        <f>F261/$K$1</f>
        <v>3.0816175727448974E-4</v>
      </c>
      <c r="G263" s="149">
        <f>G261/$K$1</f>
        <v>1.9102823227466938E-4</v>
      </c>
      <c r="H263" s="149">
        <f>H261/$K$1</f>
        <v>2.3076172285787369E-4</v>
      </c>
      <c r="I263" s="107"/>
      <c r="J263" s="107"/>
      <c r="K263" s="107"/>
    </row>
    <row r="264" spans="2:11" x14ac:dyDescent="0.3">
      <c r="B264" s="141"/>
      <c r="C264" s="129" t="s">
        <v>539</v>
      </c>
      <c r="D264" s="150">
        <f>1.96*D263</f>
        <v>3.2591307566289582E-5</v>
      </c>
      <c r="E264" s="150">
        <f>1.96*E263</f>
        <v>4.8443907880217429E-4</v>
      </c>
      <c r="F264" s="150">
        <f>1.96*F263</f>
        <v>6.0399704425799993E-4</v>
      </c>
      <c r="G264" s="150">
        <f>1.96*G263</f>
        <v>3.7441533525835196E-4</v>
      </c>
      <c r="H264" s="150">
        <f>1.96*H263</f>
        <v>4.5229297680143241E-4</v>
      </c>
      <c r="I264" s="107"/>
      <c r="J264" s="107"/>
      <c r="K264" s="107"/>
    </row>
    <row r="265" spans="2:11" x14ac:dyDescent="0.3">
      <c r="B265" s="119" t="s">
        <v>432</v>
      </c>
      <c r="C265" s="107"/>
      <c r="D265" s="116"/>
      <c r="E265" s="116"/>
      <c r="F265" s="116"/>
      <c r="G265" s="116"/>
      <c r="H265" s="116"/>
      <c r="I265" s="107"/>
      <c r="J265" s="107"/>
      <c r="K265" s="107"/>
    </row>
    <row r="266" spans="2:11" x14ac:dyDescent="0.3">
      <c r="B266" s="115" t="s">
        <v>409</v>
      </c>
      <c r="C266" s="122" t="s">
        <v>9</v>
      </c>
      <c r="D266" s="136">
        <f>'07E_Seeds'!AL122</f>
        <v>127.48</v>
      </c>
      <c r="E266" s="136">
        <f>'07E_Seeds'!AM122</f>
        <v>894.44</v>
      </c>
      <c r="F266" s="136">
        <f>'07E_Seeds'!AN122</f>
        <v>11434.58</v>
      </c>
      <c r="G266" s="136">
        <f>'07E_Seeds'!AO122</f>
        <v>1481.15</v>
      </c>
      <c r="H266" s="136">
        <f>'07E_Seeds'!AP122</f>
        <v>1273.72</v>
      </c>
      <c r="I266" s="108">
        <f>$K$2-K266</f>
        <v>6954.91</v>
      </c>
      <c r="J266" s="115" t="s">
        <v>36</v>
      </c>
      <c r="K266" s="137">
        <f t="shared" ref="K266" si="75">SUM(D266:H266)</f>
        <v>15211.369999999999</v>
      </c>
    </row>
    <row r="267" spans="2:11" x14ac:dyDescent="0.3">
      <c r="B267" s="107"/>
      <c r="C267" s="107" t="s">
        <v>533</v>
      </c>
      <c r="D267" s="151">
        <f t="shared" ref="D267:I267" si="76">D266/$K$2</f>
        <v>5.7510777631609817E-3</v>
      </c>
      <c r="E267" s="151">
        <f t="shared" si="76"/>
        <v>4.0351380565435434E-2</v>
      </c>
      <c r="F267" s="151">
        <f t="shared" si="76"/>
        <v>0.51585471265363425</v>
      </c>
      <c r="G267" s="151">
        <f t="shared" si="76"/>
        <v>6.6819962573783254E-2</v>
      </c>
      <c r="H267" s="151">
        <f t="shared" si="76"/>
        <v>5.7462054977199604E-2</v>
      </c>
      <c r="I267" s="147">
        <f t="shared" si="76"/>
        <v>0.31376081146678647</v>
      </c>
      <c r="J267" s="145">
        <f>SUM(D267:I267)</f>
        <v>1</v>
      </c>
      <c r="K267" s="107"/>
    </row>
    <row r="268" spans="2:11" x14ac:dyDescent="0.3">
      <c r="B268" s="115" t="s">
        <v>410</v>
      </c>
      <c r="C268" s="122" t="s">
        <v>9</v>
      </c>
      <c r="D268" s="136">
        <f>'07E_Seeds'!AL124</f>
        <v>126.3105</v>
      </c>
      <c r="E268" s="136">
        <f>'07E_Seeds'!AM124</f>
        <v>920.04899999999998</v>
      </c>
      <c r="F268" s="136">
        <f>'07E_Seeds'!AN124</f>
        <v>11401.132500000002</v>
      </c>
      <c r="G268" s="136">
        <f>'07E_Seeds'!AO124</f>
        <v>1476.9025000000001</v>
      </c>
      <c r="H268" s="136">
        <f>'07E_Seeds'!AP124</f>
        <v>1286.9755</v>
      </c>
      <c r="I268" s="108">
        <f>$K$2-K268</f>
        <v>6954.9099999999962</v>
      </c>
      <c r="J268" s="115" t="s">
        <v>36</v>
      </c>
      <c r="K268" s="137">
        <f t="shared" ref="K268" si="77">SUM(D268:H268)</f>
        <v>15211.370000000003</v>
      </c>
    </row>
    <row r="269" spans="2:11" x14ac:dyDescent="0.3">
      <c r="B269" s="115"/>
      <c r="C269" s="141" t="s">
        <v>533</v>
      </c>
      <c r="D269" s="151">
        <f t="shared" ref="D269:I269" si="78">D268/$K$2</f>
        <v>5.6983174443343675E-3</v>
      </c>
      <c r="E269" s="151">
        <f t="shared" si="78"/>
        <v>4.1506693951353139E-2</v>
      </c>
      <c r="F269" s="151">
        <f t="shared" si="78"/>
        <v>0.51434577655790692</v>
      </c>
      <c r="G269" s="151">
        <f t="shared" si="78"/>
        <v>6.6628342689887529E-2</v>
      </c>
      <c r="H269" s="151">
        <f t="shared" si="78"/>
        <v>5.8060057889731613E-2</v>
      </c>
      <c r="I269" s="147">
        <f t="shared" si="78"/>
        <v>0.31376081146678636</v>
      </c>
      <c r="J269" s="145">
        <f>SUM(D269:I269)</f>
        <v>0.99999999999999989</v>
      </c>
      <c r="K269" s="137"/>
    </row>
    <row r="270" spans="2:11" x14ac:dyDescent="0.3">
      <c r="B270" s="107"/>
      <c r="C270" s="148" t="s">
        <v>394</v>
      </c>
      <c r="D270" s="108">
        <f>'07E_Seeds'!AL125</f>
        <v>0.38764910543862796</v>
      </c>
      <c r="E270" s="108">
        <f>'07E_Seeds'!AM125</f>
        <v>11.106941710385208</v>
      </c>
      <c r="F270" s="108">
        <f>'07E_Seeds'!AN125</f>
        <v>11.338555669530994</v>
      </c>
      <c r="G270" s="108">
        <f>'07E_Seeds'!AO125</f>
        <v>3.3026622335545253</v>
      </c>
      <c r="H270" s="108">
        <f>'07E_Seeds'!AP125</f>
        <v>6.0754688134029244</v>
      </c>
      <c r="I270" s="107"/>
      <c r="J270" s="107"/>
      <c r="K270" s="142"/>
    </row>
    <row r="271" spans="2:11" x14ac:dyDescent="0.3">
      <c r="B271" s="107"/>
      <c r="C271" s="148" t="s">
        <v>538</v>
      </c>
      <c r="D271" s="108">
        <f>1.96*D270</f>
        <v>0.75979224665971079</v>
      </c>
      <c r="E271" s="108">
        <f>1.96*E270</f>
        <v>21.769605752355005</v>
      </c>
      <c r="F271" s="108">
        <f>1.96*F270</f>
        <v>22.223569112280746</v>
      </c>
      <c r="G271" s="108">
        <f>1.96*G270</f>
        <v>6.4732179777668692</v>
      </c>
      <c r="H271" s="108">
        <f>1.96*H270</f>
        <v>11.907918874269731</v>
      </c>
      <c r="I271" s="107"/>
      <c r="J271" s="107"/>
      <c r="K271" s="142"/>
    </row>
    <row r="272" spans="2:11" x14ac:dyDescent="0.3">
      <c r="B272" s="107"/>
      <c r="C272" s="148" t="s">
        <v>537</v>
      </c>
      <c r="D272" s="149">
        <f>D270/$K$2</f>
        <v>1.7488234626587228E-5</v>
      </c>
      <c r="E272" s="149">
        <f>E270/$K$2</f>
        <v>5.0107378010136154E-4</v>
      </c>
      <c r="F272" s="149">
        <f>F270/$K$2</f>
        <v>5.1152271240510337E-4</v>
      </c>
      <c r="G272" s="149">
        <f>G270/$K$2</f>
        <v>1.4899488022142304E-4</v>
      </c>
      <c r="H272" s="149">
        <f>H270/$K$2</f>
        <v>2.7408608090319733E-4</v>
      </c>
      <c r="I272" s="107"/>
      <c r="J272" s="107"/>
      <c r="K272" s="142"/>
    </row>
    <row r="273" spans="2:11" x14ac:dyDescent="0.3">
      <c r="B273" s="141"/>
      <c r="C273" s="129" t="s">
        <v>539</v>
      </c>
      <c r="D273" s="150">
        <f>1.96*D272</f>
        <v>3.4276939868110966E-5</v>
      </c>
      <c r="E273" s="150">
        <f>1.96*E272</f>
        <v>9.8210460899866869E-4</v>
      </c>
      <c r="F273" s="150">
        <f>1.96*F272</f>
        <v>1.0025845163140026E-3</v>
      </c>
      <c r="G273" s="150">
        <f>1.96*G272</f>
        <v>2.9202996523398916E-4</v>
      </c>
      <c r="H273" s="150">
        <f>1.96*H272</f>
        <v>5.3720871857026672E-4</v>
      </c>
      <c r="I273" s="107"/>
      <c r="J273" s="107"/>
      <c r="K273" s="142"/>
    </row>
    <row r="274" spans="2:11" x14ac:dyDescent="0.3">
      <c r="B274" s="119" t="s">
        <v>433</v>
      </c>
      <c r="C274" s="107"/>
      <c r="D274" s="116"/>
      <c r="E274" s="116"/>
      <c r="F274" s="116"/>
      <c r="G274" s="116"/>
      <c r="H274" s="116"/>
      <c r="I274" s="107"/>
      <c r="J274" s="107"/>
      <c r="K274" s="142"/>
    </row>
    <row r="275" spans="2:11" x14ac:dyDescent="0.3">
      <c r="B275" s="115" t="s">
        <v>409</v>
      </c>
      <c r="C275" s="122" t="s">
        <v>9</v>
      </c>
      <c r="D275" s="136">
        <f>'07E_Seeds'!AL127</f>
        <v>32.28</v>
      </c>
      <c r="E275" s="136">
        <f>'07E_Seeds'!AM127</f>
        <v>74.58</v>
      </c>
      <c r="F275" s="136">
        <f>'07E_Seeds'!AN127</f>
        <v>12858.68</v>
      </c>
      <c r="G275" s="136">
        <f>'07E_Seeds'!AO127</f>
        <v>12748.79</v>
      </c>
      <c r="H275" s="136">
        <f>'07E_Seeds'!AP127</f>
        <v>9725.4699999999993</v>
      </c>
      <c r="I275" s="108">
        <f>$K$3-K275</f>
        <v>7978.2899999999936</v>
      </c>
      <c r="J275" s="115" t="s">
        <v>36</v>
      </c>
      <c r="K275" s="137">
        <f t="shared" ref="K275" si="79">SUM(D275:H275)</f>
        <v>35439.800000000003</v>
      </c>
    </row>
    <row r="276" spans="2:11" x14ac:dyDescent="0.3">
      <c r="B276" s="107"/>
      <c r="C276" s="107" t="s">
        <v>534</v>
      </c>
      <c r="D276" s="146">
        <f t="shared" ref="D276:I276" si="80">D275/$K$3</f>
        <v>7.4346890892713164E-4</v>
      </c>
      <c r="E276" s="146">
        <f t="shared" si="80"/>
        <v>1.7177172003651014E-3</v>
      </c>
      <c r="F276" s="146">
        <f t="shared" si="80"/>
        <v>0.29615950402240176</v>
      </c>
      <c r="G276" s="146">
        <f t="shared" si="80"/>
        <v>0.29362853133336825</v>
      </c>
      <c r="H276" s="146">
        <f t="shared" si="80"/>
        <v>0.22399580451374071</v>
      </c>
      <c r="I276" s="146">
        <f t="shared" si="80"/>
        <v>0.18375497402119703</v>
      </c>
      <c r="J276" s="145">
        <f>SUM(D276:I276)</f>
        <v>1</v>
      </c>
      <c r="K276" s="142"/>
    </row>
    <row r="277" spans="2:11" x14ac:dyDescent="0.3">
      <c r="B277" s="115" t="s">
        <v>410</v>
      </c>
      <c r="C277" s="122" t="s">
        <v>9</v>
      </c>
      <c r="D277" s="136">
        <f>'07E_Seeds'!AL129</f>
        <v>33.073999999999998</v>
      </c>
      <c r="E277" s="136">
        <f>'07E_Seeds'!AM129</f>
        <v>80.141499999999979</v>
      </c>
      <c r="F277" s="136">
        <f>'07E_Seeds'!AN129</f>
        <v>12861.898499999999</v>
      </c>
      <c r="G277" s="136">
        <f>'07E_Seeds'!AO129</f>
        <v>12737.435500000001</v>
      </c>
      <c r="H277" s="136">
        <f>'07E_Seeds'!AP129</f>
        <v>9727.2484999999979</v>
      </c>
      <c r="I277" s="108">
        <f>$K$3-K277</f>
        <v>7978.2920000000013</v>
      </c>
      <c r="J277" s="115" t="s">
        <v>36</v>
      </c>
      <c r="K277" s="137">
        <f t="shared" ref="K277" si="81">SUM(D277:H277)</f>
        <v>35439.797999999995</v>
      </c>
    </row>
    <row r="278" spans="2:11" x14ac:dyDescent="0.3">
      <c r="B278" s="115"/>
      <c r="C278" s="141" t="s">
        <v>533</v>
      </c>
      <c r="D278" s="151">
        <f t="shared" ref="D278:I278" si="82">D277/$K$3</f>
        <v>7.6175621728178278E-4</v>
      </c>
      <c r="E278" s="151">
        <f t="shared" si="82"/>
        <v>1.845808970408417E-3</v>
      </c>
      <c r="F278" s="151">
        <f t="shared" si="82"/>
        <v>0.2962336321104867</v>
      </c>
      <c r="G278" s="151">
        <f t="shared" si="82"/>
        <v>0.29336701591433439</v>
      </c>
      <c r="H278" s="151">
        <f t="shared" si="82"/>
        <v>0.22403676670254261</v>
      </c>
      <c r="I278" s="146">
        <f t="shared" si="82"/>
        <v>0.18375502008494621</v>
      </c>
      <c r="J278" s="145">
        <f>SUM(D278:I278)</f>
        <v>1</v>
      </c>
      <c r="K278" s="137"/>
    </row>
    <row r="279" spans="2:11" x14ac:dyDescent="0.3">
      <c r="B279" s="107"/>
      <c r="C279" s="148" t="s">
        <v>394</v>
      </c>
      <c r="D279" s="108">
        <f>'07E_Seeds'!AL130</f>
        <v>0.51443039527126255</v>
      </c>
      <c r="E279" s="108">
        <f>'07E_Seeds'!AM130</f>
        <v>1.3152834945564518</v>
      </c>
      <c r="F279" s="108">
        <f>'07E_Seeds'!AN130</f>
        <v>20.072385852931063</v>
      </c>
      <c r="G279" s="108">
        <f>'07E_Seeds'!AO130</f>
        <v>13.57398379398899</v>
      </c>
      <c r="H279" s="108">
        <f>'07E_Seeds'!AP130</f>
        <v>25.427067159923567</v>
      </c>
      <c r="I279" s="107"/>
      <c r="J279" s="107"/>
      <c r="K279" s="142"/>
    </row>
    <row r="280" spans="2:11" x14ac:dyDescent="0.3">
      <c r="B280" s="107"/>
      <c r="C280" s="148" t="s">
        <v>538</v>
      </c>
      <c r="D280" s="108">
        <f>1.96*D279</f>
        <v>1.0082835747316745</v>
      </c>
      <c r="E280" s="108">
        <f>1.96*E279</f>
        <v>2.5779556493306455</v>
      </c>
      <c r="F280" s="108">
        <f>1.96*F279</f>
        <v>39.34187627174488</v>
      </c>
      <c r="G280" s="108">
        <f>1.96*G279</f>
        <v>26.605008236218421</v>
      </c>
      <c r="H280" s="108">
        <f>1.96*H279</f>
        <v>49.837051633450187</v>
      </c>
      <c r="I280" s="107"/>
      <c r="J280" s="107"/>
      <c r="K280" s="142"/>
    </row>
    <row r="281" spans="2:11" x14ac:dyDescent="0.3">
      <c r="B281" s="107"/>
      <c r="C281" s="148" t="s">
        <v>537</v>
      </c>
      <c r="D281" s="149">
        <f>D279/$K$3</f>
        <v>1.1848296303942956E-5</v>
      </c>
      <c r="E281" s="149">
        <f>E279/$K$3</f>
        <v>3.0293444381280979E-5</v>
      </c>
      <c r="F281" s="149">
        <f>F279/$K$3</f>
        <v>4.6230467192202754E-4</v>
      </c>
      <c r="G281" s="149">
        <f>G279/$K$3</f>
        <v>3.1263429123641763E-4</v>
      </c>
      <c r="H281" s="149">
        <f>H279/$K$3</f>
        <v>5.8563301978331085E-4</v>
      </c>
      <c r="I281" s="107"/>
      <c r="J281" s="107"/>
      <c r="K281" s="142"/>
    </row>
    <row r="282" spans="2:11" x14ac:dyDescent="0.3">
      <c r="B282" s="141"/>
      <c r="C282" s="129" t="s">
        <v>539</v>
      </c>
      <c r="D282" s="150">
        <f>1.96*D281</f>
        <v>2.3222660755728194E-5</v>
      </c>
      <c r="E282" s="150">
        <f>1.96*E281</f>
        <v>5.9375150987310721E-5</v>
      </c>
      <c r="F282" s="150">
        <f>1.96*F281</f>
        <v>9.0611715696717397E-4</v>
      </c>
      <c r="G282" s="150">
        <f>1.96*G281</f>
        <v>6.127632108233785E-4</v>
      </c>
      <c r="H282" s="150">
        <f>1.96*H281</f>
        <v>1.1478407187752893E-3</v>
      </c>
      <c r="I282" s="107"/>
      <c r="J282" s="107"/>
      <c r="K282" s="142"/>
    </row>
    <row r="283" spans="2:11" x14ac:dyDescent="0.3">
      <c r="B283" s="119" t="s">
        <v>434</v>
      </c>
      <c r="C283" s="107"/>
      <c r="D283" s="116"/>
      <c r="E283" s="116"/>
      <c r="F283" s="116"/>
      <c r="G283" s="116"/>
      <c r="H283" s="116"/>
      <c r="I283" s="107"/>
      <c r="J283" s="107"/>
      <c r="K283" s="142"/>
    </row>
    <row r="284" spans="2:11" x14ac:dyDescent="0.3">
      <c r="B284" s="115" t="s">
        <v>409</v>
      </c>
      <c r="C284" s="122" t="s">
        <v>9</v>
      </c>
      <c r="D284" s="136">
        <f>'07E_Seeds'!AL132</f>
        <v>0</v>
      </c>
      <c r="E284" s="136">
        <f>'07E_Seeds'!AM132</f>
        <v>6.52</v>
      </c>
      <c r="F284" s="136">
        <f>'07E_Seeds'!AN132</f>
        <v>920.19</v>
      </c>
      <c r="G284" s="136">
        <f>'07E_Seeds'!AO132</f>
        <v>229.97</v>
      </c>
      <c r="H284" s="136">
        <f>'07E_Seeds'!AP132</f>
        <v>110.75</v>
      </c>
      <c r="I284" s="108">
        <f>$K$4-K284</f>
        <v>594.11999999999989</v>
      </c>
      <c r="J284" s="115" t="s">
        <v>36</v>
      </c>
      <c r="K284" s="137">
        <f t="shared" ref="K284" si="83">SUM(D284:H284)</f>
        <v>1267.43</v>
      </c>
    </row>
    <row r="285" spans="2:11" x14ac:dyDescent="0.3">
      <c r="B285" s="107"/>
      <c r="C285" s="141" t="s">
        <v>533</v>
      </c>
      <c r="D285" s="151">
        <f>D284/$K$4</f>
        <v>0</v>
      </c>
      <c r="E285" s="151">
        <f>E284/$K$4</f>
        <v>3.5024576293948588E-3</v>
      </c>
      <c r="F285" s="151">
        <f>F284/$K$4</f>
        <v>0.49431387821976314</v>
      </c>
      <c r="G285" s="151">
        <f>G284/$K$4</f>
        <v>0.12353683758158523</v>
      </c>
      <c r="H285" s="151">
        <f t="shared" ref="H285:I287" si="84">H284/$K$4</f>
        <v>5.9493432891944885E-2</v>
      </c>
      <c r="I285" s="147">
        <f t="shared" si="84"/>
        <v>0.31915339367731188</v>
      </c>
      <c r="J285" s="145">
        <f>SUM(D285:I285)</f>
        <v>1</v>
      </c>
      <c r="K285" s="142"/>
    </row>
    <row r="286" spans="2:11" x14ac:dyDescent="0.3">
      <c r="B286" s="115" t="s">
        <v>410</v>
      </c>
      <c r="C286" s="122" t="s">
        <v>9</v>
      </c>
      <c r="D286" s="136">
        <f>'07E_Seeds'!AL134</f>
        <v>0</v>
      </c>
      <c r="E286" s="136">
        <f>'07E_Seeds'!AM134</f>
        <v>7.283500000000001</v>
      </c>
      <c r="F286" s="136">
        <f>'07E_Seeds'!AN134</f>
        <v>918.44499999999994</v>
      </c>
      <c r="G286" s="136">
        <f>'07E_Seeds'!AO134</f>
        <v>228.24150000000003</v>
      </c>
      <c r="H286" s="136">
        <f>'07E_Seeds'!AP134</f>
        <v>113.455</v>
      </c>
      <c r="I286" s="108">
        <f>$K$4-K286</f>
        <v>594.125</v>
      </c>
      <c r="J286" s="115" t="s">
        <v>36</v>
      </c>
      <c r="K286" s="137">
        <f t="shared" ref="K286" si="85">SUM(D286:H286)</f>
        <v>1267.425</v>
      </c>
    </row>
    <row r="287" spans="2:11" x14ac:dyDescent="0.3">
      <c r="B287" s="115"/>
      <c r="C287" s="141" t="s">
        <v>533</v>
      </c>
      <c r="D287" s="151">
        <f>D286/$K$4</f>
        <v>0</v>
      </c>
      <c r="E287" s="151">
        <f>E286/$K$4</f>
        <v>3.9125997152910218E-3</v>
      </c>
      <c r="F287" s="151">
        <f>F286/$K$4</f>
        <v>0.49337648733582229</v>
      </c>
      <c r="G287" s="151">
        <f>G286/$K$4</f>
        <v>0.12260831027906854</v>
      </c>
      <c r="H287" s="151">
        <f>H286/$K$4</f>
        <v>6.0946523058741375E-2</v>
      </c>
      <c r="I287" s="147">
        <f t="shared" si="84"/>
        <v>0.31915607961107678</v>
      </c>
      <c r="J287" s="145">
        <f>SUM(D287:I287)</f>
        <v>1</v>
      </c>
      <c r="K287" s="137"/>
    </row>
    <row r="288" spans="2:11" x14ac:dyDescent="0.3">
      <c r="B288" s="107"/>
      <c r="C288" s="148" t="s">
        <v>394</v>
      </c>
      <c r="D288" s="108">
        <f>'07E_Seeds'!AL135</f>
        <v>0</v>
      </c>
      <c r="E288" s="108">
        <f>'07E_Seeds'!AM135</f>
        <v>0.17307022456672988</v>
      </c>
      <c r="F288" s="108">
        <f>'07E_Seeds'!AN135</f>
        <v>0.57090256335219214</v>
      </c>
      <c r="G288" s="108">
        <f>'07E_Seeds'!AO135</f>
        <v>0.27488014134393712</v>
      </c>
      <c r="H288" s="108">
        <f>'07E_Seeds'!AP135</f>
        <v>0.636213097368451</v>
      </c>
      <c r="I288" s="107"/>
      <c r="J288" s="107"/>
      <c r="K288" s="107"/>
    </row>
    <row r="289" spans="2:11" x14ac:dyDescent="0.3">
      <c r="B289" s="107"/>
      <c r="C289" s="148" t="s">
        <v>538</v>
      </c>
      <c r="D289" s="108">
        <f>1.96*D288</f>
        <v>0</v>
      </c>
      <c r="E289" s="108">
        <f>1.96*E288</f>
        <v>0.33921764015079053</v>
      </c>
      <c r="F289" s="108">
        <f>1.96*F288</f>
        <v>1.1189690241702965</v>
      </c>
      <c r="G289" s="108">
        <f>1.96*G288</f>
        <v>0.5387650770341168</v>
      </c>
      <c r="H289" s="108">
        <f>1.96*H288</f>
        <v>1.2469776708421638</v>
      </c>
      <c r="I289" s="107"/>
      <c r="J289" s="107"/>
      <c r="K289" s="107"/>
    </row>
    <row r="290" spans="2:11" x14ac:dyDescent="0.3">
      <c r="B290" s="107"/>
      <c r="C290" s="148" t="s">
        <v>537</v>
      </c>
      <c r="D290" s="149">
        <f>D288/$K$4</f>
        <v>0</v>
      </c>
      <c r="E290" s="149">
        <f>E288/$K$4</f>
        <v>9.2971031971598872E-5</v>
      </c>
      <c r="F290" s="149">
        <f>F288/$K$4</f>
        <v>3.0668129427208088E-4</v>
      </c>
      <c r="G290" s="149">
        <f>G288/$K$4</f>
        <v>1.4766197058576838E-4</v>
      </c>
      <c r="H290" s="149">
        <f>H288/$K$4</f>
        <v>3.4176524797531683E-4</v>
      </c>
      <c r="I290" s="107"/>
      <c r="J290" s="107"/>
      <c r="K290" s="107"/>
    </row>
    <row r="291" spans="2:11" x14ac:dyDescent="0.3">
      <c r="B291" s="107"/>
      <c r="C291" s="129" t="s">
        <v>539</v>
      </c>
      <c r="D291" s="150">
        <f>1.96*D290</f>
        <v>0</v>
      </c>
      <c r="E291" s="150">
        <f>1.96*E290</f>
        <v>1.822232226643338E-4</v>
      </c>
      <c r="F291" s="150">
        <f>1.96*F290</f>
        <v>6.0109533677327848E-4</v>
      </c>
      <c r="G291" s="150">
        <f>1.96*G290</f>
        <v>2.8941746234810602E-4</v>
      </c>
      <c r="H291" s="150">
        <f>1.96*H290</f>
        <v>6.6985988603162098E-4</v>
      </c>
      <c r="I291" s="107"/>
      <c r="J291" s="107"/>
      <c r="K291" s="107"/>
    </row>
    <row r="292" spans="2:11" x14ac:dyDescent="0.3">
      <c r="D292" t="s">
        <v>498</v>
      </c>
      <c r="E292" t="s">
        <v>499</v>
      </c>
      <c r="F292" t="s">
        <v>500</v>
      </c>
      <c r="G292" t="s">
        <v>501</v>
      </c>
      <c r="H292" t="s">
        <v>502</v>
      </c>
    </row>
    <row r="293" spans="2:11" x14ac:dyDescent="0.3">
      <c r="B293" s="118" t="s">
        <v>375</v>
      </c>
      <c r="C293" s="8">
        <v>20</v>
      </c>
      <c r="D293" s="90" t="s">
        <v>524</v>
      </c>
      <c r="E293" s="91" t="s">
        <v>523</v>
      </c>
      <c r="F293" s="92" t="s">
        <v>525</v>
      </c>
      <c r="G293" s="124" t="s">
        <v>526</v>
      </c>
      <c r="H293" s="123" t="s">
        <v>527</v>
      </c>
      <c r="I293" s="212" t="s">
        <v>529</v>
      </c>
    </row>
    <row r="294" spans="2:11" x14ac:dyDescent="0.3">
      <c r="B294" s="106" t="s">
        <v>439</v>
      </c>
      <c r="C294" s="107" t="s">
        <v>28</v>
      </c>
      <c r="D294" s="108">
        <f>'11E_Seeds'!AL109</f>
        <v>1.3467214565408381</v>
      </c>
      <c r="E294" s="108">
        <f>'11E_Seeds'!AM109</f>
        <v>5.821200034951759</v>
      </c>
      <c r="F294" s="108">
        <f>'11E_Seeds'!AN109</f>
        <v>57.950527668842582</v>
      </c>
      <c r="G294" s="108">
        <f>'11E_Seeds'!AO109</f>
        <v>24.515591027915374</v>
      </c>
      <c r="H294" s="108">
        <f>'11E_Seeds'!AP109</f>
        <v>10.365959811749454</v>
      </c>
      <c r="I294" s="111"/>
      <c r="J294" s="232" t="s">
        <v>77</v>
      </c>
      <c r="K294" s="233">
        <f>'11E_Seeds'!AS109</f>
        <v>0.9363108913692294</v>
      </c>
    </row>
    <row r="295" spans="2:11" x14ac:dyDescent="0.3">
      <c r="B295" s="107"/>
      <c r="C295" s="109" t="s">
        <v>39</v>
      </c>
      <c r="D295" s="110">
        <f>'11E_Seeds'!AL110</f>
        <v>5.209763929483126E-3</v>
      </c>
      <c r="E295" s="110">
        <f>'11E_Seeds'!AM110</f>
        <v>0.14332180264532599</v>
      </c>
      <c r="F295" s="110">
        <f>'11E_Seeds'!AN110</f>
        <v>0.17467590812406616</v>
      </c>
      <c r="G295" s="110">
        <f>'11E_Seeds'!AO110</f>
        <v>0.18909404723040968</v>
      </c>
      <c r="H295" s="110">
        <f>'11E_Seeds'!AP110</f>
        <v>0.16148557814464901</v>
      </c>
      <c r="I295" s="111"/>
      <c r="J295" s="232" t="s">
        <v>29</v>
      </c>
      <c r="K295" s="234">
        <f>'11E_Seeds'!AS110</f>
        <v>2.3555218478968389E-3</v>
      </c>
    </row>
    <row r="296" spans="2:11" x14ac:dyDescent="0.3">
      <c r="B296" s="107"/>
      <c r="C296" s="107" t="s">
        <v>30</v>
      </c>
      <c r="D296" s="108">
        <f>'11E_Seeds'!AL111</f>
        <v>100</v>
      </c>
      <c r="E296" s="108">
        <f>'11E_Seeds'!AM111</f>
        <v>68.145281961292497</v>
      </c>
      <c r="F296" s="108">
        <f>'11E_Seeds'!AN111</f>
        <v>98.255706967375062</v>
      </c>
      <c r="G296" s="108">
        <f>'11E_Seeds'!AO111</f>
        <v>92.79570408854471</v>
      </c>
      <c r="H296" s="108">
        <f>'11E_Seeds'!AP111</f>
        <v>83.237622965561343</v>
      </c>
      <c r="I296" s="111"/>
      <c r="J296" s="111"/>
      <c r="K296" s="111"/>
    </row>
    <row r="297" spans="2:11" x14ac:dyDescent="0.3">
      <c r="B297" s="107"/>
      <c r="C297" s="109" t="s">
        <v>39</v>
      </c>
      <c r="D297" s="110">
        <f>'11E_Seeds'!AL112</f>
        <v>0</v>
      </c>
      <c r="E297" s="110">
        <f>'11E_Seeds'!AM112</f>
        <v>4.2008684570446011</v>
      </c>
      <c r="F297" s="110">
        <f>'11E_Seeds'!AN112</f>
        <v>0.17833862027593847</v>
      </c>
      <c r="G297" s="110">
        <f>'11E_Seeds'!AO112</f>
        <v>0.62950154269041958</v>
      </c>
      <c r="H297" s="110">
        <f>'11E_Seeds'!AP112</f>
        <v>1.8977164103569939</v>
      </c>
      <c r="I297" s="111"/>
      <c r="J297" s="111"/>
      <c r="K297" s="111"/>
    </row>
    <row r="298" spans="2:11" x14ac:dyDescent="0.3">
      <c r="B298" s="107"/>
      <c r="C298" s="111" t="s">
        <v>31</v>
      </c>
      <c r="D298" s="112">
        <f>'11E_Seeds'!AL113</f>
        <v>99.613899613899619</v>
      </c>
      <c r="E298" s="112">
        <f>'11E_Seeds'!AM113</f>
        <v>89.970501474926252</v>
      </c>
      <c r="F298" s="112">
        <f>'11E_Seeds'!AN113</f>
        <v>95.745571209373708</v>
      </c>
      <c r="G298" s="112">
        <f>'11E_Seeds'!AO113</f>
        <v>90.785381026438571</v>
      </c>
      <c r="H298" s="112">
        <f>'11E_Seeds'!AP113</f>
        <v>88.854166666666671</v>
      </c>
      <c r="I298" s="111"/>
      <c r="J298" s="111"/>
      <c r="K298" s="111"/>
    </row>
    <row r="299" spans="2:11" x14ac:dyDescent="0.3">
      <c r="B299" s="107"/>
      <c r="C299" s="113" t="s">
        <v>39</v>
      </c>
      <c r="D299" s="114">
        <f>'11E_Seeds'!AL114</f>
        <v>0.3861003861003835</v>
      </c>
      <c r="E299" s="114">
        <f>'11E_Seeds'!AM114</f>
        <v>1.6339220356155837</v>
      </c>
      <c r="F299" s="114">
        <f>'11E_Seeds'!AN114</f>
        <v>0.23838612730840067</v>
      </c>
      <c r="G299" s="114">
        <f>'11E_Seeds'!AO114</f>
        <v>0.57042114084105178</v>
      </c>
      <c r="H299" s="114">
        <f>'11E_Seeds'!AP114</f>
        <v>1.0162156240770146</v>
      </c>
      <c r="I299" s="107"/>
      <c r="J299" s="107"/>
      <c r="K299" s="107"/>
    </row>
    <row r="300" spans="2:11" x14ac:dyDescent="0.3">
      <c r="B300" s="107"/>
      <c r="C300" s="109" t="s">
        <v>56</v>
      </c>
      <c r="D300" s="110">
        <f>'11E_Seeds'!AL115</f>
        <v>99.806576402321085</v>
      </c>
      <c r="E300" s="110">
        <f>'11E_Seeds'!AM115</f>
        <v>70.683661645422944</v>
      </c>
      <c r="F300" s="110">
        <f>'11E_Seeds'!AN115</f>
        <v>97.161865666359972</v>
      </c>
      <c r="G300" s="110">
        <f>'11E_Seeds'!AO115</f>
        <v>91.586585605020616</v>
      </c>
      <c r="H300" s="110">
        <f>'11E_Seeds'!AP115</f>
        <v>85.7286432160804</v>
      </c>
      <c r="I300" s="145"/>
      <c r="J300" s="107"/>
      <c r="K300" s="107"/>
    </row>
    <row r="301" spans="2:11" x14ac:dyDescent="0.3">
      <c r="B301" s="115" t="s">
        <v>409</v>
      </c>
      <c r="C301" s="107" t="s">
        <v>9</v>
      </c>
      <c r="D301" s="116">
        <f>'11E_Seeds'!AL116</f>
        <v>2565.9699999999998</v>
      </c>
      <c r="E301" s="116">
        <f>'11E_Seeds'!AM116</f>
        <v>8368.39</v>
      </c>
      <c r="F301" s="116">
        <f>'11E_Seeds'!AN116</f>
        <v>112873.04</v>
      </c>
      <c r="G301" s="116">
        <f>'11E_Seeds'!AO116</f>
        <v>47560.68</v>
      </c>
      <c r="H301" s="116">
        <f>'11E_Seeds'!AP116</f>
        <v>18430.84</v>
      </c>
      <c r="I301" s="107"/>
      <c r="J301" s="115" t="s">
        <v>36</v>
      </c>
      <c r="K301" s="137">
        <f t="shared" ref="K301:K302" si="86">SUM(D301:H301)</f>
        <v>189798.91999999998</v>
      </c>
    </row>
    <row r="302" spans="2:11" x14ac:dyDescent="0.3">
      <c r="B302" s="115" t="s">
        <v>378</v>
      </c>
      <c r="C302" s="107" t="s">
        <v>467</v>
      </c>
      <c r="D302" s="108">
        <f>'11E_Seeds'!AL117</f>
        <v>2556.06277992278</v>
      </c>
      <c r="E302" s="108">
        <f>'11E_Seeds'!AM117</f>
        <v>11048.57479737806</v>
      </c>
      <c r="F302" s="108">
        <f>'11E_Seeds'!AN117</f>
        <v>109989.47564976438</v>
      </c>
      <c r="G302" s="108">
        <f>'11E_Seeds'!AO117</f>
        <v>46530.327002600272</v>
      </c>
      <c r="H302" s="108">
        <f>'11E_Seeds'!AP117</f>
        <v>19674.479770334492</v>
      </c>
      <c r="I302" s="144">
        <f>$K$1-K302</f>
        <v>9391.0800000000163</v>
      </c>
      <c r="J302" s="115" t="s">
        <v>36</v>
      </c>
      <c r="K302" s="137">
        <f t="shared" si="86"/>
        <v>189798.91999999998</v>
      </c>
    </row>
    <row r="303" spans="2:11" x14ac:dyDescent="0.3">
      <c r="B303" s="115"/>
      <c r="C303" s="107" t="s">
        <v>533</v>
      </c>
      <c r="D303" s="147">
        <f t="shared" ref="D303:I303" si="87">D302/$K$1</f>
        <v>1.2832284652456349E-2</v>
      </c>
      <c r="E303" s="147">
        <f t="shared" si="87"/>
        <v>5.546751743249189E-2</v>
      </c>
      <c r="F303" s="147">
        <f t="shared" si="87"/>
        <v>0.55218372232423507</v>
      </c>
      <c r="G303" s="147">
        <f t="shared" si="87"/>
        <v>0.23359770572117211</v>
      </c>
      <c r="H303" s="147">
        <f t="shared" si="87"/>
        <v>9.8772427181758576E-2</v>
      </c>
      <c r="I303" s="147">
        <f t="shared" si="87"/>
        <v>4.714634268788602E-2</v>
      </c>
      <c r="J303" s="145">
        <f>SUM(D303:I303)</f>
        <v>1</v>
      </c>
      <c r="K303" s="137"/>
    </row>
    <row r="304" spans="2:11" x14ac:dyDescent="0.3">
      <c r="B304" s="107"/>
      <c r="C304" s="107" t="s">
        <v>377</v>
      </c>
      <c r="D304" s="108">
        <f>'11E_Seeds'!AL118</f>
        <v>9.888075672708533</v>
      </c>
      <c r="E304" s="108">
        <f>'11E_Seeds'!AM118</f>
        <v>272.02323354536014</v>
      </c>
      <c r="F304" s="108">
        <f>'11E_Seeds'!AN118</f>
        <v>331.53298711966977</v>
      </c>
      <c r="G304" s="108">
        <f>'11E_Seeds'!AO118</f>
        <v>358.89845942760746</v>
      </c>
      <c r="H304" s="108">
        <f>'11E_Seeds'!AP118</f>
        <v>306.4978832742998</v>
      </c>
      <c r="I304" s="107"/>
      <c r="J304" s="107"/>
      <c r="K304" s="107"/>
    </row>
    <row r="305" spans="2:11" x14ac:dyDescent="0.3">
      <c r="B305" s="107"/>
      <c r="C305" s="148" t="s">
        <v>538</v>
      </c>
      <c r="D305" s="108">
        <f>1.96*D304</f>
        <v>19.380628318508723</v>
      </c>
      <c r="E305" s="108">
        <f>1.96*E304</f>
        <v>533.16553774890588</v>
      </c>
      <c r="F305" s="108">
        <f>1.96*F304</f>
        <v>649.80465475455276</v>
      </c>
      <c r="G305" s="108">
        <f>1.96*G304</f>
        <v>703.44098047811065</v>
      </c>
      <c r="H305" s="108">
        <f>1.96*H304</f>
        <v>600.73585121762756</v>
      </c>
      <c r="I305" s="107"/>
      <c r="J305" s="107"/>
      <c r="K305" s="107"/>
    </row>
    <row r="306" spans="2:11" x14ac:dyDescent="0.3">
      <c r="B306" s="107"/>
      <c r="C306" s="148" t="s">
        <v>537</v>
      </c>
      <c r="D306" s="149">
        <f>D304/$K$1</f>
        <v>4.9641426139407264E-5</v>
      </c>
      <c r="E306" s="149">
        <f>E304/$K$1</f>
        <v>1.3656470382316388E-3</v>
      </c>
      <c r="F306" s="149">
        <f>F304/$K$1</f>
        <v>1.6644057790033123E-3</v>
      </c>
      <c r="G306" s="149">
        <f>G304/$K$1</f>
        <v>1.8017895447944548E-3</v>
      </c>
      <c r="H306" s="149">
        <f>H304/$K$1</f>
        <v>1.5387212373828996E-3</v>
      </c>
      <c r="I306" s="107"/>
      <c r="J306" s="107"/>
      <c r="K306" s="107"/>
    </row>
    <row r="307" spans="2:11" x14ac:dyDescent="0.3">
      <c r="B307" s="107"/>
      <c r="C307" s="129" t="s">
        <v>539</v>
      </c>
      <c r="D307" s="150">
        <f>1.96*D306</f>
        <v>9.7297195233238241E-5</v>
      </c>
      <c r="E307" s="150">
        <f>1.96*E306</f>
        <v>2.6766681949340117E-3</v>
      </c>
      <c r="F307" s="150">
        <f>1.96*F306</f>
        <v>3.2622353268464918E-3</v>
      </c>
      <c r="G307" s="150">
        <f>1.96*G306</f>
        <v>3.5315075077971313E-3</v>
      </c>
      <c r="H307" s="150">
        <f>1.96*H306</f>
        <v>3.0158936252704834E-3</v>
      </c>
      <c r="I307" s="107"/>
      <c r="J307" s="107"/>
      <c r="K307" s="107"/>
    </row>
    <row r="308" spans="2:11" x14ac:dyDescent="0.3">
      <c r="B308" s="115" t="s">
        <v>410</v>
      </c>
      <c r="C308" s="122" t="s">
        <v>9</v>
      </c>
      <c r="D308" s="136">
        <f>'11E_Seeds'!AL119</f>
        <v>2633.2094999999999</v>
      </c>
      <c r="E308" s="136">
        <f>'11E_Seeds'!AM119</f>
        <v>8210.7135000000017</v>
      </c>
      <c r="F308" s="136">
        <f>'11E_Seeds'!AN119</f>
        <v>112868.90750000002</v>
      </c>
      <c r="G308" s="136">
        <f>'11E_Seeds'!AO119</f>
        <v>47508.481500000009</v>
      </c>
      <c r="H308" s="136">
        <f>'11E_Seeds'!AP119</f>
        <v>18577.606999999996</v>
      </c>
      <c r="I308" s="107"/>
      <c r="J308" s="115" t="s">
        <v>36</v>
      </c>
      <c r="K308" s="137">
        <f t="shared" ref="K308" si="88">SUM(D308:H308)</f>
        <v>189798.91900000002</v>
      </c>
    </row>
    <row r="309" spans="2:11" x14ac:dyDescent="0.3">
      <c r="B309" s="107"/>
      <c r="C309" s="148" t="s">
        <v>394</v>
      </c>
      <c r="D309" s="108">
        <f>'11E_Seeds'!AL120</f>
        <v>13.160993433048164</v>
      </c>
      <c r="E309" s="108">
        <f>'11E_Seeds'!AM120</f>
        <v>58.67099218377804</v>
      </c>
      <c r="F309" s="108">
        <f>'11E_Seeds'!AN120</f>
        <v>76.796987402792823</v>
      </c>
      <c r="G309" s="108">
        <f>'11E_Seeds'!AO120</f>
        <v>60.024184048357206</v>
      </c>
      <c r="H309" s="108">
        <f>'11E_Seeds'!AP120</f>
        <v>48.486653704097314</v>
      </c>
      <c r="I309" s="107"/>
      <c r="J309" s="107"/>
      <c r="K309" s="107"/>
    </row>
    <row r="310" spans="2:11" x14ac:dyDescent="0.3">
      <c r="B310" s="107"/>
      <c r="C310" s="148" t="s">
        <v>538</v>
      </c>
      <c r="D310" s="108">
        <f>1.96*D309</f>
        <v>25.795547128774402</v>
      </c>
      <c r="E310" s="108">
        <f>1.96*E309</f>
        <v>114.99514468020496</v>
      </c>
      <c r="F310" s="108">
        <f>1.96*F309</f>
        <v>150.52209530947394</v>
      </c>
      <c r="G310" s="108">
        <f>1.96*G309</f>
        <v>117.64740073478012</v>
      </c>
      <c r="H310" s="108">
        <f>1.96*H309</f>
        <v>95.033841260030741</v>
      </c>
      <c r="I310" s="107"/>
      <c r="J310" s="107"/>
      <c r="K310" s="107"/>
    </row>
    <row r="311" spans="2:11" x14ac:dyDescent="0.3">
      <c r="B311" s="107"/>
      <c r="C311" s="148" t="s">
        <v>537</v>
      </c>
      <c r="D311" s="149">
        <f>D309/$K$2</f>
        <v>5.9373938401248048E-4</v>
      </c>
      <c r="E311" s="149">
        <f>E309/$K$2</f>
        <v>2.6468578482171136E-3</v>
      </c>
      <c r="F311" s="149">
        <f>F309/$K$2</f>
        <v>3.4645861823812039E-3</v>
      </c>
      <c r="G311" s="149">
        <f>G309/$K$2</f>
        <v>2.7079051626324856E-3</v>
      </c>
      <c r="H311" s="149">
        <f>H309/$K$2</f>
        <v>2.1874059925299743E-3</v>
      </c>
      <c r="I311" s="107"/>
      <c r="J311" s="107"/>
      <c r="K311" s="107"/>
    </row>
    <row r="312" spans="2:11" x14ac:dyDescent="0.3">
      <c r="B312" s="141"/>
      <c r="C312" s="129" t="s">
        <v>539</v>
      </c>
      <c r="D312" s="150">
        <f>1.96*D311</f>
        <v>1.1637291926644617E-3</v>
      </c>
      <c r="E312" s="150">
        <f>1.96*E311</f>
        <v>5.1878413825055423E-3</v>
      </c>
      <c r="F312" s="150">
        <f>1.96*F311</f>
        <v>6.7905889174671597E-3</v>
      </c>
      <c r="G312" s="150">
        <f>1.96*G311</f>
        <v>5.3074941187596716E-3</v>
      </c>
      <c r="H312" s="150">
        <f>1.96*H311</f>
        <v>4.2873157453587494E-3</v>
      </c>
      <c r="I312" s="107"/>
      <c r="J312" s="107"/>
      <c r="K312" s="107"/>
    </row>
    <row r="313" spans="2:11" x14ac:dyDescent="0.3">
      <c r="B313" s="119" t="s">
        <v>440</v>
      </c>
      <c r="C313" s="107"/>
      <c r="D313" s="116"/>
      <c r="E313" s="116"/>
      <c r="F313" s="116"/>
      <c r="G313" s="116"/>
      <c r="H313" s="116"/>
      <c r="I313" s="107"/>
      <c r="J313" s="107"/>
      <c r="K313" s="107"/>
    </row>
    <row r="314" spans="2:11" x14ac:dyDescent="0.3">
      <c r="B314" s="115" t="s">
        <v>409</v>
      </c>
      <c r="C314" s="122" t="s">
        <v>9</v>
      </c>
      <c r="D314" s="136">
        <f>'11E_Seeds'!AL122</f>
        <v>118.75</v>
      </c>
      <c r="E314" s="136">
        <f>'11E_Seeds'!AM122</f>
        <v>985.36</v>
      </c>
      <c r="F314" s="136">
        <f>'11E_Seeds'!AN122</f>
        <v>16560.939999999999</v>
      </c>
      <c r="G314" s="136">
        <f>'11E_Seeds'!AO122</f>
        <v>2941.95</v>
      </c>
      <c r="H314" s="136">
        <f>'11E_Seeds'!AP122</f>
        <v>1335.39</v>
      </c>
      <c r="I314" s="108">
        <f>$K$2-K314</f>
        <v>223.88999999999942</v>
      </c>
      <c r="J314" s="115" t="s">
        <v>36</v>
      </c>
      <c r="K314" s="137">
        <f t="shared" ref="K314" si="89">SUM(D314:H314)</f>
        <v>21942.39</v>
      </c>
    </row>
    <row r="315" spans="2:11" x14ac:dyDescent="0.3">
      <c r="B315" s="107"/>
      <c r="C315" s="107" t="s">
        <v>533</v>
      </c>
      <c r="D315" s="151">
        <f t="shared" ref="D315:I315" si="90">D314/$K$2</f>
        <v>5.3572363066784322E-3</v>
      </c>
      <c r="E315" s="151">
        <f t="shared" si="90"/>
        <v>4.4453106249672927E-2</v>
      </c>
      <c r="F315" s="151">
        <f t="shared" si="90"/>
        <v>0.74712310771135249</v>
      </c>
      <c r="G315" s="151">
        <f t="shared" si="90"/>
        <v>0.13272186402048516</v>
      </c>
      <c r="H315" s="151">
        <f t="shared" si="90"/>
        <v>6.0244208771160525E-2</v>
      </c>
      <c r="I315" s="147">
        <f t="shared" si="90"/>
        <v>1.0100476940650367E-2</v>
      </c>
      <c r="J315" s="145">
        <f>SUM(D315:I315)</f>
        <v>1</v>
      </c>
      <c r="K315" s="107"/>
    </row>
    <row r="316" spans="2:11" x14ac:dyDescent="0.3">
      <c r="B316" s="115" t="s">
        <v>410</v>
      </c>
      <c r="C316" s="122" t="s">
        <v>9</v>
      </c>
      <c r="D316" s="136">
        <f>'11E_Seeds'!AL124</f>
        <v>108.393</v>
      </c>
      <c r="E316" s="136">
        <f>'11E_Seeds'!AM124</f>
        <v>987.57899999999995</v>
      </c>
      <c r="F316" s="136">
        <f>'11E_Seeds'!AN124</f>
        <v>16533.715499999998</v>
      </c>
      <c r="G316" s="136">
        <f>'11E_Seeds'!AO124</f>
        <v>2950.4764999999998</v>
      </c>
      <c r="H316" s="136">
        <f>'11E_Seeds'!AP124</f>
        <v>1362.2154999999998</v>
      </c>
      <c r="I316" s="108">
        <f>$K$2-K316</f>
        <v>223.90049999999974</v>
      </c>
      <c r="J316" s="115" t="s">
        <v>36</v>
      </c>
      <c r="K316" s="137">
        <f t="shared" ref="K316" si="91">SUM(D316:H316)</f>
        <v>21942.379499999999</v>
      </c>
    </row>
    <row r="317" spans="2:11" x14ac:dyDescent="0.3">
      <c r="B317" s="115"/>
      <c r="C317" s="141" t="s">
        <v>533</v>
      </c>
      <c r="D317" s="151">
        <f t="shared" ref="D317:I317" si="92">D316/$K$2</f>
        <v>4.8899950735982762E-3</v>
      </c>
      <c r="E317" s="151">
        <f t="shared" si="92"/>
        <v>4.4553213259058352E-2</v>
      </c>
      <c r="F317" s="151">
        <f t="shared" si="92"/>
        <v>0.74589491335487956</v>
      </c>
      <c r="G317" s="151">
        <f t="shared" si="92"/>
        <v>0.13310652486569691</v>
      </c>
      <c r="H317" s="151">
        <f t="shared" si="92"/>
        <v>6.1454402813643061E-2</v>
      </c>
      <c r="I317" s="147">
        <f t="shared" si="92"/>
        <v>1.0100950633123815E-2</v>
      </c>
      <c r="J317" s="145">
        <f>SUM(D317:I317)</f>
        <v>0.99999999999999978</v>
      </c>
      <c r="K317" s="137"/>
    </row>
    <row r="318" spans="2:11" x14ac:dyDescent="0.3">
      <c r="B318" s="107"/>
      <c r="C318" s="148" t="s">
        <v>394</v>
      </c>
      <c r="D318" s="108">
        <f>'11E_Seeds'!AL125</f>
        <v>4.5406738486704796</v>
      </c>
      <c r="E318" s="108">
        <f>'11E_Seeds'!AM125</f>
        <v>9.2637972463268312</v>
      </c>
      <c r="F318" s="108">
        <f>'11E_Seeds'!AN125</f>
        <v>10.055267524379598</v>
      </c>
      <c r="G318" s="108">
        <f>'11E_Seeds'!AO125</f>
        <v>7.1598592413023834</v>
      </c>
      <c r="H318" s="108">
        <f>'11E_Seeds'!AP125</f>
        <v>5.665555413614527</v>
      </c>
      <c r="I318" s="107"/>
      <c r="J318" s="107"/>
      <c r="K318" s="142"/>
    </row>
    <row r="319" spans="2:11" x14ac:dyDescent="0.3">
      <c r="B319" s="107"/>
      <c r="C319" s="148" t="s">
        <v>538</v>
      </c>
      <c r="D319" s="108">
        <f>1.96*D318</f>
        <v>8.8997207433941394</v>
      </c>
      <c r="E319" s="108">
        <f>1.96*E318</f>
        <v>18.15704260280059</v>
      </c>
      <c r="F319" s="108">
        <f>1.96*F318</f>
        <v>19.708324347784011</v>
      </c>
      <c r="G319" s="108">
        <f>1.96*G318</f>
        <v>14.033324112952672</v>
      </c>
      <c r="H319" s="108">
        <f>1.96*H318</f>
        <v>11.104488610684472</v>
      </c>
      <c r="I319" s="107"/>
      <c r="J319" s="107"/>
      <c r="K319" s="107"/>
    </row>
    <row r="320" spans="2:11" x14ac:dyDescent="0.3">
      <c r="B320" s="107"/>
      <c r="C320" s="148" t="s">
        <v>537</v>
      </c>
      <c r="D320" s="149">
        <f>D318/$K$2</f>
        <v>2.0484600251690765E-4</v>
      </c>
      <c r="E320" s="149">
        <f>E318/$K$2</f>
        <v>4.1792295533246135E-4</v>
      </c>
      <c r="F320" s="149">
        <f>F318/$K$2</f>
        <v>4.536290042523869E-4</v>
      </c>
      <c r="G320" s="149">
        <f>G318/$K$2</f>
        <v>3.2300680318494507E-4</v>
      </c>
      <c r="H320" s="149">
        <f>H318/$K$2</f>
        <v>2.5559342449948876E-4</v>
      </c>
      <c r="I320" s="107"/>
      <c r="J320" s="107"/>
      <c r="K320" s="107"/>
    </row>
    <row r="321" spans="2:11" x14ac:dyDescent="0.3">
      <c r="B321" s="107"/>
      <c r="C321" s="129" t="s">
        <v>539</v>
      </c>
      <c r="D321" s="150">
        <f>1.96*D320</f>
        <v>4.01498164933139E-4</v>
      </c>
      <c r="E321" s="150">
        <f>1.96*E320</f>
        <v>8.1912899245162427E-4</v>
      </c>
      <c r="F321" s="150">
        <f>1.96*F320</f>
        <v>8.8911284833467828E-4</v>
      </c>
      <c r="G321" s="150">
        <f>1.96*G320</f>
        <v>6.3309333424249234E-4</v>
      </c>
      <c r="H321" s="150">
        <f>1.96*H320</f>
        <v>5.0096311201899791E-4</v>
      </c>
      <c r="I321" s="107"/>
      <c r="J321" s="107"/>
      <c r="K321" s="107"/>
    </row>
    <row r="322" spans="2:11" x14ac:dyDescent="0.3">
      <c r="B322" s="119" t="s">
        <v>447</v>
      </c>
      <c r="C322" s="107"/>
      <c r="D322" s="116"/>
      <c r="E322" s="116"/>
      <c r="F322" s="116"/>
      <c r="G322" s="116"/>
      <c r="H322" s="116"/>
      <c r="I322" s="107"/>
      <c r="J322" s="107"/>
      <c r="K322" s="142"/>
    </row>
    <row r="323" spans="2:11" x14ac:dyDescent="0.3">
      <c r="B323" s="115" t="s">
        <v>409</v>
      </c>
      <c r="C323" s="122" t="s">
        <v>9</v>
      </c>
      <c r="D323" s="136">
        <f>'11E_Seeds'!AL127</f>
        <v>32.36</v>
      </c>
      <c r="E323" s="136">
        <f>'11E_Seeds'!AM127</f>
        <v>572.15</v>
      </c>
      <c r="F323" s="136">
        <f>'11E_Seeds'!AN127</f>
        <v>16007.08</v>
      </c>
      <c r="G323" s="136">
        <f>'11E_Seeds'!AO127</f>
        <v>14757.46</v>
      </c>
      <c r="H323" s="136">
        <f>'11E_Seeds'!AP127</f>
        <v>10221.14</v>
      </c>
      <c r="I323" s="108">
        <f>$K$3-K323</f>
        <v>1827.8999999999942</v>
      </c>
      <c r="J323" s="115" t="s">
        <v>36</v>
      </c>
      <c r="K323" s="137">
        <f t="shared" ref="K323" si="93">SUM(D323:H323)</f>
        <v>41590.19</v>
      </c>
    </row>
    <row r="324" spans="2:11" x14ac:dyDescent="0.3">
      <c r="B324" s="107"/>
      <c r="C324" s="107" t="s">
        <v>534</v>
      </c>
      <c r="D324" s="146">
        <f t="shared" ref="D324:I324" si="94">D323/$K$3</f>
        <v>7.4531145888729797E-4</v>
      </c>
      <c r="E324" s="146">
        <f t="shared" si="94"/>
        <v>1.317768699636488E-2</v>
      </c>
      <c r="F324" s="146">
        <f t="shared" si="94"/>
        <v>0.36867305770474934</v>
      </c>
      <c r="G324" s="146">
        <f t="shared" si="94"/>
        <v>0.33989196668946053</v>
      </c>
      <c r="H324" s="146">
        <f t="shared" si="94"/>
        <v>0.23541201374818654</v>
      </c>
      <c r="I324" s="146">
        <f t="shared" si="94"/>
        <v>4.2099963402351288E-2</v>
      </c>
      <c r="J324" s="145">
        <f>SUM(D324:I324)</f>
        <v>1</v>
      </c>
      <c r="K324" s="142"/>
    </row>
    <row r="325" spans="2:11" x14ac:dyDescent="0.3">
      <c r="B325" s="115" t="s">
        <v>410</v>
      </c>
      <c r="C325" s="122" t="s">
        <v>9</v>
      </c>
      <c r="D325" s="136">
        <f>'11E_Seeds'!AL129</f>
        <v>61.6845</v>
      </c>
      <c r="E325" s="136">
        <f>'11E_Seeds'!AM129</f>
        <v>584.69949999999994</v>
      </c>
      <c r="F325" s="136">
        <f>'11E_Seeds'!AN129</f>
        <v>15989.060999999998</v>
      </c>
      <c r="G325" s="136">
        <f>'11E_Seeds'!AO129</f>
        <v>14725.397500000001</v>
      </c>
      <c r="H325" s="136">
        <f>'11E_Seeds'!AP129</f>
        <v>10229.355499999998</v>
      </c>
      <c r="I325" s="108">
        <f>$K$3-K325</f>
        <v>1827.8919999999998</v>
      </c>
      <c r="J325" s="115" t="s">
        <v>36</v>
      </c>
      <c r="K325" s="137">
        <f t="shared" ref="K325" si="95">SUM(D325:H325)</f>
        <v>41590.197999999997</v>
      </c>
    </row>
    <row r="326" spans="2:11" x14ac:dyDescent="0.3">
      <c r="B326" s="115"/>
      <c r="C326" s="141" t="s">
        <v>533</v>
      </c>
      <c r="D326" s="151">
        <f t="shared" ref="D326:I326" si="96">D325/$K$3</f>
        <v>1.420709662723533E-3</v>
      </c>
      <c r="E326" s="151">
        <f t="shared" si="96"/>
        <v>1.3466725505428727E-2</v>
      </c>
      <c r="F326" s="151">
        <f t="shared" si="96"/>
        <v>0.36825804635809634</v>
      </c>
      <c r="G326" s="151">
        <f t="shared" si="96"/>
        <v>0.33915350721323767</v>
      </c>
      <c r="H326" s="151">
        <f t="shared" si="96"/>
        <v>0.23560123211315834</v>
      </c>
      <c r="I326" s="146">
        <f t="shared" si="96"/>
        <v>4.2099779147355396E-2</v>
      </c>
      <c r="J326" s="145">
        <f>SUM(D326:I326)</f>
        <v>1</v>
      </c>
      <c r="K326" s="137"/>
    </row>
    <row r="327" spans="2:11" x14ac:dyDescent="0.3">
      <c r="B327" s="107"/>
      <c r="C327" s="148" t="s">
        <v>394</v>
      </c>
      <c r="D327" s="108">
        <f>'11E_Seeds'!AL130</f>
        <v>6.0835819380828946</v>
      </c>
      <c r="E327" s="108">
        <f>'11E_Seeds'!AM130</f>
        <v>4.4136754867832755</v>
      </c>
      <c r="F327" s="108">
        <f>'11E_Seeds'!AN130</f>
        <v>19.375320546075017</v>
      </c>
      <c r="G327" s="108">
        <f>'11E_Seeds'!AO130</f>
        <v>16.727202818903592</v>
      </c>
      <c r="H327" s="108">
        <f>'11E_Seeds'!AP130</f>
        <v>18.206611284380358</v>
      </c>
      <c r="I327" s="107"/>
      <c r="J327" s="107"/>
      <c r="K327" s="142"/>
    </row>
    <row r="328" spans="2:11" x14ac:dyDescent="0.3">
      <c r="B328" s="107"/>
      <c r="C328" s="148" t="s">
        <v>538</v>
      </c>
      <c r="D328" s="108">
        <f>1.96*D327</f>
        <v>11.923820598642473</v>
      </c>
      <c r="E328" s="108">
        <f>1.96*E327</f>
        <v>8.6508039540952204</v>
      </c>
      <c r="F328" s="108">
        <f>1.96*F327</f>
        <v>37.975628270307034</v>
      </c>
      <c r="G328" s="108">
        <f>1.96*G327</f>
        <v>32.785317525051042</v>
      </c>
      <c r="H328" s="108">
        <f>1.96*H327</f>
        <v>35.684958117385499</v>
      </c>
      <c r="I328" s="107"/>
      <c r="J328" s="107"/>
      <c r="K328" s="107"/>
    </row>
    <row r="329" spans="2:11" x14ac:dyDescent="0.3">
      <c r="B329" s="107"/>
      <c r="C329" s="148" t="s">
        <v>537</v>
      </c>
      <c r="D329" s="149">
        <f>D327/$K$3</f>
        <v>1.4011629572104382E-4</v>
      </c>
      <c r="E329" s="149">
        <f>E327/$K$3</f>
        <v>1.0165521990449777E-4</v>
      </c>
      <c r="F329" s="149">
        <f>F327/$K$3</f>
        <v>4.462499512547654E-4</v>
      </c>
      <c r="G329" s="149">
        <f>G327/$K$3</f>
        <v>3.8525883609582075E-4</v>
      </c>
      <c r="H329" s="149">
        <f>H327/$K$3</f>
        <v>4.1933238620999586E-4</v>
      </c>
      <c r="I329" s="107"/>
      <c r="J329" s="107"/>
      <c r="K329" s="107"/>
    </row>
    <row r="330" spans="2:11" x14ac:dyDescent="0.3">
      <c r="B330" s="141"/>
      <c r="C330" s="129" t="s">
        <v>539</v>
      </c>
      <c r="D330" s="150">
        <f>1.96*D329</f>
        <v>2.7462793961324588E-4</v>
      </c>
      <c r="E330" s="150">
        <f>1.96*E329</f>
        <v>1.9924423101281563E-4</v>
      </c>
      <c r="F330" s="150">
        <f>1.96*F329</f>
        <v>8.7464990445934013E-4</v>
      </c>
      <c r="G330" s="150">
        <f>1.96*G329</f>
        <v>7.5510731874780862E-4</v>
      </c>
      <c r="H330" s="150">
        <f>1.96*H329</f>
        <v>8.2189147697159183E-4</v>
      </c>
      <c r="I330" s="107"/>
      <c r="J330" s="107"/>
      <c r="K330" s="107"/>
    </row>
    <row r="331" spans="2:11" x14ac:dyDescent="0.3">
      <c r="B331" s="119" t="s">
        <v>448</v>
      </c>
      <c r="C331" s="107"/>
      <c r="D331" s="116"/>
      <c r="E331" s="116"/>
      <c r="F331" s="116"/>
      <c r="G331" s="116"/>
      <c r="H331" s="116"/>
      <c r="I331" s="107"/>
      <c r="J331" s="107"/>
      <c r="K331" s="142"/>
    </row>
    <row r="332" spans="2:11" x14ac:dyDescent="0.3">
      <c r="B332" s="115" t="s">
        <v>409</v>
      </c>
      <c r="C332" s="122" t="s">
        <v>9</v>
      </c>
      <c r="D332" s="136">
        <f>'11E_Seeds'!AL132</f>
        <v>0.27</v>
      </c>
      <c r="E332" s="136">
        <f>'11E_Seeds'!AM132</f>
        <v>40.4</v>
      </c>
      <c r="F332" s="136">
        <f>'11E_Seeds'!AN132</f>
        <v>1289.2</v>
      </c>
      <c r="G332" s="136">
        <f>'11E_Seeds'!AO132</f>
        <v>391.02</v>
      </c>
      <c r="H332" s="136">
        <f>'11E_Seeds'!AP132</f>
        <v>100.1</v>
      </c>
      <c r="I332" s="108">
        <f>$K$4-K332</f>
        <v>40.559999999999945</v>
      </c>
      <c r="J332" s="115" t="s">
        <v>36</v>
      </c>
      <c r="K332" s="137">
        <f t="shared" ref="K332" si="97">SUM(D332:H332)</f>
        <v>1820.99</v>
      </c>
    </row>
    <row r="333" spans="2:11" x14ac:dyDescent="0.3">
      <c r="B333" s="107"/>
      <c r="C333" s="141" t="s">
        <v>533</v>
      </c>
      <c r="D333" s="151">
        <f t="shared" ref="D333:I333" si="98">D332/$K$4</f>
        <v>1.4504042330316136E-4</v>
      </c>
      <c r="E333" s="151">
        <f t="shared" si="98"/>
        <v>2.1702344820176734E-2</v>
      </c>
      <c r="F333" s="151">
        <f t="shared" si="98"/>
        <v>0.69254116193494675</v>
      </c>
      <c r="G333" s="151">
        <f t="shared" si="98"/>
        <v>0.2100507641481561</v>
      </c>
      <c r="H333" s="151">
        <f t="shared" si="98"/>
        <v>5.3772393972764627E-2</v>
      </c>
      <c r="I333" s="147">
        <f t="shared" si="98"/>
        <v>2.1788294700652654E-2</v>
      </c>
      <c r="J333" s="145">
        <f>SUM(D333:I333)</f>
        <v>1</v>
      </c>
      <c r="K333" s="142"/>
    </row>
    <row r="334" spans="2:11" x14ac:dyDescent="0.3">
      <c r="B334" s="115" t="s">
        <v>410</v>
      </c>
      <c r="C334" s="122" t="s">
        <v>9</v>
      </c>
      <c r="D334" s="136">
        <f>'11E_Seeds'!AL134</f>
        <v>0.48649999999999982</v>
      </c>
      <c r="E334" s="136">
        <f>'11E_Seeds'!AM134</f>
        <v>41.011499999999998</v>
      </c>
      <c r="F334" s="136">
        <f>'11E_Seeds'!AN134</f>
        <v>1286.5965000000001</v>
      </c>
      <c r="G334" s="136">
        <f>'11E_Seeds'!AO134</f>
        <v>389.73149999999998</v>
      </c>
      <c r="H334" s="136">
        <f>'11E_Seeds'!AP134</f>
        <v>103.1665</v>
      </c>
      <c r="I334" s="108">
        <f>$K$4-K334</f>
        <v>40.557499999999891</v>
      </c>
      <c r="J334" s="115" t="s">
        <v>36</v>
      </c>
      <c r="K334" s="137">
        <f t="shared" ref="K334" si="99">SUM(D334:H334)</f>
        <v>1820.9925000000001</v>
      </c>
    </row>
    <row r="335" spans="2:11" x14ac:dyDescent="0.3">
      <c r="B335" s="115"/>
      <c r="C335" s="141" t="s">
        <v>533</v>
      </c>
      <c r="D335" s="151">
        <f t="shared" ref="D335:I335" si="100">D334/$K$4</f>
        <v>2.6134135532217766E-4</v>
      </c>
      <c r="E335" s="151">
        <f t="shared" si="100"/>
        <v>2.2030834519620745E-2</v>
      </c>
      <c r="F335" s="151">
        <f t="shared" si="100"/>
        <v>0.69114259622357721</v>
      </c>
      <c r="G335" s="151">
        <f t="shared" si="100"/>
        <v>0.20935859901694823</v>
      </c>
      <c r="H335" s="151">
        <f t="shared" si="100"/>
        <v>5.5419677150761466E-2</v>
      </c>
      <c r="I335" s="147">
        <f t="shared" si="100"/>
        <v>2.1786951733770186E-2</v>
      </c>
      <c r="J335" s="145">
        <f>SUM(D335:I335)</f>
        <v>1</v>
      </c>
      <c r="K335" s="137"/>
    </row>
    <row r="336" spans="2:11" x14ac:dyDescent="0.3">
      <c r="B336" s="107"/>
      <c r="C336" s="148" t="s">
        <v>394</v>
      </c>
      <c r="D336" s="108">
        <f>'11E_Seeds'!AL135</f>
        <v>5.4465223090663956E-2</v>
      </c>
      <c r="E336" s="108">
        <f>'11E_Seeds'!AM135</f>
        <v>0.45602878198640051</v>
      </c>
      <c r="F336" s="108">
        <f>'11E_Seeds'!AN135</f>
        <v>0.80371383850878264</v>
      </c>
      <c r="G336" s="108">
        <f>'11E_Seeds'!AO135</f>
        <v>0.50926276693812356</v>
      </c>
      <c r="H336" s="108">
        <f>'11E_Seeds'!AP135</f>
        <v>0.65728239344808415</v>
      </c>
      <c r="I336" s="107"/>
      <c r="J336" s="107"/>
      <c r="K336" s="107"/>
    </row>
    <row r="337" spans="2:11" x14ac:dyDescent="0.3">
      <c r="B337" s="107"/>
      <c r="C337" s="148" t="s">
        <v>538</v>
      </c>
      <c r="D337" s="108">
        <f>1.96*D336</f>
        <v>0.10675183725770135</v>
      </c>
      <c r="E337" s="108">
        <f>1.96*E336</f>
        <v>0.893816412693345</v>
      </c>
      <c r="F337" s="108">
        <f>1.96*F336</f>
        <v>1.5752791234772139</v>
      </c>
      <c r="G337" s="108">
        <f>1.96*G336</f>
        <v>0.99815502319872218</v>
      </c>
      <c r="H337" s="108">
        <f>1.96*H336</f>
        <v>1.288273491158245</v>
      </c>
      <c r="I337" s="107"/>
      <c r="J337" s="107"/>
      <c r="K337" s="107"/>
    </row>
    <row r="338" spans="2:11" x14ac:dyDescent="0.3">
      <c r="B338" s="107"/>
      <c r="C338" s="148" t="s">
        <v>537</v>
      </c>
      <c r="D338" s="149">
        <f>D336/$K$4</f>
        <v>2.9257996342114882E-5</v>
      </c>
      <c r="E338" s="149">
        <f>E336/$K$4</f>
        <v>2.449726206582689E-4</v>
      </c>
      <c r="F338" s="149">
        <f>F336/$K$4</f>
        <v>4.3174442722934258E-4</v>
      </c>
      <c r="G338" s="149">
        <f>G336/$K$4</f>
        <v>2.7356921218238758E-4</v>
      </c>
      <c r="H338" s="149">
        <f>H336/$K$4</f>
        <v>3.5308339472379691E-4</v>
      </c>
      <c r="I338" s="107"/>
      <c r="J338" s="107"/>
      <c r="K338" s="107"/>
    </row>
    <row r="339" spans="2:11" x14ac:dyDescent="0.3">
      <c r="B339" s="107"/>
      <c r="C339" s="129" t="s">
        <v>539</v>
      </c>
      <c r="D339" s="150">
        <f>1.96*D338</f>
        <v>5.7345672830545165E-5</v>
      </c>
      <c r="E339" s="150">
        <f>1.96*E338</f>
        <v>4.8014633649020704E-4</v>
      </c>
      <c r="F339" s="150">
        <f>1.96*F338</f>
        <v>8.4621907736951146E-4</v>
      </c>
      <c r="G339" s="150">
        <f>1.96*G338</f>
        <v>5.3619565587747966E-4</v>
      </c>
      <c r="H339" s="150">
        <f>1.96*H338</f>
        <v>6.9204345365864194E-4</v>
      </c>
      <c r="I339" s="107"/>
      <c r="J339" s="107"/>
      <c r="K339" s="107"/>
    </row>
    <row r="340" spans="2:11" x14ac:dyDescent="0.3">
      <c r="D340" t="s">
        <v>503</v>
      </c>
      <c r="E340" t="s">
        <v>504</v>
      </c>
      <c r="F340" t="s">
        <v>505</v>
      </c>
      <c r="G340" t="s">
        <v>506</v>
      </c>
      <c r="H340" t="s">
        <v>507</v>
      </c>
    </row>
    <row r="341" spans="2:11" x14ac:dyDescent="0.3">
      <c r="B341" s="118" t="s">
        <v>375</v>
      </c>
      <c r="C341" s="8">
        <v>20</v>
      </c>
      <c r="D341" s="90" t="s">
        <v>524</v>
      </c>
      <c r="E341" s="91" t="s">
        <v>523</v>
      </c>
      <c r="F341" s="92" t="s">
        <v>525</v>
      </c>
      <c r="G341" s="124" t="s">
        <v>526</v>
      </c>
      <c r="H341" s="123" t="s">
        <v>527</v>
      </c>
      <c r="I341" s="212" t="s">
        <v>529</v>
      </c>
    </row>
    <row r="342" spans="2:11" x14ac:dyDescent="0.3">
      <c r="B342" s="106" t="s">
        <v>443</v>
      </c>
      <c r="C342" s="107" t="s">
        <v>28</v>
      </c>
      <c r="D342" s="108">
        <f>'15O_Seeds'!AL109</f>
        <v>1.4746567457441235</v>
      </c>
      <c r="E342" s="108">
        <f>'15O_Seeds'!AM109</f>
        <v>5.8849853129149343</v>
      </c>
      <c r="F342" s="108">
        <f>'15O_Seeds'!AN109</f>
        <v>56.594464905146431</v>
      </c>
      <c r="G342" s="108">
        <f>'15O_Seeds'!AO109</f>
        <v>27.745050601770547</v>
      </c>
      <c r="H342" s="108">
        <f>'15O_Seeds'!AP109</f>
        <v>8.3008424344239575</v>
      </c>
      <c r="I342" s="111"/>
      <c r="J342" s="232" t="s">
        <v>77</v>
      </c>
      <c r="K342" s="233">
        <f>'15O_Seeds'!AS109</f>
        <v>0.93883073820584828</v>
      </c>
    </row>
    <row r="343" spans="2:11" x14ac:dyDescent="0.3">
      <c r="B343" s="107"/>
      <c r="C343" s="109" t="s">
        <v>39</v>
      </c>
      <c r="D343" s="110">
        <f>'15O_Seeds'!AL110</f>
        <v>0</v>
      </c>
      <c r="E343" s="110">
        <f>'15O_Seeds'!AM110</f>
        <v>0.14583349959130973</v>
      </c>
      <c r="F343" s="110">
        <f>'15O_Seeds'!AN110</f>
        <v>0.17058992829916111</v>
      </c>
      <c r="G343" s="110">
        <f>'15O_Seeds'!AO110</f>
        <v>0.17160081905484426</v>
      </c>
      <c r="H343" s="110">
        <f>'15O_Seeds'!AP110</f>
        <v>0.16221354881387454</v>
      </c>
      <c r="I343" s="111"/>
      <c r="J343" s="232" t="s">
        <v>29</v>
      </c>
      <c r="K343" s="234">
        <f>'15O_Seeds'!AS110</f>
        <v>2.2750917392034883E-3</v>
      </c>
    </row>
    <row r="344" spans="2:11" x14ac:dyDescent="0.3">
      <c r="B344" s="107"/>
      <c r="C344" s="107" t="s">
        <v>30</v>
      </c>
      <c r="D344" s="108">
        <f>'15O_Seeds'!AL111</f>
        <v>100</v>
      </c>
      <c r="E344" s="108">
        <f>'15O_Seeds'!AM111</f>
        <v>72.042530366177886</v>
      </c>
      <c r="F344" s="108">
        <f>'15O_Seeds'!AN111</f>
        <v>98.10862801209457</v>
      </c>
      <c r="G344" s="108">
        <f>'15O_Seeds'!AO111</f>
        <v>91.057906828471317</v>
      </c>
      <c r="H344" s="108">
        <f>'15O_Seeds'!AP111</f>
        <v>88.913979832133279</v>
      </c>
      <c r="I344" s="111"/>
      <c r="J344" s="111"/>
      <c r="K344" s="111"/>
    </row>
    <row r="345" spans="2:11" x14ac:dyDescent="0.3">
      <c r="B345" s="107"/>
      <c r="C345" s="109" t="s">
        <v>39</v>
      </c>
      <c r="D345" s="110">
        <f>'15O_Seeds'!AL112</f>
        <v>0</v>
      </c>
      <c r="E345" s="110">
        <f>'15O_Seeds'!AM112</f>
        <v>4.5102114418065202</v>
      </c>
      <c r="F345" s="110">
        <f>'15O_Seeds'!AN112</f>
        <v>0.1962703031173918</v>
      </c>
      <c r="G345" s="110">
        <f>'15O_Seeds'!AO112</f>
        <v>0.56012779103475796</v>
      </c>
      <c r="H345" s="110">
        <f>'15O_Seeds'!AP112</f>
        <v>2.0286666977387791</v>
      </c>
      <c r="I345" s="111"/>
      <c r="J345" s="111"/>
      <c r="K345" s="111"/>
    </row>
    <row r="346" spans="2:11" x14ac:dyDescent="0.3">
      <c r="B346" s="107"/>
      <c r="C346" s="111" t="s">
        <v>31</v>
      </c>
      <c r="D346" s="112">
        <f>'15O_Seeds'!AL113</f>
        <v>100</v>
      </c>
      <c r="E346" s="112">
        <f>'15O_Seeds'!AM113</f>
        <v>86.725663716814154</v>
      </c>
      <c r="F346" s="112">
        <f>'15O_Seeds'!AN113</f>
        <v>96.094066765779161</v>
      </c>
      <c r="G346" s="112">
        <f>'15O_Seeds'!AO113</f>
        <v>96.273530541682661</v>
      </c>
      <c r="H346" s="112">
        <f>'15O_Seeds'!AP113</f>
        <v>76.770833333333329</v>
      </c>
      <c r="I346" s="111"/>
      <c r="J346" s="111"/>
      <c r="K346" s="111"/>
    </row>
    <row r="347" spans="2:11" x14ac:dyDescent="0.3">
      <c r="B347" s="107"/>
      <c r="C347" s="113" t="s">
        <v>39</v>
      </c>
      <c r="D347" s="114">
        <f>'15O_Seeds'!AL114</f>
        <v>0</v>
      </c>
      <c r="E347" s="114">
        <f>'15O_Seeds'!AM114</f>
        <v>1.8455332487033302</v>
      </c>
      <c r="F347" s="114">
        <f>'15O_Seeds'!AN114</f>
        <v>0.22524415547237875</v>
      </c>
      <c r="G347" s="114">
        <f>'15O_Seeds'!AO114</f>
        <v>0.37132020901141038</v>
      </c>
      <c r="H347" s="114">
        <f>'15O_Seeds'!AP114</f>
        <v>1.3636585469150411</v>
      </c>
      <c r="I347" s="107"/>
      <c r="J347" s="107"/>
      <c r="K347" s="107"/>
    </row>
    <row r="348" spans="2:11" x14ac:dyDescent="0.3">
      <c r="B348" s="107"/>
      <c r="C348" s="109" t="s">
        <v>56</v>
      </c>
      <c r="D348" s="110">
        <f>'15O_Seeds'!AL115</f>
        <v>100</v>
      </c>
      <c r="E348" s="110">
        <f>'15O_Seeds'!AM115</f>
        <v>70.334928229665067</v>
      </c>
      <c r="F348" s="110">
        <f>'15O_Seeds'!AN115</f>
        <v>97.403931776149051</v>
      </c>
      <c r="G348" s="110">
        <f>'15O_Seeds'!AO115</f>
        <v>93.211828156964856</v>
      </c>
      <c r="H348" s="110">
        <f>'15O_Seeds'!AP115</f>
        <v>82.346368715083798</v>
      </c>
      <c r="I348" s="145"/>
      <c r="J348" s="107"/>
      <c r="K348" s="107"/>
    </row>
    <row r="349" spans="2:11" x14ac:dyDescent="0.3">
      <c r="B349" s="115" t="s">
        <v>409</v>
      </c>
      <c r="C349" s="107" t="s">
        <v>9</v>
      </c>
      <c r="D349" s="116">
        <f>'15O_Seeds'!AL116</f>
        <v>2921.61</v>
      </c>
      <c r="E349" s="116">
        <f>'15O_Seeds'!AM116</f>
        <v>9685.41</v>
      </c>
      <c r="F349" s="116">
        <f>'15O_Seeds'!AN116</f>
        <v>114476.38</v>
      </c>
      <c r="G349" s="116">
        <f>'15O_Seeds'!AO116</f>
        <v>51990.93</v>
      </c>
      <c r="H349" s="116">
        <f>'15O_Seeds'!AP116</f>
        <v>19047.03</v>
      </c>
      <c r="I349" s="107"/>
      <c r="J349" s="115" t="s">
        <v>36</v>
      </c>
      <c r="K349" s="137">
        <f t="shared" ref="K349:K350" si="101">SUM(D349:H349)</f>
        <v>198121.36000000002</v>
      </c>
    </row>
    <row r="350" spans="2:11" x14ac:dyDescent="0.3">
      <c r="B350" s="115" t="s">
        <v>378</v>
      </c>
      <c r="C350" s="107" t="s">
        <v>467</v>
      </c>
      <c r="D350" s="108">
        <f>'15O_Seeds'!AL117</f>
        <v>2921.61</v>
      </c>
      <c r="E350" s="108">
        <f>'15O_Seeds'!AM117</f>
        <v>11659.412937747324</v>
      </c>
      <c r="F350" s="108">
        <f>'15O_Seeds'!AN117</f>
        <v>112125.72355479882</v>
      </c>
      <c r="G350" s="108">
        <f>'15O_Seeds'!AO117</f>
        <v>54968.871584915993</v>
      </c>
      <c r="H350" s="108">
        <f>'15O_Seeds'!AP117</f>
        <v>16445.741922537854</v>
      </c>
      <c r="I350" s="144">
        <f>$K$1-K350</f>
        <v>1068.640000000014</v>
      </c>
      <c r="J350" s="115" t="s">
        <v>36</v>
      </c>
      <c r="K350" s="137">
        <f t="shared" si="101"/>
        <v>198121.36</v>
      </c>
    </row>
    <row r="351" spans="2:11" x14ac:dyDescent="0.3">
      <c r="B351" s="115"/>
      <c r="C351" s="107" t="s">
        <v>533</v>
      </c>
      <c r="D351" s="147">
        <f t="shared" ref="D351:I351" si="102">D350/$K$1</f>
        <v>1.4667453185400874E-2</v>
      </c>
      <c r="E351" s="147">
        <f t="shared" si="102"/>
        <v>5.8534127906758993E-2</v>
      </c>
      <c r="F351" s="147">
        <f t="shared" si="102"/>
        <v>0.56290839678095694</v>
      </c>
      <c r="G351" s="147">
        <f t="shared" si="102"/>
        <v>0.27596200404094579</v>
      </c>
      <c r="H351" s="147">
        <f t="shared" si="102"/>
        <v>8.256309012770649E-2</v>
      </c>
      <c r="I351" s="147">
        <f t="shared" si="102"/>
        <v>5.3649279582309046E-3</v>
      </c>
      <c r="J351" s="145">
        <f>SUM(D351:I351)</f>
        <v>1</v>
      </c>
      <c r="K351" s="137"/>
    </row>
    <row r="352" spans="2:11" x14ac:dyDescent="0.3">
      <c r="B352" s="107"/>
      <c r="C352" s="107" t="s">
        <v>377</v>
      </c>
      <c r="D352" s="108">
        <f>'15O_Seeds'!AL118</f>
        <v>0</v>
      </c>
      <c r="E352" s="108">
        <f>'15O_Seeds'!AM118</f>
        <v>288.92731272589731</v>
      </c>
      <c r="F352" s="108">
        <f>'15O_Seeds'!AN118</f>
        <v>337.97508596932289</v>
      </c>
      <c r="G352" s="108">
        <f>'15O_Seeds'!AO118</f>
        <v>339.97787648259663</v>
      </c>
      <c r="H352" s="108">
        <f>'15O_Seeds'!AP118</f>
        <v>321.37968901431213</v>
      </c>
      <c r="I352" s="107"/>
      <c r="J352" s="107"/>
      <c r="K352" s="107"/>
    </row>
    <row r="353" spans="2:11" x14ac:dyDescent="0.3">
      <c r="B353" s="107"/>
      <c r="C353" s="148" t="s">
        <v>538</v>
      </c>
      <c r="D353" s="108">
        <f>1.96*D352</f>
        <v>0</v>
      </c>
      <c r="E353" s="108">
        <f>1.96*E352</f>
        <v>566.29753294275872</v>
      </c>
      <c r="F353" s="108">
        <f>1.96*F352</f>
        <v>662.4311684998728</v>
      </c>
      <c r="G353" s="108">
        <f>1.96*G352</f>
        <v>666.35663790588933</v>
      </c>
      <c r="H353" s="108">
        <f>1.96*H352</f>
        <v>629.90419046805175</v>
      </c>
      <c r="I353" s="107"/>
      <c r="J353" s="107"/>
      <c r="K353" s="107"/>
    </row>
    <row r="354" spans="2:11" x14ac:dyDescent="0.3">
      <c r="B354" s="107"/>
      <c r="C354" s="148" t="s">
        <v>537</v>
      </c>
      <c r="D354" s="149">
        <f>D352/$K$1</f>
        <v>0</v>
      </c>
      <c r="E354" s="149">
        <f>E352/$K$1</f>
        <v>1.4505111337210568E-3</v>
      </c>
      <c r="F354" s="149">
        <f>F352/$K$1</f>
        <v>1.6967472562343636E-3</v>
      </c>
      <c r="G354" s="149">
        <f>G352/$K$1</f>
        <v>1.7068019302304163E-3</v>
      </c>
      <c r="H354" s="149">
        <f>H352/$K$1</f>
        <v>1.6134328481063915E-3</v>
      </c>
      <c r="I354" s="107"/>
      <c r="J354" s="107"/>
      <c r="K354" s="107"/>
    </row>
    <row r="355" spans="2:11" x14ac:dyDescent="0.3">
      <c r="B355" s="107"/>
      <c r="C355" s="129" t="s">
        <v>539</v>
      </c>
      <c r="D355" s="150">
        <f>1.96*D354</f>
        <v>0</v>
      </c>
      <c r="E355" s="150">
        <f>1.96*E354</f>
        <v>2.8430018220932714E-3</v>
      </c>
      <c r="F355" s="150">
        <f>1.96*F354</f>
        <v>3.3256246222193525E-3</v>
      </c>
      <c r="G355" s="150">
        <f>1.96*G354</f>
        <v>3.3453317832516159E-3</v>
      </c>
      <c r="H355" s="150">
        <f>1.96*H354</f>
        <v>3.1623283822885271E-3</v>
      </c>
      <c r="I355" s="107"/>
      <c r="J355" s="107"/>
      <c r="K355" s="107"/>
    </row>
    <row r="356" spans="2:11" x14ac:dyDescent="0.3">
      <c r="B356" s="115" t="s">
        <v>410</v>
      </c>
      <c r="C356" s="122" t="s">
        <v>9</v>
      </c>
      <c r="D356" s="136">
        <f>'15O_Seeds'!AL119</f>
        <v>2916.5530000000003</v>
      </c>
      <c r="E356" s="136">
        <f>'15O_Seeds'!AM119</f>
        <v>9662.0694999999996</v>
      </c>
      <c r="F356" s="136">
        <f>'15O_Seeds'!AN119</f>
        <v>114479.20899999999</v>
      </c>
      <c r="G356" s="136">
        <f>'15O_Seeds'!AO119</f>
        <v>51620.602999999996</v>
      </c>
      <c r="H356" s="136">
        <f>'15O_Seeds'!AP119</f>
        <v>19442.93</v>
      </c>
      <c r="I356" s="107"/>
      <c r="J356" s="115" t="s">
        <v>36</v>
      </c>
      <c r="K356" s="137">
        <f t="shared" ref="K356" si="103">SUM(D356:H356)</f>
        <v>198121.36449999997</v>
      </c>
    </row>
    <row r="357" spans="2:11" x14ac:dyDescent="0.3">
      <c r="B357" s="107"/>
      <c r="C357" s="148" t="s">
        <v>394</v>
      </c>
      <c r="D357" s="108">
        <f>'15O_Seeds'!AL120</f>
        <v>2.253554280406139</v>
      </c>
      <c r="E357" s="108">
        <f>'15O_Seeds'!AM120</f>
        <v>43.931204959542889</v>
      </c>
      <c r="F357" s="108">
        <f>'15O_Seeds'!AN120</f>
        <v>81.699224195569386</v>
      </c>
      <c r="G357" s="108">
        <f>'15O_Seeds'!AO120</f>
        <v>63.949723109972169</v>
      </c>
      <c r="H357" s="108">
        <f>'15O_Seeds'!AP120</f>
        <v>60.889129243240106</v>
      </c>
      <c r="I357" s="107"/>
      <c r="J357" s="107"/>
      <c r="K357" s="107"/>
    </row>
    <row r="358" spans="2:11" x14ac:dyDescent="0.3">
      <c r="B358" s="107"/>
      <c r="C358" s="148" t="s">
        <v>538</v>
      </c>
      <c r="D358" s="108">
        <f>1.96*D357</f>
        <v>4.4169663895960323</v>
      </c>
      <c r="E358" s="108">
        <f>1.96*E357</f>
        <v>86.105161720704061</v>
      </c>
      <c r="F358" s="108">
        <f>1.96*F357</f>
        <v>160.13047942331599</v>
      </c>
      <c r="G358" s="108">
        <f>1.96*G357</f>
        <v>125.34145729554545</v>
      </c>
      <c r="H358" s="108">
        <f>1.96*H357</f>
        <v>119.34269331675061</v>
      </c>
      <c r="I358" s="107"/>
      <c r="J358" s="107"/>
      <c r="K358" s="107"/>
    </row>
    <row r="359" spans="2:11" x14ac:dyDescent="0.3">
      <c r="B359" s="107"/>
      <c r="C359" s="148" t="s">
        <v>537</v>
      </c>
      <c r="D359" s="149">
        <f>D357/$K$1</f>
        <v>1.1313591447392635E-5</v>
      </c>
      <c r="E359" s="149">
        <f>E357/$K$1</f>
        <v>2.2054924925720614E-4</v>
      </c>
      <c r="F359" s="149">
        <f>F357/$K$1</f>
        <v>4.1015725787222945E-4</v>
      </c>
      <c r="G359" s="149">
        <f>G357/$K$1</f>
        <v>3.2104886344682049E-4</v>
      </c>
      <c r="H359" s="149">
        <f>H357/$K$1</f>
        <v>3.0568366505969227E-4</v>
      </c>
      <c r="I359" s="107"/>
      <c r="J359" s="107"/>
      <c r="K359" s="107"/>
    </row>
    <row r="360" spans="2:11" x14ac:dyDescent="0.3">
      <c r="B360" s="141"/>
      <c r="C360" s="129" t="s">
        <v>539</v>
      </c>
      <c r="D360" s="150">
        <f>1.96*D359</f>
        <v>2.2174639236889565E-5</v>
      </c>
      <c r="E360" s="150">
        <f>1.96*E359</f>
        <v>4.3227652854412404E-4</v>
      </c>
      <c r="F360" s="150">
        <f>1.96*F359</f>
        <v>8.0390822542956975E-4</v>
      </c>
      <c r="G360" s="150">
        <f>1.96*G359</f>
        <v>6.2925577235576811E-4</v>
      </c>
      <c r="H360" s="150">
        <f>1.96*H359</f>
        <v>5.9913998351699685E-4</v>
      </c>
      <c r="I360" s="107"/>
      <c r="J360" s="107"/>
      <c r="K360" s="107"/>
    </row>
    <row r="361" spans="2:11" x14ac:dyDescent="0.3">
      <c r="B361" s="119" t="s">
        <v>444</v>
      </c>
      <c r="C361" s="107"/>
      <c r="D361" s="116"/>
      <c r="E361" s="116"/>
      <c r="F361" s="116"/>
      <c r="G361" s="116"/>
      <c r="H361" s="116"/>
      <c r="I361" s="107"/>
      <c r="J361" s="107"/>
      <c r="K361" s="107"/>
    </row>
    <row r="362" spans="2:11" x14ac:dyDescent="0.3">
      <c r="B362" s="115" t="s">
        <v>409</v>
      </c>
      <c r="C362" s="122" t="s">
        <v>9</v>
      </c>
      <c r="D362" s="136">
        <f>'15O_Seeds'!AL122</f>
        <v>263.97000000000003</v>
      </c>
      <c r="E362" s="136">
        <f>'15O_Seeds'!AM122</f>
        <v>714.02</v>
      </c>
      <c r="F362" s="136">
        <f>'15O_Seeds'!AN122</f>
        <v>16774.11</v>
      </c>
      <c r="G362" s="136">
        <f>'15O_Seeds'!AO122</f>
        <v>3283.7</v>
      </c>
      <c r="H362" s="136">
        <f>'15O_Seeds'!AP122</f>
        <v>1108.1600000000001</v>
      </c>
      <c r="I362" s="108">
        <f>$K$2-K362</f>
        <v>22.319999999996071</v>
      </c>
      <c r="J362" s="115" t="s">
        <v>36</v>
      </c>
      <c r="K362" s="137">
        <f t="shared" ref="K362" si="104">SUM(D362:H362)</f>
        <v>22143.960000000003</v>
      </c>
    </row>
    <row r="363" spans="2:11" x14ac:dyDescent="0.3">
      <c r="B363" s="107"/>
      <c r="C363" s="107" t="s">
        <v>533</v>
      </c>
      <c r="D363" s="151">
        <f t="shared" ref="D363:I363" si="105">D362/$K$2</f>
        <v>1.190862878209605E-2</v>
      </c>
      <c r="E363" s="151">
        <f t="shared" si="105"/>
        <v>3.2211990464796079E-2</v>
      </c>
      <c r="F363" s="151">
        <f t="shared" si="105"/>
        <v>0.75673996719341274</v>
      </c>
      <c r="G363" s="151">
        <f t="shared" si="105"/>
        <v>0.14813942619149448</v>
      </c>
      <c r="H363" s="151">
        <f t="shared" si="105"/>
        <v>4.9993052510389664E-2</v>
      </c>
      <c r="I363" s="147">
        <f t="shared" si="105"/>
        <v>1.0069348578108763E-3</v>
      </c>
      <c r="J363" s="145">
        <f>SUM(D363:I363)</f>
        <v>0.99999999999999989</v>
      </c>
      <c r="K363" s="107"/>
    </row>
    <row r="364" spans="2:11" x14ac:dyDescent="0.3">
      <c r="B364" s="115" t="s">
        <v>410</v>
      </c>
      <c r="C364" s="122" t="s">
        <v>9</v>
      </c>
      <c r="D364" s="140">
        <f>'15O_Seeds'!AL124</f>
        <v>264.10500000000002</v>
      </c>
      <c r="E364" s="136">
        <f>'15O_Seeds'!AM124</f>
        <v>711.37250000000017</v>
      </c>
      <c r="F364" s="136">
        <f>'15O_Seeds'!AN124</f>
        <v>16763.896000000001</v>
      </c>
      <c r="G364" s="136">
        <f>'15O_Seeds'!AO124</f>
        <v>3256.0535000000004</v>
      </c>
      <c r="H364" s="136">
        <f>'15O_Seeds'!AP124</f>
        <v>1148.5235</v>
      </c>
      <c r="I364" s="108">
        <f>$K$2-K364</f>
        <v>22.329499999996187</v>
      </c>
      <c r="J364" s="115" t="s">
        <v>36</v>
      </c>
      <c r="K364" s="137">
        <f t="shared" ref="K364" si="106">SUM(D364:H364)</f>
        <v>22143.950500000003</v>
      </c>
    </row>
    <row r="365" spans="2:11" x14ac:dyDescent="0.3">
      <c r="B365" s="115"/>
      <c r="C365" s="107" t="s">
        <v>533</v>
      </c>
      <c r="D365" s="151">
        <f t="shared" ref="D365:I365" si="107">D364/$K$2</f>
        <v>1.1914719113897326E-2</v>
      </c>
      <c r="E365" s="151">
        <f t="shared" si="107"/>
        <v>3.2092552291137721E-2</v>
      </c>
      <c r="F365" s="151">
        <f t="shared" si="107"/>
        <v>0.75627917720068505</v>
      </c>
      <c r="G365" s="151">
        <f t="shared" si="107"/>
        <v>0.14689219390894642</v>
      </c>
      <c r="H365" s="151">
        <f t="shared" si="107"/>
        <v>5.1813994048617994E-2</v>
      </c>
      <c r="I365" s="147">
        <f t="shared" si="107"/>
        <v>1.0073634367154158E-3</v>
      </c>
      <c r="J365" s="145">
        <f>SUM(D365:I365)</f>
        <v>0.99999999999999978</v>
      </c>
      <c r="K365" s="137"/>
    </row>
    <row r="366" spans="2:11" x14ac:dyDescent="0.3">
      <c r="B366" s="107"/>
      <c r="C366" s="148" t="s">
        <v>394</v>
      </c>
      <c r="D366" s="108">
        <f>'15O_Seeds'!AL125</f>
        <v>0.24294736272005737</v>
      </c>
      <c r="E366" s="108">
        <f>'15O_Seeds'!AM125</f>
        <v>4.6559197675195128</v>
      </c>
      <c r="F366" s="108">
        <f>'15O_Seeds'!AN125</f>
        <v>6.1903231103494853</v>
      </c>
      <c r="G366" s="108">
        <f>'15O_Seeds'!AO125</f>
        <v>6.4989566480441994</v>
      </c>
      <c r="H366" s="108">
        <f>'15O_Seeds'!AP125</f>
        <v>6.2249235157000768</v>
      </c>
      <c r="I366" s="107"/>
      <c r="J366" s="107"/>
      <c r="K366" s="142"/>
    </row>
    <row r="367" spans="2:11" x14ac:dyDescent="0.3">
      <c r="B367" s="107"/>
      <c r="C367" s="148" t="s">
        <v>538</v>
      </c>
      <c r="D367" s="108">
        <f>1.96*D366</f>
        <v>0.47617683093131247</v>
      </c>
      <c r="E367" s="108">
        <f>1.96*E366</f>
        <v>9.125602744338245</v>
      </c>
      <c r="F367" s="108">
        <f>1.96*F366</f>
        <v>12.13303329628499</v>
      </c>
      <c r="G367" s="108">
        <f>1.96*G366</f>
        <v>12.737955030166631</v>
      </c>
      <c r="H367" s="108">
        <f>1.96*H366</f>
        <v>12.20085009077215</v>
      </c>
      <c r="I367" s="107"/>
      <c r="J367" s="107"/>
      <c r="K367" s="107"/>
    </row>
    <row r="368" spans="2:11" x14ac:dyDescent="0.3">
      <c r="B368" s="107"/>
      <c r="C368" s="148" t="s">
        <v>537</v>
      </c>
      <c r="D368" s="149">
        <f>D366/$K$2</f>
        <v>1.0960222586742447E-5</v>
      </c>
      <c r="E368" s="149">
        <f>E366/$K$2</f>
        <v>2.1004515721715654E-4</v>
      </c>
      <c r="F368" s="149">
        <f>F366/$K$2</f>
        <v>2.7926756814176696E-4</v>
      </c>
      <c r="G368" s="149">
        <f>G366/$K$2</f>
        <v>2.9319112850889731E-4</v>
      </c>
      <c r="H368" s="149">
        <f>H366/$K$2</f>
        <v>2.8082851591246152E-4</v>
      </c>
      <c r="I368" s="107"/>
      <c r="J368" s="107"/>
      <c r="K368" s="107"/>
    </row>
    <row r="369" spans="2:11" x14ac:dyDescent="0.3">
      <c r="B369" s="141"/>
      <c r="C369" s="129" t="s">
        <v>539</v>
      </c>
      <c r="D369" s="150">
        <f>1.96*D368</f>
        <v>2.1482036270015195E-5</v>
      </c>
      <c r="E369" s="150">
        <f>1.96*E368</f>
        <v>4.1168850814562682E-4</v>
      </c>
      <c r="F369" s="150">
        <f>1.96*F368</f>
        <v>5.4736443355786328E-4</v>
      </c>
      <c r="G369" s="150">
        <f>1.96*G368</f>
        <v>5.7465461187743876E-4</v>
      </c>
      <c r="H369" s="150">
        <f>1.96*H368</f>
        <v>5.5042389118842457E-4</v>
      </c>
      <c r="I369" s="107"/>
      <c r="J369" s="107"/>
      <c r="K369" s="107"/>
    </row>
    <row r="370" spans="2:11" x14ac:dyDescent="0.3">
      <c r="B370" s="119" t="s">
        <v>445</v>
      </c>
      <c r="C370" s="107"/>
      <c r="D370" s="116"/>
      <c r="E370" s="116"/>
      <c r="F370" s="116"/>
      <c r="G370" s="116"/>
      <c r="H370" s="116"/>
      <c r="I370" s="107"/>
      <c r="J370" s="107"/>
      <c r="K370" s="142"/>
    </row>
    <row r="371" spans="2:11" x14ac:dyDescent="0.3">
      <c r="B371" s="115" t="s">
        <v>409</v>
      </c>
      <c r="C371" s="122" t="s">
        <v>9</v>
      </c>
      <c r="D371" s="136">
        <f>'15O_Seeds'!AL127</f>
        <v>40.880000000000003</v>
      </c>
      <c r="E371" s="136">
        <f>'15O_Seeds'!AM127</f>
        <v>470.32</v>
      </c>
      <c r="F371" s="136">
        <f>'15O_Seeds'!AN127</f>
        <v>16350.92</v>
      </c>
      <c r="G371" s="136">
        <f>'15O_Seeds'!AO127</f>
        <v>15013.16</v>
      </c>
      <c r="H371" s="136">
        <f>'15O_Seeds'!AP127</f>
        <v>11261.79</v>
      </c>
      <c r="I371" s="108">
        <f>$K$3-K371</f>
        <v>281.0199999999968</v>
      </c>
      <c r="J371" s="115" t="s">
        <v>36</v>
      </c>
      <c r="K371" s="137">
        <f t="shared" ref="K371" si="108">SUM(D371:H371)</f>
        <v>43137.07</v>
      </c>
    </row>
    <row r="372" spans="2:11" x14ac:dyDescent="0.3">
      <c r="B372" s="107"/>
      <c r="C372" s="107" t="s">
        <v>534</v>
      </c>
      <c r="D372" s="146">
        <f t="shared" ref="D372:I372" si="109">D371/$K$3</f>
        <v>9.4154302964501678E-4</v>
      </c>
      <c r="E372" s="146">
        <f t="shared" si="109"/>
        <v>1.0832351215818109E-2</v>
      </c>
      <c r="F372" s="146">
        <f t="shared" si="109"/>
        <v>0.37659233743354442</v>
      </c>
      <c r="G372" s="146">
        <f t="shared" si="109"/>
        <v>0.34578121699964232</v>
      </c>
      <c r="H372" s="146">
        <f t="shared" si="109"/>
        <v>0.25938013394877579</v>
      </c>
      <c r="I372" s="146">
        <f t="shared" si="109"/>
        <v>6.4724173725743536E-3</v>
      </c>
      <c r="J372" s="145">
        <f>SUM(D372:I372)</f>
        <v>1</v>
      </c>
      <c r="K372" s="142"/>
    </row>
    <row r="373" spans="2:11" x14ac:dyDescent="0.3">
      <c r="B373" s="115" t="s">
        <v>410</v>
      </c>
      <c r="C373" s="122" t="s">
        <v>9</v>
      </c>
      <c r="D373" s="136">
        <f>'15O_Seeds'!AL129</f>
        <v>40.597499999999989</v>
      </c>
      <c r="E373" s="136">
        <f>'15O_Seeds'!AM129</f>
        <v>483.78749999999991</v>
      </c>
      <c r="F373" s="136">
        <f>'15O_Seeds'!AN129</f>
        <v>16327.626999999999</v>
      </c>
      <c r="G373" s="136">
        <f>'15O_Seeds'!AO129</f>
        <v>14965.548999999999</v>
      </c>
      <c r="H373" s="136">
        <f>'15O_Seeds'!AP129</f>
        <v>11319.5155</v>
      </c>
      <c r="I373" s="108">
        <f>$K$3-K373</f>
        <v>281.01350000000093</v>
      </c>
      <c r="J373" s="115" t="s">
        <v>36</v>
      </c>
      <c r="K373" s="137">
        <f t="shared" ref="K373" si="110">SUM(D373:H373)</f>
        <v>43137.076499999996</v>
      </c>
    </row>
    <row r="374" spans="2:11" x14ac:dyDescent="0.3">
      <c r="B374" s="115"/>
      <c r="C374" s="141" t="s">
        <v>533</v>
      </c>
      <c r="D374" s="151">
        <f t="shared" ref="D374:I374" si="111">D373/$K$3</f>
        <v>9.3503652509817901E-4</v>
      </c>
      <c r="E374" s="151">
        <f t="shared" si="111"/>
        <v>1.1142532985674863E-2</v>
      </c>
      <c r="F374" s="151">
        <f t="shared" si="111"/>
        <v>0.37605585598076746</v>
      </c>
      <c r="G374" s="151">
        <f t="shared" si="111"/>
        <v>0.34468464642272378</v>
      </c>
      <c r="H374" s="151">
        <f t="shared" si="111"/>
        <v>0.26070966042034555</v>
      </c>
      <c r="I374" s="146">
        <f t="shared" si="111"/>
        <v>6.4722676653901851E-3</v>
      </c>
      <c r="J374" s="145">
        <f>SUM(D374:I374)</f>
        <v>1</v>
      </c>
      <c r="K374" s="137"/>
    </row>
    <row r="375" spans="2:11" x14ac:dyDescent="0.3">
      <c r="B375" s="107"/>
      <c r="C375" s="148" t="s">
        <v>394</v>
      </c>
      <c r="D375" s="108">
        <f>'15O_Seeds'!AL130</f>
        <v>0.13306087842946585</v>
      </c>
      <c r="E375" s="108">
        <f>'15O_Seeds'!AM130</f>
        <v>4.2276352650400826</v>
      </c>
      <c r="F375" s="108">
        <f>'15O_Seeds'!AN130</f>
        <v>19.768229669425605</v>
      </c>
      <c r="G375" s="108">
        <f>'15O_Seeds'!AO130</f>
        <v>24.917976906347391</v>
      </c>
      <c r="H375" s="108">
        <f>'15O_Seeds'!AP130</f>
        <v>22.364001189352692</v>
      </c>
      <c r="I375" s="107"/>
      <c r="J375" s="107"/>
      <c r="K375" s="142"/>
    </row>
    <row r="376" spans="2:11" x14ac:dyDescent="0.3">
      <c r="B376" s="107"/>
      <c r="C376" s="148" t="s">
        <v>538</v>
      </c>
      <c r="D376" s="108">
        <f>1.96*D375</f>
        <v>0.26079932172175307</v>
      </c>
      <c r="E376" s="108">
        <f>1.96*E375</f>
        <v>8.2861651194785608</v>
      </c>
      <c r="F376" s="108">
        <f>1.96*F375</f>
        <v>38.745730152074181</v>
      </c>
      <c r="G376" s="108">
        <f>1.96*G375</f>
        <v>48.839234736440886</v>
      </c>
      <c r="H376" s="108">
        <f>1.96*H375</f>
        <v>43.833442331131273</v>
      </c>
      <c r="I376" s="107"/>
      <c r="J376" s="107"/>
      <c r="K376" s="107"/>
    </row>
    <row r="377" spans="2:11" x14ac:dyDescent="0.3">
      <c r="B377" s="107"/>
      <c r="C377" s="148" t="s">
        <v>537</v>
      </c>
      <c r="D377" s="149">
        <f>D375/$K$3</f>
        <v>3.0646414531239364E-6</v>
      </c>
      <c r="E377" s="149">
        <f>E375/$K$3</f>
        <v>9.737036486496948E-5</v>
      </c>
      <c r="F377" s="149">
        <f>F375/$K$3</f>
        <v>4.5529938487449831E-4</v>
      </c>
      <c r="G377" s="149">
        <f>G375/$K$3</f>
        <v>5.7390771695271239E-4</v>
      </c>
      <c r="H377" s="149">
        <f>H375/$K$3</f>
        <v>5.1508486875753159E-4</v>
      </c>
      <c r="I377" s="107"/>
      <c r="J377" s="107"/>
      <c r="K377" s="107"/>
    </row>
    <row r="378" spans="2:11" x14ac:dyDescent="0.3">
      <c r="B378" s="141"/>
      <c r="C378" s="129" t="s">
        <v>539</v>
      </c>
      <c r="D378" s="150">
        <f>1.96*D377</f>
        <v>6.0066972481229153E-6</v>
      </c>
      <c r="E378" s="150">
        <f>1.96*E377</f>
        <v>1.9084591513534018E-4</v>
      </c>
      <c r="F378" s="150">
        <f>1.96*F377</f>
        <v>8.923867943540167E-4</v>
      </c>
      <c r="G378" s="150">
        <f>1.96*G377</f>
        <v>1.1248591252273163E-3</v>
      </c>
      <c r="H378" s="150">
        <f>1.96*H377</f>
        <v>1.0095663427647618E-3</v>
      </c>
      <c r="I378" s="107"/>
      <c r="J378" s="107"/>
      <c r="K378" s="107"/>
    </row>
    <row r="379" spans="2:11" x14ac:dyDescent="0.3">
      <c r="B379" s="119" t="s">
        <v>446</v>
      </c>
      <c r="C379" s="107"/>
      <c r="D379" s="116"/>
      <c r="E379" s="116"/>
      <c r="F379" s="116"/>
      <c r="G379" s="116"/>
      <c r="H379" s="116"/>
      <c r="I379" s="107"/>
      <c r="J379" s="107"/>
      <c r="K379" s="142"/>
    </row>
    <row r="380" spans="2:11" x14ac:dyDescent="0.3">
      <c r="B380" s="115" t="s">
        <v>409</v>
      </c>
      <c r="C380" s="122" t="s">
        <v>9</v>
      </c>
      <c r="D380" s="136">
        <f>'15O_Seeds'!AL132</f>
        <v>0</v>
      </c>
      <c r="E380" s="136">
        <f>'15O_Seeds'!AM132</f>
        <v>21.46</v>
      </c>
      <c r="F380" s="136">
        <f>'15O_Seeds'!AN132</f>
        <v>1323.93</v>
      </c>
      <c r="G380" s="136">
        <f>'15O_Seeds'!AO132</f>
        <v>410.11</v>
      </c>
      <c r="H380" s="136">
        <f>'15O_Seeds'!AP132</f>
        <v>97.72</v>
      </c>
      <c r="I380" s="108">
        <f>$K$4-K380</f>
        <v>8.3299999999999272</v>
      </c>
      <c r="J380" s="115" t="s">
        <v>36</v>
      </c>
      <c r="K380" s="137">
        <f t="shared" ref="K380" si="112">SUM(D380:H380)</f>
        <v>1853.22</v>
      </c>
    </row>
    <row r="381" spans="2:11" x14ac:dyDescent="0.3">
      <c r="B381" s="107"/>
      <c r="C381" s="141" t="s">
        <v>533</v>
      </c>
      <c r="D381" s="151">
        <f t="shared" ref="D381:I381" si="113">D380/$K$4</f>
        <v>0</v>
      </c>
      <c r="E381" s="151">
        <f t="shared" si="113"/>
        <v>1.1528027718836454E-2</v>
      </c>
      <c r="F381" s="151">
        <f t="shared" si="113"/>
        <v>0.71119765786575706</v>
      </c>
      <c r="G381" s="151">
        <f t="shared" si="113"/>
        <v>0.22030565926244261</v>
      </c>
      <c r="H381" s="151">
        <f t="shared" si="113"/>
        <v>5.2493889500684912E-2</v>
      </c>
      <c r="I381" s="147">
        <f t="shared" si="113"/>
        <v>4.474765652278976E-3</v>
      </c>
      <c r="J381" s="145">
        <f>SUM(D381:I381)</f>
        <v>1</v>
      </c>
      <c r="K381" s="142"/>
    </row>
    <row r="382" spans="2:11" x14ac:dyDescent="0.3">
      <c r="B382" s="115" t="s">
        <v>410</v>
      </c>
      <c r="C382" s="122" t="s">
        <v>9</v>
      </c>
      <c r="D382" s="140">
        <f>'15O_Seeds'!AL134</f>
        <v>8.9999999999999993E-3</v>
      </c>
      <c r="E382" s="136">
        <f>'15O_Seeds'!AM134</f>
        <v>22.614500000000003</v>
      </c>
      <c r="F382" s="136">
        <f>'15O_Seeds'!AN134</f>
        <v>1321.4029999999998</v>
      </c>
      <c r="G382" s="140">
        <f>'15O_Seeds'!AO134</f>
        <v>409.12749999999994</v>
      </c>
      <c r="H382" s="136">
        <f>'15O_Seeds'!AP134</f>
        <v>100.06600000000002</v>
      </c>
      <c r="I382" s="108">
        <f>$K$4-K382</f>
        <v>8.330000000000382</v>
      </c>
      <c r="J382" s="115" t="s">
        <v>36</v>
      </c>
      <c r="K382" s="137">
        <f t="shared" ref="K382" si="114">SUM(D382:H382)</f>
        <v>1853.2199999999996</v>
      </c>
    </row>
    <row r="383" spans="2:11" x14ac:dyDescent="0.3">
      <c r="B383" s="115"/>
      <c r="C383" s="141" t="s">
        <v>533</v>
      </c>
      <c r="D383" s="151">
        <f t="shared" ref="D383:I383" si="115">D382/$K$4</f>
        <v>4.8346807767720445E-6</v>
      </c>
      <c r="E383" s="151">
        <f t="shared" si="115"/>
        <v>1.2148209825145714E-2</v>
      </c>
      <c r="F383" s="151">
        <f t="shared" si="115"/>
        <v>0.70984018694098994</v>
      </c>
      <c r="G383" s="151">
        <f t="shared" si="115"/>
        <v>0.21977787327764495</v>
      </c>
      <c r="H383" s="151">
        <f t="shared" si="115"/>
        <v>5.3754129623163505E-2</v>
      </c>
      <c r="I383" s="147">
        <f t="shared" si="115"/>
        <v>4.4747656522792197E-3</v>
      </c>
      <c r="J383" s="145">
        <f>SUM(D383:I383)</f>
        <v>1</v>
      </c>
      <c r="K383" s="137"/>
    </row>
    <row r="384" spans="2:11" x14ac:dyDescent="0.3">
      <c r="B384" s="107"/>
      <c r="C384" s="148" t="s">
        <v>394</v>
      </c>
      <c r="D384" s="108">
        <f>'15O_Seeds'!AL135</f>
        <v>6.1942248145051672E-3</v>
      </c>
      <c r="E384" s="108">
        <f>'15O_Seeds'!AM135</f>
        <v>0.25875356595559573</v>
      </c>
      <c r="F384" s="108">
        <f>'15O_Seeds'!AN135</f>
        <v>0.84977399472169468</v>
      </c>
      <c r="G384" s="108">
        <f>'15O_Seeds'!AO135</f>
        <v>0.61844834486249334</v>
      </c>
      <c r="H384" s="108">
        <f>'15O_Seeds'!AP135</f>
        <v>0.52179467629569232</v>
      </c>
      <c r="I384" s="107"/>
      <c r="J384" s="107"/>
      <c r="K384" s="107"/>
    </row>
    <row r="385" spans="2:11" x14ac:dyDescent="0.3">
      <c r="B385" s="107"/>
      <c r="C385" s="148" t="s">
        <v>538</v>
      </c>
      <c r="D385" s="108">
        <f>1.96*D384</f>
        <v>1.2140680636430128E-2</v>
      </c>
      <c r="E385" s="108">
        <f>1.96*E384</f>
        <v>0.5071569892729676</v>
      </c>
      <c r="F385" s="108">
        <f>1.96*F384</f>
        <v>1.6655570296545215</v>
      </c>
      <c r="G385" s="108">
        <f>1.96*G384</f>
        <v>1.2121587559304869</v>
      </c>
      <c r="H385" s="108">
        <f>1.96*H384</f>
        <v>1.0227175655395568</v>
      </c>
      <c r="I385" s="107"/>
      <c r="J385" s="107"/>
      <c r="K385" s="107"/>
    </row>
    <row r="386" spans="2:11" x14ac:dyDescent="0.3">
      <c r="B386" s="107"/>
      <c r="C386" s="148" t="s">
        <v>537</v>
      </c>
      <c r="D386" s="149">
        <f>D384/$K$4</f>
        <v>3.3274555152991687E-6</v>
      </c>
      <c r="E386" s="149">
        <f>E384/$K$4</f>
        <v>1.3899898791630401E-4</v>
      </c>
      <c r="F386" s="149">
        <f>F384/$K$4</f>
        <v>4.5648733298686296E-4</v>
      </c>
      <c r="G386" s="149">
        <f>G384/$K$4</f>
        <v>3.3222225825924273E-4</v>
      </c>
      <c r="H386" s="149">
        <f>H384/$K$4</f>
        <v>2.8030118787875281E-4</v>
      </c>
      <c r="I386" s="107"/>
      <c r="J386" s="107"/>
      <c r="K386" s="107"/>
    </row>
    <row r="387" spans="2:11" x14ac:dyDescent="0.3">
      <c r="B387" s="107"/>
      <c r="C387" s="129" t="s">
        <v>539</v>
      </c>
      <c r="D387" s="150">
        <f>1.96*D386</f>
        <v>6.52181280998637E-6</v>
      </c>
      <c r="E387" s="150">
        <f>1.96*E386</f>
        <v>2.7243801631595587E-4</v>
      </c>
      <c r="F387" s="150">
        <f>1.96*F386</f>
        <v>8.9471517265425138E-4</v>
      </c>
      <c r="G387" s="150">
        <f>1.96*G386</f>
        <v>6.5115562618811573E-4</v>
      </c>
      <c r="H387" s="150">
        <f>1.96*H386</f>
        <v>5.4939032824235547E-4</v>
      </c>
      <c r="I387" s="107"/>
      <c r="J387" s="107"/>
      <c r="K387" s="107"/>
    </row>
    <row r="388" spans="2:11" x14ac:dyDescent="0.3">
      <c r="D388" t="s">
        <v>508</v>
      </c>
      <c r="E388" t="s">
        <v>509</v>
      </c>
      <c r="F388" t="s">
        <v>510</v>
      </c>
      <c r="G388" t="s">
        <v>511</v>
      </c>
      <c r="H388" t="s">
        <v>512</v>
      </c>
    </row>
    <row r="389" spans="2:11" x14ac:dyDescent="0.3">
      <c r="B389" s="118" t="s">
        <v>375</v>
      </c>
      <c r="C389" s="8">
        <v>20</v>
      </c>
      <c r="D389" s="90" t="s">
        <v>524</v>
      </c>
      <c r="E389" s="91" t="s">
        <v>523</v>
      </c>
      <c r="F389" s="92" t="s">
        <v>525</v>
      </c>
      <c r="G389" s="124" t="s">
        <v>526</v>
      </c>
      <c r="H389" s="123" t="s">
        <v>527</v>
      </c>
      <c r="I389" s="212" t="s">
        <v>529</v>
      </c>
    </row>
    <row r="390" spans="2:11" x14ac:dyDescent="0.3">
      <c r="B390" s="106" t="s">
        <v>451</v>
      </c>
      <c r="C390" s="107" t="s">
        <v>28</v>
      </c>
      <c r="D390" s="108">
        <f>'19O_Seeds'!AL109</f>
        <v>1.4147128487509117</v>
      </c>
      <c r="E390" s="108">
        <f>'19O_Seeds'!AM109</f>
        <v>4.888902956711819</v>
      </c>
      <c r="F390" s="108">
        <f>'19O_Seeds'!AN109</f>
        <v>57.814023009564877</v>
      </c>
      <c r="G390" s="108">
        <f>'19O_Seeds'!AO109</f>
        <v>26.579172435105203</v>
      </c>
      <c r="H390" s="108">
        <f>'19O_Seeds'!AP109</f>
        <v>9.3031887498671786</v>
      </c>
      <c r="I390" s="111"/>
      <c r="J390" s="232" t="s">
        <v>77</v>
      </c>
      <c r="K390" s="233">
        <f>'19O_Seeds'!AS109</f>
        <v>0.94599013363562678</v>
      </c>
    </row>
    <row r="391" spans="2:11" x14ac:dyDescent="0.3">
      <c r="B391" s="107"/>
      <c r="C391" s="109" t="s">
        <v>39</v>
      </c>
      <c r="D391" s="110">
        <f>'19O_Seeds'!AL110</f>
        <v>0</v>
      </c>
      <c r="E391" s="110">
        <f>'19O_Seeds'!AM110</f>
        <v>0.11191699148147786</v>
      </c>
      <c r="F391" s="110">
        <f>'19O_Seeds'!AN110</f>
        <v>0.15136581383273612</v>
      </c>
      <c r="G391" s="110">
        <f>'19O_Seeds'!AO110</f>
        <v>0.17923237577518963</v>
      </c>
      <c r="H391" s="110">
        <f>'19O_Seeds'!AP110</f>
        <v>0.16313372773798801</v>
      </c>
      <c r="I391" s="111"/>
      <c r="J391" s="232" t="s">
        <v>29</v>
      </c>
      <c r="K391" s="234">
        <f>'19O_Seeds'!AS110</f>
        <v>2.156092163808633E-3</v>
      </c>
    </row>
    <row r="392" spans="2:11" x14ac:dyDescent="0.3">
      <c r="B392" s="107"/>
      <c r="C392" s="107" t="s">
        <v>30</v>
      </c>
      <c r="D392" s="108">
        <f>'19O_Seeds'!AL111</f>
        <v>100</v>
      </c>
      <c r="E392" s="108">
        <f>'19O_Seeds'!AM111</f>
        <v>77.770795302419486</v>
      </c>
      <c r="F392" s="108">
        <f>'19O_Seeds'!AN111</f>
        <v>98.645320548660123</v>
      </c>
      <c r="G392" s="108">
        <f>'19O_Seeds'!AO111</f>
        <v>90.671866871729094</v>
      </c>
      <c r="H392" s="108">
        <f>'19O_Seeds'!AP111</f>
        <v>88.695412506856712</v>
      </c>
      <c r="I392" s="111"/>
      <c r="J392" s="111"/>
      <c r="K392" s="111"/>
    </row>
    <row r="393" spans="2:11" x14ac:dyDescent="0.3">
      <c r="B393" s="107"/>
      <c r="C393" s="109" t="s">
        <v>39</v>
      </c>
      <c r="D393" s="110">
        <f>'19O_Seeds'!AL112</f>
        <v>0</v>
      </c>
      <c r="E393" s="110">
        <f>'19O_Seeds'!AM112</f>
        <v>3.2298925818817095</v>
      </c>
      <c r="F393" s="110">
        <f>'19O_Seeds'!AN112</f>
        <v>0.15757504827245009</v>
      </c>
      <c r="G393" s="110">
        <f>'19O_Seeds'!AO112</f>
        <v>0.61769872118223768</v>
      </c>
      <c r="H393" s="110">
        <f>'19O_Seeds'!AP112</f>
        <v>1.8375231045571487</v>
      </c>
      <c r="I393" s="111"/>
      <c r="J393" s="111"/>
      <c r="K393" s="111"/>
    </row>
    <row r="394" spans="2:11" x14ac:dyDescent="0.3">
      <c r="B394" s="107"/>
      <c r="C394" s="111" t="s">
        <v>31</v>
      </c>
      <c r="D394" s="112">
        <f>'19O_Seeds'!AL113</f>
        <v>100</v>
      </c>
      <c r="E394" s="112">
        <f>'19O_Seeds'!AM113</f>
        <v>91.445427728613566</v>
      </c>
      <c r="F394" s="112">
        <f>'19O_Seeds'!AN113</f>
        <v>96.769833761319106</v>
      </c>
      <c r="G394" s="112">
        <f>'19O_Seeds'!AO113</f>
        <v>95.313100268920465</v>
      </c>
      <c r="H394" s="112">
        <f>'19O_Seeds'!AP113</f>
        <v>80.833333333333329</v>
      </c>
      <c r="I394" s="111"/>
      <c r="J394" s="111"/>
      <c r="K394" s="111"/>
    </row>
    <row r="395" spans="2:11" x14ac:dyDescent="0.3">
      <c r="B395" s="107"/>
      <c r="C395" s="113" t="s">
        <v>39</v>
      </c>
      <c r="D395" s="114">
        <f>'19O_Seeds'!AL114</f>
        <v>0</v>
      </c>
      <c r="E395" s="114">
        <f>'19O_Seeds'!AM114</f>
        <v>1.5213242833548206</v>
      </c>
      <c r="F395" s="114">
        <f>'19O_Seeds'!AN114</f>
        <v>0.20555368686988729</v>
      </c>
      <c r="G395" s="114">
        <f>'19O_Seeds'!AO114</f>
        <v>0.41434822549063804</v>
      </c>
      <c r="H395" s="114">
        <f>'19O_Seeds'!AP114</f>
        <v>1.2710400508238462</v>
      </c>
      <c r="I395" s="107"/>
      <c r="J395" s="107"/>
      <c r="K395" s="107"/>
    </row>
    <row r="396" spans="2:11" x14ac:dyDescent="0.3">
      <c r="B396" s="107"/>
      <c r="C396" s="109" t="s">
        <v>56</v>
      </c>
      <c r="D396" s="110">
        <f>'19O_Seeds'!AL115</f>
        <v>100</v>
      </c>
      <c r="E396" s="110">
        <f>'19O_Seeds'!AM115</f>
        <v>78.980891719745216</v>
      </c>
      <c r="F396" s="110">
        <f>'19O_Seeds'!AN115</f>
        <v>97.874376324243045</v>
      </c>
      <c r="G396" s="110">
        <f>'19O_Seeds'!AO115</f>
        <v>92.921348314606746</v>
      </c>
      <c r="H396" s="110">
        <f>'19O_Seeds'!AP115</f>
        <v>84.073672806067151</v>
      </c>
      <c r="I396" s="145"/>
      <c r="J396" s="107"/>
      <c r="K396" s="107"/>
    </row>
    <row r="397" spans="2:11" x14ac:dyDescent="0.3">
      <c r="B397" s="115" t="s">
        <v>409</v>
      </c>
      <c r="C397" s="107" t="s">
        <v>9</v>
      </c>
      <c r="D397" s="116">
        <f>'19O_Seeds'!AL116</f>
        <v>2608.46</v>
      </c>
      <c r="E397" s="116">
        <f>'19O_Seeds'!AM116</f>
        <v>7666.23</v>
      </c>
      <c r="F397" s="116">
        <f>'19O_Seeds'!AN116</f>
        <v>108663.97</v>
      </c>
      <c r="G397" s="116">
        <f>'19O_Seeds'!AO116</f>
        <v>46620.54</v>
      </c>
      <c r="H397" s="116">
        <f>'19O_Seeds'!AP116</f>
        <v>18821.68</v>
      </c>
      <c r="I397" s="107"/>
      <c r="J397" s="115" t="s">
        <v>36</v>
      </c>
      <c r="K397" s="137">
        <f t="shared" ref="K397:K398" si="116">SUM(D397:H397)</f>
        <v>184380.88</v>
      </c>
    </row>
    <row r="398" spans="2:11" x14ac:dyDescent="0.3">
      <c r="B398" s="115" t="s">
        <v>378</v>
      </c>
      <c r="C398" s="107" t="s">
        <v>467</v>
      </c>
      <c r="D398" s="108">
        <f>'19O_Seeds'!AL117</f>
        <v>2608.4600000000005</v>
      </c>
      <c r="E398" s="108">
        <f>'19O_Seeds'!AM117</f>
        <v>9014.2022939312719</v>
      </c>
      <c r="F398" s="108">
        <f>'19O_Seeds'!AN117</f>
        <v>106598.0043884382</v>
      </c>
      <c r="G398" s="108">
        <f>'19O_Seeds'!AO117</f>
        <v>49006.912032564403</v>
      </c>
      <c r="H398" s="108">
        <f>'19O_Seeds'!AP117</f>
        <v>17153.301285066103</v>
      </c>
      <c r="I398" s="144">
        <f>$K$1-K398</f>
        <v>14809.119999999995</v>
      </c>
      <c r="J398" s="115" t="s">
        <v>36</v>
      </c>
      <c r="K398" s="137">
        <f t="shared" si="116"/>
        <v>184380.88</v>
      </c>
    </row>
    <row r="399" spans="2:11" x14ac:dyDescent="0.3">
      <c r="B399" s="115"/>
      <c r="C399" s="107" t="s">
        <v>533</v>
      </c>
      <c r="D399" s="147">
        <f t="shared" ref="D399:I399" si="117">D398/$K$1</f>
        <v>1.3095336111250567E-2</v>
      </c>
      <c r="E399" s="147">
        <f t="shared" si="117"/>
        <v>4.5254291349622333E-2</v>
      </c>
      <c r="F399" s="147">
        <f t="shared" si="117"/>
        <v>0.53515740945046542</v>
      </c>
      <c r="G399" s="147">
        <f t="shared" si="117"/>
        <v>0.24603098565472364</v>
      </c>
      <c r="H399" s="147">
        <f t="shared" si="117"/>
        <v>8.6115273282123123E-2</v>
      </c>
      <c r="I399" s="147">
        <f t="shared" si="117"/>
        <v>7.4346704151814824E-2</v>
      </c>
      <c r="J399" s="145">
        <f>SUM(D399:I399)</f>
        <v>1</v>
      </c>
      <c r="K399" s="137"/>
    </row>
    <row r="400" spans="2:11" x14ac:dyDescent="0.3">
      <c r="B400" s="107"/>
      <c r="C400" s="107" t="s">
        <v>377</v>
      </c>
      <c r="D400" s="108">
        <f>'19O_Seeds'!AL118</f>
        <v>0</v>
      </c>
      <c r="E400" s="108">
        <f>'19O_Seeds'!AM118</f>
        <v>206.35353376307393</v>
      </c>
      <c r="F400" s="108">
        <f>'19O_Seeds'!AN118</f>
        <v>279.08961956396058</v>
      </c>
      <c r="G400" s="108">
        <f>'19O_Seeds'!AO118</f>
        <v>330.47023169920146</v>
      </c>
      <c r="H400" s="108">
        <f>'19O_Seeds'!AP118</f>
        <v>300.78740278010639</v>
      </c>
      <c r="I400" s="107"/>
      <c r="J400" s="107"/>
      <c r="K400" s="107"/>
    </row>
    <row r="401" spans="2:11" x14ac:dyDescent="0.3">
      <c r="B401" s="107"/>
      <c r="C401" s="148" t="s">
        <v>538</v>
      </c>
      <c r="D401" s="108">
        <f>1.96*D400</f>
        <v>0</v>
      </c>
      <c r="E401" s="108">
        <f>1.96*E400</f>
        <v>404.4529261756249</v>
      </c>
      <c r="F401" s="108">
        <f>1.96*F400</f>
        <v>547.01565434536269</v>
      </c>
      <c r="G401" s="108">
        <f>1.96*G400</f>
        <v>647.7216541304349</v>
      </c>
      <c r="H401" s="108">
        <f>1.96*H400</f>
        <v>589.54330944900846</v>
      </c>
      <c r="I401" s="107"/>
      <c r="J401" s="107"/>
      <c r="K401" s="107"/>
    </row>
    <row r="402" spans="2:11" x14ac:dyDescent="0.3">
      <c r="B402" s="107"/>
      <c r="C402" s="148" t="s">
        <v>537</v>
      </c>
      <c r="D402" s="149">
        <f>D400/$K$1</f>
        <v>0</v>
      </c>
      <c r="E402" s="149">
        <f>E400/$K$1</f>
        <v>1.0359633202624324E-3</v>
      </c>
      <c r="F402" s="149">
        <f>F400/$K$1</f>
        <v>1.40112264453015E-3</v>
      </c>
      <c r="G402" s="149">
        <f>G400/$K$1</f>
        <v>1.659070393590047E-3</v>
      </c>
      <c r="H402" s="149">
        <f>H400/$K$1</f>
        <v>1.510052727446691E-3</v>
      </c>
      <c r="I402" s="107"/>
      <c r="J402" s="107"/>
      <c r="K402" s="107"/>
    </row>
    <row r="403" spans="2:11" x14ac:dyDescent="0.3">
      <c r="B403" s="107"/>
      <c r="C403" s="129" t="s">
        <v>539</v>
      </c>
      <c r="D403" s="150">
        <f>1.96*D402</f>
        <v>0</v>
      </c>
      <c r="E403" s="150">
        <f>1.96*E402</f>
        <v>2.0304881077143674E-3</v>
      </c>
      <c r="F403" s="150">
        <f>1.96*F402</f>
        <v>2.7462003832790941E-3</v>
      </c>
      <c r="G403" s="150">
        <f>1.96*G402</f>
        <v>3.251777971436492E-3</v>
      </c>
      <c r="H403" s="150">
        <f>1.96*H402</f>
        <v>2.9597033457955143E-3</v>
      </c>
      <c r="I403" s="107"/>
      <c r="J403" s="107"/>
      <c r="K403" s="107"/>
    </row>
    <row r="404" spans="2:11" x14ac:dyDescent="0.3">
      <c r="B404" s="115" t="s">
        <v>410</v>
      </c>
      <c r="C404" s="122" t="s">
        <v>9</v>
      </c>
      <c r="D404" s="136">
        <f>'19O_Seeds'!AL119</f>
        <v>2603.886</v>
      </c>
      <c r="E404" s="136">
        <f>'19O_Seeds'!AM119</f>
        <v>7664.3229999999994</v>
      </c>
      <c r="F404" s="136">
        <f>'19O_Seeds'!AN119</f>
        <v>108697.12749999999</v>
      </c>
      <c r="G404" s="136">
        <f>'19O_Seeds'!AO119</f>
        <v>46315.805</v>
      </c>
      <c r="H404" s="140">
        <f>'19O_Seeds'!AP119</f>
        <v>19099.737000000001</v>
      </c>
      <c r="I404" s="107"/>
      <c r="J404" s="115" t="s">
        <v>36</v>
      </c>
      <c r="K404" s="137">
        <f t="shared" ref="K404" si="118">SUM(D404:H404)</f>
        <v>184380.87849999999</v>
      </c>
    </row>
    <row r="405" spans="2:11" x14ac:dyDescent="0.3">
      <c r="B405" s="107"/>
      <c r="C405" s="148" t="s">
        <v>394</v>
      </c>
      <c r="D405" s="108">
        <f>'19O_Seeds'!AL120</f>
        <v>6.127571700712144</v>
      </c>
      <c r="E405" s="108">
        <f>'19O_Seeds'!AM120</f>
        <v>38.168335630329416</v>
      </c>
      <c r="F405" s="108">
        <f>'19O_Seeds'!AN120</f>
        <v>65.235606804852495</v>
      </c>
      <c r="G405" s="108">
        <f>'19O_Seeds'!AO120</f>
        <v>77.193146667100038</v>
      </c>
      <c r="H405" s="108">
        <f>'19O_Seeds'!AP120</f>
        <v>64.652599321295625</v>
      </c>
      <c r="I405" s="107"/>
      <c r="J405" s="107"/>
      <c r="K405" s="107"/>
    </row>
    <row r="406" spans="2:11" x14ac:dyDescent="0.3">
      <c r="B406" s="107"/>
      <c r="C406" s="148" t="s">
        <v>538</v>
      </c>
      <c r="D406" s="108">
        <f>1.96*D405</f>
        <v>12.010040533395802</v>
      </c>
      <c r="E406" s="108">
        <f>1.96*E405</f>
        <v>74.809937835445652</v>
      </c>
      <c r="F406" s="108">
        <f>1.96*F405</f>
        <v>127.86178933751088</v>
      </c>
      <c r="G406" s="108">
        <f>1.96*G405</f>
        <v>151.29856746751608</v>
      </c>
      <c r="H406" s="108">
        <f>1.96*H405</f>
        <v>126.71909466973942</v>
      </c>
      <c r="I406" s="107"/>
      <c r="J406" s="107"/>
      <c r="K406" s="107"/>
    </row>
    <row r="407" spans="2:11" x14ac:dyDescent="0.3">
      <c r="B407" s="107"/>
      <c r="C407" s="148" t="s">
        <v>537</v>
      </c>
      <c r="D407" s="149">
        <f>D405/$K$1</f>
        <v>3.0762446411527408E-5</v>
      </c>
      <c r="E407" s="149">
        <f>E405/$K$1</f>
        <v>1.916177299579769E-4</v>
      </c>
      <c r="F407" s="149">
        <f>F405/$K$1</f>
        <v>3.2750442695342384E-4</v>
      </c>
      <c r="G407" s="149">
        <f>G405/$K$1</f>
        <v>3.8753525110246515E-4</v>
      </c>
      <c r="H407" s="149">
        <f>H405/$K$1</f>
        <v>3.2457753562576249E-4</v>
      </c>
      <c r="I407" s="107"/>
      <c r="J407" s="107"/>
      <c r="K407" s="107"/>
    </row>
    <row r="408" spans="2:11" x14ac:dyDescent="0.3">
      <c r="B408" s="141"/>
      <c r="C408" s="129" t="s">
        <v>539</v>
      </c>
      <c r="D408" s="150">
        <f>1.96*D407</f>
        <v>6.0294394966593721E-5</v>
      </c>
      <c r="E408" s="150">
        <f>1.96*E407</f>
        <v>3.7557075071763469E-4</v>
      </c>
      <c r="F408" s="150">
        <f>1.96*F407</f>
        <v>6.4190867682871076E-4</v>
      </c>
      <c r="G408" s="150">
        <f>1.96*G407</f>
        <v>7.5956909216083168E-4</v>
      </c>
      <c r="H408" s="150">
        <f>1.96*H407</f>
        <v>6.3617196982649444E-4</v>
      </c>
      <c r="I408" s="107"/>
      <c r="J408" s="107"/>
      <c r="K408" s="107"/>
    </row>
    <row r="409" spans="2:11" x14ac:dyDescent="0.3">
      <c r="B409" s="119" t="s">
        <v>452</v>
      </c>
      <c r="C409" s="107"/>
      <c r="D409" s="116"/>
      <c r="E409" s="116"/>
      <c r="F409" s="116"/>
      <c r="G409" s="116"/>
      <c r="H409" s="116"/>
      <c r="I409" s="107"/>
      <c r="J409" s="107"/>
      <c r="K409" s="107"/>
    </row>
    <row r="410" spans="2:11" x14ac:dyDescent="0.3">
      <c r="B410" s="115" t="s">
        <v>409</v>
      </c>
      <c r="C410" s="122" t="s">
        <v>9</v>
      </c>
      <c r="D410" s="136">
        <f>'19O_Seeds'!AL122</f>
        <v>204.01</v>
      </c>
      <c r="E410" s="136">
        <f>'19O_Seeds'!AM122</f>
        <v>703.48</v>
      </c>
      <c r="F410" s="136">
        <f>'19O_Seeds'!AN122</f>
        <v>16626.29</v>
      </c>
      <c r="G410" s="136">
        <f>'19O_Seeds'!AO122</f>
        <v>2870.38</v>
      </c>
      <c r="H410" s="136">
        <f>'19O_Seeds'!AP122</f>
        <v>1465.93</v>
      </c>
      <c r="I410" s="108">
        <f>$K$2-K410</f>
        <v>296.18999999999505</v>
      </c>
      <c r="J410" s="115" t="s">
        <v>36</v>
      </c>
      <c r="K410" s="137">
        <f t="shared" ref="K410" si="119">SUM(D410:H410)</f>
        <v>21870.090000000004</v>
      </c>
    </row>
    <row r="411" spans="2:11" x14ac:dyDescent="0.3">
      <c r="B411" s="107"/>
      <c r="C411" s="107" t="s">
        <v>533</v>
      </c>
      <c r="D411" s="151">
        <f t="shared" ref="D411:I411" si="120">D410/$K$2</f>
        <v>9.2036191909513013E-3</v>
      </c>
      <c r="E411" s="151">
        <f t="shared" si="120"/>
        <v>3.1736493448607524E-2</v>
      </c>
      <c r="F411" s="151">
        <f t="shared" si="120"/>
        <v>0.75007127943885943</v>
      </c>
      <c r="G411" s="151">
        <f t="shared" si="120"/>
        <v>0.12949308589443065</v>
      </c>
      <c r="H411" s="151">
        <f t="shared" si="120"/>
        <v>6.6133334055150442E-2</v>
      </c>
      <c r="I411" s="147">
        <f t="shared" si="120"/>
        <v>1.3362187972000492E-2</v>
      </c>
      <c r="J411" s="145">
        <f>SUM(D411:I411)</f>
        <v>0.99999999999999989</v>
      </c>
      <c r="K411" s="107"/>
    </row>
    <row r="412" spans="2:11" x14ac:dyDescent="0.3">
      <c r="B412" s="115" t="s">
        <v>410</v>
      </c>
      <c r="C412" s="122" t="s">
        <v>9</v>
      </c>
      <c r="D412" s="136">
        <f>'19O_Seeds'!AL124</f>
        <v>203.60949999999997</v>
      </c>
      <c r="E412" s="136">
        <f>'19O_Seeds'!AM124</f>
        <v>739.37099999999998</v>
      </c>
      <c r="F412" s="136">
        <f>'19O_Seeds'!AN124</f>
        <v>16587.569500000001</v>
      </c>
      <c r="G412" s="136">
        <f>'19O_Seeds'!AO124</f>
        <v>2849.1655000000001</v>
      </c>
      <c r="H412" s="136">
        <f>'19O_Seeds'!AP124</f>
        <v>1490.3795</v>
      </c>
      <c r="I412" s="108">
        <f>$K$2-K412</f>
        <v>296.18499999999767</v>
      </c>
      <c r="J412" s="115" t="s">
        <v>36</v>
      </c>
      <c r="K412" s="137">
        <f t="shared" ref="K412" si="121">SUM(D412:H412)</f>
        <v>21870.095000000001</v>
      </c>
    </row>
    <row r="413" spans="2:11" x14ac:dyDescent="0.3">
      <c r="B413" s="115"/>
      <c r="C413" s="107" t="s">
        <v>533</v>
      </c>
      <c r="D413" s="151">
        <f t="shared" ref="D413:I413" si="122">D412/$K$2</f>
        <v>9.1855512066075125E-3</v>
      </c>
      <c r="E413" s="151">
        <f t="shared" si="122"/>
        <v>3.3355664549938012E-2</v>
      </c>
      <c r="F413" s="151">
        <f t="shared" si="122"/>
        <v>0.74832445949433113</v>
      </c>
      <c r="G413" s="151">
        <f t="shared" si="122"/>
        <v>0.12853602408703671</v>
      </c>
      <c r="H413" s="151">
        <f t="shared" si="122"/>
        <v>6.7236338257930517E-2</v>
      </c>
      <c r="I413" s="147">
        <f t="shared" si="122"/>
        <v>1.3361962404156118E-2</v>
      </c>
      <c r="J413" s="145">
        <f>SUM(D413:I413)</f>
        <v>1</v>
      </c>
      <c r="K413" s="137"/>
    </row>
    <row r="414" spans="2:11" x14ac:dyDescent="0.3">
      <c r="B414" s="107"/>
      <c r="C414" s="148" t="s">
        <v>394</v>
      </c>
      <c r="D414" s="108">
        <f>'19O_Seeds'!AL125</f>
        <v>0.50829874918304929</v>
      </c>
      <c r="E414" s="108">
        <f>'19O_Seeds'!AM125</f>
        <v>8.1511626842594183</v>
      </c>
      <c r="F414" s="108">
        <f>'19O_Seeds'!AN125</f>
        <v>7.7419285464553411</v>
      </c>
      <c r="G414" s="108">
        <f>'19O_Seeds'!AO125</f>
        <v>6.3297738578961376</v>
      </c>
      <c r="H414" s="108">
        <f>'19O_Seeds'!AP125</f>
        <v>6.5771418554598711</v>
      </c>
      <c r="I414" s="107"/>
      <c r="J414" s="107"/>
      <c r="K414" s="142"/>
    </row>
    <row r="415" spans="2:11" x14ac:dyDescent="0.3">
      <c r="B415" s="107"/>
      <c r="C415" s="148" t="s">
        <v>538</v>
      </c>
      <c r="D415" s="108">
        <f>1.96*D414</f>
        <v>0.99626554839877657</v>
      </c>
      <c r="E415" s="108">
        <f>1.96*E414</f>
        <v>15.97627886114846</v>
      </c>
      <c r="F415" s="108">
        <f>1.96*F414</f>
        <v>15.174179951052468</v>
      </c>
      <c r="G415" s="108">
        <f>1.96*G414</f>
        <v>12.406356761476429</v>
      </c>
      <c r="H415" s="108">
        <f>1.96*H414</f>
        <v>12.891198036701347</v>
      </c>
      <c r="I415" s="107"/>
      <c r="J415" s="107"/>
      <c r="K415" s="107"/>
    </row>
    <row r="416" spans="2:11" x14ac:dyDescent="0.3">
      <c r="B416" s="107"/>
      <c r="C416" s="148" t="s">
        <v>537</v>
      </c>
      <c r="D416" s="149">
        <f>D414/$K$2</f>
        <v>2.2931170642211923E-5</v>
      </c>
      <c r="E416" s="149">
        <f>E414/$K$2</f>
        <v>3.6772803935795353E-4</v>
      </c>
      <c r="F416" s="149">
        <f>F414/$K$2</f>
        <v>3.4926602688657466E-4</v>
      </c>
      <c r="G416" s="149">
        <f>G414/$K$2</f>
        <v>2.8555868904913849E-4</v>
      </c>
      <c r="H416" s="149">
        <f>H414/$K$2</f>
        <v>2.9671834225047559E-4</v>
      </c>
      <c r="I416" s="107"/>
      <c r="J416" s="107"/>
      <c r="K416" s="107"/>
    </row>
    <row r="417" spans="2:11" x14ac:dyDescent="0.3">
      <c r="B417" s="141"/>
      <c r="C417" s="129" t="s">
        <v>539</v>
      </c>
      <c r="D417" s="150">
        <f>1.96*D416</f>
        <v>4.4945094458735366E-5</v>
      </c>
      <c r="E417" s="150">
        <f>1.96*E416</f>
        <v>7.2074695714158894E-4</v>
      </c>
      <c r="F417" s="150">
        <f>1.96*F416</f>
        <v>6.8456141269768634E-4</v>
      </c>
      <c r="G417" s="150">
        <f>1.96*G416</f>
        <v>5.5969503053631146E-4</v>
      </c>
      <c r="H417" s="150">
        <f>1.96*H416</f>
        <v>5.8156795081093211E-4</v>
      </c>
      <c r="I417" s="107"/>
      <c r="J417" s="107"/>
      <c r="K417" s="107"/>
    </row>
    <row r="418" spans="2:11" x14ac:dyDescent="0.3">
      <c r="B418" s="119" t="s">
        <v>453</v>
      </c>
      <c r="C418" s="107"/>
      <c r="D418" s="116"/>
      <c r="E418" s="116"/>
      <c r="F418" s="116"/>
      <c r="G418" s="116"/>
      <c r="H418" s="116"/>
      <c r="I418" s="107"/>
      <c r="J418" s="107"/>
      <c r="K418" s="142"/>
    </row>
    <row r="419" spans="2:11" x14ac:dyDescent="0.3">
      <c r="B419" s="115" t="s">
        <v>409</v>
      </c>
      <c r="C419" s="122" t="s">
        <v>9</v>
      </c>
      <c r="D419" s="136">
        <f>'19O_Seeds'!AL127</f>
        <v>39.590000000000003</v>
      </c>
      <c r="E419" s="136">
        <f>'19O_Seeds'!AM127</f>
        <v>282.36</v>
      </c>
      <c r="F419" s="136">
        <f>'19O_Seeds'!AN127</f>
        <v>16312.26</v>
      </c>
      <c r="G419" s="136">
        <f>'19O_Seeds'!AO127</f>
        <v>15410.66</v>
      </c>
      <c r="H419" s="136">
        <f>'19O_Seeds'!AP127</f>
        <v>10202.450000000001</v>
      </c>
      <c r="I419" s="108">
        <f>$K$3-K419</f>
        <v>1170.7699999999968</v>
      </c>
      <c r="J419" s="115" t="s">
        <v>36</v>
      </c>
      <c r="K419" s="137">
        <f t="shared" ref="K419" si="123">SUM(D419:H419)</f>
        <v>42247.32</v>
      </c>
    </row>
    <row r="420" spans="2:11" x14ac:dyDescent="0.3">
      <c r="B420" s="107"/>
      <c r="C420" s="107" t="s">
        <v>534</v>
      </c>
      <c r="D420" s="146">
        <f t="shared" ref="D420:I420" si="124">D419/$K$3</f>
        <v>9.11831911537334E-4</v>
      </c>
      <c r="E420" s="146">
        <f t="shared" si="124"/>
        <v>6.5032800844072149E-3</v>
      </c>
      <c r="F420" s="146">
        <f t="shared" si="124"/>
        <v>0.37570192516529405</v>
      </c>
      <c r="G420" s="146">
        <f t="shared" si="124"/>
        <v>0.35493638711421899</v>
      </c>
      <c r="H420" s="146">
        <f t="shared" si="124"/>
        <v>0.23498154801374269</v>
      </c>
      <c r="I420" s="146">
        <f t="shared" si="124"/>
        <v>2.6965027710799734E-2</v>
      </c>
      <c r="J420" s="145">
        <f>SUM(D420:I420)</f>
        <v>1</v>
      </c>
      <c r="K420" s="142"/>
    </row>
    <row r="421" spans="2:11" x14ac:dyDescent="0.3">
      <c r="B421" s="115" t="s">
        <v>410</v>
      </c>
      <c r="C421" s="122" t="s">
        <v>9</v>
      </c>
      <c r="D421" s="140">
        <f>'19O_Seeds'!AL129</f>
        <v>40.092999999999996</v>
      </c>
      <c r="E421" s="136">
        <f>'19O_Seeds'!AM129</f>
        <v>293.33799999999997</v>
      </c>
      <c r="F421" s="136">
        <f>'19O_Seeds'!AN129</f>
        <v>16279.938</v>
      </c>
      <c r="G421" s="136">
        <f>'19O_Seeds'!AO129</f>
        <v>15381.559500000003</v>
      </c>
      <c r="H421" s="136">
        <f>'19O_Seeds'!AP129</f>
        <v>10252.395</v>
      </c>
      <c r="I421" s="108">
        <f>$K$3-K421</f>
        <v>1170.7664999999979</v>
      </c>
      <c r="J421" s="115" t="s">
        <v>36</v>
      </c>
      <c r="K421" s="137">
        <f t="shared" ref="K421" si="125">SUM(D421:H421)</f>
        <v>42247.323499999999</v>
      </c>
    </row>
    <row r="422" spans="2:11" x14ac:dyDescent="0.3">
      <c r="B422" s="115"/>
      <c r="C422" s="141" t="s">
        <v>533</v>
      </c>
      <c r="D422" s="151">
        <f t="shared" ref="D422:I422" si="126">D421/$K$3</f>
        <v>9.234169444118799E-4</v>
      </c>
      <c r="E422" s="151">
        <f t="shared" si="126"/>
        <v>6.7561240026910441E-3</v>
      </c>
      <c r="F422" s="151">
        <f t="shared" si="126"/>
        <v>0.3749574889176378</v>
      </c>
      <c r="G422" s="151">
        <f t="shared" si="126"/>
        <v>0.35426614805027129</v>
      </c>
      <c r="H422" s="151">
        <f t="shared" si="126"/>
        <v>0.23613187498574906</v>
      </c>
      <c r="I422" s="146">
        <f t="shared" si="126"/>
        <v>2.6964947099239005E-2</v>
      </c>
      <c r="J422" s="145">
        <f>SUM(D422:I422)</f>
        <v>1</v>
      </c>
      <c r="K422" s="137"/>
    </row>
    <row r="423" spans="2:11" x14ac:dyDescent="0.3">
      <c r="B423" s="107"/>
      <c r="C423" s="148" t="s">
        <v>394</v>
      </c>
      <c r="D423" s="108">
        <f>'19O_Seeds'!AL130</f>
        <v>2.518593602954259</v>
      </c>
      <c r="E423" s="108">
        <f>'19O_Seeds'!AM130</f>
        <v>3.1162173932678794</v>
      </c>
      <c r="F423" s="108">
        <f>'19O_Seeds'!AN130</f>
        <v>15.627900397753535</v>
      </c>
      <c r="G423" s="108">
        <f>'19O_Seeds'!AO130</f>
        <v>28.264689971718578</v>
      </c>
      <c r="H423" s="108">
        <f>'19O_Seeds'!AP130</f>
        <v>23.216994745229169</v>
      </c>
      <c r="I423" s="107"/>
      <c r="J423" s="107"/>
      <c r="K423" s="142"/>
    </row>
    <row r="424" spans="2:11" x14ac:dyDescent="0.3">
      <c r="B424" s="107"/>
      <c r="C424" s="148" t="s">
        <v>538</v>
      </c>
      <c r="D424" s="108">
        <f>1.96*D423</f>
        <v>4.9364434617903479</v>
      </c>
      <c r="E424" s="108">
        <f>1.96*E423</f>
        <v>6.1077860908050434</v>
      </c>
      <c r="F424" s="108">
        <f>1.96*F423</f>
        <v>30.63068477959693</v>
      </c>
      <c r="G424" s="108">
        <f>1.96*G423</f>
        <v>55.398792344568413</v>
      </c>
      <c r="H424" s="108">
        <f>1.96*H423</f>
        <v>45.505309700649171</v>
      </c>
      <c r="I424" s="107"/>
      <c r="J424" s="107"/>
      <c r="K424" s="107"/>
    </row>
    <row r="425" spans="2:11" x14ac:dyDescent="0.3">
      <c r="B425" s="107"/>
      <c r="C425" s="148" t="s">
        <v>537</v>
      </c>
      <c r="D425" s="149">
        <f>D423/$K$3</f>
        <v>5.8007931784983151E-5</v>
      </c>
      <c r="E425" s="149">
        <f>E423/$K$3</f>
        <v>7.1772327922943631E-5</v>
      </c>
      <c r="F425" s="149">
        <f>F423/$K$3</f>
        <v>3.5993984069206033E-4</v>
      </c>
      <c r="G425" s="149">
        <f>G423/$K$3</f>
        <v>6.5098879226881188E-4</v>
      </c>
      <c r="H425" s="149">
        <f>H423/$K$3</f>
        <v>5.3473090928756123E-4</v>
      </c>
      <c r="I425" s="107"/>
      <c r="J425" s="107"/>
      <c r="K425" s="107"/>
    </row>
    <row r="426" spans="2:11" x14ac:dyDescent="0.3">
      <c r="B426" s="141"/>
      <c r="C426" s="129" t="s">
        <v>539</v>
      </c>
      <c r="D426" s="150">
        <f>1.96*D425</f>
        <v>1.1369554629856697E-4</v>
      </c>
      <c r="E426" s="150">
        <f>1.96*E425</f>
        <v>1.4067376272896951E-4</v>
      </c>
      <c r="F426" s="150">
        <f>1.96*F425</f>
        <v>7.0548208775643819E-4</v>
      </c>
      <c r="G426" s="150">
        <f>1.96*G425</f>
        <v>1.2759380328468712E-3</v>
      </c>
      <c r="H426" s="150">
        <f>1.96*H425</f>
        <v>1.0480725822036201E-3</v>
      </c>
      <c r="I426" s="107"/>
      <c r="J426" s="107"/>
      <c r="K426" s="107"/>
    </row>
    <row r="427" spans="2:11" x14ac:dyDescent="0.3">
      <c r="B427" s="119" t="s">
        <v>454</v>
      </c>
      <c r="C427" s="107"/>
      <c r="D427" s="116"/>
      <c r="E427" s="116"/>
      <c r="F427" s="116"/>
      <c r="G427" s="116"/>
      <c r="H427" s="116"/>
      <c r="I427" s="107"/>
      <c r="J427" s="107"/>
      <c r="K427" s="142"/>
    </row>
    <row r="428" spans="2:11" x14ac:dyDescent="0.3">
      <c r="B428" s="115" t="s">
        <v>409</v>
      </c>
      <c r="C428" s="122" t="s">
        <v>9</v>
      </c>
      <c r="D428" s="136">
        <f>'19O_Seeds'!AL132</f>
        <v>0</v>
      </c>
      <c r="E428" s="136">
        <f>'19O_Seeds'!AM132</f>
        <v>18.16</v>
      </c>
      <c r="F428" s="136">
        <f>'19O_Seeds'!AN132</f>
        <v>1344.59</v>
      </c>
      <c r="G428" s="136">
        <f>'19O_Seeds'!AO132</f>
        <v>379.89</v>
      </c>
      <c r="H428" s="136">
        <f>'19O_Seeds'!AP132</f>
        <v>108.18</v>
      </c>
      <c r="I428" s="108">
        <f>$K$4-K428</f>
        <v>10.730000000000018</v>
      </c>
      <c r="J428" s="115" t="s">
        <v>36</v>
      </c>
      <c r="K428" s="137">
        <f t="shared" ref="K428" si="127">SUM(D428:H428)</f>
        <v>1850.82</v>
      </c>
    </row>
    <row r="429" spans="2:11" x14ac:dyDescent="0.3">
      <c r="B429" s="107"/>
      <c r="C429" s="141" t="s">
        <v>533</v>
      </c>
      <c r="D429" s="151">
        <f t="shared" ref="D429:I429" si="128">D428/$K$4</f>
        <v>0</v>
      </c>
      <c r="E429" s="151">
        <f t="shared" si="128"/>
        <v>9.7553114340200378E-3</v>
      </c>
      <c r="F429" s="151">
        <f t="shared" si="128"/>
        <v>0.72229593618221377</v>
      </c>
      <c r="G429" s="151">
        <f t="shared" si="128"/>
        <v>0.204071875587548</v>
      </c>
      <c r="H429" s="151">
        <f t="shared" si="128"/>
        <v>5.8112862936799986E-2</v>
      </c>
      <c r="I429" s="147">
        <f t="shared" si="128"/>
        <v>5.7640138594182364E-3</v>
      </c>
      <c r="J429" s="145">
        <f>SUM(D429:I429)</f>
        <v>1</v>
      </c>
      <c r="K429" s="142"/>
    </row>
    <row r="430" spans="2:11" x14ac:dyDescent="0.3">
      <c r="B430" s="115" t="s">
        <v>410</v>
      </c>
      <c r="C430" s="122" t="s">
        <v>9</v>
      </c>
      <c r="D430" s="140">
        <f>'19O_Seeds'!AL134</f>
        <v>1.3500000000000002E-2</v>
      </c>
      <c r="E430" s="136">
        <f>'19O_Seeds'!AM134</f>
        <v>18.770499999999998</v>
      </c>
      <c r="F430" s="136">
        <f>'19O_Seeds'!AN134</f>
        <v>1342.6389999999997</v>
      </c>
      <c r="G430" s="136">
        <f>'19O_Seeds'!AO134</f>
        <v>378.70700000000005</v>
      </c>
      <c r="H430" s="136">
        <f>'19O_Seeds'!AP134</f>
        <v>110.69899999999998</v>
      </c>
      <c r="I430" s="108">
        <f>$K$4-K430</f>
        <v>10.721000000000004</v>
      </c>
      <c r="J430" s="115" t="s">
        <v>36</v>
      </c>
      <c r="K430" s="137">
        <f t="shared" ref="K430" si="129">SUM(D430:H430)</f>
        <v>1850.829</v>
      </c>
    </row>
    <row r="431" spans="2:11" x14ac:dyDescent="0.3">
      <c r="B431" s="115"/>
      <c r="C431" s="141" t="s">
        <v>533</v>
      </c>
      <c r="D431" s="151">
        <f t="shared" ref="D431:I431" si="130">D430/$K$4</f>
        <v>7.252021165158068E-6</v>
      </c>
      <c r="E431" s="151">
        <f t="shared" si="130"/>
        <v>1.0083263946711073E-2</v>
      </c>
      <c r="F431" s="151">
        <f t="shared" si="130"/>
        <v>0.72124788482715996</v>
      </c>
      <c r="G431" s="151">
        <f t="shared" si="130"/>
        <v>0.203436383658779</v>
      </c>
      <c r="H431" s="151">
        <f t="shared" si="130"/>
        <v>5.9466036367543169E-2</v>
      </c>
      <c r="I431" s="147">
        <f t="shared" si="130"/>
        <v>5.7591791786414572E-3</v>
      </c>
      <c r="J431" s="145">
        <f>SUM(D431:I431)</f>
        <v>0.99999999999999989</v>
      </c>
      <c r="K431" s="137"/>
    </row>
    <row r="432" spans="2:11" x14ac:dyDescent="0.3">
      <c r="B432" s="107"/>
      <c r="C432" s="148" t="s">
        <v>394</v>
      </c>
      <c r="D432" s="108">
        <f>'19O_Seeds'!AL135</f>
        <v>7.3726021971821272E-3</v>
      </c>
      <c r="E432" s="108">
        <f>'19O_Seeds'!AM135</f>
        <v>0.36293284502783707</v>
      </c>
      <c r="F432" s="108">
        <f>'19O_Seeds'!AN135</f>
        <v>0.67045581509895269</v>
      </c>
      <c r="G432" s="108">
        <f>'19O_Seeds'!AO135</f>
        <v>0.75327324321747191</v>
      </c>
      <c r="H432" s="108">
        <f>'19O_Seeds'!AP135</f>
        <v>0.75219394895339686</v>
      </c>
      <c r="I432" s="107"/>
      <c r="J432" s="107"/>
      <c r="K432" s="107"/>
    </row>
    <row r="433" spans="2:11" x14ac:dyDescent="0.3">
      <c r="B433" s="107"/>
      <c r="C433" s="148" t="s">
        <v>538</v>
      </c>
      <c r="D433" s="108">
        <f>1.96*D432</f>
        <v>1.445030030647697E-2</v>
      </c>
      <c r="E433" s="108">
        <f>1.96*E432</f>
        <v>0.7113483762545606</v>
      </c>
      <c r="F433" s="108">
        <f>1.96*F432</f>
        <v>1.3140933975939473</v>
      </c>
      <c r="G433" s="108">
        <f>1.96*G432</f>
        <v>1.4764155567062449</v>
      </c>
      <c r="H433" s="108">
        <f>1.96*H432</f>
        <v>1.4743001399486577</v>
      </c>
      <c r="I433" s="107"/>
      <c r="J433" s="107"/>
      <c r="K433" s="107"/>
    </row>
    <row r="434" spans="2:11" x14ac:dyDescent="0.3">
      <c r="B434" s="107"/>
      <c r="C434" s="148" t="s">
        <v>537</v>
      </c>
      <c r="D434" s="149">
        <f>D432/$K$4</f>
        <v>3.9604642352781965E-6</v>
      </c>
      <c r="E434" s="149">
        <f>E432/$K$4</f>
        <v>1.9496271656836351E-4</v>
      </c>
      <c r="F434" s="149">
        <f>F432/$K$4</f>
        <v>3.6015998232599326E-4</v>
      </c>
      <c r="G434" s="149">
        <f>G432/$K$4</f>
        <v>4.0464840762669387E-4</v>
      </c>
      <c r="H434" s="149">
        <f>H432/$K$4</f>
        <v>4.0406862504547116E-4</v>
      </c>
      <c r="I434" s="107"/>
      <c r="J434" s="107"/>
      <c r="K434" s="107"/>
    </row>
    <row r="435" spans="2:11" x14ac:dyDescent="0.3">
      <c r="B435" s="107"/>
      <c r="C435" s="129" t="s">
        <v>539</v>
      </c>
      <c r="D435" s="150">
        <f>1.96*D434</f>
        <v>7.7625099011452645E-6</v>
      </c>
      <c r="E435" s="150">
        <f>1.96*E434</f>
        <v>3.8212692447399247E-4</v>
      </c>
      <c r="F435" s="150">
        <f>1.96*F434</f>
        <v>7.0591356535894679E-4</v>
      </c>
      <c r="G435" s="150">
        <f>1.96*G434</f>
        <v>7.9311087894831992E-4</v>
      </c>
      <c r="H435" s="150">
        <f>1.96*H434</f>
        <v>7.919745050891235E-4</v>
      </c>
      <c r="I435" s="107"/>
      <c r="J435" s="107"/>
      <c r="K435" s="107"/>
    </row>
    <row r="436" spans="2:11" x14ac:dyDescent="0.3">
      <c r="D436" t="s">
        <v>513</v>
      </c>
      <c r="E436" t="s">
        <v>514</v>
      </c>
      <c r="F436" t="s">
        <v>515</v>
      </c>
      <c r="G436" t="s">
        <v>516</v>
      </c>
      <c r="H436" t="s">
        <v>517</v>
      </c>
    </row>
    <row r="437" spans="2:11" x14ac:dyDescent="0.3">
      <c r="B437" s="118" t="s">
        <v>375</v>
      </c>
      <c r="C437" s="8">
        <v>20</v>
      </c>
      <c r="D437" s="90" t="s">
        <v>524</v>
      </c>
      <c r="E437" s="91" t="s">
        <v>523</v>
      </c>
      <c r="F437" s="92" t="s">
        <v>525</v>
      </c>
      <c r="G437" s="124" t="s">
        <v>526</v>
      </c>
      <c r="H437" s="123" t="s">
        <v>527</v>
      </c>
      <c r="I437" s="212" t="s">
        <v>529</v>
      </c>
    </row>
    <row r="438" spans="2:11" x14ac:dyDescent="0.3">
      <c r="B438" s="106" t="s">
        <v>457</v>
      </c>
      <c r="C438" s="107" t="s">
        <v>28</v>
      </c>
      <c r="D438" s="108">
        <f>'19M_Seeds'!AL109</f>
        <v>1.5193251834459287</v>
      </c>
      <c r="E438" s="108">
        <f>'19M_Seeds'!AM109</f>
        <v>4.9725266545686893</v>
      </c>
      <c r="F438" s="108">
        <f>'19M_Seeds'!AN109</f>
        <v>63.688392422655184</v>
      </c>
      <c r="G438" s="108">
        <f>'19M_Seeds'!AO109</f>
        <v>21.566989969328493</v>
      </c>
      <c r="H438" s="108">
        <f>'19M_Seeds'!AP109</f>
        <v>8.2527657700017087</v>
      </c>
      <c r="I438" s="111"/>
      <c r="J438" s="232" t="s">
        <v>77</v>
      </c>
      <c r="K438" s="233">
        <f>'19M_Seeds'!AS109</f>
        <v>0.92759401818085974</v>
      </c>
    </row>
    <row r="439" spans="2:11" x14ac:dyDescent="0.3">
      <c r="B439" s="107"/>
      <c r="C439" s="109" t="s">
        <v>39</v>
      </c>
      <c r="D439" s="110">
        <f>'19M_Seeds'!AL110</f>
        <v>0</v>
      </c>
      <c r="E439" s="110">
        <f>'19M_Seeds'!AM110</f>
        <v>0.12803712829902408</v>
      </c>
      <c r="F439" s="110">
        <f>'19M_Seeds'!AN110</f>
        <v>0.18768077344361755</v>
      </c>
      <c r="G439" s="110">
        <f>'19M_Seeds'!AO110</f>
        <v>0.19324002231364945</v>
      </c>
      <c r="H439" s="110">
        <f>'19M_Seeds'!AP110</f>
        <v>0.16055148508307152</v>
      </c>
      <c r="I439" s="111"/>
      <c r="J439" s="232" t="s">
        <v>29</v>
      </c>
      <c r="K439" s="234">
        <f>'19M_Seeds'!AS110</f>
        <v>2.3702762785370495E-3</v>
      </c>
    </row>
    <row r="440" spans="2:11" x14ac:dyDescent="0.3">
      <c r="B440" s="107"/>
      <c r="C440" s="107" t="s">
        <v>30</v>
      </c>
      <c r="D440" s="108">
        <f>'19M_Seeds'!AL111</f>
        <v>100</v>
      </c>
      <c r="E440" s="108">
        <f>'19M_Seeds'!AM111</f>
        <v>76.062734772658473</v>
      </c>
      <c r="F440" s="108">
        <f>'19M_Seeds'!AN111</f>
        <v>96.511824070071413</v>
      </c>
      <c r="G440" s="108">
        <f>'19M_Seeds'!AO111</f>
        <v>88.432238235359179</v>
      </c>
      <c r="H440" s="108">
        <f>'19M_Seeds'!AP111</f>
        <v>83.836569082609941</v>
      </c>
      <c r="I440" s="111"/>
      <c r="J440" s="111"/>
      <c r="K440" s="111"/>
    </row>
    <row r="441" spans="2:11" x14ac:dyDescent="0.3">
      <c r="B441" s="107"/>
      <c r="C441" s="109" t="s">
        <v>39</v>
      </c>
      <c r="D441" s="110">
        <f>'19M_Seeds'!AL112</f>
        <v>0</v>
      </c>
      <c r="E441" s="110">
        <f>'19M_Seeds'!AM112</f>
        <v>4.1236297096434376</v>
      </c>
      <c r="F441" s="110">
        <f>'19M_Seeds'!AN112</f>
        <v>0.22064334206217287</v>
      </c>
      <c r="G441" s="110">
        <f>'19M_Seeds'!AO112</f>
        <v>0.92250358661704734</v>
      </c>
      <c r="H441" s="110">
        <f>'19M_Seeds'!AP112</f>
        <v>2.6242039722281816</v>
      </c>
      <c r="I441" s="111"/>
      <c r="J441" s="111"/>
      <c r="K441" s="111"/>
    </row>
    <row r="442" spans="2:11" x14ac:dyDescent="0.3">
      <c r="B442" s="107"/>
      <c r="C442" s="111" t="s">
        <v>31</v>
      </c>
      <c r="D442" s="112">
        <f>'19M_Seeds'!AL113</f>
        <v>100</v>
      </c>
      <c r="E442" s="112">
        <f>'19M_Seeds'!AM113</f>
        <v>86.743515850144092</v>
      </c>
      <c r="F442" s="112">
        <f>'19M_Seeds'!AN113</f>
        <v>96.952380952380963</v>
      </c>
      <c r="G442" s="112">
        <f>'19M_Seeds'!AO113</f>
        <v>88.097043214556464</v>
      </c>
      <c r="H442" s="112">
        <f>'19M_Seeds'!AP113</f>
        <v>76.26262626262627</v>
      </c>
      <c r="I442" s="111"/>
      <c r="J442" s="111"/>
      <c r="K442" s="111"/>
    </row>
    <row r="443" spans="2:11" x14ac:dyDescent="0.3">
      <c r="B443" s="107"/>
      <c r="C443" s="113" t="s">
        <v>39</v>
      </c>
      <c r="D443" s="114">
        <f>'19M_Seeds'!AL114</f>
        <v>0</v>
      </c>
      <c r="E443" s="114">
        <f>'19M_Seeds'!AM114</f>
        <v>1.8230334586187336</v>
      </c>
      <c r="F443" s="114">
        <f>'19M_Seeds'!AN114</f>
        <v>0.20051434844630719</v>
      </c>
      <c r="G443" s="114">
        <f>'19M_Seeds'!AO114</f>
        <v>0.63059864001507127</v>
      </c>
      <c r="H443" s="114">
        <f>'19M_Seeds'!AP114</f>
        <v>1.3529260734990296</v>
      </c>
      <c r="I443" s="107"/>
      <c r="J443" s="107"/>
      <c r="K443" s="107"/>
    </row>
    <row r="444" spans="2:11" x14ac:dyDescent="0.3">
      <c r="B444" s="107"/>
      <c r="C444" s="109" t="s">
        <v>56</v>
      </c>
      <c r="D444" s="110">
        <f>'19M_Seeds'!AL115</f>
        <v>100</v>
      </c>
      <c r="E444" s="110">
        <f>'19M_Seeds'!AM115</f>
        <v>76.590330788804067</v>
      </c>
      <c r="F444" s="110">
        <f>'19M_Seeds'!AN115</f>
        <v>96.814075130765573</v>
      </c>
      <c r="G444" s="110">
        <f>'19M_Seeds'!AO115</f>
        <v>88.736158839251615</v>
      </c>
      <c r="H444" s="110">
        <f>'19M_Seeds'!AP115</f>
        <v>79.265091863517057</v>
      </c>
      <c r="I444" s="145"/>
      <c r="J444" s="107"/>
      <c r="K444" s="107"/>
    </row>
    <row r="445" spans="2:11" x14ac:dyDescent="0.3">
      <c r="B445" s="115" t="s">
        <v>409</v>
      </c>
      <c r="C445" s="107" t="s">
        <v>9</v>
      </c>
      <c r="D445" s="116">
        <f>'19M_Seeds'!AL116</f>
        <v>2998.86</v>
      </c>
      <c r="E445" s="116">
        <f>'19M_Seeds'!AM116</f>
        <v>8606.32</v>
      </c>
      <c r="F445" s="116">
        <f>'19M_Seeds'!AN116</f>
        <v>125137.59</v>
      </c>
      <c r="G445" s="116">
        <f>'19M_Seeds'!AO116</f>
        <v>42731.12</v>
      </c>
      <c r="H445" s="116">
        <f>'19M_Seeds'!AP116</f>
        <v>17907.16</v>
      </c>
      <c r="I445" s="107"/>
      <c r="J445" s="115" t="s">
        <v>36</v>
      </c>
      <c r="K445" s="137">
        <f t="shared" ref="K445:K446" si="131">SUM(D445:H445)</f>
        <v>197381.05</v>
      </c>
    </row>
    <row r="446" spans="2:11" x14ac:dyDescent="0.3">
      <c r="B446" s="115" t="s">
        <v>378</v>
      </c>
      <c r="C446" s="107" t="s">
        <v>467</v>
      </c>
      <c r="D446" s="108">
        <f>'19M_Seeds'!AL117</f>
        <v>2998.86</v>
      </c>
      <c r="E446" s="108">
        <f>'19M_Seeds'!AM117</f>
        <v>9814.8253223175507</v>
      </c>
      <c r="F446" s="108">
        <f>'19M_Seeds'!AN117</f>
        <v>125708.81769195723</v>
      </c>
      <c r="G446" s="108">
        <f>'19M_Seeds'!AO117</f>
        <v>42569.151254855256</v>
      </c>
      <c r="H446" s="108">
        <f>'19M_Seeds'!AP117</f>
        <v>16289.395730869956</v>
      </c>
      <c r="I446" s="144">
        <f>$K$1-K446</f>
        <v>1808.9500000000116</v>
      </c>
      <c r="J446" s="115" t="s">
        <v>36</v>
      </c>
      <c r="K446" s="137">
        <f t="shared" si="131"/>
        <v>197381.05</v>
      </c>
    </row>
    <row r="447" spans="2:11" x14ac:dyDescent="0.3">
      <c r="B447" s="115"/>
      <c r="C447" s="107" t="s">
        <v>533</v>
      </c>
      <c r="D447" s="147">
        <f t="shared" ref="D447:I447" si="132">D446/$K$1</f>
        <v>1.5055273859129475E-2</v>
      </c>
      <c r="E447" s="147">
        <f t="shared" si="132"/>
        <v>4.9273685035983485E-2</v>
      </c>
      <c r="F447" s="147">
        <f t="shared" si="132"/>
        <v>0.63110004363651406</v>
      </c>
      <c r="G447" s="147">
        <f t="shared" si="132"/>
        <v>0.21371128698657191</v>
      </c>
      <c r="H447" s="147">
        <f t="shared" si="132"/>
        <v>8.1778180284502011E-2</v>
      </c>
      <c r="I447" s="147">
        <f t="shared" si="132"/>
        <v>9.0815301972991189E-3</v>
      </c>
      <c r="J447" s="145">
        <f>SUM(D447:I447)</f>
        <v>1</v>
      </c>
      <c r="K447" s="137"/>
    </row>
    <row r="448" spans="2:11" x14ac:dyDescent="0.3">
      <c r="B448" s="107"/>
      <c r="C448" s="107" t="s">
        <v>377</v>
      </c>
      <c r="D448" s="108">
        <f>'19M_Seeds'!AL118</f>
        <v>0</v>
      </c>
      <c r="E448" s="108">
        <f>'19M_Seeds'!AM118</f>
        <v>252.72102822646087</v>
      </c>
      <c r="F448" s="108">
        <f>'19M_Seeds'!AN118</f>
        <v>370.4462812711335</v>
      </c>
      <c r="G448" s="108">
        <f>'19M_Seeds'!AO118</f>
        <v>381.41918506291557</v>
      </c>
      <c r="H448" s="108">
        <f>'19M_Seeds'!AP118</f>
        <v>316.89820704755994</v>
      </c>
      <c r="I448" s="107"/>
      <c r="J448" s="107"/>
      <c r="K448" s="107"/>
    </row>
    <row r="449" spans="2:11" x14ac:dyDescent="0.3">
      <c r="B449" s="107"/>
      <c r="C449" s="148" t="s">
        <v>538</v>
      </c>
      <c r="D449" s="108">
        <f>1.96*D448</f>
        <v>0</v>
      </c>
      <c r="E449" s="108">
        <f>1.96*E448</f>
        <v>495.33321532386333</v>
      </c>
      <c r="F449" s="108">
        <f>1.96*F448</f>
        <v>726.07471129142164</v>
      </c>
      <c r="G449" s="108">
        <f>1.96*G448</f>
        <v>747.58160272331452</v>
      </c>
      <c r="H449" s="108">
        <f>1.96*H448</f>
        <v>621.12048581321744</v>
      </c>
      <c r="I449" s="107"/>
      <c r="J449" s="107"/>
      <c r="K449" s="107"/>
    </row>
    <row r="450" spans="2:11" x14ac:dyDescent="0.3">
      <c r="B450" s="107"/>
      <c r="C450" s="148" t="s">
        <v>537</v>
      </c>
      <c r="D450" s="149">
        <f>D448/$K$1</f>
        <v>0</v>
      </c>
      <c r="E450" s="149">
        <f>E448/$K$1</f>
        <v>1.2687435525200103E-3</v>
      </c>
      <c r="F450" s="149">
        <f>F448/$K$1</f>
        <v>1.8597634483213691E-3</v>
      </c>
      <c r="G450" s="149">
        <f>G448/$K$1</f>
        <v>1.914851072156813E-3</v>
      </c>
      <c r="H450" s="149">
        <f>H448/$K$1</f>
        <v>1.590934319230684E-3</v>
      </c>
      <c r="I450" s="107"/>
      <c r="J450" s="107"/>
      <c r="K450" s="107"/>
    </row>
    <row r="451" spans="2:11" x14ac:dyDescent="0.3">
      <c r="B451" s="107"/>
      <c r="C451" s="129" t="s">
        <v>539</v>
      </c>
      <c r="D451" s="150">
        <f>1.96*D450</f>
        <v>0</v>
      </c>
      <c r="E451" s="150">
        <f>1.96*E450</f>
        <v>2.4867373629392201E-3</v>
      </c>
      <c r="F451" s="150">
        <f>1.96*F450</f>
        <v>3.6451363587098836E-3</v>
      </c>
      <c r="G451" s="150">
        <f>1.96*G450</f>
        <v>3.7531081014273533E-3</v>
      </c>
      <c r="H451" s="150">
        <f>1.96*H450</f>
        <v>3.1182312656921406E-3</v>
      </c>
      <c r="I451" s="107"/>
      <c r="J451" s="107"/>
      <c r="K451" s="107"/>
    </row>
    <row r="452" spans="2:11" x14ac:dyDescent="0.3">
      <c r="B452" s="115" t="s">
        <v>410</v>
      </c>
      <c r="C452" s="122" t="s">
        <v>9</v>
      </c>
      <c r="D452" s="136">
        <f>'19M_Seeds'!AL119</f>
        <v>2992.0155</v>
      </c>
      <c r="E452" s="136">
        <f>'19M_Seeds'!AM119</f>
        <v>8682.0575000000026</v>
      </c>
      <c r="F452" s="136">
        <f>'19M_Seeds'!AN119</f>
        <v>124625.03949999998</v>
      </c>
      <c r="G452" s="136">
        <f>'19M_Seeds'!AO119</f>
        <v>43007.206000000013</v>
      </c>
      <c r="H452" s="136">
        <f>'19M_Seeds'!AP119</f>
        <v>18074.743499999997</v>
      </c>
      <c r="I452" s="107"/>
      <c r="J452" s="115" t="s">
        <v>36</v>
      </c>
      <c r="K452" s="137">
        <f t="shared" ref="K452" si="133">SUM(D452:H452)</f>
        <v>197381.06199999998</v>
      </c>
    </row>
    <row r="453" spans="2:11" x14ac:dyDescent="0.3">
      <c r="B453" s="107"/>
      <c r="C453" s="148" t="s">
        <v>394</v>
      </c>
      <c r="D453" s="108">
        <f>'19M_Seeds'!AL120</f>
        <v>4.7498382507086179</v>
      </c>
      <c r="E453" s="108">
        <f>'19M_Seeds'!AM120</f>
        <v>36.083511979522072</v>
      </c>
      <c r="F453" s="108">
        <f>'19M_Seeds'!AN120</f>
        <v>103.24963170693842</v>
      </c>
      <c r="G453" s="108">
        <f>'19M_Seeds'!AO120</f>
        <v>102.40844560772049</v>
      </c>
      <c r="H453" s="108">
        <f>'19M_Seeds'!AP120</f>
        <v>58.745381459109623</v>
      </c>
      <c r="I453" s="107"/>
      <c r="J453" s="107"/>
      <c r="K453" s="107"/>
    </row>
    <row r="454" spans="2:11" x14ac:dyDescent="0.3">
      <c r="B454" s="107"/>
      <c r="C454" s="148" t="s">
        <v>538</v>
      </c>
      <c r="D454" s="108">
        <f>1.96*D453</f>
        <v>9.3096829713888916</v>
      </c>
      <c r="E454" s="108">
        <f>1.96*E453</f>
        <v>70.723683479863254</v>
      </c>
      <c r="F454" s="108">
        <f>1.96*F453</f>
        <v>202.36927814559928</v>
      </c>
      <c r="G454" s="108">
        <f>1.96*G453</f>
        <v>200.72055339113217</v>
      </c>
      <c r="H454" s="108">
        <f>1.96*H453</f>
        <v>115.14094765985486</v>
      </c>
      <c r="I454" s="107"/>
      <c r="J454" s="107"/>
      <c r="K454" s="107"/>
    </row>
    <row r="455" spans="2:11" x14ac:dyDescent="0.3">
      <c r="B455" s="107"/>
      <c r="C455" s="148" t="s">
        <v>537</v>
      </c>
      <c r="D455" s="149">
        <f>D453/$K$1</f>
        <v>2.3845766608306731E-5</v>
      </c>
      <c r="E455" s="149">
        <f>E453/$K$1</f>
        <v>1.8115122234812025E-4</v>
      </c>
      <c r="F455" s="149">
        <f>F453/$K$1</f>
        <v>5.1834746577106489E-4</v>
      </c>
      <c r="G455" s="149">
        <f>G453/$K$1</f>
        <v>5.1412443198815448E-4</v>
      </c>
      <c r="H455" s="149">
        <f>H453/$K$1</f>
        <v>2.9492133871735339E-4</v>
      </c>
      <c r="I455" s="107"/>
      <c r="J455" s="107"/>
      <c r="K455" s="107"/>
    </row>
    <row r="456" spans="2:11" x14ac:dyDescent="0.3">
      <c r="B456" s="141"/>
      <c r="C456" s="129" t="s">
        <v>539</v>
      </c>
      <c r="D456" s="150">
        <f>1.96*D455</f>
        <v>4.6737702552281193E-5</v>
      </c>
      <c r="E456" s="150">
        <f>1.96*E455</f>
        <v>3.550563958023157E-4</v>
      </c>
      <c r="F456" s="150">
        <f>1.96*F455</f>
        <v>1.0159610329112871E-3</v>
      </c>
      <c r="G456" s="150">
        <f>1.96*G455</f>
        <v>1.0076838866967827E-3</v>
      </c>
      <c r="H456" s="150">
        <f>1.96*H455</f>
        <v>5.7804582388601259E-4</v>
      </c>
      <c r="I456" s="107"/>
      <c r="J456" s="107"/>
      <c r="K456" s="107"/>
    </row>
    <row r="457" spans="2:11" x14ac:dyDescent="0.3">
      <c r="B457" s="119" t="s">
        <v>458</v>
      </c>
      <c r="C457" s="107"/>
      <c r="D457" s="116"/>
      <c r="E457" s="116"/>
      <c r="F457" s="116"/>
      <c r="G457" s="116"/>
      <c r="H457" s="116"/>
      <c r="I457" s="107"/>
      <c r="J457" s="107"/>
      <c r="K457" s="107"/>
    </row>
    <row r="458" spans="2:11" x14ac:dyDescent="0.3">
      <c r="B458" s="115" t="s">
        <v>409</v>
      </c>
      <c r="C458" s="122" t="s">
        <v>9</v>
      </c>
      <c r="D458" s="136">
        <f>'19M_Seeds'!AL122</f>
        <v>204.24</v>
      </c>
      <c r="E458" s="136">
        <f>'19M_Seeds'!AM122</f>
        <v>834.29</v>
      </c>
      <c r="F458" s="136">
        <f>'19M_Seeds'!AN122</f>
        <v>17771.75</v>
      </c>
      <c r="G458" s="136">
        <f>'19M_Seeds'!AO122</f>
        <v>2290.52</v>
      </c>
      <c r="H458" s="136">
        <f>'19M_Seeds'!AP122</f>
        <v>977.04</v>
      </c>
      <c r="I458" s="108">
        <f>$K$2-K458</f>
        <v>88.43999999999869</v>
      </c>
      <c r="J458" s="115" t="s">
        <v>36</v>
      </c>
      <c r="K458" s="137">
        <f t="shared" ref="K458" si="134">SUM(D458:H458)</f>
        <v>22077.84</v>
      </c>
    </row>
    <row r="459" spans="2:11" x14ac:dyDescent="0.3">
      <c r="B459" s="107"/>
      <c r="C459" s="107" t="s">
        <v>533</v>
      </c>
      <c r="D459" s="151">
        <f t="shared" ref="D459:I459" si="135">D458/$K$2</f>
        <v>9.2139953117979217E-3</v>
      </c>
      <c r="E459" s="151">
        <f t="shared" si="135"/>
        <v>3.7637799396199996E-2</v>
      </c>
      <c r="F459" s="151">
        <f t="shared" si="135"/>
        <v>0.8017470680691573</v>
      </c>
      <c r="G459" s="151">
        <f t="shared" si="135"/>
        <v>0.10333353183303649</v>
      </c>
      <c r="H459" s="151">
        <f t="shared" si="135"/>
        <v>4.4077761356438698E-2</v>
      </c>
      <c r="I459" s="147">
        <f t="shared" si="135"/>
        <v>3.989844033369546E-3</v>
      </c>
      <c r="J459" s="145">
        <f>SUM(D459:I459)</f>
        <v>1</v>
      </c>
      <c r="K459" s="107"/>
    </row>
    <row r="460" spans="2:11" x14ac:dyDescent="0.3">
      <c r="B460" s="115" t="s">
        <v>410</v>
      </c>
      <c r="C460" s="122" t="s">
        <v>9</v>
      </c>
      <c r="D460" s="136">
        <f>'19M_Seeds'!AL124</f>
        <v>203.82050000000001</v>
      </c>
      <c r="E460" s="136">
        <f>'19M_Seeds'!AM124</f>
        <v>868.10400000000027</v>
      </c>
      <c r="F460" s="136">
        <f>'19M_Seeds'!AN124</f>
        <v>17703.313499999997</v>
      </c>
      <c r="G460" s="136">
        <f>'19M_Seeds'!AO124</f>
        <v>2310.4790000000003</v>
      </c>
      <c r="H460" s="136">
        <f>'19M_Seeds'!AP124</f>
        <v>992.12450000000013</v>
      </c>
      <c r="I460" s="108">
        <f>$K$2-K460</f>
        <v>88.438500000000204</v>
      </c>
      <c r="J460" s="115" t="s">
        <v>36</v>
      </c>
      <c r="K460" s="137">
        <f t="shared" ref="K460" si="136">SUM(D460:H460)</f>
        <v>22077.841499999999</v>
      </c>
    </row>
    <row r="461" spans="2:11" x14ac:dyDescent="0.3">
      <c r="B461" s="115"/>
      <c r="C461" s="107" t="s">
        <v>533</v>
      </c>
      <c r="D461" s="151">
        <f t="shared" ref="D461:I461" si="137">D460/$K$2</f>
        <v>9.195070169645065E-3</v>
      </c>
      <c r="E461" s="151">
        <f t="shared" si="137"/>
        <v>3.9163269614928636E-2</v>
      </c>
      <c r="F461" s="151">
        <f t="shared" si="137"/>
        <v>0.79865965331124567</v>
      </c>
      <c r="G461" s="151">
        <f t="shared" si="137"/>
        <v>0.10423395355467857</v>
      </c>
      <c r="H461" s="151">
        <f t="shared" si="137"/>
        <v>4.4758276986485789E-2</v>
      </c>
      <c r="I461" s="147">
        <f t="shared" si="137"/>
        <v>3.9897763630162668E-3</v>
      </c>
      <c r="J461" s="145">
        <f>SUM(D461:I461)</f>
        <v>1</v>
      </c>
      <c r="K461" s="137"/>
    </row>
    <row r="462" spans="2:11" x14ac:dyDescent="0.3">
      <c r="B462" s="107"/>
      <c r="C462" s="148" t="s">
        <v>394</v>
      </c>
      <c r="D462" s="108">
        <f>'19M_Seeds'!AL125</f>
        <v>0.45204650145055247</v>
      </c>
      <c r="E462" s="108">
        <f>'19M_Seeds'!AM125</f>
        <v>6.3047480604115451</v>
      </c>
      <c r="F462" s="108">
        <f>'19M_Seeds'!AN125</f>
        <v>10.287327085583982</v>
      </c>
      <c r="G462" s="108">
        <f>'19M_Seeds'!AO125</f>
        <v>9.2755647267430632</v>
      </c>
      <c r="H462" s="108">
        <f>'19M_Seeds'!AP125</f>
        <v>5.7271204059925989</v>
      </c>
      <c r="I462" s="107"/>
      <c r="J462" s="107"/>
      <c r="K462" s="142"/>
    </row>
    <row r="463" spans="2:11" x14ac:dyDescent="0.3">
      <c r="B463" s="107"/>
      <c r="C463" s="148" t="s">
        <v>538</v>
      </c>
      <c r="D463" s="108">
        <f>1.96*D462</f>
        <v>0.8860111428430828</v>
      </c>
      <c r="E463" s="108">
        <f>1.96*E462</f>
        <v>12.357306198406627</v>
      </c>
      <c r="F463" s="108">
        <f>1.96*F462</f>
        <v>20.163161087744605</v>
      </c>
      <c r="G463" s="108">
        <f>1.96*G462</f>
        <v>18.180106864416402</v>
      </c>
      <c r="H463" s="108">
        <f>1.96*H462</f>
        <v>11.225155995745494</v>
      </c>
      <c r="I463" s="107"/>
      <c r="J463" s="107"/>
      <c r="K463" s="107"/>
    </row>
    <row r="464" spans="2:11" x14ac:dyDescent="0.3">
      <c r="B464" s="107"/>
      <c r="C464" s="148" t="s">
        <v>537</v>
      </c>
      <c r="D464" s="149">
        <f>D462/$K$2</f>
        <v>2.0393430988445175E-5</v>
      </c>
      <c r="E464" s="149">
        <f>E462/$K$2</f>
        <v>2.8442968601008131E-4</v>
      </c>
      <c r="F464" s="149">
        <f>F462/$K$2</f>
        <v>4.6409803925530048E-4</v>
      </c>
      <c r="G464" s="149">
        <f>G462/$K$2</f>
        <v>4.1845382837097896E-4</v>
      </c>
      <c r="H464" s="149">
        <f>H462/$K$2</f>
        <v>2.5837084102486293E-4</v>
      </c>
      <c r="I464" s="107"/>
      <c r="J464" s="107"/>
      <c r="K464" s="107"/>
    </row>
    <row r="465" spans="2:11" x14ac:dyDescent="0.3">
      <c r="B465" s="141"/>
      <c r="C465" s="129" t="s">
        <v>539</v>
      </c>
      <c r="D465" s="150">
        <f>1.96*D464</f>
        <v>3.9971124737352541E-5</v>
      </c>
      <c r="E465" s="150">
        <f>1.96*E464</f>
        <v>5.5748218457975934E-4</v>
      </c>
      <c r="F465" s="150">
        <f>1.96*F464</f>
        <v>9.0963215694038892E-4</v>
      </c>
      <c r="G465" s="150">
        <f>1.96*G464</f>
        <v>8.2016950360711872E-4</v>
      </c>
      <c r="H465" s="150">
        <f>1.96*H464</f>
        <v>5.0640684840873133E-4</v>
      </c>
      <c r="I465" s="107"/>
      <c r="J465" s="107"/>
      <c r="K465" s="107"/>
    </row>
    <row r="466" spans="2:11" x14ac:dyDescent="0.3">
      <c r="B466" s="119" t="s">
        <v>459</v>
      </c>
      <c r="C466" s="107"/>
      <c r="D466" s="116"/>
      <c r="E466" s="116"/>
      <c r="F466" s="116"/>
      <c r="G466" s="116"/>
      <c r="H466" s="116"/>
      <c r="I466" s="107"/>
      <c r="J466" s="107"/>
      <c r="K466" s="142"/>
    </row>
    <row r="467" spans="2:11" x14ac:dyDescent="0.3">
      <c r="B467" s="115" t="s">
        <v>409</v>
      </c>
      <c r="C467" s="122" t="s">
        <v>9</v>
      </c>
      <c r="D467" s="136">
        <f>'19M_Seeds'!AL127</f>
        <v>169.26</v>
      </c>
      <c r="E467" s="136">
        <f>'19M_Seeds'!AM127</f>
        <v>440.32</v>
      </c>
      <c r="F467" s="136">
        <f>'19M_Seeds'!AN127</f>
        <v>18394.939999999999</v>
      </c>
      <c r="G467" s="136">
        <f>'19M_Seeds'!AO127</f>
        <v>14830.55</v>
      </c>
      <c r="H467" s="136">
        <f>'19M_Seeds'!AP127</f>
        <v>9392.94</v>
      </c>
      <c r="I467" s="108">
        <f>$K$3-K467</f>
        <v>190.08000000000175</v>
      </c>
      <c r="J467" s="115" t="s">
        <v>36</v>
      </c>
      <c r="K467" s="137">
        <f t="shared" ref="K467" si="138">SUM(D467:H467)</f>
        <v>43228.009999999995</v>
      </c>
    </row>
    <row r="468" spans="2:11" x14ac:dyDescent="0.3">
      <c r="B468" s="107"/>
      <c r="C468" s="107" t="s">
        <v>534</v>
      </c>
      <c r="D468" s="146">
        <f t="shared" ref="D468:I468" si="139">D467/$K$3</f>
        <v>3.8983750782220039E-3</v>
      </c>
      <c r="E468" s="146">
        <f t="shared" si="139"/>
        <v>1.0141394980755718E-2</v>
      </c>
      <c r="F468" s="146">
        <f t="shared" si="139"/>
        <v>0.4236699495532853</v>
      </c>
      <c r="G468" s="146">
        <f t="shared" si="139"/>
        <v>0.34157536639681757</v>
      </c>
      <c r="H468" s="146">
        <f t="shared" si="139"/>
        <v>0.21633701528556418</v>
      </c>
      <c r="I468" s="146">
        <f t="shared" si="139"/>
        <v>4.3778987053553426E-3</v>
      </c>
      <c r="J468" s="145">
        <f>SUM(D468:I468)</f>
        <v>1</v>
      </c>
      <c r="K468" s="142"/>
    </row>
    <row r="469" spans="2:11" x14ac:dyDescent="0.3">
      <c r="B469" s="115" t="s">
        <v>410</v>
      </c>
      <c r="C469" s="122" t="s">
        <v>9</v>
      </c>
      <c r="D469" s="136">
        <f>'19M_Seeds'!AL129</f>
        <v>167.566</v>
      </c>
      <c r="E469" s="136">
        <f>'19M_Seeds'!AM129</f>
        <v>474.75150000000002</v>
      </c>
      <c r="F469" s="136">
        <f>'19M_Seeds'!AN129</f>
        <v>18286.533500000001</v>
      </c>
      <c r="G469" s="136">
        <f>'19M_Seeds'!AO129</f>
        <v>14868.177000000001</v>
      </c>
      <c r="H469" s="136">
        <f>'19M_Seeds'!AP129</f>
        <v>9430.9874999999993</v>
      </c>
      <c r="I469" s="108">
        <f>$K$3-K469</f>
        <v>190.07449999998789</v>
      </c>
      <c r="J469" s="115" t="s">
        <v>36</v>
      </c>
      <c r="K469" s="137">
        <f t="shared" ref="K469" si="140">SUM(D469:H469)</f>
        <v>43228.015500000009</v>
      </c>
    </row>
    <row r="470" spans="2:11" x14ac:dyDescent="0.3">
      <c r="B470" s="115"/>
      <c r="C470" s="141" t="s">
        <v>533</v>
      </c>
      <c r="D470" s="151">
        <f t="shared" ref="D470:I470" si="141">D469/$K$3</f>
        <v>3.8593590828154812E-3</v>
      </c>
      <c r="E470" s="151">
        <f t="shared" si="141"/>
        <v>1.0934416967674075E-2</v>
      </c>
      <c r="F470" s="151">
        <f t="shared" si="141"/>
        <v>0.42117314465007566</v>
      </c>
      <c r="G470" s="151">
        <f t="shared" si="141"/>
        <v>0.34244198673870735</v>
      </c>
      <c r="H470" s="151">
        <f t="shared" si="141"/>
        <v>0.21721332053068201</v>
      </c>
      <c r="I470" s="146">
        <f t="shared" si="141"/>
        <v>4.3777720300452625E-3</v>
      </c>
      <c r="J470" s="145">
        <f>SUM(D470:I470)</f>
        <v>0.99999999999999989</v>
      </c>
      <c r="K470" s="137"/>
    </row>
    <row r="471" spans="2:11" x14ac:dyDescent="0.3">
      <c r="B471" s="107"/>
      <c r="C471" s="148" t="s">
        <v>394</v>
      </c>
      <c r="D471" s="108">
        <f>'19M_Seeds'!AL130</f>
        <v>2.4499904833327513</v>
      </c>
      <c r="E471" s="108">
        <f>'19M_Seeds'!AM130</f>
        <v>4.1329097227396314</v>
      </c>
      <c r="F471" s="108">
        <f>'19M_Seeds'!AN130</f>
        <v>19.356198725268936</v>
      </c>
      <c r="G471" s="108">
        <f>'19M_Seeds'!AO130</f>
        <v>21.150636709341114</v>
      </c>
      <c r="H471" s="108">
        <f>'19M_Seeds'!AP130</f>
        <v>14.120981438140744</v>
      </c>
      <c r="I471" s="107"/>
      <c r="J471" s="107"/>
      <c r="K471" s="142"/>
    </row>
    <row r="472" spans="2:11" x14ac:dyDescent="0.3">
      <c r="B472" s="107"/>
      <c r="C472" s="148" t="s">
        <v>538</v>
      </c>
      <c r="D472" s="108">
        <f>1.96*D471</f>
        <v>4.8019813473321928</v>
      </c>
      <c r="E472" s="108">
        <f>1.96*E471</f>
        <v>8.1005030565696767</v>
      </c>
      <c r="F472" s="108">
        <f>1.96*F471</f>
        <v>37.938149501527114</v>
      </c>
      <c r="G472" s="108">
        <f>1.96*G471</f>
        <v>41.455247950308582</v>
      </c>
      <c r="H472" s="108">
        <f>1.96*H471</f>
        <v>27.677123618755857</v>
      </c>
      <c r="I472" s="107"/>
      <c r="J472" s="107"/>
      <c r="K472" s="107"/>
    </row>
    <row r="473" spans="2:11" x14ac:dyDescent="0.3">
      <c r="B473" s="107"/>
      <c r="C473" s="148" t="s">
        <v>537</v>
      </c>
      <c r="D473" s="149">
        <f>D471/$K$3</f>
        <v>5.6427873343409425E-5</v>
      </c>
      <c r="E473" s="149">
        <f>E471/$K$3</f>
        <v>9.518865806256406E-5</v>
      </c>
      <c r="F473" s="149">
        <f>F471/$K$3</f>
        <v>4.4580953987770854E-4</v>
      </c>
      <c r="G473" s="149">
        <f>G471/$K$3</f>
        <v>4.8713881032862378E-4</v>
      </c>
      <c r="H473" s="149">
        <f>H471/$K$3</f>
        <v>3.2523267232945405E-4</v>
      </c>
      <c r="I473" s="107"/>
      <c r="J473" s="107"/>
      <c r="K473" s="107"/>
    </row>
    <row r="474" spans="2:11" x14ac:dyDescent="0.3">
      <c r="B474" s="141"/>
      <c r="C474" s="129" t="s">
        <v>539</v>
      </c>
      <c r="D474" s="150">
        <f>1.96*D473</f>
        <v>1.1059863175308247E-4</v>
      </c>
      <c r="E474" s="150">
        <f>1.96*E473</f>
        <v>1.8656976980262554E-4</v>
      </c>
      <c r="F474" s="150">
        <f>1.96*F473</f>
        <v>8.7378669816030874E-4</v>
      </c>
      <c r="G474" s="150">
        <f>1.96*G473</f>
        <v>9.5479206824410263E-4</v>
      </c>
      <c r="H474" s="150">
        <f>1.96*H473</f>
        <v>6.3745603776572989E-4</v>
      </c>
      <c r="I474" s="107"/>
      <c r="J474" s="107"/>
      <c r="K474" s="107"/>
    </row>
    <row r="475" spans="2:11" x14ac:dyDescent="0.3">
      <c r="B475" s="119" t="s">
        <v>460</v>
      </c>
      <c r="C475" s="107"/>
      <c r="D475" s="116"/>
      <c r="E475" s="116"/>
      <c r="F475" s="116"/>
      <c r="G475" s="116"/>
      <c r="H475" s="116"/>
      <c r="I475" s="107"/>
      <c r="J475" s="107"/>
      <c r="K475" s="142"/>
    </row>
    <row r="476" spans="2:11" x14ac:dyDescent="0.3">
      <c r="B476" s="115" t="s">
        <v>409</v>
      </c>
      <c r="C476" s="122" t="s">
        <v>9</v>
      </c>
      <c r="D476" s="136">
        <f>'19M_Seeds'!AL132</f>
        <v>0.5</v>
      </c>
      <c r="E476" s="136">
        <f>'19M_Seeds'!AM132</f>
        <v>25.07</v>
      </c>
      <c r="F476" s="136">
        <f>'19M_Seeds'!AN132</f>
        <v>1403.17</v>
      </c>
      <c r="G476" s="136">
        <f>'19M_Seeds'!AO132</f>
        <v>358.3</v>
      </c>
      <c r="H476" s="136">
        <f>'19M_Seeds'!AP132</f>
        <v>66.290000000000006</v>
      </c>
      <c r="I476" s="108">
        <f>$K$4-K476</f>
        <v>8.2200000000000273</v>
      </c>
      <c r="J476" s="115" t="s">
        <v>36</v>
      </c>
      <c r="K476" s="137">
        <f t="shared" ref="K476" si="142">SUM(D476:H476)</f>
        <v>1853.33</v>
      </c>
    </row>
    <row r="477" spans="2:11" x14ac:dyDescent="0.3">
      <c r="B477" s="107"/>
      <c r="C477" s="141" t="s">
        <v>533</v>
      </c>
      <c r="D477" s="151">
        <f t="shared" ref="D477:I477" si="143">D476/$K$4</f>
        <v>2.6859337648733585E-4</v>
      </c>
      <c r="E477" s="151">
        <f t="shared" si="143"/>
        <v>1.3467271897075018E-2</v>
      </c>
      <c r="F477" s="151">
        <f t="shared" si="143"/>
        <v>0.7537643361714701</v>
      </c>
      <c r="G477" s="151">
        <f t="shared" si="143"/>
        <v>0.19247401359082486</v>
      </c>
      <c r="H477" s="151">
        <f t="shared" si="143"/>
        <v>3.5610109854690986E-2</v>
      </c>
      <c r="I477" s="147">
        <f t="shared" si="143"/>
        <v>4.4156751094518156E-3</v>
      </c>
      <c r="J477" s="145">
        <f>SUM(D477:I477)</f>
        <v>1</v>
      </c>
      <c r="K477" s="142"/>
    </row>
    <row r="478" spans="2:11" x14ac:dyDescent="0.3">
      <c r="B478" s="115" t="s">
        <v>410</v>
      </c>
      <c r="C478" s="122" t="s">
        <v>9</v>
      </c>
      <c r="D478" s="136">
        <f>'19M_Seeds'!AL134</f>
        <v>0.49849999999999994</v>
      </c>
      <c r="E478" s="136">
        <f>'19M_Seeds'!AM134</f>
        <v>26.901999999999997</v>
      </c>
      <c r="F478" s="136">
        <f>'19M_Seeds'!AN134</f>
        <v>1395.9445000000001</v>
      </c>
      <c r="G478" s="136">
        <f>'19M_Seeds'!AO134</f>
        <v>361.846</v>
      </c>
      <c r="H478" s="136">
        <f>'19M_Seeds'!AP134</f>
        <v>68.139499999999998</v>
      </c>
      <c r="I478" s="108">
        <f>$K$4-K478</f>
        <v>8.2194999999999254</v>
      </c>
      <c r="J478" s="115" t="s">
        <v>36</v>
      </c>
      <c r="K478" s="137">
        <f t="shared" ref="K478" si="144">SUM(D478:H478)</f>
        <v>1853.3305</v>
      </c>
    </row>
    <row r="479" spans="2:11" x14ac:dyDescent="0.3">
      <c r="B479" s="115"/>
      <c r="C479" s="141" t="s">
        <v>533</v>
      </c>
      <c r="D479" s="151">
        <f t="shared" ref="D479:I479" si="145">D478/$K$4</f>
        <v>2.677875963578738E-4</v>
      </c>
      <c r="E479" s="151">
        <f t="shared" si="145"/>
        <v>1.4451398028524616E-2</v>
      </c>
      <c r="F479" s="151">
        <f t="shared" si="145"/>
        <v>0.74988289328785163</v>
      </c>
      <c r="G479" s="151">
        <f t="shared" si="145"/>
        <v>0.19437887781687305</v>
      </c>
      <c r="H479" s="151">
        <f t="shared" si="145"/>
        <v>3.6603636754317638E-2</v>
      </c>
      <c r="I479" s="147">
        <f t="shared" si="145"/>
        <v>4.4154065160752739E-3</v>
      </c>
      <c r="J479" s="145">
        <f>SUM(D479:I479)</f>
        <v>1</v>
      </c>
      <c r="K479" s="137"/>
    </row>
    <row r="480" spans="2:11" x14ac:dyDescent="0.3">
      <c r="B480" s="107"/>
      <c r="C480" s="148" t="s">
        <v>394</v>
      </c>
      <c r="D480" s="108">
        <f>'19M_Seeds'!AL135</f>
        <v>2.625056390371756E-2</v>
      </c>
      <c r="E480" s="108">
        <f>'19M_Seeds'!AM135</f>
        <v>0.27668203297001603</v>
      </c>
      <c r="F480" s="108">
        <f>'19M_Seeds'!AN135</f>
        <v>0.93328663025381309</v>
      </c>
      <c r="G480" s="108">
        <f>'19M_Seeds'!AO135</f>
        <v>0.91228267779812722</v>
      </c>
      <c r="H480" s="108">
        <f>'19M_Seeds'!AP135</f>
        <v>0.49583500810567793</v>
      </c>
      <c r="I480" s="107"/>
      <c r="J480" s="107"/>
      <c r="K480" s="107"/>
    </row>
    <row r="481" spans="2:11" x14ac:dyDescent="0.3">
      <c r="B481" s="107"/>
      <c r="C481" s="148" t="s">
        <v>538</v>
      </c>
      <c r="D481" s="108">
        <f>1.96*D480</f>
        <v>5.1451105251286419E-2</v>
      </c>
      <c r="E481" s="108">
        <f>1.96*E480</f>
        <v>0.54229678462123143</v>
      </c>
      <c r="F481" s="108">
        <f>1.96*F480</f>
        <v>1.8292417952974735</v>
      </c>
      <c r="G481" s="108">
        <f>1.96*G480</f>
        <v>1.7880740484843294</v>
      </c>
      <c r="H481" s="108">
        <f>1.96*H480</f>
        <v>0.97183661588712877</v>
      </c>
      <c r="I481" s="107"/>
      <c r="J481" s="107"/>
      <c r="K481" s="107"/>
    </row>
    <row r="482" spans="2:11" x14ac:dyDescent="0.3">
      <c r="B482" s="107"/>
      <c r="C482" s="148" t="s">
        <v>537</v>
      </c>
      <c r="D482" s="149">
        <f>D480/$K$4</f>
        <v>1.4101455187192158E-5</v>
      </c>
      <c r="E482" s="149">
        <f>E480/$K$4</f>
        <v>1.4862992289759396E-4</v>
      </c>
      <c r="F482" s="149">
        <f>F480/$K$4</f>
        <v>5.0134921450071884E-4</v>
      </c>
      <c r="G482" s="149">
        <f>G480/$K$4</f>
        <v>4.9006616948141452E-4</v>
      </c>
      <c r="H482" s="149">
        <f>H480/$K$4</f>
        <v>2.6635599801545914E-4</v>
      </c>
      <c r="I482" s="107"/>
      <c r="J482" s="107"/>
      <c r="K482" s="107"/>
    </row>
    <row r="483" spans="2:11" x14ac:dyDescent="0.3">
      <c r="B483" s="107"/>
      <c r="C483" s="129" t="s">
        <v>539</v>
      </c>
      <c r="D483" s="150">
        <f>1.96*D482</f>
        <v>2.7638852166896627E-5</v>
      </c>
      <c r="E483" s="150">
        <f>1.96*E482</f>
        <v>2.9131464887928416E-4</v>
      </c>
      <c r="F483" s="150">
        <f>1.96*F482</f>
        <v>9.8264446042140886E-4</v>
      </c>
      <c r="G483" s="150">
        <f>1.96*G482</f>
        <v>9.605296921835724E-4</v>
      </c>
      <c r="H483" s="150">
        <f>1.96*H482</f>
        <v>5.2205775611029995E-4</v>
      </c>
      <c r="I483" s="107"/>
      <c r="J483" s="107"/>
      <c r="K483" s="107"/>
    </row>
    <row r="484" spans="2:11" x14ac:dyDescent="0.3">
      <c r="D484" t="s">
        <v>518</v>
      </c>
      <c r="E484" t="s">
        <v>519</v>
      </c>
      <c r="F484" t="s">
        <v>520</v>
      </c>
      <c r="G484" t="s">
        <v>521</v>
      </c>
      <c r="H484" t="s">
        <v>522</v>
      </c>
    </row>
    <row r="485" spans="2:11" x14ac:dyDescent="0.3">
      <c r="B485" s="118" t="s">
        <v>375</v>
      </c>
      <c r="C485" s="8">
        <v>20</v>
      </c>
      <c r="D485" s="90" t="s">
        <v>524</v>
      </c>
      <c r="E485" s="91" t="s">
        <v>523</v>
      </c>
      <c r="F485" s="92" t="s">
        <v>525</v>
      </c>
      <c r="G485" s="124" t="s">
        <v>526</v>
      </c>
      <c r="H485" s="123" t="s">
        <v>527</v>
      </c>
      <c r="I485" s="212" t="s">
        <v>529</v>
      </c>
    </row>
    <row r="486" spans="2:11" x14ac:dyDescent="0.3">
      <c r="B486" s="106" t="s">
        <v>463</v>
      </c>
      <c r="C486" s="107" t="s">
        <v>28</v>
      </c>
      <c r="D486" s="108">
        <f>'24M_Seeds'!AL109</f>
        <v>1.7058103616444171</v>
      </c>
      <c r="E486" s="108">
        <f>'24M_Seeds'!AM109</f>
        <v>7.1156500428965668</v>
      </c>
      <c r="F486" s="108">
        <f>'24M_Seeds'!AN109</f>
        <v>61.415381957030903</v>
      </c>
      <c r="G486" s="108">
        <f>'24M_Seeds'!AO109</f>
        <v>20.317307206357878</v>
      </c>
      <c r="H486" s="108">
        <f>'24M_Seeds'!AP109</f>
        <v>9.4458504320702286</v>
      </c>
      <c r="I486" s="145"/>
      <c r="J486" s="232" t="s">
        <v>77</v>
      </c>
      <c r="K486" s="233">
        <f>'24M_Seeds'!AS109</f>
        <v>0.92660634100924721</v>
      </c>
    </row>
    <row r="487" spans="2:11" x14ac:dyDescent="0.3">
      <c r="B487" s="107"/>
      <c r="C487" s="109" t="s">
        <v>39</v>
      </c>
      <c r="D487" s="110">
        <f>'24M_Seeds'!AL110</f>
        <v>0</v>
      </c>
      <c r="E487" s="110">
        <f>'24M_Seeds'!AM110</f>
        <v>0.18299259499826884</v>
      </c>
      <c r="F487" s="110">
        <f>'24M_Seeds'!AN110</f>
        <v>0.21314622235046171</v>
      </c>
      <c r="G487" s="110">
        <f>'24M_Seeds'!AO110</f>
        <v>0.15924629276799968</v>
      </c>
      <c r="H487" s="110">
        <f>'24M_Seeds'!AP110</f>
        <v>0.14301246828884673</v>
      </c>
      <c r="I487" s="145"/>
      <c r="J487" s="232" t="s">
        <v>29</v>
      </c>
      <c r="K487" s="234">
        <f>'24M_Seeds'!AS110</f>
        <v>2.4816070541914823E-3</v>
      </c>
    </row>
    <row r="488" spans="2:11" x14ac:dyDescent="0.3">
      <c r="B488" s="107"/>
      <c r="C488" s="107" t="s">
        <v>30</v>
      </c>
      <c r="D488" s="108">
        <f>'24M_Seeds'!AL111</f>
        <v>100</v>
      </c>
      <c r="E488" s="108">
        <f>'24M_Seeds'!AM111</f>
        <v>60.205113233226079</v>
      </c>
      <c r="F488" s="108">
        <f>'24M_Seeds'!AN111</f>
        <v>97.244615938680781</v>
      </c>
      <c r="G488" s="108">
        <f>'24M_Seeds'!AO111</f>
        <v>92.399490667283459</v>
      </c>
      <c r="H488" s="108">
        <f>'24M_Seeds'!AP111</f>
        <v>86.541682457195208</v>
      </c>
      <c r="I488" s="145"/>
      <c r="J488" s="111"/>
      <c r="K488" s="111"/>
    </row>
    <row r="489" spans="2:11" x14ac:dyDescent="0.3">
      <c r="B489" s="107"/>
      <c r="C489" s="109" t="s">
        <v>39</v>
      </c>
      <c r="D489" s="110">
        <f>'24M_Seeds'!AL112</f>
        <v>0</v>
      </c>
      <c r="E489" s="110">
        <f>'24M_Seeds'!AM112</f>
        <v>5.7960769034715485</v>
      </c>
      <c r="F489" s="110">
        <f>'24M_Seeds'!AN112</f>
        <v>0.21753413587565898</v>
      </c>
      <c r="G489" s="110">
        <f>'24M_Seeds'!AO112</f>
        <v>0.66504223515134753</v>
      </c>
      <c r="H489" s="110">
        <f>'24M_Seeds'!AP112</f>
        <v>1.7097909686991446</v>
      </c>
      <c r="I489" s="145"/>
      <c r="J489" s="111"/>
      <c r="K489" s="111"/>
    </row>
    <row r="490" spans="2:11" x14ac:dyDescent="0.3">
      <c r="B490" s="107"/>
      <c r="C490" s="111" t="s">
        <v>31</v>
      </c>
      <c r="D490" s="112">
        <f>'24M_Seeds'!AL113</f>
        <v>100</v>
      </c>
      <c r="E490" s="112">
        <f>'24M_Seeds'!AM113</f>
        <v>83.861671469740628</v>
      </c>
      <c r="F490" s="112">
        <f>'24M_Seeds'!AN113</f>
        <v>94.37942297223735</v>
      </c>
      <c r="G490" s="112">
        <f>'24M_Seeds'!AO113</f>
        <v>91.546626231993926</v>
      </c>
      <c r="H490" s="112">
        <f>'24M_Seeds'!AP113</f>
        <v>86.969696969696969</v>
      </c>
      <c r="I490" s="145"/>
      <c r="J490" s="111"/>
      <c r="K490" s="111"/>
    </row>
    <row r="491" spans="2:11" x14ac:dyDescent="0.3">
      <c r="B491" s="107"/>
      <c r="C491" s="113" t="s">
        <v>39</v>
      </c>
      <c r="D491" s="114">
        <f>'24M_Seeds'!AL114</f>
        <v>0</v>
      </c>
      <c r="E491" s="114">
        <f>'24M_Seeds'!AM114</f>
        <v>1.9777572436142541</v>
      </c>
      <c r="F491" s="114">
        <f>'24M_Seeds'!AN114</f>
        <v>0.26870397492424902</v>
      </c>
      <c r="G491" s="114">
        <f>'24M_Seeds'!AO114</f>
        <v>0.54172782493243543</v>
      </c>
      <c r="H491" s="114">
        <f>'24M_Seeds'!AP114</f>
        <v>1.070441875992074</v>
      </c>
      <c r="I491" s="145"/>
      <c r="J491" s="107"/>
      <c r="K491" s="107"/>
    </row>
    <row r="492" spans="2:11" x14ac:dyDescent="0.3">
      <c r="B492" s="107"/>
      <c r="C492" s="109" t="s">
        <v>56</v>
      </c>
      <c r="D492" s="110">
        <f>'24M_Seeds'!AL115</f>
        <v>100</v>
      </c>
      <c r="E492" s="110">
        <f>'24M_Seeds'!AM115</f>
        <v>60.186142709410554</v>
      </c>
      <c r="F492" s="110">
        <f>'24M_Seeds'!AN115</f>
        <v>95.959595959595958</v>
      </c>
      <c r="G492" s="110">
        <f>'24M_Seeds'!AO115</f>
        <v>92.546464840007673</v>
      </c>
      <c r="H492" s="110">
        <f>'24M_Seeds'!AP115</f>
        <v>85.842472582253251</v>
      </c>
      <c r="I492" s="145"/>
      <c r="J492" s="107"/>
      <c r="K492" s="107"/>
    </row>
    <row r="493" spans="2:11" x14ac:dyDescent="0.3">
      <c r="B493" s="115" t="s">
        <v>409</v>
      </c>
      <c r="C493" s="107" t="s">
        <v>9</v>
      </c>
      <c r="D493" s="116">
        <f>'24M_Seeds'!AL116</f>
        <v>3379</v>
      </c>
      <c r="E493" s="116">
        <f>'24M_Seeds'!AM116</f>
        <v>10119.1</v>
      </c>
      <c r="F493" s="116">
        <f>'24M_Seeds'!AN116</f>
        <v>125349.57</v>
      </c>
      <c r="G493" s="116">
        <f>'24M_Seeds'!AO116</f>
        <v>40621.019999999997</v>
      </c>
      <c r="H493" s="116">
        <f>'24M_Seeds'!AP116</f>
        <v>18618.98</v>
      </c>
      <c r="I493" s="107"/>
      <c r="J493" s="115" t="s">
        <v>36</v>
      </c>
      <c r="K493" s="137">
        <f t="shared" ref="K493:K494" si="146">SUM(D493:H493)</f>
        <v>198087.67</v>
      </c>
    </row>
    <row r="494" spans="2:11" x14ac:dyDescent="0.3">
      <c r="B494" s="115" t="s">
        <v>378</v>
      </c>
      <c r="C494" s="107" t="s">
        <v>467</v>
      </c>
      <c r="D494" s="108">
        <f>'24M_Seeds'!AL117</f>
        <v>3379</v>
      </c>
      <c r="E494" s="108">
        <f>'24M_Seeds'!AM117</f>
        <v>14095.225375327811</v>
      </c>
      <c r="F494" s="108">
        <f>'24M_Seeds'!AN117</f>
        <v>121656.29914028292</v>
      </c>
      <c r="G494" s="108">
        <f>'24M_Seeds'!AO117</f>
        <v>40246.080451816415</v>
      </c>
      <c r="H494" s="108">
        <f>'24M_Seeds'!AP117</f>
        <v>18711.065032572849</v>
      </c>
      <c r="I494" s="144">
        <f>$K$1-K494</f>
        <v>1102.3300000000163</v>
      </c>
      <c r="J494" s="115" t="s">
        <v>36</v>
      </c>
      <c r="K494" s="137">
        <f t="shared" si="146"/>
        <v>198087.66999999998</v>
      </c>
    </row>
    <row r="495" spans="2:11" x14ac:dyDescent="0.3">
      <c r="B495" s="115"/>
      <c r="C495" s="107" t="s">
        <v>533</v>
      </c>
      <c r="D495" s="147">
        <f t="shared" ref="D495:I495" si="147">D494/$K$1</f>
        <v>1.6963702997138411E-2</v>
      </c>
      <c r="E495" s="147">
        <f t="shared" si="147"/>
        <v>7.0762715875936605E-2</v>
      </c>
      <c r="F495" s="147">
        <f t="shared" si="147"/>
        <v>0.61075505366877314</v>
      </c>
      <c r="G495" s="147">
        <f t="shared" si="147"/>
        <v>0.20204869949202478</v>
      </c>
      <c r="H495" s="147">
        <f t="shared" si="147"/>
        <v>9.3935765011159439E-2</v>
      </c>
      <c r="I495" s="147">
        <f t="shared" si="147"/>
        <v>5.5340629549677006E-3</v>
      </c>
      <c r="J495" s="145">
        <f>SUM(D495:I495)</f>
        <v>1</v>
      </c>
      <c r="K495" s="137"/>
    </row>
    <row r="496" spans="2:11" x14ac:dyDescent="0.3">
      <c r="B496" s="107"/>
      <c r="C496" s="107" t="s">
        <v>377</v>
      </c>
      <c r="D496" s="108">
        <f>'24M_Seeds'!AL118</f>
        <v>0</v>
      </c>
      <c r="E496" s="108">
        <f>'24M_Seeds'!AM118</f>
        <v>362.48576770460727</v>
      </c>
      <c r="F496" s="108">
        <f>'24M_Seeds'!AN118</f>
        <v>422.21638554704884</v>
      </c>
      <c r="G496" s="108">
        <f>'24M_Seeds'!AO118</f>
        <v>315.44727090550907</v>
      </c>
      <c r="H496" s="108">
        <f>'24M_Seeds'!AP118</f>
        <v>283.29006624286535</v>
      </c>
      <c r="I496" s="107"/>
      <c r="J496" s="107"/>
      <c r="K496" s="107"/>
    </row>
    <row r="497" spans="2:11" x14ac:dyDescent="0.3">
      <c r="B497" s="107"/>
      <c r="C497" s="148" t="s">
        <v>538</v>
      </c>
      <c r="D497" s="108">
        <f>1.96*D496</f>
        <v>0</v>
      </c>
      <c r="E497" s="108">
        <f>1.96*E496</f>
        <v>710.47210470103028</v>
      </c>
      <c r="F497" s="108">
        <f>1.96*F496</f>
        <v>827.54411567221575</v>
      </c>
      <c r="G497" s="108">
        <f>1.96*G496</f>
        <v>618.2766509747978</v>
      </c>
      <c r="H497" s="108">
        <f>1.96*H496</f>
        <v>555.24852983601613</v>
      </c>
      <c r="I497" s="107"/>
      <c r="J497" s="107"/>
      <c r="K497" s="107"/>
    </row>
    <row r="498" spans="2:11" x14ac:dyDescent="0.3">
      <c r="B498" s="107"/>
      <c r="C498" s="148" t="s">
        <v>537</v>
      </c>
      <c r="D498" s="149">
        <f>D496/$K$1</f>
        <v>0</v>
      </c>
      <c r="E498" s="149">
        <f>E496/$K$1</f>
        <v>1.8197990245725551E-3</v>
      </c>
      <c r="F498" s="149">
        <f>F496/$K$1</f>
        <v>2.1196665773736073E-3</v>
      </c>
      <c r="G498" s="149">
        <f>G496/$K$1</f>
        <v>1.5836501375847637E-3</v>
      </c>
      <c r="H498" s="149">
        <f>H496/$K$1</f>
        <v>1.4222102828599095E-3</v>
      </c>
      <c r="I498" s="107"/>
      <c r="J498" s="107"/>
      <c r="K498" s="107"/>
    </row>
    <row r="499" spans="2:11" x14ac:dyDescent="0.3">
      <c r="B499" s="107"/>
      <c r="C499" s="129" t="s">
        <v>539</v>
      </c>
      <c r="D499" s="150">
        <f>1.96*D498</f>
        <v>0</v>
      </c>
      <c r="E499" s="150">
        <f>1.96*E498</f>
        <v>3.5668060881622081E-3</v>
      </c>
      <c r="F499" s="150">
        <f>1.96*F498</f>
        <v>4.1545464916522704E-3</v>
      </c>
      <c r="G499" s="150">
        <f>1.96*G498</f>
        <v>3.103954269666137E-3</v>
      </c>
      <c r="H499" s="150">
        <f>1.96*H498</f>
        <v>2.7875321544054226E-3</v>
      </c>
      <c r="I499" s="107"/>
      <c r="J499" s="107"/>
      <c r="K499" s="107"/>
    </row>
    <row r="500" spans="2:11" x14ac:dyDescent="0.3">
      <c r="B500" s="115" t="s">
        <v>410</v>
      </c>
      <c r="C500" s="122" t="s">
        <v>9</v>
      </c>
      <c r="D500" s="136">
        <f>'24M_Seeds'!AL119</f>
        <v>3357.8015000000005</v>
      </c>
      <c r="E500" s="136">
        <f>'24M_Seeds'!AM119</f>
        <v>10233.491500000002</v>
      </c>
      <c r="F500" s="136">
        <f>'24M_Seeds'!AN119</f>
        <v>124925.49850000002</v>
      </c>
      <c r="G500" s="136">
        <f>'24M_Seeds'!AO119</f>
        <v>40790.301999999996</v>
      </c>
      <c r="H500" s="136">
        <f>'24M_Seeds'!AP119</f>
        <v>18780.578500000003</v>
      </c>
      <c r="I500" s="107"/>
      <c r="J500" s="115" t="s">
        <v>36</v>
      </c>
      <c r="K500" s="137">
        <f t="shared" ref="K500" si="148">SUM(D500:H500)</f>
        <v>198087.67200000002</v>
      </c>
    </row>
    <row r="501" spans="2:11" x14ac:dyDescent="0.3">
      <c r="B501" s="107"/>
      <c r="C501" s="148" t="s">
        <v>394</v>
      </c>
      <c r="D501" s="108">
        <f>'24M_Seeds'!AL120</f>
        <v>10.619743957538905</v>
      </c>
      <c r="E501" s="108">
        <f>'24M_Seeds'!AM120</f>
        <v>42.966357434594904</v>
      </c>
      <c r="F501" s="108">
        <f>'24M_Seeds'!AN120</f>
        <v>87.2725594519992</v>
      </c>
      <c r="G501" s="108">
        <f>'24M_Seeds'!AO120</f>
        <v>94.188909542695583</v>
      </c>
      <c r="H501" s="108">
        <f>'24M_Seeds'!AP120</f>
        <v>52.207349983024386</v>
      </c>
      <c r="I501" s="107"/>
      <c r="J501" s="107"/>
      <c r="K501" s="107"/>
    </row>
    <row r="502" spans="2:11" x14ac:dyDescent="0.3">
      <c r="B502" s="107"/>
      <c r="C502" s="148" t="s">
        <v>538</v>
      </c>
      <c r="D502" s="108">
        <f>1.96*D501</f>
        <v>20.814698156776252</v>
      </c>
      <c r="E502" s="108">
        <f>1.96*E501</f>
        <v>84.214060571806016</v>
      </c>
      <c r="F502" s="108">
        <f>1.96*F501</f>
        <v>171.05421652591843</v>
      </c>
      <c r="G502" s="108">
        <f>1.96*G501</f>
        <v>184.61026270368333</v>
      </c>
      <c r="H502" s="108">
        <f>1.96*H501</f>
        <v>102.32640596672779</v>
      </c>
      <c r="I502" s="107"/>
      <c r="J502" s="107"/>
      <c r="K502" s="107"/>
    </row>
    <row r="503" spans="2:11" x14ac:dyDescent="0.3">
      <c r="B503" s="107"/>
      <c r="C503" s="148" t="s">
        <v>537</v>
      </c>
      <c r="D503" s="149">
        <f>D501/$K$1</f>
        <v>5.3314644096284478E-5</v>
      </c>
      <c r="E503" s="149">
        <f>E501/$K$1</f>
        <v>2.1570539401875047E-4</v>
      </c>
      <c r="F503" s="149">
        <f>F501/$K$1</f>
        <v>4.3813725313519353E-4</v>
      </c>
      <c r="G503" s="149">
        <f>G501/$K$1</f>
        <v>4.7285962921178565E-4</v>
      </c>
      <c r="H503" s="149">
        <f>H501/$K$1</f>
        <v>2.62098247818788E-4</v>
      </c>
      <c r="I503" s="107"/>
      <c r="J503" s="107"/>
      <c r="K503" s="107"/>
    </row>
    <row r="504" spans="2:11" x14ac:dyDescent="0.3">
      <c r="B504" s="141"/>
      <c r="C504" s="129" t="s">
        <v>539</v>
      </c>
      <c r="D504" s="150">
        <f>1.96*D503</f>
        <v>1.0449670242871758E-4</v>
      </c>
      <c r="E504" s="150">
        <f>1.96*E503</f>
        <v>4.2278257227675091E-4</v>
      </c>
      <c r="F504" s="150">
        <f>1.96*F503</f>
        <v>8.5874901614497936E-4</v>
      </c>
      <c r="G504" s="150">
        <f>1.96*G503</f>
        <v>9.2680487325509989E-4</v>
      </c>
      <c r="H504" s="150">
        <f>1.96*H503</f>
        <v>5.1371256572482445E-4</v>
      </c>
      <c r="I504" s="107"/>
      <c r="J504" s="107"/>
      <c r="K504" s="107"/>
    </row>
    <row r="505" spans="2:11" x14ac:dyDescent="0.3">
      <c r="B505" s="119" t="s">
        <v>464</v>
      </c>
      <c r="C505" s="107"/>
      <c r="D505" s="116"/>
      <c r="E505" s="116"/>
      <c r="F505" s="116"/>
      <c r="G505" s="116"/>
      <c r="H505" s="116"/>
      <c r="I505" s="107"/>
      <c r="J505" s="107"/>
      <c r="K505" s="107"/>
    </row>
    <row r="506" spans="2:11" x14ac:dyDescent="0.3">
      <c r="B506" s="115" t="s">
        <v>409</v>
      </c>
      <c r="C506" s="122" t="s">
        <v>9</v>
      </c>
      <c r="D506" s="136">
        <f>'24M_Seeds'!AL122</f>
        <v>194.96</v>
      </c>
      <c r="E506" s="136">
        <f>'24M_Seeds'!AM122</f>
        <v>1750.14</v>
      </c>
      <c r="F506" s="136">
        <f>'24M_Seeds'!AN122</f>
        <v>16995.509999999998</v>
      </c>
      <c r="G506" s="136">
        <f>'24M_Seeds'!AO122</f>
        <v>2043.64</v>
      </c>
      <c r="H506" s="136">
        <f>'24M_Seeds'!AP122</f>
        <v>1091.94</v>
      </c>
      <c r="I506" s="108">
        <f>$K$2-K506</f>
        <v>90.090000000003783</v>
      </c>
      <c r="J506" s="115" t="s">
        <v>36</v>
      </c>
      <c r="K506" s="137">
        <f t="shared" ref="K506" si="149">SUM(D506:H506)</f>
        <v>22076.189999999995</v>
      </c>
    </row>
    <row r="507" spans="2:11" x14ac:dyDescent="0.3">
      <c r="B507" s="107"/>
      <c r="C507" s="107" t="s">
        <v>533</v>
      </c>
      <c r="D507" s="151">
        <f t="shared" ref="D507:I507" si="150">D506/$K$2</f>
        <v>8.7953413924212829E-3</v>
      </c>
      <c r="E507" s="151">
        <f t="shared" si="150"/>
        <v>7.8955061471748994E-2</v>
      </c>
      <c r="F507" s="151">
        <f t="shared" si="150"/>
        <v>0.76672811134750618</v>
      </c>
      <c r="G507" s="151">
        <f t="shared" si="150"/>
        <v>9.2195893943413154E-2</v>
      </c>
      <c r="H507" s="151">
        <f t="shared" si="150"/>
        <v>4.9261310422858508E-2</v>
      </c>
      <c r="I507" s="147">
        <f t="shared" si="150"/>
        <v>4.0642814220520447E-3</v>
      </c>
      <c r="J507" s="145">
        <f>SUM(D507:I507)</f>
        <v>1</v>
      </c>
      <c r="K507" s="107"/>
    </row>
    <row r="508" spans="2:11" x14ac:dyDescent="0.3">
      <c r="B508" s="115" t="s">
        <v>410</v>
      </c>
      <c r="C508" s="122" t="s">
        <v>9</v>
      </c>
      <c r="D508" s="136">
        <f>'24M_Seeds'!AL124</f>
        <v>194.61449999999999</v>
      </c>
      <c r="E508" s="136">
        <f>'24M_Seeds'!AM124</f>
        <v>1782.2685000000001</v>
      </c>
      <c r="F508" s="136">
        <f>'24M_Seeds'!AN124</f>
        <v>16942.253499999999</v>
      </c>
      <c r="G508" s="136">
        <f>'24M_Seeds'!AO124</f>
        <v>2059.7585000000004</v>
      </c>
      <c r="H508" s="136">
        <f>'24M_Seeds'!AP124</f>
        <v>1097.2799999999997</v>
      </c>
      <c r="I508" s="108">
        <f>$K$2-K508</f>
        <v>90.104999999999563</v>
      </c>
      <c r="J508" s="115" t="s">
        <v>36</v>
      </c>
      <c r="K508" s="137">
        <f t="shared" ref="K508" si="151">SUM(D508:H508)</f>
        <v>22076.174999999999</v>
      </c>
    </row>
    <row r="509" spans="2:11" x14ac:dyDescent="0.3">
      <c r="B509" s="115"/>
      <c r="C509" s="141" t="s">
        <v>533</v>
      </c>
      <c r="D509" s="151">
        <f t="shared" ref="D509:I509" si="152">D508/$K$2</f>
        <v>8.7797546543669034E-3</v>
      </c>
      <c r="E509" s="151">
        <f t="shared" si="152"/>
        <v>8.0404492770099464E-2</v>
      </c>
      <c r="F509" s="151">
        <f t="shared" si="152"/>
        <v>0.76432552056547154</v>
      </c>
      <c r="G509" s="151">
        <f t="shared" si="152"/>
        <v>9.292305700370114E-2</v>
      </c>
      <c r="H509" s="151">
        <f t="shared" si="152"/>
        <v>4.9502216880775655E-2</v>
      </c>
      <c r="I509" s="147">
        <f t="shared" si="152"/>
        <v>4.0649581255853291E-3</v>
      </c>
      <c r="J509" s="145">
        <f>SUM(D509:I509)</f>
        <v>1</v>
      </c>
      <c r="K509" s="137"/>
    </row>
    <row r="510" spans="2:11" x14ac:dyDescent="0.3">
      <c r="B510" s="107"/>
      <c r="C510" s="148" t="s">
        <v>394</v>
      </c>
      <c r="D510" s="108">
        <f>'24M_Seeds'!AL125</f>
        <v>0.38716545830595872</v>
      </c>
      <c r="E510" s="108">
        <f>'24M_Seeds'!AM125</f>
        <v>12.269730174938214</v>
      </c>
      <c r="F510" s="108">
        <f>'24M_Seeds'!AN125</f>
        <v>12.400120442432918</v>
      </c>
      <c r="G510" s="108">
        <f>'24M_Seeds'!AO125</f>
        <v>6.2469345019019249</v>
      </c>
      <c r="H510" s="108">
        <f>'24M_Seeds'!AP125</f>
        <v>4.7878067168479923</v>
      </c>
      <c r="I510" s="107"/>
      <c r="J510" s="107"/>
      <c r="K510" s="142"/>
    </row>
    <row r="511" spans="2:11" x14ac:dyDescent="0.3">
      <c r="B511" s="107"/>
      <c r="C511" s="148" t="s">
        <v>538</v>
      </c>
      <c r="D511" s="108">
        <f>1.96*D510</f>
        <v>0.75884429827967903</v>
      </c>
      <c r="E511" s="108">
        <f>1.96*E510</f>
        <v>24.048671142878899</v>
      </c>
      <c r="F511" s="108">
        <f>1.96*F510</f>
        <v>24.304236067168517</v>
      </c>
      <c r="G511" s="108">
        <f>1.96*G510</f>
        <v>12.243991623727773</v>
      </c>
      <c r="H511" s="108">
        <f>1.96*H510</f>
        <v>9.3841011650220647</v>
      </c>
      <c r="I511" s="107"/>
      <c r="J511" s="107"/>
      <c r="K511" s="107"/>
    </row>
    <row r="512" spans="2:11" x14ac:dyDescent="0.3">
      <c r="B512" s="107"/>
      <c r="C512" s="148" t="s">
        <v>537</v>
      </c>
      <c r="D512" s="149">
        <f>D510/$K$2</f>
        <v>1.7466415578345071E-5</v>
      </c>
      <c r="E512" s="149">
        <f>E510/$K$2</f>
        <v>5.5353131761117402E-4</v>
      </c>
      <c r="F512" s="149">
        <f>F510/$K$2</f>
        <v>5.594136879274699E-4</v>
      </c>
      <c r="G512" s="149">
        <f>G510/$K$2</f>
        <v>2.8182151005499908E-4</v>
      </c>
      <c r="H512" s="149">
        <f>H510/$K$2</f>
        <v>2.1599504819247941E-4</v>
      </c>
      <c r="I512" s="107"/>
      <c r="J512" s="107"/>
      <c r="K512" s="107"/>
    </row>
    <row r="513" spans="2:11" x14ac:dyDescent="0.3">
      <c r="B513" s="141"/>
      <c r="C513" s="129" t="s">
        <v>539</v>
      </c>
      <c r="D513" s="150">
        <f>1.96*D512</f>
        <v>3.423417453355634E-5</v>
      </c>
      <c r="E513" s="150">
        <f>1.96*E512</f>
        <v>1.084921382517901E-3</v>
      </c>
      <c r="F513" s="150">
        <f>1.96*F512</f>
        <v>1.0964508283378409E-3</v>
      </c>
      <c r="G513" s="150">
        <f>1.96*G512</f>
        <v>5.5237015970779815E-4</v>
      </c>
      <c r="H513" s="150">
        <f>1.96*H512</f>
        <v>4.2335029445725965E-4</v>
      </c>
      <c r="I513" s="107"/>
      <c r="J513" s="107"/>
      <c r="K513" s="107"/>
    </row>
    <row r="514" spans="2:11" x14ac:dyDescent="0.3">
      <c r="B514" s="119" t="s">
        <v>465</v>
      </c>
      <c r="C514" s="107"/>
      <c r="D514" s="116"/>
      <c r="E514" s="116"/>
      <c r="F514" s="116"/>
      <c r="G514" s="116"/>
      <c r="H514" s="116"/>
      <c r="I514" s="107"/>
      <c r="J514" s="107"/>
      <c r="K514" s="142"/>
    </row>
    <row r="515" spans="2:11" x14ac:dyDescent="0.3">
      <c r="B515" s="115" t="s">
        <v>409</v>
      </c>
      <c r="C515" s="122" t="s">
        <v>9</v>
      </c>
      <c r="D515" s="136">
        <f>'24M_Seeds'!AL127</f>
        <v>133.96</v>
      </c>
      <c r="E515" s="136">
        <f>'24M_Seeds'!AM127</f>
        <v>774.86</v>
      </c>
      <c r="F515" s="136">
        <f>'24M_Seeds'!AN127</f>
        <v>18334.84</v>
      </c>
      <c r="G515" s="136">
        <f>'24M_Seeds'!AO127</f>
        <v>14076.14</v>
      </c>
      <c r="H515" s="136">
        <f>'24M_Seeds'!AP127</f>
        <v>9908.2099999999991</v>
      </c>
      <c r="I515" s="108">
        <f>$K$3-K515</f>
        <v>190.07999999999447</v>
      </c>
      <c r="J515" s="115" t="s">
        <v>36</v>
      </c>
      <c r="K515" s="137">
        <f t="shared" ref="K515" si="153">SUM(D515:H515)</f>
        <v>43228.01</v>
      </c>
    </row>
    <row r="516" spans="2:11" x14ac:dyDescent="0.3">
      <c r="B516" s="107"/>
      <c r="C516" s="107" t="s">
        <v>534</v>
      </c>
      <c r="D516" s="146">
        <f t="shared" ref="D516:I516" si="154">D515/$K$3</f>
        <v>3.085349908298592E-3</v>
      </c>
      <c r="E516" s="146">
        <f t="shared" si="154"/>
        <v>1.7846478276681451E-2</v>
      </c>
      <c r="F516" s="146">
        <f t="shared" si="154"/>
        <v>0.42228573389571034</v>
      </c>
      <c r="G516" s="146">
        <f t="shared" si="154"/>
        <v>0.32419988995370363</v>
      </c>
      <c r="H516" s="146">
        <f t="shared" si="154"/>
        <v>0.22820464926025075</v>
      </c>
      <c r="I516" s="146">
        <f t="shared" si="154"/>
        <v>4.3778987053551752E-3</v>
      </c>
      <c r="J516" s="145">
        <f>SUM(D516:I516)</f>
        <v>1</v>
      </c>
      <c r="K516" s="142"/>
    </row>
    <row r="517" spans="2:11" x14ac:dyDescent="0.3">
      <c r="B517" s="115" t="s">
        <v>410</v>
      </c>
      <c r="C517" s="122" t="s">
        <v>9</v>
      </c>
      <c r="D517" s="136">
        <f>'24M_Seeds'!AL129</f>
        <v>128.2825</v>
      </c>
      <c r="E517" s="136">
        <f>'24M_Seeds'!AM129</f>
        <v>823.54099999999994</v>
      </c>
      <c r="F517" s="136">
        <f>'24M_Seeds'!AN129</f>
        <v>18237.765999999996</v>
      </c>
      <c r="G517" s="136">
        <f>'24M_Seeds'!AO129</f>
        <v>14101.803</v>
      </c>
      <c r="H517" s="136">
        <f>'24M_Seeds'!AP129</f>
        <v>9936.6260000000002</v>
      </c>
      <c r="I517" s="108">
        <f>$K$3-K517</f>
        <v>190.07150000000547</v>
      </c>
      <c r="J517" s="115" t="s">
        <v>36</v>
      </c>
      <c r="K517" s="137">
        <f t="shared" ref="K517" si="155">SUM(D517:H517)</f>
        <v>43228.018499999991</v>
      </c>
    </row>
    <row r="518" spans="2:11" x14ac:dyDescent="0.3">
      <c r="B518" s="115"/>
      <c r="C518" s="141" t="s">
        <v>533</v>
      </c>
      <c r="D518" s="151">
        <f t="shared" ref="D518:I518" si="156">D517/$K$3</f>
        <v>2.9545864408130344E-3</v>
      </c>
      <c r="E518" s="151">
        <f t="shared" si="156"/>
        <v>1.8967692959317189E-2</v>
      </c>
      <c r="F518" s="151">
        <f t="shared" si="156"/>
        <v>0.42004993771029536</v>
      </c>
      <c r="G518" s="151">
        <f t="shared" si="156"/>
        <v>0.32479095694905052</v>
      </c>
      <c r="H518" s="151">
        <f t="shared" si="156"/>
        <v>0.22885912300610187</v>
      </c>
      <c r="I518" s="146">
        <f t="shared" si="156"/>
        <v>4.377702934422161E-3</v>
      </c>
      <c r="J518" s="145">
        <f>SUM(D518:I518)</f>
        <v>1</v>
      </c>
      <c r="K518" s="137"/>
    </row>
    <row r="519" spans="2:11" x14ac:dyDescent="0.3">
      <c r="B519" s="107"/>
      <c r="C519" s="148" t="s">
        <v>394</v>
      </c>
      <c r="D519" s="108">
        <f>'24M_Seeds'!AL130</f>
        <v>4.0395335110433512</v>
      </c>
      <c r="E519" s="108">
        <f>'24M_Seeds'!AM130</f>
        <v>12.421602890465506</v>
      </c>
      <c r="F519" s="108">
        <f>'24M_Seeds'!AN130</f>
        <v>20.186996327756145</v>
      </c>
      <c r="G519" s="108">
        <f>'24M_Seeds'!AO130</f>
        <v>23.529148664895118</v>
      </c>
      <c r="H519" s="108">
        <f>'24M_Seeds'!AP130</f>
        <v>16.386174249235697</v>
      </c>
      <c r="I519" s="107"/>
      <c r="J519" s="107"/>
      <c r="K519" s="142"/>
    </row>
    <row r="520" spans="2:11" x14ac:dyDescent="0.3">
      <c r="B520" s="107"/>
      <c r="C520" s="148" t="s">
        <v>538</v>
      </c>
      <c r="D520" s="108">
        <f>1.96*D519</f>
        <v>7.9174856816449681</v>
      </c>
      <c r="E520" s="108">
        <f>1.96*E519</f>
        <v>24.346341665312391</v>
      </c>
      <c r="F520" s="108">
        <f>1.96*F519</f>
        <v>39.566512802402045</v>
      </c>
      <c r="G520" s="108">
        <f>1.96*G519</f>
        <v>46.117131383194433</v>
      </c>
      <c r="H520" s="108">
        <f>1.96*H519</f>
        <v>32.11690152850197</v>
      </c>
      <c r="I520" s="107"/>
      <c r="J520" s="107"/>
      <c r="K520" s="107"/>
    </row>
    <row r="521" spans="2:11" x14ac:dyDescent="0.3">
      <c r="B521" s="107"/>
      <c r="C521" s="148" t="s">
        <v>537</v>
      </c>
      <c r="D521" s="149">
        <f>D519/$K$3</f>
        <v>9.3038028873295708E-5</v>
      </c>
      <c r="E521" s="149">
        <f>E519/$K$3</f>
        <v>2.8609279888787154E-4</v>
      </c>
      <c r="F521" s="149">
        <f>F519/$K$3</f>
        <v>4.6494436599482257E-4</v>
      </c>
      <c r="G521" s="149">
        <f>G519/$K$3</f>
        <v>5.4192039919063963E-4</v>
      </c>
      <c r="H521" s="149">
        <f>H519/$K$3</f>
        <v>3.7740430887760608E-4</v>
      </c>
      <c r="I521" s="107"/>
      <c r="J521" s="107"/>
      <c r="K521" s="107"/>
    </row>
    <row r="522" spans="2:11" x14ac:dyDescent="0.3">
      <c r="B522" s="141"/>
      <c r="C522" s="129" t="s">
        <v>539</v>
      </c>
      <c r="D522" s="150">
        <f>1.96*D521</f>
        <v>1.8235453659165958E-4</v>
      </c>
      <c r="E522" s="150">
        <f>1.96*E521</f>
        <v>5.6074188582022817E-4</v>
      </c>
      <c r="F522" s="150">
        <f>1.96*F521</f>
        <v>9.1129095734985221E-4</v>
      </c>
      <c r="G522" s="150">
        <f>1.96*G521</f>
        <v>1.0621639824136535E-3</v>
      </c>
      <c r="H522" s="150">
        <f>1.96*H521</f>
        <v>7.3971244540010786E-4</v>
      </c>
      <c r="I522" s="107"/>
      <c r="J522" s="107"/>
      <c r="K522" s="107"/>
    </row>
    <row r="523" spans="2:11" x14ac:dyDescent="0.3">
      <c r="B523" s="119" t="s">
        <v>466</v>
      </c>
      <c r="C523" s="107"/>
      <c r="D523" s="116"/>
      <c r="E523" s="116"/>
      <c r="F523" s="116"/>
      <c r="G523" s="116"/>
      <c r="H523" s="116"/>
      <c r="I523" s="107"/>
      <c r="J523" s="107"/>
      <c r="K523" s="142"/>
    </row>
    <row r="524" spans="2:11" x14ac:dyDescent="0.3">
      <c r="B524" s="115" t="s">
        <v>409</v>
      </c>
      <c r="C524" s="122" t="s">
        <v>9</v>
      </c>
      <c r="D524" s="136">
        <f>'24M_Seeds'!AL132</f>
        <v>0.22</v>
      </c>
      <c r="E524" s="136">
        <f>'24M_Seeds'!AM132</f>
        <v>62</v>
      </c>
      <c r="F524" s="136">
        <f>'24M_Seeds'!AN132</f>
        <v>1403.24</v>
      </c>
      <c r="G524" s="136">
        <f>'24M_Seeds'!AO132</f>
        <v>308.97000000000003</v>
      </c>
      <c r="H524" s="136">
        <f>'24M_Seeds'!AP132</f>
        <v>78.900000000000006</v>
      </c>
      <c r="I524" s="108">
        <f>$K$4-K524</f>
        <v>8.2199999999997999</v>
      </c>
      <c r="J524" s="115" t="s">
        <v>36</v>
      </c>
      <c r="K524" s="137">
        <f t="shared" ref="K524" si="157">SUM(D524:H524)</f>
        <v>1853.3300000000002</v>
      </c>
    </row>
    <row r="525" spans="2:11" x14ac:dyDescent="0.3">
      <c r="B525" s="107"/>
      <c r="C525" s="141" t="s">
        <v>533</v>
      </c>
      <c r="D525" s="151">
        <f t="shared" ref="D525:I525" si="158">D524/$K$4</f>
        <v>1.1818108565442776E-4</v>
      </c>
      <c r="E525" s="151">
        <f t="shared" si="158"/>
        <v>3.330557868442964E-2</v>
      </c>
      <c r="F525" s="151">
        <f t="shared" si="158"/>
        <v>0.75380193924417827</v>
      </c>
      <c r="G525" s="151">
        <f t="shared" si="158"/>
        <v>0.16597459106658433</v>
      </c>
      <c r="H525" s="151">
        <f t="shared" si="158"/>
        <v>4.2384034809701598E-2</v>
      </c>
      <c r="I525" s="147">
        <f t="shared" si="158"/>
        <v>4.4156751094516934E-3</v>
      </c>
      <c r="J525" s="145">
        <f>SUM(D525:I525)</f>
        <v>1</v>
      </c>
      <c r="K525" s="142"/>
    </row>
    <row r="526" spans="2:11" x14ac:dyDescent="0.3">
      <c r="B526" s="115" t="s">
        <v>410</v>
      </c>
      <c r="C526" s="122" t="s">
        <v>9</v>
      </c>
      <c r="D526" s="136">
        <f>'24M_Seeds'!AL134</f>
        <v>0.22649999999999998</v>
      </c>
      <c r="E526" s="136">
        <f>'24M_Seeds'!AM134</f>
        <v>66.571999999999974</v>
      </c>
      <c r="F526" s="136">
        <f>'24M_Seeds'!AN134</f>
        <v>1396.4585</v>
      </c>
      <c r="G526" s="136">
        <f>'24M_Seeds'!AO134</f>
        <v>310.15399999999994</v>
      </c>
      <c r="H526" s="136">
        <f>'24M_Seeds'!AP134</f>
        <v>79.926500000000004</v>
      </c>
      <c r="I526" s="108">
        <f>$K$4-K526</f>
        <v>8.2125000000000909</v>
      </c>
      <c r="J526" s="115" t="s">
        <v>36</v>
      </c>
      <c r="K526" s="137">
        <f t="shared" ref="K526" si="159">SUM(D526:H526)</f>
        <v>1853.3374999999999</v>
      </c>
    </row>
    <row r="527" spans="2:11" x14ac:dyDescent="0.3">
      <c r="B527" s="115"/>
      <c r="C527" s="141" t="s">
        <v>533</v>
      </c>
      <c r="D527" s="151">
        <f t="shared" ref="D527:I527" si="160">D526/$K$4</f>
        <v>1.2167279954876312E-4</v>
      </c>
      <c r="E527" s="151">
        <f t="shared" si="160"/>
        <v>3.5761596519029826E-2</v>
      </c>
      <c r="F527" s="151">
        <f t="shared" si="160"/>
        <v>0.75015900727888052</v>
      </c>
      <c r="G527" s="151">
        <f t="shared" si="160"/>
        <v>0.16661062018210629</v>
      </c>
      <c r="H527" s="151">
        <f t="shared" si="160"/>
        <v>4.2935457011630096E-2</v>
      </c>
      <c r="I527" s="147">
        <f t="shared" si="160"/>
        <v>4.4116462088045396E-3</v>
      </c>
      <c r="J527" s="145">
        <f>SUM(D527:I527)</f>
        <v>0.99999999999999989</v>
      </c>
      <c r="K527" s="137"/>
    </row>
    <row r="528" spans="2:11" x14ac:dyDescent="0.3">
      <c r="B528" s="107"/>
      <c r="C528" s="148" t="s">
        <v>394</v>
      </c>
      <c r="D528" s="108">
        <f>'24M_Seeds'!AL135</f>
        <v>1.667451569564201E-2</v>
      </c>
      <c r="E528" s="108">
        <f>'24M_Seeds'!AM135</f>
        <v>1.1084675528807659</v>
      </c>
      <c r="F528" s="108">
        <f>'24M_Seeds'!AN135</f>
        <v>1.100741203629817</v>
      </c>
      <c r="G528" s="108">
        <f>'24M_Seeds'!AO135</f>
        <v>0.63632183184628366</v>
      </c>
      <c r="H528" s="108">
        <f>'24M_Seeds'!AP135</f>
        <v>0.4134414456091316</v>
      </c>
      <c r="I528" s="107"/>
      <c r="J528" s="107"/>
      <c r="K528" s="107"/>
    </row>
    <row r="529" spans="2:11" x14ac:dyDescent="0.3">
      <c r="B529" s="107"/>
      <c r="C529" s="148" t="s">
        <v>538</v>
      </c>
      <c r="D529" s="108">
        <f>1.96*D528</f>
        <v>3.2682050763458342E-2</v>
      </c>
      <c r="E529" s="108">
        <f>1.96*E528</f>
        <v>2.1725964036463012</v>
      </c>
      <c r="F529" s="108">
        <f>1.96*F528</f>
        <v>2.1574527591144412</v>
      </c>
      <c r="G529" s="108">
        <f>1.96*G528</f>
        <v>1.2471907904187161</v>
      </c>
      <c r="H529" s="108">
        <f>1.96*H528</f>
        <v>0.81034523339389797</v>
      </c>
      <c r="I529" s="107"/>
      <c r="J529" s="107"/>
      <c r="K529" s="107"/>
    </row>
    <row r="530" spans="2:11" x14ac:dyDescent="0.3">
      <c r="B530" s="107"/>
      <c r="C530" s="148" t="s">
        <v>537</v>
      </c>
      <c r="D530" s="149">
        <f>D528/$K$4</f>
        <v>8.9573289439671298E-6</v>
      </c>
      <c r="E530" s="149">
        <f>E528/$K$4</f>
        <v>5.9545408550979882E-4</v>
      </c>
      <c r="F530" s="149">
        <f>F528/$K$4</f>
        <v>5.9130359304333325E-4</v>
      </c>
      <c r="G530" s="149">
        <f>G528/$K$4</f>
        <v>3.4182365869640016E-4</v>
      </c>
      <c r="H530" s="149">
        <f>H528/$K$4</f>
        <v>2.2209526771192374E-4</v>
      </c>
      <c r="I530" s="107"/>
      <c r="J530" s="107"/>
      <c r="K530" s="107"/>
    </row>
    <row r="531" spans="2:11" x14ac:dyDescent="0.3">
      <c r="B531" s="107"/>
      <c r="C531" s="129" t="s">
        <v>539</v>
      </c>
      <c r="D531" s="150">
        <f>1.96*D530</f>
        <v>1.7556364730175575E-5</v>
      </c>
      <c r="E531" s="150">
        <f>1.96*E530</f>
        <v>1.1670900075992057E-3</v>
      </c>
      <c r="F531" s="150">
        <f>1.96*F530</f>
        <v>1.1589550423649331E-3</v>
      </c>
      <c r="G531" s="150">
        <f>1.96*G530</f>
        <v>6.6997437104494427E-4</v>
      </c>
      <c r="H531" s="150">
        <f>1.96*H530</f>
        <v>4.353067247153705E-4</v>
      </c>
      <c r="I531" s="107"/>
      <c r="J531" s="107"/>
      <c r="K531" s="107"/>
    </row>
    <row r="535" spans="2:11" x14ac:dyDescent="0.3">
      <c r="B535" s="131" t="s">
        <v>542</v>
      </c>
      <c r="D535" s="154" t="s">
        <v>524</v>
      </c>
      <c r="E535" s="155" t="s">
        <v>523</v>
      </c>
      <c r="F535" s="156" t="s">
        <v>525</v>
      </c>
      <c r="G535" s="157" t="s">
        <v>526</v>
      </c>
      <c r="H535" s="158" t="s">
        <v>527</v>
      </c>
    </row>
    <row r="536" spans="2:11" x14ac:dyDescent="0.3">
      <c r="B536" s="132" t="s">
        <v>528</v>
      </c>
      <c r="C536" s="165" t="s">
        <v>81</v>
      </c>
      <c r="D536" s="160">
        <f>MIN(D18,D66,D114,D162,D210,D258,D306,D354,D402,D450,D498)</f>
        <v>0</v>
      </c>
      <c r="E536" s="160">
        <f>MIN(E18,E66,E114,E162,E210,E258,E306,E354,E402,E450,E498)</f>
        <v>7.6035392512203699E-4</v>
      </c>
      <c r="F536" s="160">
        <f>MIN(F18,F66,F114,F162,F210,F258,F306,F354,F402,F450,F498)</f>
        <v>1.40112264453015E-3</v>
      </c>
      <c r="G536" s="160">
        <f>MIN(G18,G66,G114,G162,G210,G258,G306,G354,G402,G450,G498)</f>
        <v>1.3953256294230462E-3</v>
      </c>
      <c r="H536" s="161">
        <f>MIN(H18,H66,H114,H162,H210,H258,H306,H354,H402,H450,H498)</f>
        <v>1.4222102828599095E-3</v>
      </c>
    </row>
    <row r="537" spans="2:11" x14ac:dyDescent="0.3">
      <c r="B537" s="107" t="s">
        <v>543</v>
      </c>
      <c r="C537" s="166" t="s">
        <v>540</v>
      </c>
      <c r="D537" s="159">
        <f>AVERAGE(D18,D66,D114,D162,D210,D258,D306,D354,D402,D450,D498)</f>
        <v>4.5128569217642968E-6</v>
      </c>
      <c r="E537" s="159">
        <f>AVERAGE(E18,E66,E114,E162,E210,E258,E306,E354,E402,E450,E498)</f>
        <v>1.4118145795680036E-3</v>
      </c>
      <c r="F537" s="159">
        <f>AVERAGE(F18,F66,F114,F162,F210,F258,F306,F354,F402,F450,F498)</f>
        <v>2.1520847055540829E-3</v>
      </c>
      <c r="G537" s="159">
        <f>AVERAGE(G18,G66,G114,G162,G210,G258,G306,G354,G402,G450,G498)</f>
        <v>2.3860361137809996E-3</v>
      </c>
      <c r="H537" s="162">
        <f>AVERAGE(H18,H66,H114,H162,H210,H258,H306,H354,H402,H450,H498)</f>
        <v>2.3813552228815595E-3</v>
      </c>
      <c r="J537" s="153"/>
    </row>
    <row r="538" spans="2:11" x14ac:dyDescent="0.3">
      <c r="B538" s="115" t="s">
        <v>378</v>
      </c>
      <c r="C538" s="166" t="s">
        <v>82</v>
      </c>
      <c r="D538" s="168">
        <f>MEDIAN(D18,D66,D114,D162,D210,D258,D306,D354,D402,D450,D498)</f>
        <v>0</v>
      </c>
      <c r="E538" s="168">
        <f>MEDIAN(E18,E66,E114,E162,E210,E258,E306,E354,E402,E450,E498)</f>
        <v>1.2687435525200103E-3</v>
      </c>
      <c r="F538" s="168">
        <f>MEDIAN(F18,F66,F114,F162,F210,F258,F306,F354,F402,F450,F498)</f>
        <v>1.8597634483213691E-3</v>
      </c>
      <c r="G538" s="168">
        <f>MEDIAN(G18,G66,G114,G162,G210,G258,G306,G354,G402,G450,G498)</f>
        <v>1.8017895447944548E-3</v>
      </c>
      <c r="H538" s="169">
        <f>MEDIAN(H18,H66,H114,H162,H210,H258,H306,H354,H402,H450,H498)</f>
        <v>1.6230189870912247E-3</v>
      </c>
      <c r="J538" s="153"/>
    </row>
    <row r="539" spans="2:11" x14ac:dyDescent="0.3">
      <c r="C539" s="166" t="s">
        <v>541</v>
      </c>
      <c r="D539" s="159">
        <f>MAX(D18,D66,D114,D162,D210,D258,D306,D354,D402,D450,D498)</f>
        <v>4.9641426139407264E-5</v>
      </c>
      <c r="E539" s="159">
        <f>MAX(E18,E66,E114,E162,E210,E258,E306,E354,E402,E450,E498)</f>
        <v>2.7226956347253983E-3</v>
      </c>
      <c r="F539" s="159">
        <f>MAX(F18,F66,F114,F162,F210,F258,F306,F354,F402,F450,F498)</f>
        <v>4.8256806230132275E-3</v>
      </c>
      <c r="G539" s="159">
        <f>MAX(G18,G66,G114,G162,G210,G258,G306,G354,G402,G450,G498)</f>
        <v>5.5452967972648738E-3</v>
      </c>
      <c r="H539" s="162">
        <f>MAX(H18,H66,H114,H162,H210,H258,H306,H354,H402,H450,H498)</f>
        <v>6.2012159177279279E-3</v>
      </c>
      <c r="J539" s="153"/>
    </row>
    <row r="540" spans="2:11" x14ac:dyDescent="0.3">
      <c r="B540" s="132" t="s">
        <v>528</v>
      </c>
      <c r="C540" s="165" t="s">
        <v>81</v>
      </c>
      <c r="D540" s="160">
        <f>MIN(D23,D71,D119,D167,D215,D263,D311,D359,D407,D455,D503)</f>
        <v>1.1313591447392635E-5</v>
      </c>
      <c r="E540" s="160">
        <f>MIN(E23,E71,E119,E167,E215,E263,E311,E359,E407,E455,E503)</f>
        <v>1.8115122234812025E-4</v>
      </c>
      <c r="F540" s="160">
        <f>MIN(F23,F71,F119,F167,F215,F263,F311,F359,F407,F455,F503)</f>
        <v>3.0816175727448974E-4</v>
      </c>
      <c r="G540" s="160">
        <f>MIN(G23,G71,G119,G167,G215,G263,G311,G359,G407,G455,G503)</f>
        <v>1.9102823227466938E-4</v>
      </c>
      <c r="H540" s="161">
        <f>MIN(H23,H71,H119,H167,H215,H263,H311,H359,H407,H455,H503)</f>
        <v>2.3076172285787369E-4</v>
      </c>
      <c r="I540" s="153"/>
      <c r="J540" s="153"/>
    </row>
    <row r="541" spans="2:11" x14ac:dyDescent="0.3">
      <c r="B541" s="115" t="s">
        <v>410</v>
      </c>
      <c r="C541" s="166" t="s">
        <v>540</v>
      </c>
      <c r="D541" s="159">
        <f>AVERAGE(D23,D71,D119,D167,D215,D263,D311,D359,D407,D455,D503)</f>
        <v>7.8477637561335921E-5</v>
      </c>
      <c r="E541" s="159">
        <f>AVERAGE(E23,E71,E119,E167,E215,E263,E311,E359,E407,E455,E503)</f>
        <v>4.9044480699331455E-4</v>
      </c>
      <c r="F541" s="159">
        <f>AVERAGE(F23,F71,F119,F167,F215,F263,F311,F359,F407,F455,F503)</f>
        <v>8.0519510942741383E-4</v>
      </c>
      <c r="G541" s="159">
        <f>AVERAGE(G23,G71,G119,G167,G215,G263,G311,G359,G407,G455,G503)</f>
        <v>6.3706090237532849E-4</v>
      </c>
      <c r="H541" s="162">
        <f>AVERAGE(H23,H71,H119,H167,H215,H263,H311,H359,H407,H455,H503)</f>
        <v>5.4380551613875485E-4</v>
      </c>
      <c r="J541" s="153"/>
    </row>
    <row r="542" spans="2:11" x14ac:dyDescent="0.3">
      <c r="C542" s="166" t="s">
        <v>82</v>
      </c>
      <c r="D542" s="168">
        <f>MEDIAN(D23,D71,D119,D167,D215,D263,D311,D359,D407,D455,D503)</f>
        <v>2.5200181076061883E-5</v>
      </c>
      <c r="E542" s="168">
        <f>MEDIAN(E23,E71,E119,E167,E215,E263,E311,E359,E407,E455,E503)</f>
        <v>2.4350745481646301E-4</v>
      </c>
      <c r="F542" s="168">
        <f>MEDIAN(F23,F71,F119,F167,F215,F263,F311,F359,F407,F455,F503)</f>
        <v>4.7047111788600562E-4</v>
      </c>
      <c r="G542" s="168">
        <f>MEDIAN(G23,G71,G119,G167,G215,G263,G311,G359,G407,G455,G503)</f>
        <v>3.9276854668500043E-4</v>
      </c>
      <c r="H542" s="169">
        <f>MEDIAN(H23,H71,H119,H167,H215,H263,H311,H359,H407,H455,H503)</f>
        <v>3.2457753562576249E-4</v>
      </c>
      <c r="J542" s="153"/>
    </row>
    <row r="543" spans="2:11" x14ac:dyDescent="0.3">
      <c r="C543" s="167" t="s">
        <v>541</v>
      </c>
      <c r="D543" s="163">
        <f>MAX(D23,D71,D119,D167,D215,D263,D311,D359,D407,D455,D503)</f>
        <v>5.9373938401248048E-4</v>
      </c>
      <c r="E543" s="163">
        <f>MAX(E23,E71,E119,E167,E215,E263,E311,E359,E407,E455,E503)</f>
        <v>2.6468578482171136E-3</v>
      </c>
      <c r="F543" s="163">
        <f>MAX(F23,F71,F119,F167,F215,F263,F311,F359,F407,F455,F503)</f>
        <v>3.4645861823812039E-3</v>
      </c>
      <c r="G543" s="163">
        <f>MAX(G23,G71,G119,G167,G215,G263,G311,G359,G407,G455,G503)</f>
        <v>2.7079051626324856E-3</v>
      </c>
      <c r="H543" s="164">
        <f>MAX(H23,H71,H119,H167,H215,H263,H311,H359,H407,H455,H503)</f>
        <v>2.1874059925299743E-3</v>
      </c>
      <c r="J543" s="153"/>
    </row>
    <row r="544" spans="2:11" x14ac:dyDescent="0.3">
      <c r="B544" s="132" t="s">
        <v>535</v>
      </c>
      <c r="C544" s="166" t="s">
        <v>81</v>
      </c>
      <c r="D544" s="159">
        <f>MIN(D32,D80,D128,D176,D224,D272,D320,D368,D416,D464,D512)</f>
        <v>1.0960222586742447E-5</v>
      </c>
      <c r="E544" s="159">
        <f>MIN(E32,E80,E128,E176,E224,E272,E320,E368,E416,E464,E512)</f>
        <v>2.1004515721715654E-4</v>
      </c>
      <c r="F544" s="159">
        <f>MIN(F32,F80,F128,F176,F224,F272,F320,F368,F416,F464,F512)</f>
        <v>2.7926756814176696E-4</v>
      </c>
      <c r="G544" s="159">
        <f>MIN(G32,G80,G128,G176,G224,G272,G320,G368,G416,G464,G512)</f>
        <v>1.4899488022142304E-4</v>
      </c>
      <c r="H544" s="162">
        <f>MIN(H32,H80,H128,H176,H224,H272,H320,H368,H416,H464,H512)</f>
        <v>2.1599504819247941E-4</v>
      </c>
      <c r="J544" s="153"/>
    </row>
    <row r="545" spans="2:10" x14ac:dyDescent="0.3">
      <c r="B545" s="115" t="s">
        <v>410</v>
      </c>
      <c r="C545" s="166" t="s">
        <v>540</v>
      </c>
      <c r="D545" s="159">
        <f>AVERAGE(D32,D80,D128,D176,D224,D272,D320,D368,D416,D464,D512)</f>
        <v>4.5146773222004685E-5</v>
      </c>
      <c r="E545" s="159">
        <f>AVERAGE(E32,E80,E128,E176,E224,E272,E320,E368,E416,E464,E512)</f>
        <v>4.6234526652289237E-4</v>
      </c>
      <c r="F545" s="159">
        <f>AVERAGE(F32,F80,F128,F176,F224,F272,F320,F368,F416,F464,F512)</f>
        <v>6.8929731641202338E-4</v>
      </c>
      <c r="G545" s="159">
        <f>AVERAGE(G32,G80,G128,G176,G224,G272,G320,G368,G416,G464,G512)</f>
        <v>3.8230836083427109E-4</v>
      </c>
      <c r="H545" s="162">
        <f>AVERAGE(H32,H80,H128,H176,H224,H272,H320,H368,H416,H464,H512)</f>
        <v>4.1248112287510085E-4</v>
      </c>
      <c r="J545" s="153"/>
    </row>
    <row r="546" spans="2:10" x14ac:dyDescent="0.3">
      <c r="C546" s="166" t="s">
        <v>82</v>
      </c>
      <c r="D546" s="168">
        <f>MEDIAN(D32,D80,D128,D176,D224,D272,D320,D368,D416,D464,D512)</f>
        <v>2.2931170642211923E-5</v>
      </c>
      <c r="E546" s="168">
        <f>MEDIAN(E32,E80,E128,E176,E224,E272,E320,E368,E416,E464,E512)</f>
        <v>4.1792295533246135E-4</v>
      </c>
      <c r="F546" s="168">
        <f>MEDIAN(F32,F80,F128,F176,F224,F272,F320,F368,F416,F464,F512)</f>
        <v>5.4642494920097888E-4</v>
      </c>
      <c r="G546" s="168">
        <f>MEDIAN(G32,G80,G128,G176,G224,G272,G320,G368,G416,G464,G512)</f>
        <v>2.9319112850889731E-4</v>
      </c>
      <c r="H546" s="169">
        <f>MEDIAN(H32,H80,H128,H176,H224,H272,H320,H368,H416,H464,H512)</f>
        <v>2.9671834225047559E-4</v>
      </c>
      <c r="J546" s="153"/>
    </row>
    <row r="547" spans="2:10" x14ac:dyDescent="0.3">
      <c r="C547" s="166" t="s">
        <v>541</v>
      </c>
      <c r="D547" s="159">
        <f>MAX(D32,D80,D128,D176,D224,D272,D320,D368,D416,D464,D512)</f>
        <v>2.0484600251690765E-4</v>
      </c>
      <c r="E547" s="159">
        <f>MAX(E32,E80,E128,E176,E224,E272,E320,E368,E416,E464,E512)</f>
        <v>8.4106679900949552E-4</v>
      </c>
      <c r="F547" s="159">
        <f>MAX(F32,F80,F128,F176,F224,F272,F320,F368,F416,F464,F512)</f>
        <v>1.3661580267016009E-3</v>
      </c>
      <c r="G547" s="159">
        <f>MAX(G32,G80,G128,G176,G224,G272,G320,G368,G416,G464,G512)</f>
        <v>1.2497219375813893E-3</v>
      </c>
      <c r="H547" s="162">
        <f>MAX(H32,H80,H128,H176,H224,H272,H320,H368,H416,H464,H512)</f>
        <v>1.0186552082865972E-3</v>
      </c>
      <c r="J547" s="153"/>
    </row>
    <row r="548" spans="2:10" x14ac:dyDescent="0.3">
      <c r="B548" s="132" t="s">
        <v>417</v>
      </c>
      <c r="C548" s="165" t="s">
        <v>81</v>
      </c>
      <c r="D548" s="160">
        <f>MIN(D41,D89,D137,D185,D233,D281,D329,D377,D425,D473,D521)</f>
        <v>3.0646414531239364E-6</v>
      </c>
      <c r="E548" s="160">
        <f>MIN(E41,E89,E137,E185,E233,E281,E329,E377,E425,E473,E521)</f>
        <v>1.9077895881239379E-5</v>
      </c>
      <c r="F548" s="160">
        <f>MIN(F41,F89,F137,F185,F233,F281,F329,F377,F425,F473,F521)</f>
        <v>3.5993984069206033E-4</v>
      </c>
      <c r="G548" s="160">
        <f>MIN(G41,G89,G137,G185,G233,G281,G329,G377,G425,G473,G521)</f>
        <v>3.1263429123641763E-4</v>
      </c>
      <c r="H548" s="161">
        <f>MIN(H41,H89,H137,H185,H233,H281,H329,H377,H425,H473,H521)</f>
        <v>3.2523267232945405E-4</v>
      </c>
      <c r="J548" s="153"/>
    </row>
    <row r="549" spans="2:10" x14ac:dyDescent="0.3">
      <c r="B549" s="115" t="s">
        <v>410</v>
      </c>
      <c r="C549" s="166" t="s">
        <v>540</v>
      </c>
      <c r="D549" s="159">
        <f>AVERAGE(D41,D89,D137,D185,D233,D281,D329,D377,D425,D473,D521)</f>
        <v>5.7764759703077673E-5</v>
      </c>
      <c r="E549" s="159">
        <f>AVERAGE(E41,E89,E137,E185,E233,E281,E329,E377,E425,E473,E521)</f>
        <v>1.0576794983795211E-4</v>
      </c>
      <c r="F549" s="159">
        <f>AVERAGE(F41,F89,F137,F185,F233,F281,F329,F377,F425,F473,F521)</f>
        <v>5.7697527242920633E-4</v>
      </c>
      <c r="G549" s="159">
        <f>AVERAGE(G41,G89,G137,G185,G233,G281,G329,G377,G425,G473,G521)</f>
        <v>6.0784478975202979E-4</v>
      </c>
      <c r="H549" s="162">
        <f>AVERAGE(H41,H89,H137,H185,H233,H281,H329,H377,H425,H473,H521)</f>
        <v>5.5273200991229874E-4</v>
      </c>
      <c r="J549" s="153"/>
    </row>
    <row r="550" spans="2:10" x14ac:dyDescent="0.3">
      <c r="C550" s="166" t="s">
        <v>82</v>
      </c>
      <c r="D550" s="168">
        <f>MEDIAN(D41,D89,D137,D185,D233,D281,D329,D377,D425,D473,D521)</f>
        <v>5.6427873343409425E-5</v>
      </c>
      <c r="E550" s="168">
        <f>MEDIAN(E41,E89,E137,E185,E233,E281,E329,E377,E425,E473,E521)</f>
        <v>7.4198596882436038E-5</v>
      </c>
      <c r="F550" s="168">
        <f>MEDIAN(F41,F89,F137,F185,F233,F281,F329,F377,F425,F473,F521)</f>
        <v>4.6230467192202754E-4</v>
      </c>
      <c r="G550" s="168">
        <f>MEDIAN(G41,G89,G137,G185,G233,G281,G329,G377,G425,G473,G521)</f>
        <v>5.4192039919063963E-4</v>
      </c>
      <c r="H550" s="169">
        <f>MEDIAN(H41,H89,H137,H185,H233,H281,H329,H377,H425,H473,H521)</f>
        <v>5.1637095545299671E-4</v>
      </c>
      <c r="J550" s="153"/>
    </row>
    <row r="551" spans="2:10" x14ac:dyDescent="0.3">
      <c r="C551" s="167" t="s">
        <v>541</v>
      </c>
      <c r="D551" s="163">
        <f>MAX(D41,D89,D137,D185,D233,D281,D329,D377,D425,D473,D521)</f>
        <v>1.4011629572104382E-4</v>
      </c>
      <c r="E551" s="163">
        <f>MAX(E41,E89,E137,E185,E233,E281,E329,E377,E425,E473,E521)</f>
        <v>2.907931588830318E-4</v>
      </c>
      <c r="F551" s="163">
        <f>MAX(F41,F89,F137,F185,F233,F281,F329,F377,F425,F473,F521)</f>
        <v>1.0482264355550742E-3</v>
      </c>
      <c r="G551" s="163">
        <f>MAX(G41,G89,G137,G185,G233,G281,G329,G377,G425,G473,G521)</f>
        <v>1.1786420565828301E-3</v>
      </c>
      <c r="H551" s="164">
        <f>MAX(H41,H89,H137,H185,H233,H281,H329,H377,H425,H473,H521)</f>
        <v>9.3967487483722625E-4</v>
      </c>
      <c r="J551" s="153"/>
    </row>
    <row r="552" spans="2:10" x14ac:dyDescent="0.3">
      <c r="B552" s="132" t="s">
        <v>536</v>
      </c>
      <c r="C552" s="166" t="s">
        <v>81</v>
      </c>
      <c r="D552" s="159">
        <f>MIN(D50,D98,D146,D194,D242,D290,D338,D386,D434,D482,D530)</f>
        <v>0</v>
      </c>
      <c r="E552" s="159">
        <f>MIN(E50,E98,E146,E194,E242,E290,E338,E386,E434,E482,E530)</f>
        <v>4.4953518094875786E-5</v>
      </c>
      <c r="F552" s="159">
        <f>MIN(F50,F98,F146,F194,F242,F290,F338,F386,F434,F482,F530)</f>
        <v>3.0668129427208088E-4</v>
      </c>
      <c r="G552" s="159">
        <f>MIN(G50,G98,G146,G194,G242,G290,G338,G386,G434,G482,G530)</f>
        <v>1.4766197058576838E-4</v>
      </c>
      <c r="H552" s="162">
        <f>MIN(H50,H98,H146,H194,H242,H290,H338,H386,H434,H482,H530)</f>
        <v>2.2209526771192374E-4</v>
      </c>
      <c r="J552" s="153"/>
    </row>
    <row r="553" spans="2:10" x14ac:dyDescent="0.3">
      <c r="B553" s="115" t="s">
        <v>410</v>
      </c>
      <c r="C553" s="166" t="s">
        <v>540</v>
      </c>
      <c r="D553" s="159">
        <f>AVERAGE(D50,D98,D146,D194,D242,D290,D338,D386,D434,D482,D530)</f>
        <v>7.5869593473295148E-6</v>
      </c>
      <c r="E553" s="159">
        <f>AVERAGE(E50,E98,E146,E194,E242,E290,E338,E386,E434,E482,E530)</f>
        <v>1.6786594670928167E-4</v>
      </c>
      <c r="F553" s="159">
        <f>AVERAGE(F50,F98,F146,F194,F242,F290,F338,F386,F434,F482,F530)</f>
        <v>8.1776225986931919E-4</v>
      </c>
      <c r="G553" s="159">
        <f>AVERAGE(G50,G98,G146,G194,G242,G290,G338,G386,G434,G482,G530)</f>
        <v>5.8010930542742813E-4</v>
      </c>
      <c r="H553" s="162">
        <f>AVERAGE(H50,H98,H146,H194,H242,H290,H338,H386,H434,H482,H530)</f>
        <v>5.4757091471423778E-4</v>
      </c>
      <c r="J553" s="153"/>
    </row>
    <row r="554" spans="2:10" x14ac:dyDescent="0.3">
      <c r="C554" s="166" t="s">
        <v>82</v>
      </c>
      <c r="D554" s="168">
        <f>MEDIAN(D50,D98,D146,D194,D242,D290,D338,D386,D434,D482,D530)</f>
        <v>3.3274555152991687E-6</v>
      </c>
      <c r="E554" s="168">
        <f>MEDIAN(E50,E98,E146,E194,E242,E290,E338,E386,E434,E482,E530)</f>
        <v>1.3899898791630401E-4</v>
      </c>
      <c r="F554" s="168">
        <f>MEDIAN(F50,F98,F146,F194,F242,F290,F338,F386,F434,F482,F530)</f>
        <v>5.9130359304333325E-4</v>
      </c>
      <c r="G554" s="168">
        <f>MEDIAN(G50,G98,G146,G194,G242,G290,G338,G386,G434,G482,G530)</f>
        <v>4.9006616948141452E-4</v>
      </c>
      <c r="H554" s="169">
        <f>MEDIAN(H50,H98,H146,H194,H242,H290,H338,H386,H434,H482,H530)</f>
        <v>3.5793911514530582E-4</v>
      </c>
      <c r="J554" s="153"/>
    </row>
    <row r="555" spans="2:10" x14ac:dyDescent="0.3">
      <c r="C555" s="167" t="s">
        <v>541</v>
      </c>
      <c r="D555" s="163">
        <f>MAX(D50,D98,D146,D194,D242,D290,D338,D386,D434,D482,D530)</f>
        <v>2.9257996342114882E-5</v>
      </c>
      <c r="E555" s="163">
        <f>MAX(E50,E98,E146,E194,E242,E290,E338,E386,E434,E482,E530)</f>
        <v>5.9545408550979882E-4</v>
      </c>
      <c r="F555" s="163">
        <f>MAX(F50,F98,F146,F194,F242,F290,F338,F386,F434,F482,F530)</f>
        <v>1.7899618811247869E-3</v>
      </c>
      <c r="G555" s="163">
        <f>MAX(G50,G98,G146,G194,G242,G290,G338,G386,G434,G482,G530)</f>
        <v>1.7668390147930809E-3</v>
      </c>
      <c r="H555" s="164">
        <f>MAX(H50,H98,H146,H194,H242,H290,H338,H386,H434,H482,H530)</f>
        <v>1.6580924164214155E-3</v>
      </c>
      <c r="J555" s="153"/>
    </row>
    <row r="556" spans="2:10" x14ac:dyDescent="0.3">
      <c r="J556" s="153"/>
    </row>
    <row r="557" spans="2:10" x14ac:dyDescent="0.3">
      <c r="D557" s="154" t="s">
        <v>524</v>
      </c>
      <c r="E557" s="155" t="s">
        <v>523</v>
      </c>
      <c r="F557" s="156" t="s">
        <v>525</v>
      </c>
      <c r="G557" s="157" t="s">
        <v>526</v>
      </c>
      <c r="H557" s="158" t="s">
        <v>527</v>
      </c>
      <c r="J557" s="153"/>
    </row>
    <row r="558" spans="2:10" x14ac:dyDescent="0.3">
      <c r="B558" s="132" t="s">
        <v>528</v>
      </c>
      <c r="C558" s="170">
        <v>1977</v>
      </c>
      <c r="D558" s="160">
        <f>D18</f>
        <v>0</v>
      </c>
      <c r="E558" s="160">
        <f>E18</f>
        <v>2.7226956347253983E-3</v>
      </c>
      <c r="F558" s="160">
        <f>F18</f>
        <v>3.3385677183990674E-3</v>
      </c>
      <c r="G558" s="160">
        <f>G18</f>
        <v>5.5452967972648738E-3</v>
      </c>
      <c r="H558" s="161">
        <f>H18</f>
        <v>5.4099035724718414E-3</v>
      </c>
      <c r="J558" s="153"/>
    </row>
    <row r="559" spans="2:10" x14ac:dyDescent="0.3">
      <c r="B559" s="107" t="s">
        <v>543</v>
      </c>
      <c r="C559" s="171">
        <v>1988</v>
      </c>
      <c r="D559" s="159">
        <f>D66</f>
        <v>0</v>
      </c>
      <c r="E559" s="159">
        <f>E66</f>
        <v>1.00298952862654E-3</v>
      </c>
      <c r="F559" s="159">
        <f>F66</f>
        <v>4.8256806230132275E-3</v>
      </c>
      <c r="G559" s="159">
        <f>G66</f>
        <v>5.1825819743713938E-3</v>
      </c>
      <c r="H559" s="162">
        <f>H66</f>
        <v>6.2012159177279279E-3</v>
      </c>
      <c r="J559" s="153"/>
    </row>
    <row r="560" spans="2:10" x14ac:dyDescent="0.3">
      <c r="B560" s="115" t="s">
        <v>544</v>
      </c>
      <c r="C560" s="171" t="s">
        <v>397</v>
      </c>
      <c r="D560" s="159">
        <f>D114</f>
        <v>0</v>
      </c>
      <c r="E560" s="159">
        <f>E114</f>
        <v>7.6035392512203699E-4</v>
      </c>
      <c r="F560" s="159">
        <f>F114</f>
        <v>1.4025263387850873E-3</v>
      </c>
      <c r="G560" s="159">
        <f>G114</f>
        <v>1.8069108934145946E-3</v>
      </c>
      <c r="H560" s="162">
        <f>H114</f>
        <v>1.8413767672579703E-3</v>
      </c>
      <c r="J560" s="153"/>
    </row>
    <row r="561" spans="2:8" x14ac:dyDescent="0.3">
      <c r="C561" s="171" t="s">
        <v>401</v>
      </c>
      <c r="D561" s="159">
        <f>D162</f>
        <v>0</v>
      </c>
      <c r="E561" s="159">
        <f>E162</f>
        <v>1.9494590022030482E-3</v>
      </c>
      <c r="F561" s="159">
        <f>F162</f>
        <v>1.9506442514975303E-3</v>
      </c>
      <c r="G561" s="159">
        <f>G162</f>
        <v>1.3953256294230462E-3</v>
      </c>
      <c r="H561" s="162">
        <f>H162</f>
        <v>1.6230189870912247E-3</v>
      </c>
    </row>
    <row r="562" spans="2:8" x14ac:dyDescent="0.3">
      <c r="C562" s="171" t="s">
        <v>405</v>
      </c>
      <c r="D562" s="159">
        <f>D210</f>
        <v>0</v>
      </c>
      <c r="E562" s="159">
        <f>E210</f>
        <v>1.0490801299953736E-3</v>
      </c>
      <c r="F562" s="159">
        <f>F210</f>
        <v>1.8766508019061601E-3</v>
      </c>
      <c r="G562" s="159">
        <f>G210</f>
        <v>1.8517477093306577E-3</v>
      </c>
      <c r="H562" s="162">
        <f>H210</f>
        <v>1.7599896385209694E-3</v>
      </c>
    </row>
    <row r="563" spans="2:8" x14ac:dyDescent="0.3">
      <c r="C563" s="171" t="s">
        <v>429</v>
      </c>
      <c r="D563" s="159">
        <f>D258</f>
        <v>0</v>
      </c>
      <c r="E563" s="159">
        <f>E258</f>
        <v>1.1047180852679481E-3</v>
      </c>
      <c r="F563" s="159">
        <f>F258</f>
        <v>1.5371563220310379E-3</v>
      </c>
      <c r="G563" s="159">
        <f>G258</f>
        <v>1.7983711694299297E-3</v>
      </c>
      <c r="H563" s="162">
        <f>H258</f>
        <v>1.6840511536006437E-3</v>
      </c>
    </row>
    <row r="564" spans="2:8" x14ac:dyDescent="0.3">
      <c r="C564" s="171" t="s">
        <v>437</v>
      </c>
      <c r="D564" s="159">
        <f>D306</f>
        <v>4.9641426139407264E-5</v>
      </c>
      <c r="E564" s="159">
        <f>E306</f>
        <v>1.3656470382316388E-3</v>
      </c>
      <c r="F564" s="159">
        <f>F306</f>
        <v>1.6644057790033123E-3</v>
      </c>
      <c r="G564" s="159">
        <f>G306</f>
        <v>1.8017895447944548E-3</v>
      </c>
      <c r="H564" s="162">
        <f>H306</f>
        <v>1.5387212373828996E-3</v>
      </c>
    </row>
    <row r="565" spans="2:8" x14ac:dyDescent="0.3">
      <c r="C565" s="171" t="s">
        <v>530</v>
      </c>
      <c r="D565" s="159">
        <f>D354</f>
        <v>0</v>
      </c>
      <c r="E565" s="159">
        <f>E354</f>
        <v>1.4505111337210568E-3</v>
      </c>
      <c r="F565" s="159">
        <f>F354</f>
        <v>1.6967472562343636E-3</v>
      </c>
      <c r="G565" s="159">
        <f>G354</f>
        <v>1.7068019302304163E-3</v>
      </c>
      <c r="H565" s="162">
        <f>H354</f>
        <v>1.6134328481063915E-3</v>
      </c>
    </row>
    <row r="566" spans="2:8" x14ac:dyDescent="0.3">
      <c r="C566" s="171" t="s">
        <v>531</v>
      </c>
      <c r="D566" s="159">
        <f>D402</f>
        <v>0</v>
      </c>
      <c r="E566" s="159">
        <f>E402</f>
        <v>1.0359633202624324E-3</v>
      </c>
      <c r="F566" s="159">
        <f>F402</f>
        <v>1.40112264453015E-3</v>
      </c>
      <c r="G566" s="159">
        <f>G402</f>
        <v>1.659070393590047E-3</v>
      </c>
      <c r="H566" s="162">
        <f>H402</f>
        <v>1.510052727446691E-3</v>
      </c>
    </row>
    <row r="567" spans="2:8" x14ac:dyDescent="0.3">
      <c r="C567" s="171" t="s">
        <v>532</v>
      </c>
      <c r="D567" s="159">
        <f>D450</f>
        <v>0</v>
      </c>
      <c r="E567" s="159">
        <f>E450</f>
        <v>1.2687435525200103E-3</v>
      </c>
      <c r="F567" s="159">
        <f>F450</f>
        <v>1.8597634483213691E-3</v>
      </c>
      <c r="G567" s="159">
        <f>G450</f>
        <v>1.914851072156813E-3</v>
      </c>
      <c r="H567" s="162">
        <f>H450</f>
        <v>1.590934319230684E-3</v>
      </c>
    </row>
    <row r="568" spans="2:8" x14ac:dyDescent="0.3">
      <c r="C568" s="172" t="s">
        <v>461</v>
      </c>
      <c r="D568" s="163">
        <f>D498</f>
        <v>0</v>
      </c>
      <c r="E568" s="163">
        <f>E498</f>
        <v>1.8197990245725551E-3</v>
      </c>
      <c r="F568" s="163">
        <f>F498</f>
        <v>2.1196665773736073E-3</v>
      </c>
      <c r="G568" s="163">
        <f>G498</f>
        <v>1.5836501375847637E-3</v>
      </c>
      <c r="H568" s="164">
        <f>H498</f>
        <v>1.4222102828599095E-3</v>
      </c>
    </row>
    <row r="569" spans="2:8" x14ac:dyDescent="0.3">
      <c r="B569" s="132" t="s">
        <v>528</v>
      </c>
      <c r="C569" s="170">
        <v>1977</v>
      </c>
      <c r="D569" s="160">
        <f>D23</f>
        <v>3.8223394729003827E-5</v>
      </c>
      <c r="E569" s="160">
        <f>E23</f>
        <v>5.4185655056213414E-4</v>
      </c>
      <c r="F569" s="160">
        <f>F23</f>
        <v>9.1075319316497581E-4</v>
      </c>
      <c r="G569" s="160">
        <f>G23</f>
        <v>9.6656879167500626E-4</v>
      </c>
      <c r="H569" s="161">
        <f>H23</f>
        <v>6.2442821529992362E-4</v>
      </c>
    </row>
    <row r="570" spans="2:8" x14ac:dyDescent="0.3">
      <c r="B570" s="115" t="s">
        <v>545</v>
      </c>
      <c r="C570" s="171">
        <v>1988</v>
      </c>
      <c r="D570" s="159">
        <f>D71</f>
        <v>2.7635157758284276E-5</v>
      </c>
      <c r="E570" s="159">
        <f>E71</f>
        <v>3.4911451795297172E-4</v>
      </c>
      <c r="F570" s="159">
        <f>F71</f>
        <v>8.7789943532371102E-4</v>
      </c>
      <c r="G570" s="159">
        <f>G71</f>
        <v>4.8931022701429003E-4</v>
      </c>
      <c r="H570" s="162">
        <f>H71</f>
        <v>7.9457536288729199E-4</v>
      </c>
    </row>
    <row r="571" spans="2:8" x14ac:dyDescent="0.3">
      <c r="C571" s="171" t="s">
        <v>397</v>
      </c>
      <c r="D571" s="159">
        <f>D119</f>
        <v>2.5200181076061883E-5</v>
      </c>
      <c r="E571" s="159">
        <f>E119</f>
        <v>2.4350745481646301E-4</v>
      </c>
      <c r="F571" s="159">
        <f>F119</f>
        <v>4.2677990137381208E-4</v>
      </c>
      <c r="G571" s="159">
        <f>G119</f>
        <v>2.3984344245535502E-4</v>
      </c>
      <c r="H571" s="162">
        <f>H119</f>
        <v>3.2996622126063531E-4</v>
      </c>
    </row>
    <row r="572" spans="2:8" x14ac:dyDescent="0.3">
      <c r="C572" s="171" t="s">
        <v>401</v>
      </c>
      <c r="D572" s="159">
        <f>D167</f>
        <v>1.8504292501324259E-5</v>
      </c>
      <c r="E572" s="159">
        <f>E167</f>
        <v>3.4205974107330225E-4</v>
      </c>
      <c r="F572" s="159">
        <f>F167</f>
        <v>7.043482125654438E-4</v>
      </c>
      <c r="G572" s="159">
        <f>G167</f>
        <v>3.2467734764258062E-4</v>
      </c>
      <c r="H572" s="162">
        <f>H167</f>
        <v>3.353397858654853E-4</v>
      </c>
    </row>
    <row r="573" spans="2:8" x14ac:dyDescent="0.3">
      <c r="C573" s="171" t="s">
        <v>405</v>
      </c>
      <c r="D573" s="159">
        <f>D215</f>
        <v>2.4086936387962933E-5</v>
      </c>
      <c r="E573" s="159">
        <f>E215</f>
        <v>2.1531037341518936E-4</v>
      </c>
      <c r="F573" s="159">
        <f>F215</f>
        <v>4.7047111788600562E-4</v>
      </c>
      <c r="G573" s="159">
        <f>G215</f>
        <v>3.9276854668500043E-4</v>
      </c>
      <c r="H573" s="162">
        <f>H215</f>
        <v>2.9210258960352277E-4</v>
      </c>
    </row>
    <row r="574" spans="2:8" x14ac:dyDescent="0.3">
      <c r="C574" s="171" t="s">
        <v>429</v>
      </c>
      <c r="D574" s="159">
        <f>D263</f>
        <v>1.6628218146066112E-5</v>
      </c>
      <c r="E574" s="159">
        <f>E263</f>
        <v>2.4716279530723179E-4</v>
      </c>
      <c r="F574" s="159">
        <f>F263</f>
        <v>3.0816175727448974E-4</v>
      </c>
      <c r="G574" s="159">
        <f>G263</f>
        <v>1.9102823227466938E-4</v>
      </c>
      <c r="H574" s="162">
        <f>H263</f>
        <v>2.3076172285787369E-4</v>
      </c>
    </row>
    <row r="575" spans="2:8" x14ac:dyDescent="0.3">
      <c r="C575" s="171" t="s">
        <v>437</v>
      </c>
      <c r="D575" s="159">
        <f>D311</f>
        <v>5.9373938401248048E-4</v>
      </c>
      <c r="E575" s="159">
        <f>E311</f>
        <v>2.6468578482171136E-3</v>
      </c>
      <c r="F575" s="159">
        <f>F311</f>
        <v>3.4645861823812039E-3</v>
      </c>
      <c r="G575" s="159">
        <f>G311</f>
        <v>2.7079051626324856E-3</v>
      </c>
      <c r="H575" s="162">
        <f>H311</f>
        <v>2.1874059925299743E-3</v>
      </c>
    </row>
    <row r="576" spans="2:8" x14ac:dyDescent="0.3">
      <c r="C576" s="171" t="s">
        <v>530</v>
      </c>
      <c r="D576" s="159">
        <f>D359</f>
        <v>1.1313591447392635E-5</v>
      </c>
      <c r="E576" s="159">
        <f>E359</f>
        <v>2.2054924925720614E-4</v>
      </c>
      <c r="F576" s="159">
        <f>F359</f>
        <v>4.1015725787222945E-4</v>
      </c>
      <c r="G576" s="159">
        <f>G359</f>
        <v>3.2104886344682049E-4</v>
      </c>
      <c r="H576" s="162">
        <f>H359</f>
        <v>3.0568366505969227E-4</v>
      </c>
    </row>
    <row r="577" spans="2:8" x14ac:dyDescent="0.3">
      <c r="C577" s="171" t="s">
        <v>531</v>
      </c>
      <c r="D577" s="159">
        <f>D407</f>
        <v>3.0762446411527408E-5</v>
      </c>
      <c r="E577" s="159">
        <f>E407</f>
        <v>1.916177299579769E-4</v>
      </c>
      <c r="F577" s="159">
        <f>F407</f>
        <v>3.2750442695342384E-4</v>
      </c>
      <c r="G577" s="159">
        <f>G407</f>
        <v>3.8753525110246515E-4</v>
      </c>
      <c r="H577" s="162">
        <f>H407</f>
        <v>3.2457753562576249E-4</v>
      </c>
    </row>
    <row r="578" spans="2:8" x14ac:dyDescent="0.3">
      <c r="C578" s="171" t="s">
        <v>532</v>
      </c>
      <c r="D578" s="159">
        <f>D455</f>
        <v>2.3845766608306731E-5</v>
      </c>
      <c r="E578" s="159">
        <f>E455</f>
        <v>1.8115122234812025E-4</v>
      </c>
      <c r="F578" s="159">
        <f>F455</f>
        <v>5.1834746577106489E-4</v>
      </c>
      <c r="G578" s="159">
        <f>G455</f>
        <v>5.1412443198815448E-4</v>
      </c>
      <c r="H578" s="162">
        <f>H455</f>
        <v>2.9492133871735339E-4</v>
      </c>
    </row>
    <row r="579" spans="2:8" x14ac:dyDescent="0.3">
      <c r="C579" s="172" t="s">
        <v>461</v>
      </c>
      <c r="D579" s="163">
        <f>D503</f>
        <v>5.3314644096284478E-5</v>
      </c>
      <c r="E579" s="163">
        <f>E503</f>
        <v>2.1570539401875047E-4</v>
      </c>
      <c r="F579" s="163">
        <f>F503</f>
        <v>4.3813725313519353E-4</v>
      </c>
      <c r="G579" s="163">
        <f>G503</f>
        <v>4.7285962921178565E-4</v>
      </c>
      <c r="H579" s="164">
        <f>H503</f>
        <v>2.62098247818788E-4</v>
      </c>
    </row>
    <row r="580" spans="2:8" x14ac:dyDescent="0.3">
      <c r="B580" s="132" t="s">
        <v>535</v>
      </c>
      <c r="C580" s="170">
        <v>1977</v>
      </c>
      <c r="D580" s="160">
        <f>D32</f>
        <v>4.0969352554470427E-5</v>
      </c>
      <c r="E580" s="160">
        <f>E32</f>
        <v>2.660071741956011E-4</v>
      </c>
      <c r="F580" s="160">
        <f>F32</f>
        <v>1.3661580267016009E-3</v>
      </c>
      <c r="G580" s="160">
        <f>G32</f>
        <v>1.2497219375813893E-3</v>
      </c>
      <c r="H580" s="161">
        <f>H32</f>
        <v>6.4921175276744648E-4</v>
      </c>
    </row>
    <row r="581" spans="2:8" x14ac:dyDescent="0.3">
      <c r="B581" s="115" t="s">
        <v>546</v>
      </c>
      <c r="C581" s="171">
        <v>1988</v>
      </c>
      <c r="D581" s="159">
        <f>D80</f>
        <v>6.6018280895183013E-5</v>
      </c>
      <c r="E581" s="159">
        <f>E80</f>
        <v>7.0239838008754035E-4</v>
      </c>
      <c r="F581" s="159">
        <f>F80</f>
        <v>1.082255784940791E-3</v>
      </c>
      <c r="G581" s="159">
        <f>G80</f>
        <v>3.0609505820614925E-4</v>
      </c>
      <c r="H581" s="162">
        <f>H80</f>
        <v>1.0186552082865972E-3</v>
      </c>
    </row>
    <row r="582" spans="2:8" x14ac:dyDescent="0.3">
      <c r="C582" s="171" t="s">
        <v>397</v>
      </c>
      <c r="D582" s="159">
        <f>D128</f>
        <v>4.4507623953592108E-5</v>
      </c>
      <c r="E582" s="159">
        <f>E128</f>
        <v>8.4106679900949552E-4</v>
      </c>
      <c r="F582" s="159">
        <f>F128</f>
        <v>9.0594434784030268E-4</v>
      </c>
      <c r="G582" s="159">
        <f>G128</f>
        <v>2.5883762212913596E-4</v>
      </c>
      <c r="H582" s="162">
        <f>H128</f>
        <v>3.273123958050321E-4</v>
      </c>
    </row>
    <row r="583" spans="2:8" x14ac:dyDescent="0.3">
      <c r="C583" s="171" t="s">
        <v>401</v>
      </c>
      <c r="D583" s="159">
        <f>D176</f>
        <v>3.1652299439134053E-5</v>
      </c>
      <c r="E583" s="159">
        <f>E176</f>
        <v>5.5572250099579794E-4</v>
      </c>
      <c r="F583" s="159">
        <f>F176</f>
        <v>1.0642903329799809E-3</v>
      </c>
      <c r="G583" s="159">
        <f>G176</f>
        <v>3.5699606124076967E-4</v>
      </c>
      <c r="H583" s="162">
        <f>H176</f>
        <v>5.6849215448521713E-4</v>
      </c>
    </row>
    <row r="584" spans="2:8" x14ac:dyDescent="0.3">
      <c r="C584" s="171" t="s">
        <v>405</v>
      </c>
      <c r="D584" s="159">
        <f>D224</f>
        <v>1.9381471660432464E-5</v>
      </c>
      <c r="E584" s="159">
        <f>E224</f>
        <v>3.8587214183319281E-4</v>
      </c>
      <c r="F584" s="159">
        <f>F224</f>
        <v>5.4642494920097888E-4</v>
      </c>
      <c r="G584" s="159">
        <f>G224</f>
        <v>2.8271445062915573E-4</v>
      </c>
      <c r="H584" s="162">
        <f>H224</f>
        <v>3.9202858749885127E-4</v>
      </c>
    </row>
    <row r="585" spans="2:8" x14ac:dyDescent="0.3">
      <c r="C585" s="171" t="s">
        <v>429</v>
      </c>
      <c r="D585" s="159">
        <f>D272</f>
        <v>1.7488234626587228E-5</v>
      </c>
      <c r="E585" s="159">
        <f>E272</f>
        <v>5.0107378010136154E-4</v>
      </c>
      <c r="F585" s="159">
        <f>F272</f>
        <v>5.1152271240510337E-4</v>
      </c>
      <c r="G585" s="159">
        <f>G272</f>
        <v>1.4899488022142304E-4</v>
      </c>
      <c r="H585" s="162">
        <f>H272</f>
        <v>2.7408608090319733E-4</v>
      </c>
    </row>
    <row r="586" spans="2:8" x14ac:dyDescent="0.3">
      <c r="C586" s="171" t="s">
        <v>437</v>
      </c>
      <c r="D586" s="159">
        <f>D320</f>
        <v>2.0484600251690765E-4</v>
      </c>
      <c r="E586" s="159">
        <f>E320</f>
        <v>4.1792295533246135E-4</v>
      </c>
      <c r="F586" s="159">
        <f>F320</f>
        <v>4.536290042523869E-4</v>
      </c>
      <c r="G586" s="159">
        <f>G320</f>
        <v>3.2300680318494507E-4</v>
      </c>
      <c r="H586" s="162">
        <f>H320</f>
        <v>2.5559342449948876E-4</v>
      </c>
    </row>
    <row r="587" spans="2:8" x14ac:dyDescent="0.3">
      <c r="C587" s="171" t="s">
        <v>530</v>
      </c>
      <c r="D587" s="159">
        <f>D368</f>
        <v>1.0960222586742447E-5</v>
      </c>
      <c r="E587" s="159">
        <f>E368</f>
        <v>2.1004515721715654E-4</v>
      </c>
      <c r="F587" s="159">
        <f>F368</f>
        <v>2.7926756814176696E-4</v>
      </c>
      <c r="G587" s="159">
        <f>G368</f>
        <v>2.9319112850889731E-4</v>
      </c>
      <c r="H587" s="162">
        <f>H368</f>
        <v>2.8082851591246152E-4</v>
      </c>
    </row>
    <row r="588" spans="2:8" x14ac:dyDescent="0.3">
      <c r="C588" s="171" t="s">
        <v>531</v>
      </c>
      <c r="D588" s="159">
        <f>D416</f>
        <v>2.2931170642211923E-5</v>
      </c>
      <c r="E588" s="159">
        <f>E416</f>
        <v>3.6772803935795353E-4</v>
      </c>
      <c r="F588" s="159">
        <f>F416</f>
        <v>3.4926602688657466E-4</v>
      </c>
      <c r="G588" s="159">
        <f>G416</f>
        <v>2.8555868904913849E-4</v>
      </c>
      <c r="H588" s="162">
        <f>H416</f>
        <v>2.9671834225047559E-4</v>
      </c>
    </row>
    <row r="589" spans="2:8" x14ac:dyDescent="0.3">
      <c r="C589" s="171" t="s">
        <v>532</v>
      </c>
      <c r="D589" s="159">
        <f>D464</f>
        <v>2.0393430988445175E-5</v>
      </c>
      <c r="E589" s="159">
        <f>E464</f>
        <v>2.8442968601008131E-4</v>
      </c>
      <c r="F589" s="159">
        <f>F464</f>
        <v>4.6409803925530048E-4</v>
      </c>
      <c r="G589" s="159">
        <f>G464</f>
        <v>4.1845382837097896E-4</v>
      </c>
      <c r="H589" s="162">
        <f>H464</f>
        <v>2.5837084102486293E-4</v>
      </c>
    </row>
    <row r="590" spans="2:8" x14ac:dyDescent="0.3">
      <c r="C590" s="172" t="s">
        <v>461</v>
      </c>
      <c r="D590" s="163">
        <f>D512</f>
        <v>1.7466415578345071E-5</v>
      </c>
      <c r="E590" s="163">
        <f>E512</f>
        <v>5.5353131761117402E-4</v>
      </c>
      <c r="F590" s="163">
        <f>F512</f>
        <v>5.594136879274699E-4</v>
      </c>
      <c r="G590" s="163">
        <f>G512</f>
        <v>2.8182151005499908E-4</v>
      </c>
      <c r="H590" s="164">
        <f>H512</f>
        <v>2.1599504819247941E-4</v>
      </c>
    </row>
    <row r="591" spans="2:8" x14ac:dyDescent="0.3">
      <c r="B591" s="132" t="s">
        <v>417</v>
      </c>
      <c r="C591" s="170">
        <v>1977</v>
      </c>
      <c r="D591" s="160">
        <f>D41</f>
        <v>9.6490307069732779E-5</v>
      </c>
      <c r="E591" s="160">
        <f>E41</f>
        <v>6.6491033508985921E-5</v>
      </c>
      <c r="F591" s="160">
        <f>F41</f>
        <v>1.0482264355550742E-3</v>
      </c>
      <c r="G591" s="160">
        <f>G41</f>
        <v>1.1786420565828301E-3</v>
      </c>
      <c r="H591" s="161">
        <f>H41</f>
        <v>8.6159834337193482E-4</v>
      </c>
    </row>
    <row r="592" spans="2:8" x14ac:dyDescent="0.3">
      <c r="B592" s="115" t="s">
        <v>547</v>
      </c>
      <c r="C592" s="171">
        <v>1988</v>
      </c>
      <c r="D592" s="159">
        <f>D89</f>
        <v>6.6696223523376118E-5</v>
      </c>
      <c r="E592" s="159">
        <f>E89</f>
        <v>1.9077895881239379E-5</v>
      </c>
      <c r="F592" s="159">
        <f>F89</f>
        <v>9.9897210464215788E-4</v>
      </c>
      <c r="G592" s="159">
        <f>G89</f>
        <v>8.3695155016500649E-4</v>
      </c>
      <c r="H592" s="162">
        <f>H89</f>
        <v>9.3967487483722625E-4</v>
      </c>
    </row>
    <row r="593" spans="2:8" x14ac:dyDescent="0.3">
      <c r="C593" s="171" t="s">
        <v>397</v>
      </c>
      <c r="D593" s="159">
        <f>D137</f>
        <v>4.9256420126188806E-5</v>
      </c>
      <c r="E593" s="159">
        <f>E137</f>
        <v>3.0513949037652783E-5</v>
      </c>
      <c r="F593" s="159">
        <f>F137</f>
        <v>3.9322979586452791E-4</v>
      </c>
      <c r="G593" s="159">
        <f>G137</f>
        <v>5.0197830568204157E-4</v>
      </c>
      <c r="H593" s="162">
        <f>H137</f>
        <v>5.1637095545299671E-4</v>
      </c>
    </row>
    <row r="594" spans="2:8" x14ac:dyDescent="0.3">
      <c r="C594" s="171" t="s">
        <v>401</v>
      </c>
      <c r="D594" s="159">
        <f>D185</f>
        <v>3.2808390388530843E-5</v>
      </c>
      <c r="E594" s="159">
        <f>E185</f>
        <v>2.907931588830318E-4</v>
      </c>
      <c r="F594" s="159">
        <f>F185</f>
        <v>7.2643478599491648E-4</v>
      </c>
      <c r="G594" s="159">
        <f>G185</f>
        <v>5.3306349837623781E-4</v>
      </c>
      <c r="H594" s="162">
        <f>H185</f>
        <v>4.8634664196116491E-4</v>
      </c>
    </row>
    <row r="595" spans="2:8" x14ac:dyDescent="0.3">
      <c r="C595" s="171" t="s">
        <v>405</v>
      </c>
      <c r="D595" s="159">
        <f>D233</f>
        <v>2.7657948146226767E-5</v>
      </c>
      <c r="E595" s="159">
        <f>E233</f>
        <v>7.4198596882436038E-5</v>
      </c>
      <c r="F595" s="159">
        <f>F233</f>
        <v>5.4531712004871036E-4</v>
      </c>
      <c r="G595" s="159">
        <f>G233</f>
        <v>6.8380843039318653E-4</v>
      </c>
      <c r="H595" s="162">
        <f>H233</f>
        <v>5.1864312816650351E-4</v>
      </c>
    </row>
    <row r="596" spans="2:8" x14ac:dyDescent="0.3">
      <c r="C596" s="171" t="s">
        <v>429</v>
      </c>
      <c r="D596" s="159">
        <f>D281</f>
        <v>1.1848296303942956E-5</v>
      </c>
      <c r="E596" s="159">
        <f>E281</f>
        <v>3.0293444381280979E-5</v>
      </c>
      <c r="F596" s="159">
        <f>F281</f>
        <v>4.6230467192202754E-4</v>
      </c>
      <c r="G596" s="159">
        <f>G281</f>
        <v>3.1263429123641763E-4</v>
      </c>
      <c r="H596" s="162">
        <f>H281</f>
        <v>5.8563301978331085E-4</v>
      </c>
    </row>
    <row r="597" spans="2:8" x14ac:dyDescent="0.3">
      <c r="C597" s="171" t="s">
        <v>437</v>
      </c>
      <c r="D597" s="159">
        <f>D329</f>
        <v>1.4011629572104382E-4</v>
      </c>
      <c r="E597" s="159">
        <f>E329</f>
        <v>1.0165521990449777E-4</v>
      </c>
      <c r="F597" s="159">
        <f>F329</f>
        <v>4.462499512547654E-4</v>
      </c>
      <c r="G597" s="159">
        <f>G329</f>
        <v>3.8525883609582075E-4</v>
      </c>
      <c r="H597" s="162">
        <f>H329</f>
        <v>4.1933238620999586E-4</v>
      </c>
    </row>
    <row r="598" spans="2:8" x14ac:dyDescent="0.3">
      <c r="C598" s="171" t="s">
        <v>530</v>
      </c>
      <c r="D598" s="159">
        <f>D377</f>
        <v>3.0646414531239364E-6</v>
      </c>
      <c r="E598" s="159">
        <f>E377</f>
        <v>9.737036486496948E-5</v>
      </c>
      <c r="F598" s="159">
        <f>F377</f>
        <v>4.5529938487449831E-4</v>
      </c>
      <c r="G598" s="159">
        <f>G377</f>
        <v>5.7390771695271239E-4</v>
      </c>
      <c r="H598" s="162">
        <f>H377</f>
        <v>5.1508486875753159E-4</v>
      </c>
    </row>
    <row r="599" spans="2:8" x14ac:dyDescent="0.3">
      <c r="C599" s="171" t="s">
        <v>531</v>
      </c>
      <c r="D599" s="159">
        <f>D425</f>
        <v>5.8007931784983151E-5</v>
      </c>
      <c r="E599" s="159">
        <f>E425</f>
        <v>7.1772327922943631E-5</v>
      </c>
      <c r="F599" s="159">
        <f>F425</f>
        <v>3.5993984069206033E-4</v>
      </c>
      <c r="G599" s="159">
        <f>G425</f>
        <v>6.5098879226881188E-4</v>
      </c>
      <c r="H599" s="162">
        <f>H425</f>
        <v>5.3473090928756123E-4</v>
      </c>
    </row>
    <row r="600" spans="2:8" x14ac:dyDescent="0.3">
      <c r="C600" s="171" t="s">
        <v>532</v>
      </c>
      <c r="D600" s="159">
        <f>D473</f>
        <v>5.6427873343409425E-5</v>
      </c>
      <c r="E600" s="159">
        <f>E473</f>
        <v>9.518865806256406E-5</v>
      </c>
      <c r="F600" s="159">
        <f>F473</f>
        <v>4.4580953987770854E-4</v>
      </c>
      <c r="G600" s="159">
        <f>G473</f>
        <v>4.8713881032862378E-4</v>
      </c>
      <c r="H600" s="162">
        <f>H473</f>
        <v>3.2523267232945405E-4</v>
      </c>
    </row>
    <row r="601" spans="2:8" x14ac:dyDescent="0.3">
      <c r="C601" s="172" t="s">
        <v>461</v>
      </c>
      <c r="D601" s="163">
        <f>D521</f>
        <v>9.3038028873295708E-5</v>
      </c>
      <c r="E601" s="163">
        <f>E521</f>
        <v>2.8609279888787154E-4</v>
      </c>
      <c r="F601" s="163">
        <f>F521</f>
        <v>4.6494436599482257E-4</v>
      </c>
      <c r="G601" s="163">
        <f>G521</f>
        <v>5.4192039919063963E-4</v>
      </c>
      <c r="H601" s="164">
        <f>H521</f>
        <v>3.7740430887760608E-4</v>
      </c>
    </row>
    <row r="602" spans="2:8" x14ac:dyDescent="0.3">
      <c r="B602" s="132" t="s">
        <v>536</v>
      </c>
      <c r="C602" s="170">
        <v>1977</v>
      </c>
      <c r="D602" s="160">
        <f>D50</f>
        <v>2.0524397081473959E-5</v>
      </c>
      <c r="E602" s="160">
        <f>E50</f>
        <v>4.4953518094875786E-5</v>
      </c>
      <c r="F602" s="160">
        <f>F50</f>
        <v>1.7899618811247869E-3</v>
      </c>
      <c r="G602" s="160">
        <f>G50</f>
        <v>1.7668390147930809E-3</v>
      </c>
      <c r="H602" s="161">
        <f>H50</f>
        <v>7.4848220758453341E-4</v>
      </c>
    </row>
    <row r="603" spans="2:8" x14ac:dyDescent="0.3">
      <c r="B603" s="115" t="s">
        <v>548</v>
      </c>
      <c r="C603" s="171">
        <v>1988</v>
      </c>
      <c r="D603" s="159">
        <f>D98</f>
        <v>0</v>
      </c>
      <c r="E603" s="159">
        <f>E98</f>
        <v>1.5249904120381548E-4</v>
      </c>
      <c r="F603" s="159">
        <f>F98</f>
        <v>1.6362368631468584E-3</v>
      </c>
      <c r="G603" s="159">
        <f>G98</f>
        <v>5.3694650255492254E-4</v>
      </c>
      <c r="H603" s="162">
        <f>H98</f>
        <v>1.6580924164214155E-3</v>
      </c>
    </row>
    <row r="604" spans="2:8" x14ac:dyDescent="0.3">
      <c r="C604" s="171" t="s">
        <v>397</v>
      </c>
      <c r="D604" s="159">
        <f>D146</f>
        <v>0</v>
      </c>
      <c r="E604" s="159">
        <f>E146</f>
        <v>5.0759360969622716E-5</v>
      </c>
      <c r="F604" s="159">
        <f>F146</f>
        <v>5.9748434946409624E-4</v>
      </c>
      <c r="G604" s="159">
        <f>G146</f>
        <v>5.0360794035277524E-4</v>
      </c>
      <c r="H604" s="162">
        <f>H146</f>
        <v>3.5793911514530582E-4</v>
      </c>
    </row>
    <row r="605" spans="2:8" x14ac:dyDescent="0.3">
      <c r="C605" s="171" t="s">
        <v>401</v>
      </c>
      <c r="D605" s="159">
        <f>D194</f>
        <v>0</v>
      </c>
      <c r="E605" s="159">
        <f>E194</f>
        <v>8.4339670826607012E-5</v>
      </c>
      <c r="F605" s="159">
        <f>F194</f>
        <v>1.4140567131813941E-3</v>
      </c>
      <c r="G605" s="159">
        <f>G194</f>
        <v>9.7572520507766447E-4</v>
      </c>
      <c r="H605" s="162">
        <f>H194</f>
        <v>6.9490038794524475E-4</v>
      </c>
    </row>
    <row r="606" spans="2:8" x14ac:dyDescent="0.3">
      <c r="C606" s="171" t="s">
        <v>405</v>
      </c>
      <c r="D606" s="159">
        <f>D242</f>
        <v>3.3274555152991687E-6</v>
      </c>
      <c r="E606" s="159">
        <f>E242</f>
        <v>9.7984457185249486E-5</v>
      </c>
      <c r="F606" s="159">
        <f>F242</f>
        <v>9.0991920728704422E-4</v>
      </c>
      <c r="G606" s="159">
        <f>G242</f>
        <v>6.0809202009135823E-4</v>
      </c>
      <c r="H606" s="162">
        <f>H242</f>
        <v>6.9619621340939524E-4</v>
      </c>
    </row>
    <row r="607" spans="2:8" x14ac:dyDescent="0.3">
      <c r="C607" s="171" t="s">
        <v>429</v>
      </c>
      <c r="D607" s="159">
        <f>D290</f>
        <v>0</v>
      </c>
      <c r="E607" s="159">
        <f>E290</f>
        <v>9.2971031971598872E-5</v>
      </c>
      <c r="F607" s="159">
        <f>F290</f>
        <v>3.0668129427208088E-4</v>
      </c>
      <c r="G607" s="159">
        <f>G290</f>
        <v>1.4766197058576838E-4</v>
      </c>
      <c r="H607" s="162">
        <f>H290</f>
        <v>3.4176524797531683E-4</v>
      </c>
    </row>
    <row r="608" spans="2:8" x14ac:dyDescent="0.3">
      <c r="C608" s="171" t="s">
        <v>437</v>
      </c>
      <c r="D608" s="159">
        <f>D338</f>
        <v>2.9257996342114882E-5</v>
      </c>
      <c r="E608" s="159">
        <f>E338</f>
        <v>2.449726206582689E-4</v>
      </c>
      <c r="F608" s="159">
        <f>F338</f>
        <v>4.3174442722934258E-4</v>
      </c>
      <c r="G608" s="159">
        <f>G338</f>
        <v>2.7356921218238758E-4</v>
      </c>
      <c r="H608" s="162">
        <f>H338</f>
        <v>3.5308339472379691E-4</v>
      </c>
    </row>
    <row r="609" spans="3:8" x14ac:dyDescent="0.3">
      <c r="C609" s="171" t="s">
        <v>530</v>
      </c>
      <c r="D609" s="159">
        <f>D386</f>
        <v>3.3274555152991687E-6</v>
      </c>
      <c r="E609" s="159">
        <f>E386</f>
        <v>1.3899898791630401E-4</v>
      </c>
      <c r="F609" s="159">
        <f>F386</f>
        <v>4.5648733298686296E-4</v>
      </c>
      <c r="G609" s="159">
        <f>G386</f>
        <v>3.3222225825924273E-4</v>
      </c>
      <c r="H609" s="162">
        <f>H386</f>
        <v>2.8030118787875281E-4</v>
      </c>
    </row>
    <row r="610" spans="3:8" x14ac:dyDescent="0.3">
      <c r="C610" s="171" t="s">
        <v>531</v>
      </c>
      <c r="D610" s="159">
        <f>D434</f>
        <v>3.9604642352781965E-6</v>
      </c>
      <c r="E610" s="159">
        <f>E434</f>
        <v>1.9496271656836351E-4</v>
      </c>
      <c r="F610" s="159">
        <f>F434</f>
        <v>3.6015998232599326E-4</v>
      </c>
      <c r="G610" s="159">
        <f>G434</f>
        <v>4.0464840762669387E-4</v>
      </c>
      <c r="H610" s="162">
        <f>H434</f>
        <v>4.0406862504547116E-4</v>
      </c>
    </row>
    <row r="611" spans="3:8" x14ac:dyDescent="0.3">
      <c r="C611" s="171" t="s">
        <v>532</v>
      </c>
      <c r="D611" s="159">
        <f>D482</f>
        <v>1.4101455187192158E-5</v>
      </c>
      <c r="E611" s="159">
        <f>E482</f>
        <v>1.4862992289759396E-4</v>
      </c>
      <c r="F611" s="159">
        <f>F482</f>
        <v>5.0134921450071884E-4</v>
      </c>
      <c r="G611" s="159">
        <f>G482</f>
        <v>4.9006616948141452E-4</v>
      </c>
      <c r="H611" s="162">
        <f>H482</f>
        <v>2.6635599801545914E-4</v>
      </c>
    </row>
    <row r="612" spans="3:8" x14ac:dyDescent="0.3">
      <c r="C612" s="172" t="s">
        <v>461</v>
      </c>
      <c r="D612" s="163">
        <f>D530</f>
        <v>8.9573289439671298E-6</v>
      </c>
      <c r="E612" s="163">
        <f>E530</f>
        <v>5.9545408550979882E-4</v>
      </c>
      <c r="F612" s="163">
        <f>F530</f>
        <v>5.9130359304333325E-4</v>
      </c>
      <c r="G612" s="163">
        <f>G530</f>
        <v>3.4182365869640016E-4</v>
      </c>
      <c r="H612" s="164">
        <f>H530</f>
        <v>2.2209526771192374E-4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63079-74F7-4FBC-B0D5-5F5648281996}">
  <dimension ref="B2:AN253"/>
  <sheetViews>
    <sheetView topLeftCell="F68" workbookViewId="0">
      <selection activeCell="B68" sqref="B68:AC82"/>
    </sheetView>
  </sheetViews>
  <sheetFormatPr baseColWidth="10" defaultRowHeight="14.4" x14ac:dyDescent="0.3"/>
  <cols>
    <col min="1" max="1" width="4.21875" customWidth="1"/>
    <col min="2" max="2" width="18.44140625" customWidth="1"/>
    <col min="6" max="6" width="9.77734375" customWidth="1"/>
    <col min="7" max="7" width="10.88671875" customWidth="1"/>
    <col min="8" max="17" width="7.109375" customWidth="1"/>
    <col min="18" max="18" width="3.6640625" customWidth="1"/>
    <col min="19" max="19" width="10.33203125" customWidth="1"/>
    <col min="20" max="29" width="7.33203125" customWidth="1"/>
    <col min="31" max="40" width="2" bestFit="1" customWidth="1"/>
  </cols>
  <sheetData>
    <row r="2" spans="2:40" x14ac:dyDescent="0.3">
      <c r="B2" s="106" t="s">
        <v>844</v>
      </c>
      <c r="C2" s="107"/>
      <c r="D2" s="107"/>
      <c r="E2" s="107"/>
      <c r="G2" s="106" t="s">
        <v>857</v>
      </c>
      <c r="H2" s="107" t="s">
        <v>848</v>
      </c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 t="s">
        <v>856</v>
      </c>
      <c r="T2" s="107"/>
      <c r="U2" s="107"/>
      <c r="V2" s="107"/>
      <c r="W2" s="107"/>
      <c r="X2" s="107"/>
      <c r="Y2" s="107"/>
      <c r="Z2" s="107"/>
      <c r="AA2" s="107"/>
      <c r="AB2" s="107"/>
      <c r="AC2" s="107"/>
    </row>
    <row r="3" spans="2:40" ht="15.6" x14ac:dyDescent="0.35">
      <c r="B3" s="119" t="s">
        <v>41</v>
      </c>
      <c r="C3" s="107"/>
      <c r="D3" s="307" t="s">
        <v>845</v>
      </c>
      <c r="E3" s="309">
        <v>212.548277385457</v>
      </c>
      <c r="G3" s="119" t="s">
        <v>41</v>
      </c>
      <c r="H3" s="107" t="s">
        <v>865</v>
      </c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 t="s">
        <v>860</v>
      </c>
      <c r="T3" s="107"/>
      <c r="U3" s="107"/>
      <c r="V3" s="107"/>
      <c r="W3" s="107"/>
      <c r="X3" s="107"/>
      <c r="Y3" s="107"/>
      <c r="Z3" s="107"/>
      <c r="AA3" s="107"/>
      <c r="AB3" s="107"/>
      <c r="AC3" s="107"/>
    </row>
    <row r="4" spans="2:40" x14ac:dyDescent="0.3">
      <c r="B4" s="90" t="s">
        <v>849</v>
      </c>
      <c r="C4" s="107"/>
      <c r="D4" s="107"/>
      <c r="E4" s="116"/>
      <c r="G4" s="90" t="s">
        <v>849</v>
      </c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 t="s">
        <v>855</v>
      </c>
      <c r="T4" s="107"/>
      <c r="U4" s="107"/>
      <c r="V4" s="107"/>
      <c r="W4" s="107"/>
      <c r="X4" s="107"/>
      <c r="Y4" s="107"/>
      <c r="Z4" s="107"/>
      <c r="AA4" s="107"/>
      <c r="AB4" s="107"/>
      <c r="AC4" s="107"/>
    </row>
    <row r="5" spans="2:40" ht="15.6" x14ac:dyDescent="0.35">
      <c r="B5" s="107"/>
      <c r="C5" s="107"/>
      <c r="D5" s="307" t="s">
        <v>335</v>
      </c>
      <c r="E5" s="308">
        <v>0.05</v>
      </c>
      <c r="G5" s="307" t="s">
        <v>354</v>
      </c>
      <c r="H5" s="232">
        <v>1988</v>
      </c>
      <c r="I5" s="232" t="s">
        <v>397</v>
      </c>
      <c r="J5" s="232" t="s">
        <v>401</v>
      </c>
      <c r="K5" s="232" t="s">
        <v>405</v>
      </c>
      <c r="L5" s="232" t="s">
        <v>429</v>
      </c>
      <c r="M5" s="232" t="s">
        <v>437</v>
      </c>
      <c r="N5" s="232" t="s">
        <v>441</v>
      </c>
      <c r="O5" s="232" t="s">
        <v>531</v>
      </c>
      <c r="P5" s="232" t="s">
        <v>532</v>
      </c>
      <c r="Q5" s="232" t="s">
        <v>461</v>
      </c>
      <c r="R5" s="107"/>
      <c r="S5" s="303" t="s">
        <v>846</v>
      </c>
      <c r="T5" s="232">
        <v>1988</v>
      </c>
      <c r="U5" s="232" t="s">
        <v>397</v>
      </c>
      <c r="V5" s="232" t="s">
        <v>401</v>
      </c>
      <c r="W5" s="232" t="s">
        <v>405</v>
      </c>
      <c r="X5" s="232" t="s">
        <v>429</v>
      </c>
      <c r="Y5" s="232" t="s">
        <v>437</v>
      </c>
      <c r="Z5" s="232" t="s">
        <v>441</v>
      </c>
      <c r="AA5" s="232" t="s">
        <v>531</v>
      </c>
      <c r="AB5" s="232" t="s">
        <v>532</v>
      </c>
      <c r="AC5" s="232" t="s">
        <v>461</v>
      </c>
    </row>
    <row r="6" spans="2:40" x14ac:dyDescent="0.3">
      <c r="B6" s="107"/>
      <c r="C6" s="107"/>
      <c r="D6" s="107"/>
      <c r="E6" s="107"/>
      <c r="G6" s="232">
        <v>1977</v>
      </c>
      <c r="H6" s="311">
        <v>1.9565529999999999E-12</v>
      </c>
      <c r="I6" s="311">
        <v>2.5421369999999999E-9</v>
      </c>
      <c r="J6" s="311">
        <v>1.4693840000000001E-6</v>
      </c>
      <c r="K6" s="308">
        <v>4.0485E-2</v>
      </c>
      <c r="L6" s="311">
        <v>5.6998089999999998E-16</v>
      </c>
      <c r="M6" s="308">
        <v>2.9142000000000001E-2</v>
      </c>
      <c r="N6" s="308">
        <v>1</v>
      </c>
      <c r="O6" s="308">
        <v>3.6059999999999998E-3</v>
      </c>
      <c r="P6" s="308">
        <v>1</v>
      </c>
      <c r="Q6" s="308">
        <v>1</v>
      </c>
      <c r="R6" s="107"/>
      <c r="S6" s="232">
        <v>1977</v>
      </c>
      <c r="T6" s="308" t="str">
        <f t="shared" ref="T6:AC6" si="0">IF(H6&gt;$E$5,"No","Yes")</f>
        <v>Yes</v>
      </c>
      <c r="U6" s="308" t="str">
        <f t="shared" si="0"/>
        <v>Yes</v>
      </c>
      <c r="V6" s="308" t="str">
        <f t="shared" si="0"/>
        <v>Yes</v>
      </c>
      <c r="W6" s="308" t="str">
        <f t="shared" si="0"/>
        <v>Yes</v>
      </c>
      <c r="X6" s="308" t="str">
        <f t="shared" si="0"/>
        <v>Yes</v>
      </c>
      <c r="Y6" s="308" t="str">
        <f t="shared" si="0"/>
        <v>Yes</v>
      </c>
      <c r="Z6" s="308" t="str">
        <f t="shared" si="0"/>
        <v>No</v>
      </c>
      <c r="AA6" s="308" t="str">
        <f t="shared" si="0"/>
        <v>Yes</v>
      </c>
      <c r="AB6" s="308" t="str">
        <f t="shared" si="0"/>
        <v>No</v>
      </c>
      <c r="AC6" s="308" t="str">
        <f t="shared" si="0"/>
        <v>No</v>
      </c>
      <c r="AE6" s="308">
        <f>IF(T6="Yes",1,0)</f>
        <v>1</v>
      </c>
      <c r="AF6" s="308">
        <f t="shared" ref="AF6:AK6" si="1">IF(U6="Yes",1,0)</f>
        <v>1</v>
      </c>
      <c r="AG6" s="308">
        <f t="shared" si="1"/>
        <v>1</v>
      </c>
      <c r="AH6" s="308">
        <f t="shared" si="1"/>
        <v>1</v>
      </c>
      <c r="AI6" s="308">
        <f t="shared" si="1"/>
        <v>1</v>
      </c>
      <c r="AJ6" s="308">
        <f t="shared" si="1"/>
        <v>1</v>
      </c>
      <c r="AK6" s="308">
        <f t="shared" si="1"/>
        <v>0</v>
      </c>
      <c r="AL6" s="308">
        <f>IF(AA6="Yes",1,0)</f>
        <v>1</v>
      </c>
      <c r="AM6" s="308">
        <f t="shared" ref="AM6" si="2">IF(AB6="Yes",1,0)</f>
        <v>0</v>
      </c>
      <c r="AN6" s="308">
        <f>IF(AC6="Yes",1,0)</f>
        <v>0</v>
      </c>
    </row>
    <row r="7" spans="2:40" x14ac:dyDescent="0.3">
      <c r="B7" s="107"/>
      <c r="C7" s="107"/>
      <c r="D7" s="307" t="s">
        <v>354</v>
      </c>
      <c r="E7" s="310">
        <v>3.8701350438248001E-40</v>
      </c>
      <c r="G7" s="232">
        <v>1988</v>
      </c>
      <c r="H7" s="306"/>
      <c r="I7" s="308">
        <v>1</v>
      </c>
      <c r="J7" s="308">
        <v>1</v>
      </c>
      <c r="K7" s="308">
        <v>1.4649999999999999E-3</v>
      </c>
      <c r="L7" s="308">
        <v>1</v>
      </c>
      <c r="M7" s="308">
        <v>2.166E-3</v>
      </c>
      <c r="N7" s="311">
        <v>1.3735819999999999E-7</v>
      </c>
      <c r="O7" s="308">
        <v>1.8579999999999999E-2</v>
      </c>
      <c r="P7" s="311">
        <v>1.286496E-11</v>
      </c>
      <c r="Q7" s="311">
        <v>2.093742E-17</v>
      </c>
      <c r="R7" s="107"/>
      <c r="S7" s="232">
        <v>1988</v>
      </c>
      <c r="T7" s="306"/>
      <c r="U7" s="308" t="str">
        <f t="shared" ref="U7:AC7" si="3">IF(I7&gt;$E$5,"No","Yes")</f>
        <v>No</v>
      </c>
      <c r="V7" s="308" t="str">
        <f t="shared" si="3"/>
        <v>No</v>
      </c>
      <c r="W7" s="308" t="str">
        <f t="shared" si="3"/>
        <v>Yes</v>
      </c>
      <c r="X7" s="308" t="str">
        <f t="shared" si="3"/>
        <v>No</v>
      </c>
      <c r="Y7" s="308" t="str">
        <f t="shared" si="3"/>
        <v>Yes</v>
      </c>
      <c r="Z7" s="308" t="str">
        <f t="shared" si="3"/>
        <v>Yes</v>
      </c>
      <c r="AA7" s="308" t="str">
        <f t="shared" si="3"/>
        <v>Yes</v>
      </c>
      <c r="AB7" s="308" t="str">
        <f t="shared" si="3"/>
        <v>Yes</v>
      </c>
      <c r="AC7" s="308" t="str">
        <f t="shared" si="3"/>
        <v>Yes</v>
      </c>
      <c r="AE7" s="306">
        <f t="shared" ref="AE7:AE15" si="4">IF(T7="Yes",1,0)</f>
        <v>0</v>
      </c>
      <c r="AF7" s="308">
        <f t="shared" ref="AF7:AF15" si="5">IF(U7="Yes",1,0)</f>
        <v>0</v>
      </c>
      <c r="AG7" s="308">
        <f t="shared" ref="AG7:AG15" si="6">IF(V7="Yes",1,0)</f>
        <v>0</v>
      </c>
      <c r="AH7" s="308">
        <f t="shared" ref="AH7:AH15" si="7">IF(W7="Yes",1,0)</f>
        <v>1</v>
      </c>
      <c r="AI7" s="308">
        <f t="shared" ref="AI7:AI15" si="8">IF(X7="Yes",1,0)</f>
        <v>0</v>
      </c>
      <c r="AJ7" s="308">
        <f t="shared" ref="AJ7:AJ15" si="9">IF(Y7="Yes",1,0)</f>
        <v>1</v>
      </c>
      <c r="AK7" s="308">
        <f t="shared" ref="AK7:AK15" si="10">IF(Z7="Yes",1,0)</f>
        <v>1</v>
      </c>
      <c r="AL7" s="308">
        <f t="shared" ref="AL7:AL15" si="11">IF(AA7="Yes",1,0)</f>
        <v>1</v>
      </c>
      <c r="AM7" s="308">
        <f t="shared" ref="AM7:AM15" si="12">IF(AB7="Yes",1,0)</f>
        <v>1</v>
      </c>
      <c r="AN7" s="308">
        <f t="shared" ref="AN7:AN15" si="13">IF(AC7="Yes",1,0)</f>
        <v>1</v>
      </c>
    </row>
    <row r="8" spans="2:40" x14ac:dyDescent="0.3">
      <c r="B8" s="107"/>
      <c r="C8" s="107"/>
      <c r="D8" s="107"/>
      <c r="E8" s="107"/>
      <c r="G8" s="232" t="s">
        <v>397</v>
      </c>
      <c r="H8" s="306"/>
      <c r="I8" s="306"/>
      <c r="J8" s="308">
        <v>1</v>
      </c>
      <c r="K8" s="308">
        <v>7.3805999999999997E-2</v>
      </c>
      <c r="L8" s="308">
        <v>1</v>
      </c>
      <c r="M8" s="308">
        <v>0.100338</v>
      </c>
      <c r="N8" s="311">
        <v>3.7201869999999998E-5</v>
      </c>
      <c r="O8" s="308">
        <v>0.52660700000000005</v>
      </c>
      <c r="P8" s="311">
        <v>1.311944E-8</v>
      </c>
      <c r="Q8" s="311">
        <v>1.0355220000000001E-13</v>
      </c>
      <c r="R8" s="107"/>
      <c r="S8" s="232" t="s">
        <v>397</v>
      </c>
      <c r="T8" s="306"/>
      <c r="U8" s="306"/>
      <c r="V8" s="308" t="str">
        <f t="shared" ref="V8:AC8" si="14">IF(J8&gt;$E$5,"No","Yes")</f>
        <v>No</v>
      </c>
      <c r="W8" s="308" t="str">
        <f t="shared" si="14"/>
        <v>No</v>
      </c>
      <c r="X8" s="308" t="str">
        <f t="shared" si="14"/>
        <v>No</v>
      </c>
      <c r="Y8" s="308" t="str">
        <f t="shared" si="14"/>
        <v>No</v>
      </c>
      <c r="Z8" s="308" t="str">
        <f t="shared" si="14"/>
        <v>Yes</v>
      </c>
      <c r="AA8" s="308" t="str">
        <f t="shared" si="14"/>
        <v>No</v>
      </c>
      <c r="AB8" s="308" t="str">
        <f t="shared" si="14"/>
        <v>Yes</v>
      </c>
      <c r="AC8" s="308" t="str">
        <f t="shared" si="14"/>
        <v>Yes</v>
      </c>
      <c r="AE8" s="306">
        <f t="shared" si="4"/>
        <v>0</v>
      </c>
      <c r="AF8" s="306">
        <f t="shared" si="5"/>
        <v>0</v>
      </c>
      <c r="AG8" s="308">
        <f t="shared" si="6"/>
        <v>0</v>
      </c>
      <c r="AH8" s="308">
        <f t="shared" si="7"/>
        <v>0</v>
      </c>
      <c r="AI8" s="308">
        <f t="shared" si="8"/>
        <v>0</v>
      </c>
      <c r="AJ8" s="308">
        <f t="shared" si="9"/>
        <v>0</v>
      </c>
      <c r="AK8" s="308">
        <f t="shared" si="10"/>
        <v>1</v>
      </c>
      <c r="AL8" s="308">
        <f t="shared" si="11"/>
        <v>0</v>
      </c>
      <c r="AM8" s="308">
        <f t="shared" si="12"/>
        <v>1</v>
      </c>
      <c r="AN8" s="308">
        <f t="shared" si="13"/>
        <v>1</v>
      </c>
    </row>
    <row r="9" spans="2:40" ht="15.6" x14ac:dyDescent="0.35">
      <c r="B9" s="107"/>
      <c r="C9" s="107"/>
      <c r="D9" s="307" t="s">
        <v>846</v>
      </c>
      <c r="E9" s="310" t="str">
        <f>IF(E7&gt;E5,"No","Yes")</f>
        <v>Yes</v>
      </c>
      <c r="G9" s="232" t="s">
        <v>401</v>
      </c>
      <c r="H9" s="306"/>
      <c r="I9" s="306"/>
      <c r="J9" s="306"/>
      <c r="K9" s="308">
        <v>1</v>
      </c>
      <c r="L9" s="308">
        <v>0.14457030000000001</v>
      </c>
      <c r="M9" s="308">
        <v>1</v>
      </c>
      <c r="N9" s="311">
        <v>4.3508319999999998E-3</v>
      </c>
      <c r="O9" s="308">
        <v>1</v>
      </c>
      <c r="P9" s="311">
        <v>5.9212299999999997E-6</v>
      </c>
      <c r="Q9" s="311">
        <v>2.3491550000000001E-10</v>
      </c>
      <c r="R9" s="107"/>
      <c r="S9" s="232" t="s">
        <v>401</v>
      </c>
      <c r="T9" s="306"/>
      <c r="U9" s="306"/>
      <c r="V9" s="306"/>
      <c r="W9" s="308" t="str">
        <f t="shared" ref="W9:AC9" si="15">IF(K9&gt;$E$5,"No","Yes")</f>
        <v>No</v>
      </c>
      <c r="X9" s="308" t="str">
        <f t="shared" si="15"/>
        <v>No</v>
      </c>
      <c r="Y9" s="308" t="str">
        <f t="shared" si="15"/>
        <v>No</v>
      </c>
      <c r="Z9" s="308" t="str">
        <f t="shared" si="15"/>
        <v>Yes</v>
      </c>
      <c r="AA9" s="308" t="str">
        <f t="shared" si="15"/>
        <v>No</v>
      </c>
      <c r="AB9" s="308" t="str">
        <f t="shared" si="15"/>
        <v>Yes</v>
      </c>
      <c r="AC9" s="308" t="str">
        <f t="shared" si="15"/>
        <v>Yes</v>
      </c>
      <c r="AE9" s="306">
        <f t="shared" si="4"/>
        <v>0</v>
      </c>
      <c r="AF9" s="306">
        <f t="shared" si="5"/>
        <v>0</v>
      </c>
      <c r="AG9" s="306">
        <f t="shared" si="6"/>
        <v>0</v>
      </c>
      <c r="AH9" s="308">
        <f t="shared" si="7"/>
        <v>0</v>
      </c>
      <c r="AI9" s="308">
        <f t="shared" si="8"/>
        <v>0</v>
      </c>
      <c r="AJ9" s="308">
        <f t="shared" si="9"/>
        <v>0</v>
      </c>
      <c r="AK9" s="308">
        <f t="shared" si="10"/>
        <v>1</v>
      </c>
      <c r="AL9" s="308">
        <f t="shared" si="11"/>
        <v>0</v>
      </c>
      <c r="AM9" s="308">
        <f t="shared" si="12"/>
        <v>1</v>
      </c>
      <c r="AN9" s="308">
        <f t="shared" si="13"/>
        <v>1</v>
      </c>
    </row>
    <row r="10" spans="2:40" x14ac:dyDescent="0.3">
      <c r="B10" s="107"/>
      <c r="C10" s="107"/>
      <c r="D10" s="107"/>
      <c r="E10" s="107"/>
      <c r="G10" s="232" t="s">
        <v>405</v>
      </c>
      <c r="H10" s="306"/>
      <c r="I10" s="306"/>
      <c r="J10" s="306"/>
      <c r="K10" s="306"/>
      <c r="L10" s="311">
        <v>1.1316280000000001E-5</v>
      </c>
      <c r="M10" s="308">
        <v>1</v>
      </c>
      <c r="N10" s="308">
        <v>1</v>
      </c>
      <c r="O10" s="308">
        <v>1</v>
      </c>
      <c r="P10" s="311">
        <v>9.7008129999999998E-2</v>
      </c>
      <c r="Q10" s="311">
        <v>1.1640420000000001E-4</v>
      </c>
      <c r="R10" s="107"/>
      <c r="S10" s="232" t="s">
        <v>405</v>
      </c>
      <c r="T10" s="306"/>
      <c r="U10" s="306"/>
      <c r="V10" s="306"/>
      <c r="W10" s="306"/>
      <c r="X10" s="308" t="str">
        <f t="shared" ref="X10:AC10" si="16">IF(L10&gt;$E$5,"No","Yes")</f>
        <v>Yes</v>
      </c>
      <c r="Y10" s="308" t="str">
        <f t="shared" si="16"/>
        <v>No</v>
      </c>
      <c r="Z10" s="308" t="str">
        <f t="shared" si="16"/>
        <v>No</v>
      </c>
      <c r="AA10" s="308" t="str">
        <f t="shared" si="16"/>
        <v>No</v>
      </c>
      <c r="AB10" s="308" t="str">
        <f t="shared" si="16"/>
        <v>No</v>
      </c>
      <c r="AC10" s="308" t="str">
        <f t="shared" si="16"/>
        <v>Yes</v>
      </c>
      <c r="AE10" s="306">
        <f t="shared" si="4"/>
        <v>0</v>
      </c>
      <c r="AF10" s="306">
        <f t="shared" si="5"/>
        <v>0</v>
      </c>
      <c r="AG10" s="306">
        <f t="shared" si="6"/>
        <v>0</v>
      </c>
      <c r="AH10" s="306">
        <f t="shared" si="7"/>
        <v>0</v>
      </c>
      <c r="AI10" s="308">
        <f t="shared" si="8"/>
        <v>1</v>
      </c>
      <c r="AJ10" s="308">
        <f t="shared" si="9"/>
        <v>0</v>
      </c>
      <c r="AK10" s="308">
        <f t="shared" si="10"/>
        <v>0</v>
      </c>
      <c r="AL10" s="308">
        <f t="shared" si="11"/>
        <v>0</v>
      </c>
      <c r="AM10" s="308">
        <f t="shared" si="12"/>
        <v>0</v>
      </c>
      <c r="AN10" s="308">
        <f t="shared" si="13"/>
        <v>1</v>
      </c>
    </row>
    <row r="11" spans="2:40" ht="15.6" x14ac:dyDescent="0.35">
      <c r="B11" s="107" t="s">
        <v>858</v>
      </c>
      <c r="C11" s="107"/>
      <c r="D11" s="107"/>
      <c r="E11" s="107"/>
      <c r="G11" s="232" t="s">
        <v>429</v>
      </c>
      <c r="H11" s="306"/>
      <c r="I11" s="306"/>
      <c r="J11" s="306"/>
      <c r="K11" s="306"/>
      <c r="L11" s="306"/>
      <c r="M11" s="308">
        <v>1.8E-5</v>
      </c>
      <c r="N11" s="311">
        <v>1.9359459999999999E-10</v>
      </c>
      <c r="O11" s="311">
        <v>2.5799999999999998E-4</v>
      </c>
      <c r="P11" s="311">
        <v>4.7797749999999999E-15</v>
      </c>
      <c r="Q11" s="311">
        <v>1.595708E-21</v>
      </c>
      <c r="R11" s="107"/>
      <c r="S11" s="232" t="s">
        <v>429</v>
      </c>
      <c r="T11" s="306"/>
      <c r="U11" s="306"/>
      <c r="V11" s="306"/>
      <c r="W11" s="306"/>
      <c r="X11" s="306"/>
      <c r="Y11" s="308" t="str">
        <f>IF(M11&gt;$E$5,"No","Yes")</f>
        <v>Yes</v>
      </c>
      <c r="Z11" s="308" t="str">
        <f>IF(N11&gt;$E$5,"No","Yes")</f>
        <v>Yes</v>
      </c>
      <c r="AA11" s="308" t="str">
        <f>IF(O11&gt;$E$5,"No","Yes")</f>
        <v>Yes</v>
      </c>
      <c r="AB11" s="308" t="str">
        <f>IF(P11&gt;$E$5,"No","Yes")</f>
        <v>Yes</v>
      </c>
      <c r="AC11" s="308" t="str">
        <f>IF(Q11&gt;$E$5,"No","Yes")</f>
        <v>Yes</v>
      </c>
      <c r="AE11" s="306">
        <f t="shared" si="4"/>
        <v>0</v>
      </c>
      <c r="AF11" s="306">
        <f t="shared" si="5"/>
        <v>0</v>
      </c>
      <c r="AG11" s="306">
        <f t="shared" si="6"/>
        <v>0</v>
      </c>
      <c r="AH11" s="306">
        <f t="shared" si="7"/>
        <v>0</v>
      </c>
      <c r="AI11" s="306">
        <f t="shared" si="8"/>
        <v>0</v>
      </c>
      <c r="AJ11" s="308">
        <f t="shared" si="9"/>
        <v>1</v>
      </c>
      <c r="AK11" s="308">
        <f t="shared" si="10"/>
        <v>1</v>
      </c>
      <c r="AL11" s="308">
        <f t="shared" si="11"/>
        <v>1</v>
      </c>
      <c r="AM11" s="308">
        <f t="shared" si="12"/>
        <v>1</v>
      </c>
      <c r="AN11" s="308">
        <f t="shared" si="13"/>
        <v>1</v>
      </c>
    </row>
    <row r="12" spans="2:40" x14ac:dyDescent="0.3">
      <c r="B12" s="107" t="s">
        <v>863</v>
      </c>
      <c r="C12" s="107"/>
      <c r="D12" s="107"/>
      <c r="E12" s="107"/>
      <c r="G12" s="232" t="s">
        <v>437</v>
      </c>
      <c r="H12" s="306"/>
      <c r="I12" s="306"/>
      <c r="J12" s="306"/>
      <c r="K12" s="306"/>
      <c r="L12" s="306"/>
      <c r="M12" s="306"/>
      <c r="N12" s="308">
        <v>1</v>
      </c>
      <c r="O12" s="308">
        <v>1</v>
      </c>
      <c r="P12" s="311">
        <v>7.1297559999999996E-2</v>
      </c>
      <c r="Q12" s="311">
        <v>7.4566950000000003E-5</v>
      </c>
      <c r="R12" s="107"/>
      <c r="S12" s="232" t="s">
        <v>437</v>
      </c>
      <c r="T12" s="306"/>
      <c r="U12" s="306"/>
      <c r="V12" s="306"/>
      <c r="W12" s="306"/>
      <c r="X12" s="306"/>
      <c r="Y12" s="306"/>
      <c r="Z12" s="308" t="str">
        <f>IF(N12&gt;$E$5,"No","Yes")</f>
        <v>No</v>
      </c>
      <c r="AA12" s="308" t="str">
        <f>IF(O12&gt;$E$5,"No","Yes")</f>
        <v>No</v>
      </c>
      <c r="AB12" s="308" t="str">
        <f>IF(P12&gt;$E$5,"No","Yes")</f>
        <v>No</v>
      </c>
      <c r="AC12" s="308" t="str">
        <f>IF(Q12&gt;$E$5,"No","Yes")</f>
        <v>Yes</v>
      </c>
      <c r="AE12" s="306">
        <f t="shared" si="4"/>
        <v>0</v>
      </c>
      <c r="AF12" s="306">
        <f t="shared" si="5"/>
        <v>0</v>
      </c>
      <c r="AG12" s="306">
        <f t="shared" si="6"/>
        <v>0</v>
      </c>
      <c r="AH12" s="306">
        <f t="shared" si="7"/>
        <v>0</v>
      </c>
      <c r="AI12" s="306">
        <f t="shared" si="8"/>
        <v>0</v>
      </c>
      <c r="AJ12" s="306">
        <f t="shared" si="9"/>
        <v>0</v>
      </c>
      <c r="AK12" s="308">
        <f t="shared" si="10"/>
        <v>0</v>
      </c>
      <c r="AL12" s="308">
        <f t="shared" si="11"/>
        <v>0</v>
      </c>
      <c r="AM12" s="308">
        <f t="shared" si="12"/>
        <v>0</v>
      </c>
      <c r="AN12" s="308">
        <f t="shared" si="13"/>
        <v>1</v>
      </c>
    </row>
    <row r="13" spans="2:40" x14ac:dyDescent="0.3">
      <c r="B13" s="107" t="s">
        <v>859</v>
      </c>
      <c r="C13" s="107"/>
      <c r="D13" s="107"/>
      <c r="E13" s="107"/>
      <c r="G13" s="232" t="s">
        <v>441</v>
      </c>
      <c r="H13" s="306"/>
      <c r="I13" s="306"/>
      <c r="J13" s="306"/>
      <c r="K13" s="306"/>
      <c r="L13" s="306"/>
      <c r="M13" s="306"/>
      <c r="N13" s="306"/>
      <c r="O13" s="308">
        <v>0.95945999999999998</v>
      </c>
      <c r="P13" s="308">
        <v>1</v>
      </c>
      <c r="Q13" s="308">
        <v>0.1581167</v>
      </c>
      <c r="R13" s="107"/>
      <c r="S13" s="232" t="s">
        <v>441</v>
      </c>
      <c r="T13" s="306"/>
      <c r="U13" s="306"/>
      <c r="V13" s="306"/>
      <c r="W13" s="306"/>
      <c r="X13" s="306"/>
      <c r="Y13" s="306"/>
      <c r="Z13" s="306"/>
      <c r="AA13" s="308" t="str">
        <f>IF(O13&gt;$E$5,"No","Yes")</f>
        <v>No</v>
      </c>
      <c r="AB13" s="308" t="str">
        <f>IF(P13&gt;$E$5,"No","Yes")</f>
        <v>No</v>
      </c>
      <c r="AC13" s="308" t="str">
        <f>IF(Q13&gt;$E$5,"No","Yes")</f>
        <v>No</v>
      </c>
      <c r="AE13" s="306">
        <f t="shared" si="4"/>
        <v>0</v>
      </c>
      <c r="AF13" s="306">
        <f t="shared" si="5"/>
        <v>0</v>
      </c>
      <c r="AG13" s="306">
        <f t="shared" si="6"/>
        <v>0</v>
      </c>
      <c r="AH13" s="306">
        <f t="shared" si="7"/>
        <v>0</v>
      </c>
      <c r="AI13" s="306">
        <f t="shared" si="8"/>
        <v>0</v>
      </c>
      <c r="AJ13" s="306">
        <f t="shared" si="9"/>
        <v>0</v>
      </c>
      <c r="AK13" s="306">
        <f t="shared" si="10"/>
        <v>0</v>
      </c>
      <c r="AL13" s="308">
        <f t="shared" si="11"/>
        <v>0</v>
      </c>
      <c r="AM13" s="308">
        <f t="shared" si="12"/>
        <v>0</v>
      </c>
      <c r="AN13" s="308">
        <f t="shared" si="13"/>
        <v>0</v>
      </c>
    </row>
    <row r="14" spans="2:40" x14ac:dyDescent="0.3">
      <c r="B14" s="107" t="s">
        <v>860</v>
      </c>
      <c r="C14" s="107"/>
      <c r="D14" s="107"/>
      <c r="E14" s="107"/>
      <c r="G14" s="232" t="s">
        <v>531</v>
      </c>
      <c r="H14" s="306"/>
      <c r="I14" s="306"/>
      <c r="J14" s="306"/>
      <c r="K14" s="306"/>
      <c r="L14" s="306"/>
      <c r="M14" s="306"/>
      <c r="N14" s="306"/>
      <c r="O14" s="306"/>
      <c r="P14" s="311">
        <v>9.9849369999999993E-3</v>
      </c>
      <c r="Q14" s="308">
        <v>4.6278909999999997E-6</v>
      </c>
      <c r="R14" s="107"/>
      <c r="S14" s="232" t="s">
        <v>531</v>
      </c>
      <c r="T14" s="306"/>
      <c r="U14" s="306"/>
      <c r="V14" s="306"/>
      <c r="W14" s="306"/>
      <c r="X14" s="306"/>
      <c r="Y14" s="306"/>
      <c r="Z14" s="306"/>
      <c r="AA14" s="306"/>
      <c r="AB14" s="308" t="str">
        <f>IF(P14&gt;$E$5,"No","Yes")</f>
        <v>Yes</v>
      </c>
      <c r="AC14" s="308" t="str">
        <f>IF(Q14&gt;$E$5,"No","Yes")</f>
        <v>Yes</v>
      </c>
      <c r="AE14" s="306">
        <f t="shared" si="4"/>
        <v>0</v>
      </c>
      <c r="AF14" s="306">
        <f t="shared" si="5"/>
        <v>0</v>
      </c>
      <c r="AG14" s="306">
        <f t="shared" si="6"/>
        <v>0</v>
      </c>
      <c r="AH14" s="306">
        <f t="shared" si="7"/>
        <v>0</v>
      </c>
      <c r="AI14" s="306">
        <f t="shared" si="8"/>
        <v>0</v>
      </c>
      <c r="AJ14" s="306">
        <f t="shared" si="9"/>
        <v>0</v>
      </c>
      <c r="AK14" s="306">
        <f t="shared" si="10"/>
        <v>0</v>
      </c>
      <c r="AL14" s="306">
        <f t="shared" si="11"/>
        <v>0</v>
      </c>
      <c r="AM14" s="308">
        <f t="shared" si="12"/>
        <v>1</v>
      </c>
      <c r="AN14" s="308">
        <f t="shared" si="13"/>
        <v>1</v>
      </c>
    </row>
    <row r="15" spans="2:40" x14ac:dyDescent="0.3">
      <c r="B15" s="107" t="s">
        <v>861</v>
      </c>
      <c r="C15" s="107"/>
      <c r="D15" s="107"/>
      <c r="E15" s="107"/>
      <c r="G15" s="232" t="s">
        <v>532</v>
      </c>
      <c r="H15" s="306"/>
      <c r="I15" s="306"/>
      <c r="J15" s="306"/>
      <c r="K15" s="306"/>
      <c r="L15" s="306"/>
      <c r="M15" s="306"/>
      <c r="N15" s="306"/>
      <c r="O15" s="306"/>
      <c r="P15" s="306"/>
      <c r="Q15" s="308">
        <v>1</v>
      </c>
      <c r="R15" s="107"/>
      <c r="S15" s="232" t="s">
        <v>532</v>
      </c>
      <c r="T15" s="306"/>
      <c r="U15" s="306"/>
      <c r="V15" s="306"/>
      <c r="W15" s="306"/>
      <c r="X15" s="306"/>
      <c r="Y15" s="306"/>
      <c r="Z15" s="306"/>
      <c r="AA15" s="306"/>
      <c r="AB15" s="306"/>
      <c r="AC15" s="308" t="str">
        <f>IF(Q15&gt;$E$5,"No","Yes")</f>
        <v>No</v>
      </c>
      <c r="AE15" s="306">
        <f t="shared" si="4"/>
        <v>0</v>
      </c>
      <c r="AF15" s="306">
        <f t="shared" si="5"/>
        <v>0</v>
      </c>
      <c r="AG15" s="306">
        <f t="shared" si="6"/>
        <v>0</v>
      </c>
      <c r="AH15" s="306">
        <f t="shared" si="7"/>
        <v>0</v>
      </c>
      <c r="AI15" s="306">
        <f t="shared" si="8"/>
        <v>0</v>
      </c>
      <c r="AJ15" s="306">
        <f t="shared" si="9"/>
        <v>0</v>
      </c>
      <c r="AK15" s="306">
        <f t="shared" si="10"/>
        <v>0</v>
      </c>
      <c r="AL15" s="306">
        <f t="shared" si="11"/>
        <v>0</v>
      </c>
      <c r="AM15" s="306">
        <f t="shared" si="12"/>
        <v>0</v>
      </c>
      <c r="AN15" s="308">
        <f t="shared" si="13"/>
        <v>0</v>
      </c>
    </row>
    <row r="16" spans="2:40" x14ac:dyDescent="0.3">
      <c r="B16" s="107" t="s">
        <v>862</v>
      </c>
      <c r="C16" s="107"/>
      <c r="D16" s="107"/>
      <c r="E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</row>
    <row r="18" spans="2:29" x14ac:dyDescent="0.3">
      <c r="B18" s="106" t="s">
        <v>853</v>
      </c>
      <c r="C18" s="107"/>
      <c r="D18" s="107"/>
      <c r="E18" s="107"/>
      <c r="G18" s="106" t="s">
        <v>847</v>
      </c>
      <c r="H18" s="107" t="s">
        <v>848</v>
      </c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 t="s">
        <v>869</v>
      </c>
      <c r="T18" s="107"/>
      <c r="U18" s="107"/>
      <c r="V18" s="107"/>
      <c r="W18" s="107"/>
      <c r="X18" s="107"/>
      <c r="Y18" s="107"/>
      <c r="Z18" s="107"/>
      <c r="AA18" s="107"/>
      <c r="AB18" s="107"/>
      <c r="AC18" s="107"/>
    </row>
    <row r="19" spans="2:29" ht="15.6" x14ac:dyDescent="0.35">
      <c r="B19" s="119" t="s">
        <v>41</v>
      </c>
      <c r="C19" s="107"/>
      <c r="D19" s="307" t="s">
        <v>851</v>
      </c>
      <c r="E19" s="309">
        <v>3109.84840131191</v>
      </c>
      <c r="G19" s="119" t="s">
        <v>41</v>
      </c>
      <c r="H19" s="107" t="s">
        <v>866</v>
      </c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 t="s">
        <v>854</v>
      </c>
      <c r="T19" s="107"/>
      <c r="U19" s="107"/>
      <c r="V19" s="107"/>
      <c r="W19" s="107"/>
      <c r="X19" s="107"/>
      <c r="Y19" s="107"/>
      <c r="Z19" s="107"/>
      <c r="AA19" s="107"/>
      <c r="AB19" s="107"/>
      <c r="AC19" s="107"/>
    </row>
    <row r="20" spans="2:29" x14ac:dyDescent="0.3">
      <c r="B20" s="90" t="s">
        <v>849</v>
      </c>
      <c r="C20" s="107"/>
      <c r="D20" s="107"/>
      <c r="E20" s="116"/>
      <c r="G20" s="90" t="s">
        <v>849</v>
      </c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 t="s">
        <v>867</v>
      </c>
      <c r="T20" s="107"/>
      <c r="U20" s="107"/>
      <c r="V20" s="107"/>
      <c r="W20" s="107"/>
      <c r="X20" s="107"/>
      <c r="Y20" s="107"/>
      <c r="Z20" s="107"/>
      <c r="AA20" s="107"/>
      <c r="AB20" s="107"/>
      <c r="AC20" s="107"/>
    </row>
    <row r="21" spans="2:29" ht="15.6" x14ac:dyDescent="0.35">
      <c r="B21" s="107"/>
      <c r="C21" s="107"/>
      <c r="D21" s="307" t="s">
        <v>335</v>
      </c>
      <c r="E21" s="308">
        <v>0.05</v>
      </c>
      <c r="G21" s="307" t="s">
        <v>354</v>
      </c>
      <c r="H21" s="232">
        <v>1988</v>
      </c>
      <c r="I21" s="232" t="s">
        <v>397</v>
      </c>
      <c r="J21" s="232" t="s">
        <v>401</v>
      </c>
      <c r="K21" s="232" t="s">
        <v>405</v>
      </c>
      <c r="L21" s="232" t="s">
        <v>429</v>
      </c>
      <c r="M21" s="232" t="s">
        <v>437</v>
      </c>
      <c r="N21" s="232" t="s">
        <v>441</v>
      </c>
      <c r="O21" s="232" t="s">
        <v>531</v>
      </c>
      <c r="P21" s="232" t="s">
        <v>532</v>
      </c>
      <c r="Q21" s="232" t="s">
        <v>461</v>
      </c>
      <c r="R21" s="107"/>
      <c r="S21" s="303" t="s">
        <v>846</v>
      </c>
      <c r="T21" s="232">
        <v>1988</v>
      </c>
      <c r="U21" s="232" t="s">
        <v>397</v>
      </c>
      <c r="V21" s="232" t="s">
        <v>401</v>
      </c>
      <c r="W21" s="232" t="s">
        <v>405</v>
      </c>
      <c r="X21" s="232" t="s">
        <v>429</v>
      </c>
      <c r="Y21" s="232" t="s">
        <v>437</v>
      </c>
      <c r="Z21" s="232" t="s">
        <v>441</v>
      </c>
      <c r="AA21" s="232" t="s">
        <v>531</v>
      </c>
      <c r="AB21" s="232" t="s">
        <v>532</v>
      </c>
      <c r="AC21" s="232" t="s">
        <v>461</v>
      </c>
    </row>
    <row r="22" spans="2:29" x14ac:dyDescent="0.3">
      <c r="B22" s="107"/>
      <c r="C22" s="107"/>
      <c r="D22" s="107"/>
      <c r="E22" s="107"/>
      <c r="G22" s="232">
        <v>1977</v>
      </c>
      <c r="H22" s="313">
        <v>1E-3</v>
      </c>
      <c r="I22" s="313">
        <v>1E-3</v>
      </c>
      <c r="J22" s="308">
        <v>1E-3</v>
      </c>
      <c r="K22" s="313">
        <v>1E-3</v>
      </c>
      <c r="L22" s="313">
        <v>1E-3</v>
      </c>
      <c r="M22" s="308">
        <v>1E-3</v>
      </c>
      <c r="N22" s="308">
        <v>1E-3</v>
      </c>
      <c r="O22" s="313">
        <v>1E-3</v>
      </c>
      <c r="P22" s="308">
        <v>0.93400000000000005</v>
      </c>
      <c r="Q22" s="313">
        <v>1E-3</v>
      </c>
      <c r="R22" s="107"/>
      <c r="S22" s="232">
        <v>1977</v>
      </c>
      <c r="T22" s="308" t="str">
        <f t="shared" ref="T22:AC22" si="17">IF(H22&gt;$E$5,"No","Yes")</f>
        <v>Yes</v>
      </c>
      <c r="U22" s="308" t="str">
        <f t="shared" si="17"/>
        <v>Yes</v>
      </c>
      <c r="V22" s="308" t="str">
        <f t="shared" si="17"/>
        <v>Yes</v>
      </c>
      <c r="W22" s="308" t="str">
        <f t="shared" si="17"/>
        <v>Yes</v>
      </c>
      <c r="X22" s="308" t="str">
        <f t="shared" si="17"/>
        <v>Yes</v>
      </c>
      <c r="Y22" s="308" t="str">
        <f t="shared" si="17"/>
        <v>Yes</v>
      </c>
      <c r="Z22" s="308" t="str">
        <f t="shared" si="17"/>
        <v>Yes</v>
      </c>
      <c r="AA22" s="308" t="str">
        <f t="shared" si="17"/>
        <v>Yes</v>
      </c>
      <c r="AB22" s="308" t="str">
        <f t="shared" si="17"/>
        <v>No</v>
      </c>
      <c r="AC22" s="308" t="str">
        <f t="shared" si="17"/>
        <v>Yes</v>
      </c>
    </row>
    <row r="23" spans="2:29" x14ac:dyDescent="0.3">
      <c r="B23" s="107"/>
      <c r="C23" s="107"/>
      <c r="D23" s="307" t="s">
        <v>354</v>
      </c>
      <c r="E23" s="310">
        <v>2.4308451703462402E-221</v>
      </c>
      <c r="G23" s="232">
        <v>1988</v>
      </c>
      <c r="H23" s="306"/>
      <c r="I23" s="313">
        <v>1E-3</v>
      </c>
      <c r="J23" s="313">
        <v>1E-3</v>
      </c>
      <c r="K23" s="313">
        <v>1E-3</v>
      </c>
      <c r="L23" s="313">
        <v>1E-3</v>
      </c>
      <c r="M23" s="313">
        <v>1E-3</v>
      </c>
      <c r="N23" s="313">
        <v>1E-3</v>
      </c>
      <c r="O23" s="313">
        <v>1E-3</v>
      </c>
      <c r="P23" s="313">
        <v>1E-3</v>
      </c>
      <c r="Q23" s="313">
        <v>1E-3</v>
      </c>
      <c r="R23" s="107"/>
      <c r="S23" s="232">
        <v>1988</v>
      </c>
      <c r="T23" s="306"/>
      <c r="U23" s="308" t="str">
        <f t="shared" ref="U23:AC23" si="18">IF(I23&gt;$E$5,"No","Yes")</f>
        <v>Yes</v>
      </c>
      <c r="V23" s="308" t="str">
        <f t="shared" si="18"/>
        <v>Yes</v>
      </c>
      <c r="W23" s="308" t="str">
        <f t="shared" si="18"/>
        <v>Yes</v>
      </c>
      <c r="X23" s="308" t="str">
        <f t="shared" si="18"/>
        <v>Yes</v>
      </c>
      <c r="Y23" s="308" t="str">
        <f t="shared" si="18"/>
        <v>Yes</v>
      </c>
      <c r="Z23" s="308" t="str">
        <f t="shared" si="18"/>
        <v>Yes</v>
      </c>
      <c r="AA23" s="308" t="str">
        <f t="shared" si="18"/>
        <v>Yes</v>
      </c>
      <c r="AB23" s="308" t="str">
        <f t="shared" si="18"/>
        <v>Yes</v>
      </c>
      <c r="AC23" s="308" t="str">
        <f t="shared" si="18"/>
        <v>Yes</v>
      </c>
    </row>
    <row r="24" spans="2:29" x14ac:dyDescent="0.3">
      <c r="B24" s="107"/>
      <c r="C24" s="107"/>
      <c r="D24" s="107"/>
      <c r="E24" s="107"/>
      <c r="G24" s="232" t="s">
        <v>397</v>
      </c>
      <c r="H24" s="306"/>
      <c r="I24" s="306"/>
      <c r="J24" s="313">
        <v>1E-3</v>
      </c>
      <c r="K24" s="313">
        <v>1E-3</v>
      </c>
      <c r="L24" s="313">
        <v>1E-3</v>
      </c>
      <c r="M24" s="313">
        <v>1E-3</v>
      </c>
      <c r="N24" s="313">
        <v>1E-3</v>
      </c>
      <c r="O24" s="313">
        <v>1E-3</v>
      </c>
      <c r="P24" s="313">
        <v>1E-3</v>
      </c>
      <c r="Q24" s="313">
        <v>1E-3</v>
      </c>
      <c r="R24" s="107"/>
      <c r="S24" s="232" t="s">
        <v>397</v>
      </c>
      <c r="T24" s="306"/>
      <c r="U24" s="306"/>
      <c r="V24" s="308" t="str">
        <f t="shared" ref="V24:AC24" si="19">IF(J24&gt;$E$5,"No","Yes")</f>
        <v>Yes</v>
      </c>
      <c r="W24" s="308" t="str">
        <f t="shared" si="19"/>
        <v>Yes</v>
      </c>
      <c r="X24" s="308" t="str">
        <f t="shared" si="19"/>
        <v>Yes</v>
      </c>
      <c r="Y24" s="308" t="str">
        <f t="shared" si="19"/>
        <v>Yes</v>
      </c>
      <c r="Z24" s="308" t="str">
        <f t="shared" si="19"/>
        <v>Yes</v>
      </c>
      <c r="AA24" s="308" t="str">
        <f t="shared" si="19"/>
        <v>Yes</v>
      </c>
      <c r="AB24" s="308" t="str">
        <f t="shared" si="19"/>
        <v>Yes</v>
      </c>
      <c r="AC24" s="308" t="str">
        <f t="shared" si="19"/>
        <v>Yes</v>
      </c>
    </row>
    <row r="25" spans="2:29" ht="15.6" x14ac:dyDescent="0.35">
      <c r="B25" s="107"/>
      <c r="C25" s="107"/>
      <c r="D25" s="307" t="s">
        <v>846</v>
      </c>
      <c r="E25" s="310" t="str">
        <f>IF(E23&gt;E21,"No","Yes")</f>
        <v>Yes</v>
      </c>
      <c r="G25" s="232" t="s">
        <v>401</v>
      </c>
      <c r="H25" s="306"/>
      <c r="I25" s="306"/>
      <c r="J25" s="306"/>
      <c r="K25" s="308">
        <v>1E-3</v>
      </c>
      <c r="L25" s="313">
        <v>1E-3</v>
      </c>
      <c r="M25" s="308">
        <v>1E-3</v>
      </c>
      <c r="N25" s="308">
        <v>1E-3</v>
      </c>
      <c r="O25" s="313">
        <v>1E-3</v>
      </c>
      <c r="P25" s="308">
        <v>1E-3</v>
      </c>
      <c r="Q25" s="313">
        <v>1E-3</v>
      </c>
      <c r="R25" s="107"/>
      <c r="S25" s="232" t="s">
        <v>401</v>
      </c>
      <c r="T25" s="306"/>
      <c r="U25" s="306"/>
      <c r="V25" s="306"/>
      <c r="W25" s="308" t="str">
        <f t="shared" ref="W25:AC25" si="20">IF(K25&gt;$E$5,"No","Yes")</f>
        <v>Yes</v>
      </c>
      <c r="X25" s="308" t="str">
        <f t="shared" si="20"/>
        <v>Yes</v>
      </c>
      <c r="Y25" s="308" t="str">
        <f t="shared" si="20"/>
        <v>Yes</v>
      </c>
      <c r="Z25" s="308" t="str">
        <f t="shared" si="20"/>
        <v>Yes</v>
      </c>
      <c r="AA25" s="308" t="str">
        <f t="shared" si="20"/>
        <v>Yes</v>
      </c>
      <c r="AB25" s="308" t="str">
        <f t="shared" si="20"/>
        <v>Yes</v>
      </c>
      <c r="AC25" s="308" t="str">
        <f t="shared" si="20"/>
        <v>Yes</v>
      </c>
    </row>
    <row r="26" spans="2:29" x14ac:dyDescent="0.3">
      <c r="B26" s="107"/>
      <c r="C26" s="107"/>
      <c r="D26" s="107"/>
      <c r="E26" s="107"/>
      <c r="G26" s="232" t="s">
        <v>405</v>
      </c>
      <c r="H26" s="306"/>
      <c r="I26" s="306"/>
      <c r="J26" s="306"/>
      <c r="K26" s="306"/>
      <c r="L26" s="308">
        <v>1E-3</v>
      </c>
      <c r="M26" s="308">
        <v>0.99970000000000003</v>
      </c>
      <c r="N26" s="308">
        <v>1E-3</v>
      </c>
      <c r="O26" s="308">
        <v>0.4335</v>
      </c>
      <c r="P26" s="313">
        <v>1E-3</v>
      </c>
      <c r="Q26" s="313">
        <v>1E-3</v>
      </c>
      <c r="R26" s="107"/>
      <c r="S26" s="232" t="s">
        <v>405</v>
      </c>
      <c r="T26" s="306"/>
      <c r="U26" s="306"/>
      <c r="V26" s="306"/>
      <c r="W26" s="306"/>
      <c r="X26" s="308" t="str">
        <f t="shared" ref="X26:AC26" si="21">IF(L26&gt;$E$5,"No","Yes")</f>
        <v>Yes</v>
      </c>
      <c r="Y26" s="308" t="str">
        <f t="shared" si="21"/>
        <v>No</v>
      </c>
      <c r="Z26" s="308" t="str">
        <f t="shared" si="21"/>
        <v>Yes</v>
      </c>
      <c r="AA26" s="308" t="str">
        <f t="shared" si="21"/>
        <v>No</v>
      </c>
      <c r="AB26" s="308" t="str">
        <f t="shared" si="21"/>
        <v>Yes</v>
      </c>
      <c r="AC26" s="308" t="str">
        <f t="shared" si="21"/>
        <v>Yes</v>
      </c>
    </row>
    <row r="27" spans="2:29" ht="15.6" x14ac:dyDescent="0.35">
      <c r="B27" s="107" t="s">
        <v>852</v>
      </c>
      <c r="C27" s="107"/>
      <c r="D27" s="107"/>
      <c r="E27" s="107"/>
      <c r="G27" s="232" t="s">
        <v>429</v>
      </c>
      <c r="H27" s="306"/>
      <c r="I27" s="306"/>
      <c r="J27" s="306"/>
      <c r="K27" s="306"/>
      <c r="L27" s="306"/>
      <c r="M27" s="313">
        <v>1E-3</v>
      </c>
      <c r="N27" s="313">
        <v>1E-3</v>
      </c>
      <c r="O27" s="313">
        <v>1E-3</v>
      </c>
      <c r="P27" s="313">
        <v>1E-3</v>
      </c>
      <c r="Q27" s="313">
        <v>1E-3</v>
      </c>
      <c r="R27" s="107"/>
      <c r="S27" s="232" t="s">
        <v>429</v>
      </c>
      <c r="T27" s="306"/>
      <c r="U27" s="306"/>
      <c r="V27" s="306"/>
      <c r="W27" s="306"/>
      <c r="X27" s="306"/>
      <c r="Y27" s="308" t="str">
        <f>IF(M27&gt;$E$5,"No","Yes")</f>
        <v>Yes</v>
      </c>
      <c r="Z27" s="308" t="str">
        <f>IF(N27&gt;$E$5,"No","Yes")</f>
        <v>Yes</v>
      </c>
      <c r="AA27" s="308" t="str">
        <f>IF(O27&gt;$E$5,"No","Yes")</f>
        <v>Yes</v>
      </c>
      <c r="AB27" s="308" t="str">
        <f>IF(P27&gt;$E$5,"No","Yes")</f>
        <v>Yes</v>
      </c>
      <c r="AC27" s="308" t="str">
        <f>IF(Q27&gt;$E$5,"No","Yes")</f>
        <v>Yes</v>
      </c>
    </row>
    <row r="28" spans="2:29" x14ac:dyDescent="0.3">
      <c r="B28" s="107" t="s">
        <v>863</v>
      </c>
      <c r="C28" s="107"/>
      <c r="D28" s="107"/>
      <c r="E28" s="107"/>
      <c r="G28" s="232" t="s">
        <v>437</v>
      </c>
      <c r="H28" s="306"/>
      <c r="I28" s="306"/>
      <c r="J28" s="306"/>
      <c r="K28" s="306"/>
      <c r="L28" s="306"/>
      <c r="M28" s="306"/>
      <c r="N28" s="313">
        <v>1E-3</v>
      </c>
      <c r="O28" s="308">
        <v>9.1399999999999995E-2</v>
      </c>
      <c r="P28" s="308">
        <v>1E-3</v>
      </c>
      <c r="Q28" s="308">
        <v>1E-3</v>
      </c>
      <c r="R28" s="107"/>
      <c r="S28" s="232" t="s">
        <v>437</v>
      </c>
      <c r="T28" s="306"/>
      <c r="U28" s="306"/>
      <c r="V28" s="306"/>
      <c r="W28" s="306"/>
      <c r="X28" s="306"/>
      <c r="Y28" s="306"/>
      <c r="Z28" s="308" t="str">
        <f>IF(N28&gt;$E$5,"No","Yes")</f>
        <v>Yes</v>
      </c>
      <c r="AA28" s="308" t="str">
        <f>IF(O28&gt;$E$5,"No","Yes")</f>
        <v>No</v>
      </c>
      <c r="AB28" s="308" t="str">
        <f>IF(P28&gt;$E$5,"No","Yes")</f>
        <v>Yes</v>
      </c>
      <c r="AC28" s="308" t="str">
        <f>IF(Q28&gt;$E$5,"No","Yes")</f>
        <v>Yes</v>
      </c>
    </row>
    <row r="29" spans="2:29" x14ac:dyDescent="0.3">
      <c r="B29" s="107" t="s">
        <v>859</v>
      </c>
      <c r="C29" s="107"/>
      <c r="D29" s="107"/>
      <c r="E29" s="107"/>
      <c r="G29" s="232" t="s">
        <v>441</v>
      </c>
      <c r="H29" s="306"/>
      <c r="I29" s="306"/>
      <c r="J29" s="306"/>
      <c r="K29" s="306"/>
      <c r="L29" s="306"/>
      <c r="M29" s="306"/>
      <c r="N29" s="306"/>
      <c r="O29" s="313">
        <v>1E-3</v>
      </c>
      <c r="P29" s="308">
        <v>1E-3</v>
      </c>
      <c r="Q29" s="308">
        <v>1E-3</v>
      </c>
      <c r="R29" s="107"/>
      <c r="S29" s="232" t="s">
        <v>441</v>
      </c>
      <c r="T29" s="306"/>
      <c r="U29" s="306"/>
      <c r="V29" s="306"/>
      <c r="W29" s="306"/>
      <c r="X29" s="306"/>
      <c r="Y29" s="306"/>
      <c r="Z29" s="306"/>
      <c r="AA29" s="308" t="str">
        <f>IF(O29&gt;$E$5,"No","Yes")</f>
        <v>Yes</v>
      </c>
      <c r="AB29" s="308" t="str">
        <f>IF(P29&gt;$E$5,"No","Yes")</f>
        <v>Yes</v>
      </c>
      <c r="AC29" s="308" t="str">
        <f>IF(Q29&gt;$E$5,"No","Yes")</f>
        <v>Yes</v>
      </c>
    </row>
    <row r="30" spans="2:29" x14ac:dyDescent="0.3">
      <c r="B30" s="107" t="s">
        <v>864</v>
      </c>
      <c r="C30" s="107"/>
      <c r="D30" s="107"/>
      <c r="E30" s="107"/>
      <c r="G30" s="232" t="s">
        <v>531</v>
      </c>
      <c r="H30" s="306"/>
      <c r="I30" s="306"/>
      <c r="J30" s="306"/>
      <c r="K30" s="306"/>
      <c r="L30" s="306"/>
      <c r="M30" s="306"/>
      <c r="N30" s="306"/>
      <c r="O30" s="306"/>
      <c r="P30" s="313">
        <v>1E-3</v>
      </c>
      <c r="Q30" s="308">
        <v>1E-3</v>
      </c>
      <c r="R30" s="107"/>
      <c r="S30" s="232" t="s">
        <v>531</v>
      </c>
      <c r="T30" s="306"/>
      <c r="U30" s="306"/>
      <c r="V30" s="306"/>
      <c r="W30" s="306"/>
      <c r="X30" s="306"/>
      <c r="Y30" s="306"/>
      <c r="Z30" s="306"/>
      <c r="AA30" s="306"/>
      <c r="AB30" s="308" t="str">
        <f>IF(P30&gt;$E$5,"No","Yes")</f>
        <v>Yes</v>
      </c>
      <c r="AC30" s="308" t="str">
        <f>IF(Q30&gt;$E$5,"No","Yes")</f>
        <v>Yes</v>
      </c>
    </row>
    <row r="31" spans="2:29" x14ac:dyDescent="0.3">
      <c r="B31" s="107" t="s">
        <v>868</v>
      </c>
      <c r="C31" s="107"/>
      <c r="D31" s="107"/>
      <c r="E31" s="107"/>
      <c r="G31" s="232" t="s">
        <v>532</v>
      </c>
      <c r="H31" s="306"/>
      <c r="I31" s="306"/>
      <c r="J31" s="306"/>
      <c r="K31" s="306"/>
      <c r="L31" s="306"/>
      <c r="M31" s="306"/>
      <c r="N31" s="306"/>
      <c r="O31" s="306"/>
      <c r="P31" s="306"/>
      <c r="Q31" s="313">
        <v>1E-3</v>
      </c>
      <c r="R31" s="107"/>
      <c r="S31" s="232" t="s">
        <v>532</v>
      </c>
      <c r="T31" s="306"/>
      <c r="U31" s="306"/>
      <c r="V31" s="306"/>
      <c r="W31" s="306"/>
      <c r="X31" s="306"/>
      <c r="Y31" s="306"/>
      <c r="Z31" s="306"/>
      <c r="AA31" s="306"/>
      <c r="AB31" s="306"/>
      <c r="AC31" s="308" t="str">
        <f>IF(Q31&gt;$E$5,"No","Yes")</f>
        <v>Yes</v>
      </c>
    </row>
    <row r="32" spans="2:29" x14ac:dyDescent="0.3">
      <c r="B32" s="107"/>
      <c r="C32" s="107"/>
      <c r="D32" s="107"/>
      <c r="E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</row>
    <row r="33" spans="2:40" x14ac:dyDescent="0.3"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</row>
    <row r="35" spans="2:40" x14ac:dyDescent="0.3">
      <c r="B35" s="106" t="s">
        <v>844</v>
      </c>
      <c r="C35" s="107"/>
      <c r="D35" s="107"/>
      <c r="E35" s="107"/>
      <c r="G35" s="106" t="s">
        <v>857</v>
      </c>
      <c r="H35" s="107" t="s">
        <v>848</v>
      </c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 t="s">
        <v>856</v>
      </c>
      <c r="T35" s="107"/>
      <c r="U35" s="107"/>
      <c r="V35" s="107"/>
      <c r="W35" s="107"/>
      <c r="X35" s="107"/>
      <c r="Y35" s="107"/>
      <c r="Z35" s="107"/>
      <c r="AA35" s="107"/>
      <c r="AB35" s="107"/>
      <c r="AC35" s="107"/>
    </row>
    <row r="36" spans="2:40" ht="15.6" x14ac:dyDescent="0.35">
      <c r="B36" s="119" t="s">
        <v>41</v>
      </c>
      <c r="C36" s="107"/>
      <c r="D36" s="307" t="s">
        <v>845</v>
      </c>
      <c r="E36" s="309">
        <v>214.239193747429</v>
      </c>
      <c r="G36" s="119" t="s">
        <v>41</v>
      </c>
      <c r="H36" s="107" t="s">
        <v>865</v>
      </c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 t="s">
        <v>860</v>
      </c>
      <c r="T36" s="107"/>
      <c r="U36" s="107"/>
      <c r="V36" s="107"/>
      <c r="W36" s="107"/>
      <c r="X36" s="107"/>
      <c r="Y36" s="107"/>
      <c r="Z36" s="107"/>
      <c r="AA36" s="107"/>
      <c r="AB36" s="107"/>
      <c r="AC36" s="107"/>
    </row>
    <row r="37" spans="2:40" x14ac:dyDescent="0.3">
      <c r="B37" s="91" t="s">
        <v>850</v>
      </c>
      <c r="C37" s="107"/>
      <c r="D37" s="107"/>
      <c r="E37" s="116"/>
      <c r="G37" s="91" t="s">
        <v>850</v>
      </c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 t="s">
        <v>855</v>
      </c>
      <c r="T37" s="107"/>
      <c r="U37" s="107"/>
      <c r="V37" s="107"/>
      <c r="W37" s="107"/>
      <c r="X37" s="107"/>
      <c r="Y37" s="107"/>
      <c r="Z37" s="107"/>
      <c r="AA37" s="107"/>
      <c r="AB37" s="107"/>
      <c r="AC37" s="107"/>
    </row>
    <row r="38" spans="2:40" ht="15.6" x14ac:dyDescent="0.35">
      <c r="B38" s="107"/>
      <c r="C38" s="107"/>
      <c r="D38" s="307" t="s">
        <v>335</v>
      </c>
      <c r="E38" s="308">
        <v>0.05</v>
      </c>
      <c r="G38" s="307" t="s">
        <v>354</v>
      </c>
      <c r="H38" s="232">
        <v>1988</v>
      </c>
      <c r="I38" s="232" t="s">
        <v>397</v>
      </c>
      <c r="J38" s="232" t="s">
        <v>401</v>
      </c>
      <c r="K38" s="232" t="s">
        <v>405</v>
      </c>
      <c r="L38" s="232" t="s">
        <v>429</v>
      </c>
      <c r="M38" s="232" t="s">
        <v>437</v>
      </c>
      <c r="N38" s="232" t="s">
        <v>441</v>
      </c>
      <c r="O38" s="232" t="s">
        <v>531</v>
      </c>
      <c r="P38" s="232" t="s">
        <v>532</v>
      </c>
      <c r="Q38" s="232" t="s">
        <v>461</v>
      </c>
      <c r="R38" s="107"/>
      <c r="S38" s="303" t="s">
        <v>846</v>
      </c>
      <c r="T38" s="232">
        <v>1988</v>
      </c>
      <c r="U38" s="232" t="s">
        <v>397</v>
      </c>
      <c r="V38" s="232" t="s">
        <v>401</v>
      </c>
      <c r="W38" s="232" t="s">
        <v>405</v>
      </c>
      <c r="X38" s="232" t="s">
        <v>429</v>
      </c>
      <c r="Y38" s="232" t="s">
        <v>437</v>
      </c>
      <c r="Z38" s="232" t="s">
        <v>441</v>
      </c>
      <c r="AA38" s="232" t="s">
        <v>531</v>
      </c>
      <c r="AB38" s="232" t="s">
        <v>532</v>
      </c>
      <c r="AC38" s="232" t="s">
        <v>461</v>
      </c>
    </row>
    <row r="39" spans="2:40" x14ac:dyDescent="0.3">
      <c r="B39" s="107"/>
      <c r="C39" s="107"/>
      <c r="D39" s="107"/>
      <c r="E39" s="107"/>
      <c r="G39" s="232">
        <v>1977</v>
      </c>
      <c r="H39" s="311">
        <v>9.6500050000000003E-9</v>
      </c>
      <c r="I39" s="312">
        <v>1</v>
      </c>
      <c r="J39" s="312">
        <v>1</v>
      </c>
      <c r="K39" s="308">
        <v>6.3E-5</v>
      </c>
      <c r="L39" s="311">
        <v>2.9701830000000002E-21</v>
      </c>
      <c r="M39" s="308">
        <v>1.9222879999999999E-13</v>
      </c>
      <c r="N39" s="308">
        <v>2.1202479999999999E-3</v>
      </c>
      <c r="O39" s="308">
        <v>1.7098280000000001E-17</v>
      </c>
      <c r="P39" s="308">
        <v>2.2611900000000001E-9</v>
      </c>
      <c r="Q39" s="308">
        <v>0.1518225</v>
      </c>
      <c r="R39" s="107"/>
      <c r="S39" s="232">
        <v>1977</v>
      </c>
      <c r="T39" s="308" t="str">
        <f t="shared" ref="T39:AC39" si="22">IF(H39&gt;$E$5,"No","Yes")</f>
        <v>Yes</v>
      </c>
      <c r="U39" s="308" t="str">
        <f t="shared" si="22"/>
        <v>No</v>
      </c>
      <c r="V39" s="308" t="str">
        <f t="shared" si="22"/>
        <v>No</v>
      </c>
      <c r="W39" s="308" t="str">
        <f t="shared" si="22"/>
        <v>Yes</v>
      </c>
      <c r="X39" s="308" t="str">
        <f t="shared" si="22"/>
        <v>Yes</v>
      </c>
      <c r="Y39" s="308" t="str">
        <f t="shared" si="22"/>
        <v>Yes</v>
      </c>
      <c r="Z39" s="308" t="str">
        <f t="shared" si="22"/>
        <v>Yes</v>
      </c>
      <c r="AA39" s="308" t="str">
        <f t="shared" si="22"/>
        <v>Yes</v>
      </c>
      <c r="AB39" s="308" t="str">
        <f t="shared" si="22"/>
        <v>Yes</v>
      </c>
      <c r="AC39" s="308" t="str">
        <f t="shared" si="22"/>
        <v>No</v>
      </c>
      <c r="AE39" s="308">
        <f>IF(T39="Yes",1,0)</f>
        <v>1</v>
      </c>
      <c r="AF39" s="308">
        <f t="shared" ref="AF39:AF48" si="23">IF(U39="Yes",1,0)</f>
        <v>0</v>
      </c>
      <c r="AG39" s="308">
        <f t="shared" ref="AG39:AG48" si="24">IF(V39="Yes",1,0)</f>
        <v>0</v>
      </c>
      <c r="AH39" s="308">
        <f t="shared" ref="AH39:AH48" si="25">IF(W39="Yes",1,0)</f>
        <v>1</v>
      </c>
      <c r="AI39" s="308">
        <f t="shared" ref="AI39:AI48" si="26">IF(X39="Yes",1,0)</f>
        <v>1</v>
      </c>
      <c r="AJ39" s="308">
        <f t="shared" ref="AJ39:AJ48" si="27">IF(Y39="Yes",1,0)</f>
        <v>1</v>
      </c>
      <c r="AK39" s="308">
        <f t="shared" ref="AK39:AK48" si="28">IF(Z39="Yes",1,0)</f>
        <v>1</v>
      </c>
      <c r="AL39" s="308">
        <f>IF(AA39="Yes",1,0)</f>
        <v>1</v>
      </c>
      <c r="AM39" s="308">
        <f t="shared" ref="AM39:AM48" si="29">IF(AB39="Yes",1,0)</f>
        <v>1</v>
      </c>
      <c r="AN39" s="308">
        <f>IF(AC39="Yes",1,0)</f>
        <v>0</v>
      </c>
    </row>
    <row r="40" spans="2:40" x14ac:dyDescent="0.3">
      <c r="B40" s="107"/>
      <c r="C40" s="107"/>
      <c r="D40" s="307" t="s">
        <v>354</v>
      </c>
      <c r="E40" s="310">
        <v>1.71467663816642E-40</v>
      </c>
      <c r="G40" s="232">
        <v>1988</v>
      </c>
      <c r="H40" s="306"/>
      <c r="I40" s="308">
        <v>3.9225600000000001E-6</v>
      </c>
      <c r="J40" s="308">
        <v>6.1849400000000003E-4</v>
      </c>
      <c r="K40" s="308">
        <v>1</v>
      </c>
      <c r="L40" s="308">
        <v>2.631706E-2</v>
      </c>
      <c r="M40" s="308">
        <v>1</v>
      </c>
      <c r="N40" s="312">
        <v>1</v>
      </c>
      <c r="O40" s="308">
        <v>0.53812300000000002</v>
      </c>
      <c r="P40" s="312">
        <v>1</v>
      </c>
      <c r="Q40" s="311">
        <v>3.8695790000000001E-2</v>
      </c>
      <c r="R40" s="107"/>
      <c r="S40" s="232">
        <v>1988</v>
      </c>
      <c r="T40" s="306"/>
      <c r="U40" s="308" t="str">
        <f t="shared" ref="U40:AC40" si="30">IF(I40&gt;$E$5,"No","Yes")</f>
        <v>Yes</v>
      </c>
      <c r="V40" s="308" t="str">
        <f t="shared" si="30"/>
        <v>Yes</v>
      </c>
      <c r="W40" s="308" t="str">
        <f t="shared" si="30"/>
        <v>No</v>
      </c>
      <c r="X40" s="308" t="str">
        <f t="shared" si="30"/>
        <v>Yes</v>
      </c>
      <c r="Y40" s="308" t="str">
        <f t="shared" si="30"/>
        <v>No</v>
      </c>
      <c r="Z40" s="308" t="str">
        <f t="shared" si="30"/>
        <v>No</v>
      </c>
      <c r="AA40" s="308" t="str">
        <f t="shared" si="30"/>
        <v>No</v>
      </c>
      <c r="AB40" s="308" t="str">
        <f t="shared" si="30"/>
        <v>No</v>
      </c>
      <c r="AC40" s="308" t="str">
        <f t="shared" si="30"/>
        <v>Yes</v>
      </c>
      <c r="AE40" s="306">
        <f t="shared" ref="AE40:AE48" si="31">IF(T40="Yes",1,0)</f>
        <v>0</v>
      </c>
      <c r="AF40" s="308">
        <f t="shared" si="23"/>
        <v>1</v>
      </c>
      <c r="AG40" s="308">
        <f t="shared" si="24"/>
        <v>1</v>
      </c>
      <c r="AH40" s="308">
        <f t="shared" si="25"/>
        <v>0</v>
      </c>
      <c r="AI40" s="308">
        <f t="shared" si="26"/>
        <v>1</v>
      </c>
      <c r="AJ40" s="308">
        <f t="shared" si="27"/>
        <v>0</v>
      </c>
      <c r="AK40" s="308">
        <f t="shared" si="28"/>
        <v>0</v>
      </c>
      <c r="AL40" s="308">
        <f t="shared" ref="AL40:AL48" si="32">IF(AA40="Yes",1,0)</f>
        <v>0</v>
      </c>
      <c r="AM40" s="308">
        <f t="shared" si="29"/>
        <v>0</v>
      </c>
      <c r="AN40" s="308">
        <f t="shared" ref="AN40:AN48" si="33">IF(AC40="Yes",1,0)</f>
        <v>1</v>
      </c>
    </row>
    <row r="41" spans="2:40" x14ac:dyDescent="0.3">
      <c r="B41" s="107"/>
      <c r="C41" s="107"/>
      <c r="D41" s="107"/>
      <c r="E41" s="107"/>
      <c r="G41" s="232" t="s">
        <v>397</v>
      </c>
      <c r="H41" s="306"/>
      <c r="I41" s="306"/>
      <c r="J41" s="308">
        <v>1</v>
      </c>
      <c r="K41" s="308">
        <v>5.9839999999999997E-3</v>
      </c>
      <c r="L41" s="308">
        <v>3.6663650000000003E-17</v>
      </c>
      <c r="M41" s="308">
        <v>3.3332610000000002E-10</v>
      </c>
      <c r="N41" s="316">
        <v>9.8660929999999994E-2</v>
      </c>
      <c r="O41" s="308">
        <v>8.6438299999999999E-14</v>
      </c>
      <c r="P41" s="311">
        <v>1.1361269999999999E-6</v>
      </c>
      <c r="Q41" s="308">
        <v>1</v>
      </c>
      <c r="R41" s="311"/>
      <c r="S41" s="232" t="s">
        <v>397</v>
      </c>
      <c r="T41" s="306"/>
      <c r="U41" s="306"/>
      <c r="V41" s="308" t="str">
        <f t="shared" ref="V41:AC41" si="34">IF(J41&gt;$E$5,"No","Yes")</f>
        <v>No</v>
      </c>
      <c r="W41" s="308" t="str">
        <f t="shared" si="34"/>
        <v>Yes</v>
      </c>
      <c r="X41" s="308" t="str">
        <f t="shared" si="34"/>
        <v>Yes</v>
      </c>
      <c r="Y41" s="308" t="str">
        <f t="shared" si="34"/>
        <v>Yes</v>
      </c>
      <c r="Z41" s="308" t="str">
        <f t="shared" si="34"/>
        <v>No</v>
      </c>
      <c r="AA41" s="308" t="str">
        <f t="shared" si="34"/>
        <v>Yes</v>
      </c>
      <c r="AB41" s="308" t="str">
        <f t="shared" si="34"/>
        <v>Yes</v>
      </c>
      <c r="AC41" s="308" t="str">
        <f t="shared" si="34"/>
        <v>No</v>
      </c>
      <c r="AE41" s="306">
        <f t="shared" si="31"/>
        <v>0</v>
      </c>
      <c r="AF41" s="306">
        <f t="shared" si="23"/>
        <v>0</v>
      </c>
      <c r="AG41" s="308">
        <f t="shared" si="24"/>
        <v>0</v>
      </c>
      <c r="AH41" s="308">
        <f t="shared" si="25"/>
        <v>1</v>
      </c>
      <c r="AI41" s="308">
        <f t="shared" si="26"/>
        <v>1</v>
      </c>
      <c r="AJ41" s="308">
        <f t="shared" si="27"/>
        <v>1</v>
      </c>
      <c r="AK41" s="308">
        <f t="shared" si="28"/>
        <v>0</v>
      </c>
      <c r="AL41" s="308">
        <f t="shared" si="32"/>
        <v>1</v>
      </c>
      <c r="AM41" s="308">
        <f t="shared" si="29"/>
        <v>1</v>
      </c>
      <c r="AN41" s="308">
        <f t="shared" si="33"/>
        <v>0</v>
      </c>
    </row>
    <row r="42" spans="2:40" ht="15.6" x14ac:dyDescent="0.35">
      <c r="B42" s="107"/>
      <c r="C42" s="107"/>
      <c r="D42" s="307" t="s">
        <v>846</v>
      </c>
      <c r="E42" s="310" t="str">
        <f>IF(E40&gt;E38,"No","Yes")</f>
        <v>Yes</v>
      </c>
      <c r="G42" s="232" t="s">
        <v>401</v>
      </c>
      <c r="H42" s="306"/>
      <c r="I42" s="306"/>
      <c r="J42" s="306"/>
      <c r="K42" s="308">
        <v>0.22292100000000001</v>
      </c>
      <c r="L42" s="308">
        <v>1.7404459999999999E-13</v>
      </c>
      <c r="M42" s="308">
        <v>2.227568E-7</v>
      </c>
      <c r="N42" s="312">
        <v>1</v>
      </c>
      <c r="O42" s="308">
        <v>1.681129E-10</v>
      </c>
      <c r="P42" s="311">
        <v>2.2112670000000001E-4</v>
      </c>
      <c r="Q42" s="308">
        <v>1</v>
      </c>
      <c r="R42" s="107"/>
      <c r="S42" s="232" t="s">
        <v>401</v>
      </c>
      <c r="T42" s="306"/>
      <c r="U42" s="306"/>
      <c r="V42" s="306"/>
      <c r="W42" s="308" t="str">
        <f t="shared" ref="W42:AC42" si="35">IF(K42&gt;$E$5,"No","Yes")</f>
        <v>No</v>
      </c>
      <c r="X42" s="308" t="str">
        <f t="shared" si="35"/>
        <v>Yes</v>
      </c>
      <c r="Y42" s="308" t="str">
        <f t="shared" si="35"/>
        <v>Yes</v>
      </c>
      <c r="Z42" s="308" t="str">
        <f t="shared" si="35"/>
        <v>No</v>
      </c>
      <c r="AA42" s="308" t="str">
        <f t="shared" si="35"/>
        <v>Yes</v>
      </c>
      <c r="AB42" s="308" t="str">
        <f t="shared" si="35"/>
        <v>Yes</v>
      </c>
      <c r="AC42" s="308" t="str">
        <f t="shared" si="35"/>
        <v>No</v>
      </c>
      <c r="AE42" s="306">
        <f t="shared" si="31"/>
        <v>0</v>
      </c>
      <c r="AF42" s="306">
        <f t="shared" si="23"/>
        <v>0</v>
      </c>
      <c r="AG42" s="306">
        <f t="shared" si="24"/>
        <v>0</v>
      </c>
      <c r="AH42" s="308">
        <f t="shared" si="25"/>
        <v>0</v>
      </c>
      <c r="AI42" s="308">
        <f t="shared" si="26"/>
        <v>1</v>
      </c>
      <c r="AJ42" s="308">
        <f t="shared" si="27"/>
        <v>1</v>
      </c>
      <c r="AK42" s="308">
        <f t="shared" si="28"/>
        <v>0</v>
      </c>
      <c r="AL42" s="308">
        <f t="shared" si="32"/>
        <v>1</v>
      </c>
      <c r="AM42" s="308">
        <f t="shared" si="29"/>
        <v>1</v>
      </c>
      <c r="AN42" s="308">
        <f t="shared" si="33"/>
        <v>0</v>
      </c>
    </row>
    <row r="43" spans="2:40" x14ac:dyDescent="0.3">
      <c r="B43" s="107"/>
      <c r="C43" s="107"/>
      <c r="D43" s="107"/>
      <c r="E43" s="107"/>
      <c r="G43" s="232" t="s">
        <v>405</v>
      </c>
      <c r="H43" s="306"/>
      <c r="I43" s="306"/>
      <c r="J43" s="306"/>
      <c r="K43" s="306"/>
      <c r="L43" s="311">
        <v>2.989828E-5</v>
      </c>
      <c r="M43" s="308">
        <v>0.14457110000000001</v>
      </c>
      <c r="N43" s="308">
        <v>1</v>
      </c>
      <c r="O43" s="308">
        <v>2.2615619999999999E-3</v>
      </c>
      <c r="P43" s="308">
        <v>1</v>
      </c>
      <c r="Q43" s="308">
        <v>1</v>
      </c>
      <c r="R43" s="107"/>
      <c r="S43" s="232" t="s">
        <v>405</v>
      </c>
      <c r="T43" s="306"/>
      <c r="U43" s="306"/>
      <c r="V43" s="306"/>
      <c r="W43" s="306"/>
      <c r="X43" s="308" t="str">
        <f t="shared" ref="X43:AC43" si="36">IF(L43&gt;$E$5,"No","Yes")</f>
        <v>Yes</v>
      </c>
      <c r="Y43" s="308" t="str">
        <f t="shared" si="36"/>
        <v>No</v>
      </c>
      <c r="Z43" s="308" t="str">
        <f t="shared" si="36"/>
        <v>No</v>
      </c>
      <c r="AA43" s="308" t="str">
        <f t="shared" si="36"/>
        <v>Yes</v>
      </c>
      <c r="AB43" s="308" t="str">
        <f t="shared" si="36"/>
        <v>No</v>
      </c>
      <c r="AC43" s="308" t="str">
        <f t="shared" si="36"/>
        <v>No</v>
      </c>
      <c r="AE43" s="306">
        <f t="shared" si="31"/>
        <v>0</v>
      </c>
      <c r="AF43" s="306">
        <f t="shared" si="23"/>
        <v>0</v>
      </c>
      <c r="AG43" s="306">
        <f t="shared" si="24"/>
        <v>0</v>
      </c>
      <c r="AH43" s="306">
        <f t="shared" si="25"/>
        <v>0</v>
      </c>
      <c r="AI43" s="308">
        <f t="shared" si="26"/>
        <v>1</v>
      </c>
      <c r="AJ43" s="308">
        <f t="shared" si="27"/>
        <v>0</v>
      </c>
      <c r="AK43" s="308">
        <f t="shared" si="28"/>
        <v>0</v>
      </c>
      <c r="AL43" s="308">
        <f t="shared" si="32"/>
        <v>1</v>
      </c>
      <c r="AM43" s="308">
        <f t="shared" si="29"/>
        <v>0</v>
      </c>
      <c r="AN43" s="308">
        <f t="shared" si="33"/>
        <v>0</v>
      </c>
    </row>
    <row r="44" spans="2:40" ht="15.6" x14ac:dyDescent="0.35">
      <c r="B44" s="107" t="s">
        <v>858</v>
      </c>
      <c r="C44" s="107"/>
      <c r="D44" s="107"/>
      <c r="E44" s="107"/>
      <c r="G44" s="232" t="s">
        <v>429</v>
      </c>
      <c r="H44" s="306"/>
      <c r="I44" s="306"/>
      <c r="J44" s="306"/>
      <c r="K44" s="306"/>
      <c r="L44" s="306"/>
      <c r="M44" s="308">
        <v>1</v>
      </c>
      <c r="N44" s="311">
        <v>4.6832670000000001E-7</v>
      </c>
      <c r="O44" s="308">
        <v>1</v>
      </c>
      <c r="P44" s="311">
        <v>5.833588E-2</v>
      </c>
      <c r="Q44" s="311">
        <v>3.2756460000000002E-10</v>
      </c>
      <c r="R44" s="107"/>
      <c r="S44" s="232" t="s">
        <v>429</v>
      </c>
      <c r="T44" s="306"/>
      <c r="U44" s="306"/>
      <c r="V44" s="306"/>
      <c r="W44" s="306"/>
      <c r="X44" s="306"/>
      <c r="Y44" s="308" t="str">
        <f>IF(M44&gt;$E$5,"No","Yes")</f>
        <v>No</v>
      </c>
      <c r="Z44" s="308" t="str">
        <f>IF(N44&gt;$E$5,"No","Yes")</f>
        <v>Yes</v>
      </c>
      <c r="AA44" s="308" t="str">
        <f>IF(O44&gt;$E$5,"No","Yes")</f>
        <v>No</v>
      </c>
      <c r="AB44" s="308" t="str">
        <f>IF(P44&gt;$E$5,"No","Yes")</f>
        <v>No</v>
      </c>
      <c r="AC44" s="308" t="str">
        <f>IF(Q44&gt;$E$5,"No","Yes")</f>
        <v>Yes</v>
      </c>
      <c r="AE44" s="306">
        <f t="shared" si="31"/>
        <v>0</v>
      </c>
      <c r="AF44" s="306">
        <f t="shared" si="23"/>
        <v>0</v>
      </c>
      <c r="AG44" s="306">
        <f t="shared" si="24"/>
        <v>0</v>
      </c>
      <c r="AH44" s="306">
        <f t="shared" si="25"/>
        <v>0</v>
      </c>
      <c r="AI44" s="306">
        <f t="shared" si="26"/>
        <v>0</v>
      </c>
      <c r="AJ44" s="308">
        <f t="shared" si="27"/>
        <v>0</v>
      </c>
      <c r="AK44" s="308">
        <f t="shared" si="28"/>
        <v>1</v>
      </c>
      <c r="AL44" s="308">
        <f t="shared" si="32"/>
        <v>0</v>
      </c>
      <c r="AM44" s="308">
        <f t="shared" si="29"/>
        <v>0</v>
      </c>
      <c r="AN44" s="308">
        <f t="shared" si="33"/>
        <v>1</v>
      </c>
    </row>
    <row r="45" spans="2:40" x14ac:dyDescent="0.3">
      <c r="B45" s="107" t="s">
        <v>863</v>
      </c>
      <c r="C45" s="107"/>
      <c r="D45" s="107"/>
      <c r="E45" s="107"/>
      <c r="G45" s="232" t="s">
        <v>437</v>
      </c>
      <c r="H45" s="306"/>
      <c r="I45" s="306"/>
      <c r="J45" s="306"/>
      <c r="K45" s="306"/>
      <c r="L45" s="306"/>
      <c r="M45" s="306"/>
      <c r="N45" s="311">
        <v>9.5025600000000002E-3</v>
      </c>
      <c r="O45" s="308">
        <v>1</v>
      </c>
      <c r="P45" s="308">
        <v>1</v>
      </c>
      <c r="Q45" s="311">
        <v>5.876475E-5</v>
      </c>
      <c r="R45" s="107"/>
      <c r="S45" s="232" t="s">
        <v>437</v>
      </c>
      <c r="T45" s="306"/>
      <c r="U45" s="306"/>
      <c r="V45" s="306"/>
      <c r="W45" s="306"/>
      <c r="X45" s="306"/>
      <c r="Y45" s="306"/>
      <c r="Z45" s="308" t="str">
        <f>IF(N45&gt;$E$5,"No","Yes")</f>
        <v>Yes</v>
      </c>
      <c r="AA45" s="308" t="str">
        <f>IF(O45&gt;$E$5,"No","Yes")</f>
        <v>No</v>
      </c>
      <c r="AB45" s="308" t="str">
        <f>IF(P45&gt;$E$5,"No","Yes")</f>
        <v>No</v>
      </c>
      <c r="AC45" s="308" t="str">
        <f>IF(Q45&gt;$E$5,"No","Yes")</f>
        <v>Yes</v>
      </c>
      <c r="AE45" s="306">
        <f t="shared" si="31"/>
        <v>0</v>
      </c>
      <c r="AF45" s="306">
        <f t="shared" si="23"/>
        <v>0</v>
      </c>
      <c r="AG45" s="306">
        <f t="shared" si="24"/>
        <v>0</v>
      </c>
      <c r="AH45" s="306">
        <f t="shared" si="25"/>
        <v>0</v>
      </c>
      <c r="AI45" s="306">
        <f t="shared" si="26"/>
        <v>0</v>
      </c>
      <c r="AJ45" s="306">
        <f t="shared" si="27"/>
        <v>0</v>
      </c>
      <c r="AK45" s="308">
        <f t="shared" si="28"/>
        <v>1</v>
      </c>
      <c r="AL45" s="308">
        <f t="shared" si="32"/>
        <v>0</v>
      </c>
      <c r="AM45" s="308">
        <f t="shared" si="29"/>
        <v>0</v>
      </c>
      <c r="AN45" s="308">
        <f t="shared" si="33"/>
        <v>1</v>
      </c>
    </row>
    <row r="46" spans="2:40" x14ac:dyDescent="0.3">
      <c r="B46" s="107" t="s">
        <v>859</v>
      </c>
      <c r="C46" s="107"/>
      <c r="D46" s="107"/>
      <c r="E46" s="107"/>
      <c r="G46" s="232" t="s">
        <v>441</v>
      </c>
      <c r="H46" s="306"/>
      <c r="I46" s="306"/>
      <c r="J46" s="306"/>
      <c r="K46" s="306"/>
      <c r="L46" s="306"/>
      <c r="M46" s="306"/>
      <c r="N46" s="306"/>
      <c r="O46" s="308">
        <v>6.8320840000000001E-5</v>
      </c>
      <c r="P46" s="308">
        <v>0.71451909999999996</v>
      </c>
      <c r="Q46" s="308">
        <v>1</v>
      </c>
      <c r="R46" s="107"/>
      <c r="S46" s="232" t="s">
        <v>441</v>
      </c>
      <c r="T46" s="306"/>
      <c r="U46" s="306"/>
      <c r="V46" s="306"/>
      <c r="W46" s="306"/>
      <c r="X46" s="306"/>
      <c r="Y46" s="306"/>
      <c r="Z46" s="306"/>
      <c r="AA46" s="308" t="str">
        <f>IF(O46&gt;$E$5,"No","Yes")</f>
        <v>Yes</v>
      </c>
      <c r="AB46" s="308" t="str">
        <f>IF(P46&gt;$E$5,"No","Yes")</f>
        <v>No</v>
      </c>
      <c r="AC46" s="308" t="str">
        <f>IF(Q46&gt;$E$5,"No","Yes")</f>
        <v>No</v>
      </c>
      <c r="AE46" s="306">
        <f t="shared" si="31"/>
        <v>0</v>
      </c>
      <c r="AF46" s="306">
        <f t="shared" si="23"/>
        <v>0</v>
      </c>
      <c r="AG46" s="306">
        <f t="shared" si="24"/>
        <v>0</v>
      </c>
      <c r="AH46" s="306">
        <f t="shared" si="25"/>
        <v>0</v>
      </c>
      <c r="AI46" s="306">
        <f t="shared" si="26"/>
        <v>0</v>
      </c>
      <c r="AJ46" s="306">
        <f t="shared" si="27"/>
        <v>0</v>
      </c>
      <c r="AK46" s="306">
        <f t="shared" si="28"/>
        <v>0</v>
      </c>
      <c r="AL46" s="308">
        <f t="shared" si="32"/>
        <v>1</v>
      </c>
      <c r="AM46" s="308">
        <f t="shared" si="29"/>
        <v>0</v>
      </c>
      <c r="AN46" s="308">
        <f t="shared" si="33"/>
        <v>0</v>
      </c>
    </row>
    <row r="47" spans="2:40" x14ac:dyDescent="0.3">
      <c r="B47" s="107" t="s">
        <v>860</v>
      </c>
      <c r="C47" s="107"/>
      <c r="D47" s="107"/>
      <c r="E47" s="107"/>
      <c r="G47" s="232" t="s">
        <v>531</v>
      </c>
      <c r="H47" s="306"/>
      <c r="I47" s="306"/>
      <c r="J47" s="306"/>
      <c r="K47" s="306"/>
      <c r="L47" s="306"/>
      <c r="M47" s="306"/>
      <c r="N47" s="306"/>
      <c r="O47" s="306"/>
      <c r="P47" s="314">
        <v>0.99225249999999998</v>
      </c>
      <c r="Q47" s="308">
        <v>1.292496E-7</v>
      </c>
      <c r="R47" s="107"/>
      <c r="S47" s="232" t="s">
        <v>531</v>
      </c>
      <c r="T47" s="306"/>
      <c r="U47" s="306"/>
      <c r="V47" s="306"/>
      <c r="W47" s="306"/>
      <c r="X47" s="306"/>
      <c r="Y47" s="306"/>
      <c r="Z47" s="306"/>
      <c r="AA47" s="306"/>
      <c r="AB47" s="308" t="str">
        <f>IF(P47&gt;$E$5,"No","Yes")</f>
        <v>No</v>
      </c>
      <c r="AC47" s="308" t="str">
        <f>IF(Q47&gt;$E$5,"No","Yes")</f>
        <v>Yes</v>
      </c>
      <c r="AE47" s="306">
        <f t="shared" si="31"/>
        <v>0</v>
      </c>
      <c r="AF47" s="306">
        <f t="shared" si="23"/>
        <v>0</v>
      </c>
      <c r="AG47" s="306">
        <f t="shared" si="24"/>
        <v>0</v>
      </c>
      <c r="AH47" s="306">
        <f t="shared" si="25"/>
        <v>0</v>
      </c>
      <c r="AI47" s="306">
        <f t="shared" si="26"/>
        <v>0</v>
      </c>
      <c r="AJ47" s="306">
        <f t="shared" si="27"/>
        <v>0</v>
      </c>
      <c r="AK47" s="306">
        <f t="shared" si="28"/>
        <v>0</v>
      </c>
      <c r="AL47" s="306">
        <f t="shared" si="32"/>
        <v>0</v>
      </c>
      <c r="AM47" s="308">
        <f t="shared" si="29"/>
        <v>0</v>
      </c>
      <c r="AN47" s="308">
        <f t="shared" si="33"/>
        <v>1</v>
      </c>
    </row>
    <row r="48" spans="2:40" x14ac:dyDescent="0.3">
      <c r="B48" s="107" t="s">
        <v>861</v>
      </c>
      <c r="C48" s="107"/>
      <c r="D48" s="107"/>
      <c r="E48" s="107"/>
      <c r="G48" s="232" t="s">
        <v>532</v>
      </c>
      <c r="H48" s="306"/>
      <c r="I48" s="306"/>
      <c r="J48" s="306"/>
      <c r="K48" s="306"/>
      <c r="L48" s="306"/>
      <c r="M48" s="306"/>
      <c r="N48" s="306"/>
      <c r="O48" s="306"/>
      <c r="P48" s="306"/>
      <c r="Q48" s="308">
        <v>1.7051050000000002E-2</v>
      </c>
      <c r="R48" s="107"/>
      <c r="S48" s="232" t="s">
        <v>532</v>
      </c>
      <c r="T48" s="306"/>
      <c r="U48" s="306"/>
      <c r="V48" s="306"/>
      <c r="W48" s="306"/>
      <c r="X48" s="306"/>
      <c r="Y48" s="306"/>
      <c r="Z48" s="306"/>
      <c r="AA48" s="306"/>
      <c r="AB48" s="306"/>
      <c r="AC48" s="308" t="str">
        <f>IF(Q48&gt;$E$5,"No","Yes")</f>
        <v>Yes</v>
      </c>
      <c r="AE48" s="306">
        <f t="shared" si="31"/>
        <v>0</v>
      </c>
      <c r="AF48" s="306">
        <f t="shared" si="23"/>
        <v>0</v>
      </c>
      <c r="AG48" s="306">
        <f t="shared" si="24"/>
        <v>0</v>
      </c>
      <c r="AH48" s="306">
        <f t="shared" si="25"/>
        <v>0</v>
      </c>
      <c r="AI48" s="306">
        <f t="shared" si="26"/>
        <v>0</v>
      </c>
      <c r="AJ48" s="306">
        <f t="shared" si="27"/>
        <v>0</v>
      </c>
      <c r="AK48" s="306">
        <f t="shared" si="28"/>
        <v>0</v>
      </c>
      <c r="AL48" s="306">
        <f t="shared" si="32"/>
        <v>0</v>
      </c>
      <c r="AM48" s="306">
        <f t="shared" si="29"/>
        <v>0</v>
      </c>
      <c r="AN48" s="308">
        <f t="shared" si="33"/>
        <v>1</v>
      </c>
    </row>
    <row r="49" spans="2:29" x14ac:dyDescent="0.3">
      <c r="B49" s="107" t="s">
        <v>862</v>
      </c>
      <c r="C49" s="107"/>
      <c r="D49" s="107"/>
      <c r="E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</row>
    <row r="51" spans="2:29" x14ac:dyDescent="0.3">
      <c r="B51" s="106" t="s">
        <v>853</v>
      </c>
      <c r="C51" s="107"/>
      <c r="D51" s="107"/>
      <c r="E51" s="107"/>
      <c r="G51" s="106" t="s">
        <v>847</v>
      </c>
      <c r="H51" s="107" t="s">
        <v>848</v>
      </c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 t="s">
        <v>869</v>
      </c>
      <c r="T51" s="107"/>
      <c r="U51" s="107"/>
      <c r="V51" s="107"/>
      <c r="W51" s="107"/>
      <c r="X51" s="107"/>
      <c r="Y51" s="107"/>
      <c r="Z51" s="107"/>
      <c r="AA51" s="107"/>
      <c r="AB51" s="107"/>
      <c r="AC51" s="107"/>
    </row>
    <row r="52" spans="2:29" ht="15.6" x14ac:dyDescent="0.35">
      <c r="B52" s="119" t="s">
        <v>41</v>
      </c>
      <c r="C52" s="107"/>
      <c r="D52" s="307" t="s">
        <v>851</v>
      </c>
      <c r="E52" s="309">
        <v>1938.0020598418901</v>
      </c>
      <c r="G52" s="119" t="s">
        <v>41</v>
      </c>
      <c r="H52" s="107" t="s">
        <v>866</v>
      </c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 t="s">
        <v>854</v>
      </c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spans="2:29" x14ac:dyDescent="0.3">
      <c r="B53" s="91" t="s">
        <v>850</v>
      </c>
      <c r="C53" s="107"/>
      <c r="D53" s="107"/>
      <c r="E53" s="116"/>
      <c r="G53" s="91" t="s">
        <v>850</v>
      </c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 t="s">
        <v>867</v>
      </c>
      <c r="T53" s="107"/>
      <c r="U53" s="107"/>
      <c r="V53" s="107"/>
      <c r="W53" s="107"/>
      <c r="X53" s="107"/>
      <c r="Y53" s="107"/>
      <c r="Z53" s="107"/>
      <c r="AA53" s="107"/>
      <c r="AB53" s="107"/>
      <c r="AC53" s="107"/>
    </row>
    <row r="54" spans="2:29" ht="15.6" x14ac:dyDescent="0.35">
      <c r="B54" s="107"/>
      <c r="C54" s="107"/>
      <c r="D54" s="307" t="s">
        <v>335</v>
      </c>
      <c r="E54" s="308">
        <v>0.05</v>
      </c>
      <c r="G54" s="307" t="s">
        <v>354</v>
      </c>
      <c r="H54" s="232">
        <v>1988</v>
      </c>
      <c r="I54" s="232" t="s">
        <v>397</v>
      </c>
      <c r="J54" s="232" t="s">
        <v>401</v>
      </c>
      <c r="K54" s="232" t="s">
        <v>405</v>
      </c>
      <c r="L54" s="232" t="s">
        <v>429</v>
      </c>
      <c r="M54" s="232" t="s">
        <v>437</v>
      </c>
      <c r="N54" s="232" t="s">
        <v>441</v>
      </c>
      <c r="O54" s="232" t="s">
        <v>531</v>
      </c>
      <c r="P54" s="232" t="s">
        <v>532</v>
      </c>
      <c r="Q54" s="232" t="s">
        <v>461</v>
      </c>
      <c r="R54" s="107"/>
      <c r="S54" s="303" t="s">
        <v>846</v>
      </c>
      <c r="T54" s="232">
        <v>1988</v>
      </c>
      <c r="U54" s="232" t="s">
        <v>397</v>
      </c>
      <c r="V54" s="232" t="s">
        <v>401</v>
      </c>
      <c r="W54" s="232" t="s">
        <v>405</v>
      </c>
      <c r="X54" s="232" t="s">
        <v>429</v>
      </c>
      <c r="Y54" s="232" t="s">
        <v>437</v>
      </c>
      <c r="Z54" s="232" t="s">
        <v>441</v>
      </c>
      <c r="AA54" s="232" t="s">
        <v>531</v>
      </c>
      <c r="AB54" s="232" t="s">
        <v>532</v>
      </c>
      <c r="AC54" s="232" t="s">
        <v>461</v>
      </c>
    </row>
    <row r="55" spans="2:29" x14ac:dyDescent="0.3">
      <c r="B55" s="107"/>
      <c r="C55" s="107"/>
      <c r="D55" s="107"/>
      <c r="E55" s="107"/>
      <c r="G55" s="232">
        <v>1977</v>
      </c>
      <c r="H55" s="313">
        <v>1E-3</v>
      </c>
      <c r="I55" s="313">
        <v>1E-3</v>
      </c>
      <c r="J55" s="313">
        <v>1E-3</v>
      </c>
      <c r="K55" s="313">
        <v>1E-3</v>
      </c>
      <c r="L55" s="313">
        <v>1E-3</v>
      </c>
      <c r="M55" s="313">
        <v>1E-3</v>
      </c>
      <c r="N55" s="313">
        <v>1E-3</v>
      </c>
      <c r="O55" s="313">
        <v>1E-3</v>
      </c>
      <c r="P55" s="313">
        <v>1E-3</v>
      </c>
      <c r="Q55" s="313">
        <v>1E-3</v>
      </c>
      <c r="R55" s="107"/>
      <c r="S55" s="232">
        <v>1977</v>
      </c>
      <c r="T55" s="308" t="str">
        <f t="shared" ref="T55:AC55" si="37">IF(H55&gt;$E$5,"No","Yes")</f>
        <v>Yes</v>
      </c>
      <c r="U55" s="308" t="str">
        <f t="shared" si="37"/>
        <v>Yes</v>
      </c>
      <c r="V55" s="308" t="str">
        <f t="shared" si="37"/>
        <v>Yes</v>
      </c>
      <c r="W55" s="308" t="str">
        <f t="shared" si="37"/>
        <v>Yes</v>
      </c>
      <c r="X55" s="308" t="str">
        <f t="shared" si="37"/>
        <v>Yes</v>
      </c>
      <c r="Y55" s="308" t="str">
        <f t="shared" si="37"/>
        <v>Yes</v>
      </c>
      <c r="Z55" s="308" t="str">
        <f t="shared" si="37"/>
        <v>Yes</v>
      </c>
      <c r="AA55" s="308" t="str">
        <f t="shared" si="37"/>
        <v>Yes</v>
      </c>
      <c r="AB55" s="308" t="str">
        <f t="shared" si="37"/>
        <v>Yes</v>
      </c>
      <c r="AC55" s="308" t="str">
        <f t="shared" si="37"/>
        <v>Yes</v>
      </c>
    </row>
    <row r="56" spans="2:29" x14ac:dyDescent="0.3">
      <c r="B56" s="107"/>
      <c r="C56" s="107"/>
      <c r="D56" s="307" t="s">
        <v>354</v>
      </c>
      <c r="E56" s="310">
        <v>4.5575350968327898E-200</v>
      </c>
      <c r="G56" s="232">
        <v>1988</v>
      </c>
      <c r="H56" s="306"/>
      <c r="I56" s="313">
        <v>1E-3</v>
      </c>
      <c r="J56" s="313">
        <v>1E-3</v>
      </c>
      <c r="K56" s="313">
        <v>1E-3</v>
      </c>
      <c r="L56" s="313">
        <v>1E-3</v>
      </c>
      <c r="M56" s="313">
        <v>1E-3</v>
      </c>
      <c r="N56" s="308">
        <v>1E-3</v>
      </c>
      <c r="O56" s="308">
        <v>1E-3</v>
      </c>
      <c r="P56" s="308">
        <v>0.98809999999999998</v>
      </c>
      <c r="Q56" s="313">
        <v>1E-3</v>
      </c>
      <c r="R56" s="107"/>
      <c r="S56" s="232">
        <v>1988</v>
      </c>
      <c r="T56" s="306"/>
      <c r="U56" s="308" t="str">
        <f t="shared" ref="U56:AC56" si="38">IF(I56&gt;$E$5,"No","Yes")</f>
        <v>Yes</v>
      </c>
      <c r="V56" s="308" t="str">
        <f t="shared" si="38"/>
        <v>Yes</v>
      </c>
      <c r="W56" s="308" t="str">
        <f t="shared" si="38"/>
        <v>Yes</v>
      </c>
      <c r="X56" s="308" t="str">
        <f t="shared" si="38"/>
        <v>Yes</v>
      </c>
      <c r="Y56" s="308" t="str">
        <f t="shared" si="38"/>
        <v>Yes</v>
      </c>
      <c r="Z56" s="308" t="str">
        <f t="shared" si="38"/>
        <v>Yes</v>
      </c>
      <c r="AA56" s="308" t="str">
        <f t="shared" si="38"/>
        <v>Yes</v>
      </c>
      <c r="AB56" s="308" t="str">
        <f t="shared" si="38"/>
        <v>No</v>
      </c>
      <c r="AC56" s="308" t="str">
        <f t="shared" si="38"/>
        <v>Yes</v>
      </c>
    </row>
    <row r="57" spans="2:29" x14ac:dyDescent="0.3">
      <c r="B57" s="107"/>
      <c r="C57" s="107"/>
      <c r="D57" s="107"/>
      <c r="E57" s="107"/>
      <c r="G57" s="232" t="s">
        <v>397</v>
      </c>
      <c r="H57" s="306"/>
      <c r="I57" s="306"/>
      <c r="J57" s="313">
        <v>1E-3</v>
      </c>
      <c r="K57" s="313">
        <v>1E-3</v>
      </c>
      <c r="L57" s="313">
        <v>1E-3</v>
      </c>
      <c r="M57" s="313">
        <v>1E-3</v>
      </c>
      <c r="N57" s="313">
        <v>1E-3</v>
      </c>
      <c r="O57" s="313">
        <v>1E-3</v>
      </c>
      <c r="P57" s="313">
        <v>1E-3</v>
      </c>
      <c r="Q57" s="313">
        <v>1E-3</v>
      </c>
      <c r="R57" s="107"/>
      <c r="S57" s="232" t="s">
        <v>397</v>
      </c>
      <c r="T57" s="306"/>
      <c r="U57" s="306"/>
      <c r="V57" s="308" t="str">
        <f t="shared" ref="V57:AC57" si="39">IF(J57&gt;$E$5,"No","Yes")</f>
        <v>Yes</v>
      </c>
      <c r="W57" s="308" t="str">
        <f t="shared" si="39"/>
        <v>Yes</v>
      </c>
      <c r="X57" s="308" t="str">
        <f t="shared" si="39"/>
        <v>Yes</v>
      </c>
      <c r="Y57" s="308" t="str">
        <f t="shared" si="39"/>
        <v>Yes</v>
      </c>
      <c r="Z57" s="308" t="str">
        <f t="shared" si="39"/>
        <v>Yes</v>
      </c>
      <c r="AA57" s="308" t="str">
        <f t="shared" si="39"/>
        <v>Yes</v>
      </c>
      <c r="AB57" s="308" t="str">
        <f t="shared" si="39"/>
        <v>Yes</v>
      </c>
      <c r="AC57" s="308" t="str">
        <f t="shared" si="39"/>
        <v>Yes</v>
      </c>
    </row>
    <row r="58" spans="2:29" ht="15.6" x14ac:dyDescent="0.35">
      <c r="B58" s="107"/>
      <c r="C58" s="107"/>
      <c r="D58" s="307" t="s">
        <v>846</v>
      </c>
      <c r="E58" s="310" t="str">
        <f>IF(E56&gt;E54,"No","Yes")</f>
        <v>Yes</v>
      </c>
      <c r="G58" s="232" t="s">
        <v>401</v>
      </c>
      <c r="H58" s="306"/>
      <c r="I58" s="306"/>
      <c r="J58" s="306"/>
      <c r="K58" s="313">
        <v>1E-3</v>
      </c>
      <c r="L58" s="313">
        <v>1E-3</v>
      </c>
      <c r="M58" s="308">
        <v>1E-3</v>
      </c>
      <c r="N58" s="313">
        <v>1E-3</v>
      </c>
      <c r="O58" s="313">
        <v>1E-3</v>
      </c>
      <c r="P58" s="313">
        <v>1E-3</v>
      </c>
      <c r="Q58" s="313">
        <v>1E-3</v>
      </c>
      <c r="R58" s="107"/>
      <c r="S58" s="232" t="s">
        <v>401</v>
      </c>
      <c r="T58" s="306"/>
      <c r="U58" s="306"/>
      <c r="V58" s="306"/>
      <c r="W58" s="308" t="str">
        <f t="shared" ref="W58:AC58" si="40">IF(K58&gt;$E$5,"No","Yes")</f>
        <v>Yes</v>
      </c>
      <c r="X58" s="308" t="str">
        <f t="shared" si="40"/>
        <v>Yes</v>
      </c>
      <c r="Y58" s="308" t="str">
        <f t="shared" si="40"/>
        <v>Yes</v>
      </c>
      <c r="Z58" s="308" t="str">
        <f t="shared" si="40"/>
        <v>Yes</v>
      </c>
      <c r="AA58" s="308" t="str">
        <f t="shared" si="40"/>
        <v>Yes</v>
      </c>
      <c r="AB58" s="308" t="str">
        <f t="shared" si="40"/>
        <v>Yes</v>
      </c>
      <c r="AC58" s="308" t="str">
        <f t="shared" si="40"/>
        <v>Yes</v>
      </c>
    </row>
    <row r="59" spans="2:29" x14ac:dyDescent="0.3">
      <c r="B59" s="107"/>
      <c r="C59" s="107"/>
      <c r="D59" s="107"/>
      <c r="E59" s="107"/>
      <c r="G59" s="232" t="s">
        <v>405</v>
      </c>
      <c r="H59" s="306"/>
      <c r="I59" s="306"/>
      <c r="J59" s="306"/>
      <c r="K59" s="306"/>
      <c r="L59" s="308">
        <v>1E-3</v>
      </c>
      <c r="M59" s="313">
        <v>1E-3</v>
      </c>
      <c r="N59" s="313">
        <v>3.3000000000000002E-2</v>
      </c>
      <c r="O59" s="313">
        <v>1E-3</v>
      </c>
      <c r="P59" s="313">
        <v>1E-3</v>
      </c>
      <c r="Q59" s="313">
        <v>1E-3</v>
      </c>
      <c r="R59" s="107"/>
      <c r="S59" s="232" t="s">
        <v>405</v>
      </c>
      <c r="T59" s="306"/>
      <c r="U59" s="306"/>
      <c r="V59" s="306"/>
      <c r="W59" s="306"/>
      <c r="X59" s="308" t="str">
        <f t="shared" ref="X59:AC59" si="41">IF(L59&gt;$E$5,"No","Yes")</f>
        <v>Yes</v>
      </c>
      <c r="Y59" s="308" t="str">
        <f t="shared" si="41"/>
        <v>Yes</v>
      </c>
      <c r="Z59" s="308" t="str">
        <f t="shared" si="41"/>
        <v>Yes</v>
      </c>
      <c r="AA59" s="308" t="str">
        <f t="shared" si="41"/>
        <v>Yes</v>
      </c>
      <c r="AB59" s="308" t="str">
        <f t="shared" si="41"/>
        <v>Yes</v>
      </c>
      <c r="AC59" s="308" t="str">
        <f t="shared" si="41"/>
        <v>Yes</v>
      </c>
    </row>
    <row r="60" spans="2:29" ht="15.6" x14ac:dyDescent="0.35">
      <c r="B60" s="107" t="s">
        <v>852</v>
      </c>
      <c r="C60" s="107"/>
      <c r="D60" s="107"/>
      <c r="E60" s="107"/>
      <c r="G60" s="232" t="s">
        <v>429</v>
      </c>
      <c r="H60" s="306"/>
      <c r="I60" s="306"/>
      <c r="J60" s="306"/>
      <c r="K60" s="306"/>
      <c r="L60" s="306"/>
      <c r="M60" s="313">
        <v>1E-3</v>
      </c>
      <c r="N60" s="313">
        <v>1E-3</v>
      </c>
      <c r="O60" s="313">
        <v>1E-3</v>
      </c>
      <c r="P60" s="308">
        <v>1E-3</v>
      </c>
      <c r="Q60" s="313">
        <v>1E-3</v>
      </c>
      <c r="R60" s="107"/>
      <c r="S60" s="232" t="s">
        <v>429</v>
      </c>
      <c r="T60" s="306"/>
      <c r="U60" s="306"/>
      <c r="V60" s="306"/>
      <c r="W60" s="306"/>
      <c r="X60" s="306"/>
      <c r="Y60" s="308" t="str">
        <f>IF(M60&gt;$E$5,"No","Yes")</f>
        <v>Yes</v>
      </c>
      <c r="Z60" s="308" t="str">
        <f>IF(N60&gt;$E$5,"No","Yes")</f>
        <v>Yes</v>
      </c>
      <c r="AA60" s="308" t="str">
        <f>IF(O60&gt;$E$5,"No","Yes")</f>
        <v>Yes</v>
      </c>
      <c r="AB60" s="308" t="str">
        <f>IF(P60&gt;$E$5,"No","Yes")</f>
        <v>Yes</v>
      </c>
      <c r="AC60" s="308" t="str">
        <f>IF(Q60&gt;$E$5,"No","Yes")</f>
        <v>Yes</v>
      </c>
    </row>
    <row r="61" spans="2:29" x14ac:dyDescent="0.3">
      <c r="B61" s="107" t="s">
        <v>863</v>
      </c>
      <c r="C61" s="107"/>
      <c r="D61" s="107"/>
      <c r="E61" s="107"/>
      <c r="G61" s="232" t="s">
        <v>437</v>
      </c>
      <c r="H61" s="306"/>
      <c r="I61" s="306"/>
      <c r="J61" s="306"/>
      <c r="K61" s="306"/>
      <c r="L61" s="306"/>
      <c r="M61" s="306"/>
      <c r="N61" s="313">
        <v>1E-3</v>
      </c>
      <c r="O61" s="313">
        <v>1E-3</v>
      </c>
      <c r="P61" s="313">
        <v>1E-3</v>
      </c>
      <c r="Q61" s="313">
        <v>1E-3</v>
      </c>
      <c r="R61" s="107"/>
      <c r="S61" s="232" t="s">
        <v>437</v>
      </c>
      <c r="T61" s="306"/>
      <c r="U61" s="306"/>
      <c r="V61" s="306"/>
      <c r="W61" s="306"/>
      <c r="X61" s="306"/>
      <c r="Y61" s="306"/>
      <c r="Z61" s="308" t="str">
        <f>IF(N61&gt;$E$5,"No","Yes")</f>
        <v>Yes</v>
      </c>
      <c r="AA61" s="308" t="str">
        <f>IF(O61&gt;$E$5,"No","Yes")</f>
        <v>Yes</v>
      </c>
      <c r="AB61" s="308" t="str">
        <f>IF(P61&gt;$E$5,"No","Yes")</f>
        <v>Yes</v>
      </c>
      <c r="AC61" s="308" t="str">
        <f>IF(Q61&gt;$E$5,"No","Yes")</f>
        <v>Yes</v>
      </c>
    </row>
    <row r="62" spans="2:29" x14ac:dyDescent="0.3">
      <c r="B62" s="107" t="s">
        <v>859</v>
      </c>
      <c r="C62" s="107"/>
      <c r="D62" s="107"/>
      <c r="E62" s="107"/>
      <c r="G62" s="232" t="s">
        <v>441</v>
      </c>
      <c r="H62" s="306"/>
      <c r="I62" s="306"/>
      <c r="J62" s="306"/>
      <c r="K62" s="306"/>
      <c r="L62" s="306"/>
      <c r="M62" s="306"/>
      <c r="N62" s="306"/>
      <c r="O62" s="308">
        <v>1E-3</v>
      </c>
      <c r="P62" s="313">
        <v>1E-3</v>
      </c>
      <c r="Q62" s="308">
        <v>1E-3</v>
      </c>
      <c r="R62" s="107"/>
      <c r="S62" s="232" t="s">
        <v>441</v>
      </c>
      <c r="T62" s="306"/>
      <c r="U62" s="306"/>
      <c r="V62" s="306"/>
      <c r="W62" s="306"/>
      <c r="X62" s="306"/>
      <c r="Y62" s="306"/>
      <c r="Z62" s="306"/>
      <c r="AA62" s="308" t="str">
        <f>IF(O62&gt;$E$5,"No","Yes")</f>
        <v>Yes</v>
      </c>
      <c r="AB62" s="308" t="str">
        <f>IF(P62&gt;$E$5,"No","Yes")</f>
        <v>Yes</v>
      </c>
      <c r="AC62" s="308" t="str">
        <f>IF(Q62&gt;$E$5,"No","Yes")</f>
        <v>Yes</v>
      </c>
    </row>
    <row r="63" spans="2:29" x14ac:dyDescent="0.3">
      <c r="B63" s="107" t="s">
        <v>864</v>
      </c>
      <c r="C63" s="107"/>
      <c r="D63" s="107"/>
      <c r="E63" s="107"/>
      <c r="G63" s="232" t="s">
        <v>531</v>
      </c>
      <c r="H63" s="306"/>
      <c r="I63" s="306"/>
      <c r="J63" s="306"/>
      <c r="K63" s="306"/>
      <c r="L63" s="306"/>
      <c r="M63" s="306"/>
      <c r="N63" s="306"/>
      <c r="O63" s="306"/>
      <c r="P63" s="313">
        <v>1E-3</v>
      </c>
      <c r="Q63" s="308">
        <v>1E-3</v>
      </c>
      <c r="R63" s="107"/>
      <c r="S63" s="232" t="s">
        <v>531</v>
      </c>
      <c r="T63" s="306"/>
      <c r="U63" s="306"/>
      <c r="V63" s="306"/>
      <c r="W63" s="306"/>
      <c r="X63" s="306"/>
      <c r="Y63" s="306"/>
      <c r="Z63" s="306"/>
      <c r="AA63" s="306"/>
      <c r="AB63" s="308" t="str">
        <f>IF(P63&gt;$E$5,"No","Yes")</f>
        <v>Yes</v>
      </c>
      <c r="AC63" s="308" t="str">
        <f>IF(Q63&gt;$E$5,"No","Yes")</f>
        <v>Yes</v>
      </c>
    </row>
    <row r="64" spans="2:29" x14ac:dyDescent="0.3">
      <c r="B64" s="107" t="s">
        <v>868</v>
      </c>
      <c r="C64" s="107"/>
      <c r="D64" s="107"/>
      <c r="E64" s="107"/>
      <c r="G64" s="232" t="s">
        <v>532</v>
      </c>
      <c r="H64" s="306"/>
      <c r="I64" s="306"/>
      <c r="J64" s="306"/>
      <c r="K64" s="306"/>
      <c r="L64" s="306"/>
      <c r="M64" s="306"/>
      <c r="N64" s="306"/>
      <c r="O64" s="306"/>
      <c r="P64" s="306"/>
      <c r="Q64" s="313">
        <v>1E-3</v>
      </c>
      <c r="R64" s="107"/>
      <c r="S64" s="232" t="s">
        <v>532</v>
      </c>
      <c r="T64" s="306"/>
      <c r="U64" s="306"/>
      <c r="V64" s="306"/>
      <c r="W64" s="306"/>
      <c r="X64" s="306"/>
      <c r="Y64" s="306"/>
      <c r="Z64" s="306"/>
      <c r="AA64" s="306"/>
      <c r="AB64" s="306"/>
      <c r="AC64" s="308" t="str">
        <f>IF(Q64&gt;$E$5,"No","Yes")</f>
        <v>Yes</v>
      </c>
    </row>
    <row r="65" spans="2:40" x14ac:dyDescent="0.3">
      <c r="B65" s="107"/>
      <c r="C65" s="107"/>
      <c r="D65" s="107"/>
      <c r="E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</row>
    <row r="66" spans="2:40" x14ac:dyDescent="0.3"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</row>
    <row r="68" spans="2:40" x14ac:dyDescent="0.3">
      <c r="B68" s="106" t="s">
        <v>844</v>
      </c>
      <c r="C68" s="107"/>
      <c r="D68" s="107"/>
      <c r="E68" s="107"/>
      <c r="G68" s="106" t="s">
        <v>857</v>
      </c>
      <c r="H68" s="107" t="s">
        <v>848</v>
      </c>
      <c r="I68" s="107"/>
      <c r="J68" s="107"/>
      <c r="K68" s="107"/>
      <c r="L68" s="107"/>
      <c r="M68" s="107"/>
      <c r="N68" s="107"/>
      <c r="O68" s="107"/>
      <c r="P68" s="107"/>
      <c r="Q68" s="107"/>
      <c r="R68" s="107">
        <v>6</v>
      </c>
      <c r="S68" s="107" t="s">
        <v>856</v>
      </c>
      <c r="T68" s="107"/>
      <c r="U68" s="107"/>
      <c r="V68" s="107"/>
      <c r="W68" s="107"/>
      <c r="X68" s="107"/>
      <c r="Y68" s="107"/>
      <c r="Z68" s="107"/>
      <c r="AA68" s="107"/>
      <c r="AB68" s="107"/>
      <c r="AC68" s="107"/>
    </row>
    <row r="69" spans="2:40" ht="15.6" x14ac:dyDescent="0.35">
      <c r="B69" s="119" t="s">
        <v>41</v>
      </c>
      <c r="C69" s="107"/>
      <c r="D69" s="307" t="s">
        <v>845</v>
      </c>
      <c r="E69" s="309">
        <v>216.314561908679</v>
      </c>
      <c r="G69" s="119" t="s">
        <v>41</v>
      </c>
      <c r="H69" s="107" t="s">
        <v>865</v>
      </c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 t="s">
        <v>860</v>
      </c>
      <c r="T69" s="107"/>
      <c r="U69" s="107"/>
      <c r="V69" s="107"/>
      <c r="W69" s="107"/>
      <c r="X69" s="107"/>
      <c r="Y69" s="107"/>
      <c r="Z69" s="107"/>
      <c r="AA69" s="107"/>
      <c r="AB69" s="107"/>
      <c r="AC69" s="107"/>
    </row>
    <row r="70" spans="2:40" x14ac:dyDescent="0.3">
      <c r="B70" s="92" t="s">
        <v>870</v>
      </c>
      <c r="C70" s="107"/>
      <c r="D70" s="107"/>
      <c r="E70" s="116"/>
      <c r="G70" s="92" t="s">
        <v>870</v>
      </c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 t="s">
        <v>855</v>
      </c>
      <c r="T70" s="107"/>
      <c r="U70" s="107"/>
      <c r="V70" s="107"/>
      <c r="W70" s="107"/>
      <c r="X70" s="107"/>
      <c r="Y70" s="107"/>
      <c r="Z70" s="107"/>
      <c r="AA70" s="107"/>
      <c r="AB70" s="107"/>
      <c r="AC70" s="107"/>
    </row>
    <row r="71" spans="2:40" ht="15.6" x14ac:dyDescent="0.35">
      <c r="B71" s="107"/>
      <c r="C71" s="107"/>
      <c r="D71" s="307" t="s">
        <v>335</v>
      </c>
      <c r="E71" s="308">
        <v>0.05</v>
      </c>
      <c r="G71" s="307" t="s">
        <v>354</v>
      </c>
      <c r="H71" s="232">
        <v>1988</v>
      </c>
      <c r="I71" s="232" t="s">
        <v>397</v>
      </c>
      <c r="J71" s="232" t="s">
        <v>401</v>
      </c>
      <c r="K71" s="232" t="s">
        <v>405</v>
      </c>
      <c r="L71" s="232" t="s">
        <v>429</v>
      </c>
      <c r="M71" s="232" t="s">
        <v>437</v>
      </c>
      <c r="N71" s="232" t="s">
        <v>441</v>
      </c>
      <c r="O71" s="232" t="s">
        <v>531</v>
      </c>
      <c r="P71" s="232" t="s">
        <v>532</v>
      </c>
      <c r="Q71" s="232" t="s">
        <v>461</v>
      </c>
      <c r="R71" s="107"/>
      <c r="S71" s="303" t="s">
        <v>846</v>
      </c>
      <c r="T71" s="232">
        <v>1988</v>
      </c>
      <c r="U71" s="232" t="s">
        <v>397</v>
      </c>
      <c r="V71" s="232" t="s">
        <v>401</v>
      </c>
      <c r="W71" s="232" t="s">
        <v>405</v>
      </c>
      <c r="X71" s="232" t="s">
        <v>429</v>
      </c>
      <c r="Y71" s="232" t="s">
        <v>437</v>
      </c>
      <c r="Z71" s="232" t="s">
        <v>441</v>
      </c>
      <c r="AA71" s="232" t="s">
        <v>531</v>
      </c>
      <c r="AB71" s="232" t="s">
        <v>532</v>
      </c>
      <c r="AC71" s="232" t="s">
        <v>461</v>
      </c>
    </row>
    <row r="72" spans="2:40" x14ac:dyDescent="0.3">
      <c r="B72" s="107"/>
      <c r="C72" s="107"/>
      <c r="D72" s="107"/>
      <c r="E72" s="107"/>
      <c r="G72" s="232">
        <v>1977</v>
      </c>
      <c r="H72" s="311">
        <v>3.4999999999999997E-5</v>
      </c>
      <c r="I72" s="311">
        <v>1.035559E-13</v>
      </c>
      <c r="J72" s="316">
        <v>0.15811749999999999</v>
      </c>
      <c r="K72" s="312">
        <v>1</v>
      </c>
      <c r="L72" s="312">
        <v>1</v>
      </c>
      <c r="M72" s="311">
        <v>1.4596739999999999E-7</v>
      </c>
      <c r="N72" s="311">
        <v>1.935999E-10</v>
      </c>
      <c r="O72" s="314">
        <v>3.8803969999999998E-3</v>
      </c>
      <c r="P72" s="311">
        <v>1.2584379999999999E-18</v>
      </c>
      <c r="Q72" s="311">
        <v>3.2690929999999997E-20</v>
      </c>
      <c r="R72" s="107"/>
      <c r="S72" s="232">
        <v>1977</v>
      </c>
      <c r="T72" s="308" t="str">
        <f t="shared" ref="T72:AC72" si="42">IF(H72&gt;$E$5,"No","Yes")</f>
        <v>Yes</v>
      </c>
      <c r="U72" s="308" t="str">
        <f t="shared" si="42"/>
        <v>Yes</v>
      </c>
      <c r="V72" s="308" t="str">
        <f t="shared" si="42"/>
        <v>No</v>
      </c>
      <c r="W72" s="308" t="str">
        <f t="shared" si="42"/>
        <v>No</v>
      </c>
      <c r="X72" s="308" t="str">
        <f t="shared" si="42"/>
        <v>No</v>
      </c>
      <c r="Y72" s="308" t="str">
        <f t="shared" si="42"/>
        <v>Yes</v>
      </c>
      <c r="Z72" s="308" t="str">
        <f t="shared" si="42"/>
        <v>Yes</v>
      </c>
      <c r="AA72" s="308" t="str">
        <f t="shared" si="42"/>
        <v>Yes</v>
      </c>
      <c r="AB72" s="308" t="str">
        <f t="shared" si="42"/>
        <v>Yes</v>
      </c>
      <c r="AC72" s="308" t="str">
        <f t="shared" si="42"/>
        <v>Yes</v>
      </c>
      <c r="AE72" s="308">
        <f>IF(T72="Yes",1,0)</f>
        <v>1</v>
      </c>
      <c r="AF72" s="308">
        <f t="shared" ref="AF72:AF81" si="43">IF(U72="Yes",1,0)</f>
        <v>1</v>
      </c>
      <c r="AG72" s="308">
        <f t="shared" ref="AG72:AG81" si="44">IF(V72="Yes",1,0)</f>
        <v>0</v>
      </c>
      <c r="AH72" s="308">
        <f t="shared" ref="AH72:AH81" si="45">IF(W72="Yes",1,0)</f>
        <v>0</v>
      </c>
      <c r="AI72" s="308">
        <f t="shared" ref="AI72:AI81" si="46">IF(X72="Yes",1,0)</f>
        <v>0</v>
      </c>
      <c r="AJ72" s="308">
        <f t="shared" ref="AJ72:AJ81" si="47">IF(Y72="Yes",1,0)</f>
        <v>1</v>
      </c>
      <c r="AK72" s="308">
        <f t="shared" ref="AK72:AK81" si="48">IF(Z72="Yes",1,0)</f>
        <v>1</v>
      </c>
      <c r="AL72" s="308">
        <f>IF(AA72="Yes",1,0)</f>
        <v>1</v>
      </c>
      <c r="AM72" s="308">
        <f t="shared" ref="AM72:AM81" si="49">IF(AB72="Yes",1,0)</f>
        <v>1</v>
      </c>
      <c r="AN72" s="308">
        <f>IF(AC72="Yes",1,0)</f>
        <v>1</v>
      </c>
    </row>
    <row r="73" spans="2:40" x14ac:dyDescent="0.3">
      <c r="B73" s="107"/>
      <c r="C73" s="107"/>
      <c r="D73" s="307" t="s">
        <v>354</v>
      </c>
      <c r="E73" s="310">
        <v>6.3111809415012596E-41</v>
      </c>
      <c r="G73" s="232">
        <v>1988</v>
      </c>
      <c r="H73" s="306"/>
      <c r="I73" s="316">
        <v>0.1633241</v>
      </c>
      <c r="J73" s="312">
        <v>1</v>
      </c>
      <c r="K73" s="311">
        <v>0.1530629</v>
      </c>
      <c r="L73" s="311">
        <v>3.721575E-3</v>
      </c>
      <c r="M73" s="312">
        <v>1</v>
      </c>
      <c r="N73" s="312">
        <v>1</v>
      </c>
      <c r="O73" s="312">
        <v>1</v>
      </c>
      <c r="P73" s="311">
        <v>1.075047E-3</v>
      </c>
      <c r="Q73" s="311">
        <v>1.803215E-4</v>
      </c>
      <c r="R73" s="107"/>
      <c r="S73" s="232">
        <v>1988</v>
      </c>
      <c r="T73" s="306"/>
      <c r="U73" s="308" t="str">
        <f t="shared" ref="U73:AC73" si="50">IF(I73&gt;$E$5,"No","Yes")</f>
        <v>No</v>
      </c>
      <c r="V73" s="308" t="str">
        <f t="shared" si="50"/>
        <v>No</v>
      </c>
      <c r="W73" s="308" t="str">
        <f t="shared" si="50"/>
        <v>No</v>
      </c>
      <c r="X73" s="308" t="str">
        <f t="shared" si="50"/>
        <v>Yes</v>
      </c>
      <c r="Y73" s="308" t="str">
        <f t="shared" si="50"/>
        <v>No</v>
      </c>
      <c r="Z73" s="308" t="str">
        <f t="shared" si="50"/>
        <v>No</v>
      </c>
      <c r="AA73" s="308" t="str">
        <f t="shared" si="50"/>
        <v>No</v>
      </c>
      <c r="AB73" s="308" t="str">
        <f t="shared" si="50"/>
        <v>Yes</v>
      </c>
      <c r="AC73" s="308" t="str">
        <f t="shared" si="50"/>
        <v>Yes</v>
      </c>
      <c r="AE73" s="306">
        <f t="shared" ref="AE73:AE81" si="51">IF(T73="Yes",1,0)</f>
        <v>0</v>
      </c>
      <c r="AF73" s="308">
        <f t="shared" si="43"/>
        <v>0</v>
      </c>
      <c r="AG73" s="308">
        <f t="shared" si="44"/>
        <v>0</v>
      </c>
      <c r="AH73" s="308">
        <f t="shared" si="45"/>
        <v>0</v>
      </c>
      <c r="AI73" s="308">
        <f t="shared" si="46"/>
        <v>1</v>
      </c>
      <c r="AJ73" s="308">
        <f t="shared" si="47"/>
        <v>0</v>
      </c>
      <c r="AK73" s="308">
        <f t="shared" si="48"/>
        <v>0</v>
      </c>
      <c r="AL73" s="308">
        <f t="shared" ref="AL73:AL81" si="52">IF(AA73="Yes",1,0)</f>
        <v>0</v>
      </c>
      <c r="AM73" s="308">
        <f t="shared" si="49"/>
        <v>1</v>
      </c>
      <c r="AN73" s="308">
        <f t="shared" ref="AN73:AN81" si="53">IF(AC73="Yes",1,0)</f>
        <v>1</v>
      </c>
    </row>
    <row r="74" spans="2:40" x14ac:dyDescent="0.3">
      <c r="B74" s="107"/>
      <c r="C74" s="107"/>
      <c r="D74" s="107"/>
      <c r="E74" s="107"/>
      <c r="G74" s="232" t="s">
        <v>397</v>
      </c>
      <c r="H74" s="306"/>
      <c r="I74" s="315"/>
      <c r="J74" s="311">
        <v>3.7202410000000002E-5</v>
      </c>
      <c r="K74" s="311">
        <v>1.3736100000000001E-7</v>
      </c>
      <c r="L74" s="311">
        <v>1.935999E-10</v>
      </c>
      <c r="M74" s="312">
        <v>1</v>
      </c>
      <c r="N74" s="312">
        <v>1</v>
      </c>
      <c r="O74" s="311">
        <v>3.8803969999999998E-3</v>
      </c>
      <c r="P74" s="312">
        <v>1</v>
      </c>
      <c r="Q74" s="312">
        <v>1</v>
      </c>
      <c r="R74" s="107"/>
      <c r="S74" s="232" t="s">
        <v>397</v>
      </c>
      <c r="T74" s="306"/>
      <c r="U74" s="306"/>
      <c r="V74" s="308" t="str">
        <f t="shared" ref="V74:AC74" si="54">IF(J74&gt;$E$5,"No","Yes")</f>
        <v>Yes</v>
      </c>
      <c r="W74" s="308" t="str">
        <f t="shared" si="54"/>
        <v>Yes</v>
      </c>
      <c r="X74" s="308" t="str">
        <f t="shared" si="54"/>
        <v>Yes</v>
      </c>
      <c r="Y74" s="308" t="str">
        <f t="shared" si="54"/>
        <v>No</v>
      </c>
      <c r="Z74" s="308" t="str">
        <f t="shared" si="54"/>
        <v>No</v>
      </c>
      <c r="AA74" s="308" t="str">
        <f t="shared" si="54"/>
        <v>Yes</v>
      </c>
      <c r="AB74" s="308" t="str">
        <f t="shared" si="54"/>
        <v>No</v>
      </c>
      <c r="AC74" s="308" t="str">
        <f t="shared" si="54"/>
        <v>No</v>
      </c>
      <c r="AE74" s="306">
        <f t="shared" si="51"/>
        <v>0</v>
      </c>
      <c r="AF74" s="306">
        <f t="shared" si="43"/>
        <v>0</v>
      </c>
      <c r="AG74" s="308">
        <f t="shared" si="44"/>
        <v>1</v>
      </c>
      <c r="AH74" s="308">
        <f t="shared" si="45"/>
        <v>1</v>
      </c>
      <c r="AI74" s="308">
        <f t="shared" si="46"/>
        <v>1</v>
      </c>
      <c r="AJ74" s="308">
        <f t="shared" si="47"/>
        <v>0</v>
      </c>
      <c r="AK74" s="308">
        <f t="shared" si="48"/>
        <v>0</v>
      </c>
      <c r="AL74" s="308">
        <f t="shared" si="52"/>
        <v>1</v>
      </c>
      <c r="AM74" s="308">
        <f t="shared" si="49"/>
        <v>0</v>
      </c>
      <c r="AN74" s="308">
        <f t="shared" si="53"/>
        <v>0</v>
      </c>
    </row>
    <row r="75" spans="2:40" ht="15.6" x14ac:dyDescent="0.35">
      <c r="B75" s="107"/>
      <c r="C75" s="107"/>
      <c r="D75" s="307" t="s">
        <v>846</v>
      </c>
      <c r="E75" s="310" t="str">
        <f>IF(E73&gt;E71,"No","Yes")</f>
        <v>Yes</v>
      </c>
      <c r="G75" s="232" t="s">
        <v>401</v>
      </c>
      <c r="H75" s="306"/>
      <c r="I75" s="315"/>
      <c r="J75" s="315"/>
      <c r="K75" s="312">
        <v>1</v>
      </c>
      <c r="L75" s="312">
        <v>1</v>
      </c>
      <c r="M75" s="316">
        <v>0.1633241</v>
      </c>
      <c r="N75" s="316">
        <v>3.8803969999999998E-3</v>
      </c>
      <c r="O75" s="312">
        <v>1</v>
      </c>
      <c r="P75" s="311">
        <v>2.0223789999999999E-8</v>
      </c>
      <c r="Q75" s="311">
        <v>1.6153899999999999E-9</v>
      </c>
      <c r="R75" s="107"/>
      <c r="S75" s="232" t="s">
        <v>401</v>
      </c>
      <c r="T75" s="306"/>
      <c r="U75" s="306"/>
      <c r="V75" s="306"/>
      <c r="W75" s="308" t="str">
        <f t="shared" ref="W75:AC75" si="55">IF(K75&gt;$E$5,"No","Yes")</f>
        <v>No</v>
      </c>
      <c r="X75" s="308" t="str">
        <f t="shared" si="55"/>
        <v>No</v>
      </c>
      <c r="Y75" s="308" t="str">
        <f t="shared" si="55"/>
        <v>No</v>
      </c>
      <c r="Z75" s="308" t="str">
        <f t="shared" si="55"/>
        <v>Yes</v>
      </c>
      <c r="AA75" s="308" t="str">
        <f t="shared" si="55"/>
        <v>No</v>
      </c>
      <c r="AB75" s="308" t="str">
        <f t="shared" si="55"/>
        <v>Yes</v>
      </c>
      <c r="AC75" s="308" t="str">
        <f t="shared" si="55"/>
        <v>Yes</v>
      </c>
      <c r="AE75" s="306">
        <f t="shared" si="51"/>
        <v>0</v>
      </c>
      <c r="AF75" s="306">
        <f t="shared" si="43"/>
        <v>0</v>
      </c>
      <c r="AG75" s="306">
        <f t="shared" si="44"/>
        <v>0</v>
      </c>
      <c r="AH75" s="308">
        <f t="shared" si="45"/>
        <v>0</v>
      </c>
      <c r="AI75" s="308">
        <f t="shared" si="46"/>
        <v>0</v>
      </c>
      <c r="AJ75" s="308">
        <f t="shared" si="47"/>
        <v>0</v>
      </c>
      <c r="AK75" s="308">
        <f t="shared" si="48"/>
        <v>1</v>
      </c>
      <c r="AL75" s="308">
        <f t="shared" si="52"/>
        <v>0</v>
      </c>
      <c r="AM75" s="308">
        <f t="shared" si="49"/>
        <v>1</v>
      </c>
      <c r="AN75" s="308">
        <f t="shared" si="53"/>
        <v>1</v>
      </c>
    </row>
    <row r="76" spans="2:40" x14ac:dyDescent="0.3">
      <c r="B76" s="107"/>
      <c r="C76" s="107"/>
      <c r="D76" s="107"/>
      <c r="E76" s="107"/>
      <c r="G76" s="232" t="s">
        <v>405</v>
      </c>
      <c r="H76" s="306"/>
      <c r="I76" s="315"/>
      <c r="J76" s="315"/>
      <c r="K76" s="315"/>
      <c r="L76" s="312">
        <v>1</v>
      </c>
      <c r="M76" s="316">
        <v>4.0456160000000001E-3</v>
      </c>
      <c r="N76" s="311">
        <v>3.7202410000000002E-5</v>
      </c>
      <c r="O76" s="312">
        <v>1</v>
      </c>
      <c r="P76" s="311">
        <v>2.117098E-11</v>
      </c>
      <c r="Q76" s="311">
        <v>1.1645230000000001E-12</v>
      </c>
      <c r="R76" s="107"/>
      <c r="S76" s="232" t="s">
        <v>405</v>
      </c>
      <c r="T76" s="306"/>
      <c r="U76" s="306"/>
      <c r="V76" s="306"/>
      <c r="W76" s="306"/>
      <c r="X76" s="308" t="str">
        <f t="shared" ref="X76:AC76" si="56">IF(L76&gt;$E$5,"No","Yes")</f>
        <v>No</v>
      </c>
      <c r="Y76" s="308" t="str">
        <f t="shared" si="56"/>
        <v>Yes</v>
      </c>
      <c r="Z76" s="308" t="str">
        <f t="shared" si="56"/>
        <v>Yes</v>
      </c>
      <c r="AA76" s="308" t="str">
        <f t="shared" si="56"/>
        <v>No</v>
      </c>
      <c r="AB76" s="308" t="str">
        <f t="shared" si="56"/>
        <v>Yes</v>
      </c>
      <c r="AC76" s="308" t="str">
        <f t="shared" si="56"/>
        <v>Yes</v>
      </c>
      <c r="AE76" s="306">
        <f t="shared" si="51"/>
        <v>0</v>
      </c>
      <c r="AF76" s="306">
        <f t="shared" si="43"/>
        <v>0</v>
      </c>
      <c r="AG76" s="306">
        <f t="shared" si="44"/>
        <v>0</v>
      </c>
      <c r="AH76" s="306">
        <f t="shared" si="45"/>
        <v>0</v>
      </c>
      <c r="AI76" s="308">
        <f t="shared" si="46"/>
        <v>0</v>
      </c>
      <c r="AJ76" s="308">
        <f t="shared" si="47"/>
        <v>1</v>
      </c>
      <c r="AK76" s="308">
        <f t="shared" si="48"/>
        <v>1</v>
      </c>
      <c r="AL76" s="308">
        <f t="shared" si="52"/>
        <v>0</v>
      </c>
      <c r="AM76" s="308">
        <f t="shared" si="49"/>
        <v>1</v>
      </c>
      <c r="AN76" s="308">
        <f t="shared" si="53"/>
        <v>1</v>
      </c>
    </row>
    <row r="77" spans="2:40" ht="15.6" x14ac:dyDescent="0.35">
      <c r="B77" s="107" t="s">
        <v>858</v>
      </c>
      <c r="C77" s="107"/>
      <c r="D77" s="107"/>
      <c r="E77" s="107"/>
      <c r="G77" s="232" t="s">
        <v>429</v>
      </c>
      <c r="H77" s="306"/>
      <c r="I77" s="315"/>
      <c r="J77" s="315"/>
      <c r="K77" s="315"/>
      <c r="L77" s="315"/>
      <c r="M77" s="311">
        <v>3.9155929999999998E-5</v>
      </c>
      <c r="N77" s="311">
        <v>1.3736100000000001E-7</v>
      </c>
      <c r="O77" s="311">
        <v>0.15811749999999999</v>
      </c>
      <c r="P77" s="311">
        <v>8.3993970000000005E-15</v>
      </c>
      <c r="Q77" s="311">
        <v>3.1767670000000002E-16</v>
      </c>
      <c r="R77" s="107"/>
      <c r="S77" s="232" t="s">
        <v>429</v>
      </c>
      <c r="T77" s="306"/>
      <c r="U77" s="306"/>
      <c r="V77" s="306"/>
      <c r="W77" s="306"/>
      <c r="X77" s="306"/>
      <c r="Y77" s="308" t="str">
        <f>IF(M77&gt;$E$5,"No","Yes")</f>
        <v>Yes</v>
      </c>
      <c r="Z77" s="308" t="str">
        <f>IF(N77&gt;$E$5,"No","Yes")</f>
        <v>Yes</v>
      </c>
      <c r="AA77" s="308" t="str">
        <f>IF(O77&gt;$E$5,"No","Yes")</f>
        <v>No</v>
      </c>
      <c r="AB77" s="308" t="str">
        <f>IF(P77&gt;$E$5,"No","Yes")</f>
        <v>Yes</v>
      </c>
      <c r="AC77" s="308" t="str">
        <f>IF(Q77&gt;$E$5,"No","Yes")</f>
        <v>Yes</v>
      </c>
      <c r="AE77" s="306">
        <f t="shared" si="51"/>
        <v>0</v>
      </c>
      <c r="AF77" s="306">
        <f t="shared" si="43"/>
        <v>0</v>
      </c>
      <c r="AG77" s="306">
        <f t="shared" si="44"/>
        <v>0</v>
      </c>
      <c r="AH77" s="306">
        <f t="shared" si="45"/>
        <v>0</v>
      </c>
      <c r="AI77" s="306">
        <f t="shared" si="46"/>
        <v>0</v>
      </c>
      <c r="AJ77" s="308">
        <f t="shared" si="47"/>
        <v>1</v>
      </c>
      <c r="AK77" s="308">
        <f t="shared" si="48"/>
        <v>1</v>
      </c>
      <c r="AL77" s="308">
        <f t="shared" si="52"/>
        <v>0</v>
      </c>
      <c r="AM77" s="308">
        <f t="shared" si="49"/>
        <v>1</v>
      </c>
      <c r="AN77" s="308">
        <f t="shared" si="53"/>
        <v>1</v>
      </c>
    </row>
    <row r="78" spans="2:40" x14ac:dyDescent="0.3">
      <c r="B78" s="107" t="s">
        <v>863</v>
      </c>
      <c r="C78" s="107"/>
      <c r="D78" s="107"/>
      <c r="E78" s="107"/>
      <c r="G78" s="232" t="s">
        <v>437</v>
      </c>
      <c r="H78" s="306"/>
      <c r="I78" s="315"/>
      <c r="J78" s="315"/>
      <c r="K78" s="315"/>
      <c r="L78" s="315"/>
      <c r="M78" s="315"/>
      <c r="N78" s="312">
        <v>1</v>
      </c>
      <c r="O78" s="312">
        <v>1</v>
      </c>
      <c r="P78" s="311">
        <v>5.3885910000000002E-2</v>
      </c>
      <c r="Q78" s="316">
        <v>1.28875E-2</v>
      </c>
      <c r="R78" s="107"/>
      <c r="S78" s="232" t="s">
        <v>437</v>
      </c>
      <c r="T78" s="306"/>
      <c r="U78" s="306"/>
      <c r="V78" s="306"/>
      <c r="W78" s="306"/>
      <c r="X78" s="306"/>
      <c r="Y78" s="306"/>
      <c r="Z78" s="308" t="str">
        <f>IF(N78&gt;$E$5,"No","Yes")</f>
        <v>No</v>
      </c>
      <c r="AA78" s="308" t="str">
        <f>IF(O78&gt;$E$5,"No","Yes")</f>
        <v>No</v>
      </c>
      <c r="AB78" s="308" t="str">
        <f>IF(P78&gt;$E$5,"No","Yes")</f>
        <v>No</v>
      </c>
      <c r="AC78" s="308" t="str">
        <f>IF(Q78&gt;$E$5,"No","Yes")</f>
        <v>Yes</v>
      </c>
      <c r="AE78" s="306">
        <f t="shared" si="51"/>
        <v>0</v>
      </c>
      <c r="AF78" s="306">
        <f t="shared" si="43"/>
        <v>0</v>
      </c>
      <c r="AG78" s="306">
        <f t="shared" si="44"/>
        <v>0</v>
      </c>
      <c r="AH78" s="306">
        <f t="shared" si="45"/>
        <v>0</v>
      </c>
      <c r="AI78" s="306">
        <f t="shared" si="46"/>
        <v>0</v>
      </c>
      <c r="AJ78" s="306">
        <f t="shared" si="47"/>
        <v>0</v>
      </c>
      <c r="AK78" s="308">
        <f t="shared" si="48"/>
        <v>0</v>
      </c>
      <c r="AL78" s="308">
        <f t="shared" si="52"/>
        <v>0</v>
      </c>
      <c r="AM78" s="308">
        <f t="shared" si="49"/>
        <v>0</v>
      </c>
      <c r="AN78" s="308">
        <f t="shared" si="53"/>
        <v>1</v>
      </c>
    </row>
    <row r="79" spans="2:40" x14ac:dyDescent="0.3">
      <c r="B79" s="107" t="s">
        <v>859</v>
      </c>
      <c r="C79" s="107"/>
      <c r="D79" s="107"/>
      <c r="E79" s="107"/>
      <c r="G79" s="232" t="s">
        <v>441</v>
      </c>
      <c r="H79" s="306"/>
      <c r="I79" s="315"/>
      <c r="J79" s="315"/>
      <c r="K79" s="315"/>
      <c r="L79" s="315"/>
      <c r="M79" s="315"/>
      <c r="N79" s="315"/>
      <c r="O79" s="316">
        <v>0.15811749999999999</v>
      </c>
      <c r="P79" s="312">
        <v>1</v>
      </c>
      <c r="Q79" s="314">
        <v>0.4106707</v>
      </c>
      <c r="R79" s="107"/>
      <c r="S79" s="232" t="s">
        <v>441</v>
      </c>
      <c r="T79" s="306"/>
      <c r="U79" s="306"/>
      <c r="V79" s="306"/>
      <c r="W79" s="306"/>
      <c r="X79" s="306"/>
      <c r="Y79" s="306"/>
      <c r="Z79" s="306"/>
      <c r="AA79" s="308" t="str">
        <f>IF(O79&gt;$E$5,"No","Yes")</f>
        <v>No</v>
      </c>
      <c r="AB79" s="308" t="str">
        <f>IF(P79&gt;$E$5,"No","Yes")</f>
        <v>No</v>
      </c>
      <c r="AC79" s="308" t="str">
        <f>IF(Q79&gt;$E$5,"No","Yes")</f>
        <v>No</v>
      </c>
      <c r="AE79" s="306">
        <f t="shared" si="51"/>
        <v>0</v>
      </c>
      <c r="AF79" s="306">
        <f t="shared" si="43"/>
        <v>0</v>
      </c>
      <c r="AG79" s="306">
        <f t="shared" si="44"/>
        <v>0</v>
      </c>
      <c r="AH79" s="306">
        <f t="shared" si="45"/>
        <v>0</v>
      </c>
      <c r="AI79" s="306">
        <f t="shared" si="46"/>
        <v>0</v>
      </c>
      <c r="AJ79" s="306">
        <f t="shared" si="47"/>
        <v>0</v>
      </c>
      <c r="AK79" s="306">
        <f t="shared" si="48"/>
        <v>0</v>
      </c>
      <c r="AL79" s="308">
        <f t="shared" si="52"/>
        <v>0</v>
      </c>
      <c r="AM79" s="308">
        <f t="shared" si="49"/>
        <v>0</v>
      </c>
      <c r="AN79" s="308">
        <f t="shared" si="53"/>
        <v>0</v>
      </c>
    </row>
    <row r="80" spans="2:40" x14ac:dyDescent="0.3">
      <c r="B80" s="107" t="s">
        <v>860</v>
      </c>
      <c r="C80" s="107"/>
      <c r="D80" s="107"/>
      <c r="E80" s="107"/>
      <c r="G80" s="232" t="s">
        <v>531</v>
      </c>
      <c r="H80" s="306"/>
      <c r="I80" s="315"/>
      <c r="J80" s="315"/>
      <c r="K80" s="315"/>
      <c r="L80" s="315"/>
      <c r="M80" s="315"/>
      <c r="N80" s="315"/>
      <c r="O80" s="315"/>
      <c r="P80" s="311">
        <v>7.3595009999999998E-6</v>
      </c>
      <c r="Q80" s="311">
        <v>8.5173999999999998E-7</v>
      </c>
      <c r="R80" s="107"/>
      <c r="S80" s="232" t="s">
        <v>531</v>
      </c>
      <c r="T80" s="306"/>
      <c r="U80" s="306"/>
      <c r="V80" s="306"/>
      <c r="W80" s="306"/>
      <c r="X80" s="306"/>
      <c r="Y80" s="306"/>
      <c r="Z80" s="306"/>
      <c r="AA80" s="306"/>
      <c r="AB80" s="308" t="str">
        <f>IF(P80&gt;$E$5,"No","Yes")</f>
        <v>Yes</v>
      </c>
      <c r="AC80" s="308" t="str">
        <f>IF(Q80&gt;$E$5,"No","Yes")</f>
        <v>Yes</v>
      </c>
      <c r="AE80" s="306">
        <f t="shared" si="51"/>
        <v>0</v>
      </c>
      <c r="AF80" s="306">
        <f t="shared" si="43"/>
        <v>0</v>
      </c>
      <c r="AG80" s="306">
        <f t="shared" si="44"/>
        <v>0</v>
      </c>
      <c r="AH80" s="306">
        <f t="shared" si="45"/>
        <v>0</v>
      </c>
      <c r="AI80" s="306">
        <f t="shared" si="46"/>
        <v>0</v>
      </c>
      <c r="AJ80" s="306">
        <f t="shared" si="47"/>
        <v>0</v>
      </c>
      <c r="AK80" s="306">
        <f t="shared" si="48"/>
        <v>0</v>
      </c>
      <c r="AL80" s="306">
        <f t="shared" si="52"/>
        <v>0</v>
      </c>
      <c r="AM80" s="308">
        <f t="shared" si="49"/>
        <v>1</v>
      </c>
      <c r="AN80" s="308">
        <f t="shared" si="53"/>
        <v>1</v>
      </c>
    </row>
    <row r="81" spans="2:40" x14ac:dyDescent="0.3">
      <c r="B81" s="107" t="s">
        <v>861</v>
      </c>
      <c r="C81" s="107"/>
      <c r="D81" s="107"/>
      <c r="E81" s="107"/>
      <c r="G81" s="232" t="s">
        <v>532</v>
      </c>
      <c r="H81" s="306"/>
      <c r="I81" s="306"/>
      <c r="J81" s="306"/>
      <c r="K81" s="306"/>
      <c r="L81" s="306"/>
      <c r="M81" s="306"/>
      <c r="N81" s="306"/>
      <c r="O81" s="306"/>
      <c r="P81" s="306"/>
      <c r="Q81" s="308">
        <v>1</v>
      </c>
      <c r="R81" s="107"/>
      <c r="S81" s="232" t="s">
        <v>532</v>
      </c>
      <c r="T81" s="306"/>
      <c r="U81" s="306"/>
      <c r="V81" s="306"/>
      <c r="W81" s="306"/>
      <c r="X81" s="306"/>
      <c r="Y81" s="306"/>
      <c r="Z81" s="306"/>
      <c r="AA81" s="306"/>
      <c r="AB81" s="306"/>
      <c r="AC81" s="308" t="str">
        <f>IF(Q81&gt;$E$5,"No","Yes")</f>
        <v>No</v>
      </c>
      <c r="AE81" s="306">
        <f t="shared" si="51"/>
        <v>0</v>
      </c>
      <c r="AF81" s="306">
        <f t="shared" si="43"/>
        <v>0</v>
      </c>
      <c r="AG81" s="306">
        <f t="shared" si="44"/>
        <v>0</v>
      </c>
      <c r="AH81" s="306">
        <f t="shared" si="45"/>
        <v>0</v>
      </c>
      <c r="AI81" s="306">
        <f t="shared" si="46"/>
        <v>0</v>
      </c>
      <c r="AJ81" s="306">
        <f t="shared" si="47"/>
        <v>0</v>
      </c>
      <c r="AK81" s="306">
        <f t="shared" si="48"/>
        <v>0</v>
      </c>
      <c r="AL81" s="306">
        <f t="shared" si="52"/>
        <v>0</v>
      </c>
      <c r="AM81" s="306">
        <f t="shared" si="49"/>
        <v>0</v>
      </c>
      <c r="AN81" s="308">
        <f t="shared" si="53"/>
        <v>0</v>
      </c>
    </row>
    <row r="82" spans="2:40" x14ac:dyDescent="0.3">
      <c r="B82" s="107" t="s">
        <v>862</v>
      </c>
      <c r="C82" s="107"/>
      <c r="D82" s="107"/>
      <c r="E82" s="107"/>
      <c r="G82" s="232" t="s">
        <v>461</v>
      </c>
      <c r="H82" s="306"/>
      <c r="I82" s="306"/>
      <c r="J82" s="306"/>
      <c r="K82" s="306"/>
      <c r="L82" s="306"/>
      <c r="M82" s="306"/>
      <c r="N82" s="306"/>
      <c r="O82" s="306"/>
      <c r="P82" s="306"/>
      <c r="Q82" s="306"/>
      <c r="R82" s="107"/>
      <c r="S82" s="232" t="s">
        <v>461</v>
      </c>
      <c r="T82" s="306"/>
      <c r="U82" s="306"/>
      <c r="V82" s="306"/>
      <c r="W82" s="306"/>
      <c r="X82" s="306"/>
      <c r="Y82" s="306"/>
      <c r="Z82" s="306"/>
      <c r="AA82" s="306"/>
      <c r="AB82" s="306"/>
      <c r="AC82" s="306"/>
    </row>
    <row r="84" spans="2:40" x14ac:dyDescent="0.3">
      <c r="B84" s="106" t="s">
        <v>853</v>
      </c>
      <c r="C84" s="107"/>
      <c r="D84" s="107"/>
      <c r="E84" s="107"/>
      <c r="G84" s="106" t="s">
        <v>847</v>
      </c>
      <c r="H84" s="107" t="s">
        <v>848</v>
      </c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 t="s">
        <v>869</v>
      </c>
      <c r="T84" s="107"/>
      <c r="U84" s="107"/>
      <c r="V84" s="107"/>
      <c r="W84" s="107"/>
      <c r="X84" s="107"/>
      <c r="Y84" s="107"/>
      <c r="Z84" s="107"/>
      <c r="AA84" s="107"/>
      <c r="AB84" s="107"/>
      <c r="AC84" s="107"/>
    </row>
    <row r="85" spans="2:40" ht="15.6" x14ac:dyDescent="0.35">
      <c r="B85" s="119" t="s">
        <v>41</v>
      </c>
      <c r="C85" s="107"/>
      <c r="D85" s="307" t="s">
        <v>851</v>
      </c>
      <c r="E85" s="309">
        <v>13469.562556663701</v>
      </c>
      <c r="G85" s="119" t="s">
        <v>41</v>
      </c>
      <c r="H85" s="107" t="s">
        <v>866</v>
      </c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 t="s">
        <v>854</v>
      </c>
      <c r="T85" s="107"/>
      <c r="U85" s="107"/>
      <c r="V85" s="107"/>
      <c r="W85" s="107"/>
      <c r="X85" s="107"/>
      <c r="Y85" s="107"/>
      <c r="Z85" s="107"/>
      <c r="AA85" s="107"/>
      <c r="AB85" s="107"/>
      <c r="AC85" s="107"/>
    </row>
    <row r="86" spans="2:40" x14ac:dyDescent="0.3">
      <c r="B86" s="92" t="s">
        <v>870</v>
      </c>
      <c r="C86" s="107"/>
      <c r="D86" s="107"/>
      <c r="E86" s="116"/>
      <c r="G86" s="92" t="s">
        <v>870</v>
      </c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 t="s">
        <v>867</v>
      </c>
      <c r="T86" s="107"/>
      <c r="U86" s="107"/>
      <c r="V86" s="107"/>
      <c r="W86" s="107"/>
      <c r="X86" s="107"/>
      <c r="Y86" s="107"/>
      <c r="Z86" s="107"/>
      <c r="AA86" s="107"/>
      <c r="AB86" s="107"/>
      <c r="AC86" s="107"/>
    </row>
    <row r="87" spans="2:40" ht="15.6" x14ac:dyDescent="0.35">
      <c r="B87" s="107"/>
      <c r="C87" s="107"/>
      <c r="D87" s="307" t="s">
        <v>335</v>
      </c>
      <c r="E87" s="308">
        <v>0.05</v>
      </c>
      <c r="G87" s="307" t="s">
        <v>354</v>
      </c>
      <c r="H87" s="232">
        <v>1988</v>
      </c>
      <c r="I87" s="232" t="s">
        <v>397</v>
      </c>
      <c r="J87" s="232" t="s">
        <v>401</v>
      </c>
      <c r="K87" s="232" t="s">
        <v>405</v>
      </c>
      <c r="L87" s="232" t="s">
        <v>429</v>
      </c>
      <c r="M87" s="232" t="s">
        <v>437</v>
      </c>
      <c r="N87" s="232" t="s">
        <v>441</v>
      </c>
      <c r="O87" s="232" t="s">
        <v>531</v>
      </c>
      <c r="P87" s="232" t="s">
        <v>532</v>
      </c>
      <c r="Q87" s="232" t="s">
        <v>461</v>
      </c>
      <c r="R87" s="107"/>
      <c r="S87" s="303" t="s">
        <v>846</v>
      </c>
      <c r="T87" s="232">
        <v>1988</v>
      </c>
      <c r="U87" s="232" t="s">
        <v>397</v>
      </c>
      <c r="V87" s="232" t="s">
        <v>401</v>
      </c>
      <c r="W87" s="232" t="s">
        <v>405</v>
      </c>
      <c r="X87" s="232" t="s">
        <v>429</v>
      </c>
      <c r="Y87" s="232" t="s">
        <v>437</v>
      </c>
      <c r="Z87" s="232" t="s">
        <v>441</v>
      </c>
      <c r="AA87" s="232" t="s">
        <v>531</v>
      </c>
      <c r="AB87" s="232" t="s">
        <v>532</v>
      </c>
      <c r="AC87" s="232" t="s">
        <v>461</v>
      </c>
    </row>
    <row r="88" spans="2:40" x14ac:dyDescent="0.3">
      <c r="B88" s="107"/>
      <c r="C88" s="107"/>
      <c r="D88" s="107"/>
      <c r="E88" s="107"/>
      <c r="G88" s="232">
        <v>1977</v>
      </c>
      <c r="H88" s="313">
        <v>1E-3</v>
      </c>
      <c r="I88" s="313">
        <v>1E-3</v>
      </c>
      <c r="J88" s="313">
        <v>1E-3</v>
      </c>
      <c r="K88" s="313">
        <v>1E-3</v>
      </c>
      <c r="L88" s="313">
        <v>1E-3</v>
      </c>
      <c r="M88" s="313">
        <v>1E-3</v>
      </c>
      <c r="N88" s="313">
        <v>1E-3</v>
      </c>
      <c r="O88" s="313">
        <v>1E-3</v>
      </c>
      <c r="P88" s="313">
        <v>1E-3</v>
      </c>
      <c r="Q88" s="313">
        <v>1E-3</v>
      </c>
      <c r="R88" s="107"/>
      <c r="S88" s="232">
        <v>1977</v>
      </c>
      <c r="T88" s="308" t="str">
        <f t="shared" ref="T88:AC88" si="57">IF(H88&gt;$E$5,"No","Yes")</f>
        <v>Yes</v>
      </c>
      <c r="U88" s="308" t="str">
        <f t="shared" si="57"/>
        <v>Yes</v>
      </c>
      <c r="V88" s="308" t="str">
        <f t="shared" si="57"/>
        <v>Yes</v>
      </c>
      <c r="W88" s="308" t="str">
        <f t="shared" si="57"/>
        <v>Yes</v>
      </c>
      <c r="X88" s="308" t="str">
        <f t="shared" si="57"/>
        <v>Yes</v>
      </c>
      <c r="Y88" s="308" t="str">
        <f t="shared" si="57"/>
        <v>Yes</v>
      </c>
      <c r="Z88" s="308" t="str">
        <f t="shared" si="57"/>
        <v>Yes</v>
      </c>
      <c r="AA88" s="308" t="str">
        <f t="shared" si="57"/>
        <v>Yes</v>
      </c>
      <c r="AB88" s="308" t="str">
        <f t="shared" si="57"/>
        <v>Yes</v>
      </c>
      <c r="AC88" s="308" t="str">
        <f t="shared" si="57"/>
        <v>Yes</v>
      </c>
    </row>
    <row r="89" spans="2:40" x14ac:dyDescent="0.3">
      <c r="B89" s="107"/>
      <c r="C89" s="107"/>
      <c r="D89" s="307" t="s">
        <v>354</v>
      </c>
      <c r="E89" s="310">
        <v>1.26486218247071E-287</v>
      </c>
      <c r="G89" s="232">
        <v>1988</v>
      </c>
      <c r="H89" s="306"/>
      <c r="I89" s="313">
        <v>1E-3</v>
      </c>
      <c r="J89" s="313">
        <v>1E-3</v>
      </c>
      <c r="K89" s="313">
        <v>1E-3</v>
      </c>
      <c r="L89" s="313">
        <v>1E-3</v>
      </c>
      <c r="M89" s="313">
        <v>1E-3</v>
      </c>
      <c r="N89" s="313">
        <v>1E-3</v>
      </c>
      <c r="O89" s="313">
        <v>1E-3</v>
      </c>
      <c r="P89" s="313">
        <v>1E-3</v>
      </c>
      <c r="Q89" s="313">
        <v>1E-3</v>
      </c>
      <c r="R89" s="107"/>
      <c r="S89" s="232">
        <v>1988</v>
      </c>
      <c r="T89" s="306"/>
      <c r="U89" s="308" t="str">
        <f t="shared" ref="U89:AC89" si="58">IF(I89&gt;$E$5,"No","Yes")</f>
        <v>Yes</v>
      </c>
      <c r="V89" s="308" t="str">
        <f t="shared" si="58"/>
        <v>Yes</v>
      </c>
      <c r="W89" s="308" t="str">
        <f t="shared" si="58"/>
        <v>Yes</v>
      </c>
      <c r="X89" s="308" t="str">
        <f t="shared" si="58"/>
        <v>Yes</v>
      </c>
      <c r="Y89" s="308" t="str">
        <f t="shared" si="58"/>
        <v>Yes</v>
      </c>
      <c r="Z89" s="308" t="str">
        <f t="shared" si="58"/>
        <v>Yes</v>
      </c>
      <c r="AA89" s="308" t="str">
        <f t="shared" si="58"/>
        <v>Yes</v>
      </c>
      <c r="AB89" s="308" t="str">
        <f t="shared" si="58"/>
        <v>Yes</v>
      </c>
      <c r="AC89" s="308" t="str">
        <f t="shared" si="58"/>
        <v>Yes</v>
      </c>
    </row>
    <row r="90" spans="2:40" x14ac:dyDescent="0.3">
      <c r="B90" s="107"/>
      <c r="C90" s="107"/>
      <c r="D90" s="107"/>
      <c r="E90" s="107"/>
      <c r="G90" s="232" t="s">
        <v>397</v>
      </c>
      <c r="H90" s="306"/>
      <c r="I90" s="306"/>
      <c r="J90" s="313">
        <v>1E-3</v>
      </c>
      <c r="K90" s="313">
        <v>1E-3</v>
      </c>
      <c r="L90" s="313">
        <v>1E-3</v>
      </c>
      <c r="M90" s="313">
        <v>1E-3</v>
      </c>
      <c r="N90" s="313">
        <v>1E-3</v>
      </c>
      <c r="O90" s="316">
        <v>1E-3</v>
      </c>
      <c r="P90" s="313">
        <v>1E-3</v>
      </c>
      <c r="Q90" s="313">
        <v>1E-3</v>
      </c>
      <c r="R90" s="107"/>
      <c r="S90" s="232" t="s">
        <v>397</v>
      </c>
      <c r="T90" s="306"/>
      <c r="U90" s="306"/>
      <c r="V90" s="308" t="str">
        <f t="shared" ref="V90:AC90" si="59">IF(J90&gt;$E$5,"No","Yes")</f>
        <v>Yes</v>
      </c>
      <c r="W90" s="308" t="str">
        <f t="shared" si="59"/>
        <v>Yes</v>
      </c>
      <c r="X90" s="308" t="str">
        <f t="shared" si="59"/>
        <v>Yes</v>
      </c>
      <c r="Y90" s="308" t="str">
        <f t="shared" si="59"/>
        <v>Yes</v>
      </c>
      <c r="Z90" s="308" t="str">
        <f t="shared" si="59"/>
        <v>Yes</v>
      </c>
      <c r="AA90" s="308" t="str">
        <f t="shared" si="59"/>
        <v>Yes</v>
      </c>
      <c r="AB90" s="308" t="str">
        <f t="shared" si="59"/>
        <v>Yes</v>
      </c>
      <c r="AC90" s="308" t="str">
        <f t="shared" si="59"/>
        <v>Yes</v>
      </c>
    </row>
    <row r="91" spans="2:40" ht="15.6" x14ac:dyDescent="0.35">
      <c r="B91" s="107"/>
      <c r="C91" s="107"/>
      <c r="D91" s="307" t="s">
        <v>846</v>
      </c>
      <c r="E91" s="310" t="str">
        <f>IF(E89&gt;E87,"No","Yes")</f>
        <v>Yes</v>
      </c>
      <c r="G91" s="232" t="s">
        <v>401</v>
      </c>
      <c r="H91" s="306"/>
      <c r="I91" s="306"/>
      <c r="J91" s="306"/>
      <c r="K91" s="313">
        <v>1E-3</v>
      </c>
      <c r="L91" s="313">
        <v>1E-3</v>
      </c>
      <c r="M91" s="313">
        <v>1E-3</v>
      </c>
      <c r="N91" s="313">
        <v>1E-3</v>
      </c>
      <c r="O91" s="313">
        <v>1E-3</v>
      </c>
      <c r="P91" s="313">
        <v>1E-3</v>
      </c>
      <c r="Q91" s="313">
        <v>1E-3</v>
      </c>
      <c r="R91" s="107"/>
      <c r="S91" s="232" t="s">
        <v>401</v>
      </c>
      <c r="T91" s="306"/>
      <c r="U91" s="306"/>
      <c r="V91" s="306"/>
      <c r="W91" s="308" t="str">
        <f t="shared" ref="W91:AC91" si="60">IF(K91&gt;$E$5,"No","Yes")</f>
        <v>Yes</v>
      </c>
      <c r="X91" s="308" t="str">
        <f t="shared" si="60"/>
        <v>Yes</v>
      </c>
      <c r="Y91" s="308" t="str">
        <f t="shared" si="60"/>
        <v>Yes</v>
      </c>
      <c r="Z91" s="308" t="str">
        <f t="shared" si="60"/>
        <v>Yes</v>
      </c>
      <c r="AA91" s="308" t="str">
        <f t="shared" si="60"/>
        <v>Yes</v>
      </c>
      <c r="AB91" s="308" t="str">
        <f t="shared" si="60"/>
        <v>Yes</v>
      </c>
      <c r="AC91" s="308" t="str">
        <f t="shared" si="60"/>
        <v>Yes</v>
      </c>
    </row>
    <row r="92" spans="2:40" x14ac:dyDescent="0.3">
      <c r="B92" s="107"/>
      <c r="C92" s="107"/>
      <c r="D92" s="107"/>
      <c r="E92" s="107"/>
      <c r="G92" s="232" t="s">
        <v>405</v>
      </c>
      <c r="H92" s="306"/>
      <c r="I92" s="306"/>
      <c r="J92" s="306"/>
      <c r="K92" s="306"/>
      <c r="L92" s="313">
        <v>1E-3</v>
      </c>
      <c r="M92" s="313">
        <v>1E-3</v>
      </c>
      <c r="N92" s="313">
        <v>1E-3</v>
      </c>
      <c r="O92" s="313">
        <v>1E-3</v>
      </c>
      <c r="P92" s="313">
        <v>1E-3</v>
      </c>
      <c r="Q92" s="313">
        <v>1E-3</v>
      </c>
      <c r="R92" s="107"/>
      <c r="S92" s="232" t="s">
        <v>405</v>
      </c>
      <c r="T92" s="306"/>
      <c r="U92" s="306"/>
      <c r="V92" s="306"/>
      <c r="W92" s="306"/>
      <c r="X92" s="308" t="str">
        <f t="shared" ref="X92:AC92" si="61">IF(L92&gt;$E$5,"No","Yes")</f>
        <v>Yes</v>
      </c>
      <c r="Y92" s="308" t="str">
        <f t="shared" si="61"/>
        <v>Yes</v>
      </c>
      <c r="Z92" s="308" t="str">
        <f t="shared" si="61"/>
        <v>Yes</v>
      </c>
      <c r="AA92" s="308" t="str">
        <f t="shared" si="61"/>
        <v>Yes</v>
      </c>
      <c r="AB92" s="308" t="str">
        <f t="shared" si="61"/>
        <v>Yes</v>
      </c>
      <c r="AC92" s="308" t="str">
        <f t="shared" si="61"/>
        <v>Yes</v>
      </c>
    </row>
    <row r="93" spans="2:40" ht="15.6" x14ac:dyDescent="0.35">
      <c r="B93" s="107" t="s">
        <v>852</v>
      </c>
      <c r="C93" s="107"/>
      <c r="D93" s="107"/>
      <c r="E93" s="107"/>
      <c r="G93" s="232" t="s">
        <v>429</v>
      </c>
      <c r="H93" s="306"/>
      <c r="I93" s="306"/>
      <c r="J93" s="306"/>
      <c r="K93" s="306"/>
      <c r="L93" s="306"/>
      <c r="M93" s="313">
        <v>1E-3</v>
      </c>
      <c r="N93" s="313">
        <v>1E-3</v>
      </c>
      <c r="O93" s="313">
        <v>1E-3</v>
      </c>
      <c r="P93" s="313">
        <v>1E-3</v>
      </c>
      <c r="Q93" s="313">
        <v>1E-3</v>
      </c>
      <c r="R93" s="107"/>
      <c r="S93" s="232" t="s">
        <v>429</v>
      </c>
      <c r="T93" s="306"/>
      <c r="U93" s="306"/>
      <c r="V93" s="306"/>
      <c r="W93" s="306"/>
      <c r="X93" s="306"/>
      <c r="Y93" s="308" t="str">
        <f>IF(M93&gt;$E$5,"No","Yes")</f>
        <v>Yes</v>
      </c>
      <c r="Z93" s="308" t="str">
        <f>IF(N93&gt;$E$5,"No","Yes")</f>
        <v>Yes</v>
      </c>
      <c r="AA93" s="308" t="str">
        <f>IF(O93&gt;$E$5,"No","Yes")</f>
        <v>Yes</v>
      </c>
      <c r="AB93" s="308" t="str">
        <f>IF(P93&gt;$E$5,"No","Yes")</f>
        <v>Yes</v>
      </c>
      <c r="AC93" s="308" t="str">
        <f>IF(Q93&gt;$E$5,"No","Yes")</f>
        <v>Yes</v>
      </c>
    </row>
    <row r="94" spans="2:40" x14ac:dyDescent="0.3">
      <c r="B94" s="107" t="s">
        <v>863</v>
      </c>
      <c r="C94" s="107"/>
      <c r="D94" s="107"/>
      <c r="E94" s="107"/>
      <c r="G94" s="232" t="s">
        <v>437</v>
      </c>
      <c r="H94" s="306"/>
      <c r="I94" s="306"/>
      <c r="J94" s="306"/>
      <c r="K94" s="306"/>
      <c r="L94" s="306"/>
      <c r="M94" s="306"/>
      <c r="N94" s="313">
        <v>1E-3</v>
      </c>
      <c r="O94" s="313">
        <v>1E-3</v>
      </c>
      <c r="P94" s="316">
        <v>1E-3</v>
      </c>
      <c r="Q94" s="313">
        <v>1E-3</v>
      </c>
      <c r="R94" s="107"/>
      <c r="S94" s="232" t="s">
        <v>437</v>
      </c>
      <c r="T94" s="306"/>
      <c r="U94" s="306"/>
      <c r="V94" s="306"/>
      <c r="W94" s="306"/>
      <c r="X94" s="306"/>
      <c r="Y94" s="306"/>
      <c r="Z94" s="308" t="str">
        <f>IF(N94&gt;$E$5,"No","Yes")</f>
        <v>Yes</v>
      </c>
      <c r="AA94" s="308" t="str">
        <f>IF(O94&gt;$E$5,"No","Yes")</f>
        <v>Yes</v>
      </c>
      <c r="AB94" s="308" t="str">
        <f>IF(P94&gt;$E$5,"No","Yes")</f>
        <v>Yes</v>
      </c>
      <c r="AC94" s="308" t="str">
        <f>IF(Q94&gt;$E$5,"No","Yes")</f>
        <v>Yes</v>
      </c>
    </row>
    <row r="95" spans="2:40" x14ac:dyDescent="0.3">
      <c r="B95" s="107" t="s">
        <v>859</v>
      </c>
      <c r="C95" s="107"/>
      <c r="D95" s="107"/>
      <c r="E95" s="107"/>
      <c r="G95" s="232" t="s">
        <v>441</v>
      </c>
      <c r="H95" s="306"/>
      <c r="I95" s="306"/>
      <c r="J95" s="306"/>
      <c r="K95" s="306"/>
      <c r="L95" s="306"/>
      <c r="M95" s="306"/>
      <c r="N95" s="306"/>
      <c r="O95" s="313">
        <v>1E-3</v>
      </c>
      <c r="P95" s="313">
        <v>1E-3</v>
      </c>
      <c r="Q95" s="313">
        <v>1E-3</v>
      </c>
      <c r="R95" s="107"/>
      <c r="S95" s="232" t="s">
        <v>441</v>
      </c>
      <c r="T95" s="306"/>
      <c r="U95" s="306"/>
      <c r="V95" s="306"/>
      <c r="W95" s="306"/>
      <c r="X95" s="306"/>
      <c r="Y95" s="306"/>
      <c r="Z95" s="306"/>
      <c r="AA95" s="308" t="str">
        <f>IF(O95&gt;$E$5,"No","Yes")</f>
        <v>Yes</v>
      </c>
      <c r="AB95" s="308" t="str">
        <f>IF(P95&gt;$E$5,"No","Yes")</f>
        <v>Yes</v>
      </c>
      <c r="AC95" s="308" t="str">
        <f>IF(Q95&gt;$E$5,"No","Yes")</f>
        <v>Yes</v>
      </c>
    </row>
    <row r="96" spans="2:40" x14ac:dyDescent="0.3">
      <c r="B96" s="107" t="s">
        <v>864</v>
      </c>
      <c r="C96" s="107"/>
      <c r="D96" s="107"/>
      <c r="E96" s="107"/>
      <c r="G96" s="232" t="s">
        <v>531</v>
      </c>
      <c r="H96" s="306"/>
      <c r="I96" s="306"/>
      <c r="J96" s="306"/>
      <c r="K96" s="306"/>
      <c r="L96" s="306"/>
      <c r="M96" s="306"/>
      <c r="N96" s="306"/>
      <c r="O96" s="306"/>
      <c r="P96" s="313">
        <v>1E-3</v>
      </c>
      <c r="Q96" s="313">
        <v>1E-3</v>
      </c>
      <c r="R96" s="107"/>
      <c r="S96" s="232" t="s">
        <v>531</v>
      </c>
      <c r="T96" s="306"/>
      <c r="U96" s="306"/>
      <c r="V96" s="306"/>
      <c r="W96" s="306"/>
      <c r="X96" s="306"/>
      <c r="Y96" s="306"/>
      <c r="Z96" s="306"/>
      <c r="AA96" s="306"/>
      <c r="AB96" s="308" t="str">
        <f>IF(P96&gt;$E$5,"No","Yes")</f>
        <v>Yes</v>
      </c>
      <c r="AC96" s="308" t="str">
        <f>IF(Q96&gt;$E$5,"No","Yes")</f>
        <v>Yes</v>
      </c>
    </row>
    <row r="97" spans="2:40" x14ac:dyDescent="0.3">
      <c r="B97" s="107" t="s">
        <v>868</v>
      </c>
      <c r="C97" s="107"/>
      <c r="D97" s="107"/>
      <c r="E97" s="107"/>
      <c r="G97" s="232" t="s">
        <v>532</v>
      </c>
      <c r="H97" s="306"/>
      <c r="I97" s="306"/>
      <c r="J97" s="306"/>
      <c r="K97" s="306"/>
      <c r="L97" s="306"/>
      <c r="M97" s="306"/>
      <c r="N97" s="306"/>
      <c r="O97" s="306"/>
      <c r="P97" s="306"/>
      <c r="Q97" s="313">
        <v>0.71899999999999997</v>
      </c>
      <c r="R97" s="107"/>
      <c r="S97" s="232" t="s">
        <v>532</v>
      </c>
      <c r="T97" s="306"/>
      <c r="U97" s="306"/>
      <c r="V97" s="306"/>
      <c r="W97" s="306"/>
      <c r="X97" s="306"/>
      <c r="Y97" s="306"/>
      <c r="Z97" s="306"/>
      <c r="AA97" s="306"/>
      <c r="AB97" s="306"/>
      <c r="AC97" s="308" t="str">
        <f>IF(Q97&gt;$E$5,"No","Yes")</f>
        <v>No</v>
      </c>
    </row>
    <row r="98" spans="2:40" x14ac:dyDescent="0.3">
      <c r="B98" s="107"/>
      <c r="C98" s="107"/>
      <c r="D98" s="107"/>
      <c r="E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</row>
    <row r="99" spans="2:40" x14ac:dyDescent="0.3"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</row>
    <row r="101" spans="2:40" x14ac:dyDescent="0.3">
      <c r="B101" s="106" t="s">
        <v>844</v>
      </c>
      <c r="C101" s="107"/>
      <c r="D101" s="107"/>
      <c r="E101" s="107"/>
      <c r="G101" s="106" t="s">
        <v>857</v>
      </c>
      <c r="H101" s="107" t="s">
        <v>848</v>
      </c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 t="s">
        <v>856</v>
      </c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</row>
    <row r="102" spans="2:40" ht="15.6" x14ac:dyDescent="0.35">
      <c r="B102" s="119" t="s">
        <v>41</v>
      </c>
      <c r="C102" s="107"/>
      <c r="D102" s="307" t="s">
        <v>845</v>
      </c>
      <c r="E102" s="309">
        <v>215.368037844508</v>
      </c>
      <c r="G102" s="119" t="s">
        <v>41</v>
      </c>
      <c r="H102" s="107" t="s">
        <v>865</v>
      </c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 t="s">
        <v>860</v>
      </c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</row>
    <row r="103" spans="2:40" x14ac:dyDescent="0.3">
      <c r="B103" s="124" t="s">
        <v>871</v>
      </c>
      <c r="C103" s="107"/>
      <c r="D103" s="107"/>
      <c r="E103" s="116"/>
      <c r="G103" s="124" t="s">
        <v>871</v>
      </c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 t="s">
        <v>855</v>
      </c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</row>
    <row r="104" spans="2:40" ht="15.6" x14ac:dyDescent="0.35">
      <c r="B104" s="107"/>
      <c r="C104" s="107"/>
      <c r="D104" s="307" t="s">
        <v>335</v>
      </c>
      <c r="E104" s="308">
        <v>0.05</v>
      </c>
      <c r="G104" s="307" t="s">
        <v>354</v>
      </c>
      <c r="H104" s="232">
        <v>1988</v>
      </c>
      <c r="I104" s="232" t="s">
        <v>397</v>
      </c>
      <c r="J104" s="232" t="s">
        <v>401</v>
      </c>
      <c r="K104" s="232" t="s">
        <v>405</v>
      </c>
      <c r="L104" s="232" t="s">
        <v>429</v>
      </c>
      <c r="M104" s="232" t="s">
        <v>437</v>
      </c>
      <c r="N104" s="232" t="s">
        <v>441</v>
      </c>
      <c r="O104" s="232" t="s">
        <v>531</v>
      </c>
      <c r="P104" s="232" t="s">
        <v>532</v>
      </c>
      <c r="Q104" s="232" t="s">
        <v>461</v>
      </c>
      <c r="R104" s="107"/>
      <c r="S104" s="303" t="s">
        <v>846</v>
      </c>
      <c r="T104" s="232">
        <v>1988</v>
      </c>
      <c r="U104" s="232" t="s">
        <v>397</v>
      </c>
      <c r="V104" s="232" t="s">
        <v>401</v>
      </c>
      <c r="W104" s="232" t="s">
        <v>405</v>
      </c>
      <c r="X104" s="232" t="s">
        <v>429</v>
      </c>
      <c r="Y104" s="232" t="s">
        <v>437</v>
      </c>
      <c r="Z104" s="232" t="s">
        <v>441</v>
      </c>
      <c r="AA104" s="232" t="s">
        <v>531</v>
      </c>
      <c r="AB104" s="232" t="s">
        <v>532</v>
      </c>
      <c r="AC104" s="232" t="s">
        <v>461</v>
      </c>
    </row>
    <row r="105" spans="2:40" x14ac:dyDescent="0.3">
      <c r="B105" s="107"/>
      <c r="C105" s="107"/>
      <c r="D105" s="107"/>
      <c r="E105" s="107"/>
      <c r="G105" s="232">
        <v>1977</v>
      </c>
      <c r="H105" s="311">
        <v>1.077912E-13</v>
      </c>
      <c r="I105" s="316">
        <v>5.3300000000000005E-4</v>
      </c>
      <c r="J105" s="311">
        <v>4.904223E-18</v>
      </c>
      <c r="K105" s="311">
        <v>1.623087E-7</v>
      </c>
      <c r="L105" s="311">
        <v>7.7690429999999999E-21</v>
      </c>
      <c r="M105" s="312">
        <v>1</v>
      </c>
      <c r="N105" s="312">
        <v>1</v>
      </c>
      <c r="O105" s="316">
        <v>0.15811749999999999</v>
      </c>
      <c r="P105" s="316">
        <v>2.7999999999999998E-4</v>
      </c>
      <c r="Q105" s="311">
        <v>2.077276E-10</v>
      </c>
      <c r="R105" s="107"/>
      <c r="S105" s="232">
        <v>1977</v>
      </c>
      <c r="T105" s="308" t="str">
        <f t="shared" ref="T105:AC105" si="62">IF(H105&gt;$E$5,"No","Yes")</f>
        <v>Yes</v>
      </c>
      <c r="U105" s="308" t="str">
        <f t="shared" si="62"/>
        <v>Yes</v>
      </c>
      <c r="V105" s="308" t="str">
        <f t="shared" si="62"/>
        <v>Yes</v>
      </c>
      <c r="W105" s="308" t="str">
        <f t="shared" si="62"/>
        <v>Yes</v>
      </c>
      <c r="X105" s="308" t="str">
        <f t="shared" si="62"/>
        <v>Yes</v>
      </c>
      <c r="Y105" s="308" t="str">
        <f t="shared" si="62"/>
        <v>No</v>
      </c>
      <c r="Z105" s="308" t="str">
        <f t="shared" si="62"/>
        <v>No</v>
      </c>
      <c r="AA105" s="308" t="str">
        <f t="shared" si="62"/>
        <v>No</v>
      </c>
      <c r="AB105" s="308" t="str">
        <f t="shared" si="62"/>
        <v>Yes</v>
      </c>
      <c r="AC105" s="308" t="str">
        <f t="shared" si="62"/>
        <v>Yes</v>
      </c>
      <c r="AE105" s="308">
        <f>IF(T105="Yes",1,0)</f>
        <v>1</v>
      </c>
      <c r="AF105" s="308">
        <f t="shared" ref="AF105:AF114" si="63">IF(U105="Yes",1,0)</f>
        <v>1</v>
      </c>
      <c r="AG105" s="308">
        <f t="shared" ref="AG105:AG114" si="64">IF(V105="Yes",1,0)</f>
        <v>1</v>
      </c>
      <c r="AH105" s="308">
        <f t="shared" ref="AH105:AH114" si="65">IF(W105="Yes",1,0)</f>
        <v>1</v>
      </c>
      <c r="AI105" s="308">
        <f t="shared" ref="AI105:AI114" si="66">IF(X105="Yes",1,0)</f>
        <v>1</v>
      </c>
      <c r="AJ105" s="308">
        <f t="shared" ref="AJ105:AJ114" si="67">IF(Y105="Yes",1,0)</f>
        <v>0</v>
      </c>
      <c r="AK105" s="308">
        <f t="shared" ref="AK105:AK114" si="68">IF(Z105="Yes",1,0)</f>
        <v>0</v>
      </c>
      <c r="AL105" s="308">
        <f>IF(AA105="Yes",1,0)</f>
        <v>0</v>
      </c>
      <c r="AM105" s="308">
        <f t="shared" ref="AM105:AM114" si="69">IF(AB105="Yes",1,0)</f>
        <v>1</v>
      </c>
      <c r="AN105" s="308">
        <f>IF(AC105="Yes",1,0)</f>
        <v>1</v>
      </c>
    </row>
    <row r="106" spans="2:40" x14ac:dyDescent="0.3">
      <c r="B106" s="107"/>
      <c r="C106" s="107"/>
      <c r="D106" s="307" t="s">
        <v>354</v>
      </c>
      <c r="E106" s="310">
        <v>9.9563369300403702E-41</v>
      </c>
      <c r="G106" s="232">
        <v>1988</v>
      </c>
      <c r="H106" s="306"/>
      <c r="I106" s="308">
        <v>2.3748999999999999E-2</v>
      </c>
      <c r="J106" s="312">
        <v>1</v>
      </c>
      <c r="K106" s="312">
        <v>1</v>
      </c>
      <c r="L106" s="312">
        <v>1</v>
      </c>
      <c r="M106" s="311">
        <v>1.4160050000000001E-7</v>
      </c>
      <c r="N106" s="312">
        <v>2.0054179999999999E-10</v>
      </c>
      <c r="O106" s="311">
        <v>3.8167129999999998E-5</v>
      </c>
      <c r="P106" s="312">
        <v>3.9403000000000001E-2</v>
      </c>
      <c r="Q106" s="312">
        <v>1</v>
      </c>
      <c r="R106" s="107"/>
      <c r="S106" s="232">
        <v>1988</v>
      </c>
      <c r="T106" s="306"/>
      <c r="U106" s="308" t="str">
        <f t="shared" ref="U106:AC106" si="70">IF(I106&gt;$E$5,"No","Yes")</f>
        <v>Yes</v>
      </c>
      <c r="V106" s="308" t="str">
        <f t="shared" si="70"/>
        <v>No</v>
      </c>
      <c r="W106" s="308" t="str">
        <f t="shared" si="70"/>
        <v>No</v>
      </c>
      <c r="X106" s="308" t="str">
        <f t="shared" si="70"/>
        <v>No</v>
      </c>
      <c r="Y106" s="308" t="str">
        <f t="shared" si="70"/>
        <v>Yes</v>
      </c>
      <c r="Z106" s="308" t="str">
        <f t="shared" si="70"/>
        <v>Yes</v>
      </c>
      <c r="AA106" s="308" t="str">
        <f t="shared" si="70"/>
        <v>Yes</v>
      </c>
      <c r="AB106" s="308" t="str">
        <f t="shared" si="70"/>
        <v>Yes</v>
      </c>
      <c r="AC106" s="308" t="str">
        <f t="shared" si="70"/>
        <v>No</v>
      </c>
      <c r="AE106" s="306">
        <f t="shared" ref="AE106:AE114" si="71">IF(T106="Yes",1,0)</f>
        <v>0</v>
      </c>
      <c r="AF106" s="308">
        <f t="shared" si="63"/>
        <v>1</v>
      </c>
      <c r="AG106" s="308">
        <f t="shared" si="64"/>
        <v>0</v>
      </c>
      <c r="AH106" s="308">
        <f t="shared" si="65"/>
        <v>0</v>
      </c>
      <c r="AI106" s="308">
        <f t="shared" si="66"/>
        <v>0</v>
      </c>
      <c r="AJ106" s="308">
        <f t="shared" si="67"/>
        <v>1</v>
      </c>
      <c r="AK106" s="308">
        <f t="shared" si="68"/>
        <v>1</v>
      </c>
      <c r="AL106" s="308">
        <f t="shared" ref="AL106:AL114" si="72">IF(AA106="Yes",1,0)</f>
        <v>1</v>
      </c>
      <c r="AM106" s="308">
        <f t="shared" si="69"/>
        <v>1</v>
      </c>
      <c r="AN106" s="308">
        <f t="shared" ref="AN106:AN114" si="73">IF(AC106="Yes",1,0)</f>
        <v>0</v>
      </c>
    </row>
    <row r="107" spans="2:40" x14ac:dyDescent="0.3">
      <c r="B107" s="107"/>
      <c r="C107" s="107"/>
      <c r="D107" s="107"/>
      <c r="E107" s="107"/>
      <c r="G107" s="232" t="s">
        <v>397</v>
      </c>
      <c r="H107" s="306"/>
      <c r="I107" s="306"/>
      <c r="J107" s="311">
        <v>1.5980310000000001E-4</v>
      </c>
      <c r="K107" s="312">
        <v>1</v>
      </c>
      <c r="L107" s="311">
        <v>4.7569000000000001E-6</v>
      </c>
      <c r="M107" s="316">
        <v>0.81495430000000002</v>
      </c>
      <c r="N107" s="316">
        <v>3.314607E-2</v>
      </c>
      <c r="O107" s="312">
        <v>1</v>
      </c>
      <c r="P107" s="312">
        <v>1</v>
      </c>
      <c r="Q107" s="316">
        <v>0.64312820000000004</v>
      </c>
      <c r="R107" s="107"/>
      <c r="S107" s="232" t="s">
        <v>397</v>
      </c>
      <c r="T107" s="306"/>
      <c r="U107" s="306"/>
      <c r="V107" s="308" t="str">
        <f t="shared" ref="V107:AC107" si="74">IF(J107&gt;$E$5,"No","Yes")</f>
        <v>Yes</v>
      </c>
      <c r="W107" s="308" t="str">
        <f t="shared" si="74"/>
        <v>No</v>
      </c>
      <c r="X107" s="308" t="str">
        <f t="shared" si="74"/>
        <v>Yes</v>
      </c>
      <c r="Y107" s="308" t="str">
        <f t="shared" si="74"/>
        <v>No</v>
      </c>
      <c r="Z107" s="308" t="str">
        <f t="shared" si="74"/>
        <v>Yes</v>
      </c>
      <c r="AA107" s="308" t="str">
        <f t="shared" si="74"/>
        <v>No</v>
      </c>
      <c r="AB107" s="308" t="str">
        <f t="shared" si="74"/>
        <v>No</v>
      </c>
      <c r="AC107" s="308" t="str">
        <f t="shared" si="74"/>
        <v>No</v>
      </c>
      <c r="AE107" s="306">
        <f t="shared" si="71"/>
        <v>0</v>
      </c>
      <c r="AF107" s="306">
        <f t="shared" si="63"/>
        <v>0</v>
      </c>
      <c r="AG107" s="308">
        <f t="shared" si="64"/>
        <v>1</v>
      </c>
      <c r="AH107" s="308">
        <f t="shared" si="65"/>
        <v>0</v>
      </c>
      <c r="AI107" s="308">
        <f t="shared" si="66"/>
        <v>1</v>
      </c>
      <c r="AJ107" s="308">
        <f t="shared" si="67"/>
        <v>0</v>
      </c>
      <c r="AK107" s="308">
        <f t="shared" si="68"/>
        <v>1</v>
      </c>
      <c r="AL107" s="308">
        <f t="shared" si="72"/>
        <v>0</v>
      </c>
      <c r="AM107" s="308">
        <f t="shared" si="69"/>
        <v>0</v>
      </c>
      <c r="AN107" s="308">
        <f t="shared" si="73"/>
        <v>0</v>
      </c>
    </row>
    <row r="108" spans="2:40" ht="15.6" x14ac:dyDescent="0.35">
      <c r="B108" s="107"/>
      <c r="C108" s="107"/>
      <c r="D108" s="307" t="s">
        <v>846</v>
      </c>
      <c r="E108" s="310" t="str">
        <f>IF(E106&gt;E104,"No","Yes")</f>
        <v>Yes</v>
      </c>
      <c r="G108" s="232" t="s">
        <v>401</v>
      </c>
      <c r="H108" s="306"/>
      <c r="I108" s="306"/>
      <c r="J108" s="306"/>
      <c r="K108" s="316">
        <v>8.4678740000000002E-2</v>
      </c>
      <c r="L108" s="312">
        <v>1</v>
      </c>
      <c r="M108" s="311">
        <v>6.1909419999999997E-11</v>
      </c>
      <c r="N108" s="312">
        <v>2.8348280000000001E-14</v>
      </c>
      <c r="O108" s="311">
        <v>5.127367E-8</v>
      </c>
      <c r="P108" s="311">
        <v>3.0800000000000001E-4</v>
      </c>
      <c r="Q108" s="312">
        <v>1</v>
      </c>
      <c r="R108" s="107"/>
      <c r="S108" s="232" t="s">
        <v>401</v>
      </c>
      <c r="T108" s="306"/>
      <c r="U108" s="306"/>
      <c r="V108" s="306"/>
      <c r="W108" s="308" t="str">
        <f t="shared" ref="W108:AC108" si="75">IF(K108&gt;$E$5,"No","Yes")</f>
        <v>No</v>
      </c>
      <c r="X108" s="308" t="str">
        <f t="shared" si="75"/>
        <v>No</v>
      </c>
      <c r="Y108" s="308" t="str">
        <f t="shared" si="75"/>
        <v>Yes</v>
      </c>
      <c r="Z108" s="308" t="str">
        <f t="shared" si="75"/>
        <v>Yes</v>
      </c>
      <c r="AA108" s="308" t="str">
        <f t="shared" si="75"/>
        <v>Yes</v>
      </c>
      <c r="AB108" s="308" t="str">
        <f t="shared" si="75"/>
        <v>Yes</v>
      </c>
      <c r="AC108" s="308" t="str">
        <f t="shared" si="75"/>
        <v>No</v>
      </c>
      <c r="AE108" s="306">
        <f t="shared" si="71"/>
        <v>0</v>
      </c>
      <c r="AF108" s="306">
        <f t="shared" si="63"/>
        <v>0</v>
      </c>
      <c r="AG108" s="306">
        <f t="shared" si="64"/>
        <v>0</v>
      </c>
      <c r="AH108" s="308">
        <f t="shared" si="65"/>
        <v>0</v>
      </c>
      <c r="AI108" s="308">
        <f t="shared" si="66"/>
        <v>0</v>
      </c>
      <c r="AJ108" s="308">
        <f t="shared" si="67"/>
        <v>1</v>
      </c>
      <c r="AK108" s="308">
        <f t="shared" si="68"/>
        <v>1</v>
      </c>
      <c r="AL108" s="308">
        <f t="shared" si="72"/>
        <v>1</v>
      </c>
      <c r="AM108" s="308">
        <f t="shared" si="69"/>
        <v>1</v>
      </c>
      <c r="AN108" s="308">
        <f t="shared" si="73"/>
        <v>0</v>
      </c>
    </row>
    <row r="109" spans="2:40" x14ac:dyDescent="0.3">
      <c r="B109" s="107"/>
      <c r="C109" s="107"/>
      <c r="D109" s="107"/>
      <c r="E109" s="107"/>
      <c r="G109" s="232" t="s">
        <v>405</v>
      </c>
      <c r="H109" s="306"/>
      <c r="I109" s="306"/>
      <c r="J109" s="306"/>
      <c r="K109" s="306"/>
      <c r="L109" s="311">
        <v>6.6911640000000003E-3</v>
      </c>
      <c r="M109" s="311">
        <v>4.3508720000000004E-3</v>
      </c>
      <c r="N109" s="311">
        <v>4.2814810000000003E-5</v>
      </c>
      <c r="O109" s="316">
        <v>0.17281340000000001</v>
      </c>
      <c r="P109" s="308">
        <v>1</v>
      </c>
      <c r="Q109" s="312">
        <v>1</v>
      </c>
      <c r="R109" s="107"/>
      <c r="S109" s="232" t="s">
        <v>405</v>
      </c>
      <c r="T109" s="306"/>
      <c r="U109" s="306"/>
      <c r="V109" s="306"/>
      <c r="W109" s="306"/>
      <c r="X109" s="308" t="str">
        <f t="shared" ref="X109:AC109" si="76">IF(L109&gt;$E$5,"No","Yes")</f>
        <v>Yes</v>
      </c>
      <c r="Y109" s="308" t="str">
        <f t="shared" si="76"/>
        <v>Yes</v>
      </c>
      <c r="Z109" s="308" t="str">
        <f t="shared" si="76"/>
        <v>Yes</v>
      </c>
      <c r="AA109" s="308" t="str">
        <f t="shared" si="76"/>
        <v>No</v>
      </c>
      <c r="AB109" s="308" t="str">
        <f t="shared" si="76"/>
        <v>No</v>
      </c>
      <c r="AC109" s="308" t="str">
        <f t="shared" si="76"/>
        <v>No</v>
      </c>
      <c r="AE109" s="306">
        <f t="shared" si="71"/>
        <v>0</v>
      </c>
      <c r="AF109" s="306">
        <f t="shared" si="63"/>
        <v>0</v>
      </c>
      <c r="AG109" s="306">
        <f t="shared" si="64"/>
        <v>0</v>
      </c>
      <c r="AH109" s="306">
        <f t="shared" si="65"/>
        <v>0</v>
      </c>
      <c r="AI109" s="308">
        <f t="shared" si="66"/>
        <v>1</v>
      </c>
      <c r="AJ109" s="308">
        <f t="shared" si="67"/>
        <v>1</v>
      </c>
      <c r="AK109" s="308">
        <f t="shared" si="68"/>
        <v>1</v>
      </c>
      <c r="AL109" s="308">
        <f t="shared" si="72"/>
        <v>0</v>
      </c>
      <c r="AM109" s="308">
        <f t="shared" si="69"/>
        <v>0</v>
      </c>
      <c r="AN109" s="308">
        <f t="shared" si="73"/>
        <v>0</v>
      </c>
    </row>
    <row r="110" spans="2:40" ht="15.6" x14ac:dyDescent="0.35">
      <c r="B110" s="107" t="s">
        <v>858</v>
      </c>
      <c r="C110" s="107"/>
      <c r="D110" s="107"/>
      <c r="E110" s="107"/>
      <c r="G110" s="232" t="s">
        <v>429</v>
      </c>
      <c r="H110" s="306"/>
      <c r="I110" s="306"/>
      <c r="J110" s="306"/>
      <c r="K110" s="306"/>
      <c r="L110" s="306"/>
      <c r="M110" s="311">
        <v>3.689826E-13</v>
      </c>
      <c r="N110" s="311">
        <v>8.7190169999999999E-17</v>
      </c>
      <c r="O110" s="311">
        <v>5.9058220000000002E-10</v>
      </c>
      <c r="P110" s="311">
        <v>1.0000000000000001E-5</v>
      </c>
      <c r="Q110" s="311">
        <v>0.25460110000000002</v>
      </c>
      <c r="R110" s="107"/>
      <c r="S110" s="232" t="s">
        <v>429</v>
      </c>
      <c r="T110" s="306"/>
      <c r="U110" s="306"/>
      <c r="V110" s="306"/>
      <c r="W110" s="306"/>
      <c r="X110" s="306"/>
      <c r="Y110" s="308" t="str">
        <f>IF(M110&gt;$E$5,"No","Yes")</f>
        <v>Yes</v>
      </c>
      <c r="Z110" s="308" t="str">
        <f>IF(N110&gt;$E$5,"No","Yes")</f>
        <v>Yes</v>
      </c>
      <c r="AA110" s="308" t="str">
        <f>IF(O110&gt;$E$5,"No","Yes")</f>
        <v>Yes</v>
      </c>
      <c r="AB110" s="308" t="str">
        <f>IF(P110&gt;$E$5,"No","Yes")</f>
        <v>Yes</v>
      </c>
      <c r="AC110" s="308" t="str">
        <f>IF(Q110&gt;$E$5,"No","Yes")</f>
        <v>No</v>
      </c>
      <c r="AE110" s="306">
        <f t="shared" si="71"/>
        <v>0</v>
      </c>
      <c r="AF110" s="306">
        <f t="shared" si="63"/>
        <v>0</v>
      </c>
      <c r="AG110" s="306">
        <f t="shared" si="64"/>
        <v>0</v>
      </c>
      <c r="AH110" s="306">
        <f t="shared" si="65"/>
        <v>0</v>
      </c>
      <c r="AI110" s="306">
        <f t="shared" si="66"/>
        <v>0</v>
      </c>
      <c r="AJ110" s="308">
        <f t="shared" si="67"/>
        <v>1</v>
      </c>
      <c r="AK110" s="308">
        <f t="shared" si="68"/>
        <v>1</v>
      </c>
      <c r="AL110" s="308">
        <f t="shared" si="72"/>
        <v>1</v>
      </c>
      <c r="AM110" s="308">
        <f t="shared" si="69"/>
        <v>1</v>
      </c>
      <c r="AN110" s="308">
        <f t="shared" si="73"/>
        <v>0</v>
      </c>
    </row>
    <row r="111" spans="2:40" x14ac:dyDescent="0.3">
      <c r="B111" s="107" t="s">
        <v>863</v>
      </c>
      <c r="C111" s="107"/>
      <c r="D111" s="107"/>
      <c r="E111" s="107"/>
      <c r="G111" s="232" t="s">
        <v>437</v>
      </c>
      <c r="H111" s="306"/>
      <c r="I111" s="306"/>
      <c r="J111" s="306"/>
      <c r="K111" s="306"/>
      <c r="L111" s="306"/>
      <c r="M111" s="306"/>
      <c r="N111" s="312">
        <v>1</v>
      </c>
      <c r="O111" s="312">
        <v>1</v>
      </c>
      <c r="P111" s="308">
        <v>0.55382299999999995</v>
      </c>
      <c r="Q111" s="311">
        <v>3.9155929999999998E-5</v>
      </c>
      <c r="R111" s="107"/>
      <c r="S111" s="232" t="s">
        <v>437</v>
      </c>
      <c r="T111" s="306"/>
      <c r="U111" s="306"/>
      <c r="V111" s="306"/>
      <c r="W111" s="306"/>
      <c r="X111" s="306"/>
      <c r="Y111" s="306"/>
      <c r="Z111" s="308" t="str">
        <f>IF(N111&gt;$E$5,"No","Yes")</f>
        <v>No</v>
      </c>
      <c r="AA111" s="308" t="str">
        <f>IF(O111&gt;$E$5,"No","Yes")</f>
        <v>No</v>
      </c>
      <c r="AB111" s="308" t="str">
        <f>IF(P111&gt;$E$5,"No","Yes")</f>
        <v>No</v>
      </c>
      <c r="AC111" s="308" t="str">
        <f>IF(Q111&gt;$E$5,"No","Yes")</f>
        <v>Yes</v>
      </c>
      <c r="AE111" s="306">
        <f t="shared" si="71"/>
        <v>0</v>
      </c>
      <c r="AF111" s="306">
        <f t="shared" si="63"/>
        <v>0</v>
      </c>
      <c r="AG111" s="306">
        <f t="shared" si="64"/>
        <v>0</v>
      </c>
      <c r="AH111" s="306">
        <f t="shared" si="65"/>
        <v>0</v>
      </c>
      <c r="AI111" s="306">
        <f t="shared" si="66"/>
        <v>0</v>
      </c>
      <c r="AJ111" s="306">
        <f t="shared" si="67"/>
        <v>0</v>
      </c>
      <c r="AK111" s="308">
        <f t="shared" si="68"/>
        <v>0</v>
      </c>
      <c r="AL111" s="308">
        <f t="shared" si="72"/>
        <v>0</v>
      </c>
      <c r="AM111" s="308">
        <f t="shared" si="69"/>
        <v>0</v>
      </c>
      <c r="AN111" s="308">
        <f t="shared" si="73"/>
        <v>1</v>
      </c>
    </row>
    <row r="112" spans="2:40" x14ac:dyDescent="0.3">
      <c r="B112" s="107" t="s">
        <v>859</v>
      </c>
      <c r="C112" s="107"/>
      <c r="D112" s="107"/>
      <c r="E112" s="107"/>
      <c r="G112" s="232" t="s">
        <v>441</v>
      </c>
      <c r="H112" s="306"/>
      <c r="I112" s="306"/>
      <c r="J112" s="306"/>
      <c r="K112" s="306"/>
      <c r="L112" s="306"/>
      <c r="M112" s="306"/>
      <c r="N112" s="306"/>
      <c r="O112" s="312">
        <v>1</v>
      </c>
      <c r="P112" s="308">
        <v>1.9857E-2</v>
      </c>
      <c r="Q112" s="311">
        <v>1.4596739999999999E-7</v>
      </c>
      <c r="R112" s="107"/>
      <c r="S112" s="232" t="s">
        <v>441</v>
      </c>
      <c r="T112" s="306"/>
      <c r="U112" s="306"/>
      <c r="V112" s="306"/>
      <c r="W112" s="306"/>
      <c r="X112" s="306"/>
      <c r="Y112" s="306"/>
      <c r="Z112" s="306"/>
      <c r="AA112" s="308" t="str">
        <f>IF(O112&gt;$E$5,"No","Yes")</f>
        <v>No</v>
      </c>
      <c r="AB112" s="308" t="str">
        <f>IF(P112&gt;$E$5,"No","Yes")</f>
        <v>Yes</v>
      </c>
      <c r="AC112" s="308" t="str">
        <f>IF(Q112&gt;$E$5,"No","Yes")</f>
        <v>Yes</v>
      </c>
      <c r="AE112" s="306">
        <f t="shared" si="71"/>
        <v>0</v>
      </c>
      <c r="AF112" s="306">
        <f t="shared" si="63"/>
        <v>0</v>
      </c>
      <c r="AG112" s="306">
        <f t="shared" si="64"/>
        <v>0</v>
      </c>
      <c r="AH112" s="306">
        <f t="shared" si="65"/>
        <v>0</v>
      </c>
      <c r="AI112" s="306">
        <f t="shared" si="66"/>
        <v>0</v>
      </c>
      <c r="AJ112" s="306">
        <f t="shared" si="67"/>
        <v>0</v>
      </c>
      <c r="AK112" s="306">
        <f t="shared" si="68"/>
        <v>0</v>
      </c>
      <c r="AL112" s="308">
        <f t="shared" si="72"/>
        <v>0</v>
      </c>
      <c r="AM112" s="308">
        <f t="shared" si="69"/>
        <v>1</v>
      </c>
      <c r="AN112" s="308">
        <f t="shared" si="73"/>
        <v>1</v>
      </c>
    </row>
    <row r="113" spans="2:40" x14ac:dyDescent="0.3">
      <c r="B113" s="107" t="s">
        <v>860</v>
      </c>
      <c r="C113" s="107"/>
      <c r="D113" s="107"/>
      <c r="E113" s="107"/>
      <c r="G113" s="232" t="s">
        <v>531</v>
      </c>
      <c r="H113" s="306"/>
      <c r="I113" s="306"/>
      <c r="J113" s="306"/>
      <c r="K113" s="306"/>
      <c r="L113" s="306"/>
      <c r="M113" s="306"/>
      <c r="N113" s="306"/>
      <c r="O113" s="306"/>
      <c r="P113" s="314">
        <v>1</v>
      </c>
      <c r="Q113" s="316">
        <v>4.0456160000000001E-3</v>
      </c>
      <c r="R113" s="107"/>
      <c r="S113" s="232" t="s">
        <v>531</v>
      </c>
      <c r="T113" s="306"/>
      <c r="U113" s="306"/>
      <c r="V113" s="306"/>
      <c r="W113" s="306"/>
      <c r="X113" s="306"/>
      <c r="Y113" s="306"/>
      <c r="Z113" s="306"/>
      <c r="AA113" s="306"/>
      <c r="AB113" s="308" t="str">
        <f>IF(P113&gt;$E$5,"No","Yes")</f>
        <v>No</v>
      </c>
      <c r="AC113" s="308" t="str">
        <f>IF(Q113&gt;$E$5,"No","Yes")</f>
        <v>Yes</v>
      </c>
      <c r="AE113" s="306">
        <f t="shared" si="71"/>
        <v>0</v>
      </c>
      <c r="AF113" s="306">
        <f t="shared" si="63"/>
        <v>0</v>
      </c>
      <c r="AG113" s="306">
        <f t="shared" si="64"/>
        <v>0</v>
      </c>
      <c r="AH113" s="306">
        <f t="shared" si="65"/>
        <v>0</v>
      </c>
      <c r="AI113" s="306">
        <f t="shared" si="66"/>
        <v>0</v>
      </c>
      <c r="AJ113" s="306">
        <f t="shared" si="67"/>
        <v>0</v>
      </c>
      <c r="AK113" s="306">
        <f t="shared" si="68"/>
        <v>0</v>
      </c>
      <c r="AL113" s="306">
        <f t="shared" si="72"/>
        <v>0</v>
      </c>
      <c r="AM113" s="308">
        <f t="shared" si="69"/>
        <v>0</v>
      </c>
      <c r="AN113" s="308">
        <f t="shared" si="73"/>
        <v>1</v>
      </c>
    </row>
    <row r="114" spans="2:40" x14ac:dyDescent="0.3">
      <c r="B114" s="107" t="s">
        <v>861</v>
      </c>
      <c r="C114" s="107"/>
      <c r="D114" s="107"/>
      <c r="E114" s="107"/>
      <c r="G114" s="232" t="s">
        <v>532</v>
      </c>
      <c r="H114" s="306"/>
      <c r="I114" s="306"/>
      <c r="J114" s="306"/>
      <c r="K114" s="306"/>
      <c r="L114" s="306"/>
      <c r="M114" s="306"/>
      <c r="N114" s="306"/>
      <c r="O114" s="306"/>
      <c r="P114" s="306"/>
      <c r="Q114" s="316">
        <v>0.94024940000000001</v>
      </c>
      <c r="R114" s="107"/>
      <c r="S114" s="232" t="s">
        <v>532</v>
      </c>
      <c r="T114" s="306"/>
      <c r="U114" s="306"/>
      <c r="V114" s="306"/>
      <c r="W114" s="306"/>
      <c r="X114" s="306"/>
      <c r="Y114" s="306"/>
      <c r="Z114" s="306"/>
      <c r="AA114" s="306"/>
      <c r="AB114" s="306"/>
      <c r="AC114" s="308" t="str">
        <f>IF(Q114&gt;$E$5,"No","Yes")</f>
        <v>No</v>
      </c>
      <c r="AE114" s="306">
        <f t="shared" si="71"/>
        <v>0</v>
      </c>
      <c r="AF114" s="306">
        <f t="shared" si="63"/>
        <v>0</v>
      </c>
      <c r="AG114" s="306">
        <f t="shared" si="64"/>
        <v>0</v>
      </c>
      <c r="AH114" s="306">
        <f t="shared" si="65"/>
        <v>0</v>
      </c>
      <c r="AI114" s="306">
        <f t="shared" si="66"/>
        <v>0</v>
      </c>
      <c r="AJ114" s="306">
        <f t="shared" si="67"/>
        <v>0</v>
      </c>
      <c r="AK114" s="306">
        <f t="shared" si="68"/>
        <v>0</v>
      </c>
      <c r="AL114" s="306">
        <f t="shared" si="72"/>
        <v>0</v>
      </c>
      <c r="AM114" s="306">
        <f t="shared" si="69"/>
        <v>0</v>
      </c>
      <c r="AN114" s="308">
        <f t="shared" si="73"/>
        <v>0</v>
      </c>
    </row>
    <row r="115" spans="2:40" x14ac:dyDescent="0.3">
      <c r="B115" s="107" t="s">
        <v>862</v>
      </c>
      <c r="C115" s="107"/>
      <c r="D115" s="107"/>
      <c r="E115" s="107"/>
      <c r="G115" s="232" t="s">
        <v>461</v>
      </c>
      <c r="H115" s="306"/>
      <c r="I115" s="306"/>
      <c r="J115" s="306"/>
      <c r="K115" s="306"/>
      <c r="L115" s="306"/>
      <c r="M115" s="306"/>
      <c r="N115" s="306"/>
      <c r="O115" s="306"/>
      <c r="P115" s="306"/>
      <c r="Q115" s="306"/>
      <c r="R115" s="107"/>
      <c r="S115" s="232" t="s">
        <v>461</v>
      </c>
      <c r="T115" s="306"/>
      <c r="U115" s="306"/>
      <c r="V115" s="306"/>
      <c r="W115" s="306"/>
      <c r="X115" s="306"/>
      <c r="Y115" s="306"/>
      <c r="Z115" s="306"/>
      <c r="AA115" s="306"/>
      <c r="AB115" s="306"/>
      <c r="AC115" s="306"/>
    </row>
    <row r="117" spans="2:40" x14ac:dyDescent="0.3">
      <c r="B117" s="106" t="s">
        <v>853</v>
      </c>
      <c r="C117" s="107"/>
      <c r="D117" s="107"/>
      <c r="E117" s="107"/>
      <c r="G117" s="106" t="s">
        <v>847</v>
      </c>
      <c r="H117" s="107" t="s">
        <v>848</v>
      </c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 t="s">
        <v>869</v>
      </c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</row>
    <row r="118" spans="2:40" ht="15.6" x14ac:dyDescent="0.35">
      <c r="B118" s="119" t="s">
        <v>41</v>
      </c>
      <c r="C118" s="107"/>
      <c r="D118" s="307" t="s">
        <v>851</v>
      </c>
      <c r="E118" s="309">
        <v>5071.9607045910398</v>
      </c>
      <c r="G118" s="119" t="s">
        <v>41</v>
      </c>
      <c r="H118" s="107" t="s">
        <v>866</v>
      </c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 t="s">
        <v>854</v>
      </c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</row>
    <row r="119" spans="2:40" x14ac:dyDescent="0.3">
      <c r="B119" s="124" t="s">
        <v>871</v>
      </c>
      <c r="C119" s="107"/>
      <c r="D119" s="107"/>
      <c r="E119" s="116"/>
      <c r="G119" s="124" t="s">
        <v>871</v>
      </c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 t="s">
        <v>867</v>
      </c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</row>
    <row r="120" spans="2:40" ht="15.6" x14ac:dyDescent="0.35">
      <c r="B120" s="107"/>
      <c r="C120" s="107"/>
      <c r="D120" s="307" t="s">
        <v>335</v>
      </c>
      <c r="E120" s="308">
        <v>0.05</v>
      </c>
      <c r="G120" s="307" t="s">
        <v>354</v>
      </c>
      <c r="H120" s="232">
        <v>1988</v>
      </c>
      <c r="I120" s="232" t="s">
        <v>397</v>
      </c>
      <c r="J120" s="232" t="s">
        <v>401</v>
      </c>
      <c r="K120" s="232" t="s">
        <v>405</v>
      </c>
      <c r="L120" s="232" t="s">
        <v>429</v>
      </c>
      <c r="M120" s="232" t="s">
        <v>437</v>
      </c>
      <c r="N120" s="232" t="s">
        <v>441</v>
      </c>
      <c r="O120" s="232" t="s">
        <v>531</v>
      </c>
      <c r="P120" s="232" t="s">
        <v>532</v>
      </c>
      <c r="Q120" s="232" t="s">
        <v>461</v>
      </c>
      <c r="R120" s="107"/>
      <c r="S120" s="303" t="s">
        <v>846</v>
      </c>
      <c r="T120" s="232">
        <v>1988</v>
      </c>
      <c r="U120" s="232" t="s">
        <v>397</v>
      </c>
      <c r="V120" s="232" t="s">
        <v>401</v>
      </c>
      <c r="W120" s="232" t="s">
        <v>405</v>
      </c>
      <c r="X120" s="232" t="s">
        <v>429</v>
      </c>
      <c r="Y120" s="232" t="s">
        <v>437</v>
      </c>
      <c r="Z120" s="232" t="s">
        <v>441</v>
      </c>
      <c r="AA120" s="232" t="s">
        <v>531</v>
      </c>
      <c r="AB120" s="232" t="s">
        <v>532</v>
      </c>
      <c r="AC120" s="232" t="s">
        <v>461</v>
      </c>
    </row>
    <row r="121" spans="2:40" x14ac:dyDescent="0.3">
      <c r="B121" s="107"/>
      <c r="C121" s="107"/>
      <c r="D121" s="107"/>
      <c r="E121" s="107"/>
      <c r="G121" s="232">
        <v>1977</v>
      </c>
      <c r="H121" s="313">
        <v>1E-3</v>
      </c>
      <c r="I121" s="313">
        <v>1E-3</v>
      </c>
      <c r="J121" s="313">
        <v>1E-3</v>
      </c>
      <c r="K121" s="313">
        <v>1E-3</v>
      </c>
      <c r="L121" s="313">
        <v>1E-3</v>
      </c>
      <c r="M121" s="313">
        <v>1E-3</v>
      </c>
      <c r="N121" s="313">
        <v>1E-3</v>
      </c>
      <c r="O121" s="313">
        <v>1E-3</v>
      </c>
      <c r="P121" s="313">
        <v>1E-3</v>
      </c>
      <c r="Q121" s="313">
        <v>1E-3</v>
      </c>
      <c r="R121" s="107"/>
      <c r="S121" s="232">
        <v>1977</v>
      </c>
      <c r="T121" s="308" t="str">
        <f t="shared" ref="T121:AC121" si="77">IF(H121&gt;$E$5,"No","Yes")</f>
        <v>Yes</v>
      </c>
      <c r="U121" s="308" t="str">
        <f t="shared" si="77"/>
        <v>Yes</v>
      </c>
      <c r="V121" s="308" t="str">
        <f t="shared" si="77"/>
        <v>Yes</v>
      </c>
      <c r="W121" s="308" t="str">
        <f t="shared" si="77"/>
        <v>Yes</v>
      </c>
      <c r="X121" s="308" t="str">
        <f t="shared" si="77"/>
        <v>Yes</v>
      </c>
      <c r="Y121" s="308" t="str">
        <f t="shared" si="77"/>
        <v>Yes</v>
      </c>
      <c r="Z121" s="308" t="str">
        <f t="shared" si="77"/>
        <v>Yes</v>
      </c>
      <c r="AA121" s="308" t="str">
        <f t="shared" si="77"/>
        <v>Yes</v>
      </c>
      <c r="AB121" s="308" t="str">
        <f t="shared" si="77"/>
        <v>Yes</v>
      </c>
      <c r="AC121" s="308" t="str">
        <f t="shared" si="77"/>
        <v>Yes</v>
      </c>
    </row>
    <row r="122" spans="2:40" x14ac:dyDescent="0.3">
      <c r="B122" s="107"/>
      <c r="C122" s="107"/>
      <c r="D122" s="307" t="s">
        <v>354</v>
      </c>
      <c r="E122" s="310">
        <v>2.03203989224852E-243</v>
      </c>
      <c r="G122" s="232">
        <v>1988</v>
      </c>
      <c r="H122" s="306"/>
      <c r="I122" s="313">
        <v>1E-3</v>
      </c>
      <c r="J122" s="313">
        <v>1E-3</v>
      </c>
      <c r="K122" s="313">
        <v>1E-3</v>
      </c>
      <c r="L122" s="313">
        <v>1E-3</v>
      </c>
      <c r="M122" s="313">
        <v>1E-3</v>
      </c>
      <c r="N122" s="313">
        <v>1E-3</v>
      </c>
      <c r="O122" s="313">
        <v>1E-3</v>
      </c>
      <c r="P122" s="313">
        <v>1E-3</v>
      </c>
      <c r="Q122" s="313">
        <v>1E-3</v>
      </c>
      <c r="R122" s="107"/>
      <c r="S122" s="232">
        <v>1988</v>
      </c>
      <c r="T122" s="306"/>
      <c r="U122" s="308" t="str">
        <f t="shared" ref="U122:AC122" si="78">IF(I122&gt;$E$5,"No","Yes")</f>
        <v>Yes</v>
      </c>
      <c r="V122" s="308" t="str">
        <f t="shared" si="78"/>
        <v>Yes</v>
      </c>
      <c r="W122" s="308" t="str">
        <f t="shared" si="78"/>
        <v>Yes</v>
      </c>
      <c r="X122" s="308" t="str">
        <f t="shared" si="78"/>
        <v>Yes</v>
      </c>
      <c r="Y122" s="308" t="str">
        <f t="shared" si="78"/>
        <v>Yes</v>
      </c>
      <c r="Z122" s="308" t="str">
        <f t="shared" si="78"/>
        <v>Yes</v>
      </c>
      <c r="AA122" s="308" t="str">
        <f t="shared" si="78"/>
        <v>Yes</v>
      </c>
      <c r="AB122" s="308" t="str">
        <f t="shared" si="78"/>
        <v>Yes</v>
      </c>
      <c r="AC122" s="308" t="str">
        <f t="shared" si="78"/>
        <v>Yes</v>
      </c>
    </row>
    <row r="123" spans="2:40" x14ac:dyDescent="0.3">
      <c r="B123" s="107"/>
      <c r="C123" s="107"/>
      <c r="D123" s="107"/>
      <c r="E123" s="107"/>
      <c r="G123" s="232" t="s">
        <v>397</v>
      </c>
      <c r="H123" s="306"/>
      <c r="I123" s="306"/>
      <c r="J123" s="313">
        <v>1E-3</v>
      </c>
      <c r="K123" s="316">
        <v>1E-3</v>
      </c>
      <c r="L123" s="313">
        <v>1E-3</v>
      </c>
      <c r="M123" s="313">
        <v>1E-3</v>
      </c>
      <c r="N123" s="313">
        <v>1E-3</v>
      </c>
      <c r="O123" s="313">
        <v>1E-3</v>
      </c>
      <c r="P123" s="313">
        <v>1</v>
      </c>
      <c r="Q123" s="313">
        <v>1E-3</v>
      </c>
      <c r="R123" s="107"/>
      <c r="S123" s="232" t="s">
        <v>397</v>
      </c>
      <c r="T123" s="306"/>
      <c r="U123" s="306"/>
      <c r="V123" s="308" t="str">
        <f t="shared" ref="V123:AC123" si="79">IF(J123&gt;$E$5,"No","Yes")</f>
        <v>Yes</v>
      </c>
      <c r="W123" s="308" t="str">
        <f t="shared" si="79"/>
        <v>Yes</v>
      </c>
      <c r="X123" s="308" t="str">
        <f t="shared" si="79"/>
        <v>Yes</v>
      </c>
      <c r="Y123" s="308" t="str">
        <f t="shared" si="79"/>
        <v>Yes</v>
      </c>
      <c r="Z123" s="308" t="str">
        <f t="shared" si="79"/>
        <v>Yes</v>
      </c>
      <c r="AA123" s="308" t="str">
        <f t="shared" si="79"/>
        <v>Yes</v>
      </c>
      <c r="AB123" s="308" t="str">
        <f t="shared" si="79"/>
        <v>No</v>
      </c>
      <c r="AC123" s="308" t="str">
        <f t="shared" si="79"/>
        <v>Yes</v>
      </c>
    </row>
    <row r="124" spans="2:40" ht="15.6" x14ac:dyDescent="0.35">
      <c r="B124" s="107"/>
      <c r="C124" s="107"/>
      <c r="D124" s="307" t="s">
        <v>846</v>
      </c>
      <c r="E124" s="310" t="str">
        <f>IF(E122&gt;E120,"No","Yes")</f>
        <v>Yes</v>
      </c>
      <c r="G124" s="232" t="s">
        <v>401</v>
      </c>
      <c r="H124" s="306"/>
      <c r="I124" s="306"/>
      <c r="J124" s="306"/>
      <c r="K124" s="313">
        <v>1E-3</v>
      </c>
      <c r="L124" s="313">
        <v>0.28260000000000002</v>
      </c>
      <c r="M124" s="313">
        <v>1E-3</v>
      </c>
      <c r="N124" s="313">
        <v>1E-3</v>
      </c>
      <c r="O124" s="313">
        <v>1E-3</v>
      </c>
      <c r="P124" s="313">
        <v>1E-3</v>
      </c>
      <c r="Q124" s="313">
        <v>1E-3</v>
      </c>
      <c r="R124" s="107"/>
      <c r="S124" s="232" t="s">
        <v>401</v>
      </c>
      <c r="T124" s="306"/>
      <c r="U124" s="306"/>
      <c r="V124" s="306"/>
      <c r="W124" s="308" t="str">
        <f t="shared" ref="W124:AC124" si="80">IF(K124&gt;$E$5,"No","Yes")</f>
        <v>Yes</v>
      </c>
      <c r="X124" s="308" t="str">
        <f t="shared" si="80"/>
        <v>No</v>
      </c>
      <c r="Y124" s="308" t="str">
        <f t="shared" si="80"/>
        <v>Yes</v>
      </c>
      <c r="Z124" s="308" t="str">
        <f t="shared" si="80"/>
        <v>Yes</v>
      </c>
      <c r="AA124" s="308" t="str">
        <f t="shared" si="80"/>
        <v>Yes</v>
      </c>
      <c r="AB124" s="308" t="str">
        <f t="shared" si="80"/>
        <v>Yes</v>
      </c>
      <c r="AC124" s="308" t="str">
        <f t="shared" si="80"/>
        <v>Yes</v>
      </c>
    </row>
    <row r="125" spans="2:40" x14ac:dyDescent="0.3">
      <c r="B125" s="107"/>
      <c r="C125" s="107"/>
      <c r="D125" s="107"/>
      <c r="E125" s="107"/>
      <c r="G125" s="232" t="s">
        <v>405</v>
      </c>
      <c r="H125" s="306"/>
      <c r="I125" s="306"/>
      <c r="J125" s="306"/>
      <c r="K125" s="306"/>
      <c r="L125" s="313">
        <v>1E-3</v>
      </c>
      <c r="M125" s="316">
        <v>1E-3</v>
      </c>
      <c r="N125" s="313">
        <v>1E-3</v>
      </c>
      <c r="O125" s="313">
        <v>1E-3</v>
      </c>
      <c r="P125" s="313">
        <v>1E-3</v>
      </c>
      <c r="Q125" s="313">
        <v>1E-3</v>
      </c>
      <c r="R125" s="107"/>
      <c r="S125" s="232" t="s">
        <v>405</v>
      </c>
      <c r="T125" s="306"/>
      <c r="U125" s="306"/>
      <c r="V125" s="306"/>
      <c r="W125" s="306"/>
      <c r="X125" s="308" t="str">
        <f t="shared" ref="X125:AC125" si="81">IF(L125&gt;$E$5,"No","Yes")</f>
        <v>Yes</v>
      </c>
      <c r="Y125" s="308" t="str">
        <f t="shared" si="81"/>
        <v>Yes</v>
      </c>
      <c r="Z125" s="308" t="str">
        <f t="shared" si="81"/>
        <v>Yes</v>
      </c>
      <c r="AA125" s="308" t="str">
        <f t="shared" si="81"/>
        <v>Yes</v>
      </c>
      <c r="AB125" s="308" t="str">
        <f t="shared" si="81"/>
        <v>Yes</v>
      </c>
      <c r="AC125" s="308" t="str">
        <f t="shared" si="81"/>
        <v>Yes</v>
      </c>
    </row>
    <row r="126" spans="2:40" ht="15.6" x14ac:dyDescent="0.35">
      <c r="B126" s="107" t="s">
        <v>852</v>
      </c>
      <c r="C126" s="107"/>
      <c r="D126" s="107"/>
      <c r="E126" s="107"/>
      <c r="G126" s="232" t="s">
        <v>429</v>
      </c>
      <c r="H126" s="306"/>
      <c r="I126" s="306"/>
      <c r="J126" s="306"/>
      <c r="K126" s="306"/>
      <c r="L126" s="306"/>
      <c r="M126" s="313">
        <v>1E-3</v>
      </c>
      <c r="N126" s="313">
        <v>1E-3</v>
      </c>
      <c r="O126" s="313">
        <v>1E-3</v>
      </c>
      <c r="P126" s="313">
        <v>1E-3</v>
      </c>
      <c r="Q126" s="313">
        <v>1E-3</v>
      </c>
      <c r="R126" s="107"/>
      <c r="S126" s="232" t="s">
        <v>429</v>
      </c>
      <c r="T126" s="306"/>
      <c r="U126" s="306"/>
      <c r="V126" s="306"/>
      <c r="W126" s="306"/>
      <c r="X126" s="306"/>
      <c r="Y126" s="308" t="str">
        <f>IF(M126&gt;$E$5,"No","Yes")</f>
        <v>Yes</v>
      </c>
      <c r="Z126" s="308" t="str">
        <f>IF(N126&gt;$E$5,"No","Yes")</f>
        <v>Yes</v>
      </c>
      <c r="AA126" s="308" t="str">
        <f>IF(O126&gt;$E$5,"No","Yes")</f>
        <v>Yes</v>
      </c>
      <c r="AB126" s="308" t="str">
        <f>IF(P126&gt;$E$5,"No","Yes")</f>
        <v>Yes</v>
      </c>
      <c r="AC126" s="308" t="str">
        <f>IF(Q126&gt;$E$5,"No","Yes")</f>
        <v>Yes</v>
      </c>
    </row>
    <row r="127" spans="2:40" x14ac:dyDescent="0.3">
      <c r="B127" s="107" t="s">
        <v>863</v>
      </c>
      <c r="C127" s="107"/>
      <c r="D127" s="107"/>
      <c r="E127" s="107"/>
      <c r="G127" s="232" t="s">
        <v>437</v>
      </c>
      <c r="H127" s="306"/>
      <c r="I127" s="306"/>
      <c r="J127" s="306"/>
      <c r="K127" s="306"/>
      <c r="L127" s="306"/>
      <c r="M127" s="306"/>
      <c r="N127" s="313">
        <v>1E-3</v>
      </c>
      <c r="O127" s="313">
        <v>1E-3</v>
      </c>
      <c r="P127" s="313">
        <v>1E-3</v>
      </c>
      <c r="Q127" s="313">
        <v>1E-3</v>
      </c>
      <c r="R127" s="107"/>
      <c r="S127" s="232" t="s">
        <v>437</v>
      </c>
      <c r="T127" s="306"/>
      <c r="U127" s="306"/>
      <c r="V127" s="306"/>
      <c r="W127" s="306"/>
      <c r="X127" s="306"/>
      <c r="Y127" s="306"/>
      <c r="Z127" s="308" t="str">
        <f>IF(N127&gt;$E$5,"No","Yes")</f>
        <v>Yes</v>
      </c>
      <c r="AA127" s="308" t="str">
        <f>IF(O127&gt;$E$5,"No","Yes")</f>
        <v>Yes</v>
      </c>
      <c r="AB127" s="308" t="str">
        <f>IF(P127&gt;$E$5,"No","Yes")</f>
        <v>Yes</v>
      </c>
      <c r="AC127" s="308" t="str">
        <f>IF(Q127&gt;$E$5,"No","Yes")</f>
        <v>Yes</v>
      </c>
    </row>
    <row r="128" spans="2:40" x14ac:dyDescent="0.3">
      <c r="B128" s="107" t="s">
        <v>859</v>
      </c>
      <c r="C128" s="107"/>
      <c r="D128" s="107"/>
      <c r="E128" s="107"/>
      <c r="G128" s="232" t="s">
        <v>441</v>
      </c>
      <c r="H128" s="306"/>
      <c r="I128" s="306"/>
      <c r="J128" s="306"/>
      <c r="K128" s="306"/>
      <c r="L128" s="306"/>
      <c r="M128" s="306"/>
      <c r="N128" s="306"/>
      <c r="O128" s="313">
        <v>1E-3</v>
      </c>
      <c r="P128" s="313">
        <v>1E-3</v>
      </c>
      <c r="Q128" s="313">
        <v>1E-3</v>
      </c>
      <c r="R128" s="107"/>
      <c r="S128" s="232" t="s">
        <v>441</v>
      </c>
      <c r="T128" s="306"/>
      <c r="U128" s="306"/>
      <c r="V128" s="306"/>
      <c r="W128" s="306"/>
      <c r="X128" s="306"/>
      <c r="Y128" s="306"/>
      <c r="Z128" s="306"/>
      <c r="AA128" s="308" t="str">
        <f>IF(O128&gt;$E$5,"No","Yes")</f>
        <v>Yes</v>
      </c>
      <c r="AB128" s="308" t="str">
        <f>IF(P128&gt;$E$5,"No","Yes")</f>
        <v>Yes</v>
      </c>
      <c r="AC128" s="308" t="str">
        <f>IF(Q128&gt;$E$5,"No","Yes")</f>
        <v>Yes</v>
      </c>
    </row>
    <row r="129" spans="2:40" x14ac:dyDescent="0.3">
      <c r="B129" s="107" t="s">
        <v>864</v>
      </c>
      <c r="C129" s="107"/>
      <c r="D129" s="107"/>
      <c r="E129" s="107"/>
      <c r="G129" s="232" t="s">
        <v>531</v>
      </c>
      <c r="H129" s="306"/>
      <c r="I129" s="306"/>
      <c r="J129" s="306"/>
      <c r="K129" s="306"/>
      <c r="L129" s="306"/>
      <c r="M129" s="306"/>
      <c r="N129" s="306"/>
      <c r="O129" s="306"/>
      <c r="P129" s="313">
        <v>1E-3</v>
      </c>
      <c r="Q129" s="313">
        <v>1E-3</v>
      </c>
      <c r="R129" s="107"/>
      <c r="S129" s="232" t="s">
        <v>531</v>
      </c>
      <c r="T129" s="306"/>
      <c r="U129" s="306"/>
      <c r="V129" s="306"/>
      <c r="W129" s="306"/>
      <c r="X129" s="306"/>
      <c r="Y129" s="306"/>
      <c r="Z129" s="306"/>
      <c r="AA129" s="306"/>
      <c r="AB129" s="308" t="str">
        <f>IF(P129&gt;$E$5,"No","Yes")</f>
        <v>Yes</v>
      </c>
      <c r="AC129" s="308" t="str">
        <f>IF(Q129&gt;$E$5,"No","Yes")</f>
        <v>Yes</v>
      </c>
    </row>
    <row r="130" spans="2:40" x14ac:dyDescent="0.3">
      <c r="B130" s="107" t="s">
        <v>868</v>
      </c>
      <c r="C130" s="107"/>
      <c r="D130" s="107"/>
      <c r="E130" s="107"/>
      <c r="G130" s="232" t="s">
        <v>532</v>
      </c>
      <c r="H130" s="306"/>
      <c r="I130" s="306"/>
      <c r="J130" s="306"/>
      <c r="K130" s="306"/>
      <c r="L130" s="306"/>
      <c r="M130" s="306"/>
      <c r="N130" s="306"/>
      <c r="O130" s="306"/>
      <c r="P130" s="306"/>
      <c r="Q130" s="313">
        <v>1E-3</v>
      </c>
      <c r="R130" s="107"/>
      <c r="S130" s="232" t="s">
        <v>532</v>
      </c>
      <c r="T130" s="306"/>
      <c r="U130" s="306"/>
      <c r="V130" s="306"/>
      <c r="W130" s="306"/>
      <c r="X130" s="306"/>
      <c r="Y130" s="306"/>
      <c r="Z130" s="306"/>
      <c r="AA130" s="306"/>
      <c r="AB130" s="306"/>
      <c r="AC130" s="308" t="str">
        <f>IF(Q130&gt;$E$5,"No","Yes")</f>
        <v>Yes</v>
      </c>
    </row>
    <row r="131" spans="2:40" x14ac:dyDescent="0.3">
      <c r="B131" s="107"/>
      <c r="C131" s="107"/>
      <c r="D131" s="107"/>
      <c r="E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</row>
    <row r="132" spans="2:40" x14ac:dyDescent="0.3"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</row>
    <row r="134" spans="2:40" x14ac:dyDescent="0.3">
      <c r="B134" s="106" t="s">
        <v>844</v>
      </c>
      <c r="C134" s="107"/>
      <c r="D134" s="107"/>
      <c r="E134" s="107"/>
      <c r="G134" s="106" t="s">
        <v>857</v>
      </c>
      <c r="H134" s="107" t="s">
        <v>848</v>
      </c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 t="s">
        <v>856</v>
      </c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</row>
    <row r="135" spans="2:40" ht="15.6" x14ac:dyDescent="0.35">
      <c r="B135" s="119" t="s">
        <v>41</v>
      </c>
      <c r="C135" s="107"/>
      <c r="D135" s="307" t="s">
        <v>845</v>
      </c>
      <c r="E135" s="309">
        <v>212.35619086795501</v>
      </c>
      <c r="G135" s="119" t="s">
        <v>41</v>
      </c>
      <c r="H135" s="107" t="s">
        <v>865</v>
      </c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 t="s">
        <v>860</v>
      </c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</row>
    <row r="136" spans="2:40" x14ac:dyDescent="0.3">
      <c r="B136" s="123" t="s">
        <v>872</v>
      </c>
      <c r="C136" s="107"/>
      <c r="D136" s="107"/>
      <c r="E136" s="116"/>
      <c r="G136" s="123" t="s">
        <v>872</v>
      </c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 t="s">
        <v>855</v>
      </c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</row>
    <row r="137" spans="2:40" ht="15.6" x14ac:dyDescent="0.35">
      <c r="B137" s="107"/>
      <c r="C137" s="107"/>
      <c r="D137" s="307" t="s">
        <v>335</v>
      </c>
      <c r="E137" s="308">
        <v>0.05</v>
      </c>
      <c r="G137" s="307" t="s">
        <v>354</v>
      </c>
      <c r="H137" s="232">
        <v>1988</v>
      </c>
      <c r="I137" s="232" t="s">
        <v>397</v>
      </c>
      <c r="J137" s="232" t="s">
        <v>401</v>
      </c>
      <c r="K137" s="232" t="s">
        <v>405</v>
      </c>
      <c r="L137" s="232" t="s">
        <v>429</v>
      </c>
      <c r="M137" s="232" t="s">
        <v>437</v>
      </c>
      <c r="N137" s="232" t="s">
        <v>441</v>
      </c>
      <c r="O137" s="232" t="s">
        <v>531</v>
      </c>
      <c r="P137" s="232" t="s">
        <v>532</v>
      </c>
      <c r="Q137" s="232" t="s">
        <v>461</v>
      </c>
      <c r="R137" s="107"/>
      <c r="S137" s="303" t="s">
        <v>846</v>
      </c>
      <c r="T137" s="232">
        <v>1988</v>
      </c>
      <c r="U137" s="232" t="s">
        <v>397</v>
      </c>
      <c r="V137" s="232" t="s">
        <v>401</v>
      </c>
      <c r="W137" s="232" t="s">
        <v>405</v>
      </c>
      <c r="X137" s="232" t="s">
        <v>429</v>
      </c>
      <c r="Y137" s="232" t="s">
        <v>437</v>
      </c>
      <c r="Z137" s="232" t="s">
        <v>441</v>
      </c>
      <c r="AA137" s="232" t="s">
        <v>531</v>
      </c>
      <c r="AB137" s="232" t="s">
        <v>532</v>
      </c>
      <c r="AC137" s="232" t="s">
        <v>461</v>
      </c>
    </row>
    <row r="138" spans="2:40" x14ac:dyDescent="0.3">
      <c r="B138" s="107"/>
      <c r="C138" s="107"/>
      <c r="D138" s="107"/>
      <c r="E138" s="107"/>
      <c r="G138" s="232">
        <v>1977</v>
      </c>
      <c r="H138" s="312">
        <v>1</v>
      </c>
      <c r="I138" s="312">
        <v>1</v>
      </c>
      <c r="J138" s="312">
        <v>0.14222499999999999</v>
      </c>
      <c r="K138" s="312">
        <v>1</v>
      </c>
      <c r="L138" s="311">
        <v>7.0700660000000004E-16</v>
      </c>
      <c r="M138" s="311">
        <v>1.1127519999999999E-9</v>
      </c>
      <c r="N138" s="308">
        <v>1.7260000000000001E-3</v>
      </c>
      <c r="O138" s="311">
        <v>2.526685E-5</v>
      </c>
      <c r="P138" s="311">
        <v>8.9398810000000002E-15</v>
      </c>
      <c r="Q138" s="311">
        <v>9.8165230000000006E-8</v>
      </c>
      <c r="R138" s="107"/>
      <c r="S138" s="232">
        <v>1977</v>
      </c>
      <c r="T138" s="308" t="str">
        <f t="shared" ref="T138:AC138" si="82">IF(H138&gt;$E$5,"No","Yes")</f>
        <v>No</v>
      </c>
      <c r="U138" s="308" t="str">
        <f t="shared" si="82"/>
        <v>No</v>
      </c>
      <c r="V138" s="308" t="str">
        <f t="shared" si="82"/>
        <v>No</v>
      </c>
      <c r="W138" s="308" t="str">
        <f t="shared" si="82"/>
        <v>No</v>
      </c>
      <c r="X138" s="308" t="str">
        <f t="shared" si="82"/>
        <v>Yes</v>
      </c>
      <c r="Y138" s="308" t="str">
        <f t="shared" si="82"/>
        <v>Yes</v>
      </c>
      <c r="Z138" s="308" t="str">
        <f t="shared" si="82"/>
        <v>Yes</v>
      </c>
      <c r="AA138" s="308" t="str">
        <f t="shared" si="82"/>
        <v>Yes</v>
      </c>
      <c r="AB138" s="308" t="str">
        <f t="shared" si="82"/>
        <v>Yes</v>
      </c>
      <c r="AC138" s="308" t="str">
        <f t="shared" si="82"/>
        <v>Yes</v>
      </c>
      <c r="AE138" s="308">
        <f>IF(T138="Yes",1,0)</f>
        <v>0</v>
      </c>
      <c r="AF138" s="308">
        <f t="shared" ref="AF138:AF147" si="83">IF(U138="Yes",1,0)</f>
        <v>0</v>
      </c>
      <c r="AG138" s="308">
        <f t="shared" ref="AG138:AG147" si="84">IF(V138="Yes",1,0)</f>
        <v>0</v>
      </c>
      <c r="AH138" s="308">
        <f t="shared" ref="AH138:AH147" si="85">IF(W138="Yes",1,0)</f>
        <v>0</v>
      </c>
      <c r="AI138" s="308">
        <f t="shared" ref="AI138:AI147" si="86">IF(X138="Yes",1,0)</f>
        <v>1</v>
      </c>
      <c r="AJ138" s="308">
        <f t="shared" ref="AJ138:AJ147" si="87">IF(Y138="Yes",1,0)</f>
        <v>1</v>
      </c>
      <c r="AK138" s="308">
        <f t="shared" ref="AK138:AK147" si="88">IF(Z138="Yes",1,0)</f>
        <v>1</v>
      </c>
      <c r="AL138" s="308">
        <f>IF(AA138="Yes",1,0)</f>
        <v>1</v>
      </c>
      <c r="AM138" s="308">
        <f t="shared" ref="AM138:AM147" si="89">IF(AB138="Yes",1,0)</f>
        <v>1</v>
      </c>
      <c r="AN138" s="308">
        <f>IF(AC138="Yes",1,0)</f>
        <v>1</v>
      </c>
    </row>
    <row r="139" spans="2:40" x14ac:dyDescent="0.3">
      <c r="B139" s="107"/>
      <c r="C139" s="107"/>
      <c r="D139" s="307" t="s">
        <v>354</v>
      </c>
      <c r="E139" s="310">
        <v>4.2450380415772703E-40</v>
      </c>
      <c r="G139" s="232">
        <v>1988</v>
      </c>
      <c r="H139" s="306"/>
      <c r="I139" s="308">
        <v>0.15811749999999999</v>
      </c>
      <c r="J139" s="308">
        <v>3.3860000000000001E-3</v>
      </c>
      <c r="K139" s="312">
        <v>1</v>
      </c>
      <c r="L139" s="311">
        <v>7.9629820000000005E-20</v>
      </c>
      <c r="M139" s="311">
        <v>7.6050339999999998E-13</v>
      </c>
      <c r="N139" s="312">
        <v>1.4E-5</v>
      </c>
      <c r="O139" s="311">
        <v>8.6813480000000005E-8</v>
      </c>
      <c r="P139" s="312">
        <v>1.349248E-18</v>
      </c>
      <c r="Q139" s="311">
        <v>1.3119389999999999E-10</v>
      </c>
      <c r="R139" s="107"/>
      <c r="S139" s="232">
        <v>1988</v>
      </c>
      <c r="T139" s="306"/>
      <c r="U139" s="308" t="str">
        <f t="shared" ref="U139:AC139" si="90">IF(I139&gt;$E$5,"No","Yes")</f>
        <v>No</v>
      </c>
      <c r="V139" s="308" t="str">
        <f t="shared" si="90"/>
        <v>Yes</v>
      </c>
      <c r="W139" s="308" t="str">
        <f t="shared" si="90"/>
        <v>No</v>
      </c>
      <c r="X139" s="308" t="str">
        <f t="shared" si="90"/>
        <v>Yes</v>
      </c>
      <c r="Y139" s="308" t="str">
        <f t="shared" si="90"/>
        <v>Yes</v>
      </c>
      <c r="Z139" s="308" t="str">
        <f t="shared" si="90"/>
        <v>Yes</v>
      </c>
      <c r="AA139" s="308" t="str">
        <f t="shared" si="90"/>
        <v>Yes</v>
      </c>
      <c r="AB139" s="308" t="str">
        <f t="shared" si="90"/>
        <v>Yes</v>
      </c>
      <c r="AC139" s="308" t="str">
        <f t="shared" si="90"/>
        <v>Yes</v>
      </c>
      <c r="AE139" s="306">
        <f t="shared" ref="AE139:AE147" si="91">IF(T139="Yes",1,0)</f>
        <v>0</v>
      </c>
      <c r="AF139" s="308">
        <f t="shared" si="83"/>
        <v>0</v>
      </c>
      <c r="AG139" s="308">
        <f t="shared" si="84"/>
        <v>1</v>
      </c>
      <c r="AH139" s="308">
        <f t="shared" si="85"/>
        <v>0</v>
      </c>
      <c r="AI139" s="308">
        <f t="shared" si="86"/>
        <v>1</v>
      </c>
      <c r="AJ139" s="308">
        <f t="shared" si="87"/>
        <v>1</v>
      </c>
      <c r="AK139" s="308">
        <f t="shared" si="88"/>
        <v>1</v>
      </c>
      <c r="AL139" s="308">
        <f t="shared" ref="AL139:AL147" si="92">IF(AA139="Yes",1,0)</f>
        <v>1</v>
      </c>
      <c r="AM139" s="308">
        <f t="shared" si="89"/>
        <v>1</v>
      </c>
      <c r="AN139" s="308">
        <f t="shared" ref="AN139:AN147" si="93">IF(AC139="Yes",1,0)</f>
        <v>1</v>
      </c>
    </row>
    <row r="140" spans="2:40" x14ac:dyDescent="0.3">
      <c r="B140" s="107"/>
      <c r="C140" s="107"/>
      <c r="D140" s="107"/>
      <c r="E140" s="107"/>
      <c r="G140" s="232" t="s">
        <v>397</v>
      </c>
      <c r="H140" s="306"/>
      <c r="I140" s="306"/>
      <c r="J140" s="308">
        <v>1</v>
      </c>
      <c r="K140" s="312">
        <v>1</v>
      </c>
      <c r="L140" s="311">
        <v>3.0037370000000001E-9</v>
      </c>
      <c r="M140" s="311">
        <v>1.3155529999999999E-4</v>
      </c>
      <c r="N140" s="314">
        <v>1</v>
      </c>
      <c r="O140" s="316">
        <v>0.1236468</v>
      </c>
      <c r="P140" s="311">
        <v>2.1214200000000001E-8</v>
      </c>
      <c r="Q140" s="308">
        <v>3.0799859999999998E-3</v>
      </c>
      <c r="R140" s="107"/>
      <c r="S140" s="232" t="s">
        <v>397</v>
      </c>
      <c r="T140" s="306"/>
      <c r="U140" s="306"/>
      <c r="V140" s="308" t="str">
        <f t="shared" ref="V140:AC140" si="94">IF(J140&gt;$E$5,"No","Yes")</f>
        <v>No</v>
      </c>
      <c r="W140" s="308" t="str">
        <f t="shared" si="94"/>
        <v>No</v>
      </c>
      <c r="X140" s="308" t="str">
        <f t="shared" si="94"/>
        <v>Yes</v>
      </c>
      <c r="Y140" s="308" t="str">
        <f t="shared" si="94"/>
        <v>Yes</v>
      </c>
      <c r="Z140" s="308" t="str">
        <f t="shared" si="94"/>
        <v>No</v>
      </c>
      <c r="AA140" s="308" t="str">
        <f t="shared" si="94"/>
        <v>No</v>
      </c>
      <c r="AB140" s="308" t="str">
        <f t="shared" si="94"/>
        <v>Yes</v>
      </c>
      <c r="AC140" s="308" t="str">
        <f t="shared" si="94"/>
        <v>Yes</v>
      </c>
      <c r="AE140" s="306">
        <f t="shared" si="91"/>
        <v>0</v>
      </c>
      <c r="AF140" s="306">
        <f t="shared" si="83"/>
        <v>0</v>
      </c>
      <c r="AG140" s="308">
        <f t="shared" si="84"/>
        <v>0</v>
      </c>
      <c r="AH140" s="308">
        <f t="shared" si="85"/>
        <v>0</v>
      </c>
      <c r="AI140" s="308">
        <f t="shared" si="86"/>
        <v>1</v>
      </c>
      <c r="AJ140" s="308">
        <f t="shared" si="87"/>
        <v>1</v>
      </c>
      <c r="AK140" s="308">
        <f t="shared" si="88"/>
        <v>0</v>
      </c>
      <c r="AL140" s="308">
        <f t="shared" si="92"/>
        <v>0</v>
      </c>
      <c r="AM140" s="308">
        <f t="shared" si="89"/>
        <v>1</v>
      </c>
      <c r="AN140" s="308">
        <f t="shared" si="93"/>
        <v>1</v>
      </c>
    </row>
    <row r="141" spans="2:40" ht="15.6" x14ac:dyDescent="0.35">
      <c r="B141" s="107"/>
      <c r="C141" s="107"/>
      <c r="D141" s="307" t="s">
        <v>846</v>
      </c>
      <c r="E141" s="310" t="str">
        <f>IF(E139&gt;E137,"No","Yes")</f>
        <v>Yes</v>
      </c>
      <c r="G141" s="232" t="s">
        <v>401</v>
      </c>
      <c r="H141" s="306"/>
      <c r="I141" s="306"/>
      <c r="J141" s="306"/>
      <c r="K141" s="312">
        <v>1</v>
      </c>
      <c r="L141" s="311">
        <v>1.742413E-6</v>
      </c>
      <c r="M141" s="308">
        <v>1.2274119999999999E-2</v>
      </c>
      <c r="N141" s="312">
        <v>1</v>
      </c>
      <c r="O141" s="312">
        <v>1</v>
      </c>
      <c r="P141" s="311">
        <v>9.1329720000000006E-6</v>
      </c>
      <c r="Q141" s="316">
        <v>0.14695230000000001</v>
      </c>
      <c r="R141" s="107"/>
      <c r="S141" s="232" t="s">
        <v>401</v>
      </c>
      <c r="T141" s="306"/>
      <c r="U141" s="306"/>
      <c r="V141" s="306"/>
      <c r="W141" s="308" t="str">
        <f t="shared" ref="W141:AC141" si="95">IF(K141&gt;$E$5,"No","Yes")</f>
        <v>No</v>
      </c>
      <c r="X141" s="308" t="str">
        <f t="shared" si="95"/>
        <v>Yes</v>
      </c>
      <c r="Y141" s="308" t="str">
        <f t="shared" si="95"/>
        <v>Yes</v>
      </c>
      <c r="Z141" s="308" t="str">
        <f t="shared" si="95"/>
        <v>No</v>
      </c>
      <c r="AA141" s="308" t="str">
        <f t="shared" si="95"/>
        <v>No</v>
      </c>
      <c r="AB141" s="308" t="str">
        <f t="shared" si="95"/>
        <v>Yes</v>
      </c>
      <c r="AC141" s="308" t="str">
        <f t="shared" si="95"/>
        <v>No</v>
      </c>
      <c r="AE141" s="306">
        <f t="shared" si="91"/>
        <v>0</v>
      </c>
      <c r="AF141" s="306">
        <f t="shared" si="83"/>
        <v>0</v>
      </c>
      <c r="AG141" s="306">
        <f t="shared" si="84"/>
        <v>0</v>
      </c>
      <c r="AH141" s="308">
        <f t="shared" si="85"/>
        <v>0</v>
      </c>
      <c r="AI141" s="308">
        <f t="shared" si="86"/>
        <v>1</v>
      </c>
      <c r="AJ141" s="308">
        <f t="shared" si="87"/>
        <v>1</v>
      </c>
      <c r="AK141" s="308">
        <f t="shared" si="88"/>
        <v>0</v>
      </c>
      <c r="AL141" s="308">
        <f t="shared" si="92"/>
        <v>0</v>
      </c>
      <c r="AM141" s="308">
        <f t="shared" si="89"/>
        <v>1</v>
      </c>
      <c r="AN141" s="308">
        <f t="shared" si="93"/>
        <v>0</v>
      </c>
    </row>
    <row r="142" spans="2:40" x14ac:dyDescent="0.3">
      <c r="B142" s="107"/>
      <c r="C142" s="107"/>
      <c r="D142" s="107"/>
      <c r="E142" s="107"/>
      <c r="G142" s="232" t="s">
        <v>405</v>
      </c>
      <c r="H142" s="306"/>
      <c r="I142" s="306"/>
      <c r="J142" s="306"/>
      <c r="K142" s="306"/>
      <c r="L142" s="311">
        <v>2.368557E-12</v>
      </c>
      <c r="M142" s="311">
        <v>6.1868570000000001E-7</v>
      </c>
      <c r="N142" s="316">
        <v>8.3958000000000005E-2</v>
      </c>
      <c r="O142" s="308">
        <v>2.829823E-3</v>
      </c>
      <c r="P142" s="308">
        <v>2.2369579999999999E-11</v>
      </c>
      <c r="Q142" s="308">
        <v>2.802751E-5</v>
      </c>
      <c r="R142" s="107"/>
      <c r="S142" s="232" t="s">
        <v>405</v>
      </c>
      <c r="T142" s="306"/>
      <c r="U142" s="306"/>
      <c r="V142" s="306"/>
      <c r="W142" s="306"/>
      <c r="X142" s="308" t="str">
        <f t="shared" ref="X142:AC142" si="96">IF(L142&gt;$E$5,"No","Yes")</f>
        <v>Yes</v>
      </c>
      <c r="Y142" s="308" t="str">
        <f t="shared" si="96"/>
        <v>Yes</v>
      </c>
      <c r="Z142" s="308" t="str">
        <f t="shared" si="96"/>
        <v>No</v>
      </c>
      <c r="AA142" s="308" t="str">
        <f t="shared" si="96"/>
        <v>Yes</v>
      </c>
      <c r="AB142" s="308" t="str">
        <f t="shared" si="96"/>
        <v>Yes</v>
      </c>
      <c r="AC142" s="308" t="str">
        <f t="shared" si="96"/>
        <v>Yes</v>
      </c>
      <c r="AE142" s="306">
        <f t="shared" si="91"/>
        <v>0</v>
      </c>
      <c r="AF142" s="306">
        <f t="shared" si="83"/>
        <v>0</v>
      </c>
      <c r="AG142" s="306">
        <f t="shared" si="84"/>
        <v>0</v>
      </c>
      <c r="AH142" s="306">
        <f t="shared" si="85"/>
        <v>0</v>
      </c>
      <c r="AI142" s="308">
        <f t="shared" si="86"/>
        <v>1</v>
      </c>
      <c r="AJ142" s="308">
        <f t="shared" si="87"/>
        <v>1</v>
      </c>
      <c r="AK142" s="308">
        <f t="shared" si="88"/>
        <v>0</v>
      </c>
      <c r="AL142" s="308">
        <f t="shared" si="92"/>
        <v>1</v>
      </c>
      <c r="AM142" s="308">
        <f t="shared" si="89"/>
        <v>1</v>
      </c>
      <c r="AN142" s="308">
        <f t="shared" si="93"/>
        <v>1</v>
      </c>
    </row>
    <row r="143" spans="2:40" ht="15.6" x14ac:dyDescent="0.35">
      <c r="B143" s="107" t="s">
        <v>858</v>
      </c>
      <c r="C143" s="107"/>
      <c r="D143" s="107"/>
      <c r="E143" s="107"/>
      <c r="G143" s="232" t="s">
        <v>429</v>
      </c>
      <c r="H143" s="306"/>
      <c r="I143" s="306"/>
      <c r="J143" s="306"/>
      <c r="K143" s="306"/>
      <c r="L143" s="306"/>
      <c r="M143" s="308">
        <v>1</v>
      </c>
      <c r="N143" s="311">
        <v>6.4700000000000001E-4</v>
      </c>
      <c r="O143" s="308">
        <v>2.5354769999999999E-2</v>
      </c>
      <c r="P143" s="312">
        <v>1</v>
      </c>
      <c r="Q143" s="316">
        <v>0.62963429999999998</v>
      </c>
      <c r="R143" s="107"/>
      <c r="S143" s="232" t="s">
        <v>429</v>
      </c>
      <c r="T143" s="306"/>
      <c r="U143" s="306"/>
      <c r="V143" s="306"/>
      <c r="W143" s="306"/>
      <c r="X143" s="306"/>
      <c r="Y143" s="308" t="str">
        <f>IF(M143&gt;$E$5,"No","Yes")</f>
        <v>No</v>
      </c>
      <c r="Z143" s="308" t="str">
        <f>IF(N143&gt;$E$5,"No","Yes")</f>
        <v>Yes</v>
      </c>
      <c r="AA143" s="308" t="str">
        <f>IF(O143&gt;$E$5,"No","Yes")</f>
        <v>Yes</v>
      </c>
      <c r="AB143" s="308" t="str">
        <f>IF(P143&gt;$E$5,"No","Yes")</f>
        <v>No</v>
      </c>
      <c r="AC143" s="308" t="str">
        <f>IF(Q143&gt;$E$5,"No","Yes")</f>
        <v>No</v>
      </c>
      <c r="AE143" s="306">
        <f t="shared" si="91"/>
        <v>0</v>
      </c>
      <c r="AF143" s="306">
        <f t="shared" si="83"/>
        <v>0</v>
      </c>
      <c r="AG143" s="306">
        <f t="shared" si="84"/>
        <v>0</v>
      </c>
      <c r="AH143" s="306">
        <f t="shared" si="85"/>
        <v>0</v>
      </c>
      <c r="AI143" s="306">
        <f t="shared" si="86"/>
        <v>0</v>
      </c>
      <c r="AJ143" s="308">
        <f t="shared" si="87"/>
        <v>0</v>
      </c>
      <c r="AK143" s="308">
        <f t="shared" si="88"/>
        <v>1</v>
      </c>
      <c r="AL143" s="308">
        <f t="shared" si="92"/>
        <v>1</v>
      </c>
      <c r="AM143" s="308">
        <f t="shared" si="89"/>
        <v>0</v>
      </c>
      <c r="AN143" s="308">
        <f t="shared" si="93"/>
        <v>0</v>
      </c>
    </row>
    <row r="144" spans="2:40" x14ac:dyDescent="0.3">
      <c r="B144" s="107" t="s">
        <v>863</v>
      </c>
      <c r="C144" s="107"/>
      <c r="D144" s="107"/>
      <c r="E144" s="107"/>
      <c r="G144" s="232" t="s">
        <v>437</v>
      </c>
      <c r="H144" s="306"/>
      <c r="I144" s="306"/>
      <c r="J144" s="306"/>
      <c r="K144" s="306"/>
      <c r="L144" s="306"/>
      <c r="M144" s="306"/>
      <c r="N144" s="311">
        <v>0.60770199999999996</v>
      </c>
      <c r="O144" s="312">
        <v>1</v>
      </c>
      <c r="P144" s="312">
        <v>1</v>
      </c>
      <c r="Q144" s="312">
        <v>1</v>
      </c>
      <c r="R144" s="107"/>
      <c r="S144" s="232" t="s">
        <v>437</v>
      </c>
      <c r="T144" s="306"/>
      <c r="U144" s="306"/>
      <c r="V144" s="306"/>
      <c r="W144" s="306"/>
      <c r="X144" s="306"/>
      <c r="Y144" s="306"/>
      <c r="Z144" s="308" t="str">
        <f>IF(N144&gt;$E$5,"No","Yes")</f>
        <v>No</v>
      </c>
      <c r="AA144" s="308" t="str">
        <f>IF(O144&gt;$E$5,"No","Yes")</f>
        <v>No</v>
      </c>
      <c r="AB144" s="308" t="str">
        <f>IF(P144&gt;$E$5,"No","Yes")</f>
        <v>No</v>
      </c>
      <c r="AC144" s="308" t="str">
        <f>IF(Q144&gt;$E$5,"No","Yes")</f>
        <v>No</v>
      </c>
      <c r="AE144" s="306">
        <f t="shared" si="91"/>
        <v>0</v>
      </c>
      <c r="AF144" s="306">
        <f t="shared" si="83"/>
        <v>0</v>
      </c>
      <c r="AG144" s="306">
        <f t="shared" si="84"/>
        <v>0</v>
      </c>
      <c r="AH144" s="306">
        <f t="shared" si="85"/>
        <v>0</v>
      </c>
      <c r="AI144" s="306">
        <f t="shared" si="86"/>
        <v>0</v>
      </c>
      <c r="AJ144" s="306">
        <f t="shared" si="87"/>
        <v>0</v>
      </c>
      <c r="AK144" s="308">
        <f t="shared" si="88"/>
        <v>0</v>
      </c>
      <c r="AL144" s="308">
        <f t="shared" si="92"/>
        <v>0</v>
      </c>
      <c r="AM144" s="308">
        <f t="shared" si="89"/>
        <v>0</v>
      </c>
      <c r="AN144" s="308">
        <f t="shared" si="93"/>
        <v>0</v>
      </c>
    </row>
    <row r="145" spans="2:40" x14ac:dyDescent="0.3">
      <c r="B145" s="107" t="s">
        <v>859</v>
      </c>
      <c r="C145" s="107"/>
      <c r="D145" s="107"/>
      <c r="E145" s="107"/>
      <c r="G145" s="232" t="s">
        <v>441</v>
      </c>
      <c r="H145" s="306"/>
      <c r="I145" s="306"/>
      <c r="J145" s="306"/>
      <c r="K145" s="306"/>
      <c r="L145" s="306"/>
      <c r="M145" s="306"/>
      <c r="N145" s="306"/>
      <c r="O145" s="308">
        <v>1</v>
      </c>
      <c r="P145" s="316">
        <v>2.4377219999999998E-3</v>
      </c>
      <c r="Q145" s="308">
        <v>1</v>
      </c>
      <c r="R145" s="107"/>
      <c r="S145" s="232" t="s">
        <v>441</v>
      </c>
      <c r="T145" s="306"/>
      <c r="U145" s="306"/>
      <c r="V145" s="306"/>
      <c r="W145" s="306"/>
      <c r="X145" s="306"/>
      <c r="Y145" s="306"/>
      <c r="Z145" s="306"/>
      <c r="AA145" s="308" t="str">
        <f>IF(O145&gt;$E$5,"No","Yes")</f>
        <v>No</v>
      </c>
      <c r="AB145" s="308" t="str">
        <f>IF(P145&gt;$E$5,"No","Yes")</f>
        <v>Yes</v>
      </c>
      <c r="AC145" s="308" t="str">
        <f>IF(Q145&gt;$E$5,"No","Yes")</f>
        <v>No</v>
      </c>
      <c r="AE145" s="306">
        <f t="shared" si="91"/>
        <v>0</v>
      </c>
      <c r="AF145" s="306">
        <f t="shared" si="83"/>
        <v>0</v>
      </c>
      <c r="AG145" s="306">
        <f t="shared" si="84"/>
        <v>0</v>
      </c>
      <c r="AH145" s="306">
        <f t="shared" si="85"/>
        <v>0</v>
      </c>
      <c r="AI145" s="306">
        <f t="shared" si="86"/>
        <v>0</v>
      </c>
      <c r="AJ145" s="306">
        <f t="shared" si="87"/>
        <v>0</v>
      </c>
      <c r="AK145" s="306">
        <f t="shared" si="88"/>
        <v>0</v>
      </c>
      <c r="AL145" s="308">
        <f t="shared" si="92"/>
        <v>0</v>
      </c>
      <c r="AM145" s="308">
        <f t="shared" si="89"/>
        <v>1</v>
      </c>
      <c r="AN145" s="308">
        <f t="shared" si="93"/>
        <v>0</v>
      </c>
    </row>
    <row r="146" spans="2:40" x14ac:dyDescent="0.3">
      <c r="B146" s="107" t="s">
        <v>860</v>
      </c>
      <c r="C146" s="107"/>
      <c r="D146" s="107"/>
      <c r="E146" s="107"/>
      <c r="G146" s="232" t="s">
        <v>531</v>
      </c>
      <c r="H146" s="306"/>
      <c r="I146" s="306"/>
      <c r="J146" s="306"/>
      <c r="K146" s="306"/>
      <c r="L146" s="306"/>
      <c r="M146" s="306"/>
      <c r="N146" s="306"/>
      <c r="O146" s="306"/>
      <c r="P146" s="316">
        <v>7.4446730000000003E-2</v>
      </c>
      <c r="Q146" s="308">
        <v>1</v>
      </c>
      <c r="R146" s="107"/>
      <c r="S146" s="232" t="s">
        <v>531</v>
      </c>
      <c r="T146" s="306"/>
      <c r="U146" s="306"/>
      <c r="V146" s="306"/>
      <c r="W146" s="306"/>
      <c r="X146" s="306"/>
      <c r="Y146" s="306"/>
      <c r="Z146" s="306"/>
      <c r="AA146" s="306"/>
      <c r="AB146" s="308" t="str">
        <f>IF(P146&gt;$E$5,"No","Yes")</f>
        <v>No</v>
      </c>
      <c r="AC146" s="308" t="str">
        <f>IF(Q146&gt;$E$5,"No","Yes")</f>
        <v>No</v>
      </c>
      <c r="AE146" s="306">
        <f t="shared" si="91"/>
        <v>0</v>
      </c>
      <c r="AF146" s="306">
        <f t="shared" si="83"/>
        <v>0</v>
      </c>
      <c r="AG146" s="306">
        <f t="shared" si="84"/>
        <v>0</v>
      </c>
      <c r="AH146" s="306">
        <f t="shared" si="85"/>
        <v>0</v>
      </c>
      <c r="AI146" s="306">
        <f t="shared" si="86"/>
        <v>0</v>
      </c>
      <c r="AJ146" s="306">
        <f t="shared" si="87"/>
        <v>0</v>
      </c>
      <c r="AK146" s="306">
        <f t="shared" si="88"/>
        <v>0</v>
      </c>
      <c r="AL146" s="306">
        <f t="shared" si="92"/>
        <v>0</v>
      </c>
      <c r="AM146" s="308">
        <f t="shared" si="89"/>
        <v>0</v>
      </c>
      <c r="AN146" s="308">
        <f t="shared" si="93"/>
        <v>0</v>
      </c>
    </row>
    <row r="147" spans="2:40" x14ac:dyDescent="0.3">
      <c r="B147" s="107" t="s">
        <v>861</v>
      </c>
      <c r="C147" s="107"/>
      <c r="D147" s="107"/>
      <c r="E147" s="107"/>
      <c r="G147" s="232" t="s">
        <v>532</v>
      </c>
      <c r="H147" s="306"/>
      <c r="I147" s="306"/>
      <c r="J147" s="306"/>
      <c r="K147" s="306"/>
      <c r="L147" s="306"/>
      <c r="M147" s="306"/>
      <c r="N147" s="306"/>
      <c r="O147" s="306"/>
      <c r="P147" s="306"/>
      <c r="Q147" s="308">
        <v>1</v>
      </c>
      <c r="R147" s="107"/>
      <c r="S147" s="232" t="s">
        <v>532</v>
      </c>
      <c r="T147" s="306"/>
      <c r="U147" s="306"/>
      <c r="V147" s="306"/>
      <c r="W147" s="306"/>
      <c r="X147" s="306"/>
      <c r="Y147" s="306"/>
      <c r="Z147" s="306"/>
      <c r="AA147" s="306"/>
      <c r="AB147" s="306"/>
      <c r="AC147" s="308" t="str">
        <f>IF(Q147&gt;$E$5,"No","Yes")</f>
        <v>No</v>
      </c>
      <c r="AE147" s="306">
        <f t="shared" si="91"/>
        <v>0</v>
      </c>
      <c r="AF147" s="306">
        <f t="shared" si="83"/>
        <v>0</v>
      </c>
      <c r="AG147" s="306">
        <f t="shared" si="84"/>
        <v>0</v>
      </c>
      <c r="AH147" s="306">
        <f t="shared" si="85"/>
        <v>0</v>
      </c>
      <c r="AI147" s="306">
        <f t="shared" si="86"/>
        <v>0</v>
      </c>
      <c r="AJ147" s="306">
        <f t="shared" si="87"/>
        <v>0</v>
      </c>
      <c r="AK147" s="306">
        <f t="shared" si="88"/>
        <v>0</v>
      </c>
      <c r="AL147" s="306">
        <f t="shared" si="92"/>
        <v>0</v>
      </c>
      <c r="AM147" s="306">
        <f t="shared" si="89"/>
        <v>0</v>
      </c>
      <c r="AN147" s="308">
        <f t="shared" si="93"/>
        <v>0</v>
      </c>
    </row>
    <row r="148" spans="2:40" x14ac:dyDescent="0.3">
      <c r="B148" s="107" t="s">
        <v>862</v>
      </c>
      <c r="C148" s="107"/>
      <c r="D148" s="107"/>
      <c r="E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</row>
    <row r="150" spans="2:40" x14ac:dyDescent="0.3">
      <c r="B150" s="106" t="s">
        <v>853</v>
      </c>
      <c r="C150" s="107"/>
      <c r="D150" s="107"/>
      <c r="E150" s="107"/>
      <c r="G150" s="106" t="s">
        <v>847</v>
      </c>
      <c r="H150" s="107" t="s">
        <v>848</v>
      </c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 t="s">
        <v>869</v>
      </c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</row>
    <row r="151" spans="2:40" ht="15.6" x14ac:dyDescent="0.35">
      <c r="B151" s="119" t="s">
        <v>41</v>
      </c>
      <c r="C151" s="107"/>
      <c r="D151" s="307" t="s">
        <v>851</v>
      </c>
      <c r="E151" s="309">
        <v>5693.9681626089496</v>
      </c>
      <c r="G151" s="119" t="s">
        <v>41</v>
      </c>
      <c r="H151" s="107" t="s">
        <v>866</v>
      </c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 t="s">
        <v>854</v>
      </c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</row>
    <row r="152" spans="2:40" x14ac:dyDescent="0.3">
      <c r="B152" s="123" t="s">
        <v>872</v>
      </c>
      <c r="C152" s="107"/>
      <c r="D152" s="107"/>
      <c r="E152" s="116"/>
      <c r="G152" s="123" t="s">
        <v>872</v>
      </c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 t="s">
        <v>867</v>
      </c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</row>
    <row r="153" spans="2:40" ht="15.6" x14ac:dyDescent="0.35">
      <c r="B153" s="107"/>
      <c r="C153" s="107"/>
      <c r="D153" s="307" t="s">
        <v>335</v>
      </c>
      <c r="E153" s="308">
        <v>0.05</v>
      </c>
      <c r="G153" s="307" t="s">
        <v>354</v>
      </c>
      <c r="H153" s="232">
        <v>1988</v>
      </c>
      <c r="I153" s="232" t="s">
        <v>397</v>
      </c>
      <c r="J153" s="232" t="s">
        <v>401</v>
      </c>
      <c r="K153" s="232" t="s">
        <v>405</v>
      </c>
      <c r="L153" s="232" t="s">
        <v>429</v>
      </c>
      <c r="M153" s="232" t="s">
        <v>437</v>
      </c>
      <c r="N153" s="232" t="s">
        <v>441</v>
      </c>
      <c r="O153" s="232" t="s">
        <v>531</v>
      </c>
      <c r="P153" s="232" t="s">
        <v>532</v>
      </c>
      <c r="Q153" s="232" t="s">
        <v>461</v>
      </c>
      <c r="R153" s="107"/>
      <c r="S153" s="303" t="s">
        <v>846</v>
      </c>
      <c r="T153" s="232">
        <v>1988</v>
      </c>
      <c r="U153" s="232" t="s">
        <v>397</v>
      </c>
      <c r="V153" s="232" t="s">
        <v>401</v>
      </c>
      <c r="W153" s="232" t="s">
        <v>405</v>
      </c>
      <c r="X153" s="232" t="s">
        <v>429</v>
      </c>
      <c r="Y153" s="232" t="s">
        <v>437</v>
      </c>
      <c r="Z153" s="232" t="s">
        <v>441</v>
      </c>
      <c r="AA153" s="232" t="s">
        <v>531</v>
      </c>
      <c r="AB153" s="232" t="s">
        <v>532</v>
      </c>
      <c r="AC153" s="232" t="s">
        <v>461</v>
      </c>
    </row>
    <row r="154" spans="2:40" x14ac:dyDescent="0.3">
      <c r="B154" s="107"/>
      <c r="C154" s="107"/>
      <c r="D154" s="107"/>
      <c r="E154" s="107"/>
      <c r="G154" s="232">
        <v>1977</v>
      </c>
      <c r="H154" s="313">
        <v>1E-3</v>
      </c>
      <c r="I154" s="316">
        <v>1E-3</v>
      </c>
      <c r="J154" s="313">
        <v>1E-3</v>
      </c>
      <c r="K154" s="313">
        <v>1E-3</v>
      </c>
      <c r="L154" s="313">
        <v>1E-3</v>
      </c>
      <c r="M154" s="313">
        <v>1E-3</v>
      </c>
      <c r="N154" s="313">
        <v>1E-3</v>
      </c>
      <c r="O154" s="313">
        <v>1E-3</v>
      </c>
      <c r="P154" s="313">
        <v>1E-3</v>
      </c>
      <c r="Q154" s="313">
        <v>1E-3</v>
      </c>
      <c r="R154" s="107"/>
      <c r="S154" s="232">
        <v>1977</v>
      </c>
      <c r="T154" s="308" t="str">
        <f t="shared" ref="T154:AC154" si="97">IF(H154&gt;$E$5,"No","Yes")</f>
        <v>Yes</v>
      </c>
      <c r="U154" s="308" t="str">
        <f t="shared" si="97"/>
        <v>Yes</v>
      </c>
      <c r="V154" s="308" t="str">
        <f t="shared" si="97"/>
        <v>Yes</v>
      </c>
      <c r="W154" s="308" t="str">
        <f t="shared" si="97"/>
        <v>Yes</v>
      </c>
      <c r="X154" s="308" t="str">
        <f t="shared" si="97"/>
        <v>Yes</v>
      </c>
      <c r="Y154" s="308" t="str">
        <f t="shared" si="97"/>
        <v>Yes</v>
      </c>
      <c r="Z154" s="308" t="str">
        <f t="shared" si="97"/>
        <v>Yes</v>
      </c>
      <c r="AA154" s="308" t="str">
        <f t="shared" si="97"/>
        <v>Yes</v>
      </c>
      <c r="AB154" s="308" t="str">
        <f t="shared" si="97"/>
        <v>Yes</v>
      </c>
      <c r="AC154" s="308" t="str">
        <f t="shared" si="97"/>
        <v>Yes</v>
      </c>
    </row>
    <row r="155" spans="2:40" x14ac:dyDescent="0.3">
      <c r="B155" s="107"/>
      <c r="C155" s="107"/>
      <c r="D155" s="307" t="s">
        <v>354</v>
      </c>
      <c r="E155" s="310">
        <v>1.1996707439361299E-248</v>
      </c>
      <c r="G155" s="232">
        <v>1988</v>
      </c>
      <c r="H155" s="306"/>
      <c r="I155" s="313">
        <v>1E-3</v>
      </c>
      <c r="J155" s="313">
        <v>1E-3</v>
      </c>
      <c r="K155" s="313">
        <v>1E-3</v>
      </c>
      <c r="L155" s="313">
        <v>1E-3</v>
      </c>
      <c r="M155" s="313">
        <v>1E-3</v>
      </c>
      <c r="N155" s="313">
        <v>1E-3</v>
      </c>
      <c r="O155" s="313">
        <v>1E-3</v>
      </c>
      <c r="P155" s="313">
        <v>1E-3</v>
      </c>
      <c r="Q155" s="313">
        <v>1E-3</v>
      </c>
      <c r="R155" s="107"/>
      <c r="S155" s="232">
        <v>1988</v>
      </c>
      <c r="T155" s="306"/>
      <c r="U155" s="308" t="str">
        <f t="shared" ref="U155:AC155" si="98">IF(I155&gt;$E$5,"No","Yes")</f>
        <v>Yes</v>
      </c>
      <c r="V155" s="308" t="str">
        <f t="shared" si="98"/>
        <v>Yes</v>
      </c>
      <c r="W155" s="308" t="str">
        <f t="shared" si="98"/>
        <v>Yes</v>
      </c>
      <c r="X155" s="308" t="str">
        <f t="shared" si="98"/>
        <v>Yes</v>
      </c>
      <c r="Y155" s="308" t="str">
        <f t="shared" si="98"/>
        <v>Yes</v>
      </c>
      <c r="Z155" s="308" t="str">
        <f t="shared" si="98"/>
        <v>Yes</v>
      </c>
      <c r="AA155" s="308" t="str">
        <f t="shared" si="98"/>
        <v>Yes</v>
      </c>
      <c r="AB155" s="308" t="str">
        <f t="shared" si="98"/>
        <v>Yes</v>
      </c>
      <c r="AC155" s="308" t="str">
        <f t="shared" si="98"/>
        <v>Yes</v>
      </c>
    </row>
    <row r="156" spans="2:40" x14ac:dyDescent="0.3">
      <c r="B156" s="107"/>
      <c r="C156" s="107"/>
      <c r="D156" s="107"/>
      <c r="E156" s="107"/>
      <c r="G156" s="232" t="s">
        <v>397</v>
      </c>
      <c r="H156" s="306"/>
      <c r="I156" s="306"/>
      <c r="J156" s="316">
        <v>1E-3</v>
      </c>
      <c r="K156" s="313">
        <v>1E-3</v>
      </c>
      <c r="L156" s="313">
        <v>1E-3</v>
      </c>
      <c r="M156" s="313">
        <v>1E-3</v>
      </c>
      <c r="N156" s="313">
        <v>1E-3</v>
      </c>
      <c r="O156" s="313">
        <v>1E-3</v>
      </c>
      <c r="P156" s="313">
        <v>1E-3</v>
      </c>
      <c r="Q156" s="313">
        <v>1E-3</v>
      </c>
      <c r="R156" s="107"/>
      <c r="S156" s="232" t="s">
        <v>397</v>
      </c>
      <c r="T156" s="306"/>
      <c r="U156" s="306"/>
      <c r="V156" s="308" t="str">
        <f t="shared" ref="V156:AC156" si="99">IF(J156&gt;$E$5,"No","Yes")</f>
        <v>Yes</v>
      </c>
      <c r="W156" s="308" t="str">
        <f t="shared" si="99"/>
        <v>Yes</v>
      </c>
      <c r="X156" s="308" t="str">
        <f t="shared" si="99"/>
        <v>Yes</v>
      </c>
      <c r="Y156" s="308" t="str">
        <f t="shared" si="99"/>
        <v>Yes</v>
      </c>
      <c r="Z156" s="308" t="str">
        <f t="shared" si="99"/>
        <v>Yes</v>
      </c>
      <c r="AA156" s="308" t="str">
        <f t="shared" si="99"/>
        <v>Yes</v>
      </c>
      <c r="AB156" s="308" t="str">
        <f t="shared" si="99"/>
        <v>Yes</v>
      </c>
      <c r="AC156" s="308" t="str">
        <f t="shared" si="99"/>
        <v>Yes</v>
      </c>
    </row>
    <row r="157" spans="2:40" ht="15.6" x14ac:dyDescent="0.35">
      <c r="B157" s="107"/>
      <c r="C157" s="107"/>
      <c r="D157" s="307" t="s">
        <v>846</v>
      </c>
      <c r="E157" s="310" t="str">
        <f>IF(E155&gt;E153,"No","Yes")</f>
        <v>Yes</v>
      </c>
      <c r="G157" s="232" t="s">
        <v>401</v>
      </c>
      <c r="H157" s="306"/>
      <c r="I157" s="306"/>
      <c r="J157" s="306"/>
      <c r="K157" s="313">
        <v>1E-3</v>
      </c>
      <c r="L157" s="313">
        <v>1E-3</v>
      </c>
      <c r="M157" s="313">
        <v>1E-3</v>
      </c>
      <c r="N157" s="313">
        <v>1E-3</v>
      </c>
      <c r="O157" s="313">
        <v>1E-3</v>
      </c>
      <c r="P157" s="313">
        <v>1E-3</v>
      </c>
      <c r="Q157" s="313">
        <v>1E-3</v>
      </c>
      <c r="R157" s="107"/>
      <c r="S157" s="232" t="s">
        <v>401</v>
      </c>
      <c r="T157" s="306"/>
      <c r="U157" s="306"/>
      <c r="V157" s="306"/>
      <c r="W157" s="308" t="str">
        <f t="shared" ref="W157:AC157" si="100">IF(K157&gt;$E$5,"No","Yes")</f>
        <v>Yes</v>
      </c>
      <c r="X157" s="308" t="str">
        <f t="shared" si="100"/>
        <v>Yes</v>
      </c>
      <c r="Y157" s="308" t="str">
        <f t="shared" si="100"/>
        <v>Yes</v>
      </c>
      <c r="Z157" s="308" t="str">
        <f t="shared" si="100"/>
        <v>Yes</v>
      </c>
      <c r="AA157" s="308" t="str">
        <f t="shared" si="100"/>
        <v>Yes</v>
      </c>
      <c r="AB157" s="308" t="str">
        <f t="shared" si="100"/>
        <v>Yes</v>
      </c>
      <c r="AC157" s="308" t="str">
        <f t="shared" si="100"/>
        <v>Yes</v>
      </c>
    </row>
    <row r="158" spans="2:40" x14ac:dyDescent="0.3">
      <c r="B158" s="107"/>
      <c r="C158" s="107"/>
      <c r="D158" s="107"/>
      <c r="E158" s="107"/>
      <c r="G158" s="232" t="s">
        <v>405</v>
      </c>
      <c r="H158" s="306"/>
      <c r="I158" s="306"/>
      <c r="J158" s="306"/>
      <c r="K158" s="306"/>
      <c r="L158" s="313">
        <v>1E-3</v>
      </c>
      <c r="M158" s="313">
        <v>1E-3</v>
      </c>
      <c r="N158" s="313">
        <v>1E-3</v>
      </c>
      <c r="O158" s="313">
        <v>1E-3</v>
      </c>
      <c r="P158" s="316">
        <v>1E-3</v>
      </c>
      <c r="Q158" s="313">
        <v>1E-3</v>
      </c>
      <c r="R158" s="107"/>
      <c r="S158" s="232" t="s">
        <v>405</v>
      </c>
      <c r="T158" s="306"/>
      <c r="U158" s="306"/>
      <c r="V158" s="306"/>
      <c r="W158" s="306"/>
      <c r="X158" s="308" t="str">
        <f t="shared" ref="X158:AC158" si="101">IF(L158&gt;$E$5,"No","Yes")</f>
        <v>Yes</v>
      </c>
      <c r="Y158" s="308" t="str">
        <f t="shared" si="101"/>
        <v>Yes</v>
      </c>
      <c r="Z158" s="308" t="str">
        <f t="shared" si="101"/>
        <v>Yes</v>
      </c>
      <c r="AA158" s="308" t="str">
        <f t="shared" si="101"/>
        <v>Yes</v>
      </c>
      <c r="AB158" s="308" t="str">
        <f t="shared" si="101"/>
        <v>Yes</v>
      </c>
      <c r="AC158" s="308" t="str">
        <f t="shared" si="101"/>
        <v>Yes</v>
      </c>
    </row>
    <row r="159" spans="2:40" ht="15.6" x14ac:dyDescent="0.35">
      <c r="B159" s="107" t="s">
        <v>852</v>
      </c>
      <c r="C159" s="107"/>
      <c r="D159" s="107"/>
      <c r="E159" s="107"/>
      <c r="G159" s="232" t="s">
        <v>429</v>
      </c>
      <c r="H159" s="306"/>
      <c r="I159" s="306"/>
      <c r="J159" s="306"/>
      <c r="K159" s="306"/>
      <c r="L159" s="306"/>
      <c r="M159" s="313">
        <v>1E-3</v>
      </c>
      <c r="N159" s="313">
        <v>1E-3</v>
      </c>
      <c r="O159" s="313">
        <v>1E-3</v>
      </c>
      <c r="P159" s="313">
        <v>0.99860000000000004</v>
      </c>
      <c r="Q159" s="313">
        <v>1E-3</v>
      </c>
      <c r="R159" s="107"/>
      <c r="S159" s="232" t="s">
        <v>429</v>
      </c>
      <c r="T159" s="306"/>
      <c r="U159" s="306"/>
      <c r="V159" s="306"/>
      <c r="W159" s="306"/>
      <c r="X159" s="306"/>
      <c r="Y159" s="308" t="str">
        <f>IF(M159&gt;$E$5,"No","Yes")</f>
        <v>Yes</v>
      </c>
      <c r="Z159" s="308" t="str">
        <f>IF(N159&gt;$E$5,"No","Yes")</f>
        <v>Yes</v>
      </c>
      <c r="AA159" s="308" t="str">
        <f>IF(O159&gt;$E$5,"No","Yes")</f>
        <v>Yes</v>
      </c>
      <c r="AB159" s="308" t="str">
        <f>IF(P159&gt;$E$5,"No","Yes")</f>
        <v>No</v>
      </c>
      <c r="AC159" s="308" t="str">
        <f>IF(Q159&gt;$E$5,"No","Yes")</f>
        <v>Yes</v>
      </c>
    </row>
    <row r="160" spans="2:40" x14ac:dyDescent="0.3">
      <c r="B160" s="107" t="s">
        <v>863</v>
      </c>
      <c r="C160" s="107"/>
      <c r="D160" s="107"/>
      <c r="E160" s="107"/>
      <c r="G160" s="232" t="s">
        <v>437</v>
      </c>
      <c r="H160" s="306"/>
      <c r="I160" s="306"/>
      <c r="J160" s="306"/>
      <c r="K160" s="306"/>
      <c r="L160" s="306"/>
      <c r="M160" s="306"/>
      <c r="N160" s="313">
        <v>1E-3</v>
      </c>
      <c r="O160" s="313">
        <v>4.0000000000000002E-4</v>
      </c>
      <c r="P160" s="316">
        <v>8.0000000000000004E-4</v>
      </c>
      <c r="Q160" s="313">
        <v>0.78839999999999999</v>
      </c>
      <c r="R160" s="107"/>
      <c r="S160" s="232" t="s">
        <v>437</v>
      </c>
      <c r="T160" s="306"/>
      <c r="U160" s="306"/>
      <c r="V160" s="306"/>
      <c r="W160" s="306"/>
      <c r="X160" s="306"/>
      <c r="Y160" s="306"/>
      <c r="Z160" s="308" t="str">
        <f>IF(N160&gt;$E$5,"No","Yes")</f>
        <v>Yes</v>
      </c>
      <c r="AA160" s="308" t="str">
        <f>IF(O160&gt;$E$5,"No","Yes")</f>
        <v>Yes</v>
      </c>
      <c r="AB160" s="308" t="str">
        <f>IF(P160&gt;$E$5,"No","Yes")</f>
        <v>Yes</v>
      </c>
      <c r="AC160" s="308" t="str">
        <f>IF(Q160&gt;$E$5,"No","Yes")</f>
        <v>No</v>
      </c>
    </row>
    <row r="161" spans="2:40" x14ac:dyDescent="0.3">
      <c r="B161" s="107" t="s">
        <v>859</v>
      </c>
      <c r="C161" s="107"/>
      <c r="D161" s="107"/>
      <c r="E161" s="107"/>
      <c r="G161" s="232" t="s">
        <v>441</v>
      </c>
      <c r="H161" s="306"/>
      <c r="I161" s="306"/>
      <c r="J161" s="306"/>
      <c r="K161" s="306"/>
      <c r="L161" s="306"/>
      <c r="M161" s="306"/>
      <c r="N161" s="306"/>
      <c r="O161" s="313">
        <v>9.7000000000000003E-2</v>
      </c>
      <c r="P161" s="313">
        <v>1E-3</v>
      </c>
      <c r="Q161" s="313">
        <v>1E-3</v>
      </c>
      <c r="R161" s="107"/>
      <c r="S161" s="232" t="s">
        <v>441</v>
      </c>
      <c r="T161" s="306"/>
      <c r="U161" s="306"/>
      <c r="V161" s="306"/>
      <c r="W161" s="306"/>
      <c r="X161" s="306"/>
      <c r="Y161" s="306"/>
      <c r="Z161" s="306"/>
      <c r="AA161" s="308" t="str">
        <f>IF(O161&gt;$E$5,"No","Yes")</f>
        <v>No</v>
      </c>
      <c r="AB161" s="308" t="str">
        <f>IF(P161&gt;$E$5,"No","Yes")</f>
        <v>Yes</v>
      </c>
      <c r="AC161" s="308" t="str">
        <f>IF(Q161&gt;$E$5,"No","Yes")</f>
        <v>Yes</v>
      </c>
    </row>
    <row r="162" spans="2:40" x14ac:dyDescent="0.3">
      <c r="B162" s="107" t="s">
        <v>864</v>
      </c>
      <c r="C162" s="107"/>
      <c r="D162" s="107"/>
      <c r="E162" s="107"/>
      <c r="G162" s="232" t="s">
        <v>531</v>
      </c>
      <c r="H162" s="306"/>
      <c r="I162" s="306"/>
      <c r="J162" s="306"/>
      <c r="K162" s="306"/>
      <c r="L162" s="306"/>
      <c r="M162" s="306"/>
      <c r="N162" s="306"/>
      <c r="O162" s="306"/>
      <c r="P162" s="316">
        <v>1E-3</v>
      </c>
      <c r="Q162" s="313">
        <v>0.1636</v>
      </c>
      <c r="R162" s="107"/>
      <c r="S162" s="232" t="s">
        <v>531</v>
      </c>
      <c r="T162" s="306"/>
      <c r="U162" s="306"/>
      <c r="V162" s="306"/>
      <c r="W162" s="306"/>
      <c r="X162" s="306"/>
      <c r="Y162" s="306"/>
      <c r="Z162" s="306"/>
      <c r="AA162" s="306"/>
      <c r="AB162" s="308" t="str">
        <f>IF(P162&gt;$E$5,"No","Yes")</f>
        <v>Yes</v>
      </c>
      <c r="AC162" s="308" t="str">
        <f>IF(Q162&gt;$E$5,"No","Yes")</f>
        <v>No</v>
      </c>
    </row>
    <row r="163" spans="2:40" x14ac:dyDescent="0.3">
      <c r="B163" s="107" t="s">
        <v>868</v>
      </c>
      <c r="C163" s="107"/>
      <c r="D163" s="107"/>
      <c r="E163" s="107"/>
      <c r="G163" s="232" t="s">
        <v>532</v>
      </c>
      <c r="H163" s="306"/>
      <c r="I163" s="306"/>
      <c r="J163" s="306"/>
      <c r="K163" s="306"/>
      <c r="L163" s="306"/>
      <c r="M163" s="306"/>
      <c r="N163" s="306"/>
      <c r="O163" s="306"/>
      <c r="P163" s="306"/>
      <c r="Q163" s="313">
        <v>1E-3</v>
      </c>
      <c r="R163" s="107"/>
      <c r="S163" s="232" t="s">
        <v>532</v>
      </c>
      <c r="T163" s="306"/>
      <c r="U163" s="306"/>
      <c r="V163" s="306"/>
      <c r="W163" s="306"/>
      <c r="X163" s="306"/>
      <c r="Y163" s="306"/>
      <c r="Z163" s="306"/>
      <c r="AA163" s="306"/>
      <c r="AB163" s="306"/>
      <c r="AC163" s="308" t="str">
        <f>IF(Q163&gt;$E$5,"No","Yes")</f>
        <v>Yes</v>
      </c>
    </row>
    <row r="164" spans="2:40" x14ac:dyDescent="0.3">
      <c r="B164" s="107"/>
      <c r="C164" s="107"/>
      <c r="D164" s="107"/>
      <c r="E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</row>
    <row r="165" spans="2:40" ht="15" thickBot="1" x14ac:dyDescent="0.35"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</row>
    <row r="166" spans="2:40" ht="15" thickTop="1" x14ac:dyDescent="0.3"/>
    <row r="167" spans="2:40" x14ac:dyDescent="0.3">
      <c r="G167" s="106" t="s">
        <v>857</v>
      </c>
      <c r="H167" s="107" t="s">
        <v>848</v>
      </c>
      <c r="I167" s="107"/>
      <c r="J167" s="107"/>
      <c r="K167" s="107"/>
      <c r="L167" s="107"/>
      <c r="M167" s="107"/>
      <c r="N167" s="107"/>
      <c r="O167" s="107"/>
      <c r="P167" s="107"/>
      <c r="Q167" s="107"/>
      <c r="R167" s="107">
        <v>1</v>
      </c>
      <c r="S167" s="107" t="s">
        <v>876</v>
      </c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</row>
    <row r="168" spans="2:40" ht="15.6" x14ac:dyDescent="0.35">
      <c r="G168" s="119" t="s">
        <v>41</v>
      </c>
      <c r="H168" s="107" t="s">
        <v>865</v>
      </c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 t="s">
        <v>875</v>
      </c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</row>
    <row r="169" spans="2:40" x14ac:dyDescent="0.3">
      <c r="G169" s="317" t="s">
        <v>882</v>
      </c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</row>
    <row r="170" spans="2:40" ht="15.6" x14ac:dyDescent="0.35">
      <c r="R170" s="107"/>
      <c r="S170" s="303" t="s">
        <v>846</v>
      </c>
      <c r="T170" s="232">
        <v>1988</v>
      </c>
      <c r="U170" s="232" t="s">
        <v>397</v>
      </c>
      <c r="V170" s="232" t="s">
        <v>401</v>
      </c>
      <c r="W170" s="232" t="s">
        <v>405</v>
      </c>
      <c r="X170" s="232" t="s">
        <v>429</v>
      </c>
      <c r="Y170" s="232" t="s">
        <v>437</v>
      </c>
      <c r="Z170" s="232" t="s">
        <v>441</v>
      </c>
      <c r="AA170" s="232" t="s">
        <v>531</v>
      </c>
      <c r="AB170" s="232" t="s">
        <v>532</v>
      </c>
      <c r="AC170" s="232" t="s">
        <v>461</v>
      </c>
    </row>
    <row r="171" spans="2:40" x14ac:dyDescent="0.3">
      <c r="R171" s="107"/>
      <c r="S171" s="232">
        <v>1977</v>
      </c>
      <c r="T171" s="308" t="str">
        <f>IF(AE171&gt;1,"Yes","No")</f>
        <v>Yes</v>
      </c>
      <c r="U171" s="308" t="str">
        <f t="shared" ref="U171:AC171" si="102">IF(AF171&gt;1,"Yes","No")</f>
        <v>Yes</v>
      </c>
      <c r="V171" s="308" t="str">
        <f t="shared" si="102"/>
        <v>Yes</v>
      </c>
      <c r="W171" s="308" t="str">
        <f t="shared" si="102"/>
        <v>Yes</v>
      </c>
      <c r="X171" s="308" t="str">
        <f t="shared" si="102"/>
        <v>Yes</v>
      </c>
      <c r="Y171" s="308" t="str">
        <f t="shared" si="102"/>
        <v>Yes</v>
      </c>
      <c r="Z171" s="308" t="str">
        <f t="shared" si="102"/>
        <v>Yes</v>
      </c>
      <c r="AA171" s="308" t="str">
        <f t="shared" si="102"/>
        <v>Yes</v>
      </c>
      <c r="AB171" s="308" t="str">
        <f t="shared" si="102"/>
        <v>Yes</v>
      </c>
      <c r="AC171" s="308" t="str">
        <f t="shared" si="102"/>
        <v>Yes</v>
      </c>
      <c r="AE171" s="308">
        <f>SUM(AE6,AE39,AE72,AE105,AE138)</f>
        <v>4</v>
      </c>
      <c r="AF171" s="308">
        <f t="shared" ref="AF171:AN176" si="103">SUM(AF6,AF39,AF72,AF105,AF138)</f>
        <v>3</v>
      </c>
      <c r="AG171" s="308">
        <f t="shared" si="103"/>
        <v>2</v>
      </c>
      <c r="AH171" s="308">
        <f t="shared" si="103"/>
        <v>3</v>
      </c>
      <c r="AI171" s="308">
        <f t="shared" si="103"/>
        <v>4</v>
      </c>
      <c r="AJ171" s="308">
        <f t="shared" si="103"/>
        <v>4</v>
      </c>
      <c r="AK171" s="308">
        <f t="shared" si="103"/>
        <v>3</v>
      </c>
      <c r="AL171" s="308">
        <f t="shared" si="103"/>
        <v>4</v>
      </c>
      <c r="AM171" s="308">
        <f t="shared" si="103"/>
        <v>4</v>
      </c>
      <c r="AN171" s="308">
        <f t="shared" si="103"/>
        <v>3</v>
      </c>
    </row>
    <row r="172" spans="2:40" x14ac:dyDescent="0.3">
      <c r="R172" s="107"/>
      <c r="S172" s="232">
        <v>1988</v>
      </c>
      <c r="T172" s="306"/>
      <c r="U172" s="308" t="str">
        <f t="shared" ref="U172" si="104">IF(AF172&gt;1,"Yes","No")</f>
        <v>Yes</v>
      </c>
      <c r="V172" s="308" t="str">
        <f t="shared" ref="V172" si="105">IF(AG172&gt;1,"Yes","No")</f>
        <v>Yes</v>
      </c>
      <c r="W172" s="308" t="str">
        <f t="shared" ref="W172" si="106">IF(AH172&gt;1,"Yes","No")</f>
        <v>No</v>
      </c>
      <c r="X172" s="308" t="str">
        <f t="shared" ref="X172" si="107">IF(AI172&gt;1,"Yes","No")</f>
        <v>Yes</v>
      </c>
      <c r="Y172" s="308" t="str">
        <f t="shared" ref="Y172" si="108">IF(AJ172&gt;1,"Yes","No")</f>
        <v>Yes</v>
      </c>
      <c r="Z172" s="308" t="str">
        <f t="shared" ref="Z172" si="109">IF(AK172&gt;1,"Yes","No")</f>
        <v>Yes</v>
      </c>
      <c r="AA172" s="308" t="str">
        <f t="shared" ref="AA172" si="110">IF(AL172&gt;1,"Yes","No")</f>
        <v>Yes</v>
      </c>
      <c r="AB172" s="308" t="str">
        <f t="shared" ref="AB172" si="111">IF(AM172&gt;1,"Yes","No")</f>
        <v>Yes</v>
      </c>
      <c r="AC172" s="308" t="str">
        <f t="shared" ref="AC172" si="112">IF(AN172&gt;1,"Yes","No")</f>
        <v>Yes</v>
      </c>
      <c r="AE172" s="306">
        <f t="shared" ref="AE172:AE180" si="113">IF(T172="Yes",1,0)</f>
        <v>0</v>
      </c>
      <c r="AF172" s="308">
        <f t="shared" si="103"/>
        <v>2</v>
      </c>
      <c r="AG172" s="308">
        <f t="shared" si="103"/>
        <v>2</v>
      </c>
      <c r="AH172" s="308">
        <f t="shared" si="103"/>
        <v>1</v>
      </c>
      <c r="AI172" s="308">
        <f t="shared" si="103"/>
        <v>3</v>
      </c>
      <c r="AJ172" s="308">
        <f t="shared" si="103"/>
        <v>3</v>
      </c>
      <c r="AK172" s="308">
        <f t="shared" si="103"/>
        <v>3</v>
      </c>
      <c r="AL172" s="308">
        <f t="shared" si="103"/>
        <v>3</v>
      </c>
      <c r="AM172" s="308">
        <f t="shared" si="103"/>
        <v>4</v>
      </c>
      <c r="AN172" s="308">
        <f t="shared" si="103"/>
        <v>4</v>
      </c>
    </row>
    <row r="173" spans="2:40" x14ac:dyDescent="0.3">
      <c r="R173" s="107"/>
      <c r="S173" s="232" t="s">
        <v>397</v>
      </c>
      <c r="T173" s="306"/>
      <c r="U173" s="306"/>
      <c r="V173" s="308" t="str">
        <f t="shared" ref="V173" si="114">IF(AG173&gt;1,"Yes","No")</f>
        <v>Yes</v>
      </c>
      <c r="W173" s="308" t="str">
        <f t="shared" ref="W173" si="115">IF(AH173&gt;1,"Yes","No")</f>
        <v>Yes</v>
      </c>
      <c r="X173" s="308" t="str">
        <f t="shared" ref="X173" si="116">IF(AI173&gt;1,"Yes","No")</f>
        <v>Yes</v>
      </c>
      <c r="Y173" s="308" t="str">
        <f t="shared" ref="Y173" si="117">IF(AJ173&gt;1,"Yes","No")</f>
        <v>Yes</v>
      </c>
      <c r="Z173" s="308" t="str">
        <f t="shared" ref="Z173" si="118">IF(AK173&gt;1,"Yes","No")</f>
        <v>Yes</v>
      </c>
      <c r="AA173" s="308" t="str">
        <f t="shared" ref="AA173" si="119">IF(AL173&gt;1,"Yes","No")</f>
        <v>Yes</v>
      </c>
      <c r="AB173" s="308" t="str">
        <f t="shared" ref="AB173" si="120">IF(AM173&gt;1,"Yes","No")</f>
        <v>Yes</v>
      </c>
      <c r="AC173" s="308" t="str">
        <f t="shared" ref="AC173" si="121">IF(AN173&gt;1,"Yes","No")</f>
        <v>Yes</v>
      </c>
      <c r="AE173" s="306">
        <f t="shared" si="113"/>
        <v>0</v>
      </c>
      <c r="AF173" s="306">
        <f t="shared" ref="AF173:AF180" si="122">IF(U173="Yes",1,0)</f>
        <v>0</v>
      </c>
      <c r="AG173" s="308">
        <f t="shared" si="103"/>
        <v>2</v>
      </c>
      <c r="AH173" s="308">
        <f t="shared" si="103"/>
        <v>2</v>
      </c>
      <c r="AI173" s="308">
        <f t="shared" si="103"/>
        <v>4</v>
      </c>
      <c r="AJ173" s="308">
        <f t="shared" si="103"/>
        <v>2</v>
      </c>
      <c r="AK173" s="308">
        <f t="shared" ref="AK173:AN173" si="123">SUM(AK8,AK41,AK74,AK107,AK140)</f>
        <v>2</v>
      </c>
      <c r="AL173" s="308">
        <f t="shared" si="123"/>
        <v>2</v>
      </c>
      <c r="AM173" s="308">
        <f t="shared" si="123"/>
        <v>3</v>
      </c>
      <c r="AN173" s="308">
        <f t="shared" si="123"/>
        <v>2</v>
      </c>
    </row>
    <row r="174" spans="2:40" x14ac:dyDescent="0.3">
      <c r="R174" s="107"/>
      <c r="S174" s="232" t="s">
        <v>401</v>
      </c>
      <c r="T174" s="306"/>
      <c r="U174" s="306"/>
      <c r="V174" s="306"/>
      <c r="W174" s="308" t="str">
        <f t="shared" ref="W174" si="124">IF(AH174&gt;1,"Yes","No")</f>
        <v>No</v>
      </c>
      <c r="X174" s="308" t="str">
        <f t="shared" ref="X174" si="125">IF(AI174&gt;1,"Yes","No")</f>
        <v>Yes</v>
      </c>
      <c r="Y174" s="308" t="str">
        <f t="shared" ref="Y174" si="126">IF(AJ174&gt;1,"Yes","No")</f>
        <v>Yes</v>
      </c>
      <c r="Z174" s="308" t="str">
        <f t="shared" ref="Z174" si="127">IF(AK174&gt;1,"Yes","No")</f>
        <v>Yes</v>
      </c>
      <c r="AA174" s="308" t="str">
        <f t="shared" ref="AA174" si="128">IF(AL174&gt;1,"Yes","No")</f>
        <v>Yes</v>
      </c>
      <c r="AB174" s="308" t="str">
        <f t="shared" ref="AB174" si="129">IF(AM174&gt;1,"Yes","No")</f>
        <v>Yes</v>
      </c>
      <c r="AC174" s="308" t="str">
        <f t="shared" ref="AC174" si="130">IF(AN174&gt;1,"Yes","No")</f>
        <v>Yes</v>
      </c>
      <c r="AE174" s="306">
        <f t="shared" si="113"/>
        <v>0</v>
      </c>
      <c r="AF174" s="306">
        <f t="shared" si="122"/>
        <v>0</v>
      </c>
      <c r="AG174" s="306">
        <f t="shared" ref="AG174:AG180" si="131">IF(V174="Yes",1,0)</f>
        <v>0</v>
      </c>
      <c r="AH174" s="308">
        <f t="shared" si="103"/>
        <v>0</v>
      </c>
      <c r="AI174" s="308">
        <f t="shared" si="103"/>
        <v>2</v>
      </c>
      <c r="AJ174" s="308">
        <f t="shared" si="103"/>
        <v>3</v>
      </c>
      <c r="AK174" s="308">
        <f t="shared" ref="AK174:AN174" si="132">SUM(AK9,AK42,AK75,AK108,AK141)</f>
        <v>3</v>
      </c>
      <c r="AL174" s="308">
        <f t="shared" si="132"/>
        <v>2</v>
      </c>
      <c r="AM174" s="308">
        <f t="shared" si="132"/>
        <v>5</v>
      </c>
      <c r="AN174" s="308">
        <f t="shared" si="132"/>
        <v>2</v>
      </c>
    </row>
    <row r="175" spans="2:40" x14ac:dyDescent="0.3">
      <c r="R175" s="107"/>
      <c r="S175" s="232" t="s">
        <v>405</v>
      </c>
      <c r="T175" s="306"/>
      <c r="U175" s="306"/>
      <c r="V175" s="306"/>
      <c r="W175" s="306"/>
      <c r="X175" s="308" t="str">
        <f t="shared" ref="X175" si="133">IF(AI175&gt;1,"Yes","No")</f>
        <v>Yes</v>
      </c>
      <c r="Y175" s="308" t="str">
        <f t="shared" ref="Y175" si="134">IF(AJ175&gt;1,"Yes","No")</f>
        <v>Yes</v>
      </c>
      <c r="Z175" s="308" t="str">
        <f t="shared" ref="Z175" si="135">IF(AK175&gt;1,"Yes","No")</f>
        <v>Yes</v>
      </c>
      <c r="AA175" s="308" t="str">
        <f t="shared" ref="AA175" si="136">IF(AL175&gt;1,"Yes","No")</f>
        <v>Yes</v>
      </c>
      <c r="AB175" s="308" t="str">
        <f t="shared" ref="AB175" si="137">IF(AM175&gt;1,"Yes","No")</f>
        <v>Yes</v>
      </c>
      <c r="AC175" s="308" t="str">
        <f t="shared" ref="AC175" si="138">IF(AN175&gt;1,"Yes","No")</f>
        <v>Yes</v>
      </c>
      <c r="AE175" s="306">
        <f t="shared" si="113"/>
        <v>0</v>
      </c>
      <c r="AF175" s="306">
        <f t="shared" si="122"/>
        <v>0</v>
      </c>
      <c r="AG175" s="306">
        <f t="shared" si="131"/>
        <v>0</v>
      </c>
      <c r="AH175" s="306">
        <f t="shared" ref="AH175:AH180" si="139">IF(W175="Yes",1,0)</f>
        <v>0</v>
      </c>
      <c r="AI175" s="308">
        <f t="shared" si="103"/>
        <v>4</v>
      </c>
      <c r="AJ175" s="308">
        <f t="shared" si="103"/>
        <v>3</v>
      </c>
      <c r="AK175" s="308">
        <f t="shared" ref="AK175:AN175" si="140">SUM(AK10,AK43,AK76,AK109,AK142)</f>
        <v>2</v>
      </c>
      <c r="AL175" s="308">
        <f t="shared" si="140"/>
        <v>2</v>
      </c>
      <c r="AM175" s="308">
        <f t="shared" si="140"/>
        <v>2</v>
      </c>
      <c r="AN175" s="308">
        <f t="shared" si="140"/>
        <v>3</v>
      </c>
    </row>
    <row r="176" spans="2:40" x14ac:dyDescent="0.3">
      <c r="R176" s="107"/>
      <c r="S176" s="232" t="s">
        <v>429</v>
      </c>
      <c r="T176" s="306"/>
      <c r="U176" s="306"/>
      <c r="V176" s="306"/>
      <c r="W176" s="306"/>
      <c r="X176" s="306"/>
      <c r="Y176" s="308" t="str">
        <f t="shared" ref="Y176" si="141">IF(AJ176&gt;1,"Yes","No")</f>
        <v>Yes</v>
      </c>
      <c r="Z176" s="308" t="str">
        <f t="shared" ref="Z176" si="142">IF(AK176&gt;1,"Yes","No")</f>
        <v>Yes</v>
      </c>
      <c r="AA176" s="308" t="str">
        <f t="shared" ref="AA176" si="143">IF(AL176&gt;1,"Yes","No")</f>
        <v>Yes</v>
      </c>
      <c r="AB176" s="308" t="str">
        <f t="shared" ref="AB176" si="144">IF(AM176&gt;1,"Yes","No")</f>
        <v>Yes</v>
      </c>
      <c r="AC176" s="308" t="str">
        <f t="shared" ref="AC176" si="145">IF(AN176&gt;1,"Yes","No")</f>
        <v>Yes</v>
      </c>
      <c r="AE176" s="306">
        <f t="shared" si="113"/>
        <v>0</v>
      </c>
      <c r="AF176" s="306">
        <f t="shared" si="122"/>
        <v>0</v>
      </c>
      <c r="AG176" s="306">
        <f t="shared" si="131"/>
        <v>0</v>
      </c>
      <c r="AH176" s="306">
        <f t="shared" si="139"/>
        <v>0</v>
      </c>
      <c r="AI176" s="306">
        <f t="shared" ref="AI176:AI180" si="146">IF(X176="Yes",1,0)</f>
        <v>0</v>
      </c>
      <c r="AJ176" s="308">
        <f t="shared" si="103"/>
        <v>3</v>
      </c>
      <c r="AK176" s="308">
        <f t="shared" ref="AK176:AN176" si="147">SUM(AK11,AK44,AK77,AK110,AK143)</f>
        <v>5</v>
      </c>
      <c r="AL176" s="308">
        <f t="shared" si="147"/>
        <v>3</v>
      </c>
      <c r="AM176" s="308">
        <f t="shared" si="147"/>
        <v>3</v>
      </c>
      <c r="AN176" s="308">
        <f t="shared" si="147"/>
        <v>3</v>
      </c>
    </row>
    <row r="177" spans="7:40" x14ac:dyDescent="0.3">
      <c r="R177" s="107"/>
      <c r="S177" s="232" t="s">
        <v>437</v>
      </c>
      <c r="T177" s="306"/>
      <c r="U177" s="306"/>
      <c r="V177" s="306"/>
      <c r="W177" s="306"/>
      <c r="X177" s="306"/>
      <c r="Y177" s="306"/>
      <c r="Z177" s="308" t="str">
        <f t="shared" ref="Z177" si="148">IF(AK177&gt;1,"Yes","No")</f>
        <v>No</v>
      </c>
      <c r="AA177" s="308" t="str">
        <f t="shared" ref="AA177" si="149">IF(AL177&gt;1,"Yes","No")</f>
        <v>No</v>
      </c>
      <c r="AB177" s="308" t="str">
        <f t="shared" ref="AB177" si="150">IF(AM177&gt;1,"Yes","No")</f>
        <v>No</v>
      </c>
      <c r="AC177" s="308" t="str">
        <f t="shared" ref="AC177" si="151">IF(AN177&gt;1,"Yes","No")</f>
        <v>Yes</v>
      </c>
      <c r="AE177" s="306">
        <f t="shared" si="113"/>
        <v>0</v>
      </c>
      <c r="AF177" s="306">
        <f t="shared" si="122"/>
        <v>0</v>
      </c>
      <c r="AG177" s="306">
        <f t="shared" si="131"/>
        <v>0</v>
      </c>
      <c r="AH177" s="306">
        <f t="shared" si="139"/>
        <v>0</v>
      </c>
      <c r="AI177" s="306">
        <f t="shared" si="146"/>
        <v>0</v>
      </c>
      <c r="AJ177" s="306">
        <f t="shared" ref="AJ177:AJ180" si="152">IF(Y177="Yes",1,0)</f>
        <v>0</v>
      </c>
      <c r="AK177" s="308">
        <f t="shared" ref="AK177:AN180" si="153">SUM(AK12,AK45,AK78,AK111,AK144)</f>
        <v>1</v>
      </c>
      <c r="AL177" s="308">
        <f t="shared" si="153"/>
        <v>0</v>
      </c>
      <c r="AM177" s="308">
        <f t="shared" si="153"/>
        <v>0</v>
      </c>
      <c r="AN177" s="308">
        <f t="shared" si="153"/>
        <v>4</v>
      </c>
    </row>
    <row r="178" spans="7:40" x14ac:dyDescent="0.3">
      <c r="R178" s="107"/>
      <c r="S178" s="232" t="s">
        <v>441</v>
      </c>
      <c r="T178" s="306"/>
      <c r="U178" s="306"/>
      <c r="V178" s="306"/>
      <c r="W178" s="306"/>
      <c r="X178" s="306"/>
      <c r="Y178" s="306"/>
      <c r="Z178" s="306"/>
      <c r="AA178" s="308" t="str">
        <f t="shared" ref="AA178" si="154">IF(AL178&gt;1,"Yes","No")</f>
        <v>No</v>
      </c>
      <c r="AB178" s="308" t="str">
        <f t="shared" ref="AB178" si="155">IF(AM178&gt;1,"Yes","No")</f>
        <v>Yes</v>
      </c>
      <c r="AC178" s="308" t="str">
        <f t="shared" ref="AC178" si="156">IF(AN178&gt;1,"Yes","No")</f>
        <v>No</v>
      </c>
      <c r="AE178" s="306">
        <f t="shared" si="113"/>
        <v>0</v>
      </c>
      <c r="AF178" s="306">
        <f t="shared" si="122"/>
        <v>0</v>
      </c>
      <c r="AG178" s="306">
        <f t="shared" si="131"/>
        <v>0</v>
      </c>
      <c r="AH178" s="306">
        <f t="shared" si="139"/>
        <v>0</v>
      </c>
      <c r="AI178" s="306">
        <f t="shared" si="146"/>
        <v>0</v>
      </c>
      <c r="AJ178" s="306">
        <f t="shared" si="152"/>
        <v>0</v>
      </c>
      <c r="AK178" s="306">
        <f t="shared" ref="AK178:AK180" si="157">IF(Z178="Yes",1,0)</f>
        <v>0</v>
      </c>
      <c r="AL178" s="308">
        <f t="shared" si="153"/>
        <v>1</v>
      </c>
      <c r="AM178" s="308">
        <f t="shared" si="153"/>
        <v>2</v>
      </c>
      <c r="AN178" s="308">
        <f t="shared" si="153"/>
        <v>1</v>
      </c>
    </row>
    <row r="179" spans="7:40" x14ac:dyDescent="0.3">
      <c r="R179" s="107"/>
      <c r="S179" s="232" t="s">
        <v>531</v>
      </c>
      <c r="T179" s="306"/>
      <c r="U179" s="306"/>
      <c r="V179" s="306"/>
      <c r="W179" s="306"/>
      <c r="X179" s="306"/>
      <c r="Y179" s="306"/>
      <c r="Z179" s="306"/>
      <c r="AA179" s="306"/>
      <c r="AB179" s="308" t="str">
        <f t="shared" ref="AB179" si="158">IF(AM179&gt;1,"Yes","No")</f>
        <v>Yes</v>
      </c>
      <c r="AC179" s="308" t="str">
        <f t="shared" ref="AC179:AC180" si="159">IF(AN179&gt;1,"Yes","No")</f>
        <v>Yes</v>
      </c>
      <c r="AE179" s="306">
        <f t="shared" si="113"/>
        <v>0</v>
      </c>
      <c r="AF179" s="306">
        <f t="shared" si="122"/>
        <v>0</v>
      </c>
      <c r="AG179" s="306">
        <f t="shared" si="131"/>
        <v>0</v>
      </c>
      <c r="AH179" s="306">
        <f t="shared" si="139"/>
        <v>0</v>
      </c>
      <c r="AI179" s="306">
        <f t="shared" si="146"/>
        <v>0</v>
      </c>
      <c r="AJ179" s="306">
        <f t="shared" si="152"/>
        <v>0</v>
      </c>
      <c r="AK179" s="306">
        <f t="shared" si="157"/>
        <v>0</v>
      </c>
      <c r="AL179" s="306">
        <f t="shared" ref="AL179:AL180" si="160">IF(AA179="Yes",1,0)</f>
        <v>0</v>
      </c>
      <c r="AM179" s="308">
        <f t="shared" si="153"/>
        <v>2</v>
      </c>
      <c r="AN179" s="308">
        <f t="shared" si="153"/>
        <v>4</v>
      </c>
    </row>
    <row r="180" spans="7:40" x14ac:dyDescent="0.3">
      <c r="R180" s="107"/>
      <c r="S180" s="232" t="s">
        <v>532</v>
      </c>
      <c r="T180" s="306"/>
      <c r="U180" s="306"/>
      <c r="V180" s="306"/>
      <c r="W180" s="306"/>
      <c r="X180" s="306"/>
      <c r="Y180" s="306"/>
      <c r="Z180" s="306"/>
      <c r="AA180" s="306"/>
      <c r="AB180" s="306"/>
      <c r="AC180" s="308" t="str">
        <f t="shared" si="159"/>
        <v>No</v>
      </c>
      <c r="AE180" s="306">
        <f t="shared" si="113"/>
        <v>0</v>
      </c>
      <c r="AF180" s="306">
        <f t="shared" si="122"/>
        <v>0</v>
      </c>
      <c r="AG180" s="306">
        <f t="shared" si="131"/>
        <v>0</v>
      </c>
      <c r="AH180" s="306">
        <f t="shared" si="139"/>
        <v>0</v>
      </c>
      <c r="AI180" s="306">
        <f t="shared" si="146"/>
        <v>0</v>
      </c>
      <c r="AJ180" s="306">
        <f t="shared" si="152"/>
        <v>0</v>
      </c>
      <c r="AK180" s="306">
        <f t="shared" si="157"/>
        <v>0</v>
      </c>
      <c r="AL180" s="306">
        <f t="shared" si="160"/>
        <v>0</v>
      </c>
      <c r="AM180" s="306">
        <f t="shared" ref="AM180" si="161">IF(AB180="Yes",1,0)</f>
        <v>0</v>
      </c>
      <c r="AN180" s="308">
        <f t="shared" si="153"/>
        <v>1</v>
      </c>
    </row>
    <row r="181" spans="7:40" x14ac:dyDescent="0.3"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</row>
    <row r="183" spans="7:40" x14ac:dyDescent="0.3">
      <c r="G183" s="106" t="s">
        <v>857</v>
      </c>
      <c r="H183" s="107" t="s">
        <v>848</v>
      </c>
      <c r="I183" s="107"/>
      <c r="J183" s="107"/>
      <c r="K183" s="107"/>
      <c r="L183" s="107"/>
      <c r="M183" s="107"/>
      <c r="N183" s="107"/>
      <c r="O183" s="107"/>
      <c r="P183" s="107"/>
      <c r="Q183" s="107"/>
      <c r="R183" s="107">
        <v>2</v>
      </c>
      <c r="S183" s="107" t="s">
        <v>877</v>
      </c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</row>
    <row r="184" spans="7:40" ht="15.6" x14ac:dyDescent="0.35">
      <c r="G184" s="119" t="s">
        <v>41</v>
      </c>
      <c r="H184" s="107" t="s">
        <v>865</v>
      </c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 t="s">
        <v>873</v>
      </c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</row>
    <row r="185" spans="7:40" x14ac:dyDescent="0.3">
      <c r="G185" s="317" t="s">
        <v>882</v>
      </c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</row>
    <row r="186" spans="7:40" ht="15.6" x14ac:dyDescent="0.35">
      <c r="R186" s="107"/>
      <c r="S186" s="303" t="s">
        <v>846</v>
      </c>
      <c r="T186" s="232">
        <v>1988</v>
      </c>
      <c r="U186" s="232" t="s">
        <v>397</v>
      </c>
      <c r="V186" s="232" t="s">
        <v>401</v>
      </c>
      <c r="W186" s="232" t="s">
        <v>405</v>
      </c>
      <c r="X186" s="232" t="s">
        <v>429</v>
      </c>
      <c r="Y186" s="232" t="s">
        <v>437</v>
      </c>
      <c r="Z186" s="232" t="s">
        <v>441</v>
      </c>
      <c r="AA186" s="232" t="s">
        <v>531</v>
      </c>
      <c r="AB186" s="232" t="s">
        <v>532</v>
      </c>
      <c r="AC186" s="232" t="s">
        <v>461</v>
      </c>
    </row>
    <row r="187" spans="7:40" x14ac:dyDescent="0.3">
      <c r="R187" s="107"/>
      <c r="S187" s="232">
        <v>1977</v>
      </c>
      <c r="T187" s="308" t="str">
        <f>IF(AE187&lt;3,"No","Yes")</f>
        <v>Yes</v>
      </c>
      <c r="U187" s="308" t="str">
        <f t="shared" ref="U187:AC187" si="162">IF(AF187&lt;3,"No","Yes")</f>
        <v>Yes</v>
      </c>
      <c r="V187" s="308" t="str">
        <f t="shared" si="162"/>
        <v>No</v>
      </c>
      <c r="W187" s="308" t="str">
        <f t="shared" si="162"/>
        <v>Yes</v>
      </c>
      <c r="X187" s="308" t="str">
        <f t="shared" si="162"/>
        <v>Yes</v>
      </c>
      <c r="Y187" s="308" t="str">
        <f t="shared" si="162"/>
        <v>Yes</v>
      </c>
      <c r="Z187" s="308" t="str">
        <f t="shared" si="162"/>
        <v>Yes</v>
      </c>
      <c r="AA187" s="308" t="str">
        <f t="shared" si="162"/>
        <v>Yes</v>
      </c>
      <c r="AB187" s="308" t="str">
        <f t="shared" si="162"/>
        <v>Yes</v>
      </c>
      <c r="AC187" s="308" t="str">
        <f t="shared" si="162"/>
        <v>Yes</v>
      </c>
      <c r="AE187" s="308">
        <f>SUM(AE6,AE39,AE72,AE105,AE138)</f>
        <v>4</v>
      </c>
      <c r="AF187" s="308">
        <f t="shared" ref="AF187:AN189" si="163">SUM(AF6,AF39,AF72,AF105,AF138)</f>
        <v>3</v>
      </c>
      <c r="AG187" s="308">
        <f t="shared" si="163"/>
        <v>2</v>
      </c>
      <c r="AH187" s="308">
        <f t="shared" si="163"/>
        <v>3</v>
      </c>
      <c r="AI187" s="308">
        <f t="shared" si="163"/>
        <v>4</v>
      </c>
      <c r="AJ187" s="308">
        <f t="shared" si="163"/>
        <v>4</v>
      </c>
      <c r="AK187" s="308">
        <f t="shared" si="163"/>
        <v>3</v>
      </c>
      <c r="AL187" s="308">
        <f t="shared" si="163"/>
        <v>4</v>
      </c>
      <c r="AM187" s="308">
        <f t="shared" si="163"/>
        <v>4</v>
      </c>
      <c r="AN187" s="308">
        <f t="shared" si="163"/>
        <v>3</v>
      </c>
    </row>
    <row r="188" spans="7:40" x14ac:dyDescent="0.3">
      <c r="R188" s="107"/>
      <c r="S188" s="232">
        <v>1988</v>
      </c>
      <c r="T188" s="306"/>
      <c r="U188" s="308" t="str">
        <f t="shared" ref="U188" si="164">IF(AF188&lt;3,"No","Yes")</f>
        <v>No</v>
      </c>
      <c r="V188" s="308" t="str">
        <f t="shared" ref="V188" si="165">IF(AG188&lt;3,"No","Yes")</f>
        <v>No</v>
      </c>
      <c r="W188" s="308" t="str">
        <f t="shared" ref="W188" si="166">IF(AH188&lt;3,"No","Yes")</f>
        <v>No</v>
      </c>
      <c r="X188" s="308" t="str">
        <f t="shared" ref="X188" si="167">IF(AI188&lt;3,"No","Yes")</f>
        <v>Yes</v>
      </c>
      <c r="Y188" s="308" t="str">
        <f t="shared" ref="Y188" si="168">IF(AJ188&lt;3,"No","Yes")</f>
        <v>Yes</v>
      </c>
      <c r="Z188" s="308" t="str">
        <f t="shared" ref="Z188" si="169">IF(AK188&lt;3,"No","Yes")</f>
        <v>Yes</v>
      </c>
      <c r="AA188" s="308" t="str">
        <f t="shared" ref="AA188" si="170">IF(AL188&lt;3,"No","Yes")</f>
        <v>Yes</v>
      </c>
      <c r="AB188" s="308" t="str">
        <f t="shared" ref="AB188" si="171">IF(AM188&lt;3,"No","Yes")</f>
        <v>Yes</v>
      </c>
      <c r="AC188" s="308" t="str">
        <f t="shared" ref="AC188" si="172">IF(AN188&lt;3,"No","Yes")</f>
        <v>Yes</v>
      </c>
      <c r="AE188" s="306">
        <f t="shared" ref="AE188:AE196" si="173">IF(T188="Yes",1,0)</f>
        <v>0</v>
      </c>
      <c r="AF188" s="308">
        <f t="shared" si="163"/>
        <v>2</v>
      </c>
      <c r="AG188" s="308">
        <f t="shared" si="163"/>
        <v>2</v>
      </c>
      <c r="AH188" s="308">
        <f t="shared" si="163"/>
        <v>1</v>
      </c>
      <c r="AI188" s="308">
        <f t="shared" si="163"/>
        <v>3</v>
      </c>
      <c r="AJ188" s="308">
        <f t="shared" si="163"/>
        <v>3</v>
      </c>
      <c r="AK188" s="308">
        <f t="shared" si="163"/>
        <v>3</v>
      </c>
      <c r="AL188" s="308">
        <f t="shared" si="163"/>
        <v>3</v>
      </c>
      <c r="AM188" s="308">
        <f t="shared" si="163"/>
        <v>4</v>
      </c>
      <c r="AN188" s="308">
        <f t="shared" si="163"/>
        <v>4</v>
      </c>
    </row>
    <row r="189" spans="7:40" x14ac:dyDescent="0.3">
      <c r="R189" s="107"/>
      <c r="S189" s="232" t="s">
        <v>397</v>
      </c>
      <c r="T189" s="306"/>
      <c r="U189" s="306"/>
      <c r="V189" s="308" t="str">
        <f t="shared" ref="V189" si="174">IF(AG189&lt;3,"No","Yes")</f>
        <v>No</v>
      </c>
      <c r="W189" s="308" t="str">
        <f t="shared" ref="W189" si="175">IF(AH189&lt;3,"No","Yes")</f>
        <v>No</v>
      </c>
      <c r="X189" s="308" t="str">
        <f t="shared" ref="X189" si="176">IF(AI189&lt;3,"No","Yes")</f>
        <v>Yes</v>
      </c>
      <c r="Y189" s="308" t="str">
        <f t="shared" ref="Y189" si="177">IF(AJ189&lt;3,"No","Yes")</f>
        <v>No</v>
      </c>
      <c r="Z189" s="308" t="str">
        <f t="shared" ref="Z189" si="178">IF(AK189&lt;3,"No","Yes")</f>
        <v>No</v>
      </c>
      <c r="AA189" s="308" t="str">
        <f t="shared" ref="AA189" si="179">IF(AL189&lt;3,"No","Yes")</f>
        <v>No</v>
      </c>
      <c r="AB189" s="308" t="str">
        <f t="shared" ref="AB189" si="180">IF(AM189&lt;3,"No","Yes")</f>
        <v>Yes</v>
      </c>
      <c r="AC189" s="308" t="str">
        <f t="shared" ref="AC189" si="181">IF(AN189&lt;3,"No","Yes")</f>
        <v>No</v>
      </c>
      <c r="AE189" s="306">
        <f t="shared" si="173"/>
        <v>0</v>
      </c>
      <c r="AF189" s="306">
        <f t="shared" ref="AF189:AF196" si="182">IF(U189="Yes",1,0)</f>
        <v>0</v>
      </c>
      <c r="AG189" s="308">
        <f t="shared" si="163"/>
        <v>2</v>
      </c>
      <c r="AH189" s="308">
        <f t="shared" ref="AH189:AN190" si="183">SUM(AH8,AH41,AH74,AH107,AH140)</f>
        <v>2</v>
      </c>
      <c r="AI189" s="308">
        <f t="shared" si="183"/>
        <v>4</v>
      </c>
      <c r="AJ189" s="308">
        <f t="shared" si="183"/>
        <v>2</v>
      </c>
      <c r="AK189" s="308">
        <f t="shared" si="183"/>
        <v>2</v>
      </c>
      <c r="AL189" s="308">
        <f t="shared" si="183"/>
        <v>2</v>
      </c>
      <c r="AM189" s="308">
        <f t="shared" si="183"/>
        <v>3</v>
      </c>
      <c r="AN189" s="308">
        <f t="shared" si="183"/>
        <v>2</v>
      </c>
    </row>
    <row r="190" spans="7:40" x14ac:dyDescent="0.3">
      <c r="R190" s="107"/>
      <c r="S190" s="232" t="s">
        <v>401</v>
      </c>
      <c r="T190" s="306"/>
      <c r="U190" s="306"/>
      <c r="V190" s="306"/>
      <c r="W190" s="308" t="str">
        <f t="shared" ref="W190" si="184">IF(AH190&lt;3,"No","Yes")</f>
        <v>No</v>
      </c>
      <c r="X190" s="308" t="str">
        <f t="shared" ref="X190" si="185">IF(AI190&lt;3,"No","Yes")</f>
        <v>No</v>
      </c>
      <c r="Y190" s="308" t="str">
        <f t="shared" ref="Y190" si="186">IF(AJ190&lt;3,"No","Yes")</f>
        <v>Yes</v>
      </c>
      <c r="Z190" s="308" t="str">
        <f t="shared" ref="Z190" si="187">IF(AK190&lt;3,"No","Yes")</f>
        <v>Yes</v>
      </c>
      <c r="AA190" s="308" t="str">
        <f t="shared" ref="AA190" si="188">IF(AL190&lt;3,"No","Yes")</f>
        <v>No</v>
      </c>
      <c r="AB190" s="308" t="str">
        <f t="shared" ref="AB190" si="189">IF(AM190&lt;3,"No","Yes")</f>
        <v>Yes</v>
      </c>
      <c r="AC190" s="308" t="str">
        <f t="shared" ref="AC190" si="190">IF(AN190&lt;3,"No","Yes")</f>
        <v>No</v>
      </c>
      <c r="AE190" s="306">
        <f t="shared" si="173"/>
        <v>0</v>
      </c>
      <c r="AF190" s="306">
        <f t="shared" si="182"/>
        <v>0</v>
      </c>
      <c r="AG190" s="306">
        <f t="shared" ref="AG190:AG196" si="191">IF(V190="Yes",1,0)</f>
        <v>0</v>
      </c>
      <c r="AH190" s="308">
        <f t="shared" si="183"/>
        <v>0</v>
      </c>
      <c r="AI190" s="308">
        <f t="shared" ref="AI190:AN190" si="192">SUM(AI9,AI42,AI75,AI108,AI141)</f>
        <v>2</v>
      </c>
      <c r="AJ190" s="308">
        <f t="shared" si="192"/>
        <v>3</v>
      </c>
      <c r="AK190" s="308">
        <f t="shared" si="192"/>
        <v>3</v>
      </c>
      <c r="AL190" s="308">
        <f t="shared" si="192"/>
        <v>2</v>
      </c>
      <c r="AM190" s="308">
        <f t="shared" si="192"/>
        <v>5</v>
      </c>
      <c r="AN190" s="308">
        <f t="shared" si="192"/>
        <v>2</v>
      </c>
    </row>
    <row r="191" spans="7:40" x14ac:dyDescent="0.3">
      <c r="R191" s="107"/>
      <c r="S191" s="232" t="s">
        <v>405</v>
      </c>
      <c r="T191" s="306"/>
      <c r="U191" s="306"/>
      <c r="V191" s="306"/>
      <c r="W191" s="306"/>
      <c r="X191" s="308" t="str">
        <f t="shared" ref="X191" si="193">IF(AI191&lt;3,"No","Yes")</f>
        <v>Yes</v>
      </c>
      <c r="Y191" s="308" t="str">
        <f t="shared" ref="Y191" si="194">IF(AJ191&lt;3,"No","Yes")</f>
        <v>Yes</v>
      </c>
      <c r="Z191" s="308" t="str">
        <f t="shared" ref="Z191" si="195">IF(AK191&lt;3,"No","Yes")</f>
        <v>No</v>
      </c>
      <c r="AA191" s="308" t="str">
        <f t="shared" ref="AA191" si="196">IF(AL191&lt;3,"No","Yes")</f>
        <v>No</v>
      </c>
      <c r="AB191" s="308" t="str">
        <f t="shared" ref="AB191" si="197">IF(AM191&lt;3,"No","Yes")</f>
        <v>No</v>
      </c>
      <c r="AC191" s="308" t="str">
        <f t="shared" ref="AC191" si="198">IF(AN191&lt;3,"No","Yes")</f>
        <v>Yes</v>
      </c>
      <c r="AE191" s="306">
        <f t="shared" si="173"/>
        <v>0</v>
      </c>
      <c r="AF191" s="306">
        <f t="shared" si="182"/>
        <v>0</v>
      </c>
      <c r="AG191" s="306">
        <f t="shared" si="191"/>
        <v>0</v>
      </c>
      <c r="AH191" s="306">
        <f t="shared" ref="AH191:AH196" si="199">IF(W191="Yes",1,0)</f>
        <v>0</v>
      </c>
      <c r="AI191" s="308">
        <f t="shared" ref="AI191:AN191" si="200">SUM(AI10,AI43,AI76,AI109,AI142)</f>
        <v>4</v>
      </c>
      <c r="AJ191" s="308">
        <f t="shared" si="200"/>
        <v>3</v>
      </c>
      <c r="AK191" s="308">
        <f t="shared" si="200"/>
        <v>2</v>
      </c>
      <c r="AL191" s="308">
        <f t="shared" si="200"/>
        <v>2</v>
      </c>
      <c r="AM191" s="308">
        <f t="shared" si="200"/>
        <v>2</v>
      </c>
      <c r="AN191" s="308">
        <f t="shared" si="200"/>
        <v>3</v>
      </c>
    </row>
    <row r="192" spans="7:40" x14ac:dyDescent="0.3">
      <c r="R192" s="107"/>
      <c r="S192" s="232" t="s">
        <v>429</v>
      </c>
      <c r="T192" s="306"/>
      <c r="U192" s="306"/>
      <c r="V192" s="306"/>
      <c r="W192" s="306"/>
      <c r="X192" s="306"/>
      <c r="Y192" s="308" t="str">
        <f t="shared" ref="Y192" si="201">IF(AJ192&lt;3,"No","Yes")</f>
        <v>Yes</v>
      </c>
      <c r="Z192" s="308" t="str">
        <f t="shared" ref="Z192" si="202">IF(AK192&lt;3,"No","Yes")</f>
        <v>Yes</v>
      </c>
      <c r="AA192" s="308" t="str">
        <f t="shared" ref="AA192" si="203">IF(AL192&lt;3,"No","Yes")</f>
        <v>Yes</v>
      </c>
      <c r="AB192" s="308" t="str">
        <f t="shared" ref="AB192" si="204">IF(AM192&lt;3,"No","Yes")</f>
        <v>Yes</v>
      </c>
      <c r="AC192" s="308" t="str">
        <f t="shared" ref="AC192" si="205">IF(AN192&lt;3,"No","Yes")</f>
        <v>Yes</v>
      </c>
      <c r="AE192" s="306">
        <f t="shared" si="173"/>
        <v>0</v>
      </c>
      <c r="AF192" s="306">
        <f t="shared" si="182"/>
        <v>0</v>
      </c>
      <c r="AG192" s="306">
        <f t="shared" si="191"/>
        <v>0</v>
      </c>
      <c r="AH192" s="306">
        <f t="shared" si="199"/>
        <v>0</v>
      </c>
      <c r="AI192" s="306">
        <f t="shared" ref="AI192:AI196" si="206">IF(X192="Yes",1,0)</f>
        <v>0</v>
      </c>
      <c r="AJ192" s="308">
        <f>SUM(AJ11,AJ44,AJ77,AJ110,AJ143)</f>
        <v>3</v>
      </c>
      <c r="AK192" s="308">
        <f>SUM(AK11,AK44,AK77,AK110,AK143)</f>
        <v>5</v>
      </c>
      <c r="AL192" s="308">
        <f>SUM(AL11,AL44,AL77,AL110,AL143)</f>
        <v>3</v>
      </c>
      <c r="AM192" s="308">
        <f>SUM(AM11,AM44,AM77,AM110,AM143)</f>
        <v>3</v>
      </c>
      <c r="AN192" s="308">
        <f>SUM(AN11,AN44,AN77,AN110,AN143)</f>
        <v>3</v>
      </c>
    </row>
    <row r="193" spans="7:40" x14ac:dyDescent="0.3">
      <c r="R193" s="107"/>
      <c r="S193" s="232" t="s">
        <v>437</v>
      </c>
      <c r="T193" s="306"/>
      <c r="U193" s="306"/>
      <c r="V193" s="306"/>
      <c r="W193" s="306"/>
      <c r="X193" s="306"/>
      <c r="Y193" s="306"/>
      <c r="Z193" s="308" t="str">
        <f t="shared" ref="Z193" si="207">IF(AK193&lt;3,"No","Yes")</f>
        <v>No</v>
      </c>
      <c r="AA193" s="308" t="str">
        <f t="shared" ref="AA193" si="208">IF(AL193&lt;3,"No","Yes")</f>
        <v>No</v>
      </c>
      <c r="AB193" s="308" t="str">
        <f t="shared" ref="AB193" si="209">IF(AM193&lt;3,"No","Yes")</f>
        <v>No</v>
      </c>
      <c r="AC193" s="308" t="str">
        <f t="shared" ref="AC193" si="210">IF(AN193&lt;3,"No","Yes")</f>
        <v>Yes</v>
      </c>
      <c r="AE193" s="306">
        <f t="shared" si="173"/>
        <v>0</v>
      </c>
      <c r="AF193" s="306">
        <f t="shared" si="182"/>
        <v>0</v>
      </c>
      <c r="AG193" s="306">
        <f t="shared" si="191"/>
        <v>0</v>
      </c>
      <c r="AH193" s="306">
        <f t="shared" si="199"/>
        <v>0</v>
      </c>
      <c r="AI193" s="306">
        <f t="shared" si="206"/>
        <v>0</v>
      </c>
      <c r="AJ193" s="306">
        <f t="shared" ref="AJ193:AJ196" si="211">IF(Y193="Yes",1,0)</f>
        <v>0</v>
      </c>
      <c r="AK193" s="308">
        <f>SUM(AK12,AK45,AK78,AK111,AK144)</f>
        <v>1</v>
      </c>
      <c r="AL193" s="308">
        <f>SUM(AL12,AL45,AL78,AL111,AL144)</f>
        <v>0</v>
      </c>
      <c r="AM193" s="308">
        <f>SUM(AM12,AM45,AM78,AM111,AM144)</f>
        <v>0</v>
      </c>
      <c r="AN193" s="308">
        <f>SUM(AN12,AN45,AN78,AN111,AN144)</f>
        <v>4</v>
      </c>
    </row>
    <row r="194" spans="7:40" x14ac:dyDescent="0.3">
      <c r="R194" s="107"/>
      <c r="S194" s="232" t="s">
        <v>441</v>
      </c>
      <c r="T194" s="306"/>
      <c r="U194" s="306"/>
      <c r="V194" s="306"/>
      <c r="W194" s="306"/>
      <c r="X194" s="306"/>
      <c r="Y194" s="306"/>
      <c r="Z194" s="306"/>
      <c r="AA194" s="308" t="str">
        <f t="shared" ref="AA194" si="212">IF(AL194&lt;3,"No","Yes")</f>
        <v>No</v>
      </c>
      <c r="AB194" s="308" t="str">
        <f t="shared" ref="AB194" si="213">IF(AM194&lt;3,"No","Yes")</f>
        <v>No</v>
      </c>
      <c r="AC194" s="308" t="str">
        <f t="shared" ref="AC194" si="214">IF(AN194&lt;3,"No","Yes")</f>
        <v>No</v>
      </c>
      <c r="AE194" s="306">
        <f t="shared" si="173"/>
        <v>0</v>
      </c>
      <c r="AF194" s="306">
        <f t="shared" si="182"/>
        <v>0</v>
      </c>
      <c r="AG194" s="306">
        <f t="shared" si="191"/>
        <v>0</v>
      </c>
      <c r="AH194" s="306">
        <f t="shared" si="199"/>
        <v>0</v>
      </c>
      <c r="AI194" s="306">
        <f t="shared" si="206"/>
        <v>0</v>
      </c>
      <c r="AJ194" s="306">
        <f t="shared" si="211"/>
        <v>0</v>
      </c>
      <c r="AK194" s="306">
        <f t="shared" ref="AK194:AK196" si="215">IF(Z194="Yes",1,0)</f>
        <v>0</v>
      </c>
      <c r="AL194" s="308">
        <f>SUM(AL13,AL46,AL79,AL112,AL145)</f>
        <v>1</v>
      </c>
      <c r="AM194" s="308">
        <f>SUM(AM13,AM46,AM79,AM112,AM145)</f>
        <v>2</v>
      </c>
      <c r="AN194" s="308">
        <f>SUM(AN13,AN46,AN79,AN112,AN145)</f>
        <v>1</v>
      </c>
    </row>
    <row r="195" spans="7:40" x14ac:dyDescent="0.3">
      <c r="R195" s="107"/>
      <c r="S195" s="232" t="s">
        <v>531</v>
      </c>
      <c r="T195" s="306"/>
      <c r="U195" s="306"/>
      <c r="V195" s="306"/>
      <c r="W195" s="306"/>
      <c r="X195" s="306"/>
      <c r="Y195" s="306"/>
      <c r="Z195" s="306"/>
      <c r="AA195" s="306"/>
      <c r="AB195" s="308" t="str">
        <f t="shared" ref="AB195" si="216">IF(AM195&lt;3,"No","Yes")</f>
        <v>No</v>
      </c>
      <c r="AC195" s="308" t="str">
        <f t="shared" ref="AC195:AC196" si="217">IF(AN195&lt;3,"No","Yes")</f>
        <v>Yes</v>
      </c>
      <c r="AE195" s="306">
        <f t="shared" si="173"/>
        <v>0</v>
      </c>
      <c r="AF195" s="306">
        <f t="shared" si="182"/>
        <v>0</v>
      </c>
      <c r="AG195" s="306">
        <f t="shared" si="191"/>
        <v>0</v>
      </c>
      <c r="AH195" s="306">
        <f t="shared" si="199"/>
        <v>0</v>
      </c>
      <c r="AI195" s="306">
        <f t="shared" si="206"/>
        <v>0</v>
      </c>
      <c r="AJ195" s="306">
        <f t="shared" si="211"/>
        <v>0</v>
      </c>
      <c r="AK195" s="306">
        <f t="shared" si="215"/>
        <v>0</v>
      </c>
      <c r="AL195" s="306">
        <f t="shared" ref="AL195:AL196" si="218">IF(AA195="Yes",1,0)</f>
        <v>0</v>
      </c>
      <c r="AM195" s="308">
        <f>SUM(AM14,AM47,AM80,AM113,AM146)</f>
        <v>2</v>
      </c>
      <c r="AN195" s="308">
        <f>SUM(AN14,AN47,AN80,AN113,AN146)</f>
        <v>4</v>
      </c>
    </row>
    <row r="196" spans="7:40" x14ac:dyDescent="0.3">
      <c r="R196" s="107"/>
      <c r="S196" s="232" t="s">
        <v>532</v>
      </c>
      <c r="T196" s="306"/>
      <c r="U196" s="306"/>
      <c r="V196" s="306"/>
      <c r="W196" s="306"/>
      <c r="X196" s="306"/>
      <c r="Y196" s="306"/>
      <c r="Z196" s="306"/>
      <c r="AA196" s="306"/>
      <c r="AB196" s="306"/>
      <c r="AC196" s="308" t="str">
        <f t="shared" si="217"/>
        <v>No</v>
      </c>
      <c r="AE196" s="306">
        <f t="shared" si="173"/>
        <v>0</v>
      </c>
      <c r="AF196" s="306">
        <f t="shared" si="182"/>
        <v>0</v>
      </c>
      <c r="AG196" s="306">
        <f t="shared" si="191"/>
        <v>0</v>
      </c>
      <c r="AH196" s="306">
        <f t="shared" si="199"/>
        <v>0</v>
      </c>
      <c r="AI196" s="306">
        <f t="shared" si="206"/>
        <v>0</v>
      </c>
      <c r="AJ196" s="306">
        <f t="shared" si="211"/>
        <v>0</v>
      </c>
      <c r="AK196" s="306">
        <f t="shared" si="215"/>
        <v>0</v>
      </c>
      <c r="AL196" s="306">
        <f t="shared" si="218"/>
        <v>0</v>
      </c>
      <c r="AM196" s="306">
        <f t="shared" ref="AM196" si="219">IF(AB196="Yes",1,0)</f>
        <v>0</v>
      </c>
      <c r="AN196" s="308">
        <f>SUM(AN15,AN48,AN81,AN114,AN147)</f>
        <v>1</v>
      </c>
    </row>
    <row r="197" spans="7:40" x14ac:dyDescent="0.3"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</row>
    <row r="199" spans="7:40" x14ac:dyDescent="0.3">
      <c r="G199" s="106" t="s">
        <v>857</v>
      </c>
      <c r="H199" s="107" t="s">
        <v>848</v>
      </c>
      <c r="I199" s="107"/>
      <c r="J199" s="107"/>
      <c r="K199" s="107"/>
      <c r="L199" s="107"/>
      <c r="M199" s="107"/>
      <c r="N199" s="107"/>
      <c r="O199" s="107"/>
      <c r="P199" s="107"/>
      <c r="Q199" s="107"/>
      <c r="R199" s="107">
        <v>3</v>
      </c>
      <c r="S199" s="107" t="s">
        <v>881</v>
      </c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</row>
    <row r="200" spans="7:40" ht="15.6" x14ac:dyDescent="0.35">
      <c r="G200" s="119" t="s">
        <v>41</v>
      </c>
      <c r="H200" s="107" t="s">
        <v>866</v>
      </c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 t="s">
        <v>883</v>
      </c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</row>
    <row r="201" spans="7:40" x14ac:dyDescent="0.3">
      <c r="G201" s="317" t="s">
        <v>882</v>
      </c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</row>
    <row r="202" spans="7:40" ht="15.6" x14ac:dyDescent="0.35">
      <c r="R202" s="107"/>
      <c r="S202" s="303" t="s">
        <v>846</v>
      </c>
      <c r="T202" s="232">
        <v>1988</v>
      </c>
      <c r="U202" s="232" t="s">
        <v>397</v>
      </c>
      <c r="V202" s="232" t="s">
        <v>401</v>
      </c>
      <c r="W202" s="232" t="s">
        <v>405</v>
      </c>
      <c r="X202" s="232" t="s">
        <v>429</v>
      </c>
      <c r="Y202" s="232" t="s">
        <v>437</v>
      </c>
      <c r="Z202" s="232" t="s">
        <v>441</v>
      </c>
      <c r="AA202" s="232" t="s">
        <v>531</v>
      </c>
      <c r="AB202" s="232" t="s">
        <v>532</v>
      </c>
      <c r="AC202" s="232" t="s">
        <v>461</v>
      </c>
    </row>
    <row r="203" spans="7:40" x14ac:dyDescent="0.3">
      <c r="R203" s="107"/>
      <c r="S203" s="232">
        <v>1977</v>
      </c>
      <c r="T203" s="308" t="str">
        <f>IF(AE203&gt;2,"Yes","No")</f>
        <v>Yes</v>
      </c>
      <c r="U203" s="308" t="str">
        <f>IF(AF203&gt;2,"Yes","No")</f>
        <v>No</v>
      </c>
      <c r="V203" s="308" t="str">
        <f t="shared" ref="V203:AC203" si="220">IF(AG203&gt;2,"Yes","No")</f>
        <v>No</v>
      </c>
      <c r="W203" s="308" t="str">
        <f t="shared" si="220"/>
        <v>Yes</v>
      </c>
      <c r="X203" s="308" t="str">
        <f t="shared" si="220"/>
        <v>Yes</v>
      </c>
      <c r="Y203" s="308" t="str">
        <f t="shared" si="220"/>
        <v>Yes</v>
      </c>
      <c r="Z203" s="308" t="str">
        <f t="shared" si="220"/>
        <v>No</v>
      </c>
      <c r="AA203" s="308" t="str">
        <f t="shared" si="220"/>
        <v>Yes</v>
      </c>
      <c r="AB203" s="308" t="str">
        <f t="shared" si="220"/>
        <v>Yes</v>
      </c>
      <c r="AC203" s="308" t="str">
        <f t="shared" si="220"/>
        <v>No</v>
      </c>
      <c r="AE203" s="308">
        <f>SUM(AE6,AE39,AE105,AE138)</f>
        <v>3</v>
      </c>
      <c r="AF203" s="308">
        <f t="shared" ref="AF203:AN212" si="221">SUM(AF6,AF39,AF105,AF138)</f>
        <v>2</v>
      </c>
      <c r="AG203" s="308">
        <f t="shared" si="221"/>
        <v>2</v>
      </c>
      <c r="AH203" s="308">
        <f t="shared" si="221"/>
        <v>3</v>
      </c>
      <c r="AI203" s="308">
        <f t="shared" si="221"/>
        <v>4</v>
      </c>
      <c r="AJ203" s="308">
        <f t="shared" si="221"/>
        <v>3</v>
      </c>
      <c r="AK203" s="308">
        <f t="shared" si="221"/>
        <v>2</v>
      </c>
      <c r="AL203" s="308">
        <f t="shared" si="221"/>
        <v>3</v>
      </c>
      <c r="AM203" s="308">
        <f t="shared" si="221"/>
        <v>3</v>
      </c>
      <c r="AN203" s="308">
        <f t="shared" si="221"/>
        <v>2</v>
      </c>
    </row>
    <row r="204" spans="7:40" x14ac:dyDescent="0.3">
      <c r="R204" s="107"/>
      <c r="S204" s="232">
        <v>1988</v>
      </c>
      <c r="T204" s="306"/>
      <c r="U204" s="308" t="str">
        <f t="shared" ref="U204" si="222">IF(AF204&gt;2,"Yes","No")</f>
        <v>No</v>
      </c>
      <c r="V204" s="308" t="str">
        <f t="shared" ref="V204" si="223">IF(AG204&gt;2,"Yes","No")</f>
        <v>No</v>
      </c>
      <c r="W204" s="308" t="str">
        <f t="shared" ref="W204" si="224">IF(AH204&gt;2,"Yes","No")</f>
        <v>No</v>
      </c>
      <c r="X204" s="308" t="str">
        <f t="shared" ref="X204" si="225">IF(AI204&gt;2,"Yes","No")</f>
        <v>No</v>
      </c>
      <c r="Y204" s="308" t="str">
        <f t="shared" ref="Y204" si="226">IF(AJ204&gt;2,"Yes","No")</f>
        <v>Yes</v>
      </c>
      <c r="Z204" s="308" t="str">
        <f t="shared" ref="Z204" si="227">IF(AK204&gt;2,"Yes","No")</f>
        <v>Yes</v>
      </c>
      <c r="AA204" s="308" t="str">
        <f t="shared" ref="AA204" si="228">IF(AL204&gt;2,"Yes","No")</f>
        <v>Yes</v>
      </c>
      <c r="AB204" s="308" t="str">
        <f t="shared" ref="AB204" si="229">IF(AM204&gt;2,"Yes","No")</f>
        <v>Yes</v>
      </c>
      <c r="AC204" s="308" t="str">
        <f t="shared" ref="AC204" si="230">IF(AN204&gt;2,"Yes","No")</f>
        <v>Yes</v>
      </c>
      <c r="AE204" s="306">
        <f t="shared" ref="AE204:AE212" si="231">IF(T204="Yes",1,0)</f>
        <v>0</v>
      </c>
      <c r="AF204" s="308">
        <f t="shared" si="221"/>
        <v>2</v>
      </c>
      <c r="AG204" s="308">
        <f t="shared" si="221"/>
        <v>2</v>
      </c>
      <c r="AH204" s="308">
        <f t="shared" si="221"/>
        <v>1</v>
      </c>
      <c r="AI204" s="308">
        <f t="shared" si="221"/>
        <v>2</v>
      </c>
      <c r="AJ204" s="308">
        <f t="shared" si="221"/>
        <v>3</v>
      </c>
      <c r="AK204" s="308">
        <f t="shared" si="221"/>
        <v>3</v>
      </c>
      <c r="AL204" s="308">
        <f t="shared" si="221"/>
        <v>3</v>
      </c>
      <c r="AM204" s="308">
        <f t="shared" si="221"/>
        <v>3</v>
      </c>
      <c r="AN204" s="308">
        <f t="shared" si="221"/>
        <v>3</v>
      </c>
    </row>
    <row r="205" spans="7:40" x14ac:dyDescent="0.3">
      <c r="R205" s="107"/>
      <c r="S205" s="232" t="s">
        <v>397</v>
      </c>
      <c r="T205" s="306"/>
      <c r="U205" s="306"/>
      <c r="V205" s="308" t="str">
        <f t="shared" ref="V205" si="232">IF(AG205&gt;2,"Yes","No")</f>
        <v>No</v>
      </c>
      <c r="W205" s="308" t="str">
        <f t="shared" ref="W205" si="233">IF(AH205&gt;2,"Yes","No")</f>
        <v>No</v>
      </c>
      <c r="X205" s="308" t="str">
        <f t="shared" ref="X205" si="234">IF(AI205&gt;2,"Yes","No")</f>
        <v>Yes</v>
      </c>
      <c r="Y205" s="308" t="str">
        <f t="shared" ref="Y205" si="235">IF(AJ205&gt;2,"Yes","No")</f>
        <v>No</v>
      </c>
      <c r="Z205" s="308" t="str">
        <f t="shared" ref="Z205" si="236">IF(AK205&gt;2,"Yes","No")</f>
        <v>No</v>
      </c>
      <c r="AA205" s="308" t="str">
        <f t="shared" ref="AA205" si="237">IF(AL205&gt;2,"Yes","No")</f>
        <v>No</v>
      </c>
      <c r="AB205" s="308" t="str">
        <f t="shared" ref="AB205" si="238">IF(AM205&gt;2,"Yes","No")</f>
        <v>Yes</v>
      </c>
      <c r="AC205" s="308" t="str">
        <f t="shared" ref="AC205" si="239">IF(AN205&gt;2,"Yes","No")</f>
        <v>No</v>
      </c>
      <c r="AE205" s="306">
        <f t="shared" si="231"/>
        <v>0</v>
      </c>
      <c r="AF205" s="306">
        <f t="shared" ref="AF205:AF212" si="240">IF(U205="Yes",1,0)</f>
        <v>0</v>
      </c>
      <c r="AG205" s="308">
        <f t="shared" si="221"/>
        <v>1</v>
      </c>
      <c r="AH205" s="308">
        <f t="shared" si="221"/>
        <v>1</v>
      </c>
      <c r="AI205" s="308">
        <f t="shared" si="221"/>
        <v>3</v>
      </c>
      <c r="AJ205" s="308">
        <f t="shared" si="221"/>
        <v>2</v>
      </c>
      <c r="AK205" s="308">
        <f t="shared" si="221"/>
        <v>2</v>
      </c>
      <c r="AL205" s="308">
        <f t="shared" si="221"/>
        <v>1</v>
      </c>
      <c r="AM205" s="308">
        <f t="shared" si="221"/>
        <v>3</v>
      </c>
      <c r="AN205" s="308">
        <f t="shared" si="221"/>
        <v>2</v>
      </c>
    </row>
    <row r="206" spans="7:40" x14ac:dyDescent="0.3">
      <c r="R206" s="107"/>
      <c r="S206" s="232" t="s">
        <v>401</v>
      </c>
      <c r="T206" s="306"/>
      <c r="U206" s="306"/>
      <c r="V206" s="306"/>
      <c r="W206" s="308" t="str">
        <f t="shared" ref="W206" si="241">IF(AH206&gt;2,"Yes","No")</f>
        <v>No</v>
      </c>
      <c r="X206" s="308" t="str">
        <f t="shared" ref="X206" si="242">IF(AI206&gt;2,"Yes","No")</f>
        <v>No</v>
      </c>
      <c r="Y206" s="308" t="str">
        <f t="shared" ref="Y206" si="243">IF(AJ206&gt;2,"Yes","No")</f>
        <v>Yes</v>
      </c>
      <c r="Z206" s="308" t="str">
        <f t="shared" ref="Z206" si="244">IF(AK206&gt;2,"Yes","No")</f>
        <v>No</v>
      </c>
      <c r="AA206" s="308" t="str">
        <f t="shared" ref="AA206" si="245">IF(AL206&gt;2,"Yes","No")</f>
        <v>No</v>
      </c>
      <c r="AB206" s="308" t="str">
        <f t="shared" ref="AB206" si="246">IF(AM206&gt;2,"Yes","No")</f>
        <v>Yes</v>
      </c>
      <c r="AC206" s="308" t="str">
        <f t="shared" ref="AC206" si="247">IF(AN206&gt;2,"Yes","No")</f>
        <v>No</v>
      </c>
      <c r="AE206" s="306">
        <f t="shared" si="231"/>
        <v>0</v>
      </c>
      <c r="AF206" s="306">
        <f t="shared" si="240"/>
        <v>0</v>
      </c>
      <c r="AG206" s="306">
        <f t="shared" ref="AG206:AG212" si="248">IF(V206="Yes",1,0)</f>
        <v>0</v>
      </c>
      <c r="AH206" s="308">
        <f t="shared" si="221"/>
        <v>0</v>
      </c>
      <c r="AI206" s="308">
        <f t="shared" si="221"/>
        <v>2</v>
      </c>
      <c r="AJ206" s="308">
        <f t="shared" si="221"/>
        <v>3</v>
      </c>
      <c r="AK206" s="308">
        <f t="shared" si="221"/>
        <v>2</v>
      </c>
      <c r="AL206" s="308">
        <f t="shared" si="221"/>
        <v>2</v>
      </c>
      <c r="AM206" s="308">
        <f t="shared" si="221"/>
        <v>4</v>
      </c>
      <c r="AN206" s="308">
        <f t="shared" si="221"/>
        <v>1</v>
      </c>
    </row>
    <row r="207" spans="7:40" x14ac:dyDescent="0.3">
      <c r="R207" s="107"/>
      <c r="S207" s="232" t="s">
        <v>405</v>
      </c>
      <c r="T207" s="306"/>
      <c r="U207" s="306"/>
      <c r="V207" s="306"/>
      <c r="W207" s="306"/>
      <c r="X207" s="308" t="str">
        <f t="shared" ref="X207" si="249">IF(AI207&gt;2,"Yes","No")</f>
        <v>Yes</v>
      </c>
      <c r="Y207" s="308" t="str">
        <f t="shared" ref="Y207" si="250">IF(AJ207&gt;2,"Yes","No")</f>
        <v>No</v>
      </c>
      <c r="Z207" s="308" t="str">
        <f t="shared" ref="Z207" si="251">IF(AK207&gt;2,"Yes","No")</f>
        <v>No</v>
      </c>
      <c r="AA207" s="308" t="str">
        <f t="shared" ref="AA207" si="252">IF(AL207&gt;2,"Yes","No")</f>
        <v>No</v>
      </c>
      <c r="AB207" s="308" t="str">
        <f t="shared" ref="AB207" si="253">IF(AM207&gt;2,"Yes","No")</f>
        <v>No</v>
      </c>
      <c r="AC207" s="308" t="str">
        <f t="shared" ref="AC207" si="254">IF(AN207&gt;2,"Yes","No")</f>
        <v>No</v>
      </c>
      <c r="AE207" s="306">
        <f t="shared" si="231"/>
        <v>0</v>
      </c>
      <c r="AF207" s="306">
        <f t="shared" si="240"/>
        <v>0</v>
      </c>
      <c r="AG207" s="306">
        <f t="shared" si="248"/>
        <v>0</v>
      </c>
      <c r="AH207" s="306">
        <f t="shared" ref="AH207:AH212" si="255">IF(W207="Yes",1,0)</f>
        <v>0</v>
      </c>
      <c r="AI207" s="308">
        <f t="shared" si="221"/>
        <v>4</v>
      </c>
      <c r="AJ207" s="308">
        <f t="shared" si="221"/>
        <v>2</v>
      </c>
      <c r="AK207" s="308">
        <f t="shared" si="221"/>
        <v>1</v>
      </c>
      <c r="AL207" s="308">
        <f t="shared" si="221"/>
        <v>2</v>
      </c>
      <c r="AM207" s="308">
        <f t="shared" si="221"/>
        <v>1</v>
      </c>
      <c r="AN207" s="308">
        <f t="shared" si="221"/>
        <v>2</v>
      </c>
    </row>
    <row r="208" spans="7:40" x14ac:dyDescent="0.3">
      <c r="R208" s="107"/>
      <c r="S208" s="232" t="s">
        <v>429</v>
      </c>
      <c r="T208" s="306"/>
      <c r="U208" s="306"/>
      <c r="V208" s="306"/>
      <c r="W208" s="306"/>
      <c r="X208" s="306"/>
      <c r="Y208" s="308" t="str">
        <f t="shared" ref="Y208" si="256">IF(AJ208&gt;2,"Yes","No")</f>
        <v>No</v>
      </c>
      <c r="Z208" s="308" t="str">
        <f t="shared" ref="Z208" si="257">IF(AK208&gt;2,"Yes","No")</f>
        <v>Yes</v>
      </c>
      <c r="AA208" s="308" t="str">
        <f t="shared" ref="AA208" si="258">IF(AL208&gt;2,"Yes","No")</f>
        <v>Yes</v>
      </c>
      <c r="AB208" s="308" t="str">
        <f t="shared" ref="AB208" si="259">IF(AM208&gt;2,"Yes","No")</f>
        <v>No</v>
      </c>
      <c r="AC208" s="308" t="str">
        <f t="shared" ref="AC208" si="260">IF(AN208&gt;2,"Yes","No")</f>
        <v>No</v>
      </c>
      <c r="AE208" s="306">
        <f t="shared" si="231"/>
        <v>0</v>
      </c>
      <c r="AF208" s="306">
        <f t="shared" si="240"/>
        <v>0</v>
      </c>
      <c r="AG208" s="306">
        <f t="shared" si="248"/>
        <v>0</v>
      </c>
      <c r="AH208" s="306">
        <f t="shared" si="255"/>
        <v>0</v>
      </c>
      <c r="AI208" s="306">
        <f t="shared" ref="AI208:AI212" si="261">IF(X208="Yes",1,0)</f>
        <v>0</v>
      </c>
      <c r="AJ208" s="308">
        <f t="shared" si="221"/>
        <v>2</v>
      </c>
      <c r="AK208" s="308">
        <f t="shared" si="221"/>
        <v>4</v>
      </c>
      <c r="AL208" s="308">
        <f t="shared" si="221"/>
        <v>3</v>
      </c>
      <c r="AM208" s="308">
        <f t="shared" si="221"/>
        <v>2</v>
      </c>
      <c r="AN208" s="308">
        <f t="shared" si="221"/>
        <v>2</v>
      </c>
    </row>
    <row r="209" spans="7:40" x14ac:dyDescent="0.3">
      <c r="R209" s="107"/>
      <c r="S209" s="232" t="s">
        <v>437</v>
      </c>
      <c r="T209" s="306"/>
      <c r="U209" s="306"/>
      <c r="V209" s="306"/>
      <c r="W209" s="306"/>
      <c r="X209" s="306"/>
      <c r="Y209" s="306"/>
      <c r="Z209" s="308" t="str">
        <f t="shared" ref="Z209" si="262">IF(AK209&gt;2,"Yes","No")</f>
        <v>No</v>
      </c>
      <c r="AA209" s="308" t="str">
        <f t="shared" ref="AA209" si="263">IF(AL209&gt;2,"Yes","No")</f>
        <v>No</v>
      </c>
      <c r="AB209" s="308" t="str">
        <f t="shared" ref="AB209" si="264">IF(AM209&gt;2,"Yes","No")</f>
        <v>No</v>
      </c>
      <c r="AC209" s="308" t="str">
        <f t="shared" ref="AC209" si="265">IF(AN209&gt;2,"Yes","No")</f>
        <v>Yes</v>
      </c>
      <c r="AE209" s="306">
        <f t="shared" si="231"/>
        <v>0</v>
      </c>
      <c r="AF209" s="306">
        <f t="shared" si="240"/>
        <v>0</v>
      </c>
      <c r="AG209" s="306">
        <f t="shared" si="248"/>
        <v>0</v>
      </c>
      <c r="AH209" s="306">
        <f t="shared" si="255"/>
        <v>0</v>
      </c>
      <c r="AI209" s="306">
        <f t="shared" si="261"/>
        <v>0</v>
      </c>
      <c r="AJ209" s="306">
        <f t="shared" ref="AJ209:AJ212" si="266">IF(Y209="Yes",1,0)</f>
        <v>0</v>
      </c>
      <c r="AK209" s="308">
        <f t="shared" si="221"/>
        <v>1</v>
      </c>
      <c r="AL209" s="308">
        <f t="shared" si="221"/>
        <v>0</v>
      </c>
      <c r="AM209" s="308">
        <f t="shared" si="221"/>
        <v>0</v>
      </c>
      <c r="AN209" s="308">
        <f t="shared" si="221"/>
        <v>3</v>
      </c>
    </row>
    <row r="210" spans="7:40" x14ac:dyDescent="0.3">
      <c r="R210" s="107"/>
      <c r="S210" s="232" t="s">
        <v>441</v>
      </c>
      <c r="T210" s="306"/>
      <c r="U210" s="306"/>
      <c r="V210" s="306"/>
      <c r="W210" s="306"/>
      <c r="X210" s="306"/>
      <c r="Y210" s="306"/>
      <c r="Z210" s="306"/>
      <c r="AA210" s="308" t="str">
        <f t="shared" ref="AA210" si="267">IF(AL210&gt;2,"Yes","No")</f>
        <v>No</v>
      </c>
      <c r="AB210" s="308" t="str">
        <f t="shared" ref="AB210" si="268">IF(AM210&gt;2,"Yes","No")</f>
        <v>No</v>
      </c>
      <c r="AC210" s="308" t="str">
        <f t="shared" ref="AC210" si="269">IF(AN210&gt;2,"Yes","No")</f>
        <v>No</v>
      </c>
      <c r="AE210" s="306">
        <f t="shared" si="231"/>
        <v>0</v>
      </c>
      <c r="AF210" s="306">
        <f t="shared" si="240"/>
        <v>0</v>
      </c>
      <c r="AG210" s="306">
        <f t="shared" si="248"/>
        <v>0</v>
      </c>
      <c r="AH210" s="306">
        <f t="shared" si="255"/>
        <v>0</v>
      </c>
      <c r="AI210" s="306">
        <f t="shared" si="261"/>
        <v>0</v>
      </c>
      <c r="AJ210" s="306">
        <f t="shared" si="266"/>
        <v>0</v>
      </c>
      <c r="AK210" s="306">
        <f t="shared" ref="AK210:AK212" si="270">IF(Z210="Yes",1,0)</f>
        <v>0</v>
      </c>
      <c r="AL210" s="308">
        <f t="shared" si="221"/>
        <v>1</v>
      </c>
      <c r="AM210" s="308">
        <f t="shared" si="221"/>
        <v>2</v>
      </c>
      <c r="AN210" s="308">
        <f t="shared" si="221"/>
        <v>1</v>
      </c>
    </row>
    <row r="211" spans="7:40" x14ac:dyDescent="0.3">
      <c r="R211" s="107"/>
      <c r="S211" s="232" t="s">
        <v>531</v>
      </c>
      <c r="T211" s="306"/>
      <c r="U211" s="306"/>
      <c r="V211" s="306"/>
      <c r="W211" s="306"/>
      <c r="X211" s="306"/>
      <c r="Y211" s="306"/>
      <c r="Z211" s="306"/>
      <c r="AA211" s="306"/>
      <c r="AB211" s="308" t="str">
        <f t="shared" ref="AB211" si="271">IF(AM211&gt;2,"Yes","No")</f>
        <v>No</v>
      </c>
      <c r="AC211" s="308" t="str">
        <f t="shared" ref="AC211:AC212" si="272">IF(AN211&gt;2,"Yes","No")</f>
        <v>Yes</v>
      </c>
      <c r="AE211" s="306">
        <f t="shared" si="231"/>
        <v>0</v>
      </c>
      <c r="AF211" s="306">
        <f t="shared" si="240"/>
        <v>0</v>
      </c>
      <c r="AG211" s="306">
        <f t="shared" si="248"/>
        <v>0</v>
      </c>
      <c r="AH211" s="306">
        <f t="shared" si="255"/>
        <v>0</v>
      </c>
      <c r="AI211" s="306">
        <f t="shared" si="261"/>
        <v>0</v>
      </c>
      <c r="AJ211" s="306">
        <f t="shared" si="266"/>
        <v>0</v>
      </c>
      <c r="AK211" s="306">
        <f t="shared" si="270"/>
        <v>0</v>
      </c>
      <c r="AL211" s="306">
        <f t="shared" ref="AL211:AL212" si="273">IF(AA211="Yes",1,0)</f>
        <v>0</v>
      </c>
      <c r="AM211" s="308">
        <f t="shared" si="221"/>
        <v>1</v>
      </c>
      <c r="AN211" s="308">
        <f t="shared" si="221"/>
        <v>3</v>
      </c>
    </row>
    <row r="212" spans="7:40" x14ac:dyDescent="0.3">
      <c r="R212" s="107"/>
      <c r="S212" s="232" t="s">
        <v>532</v>
      </c>
      <c r="T212" s="306"/>
      <c r="U212" s="306"/>
      <c r="V212" s="306"/>
      <c r="W212" s="306"/>
      <c r="X212" s="306"/>
      <c r="Y212" s="306"/>
      <c r="Z212" s="306"/>
      <c r="AA212" s="306"/>
      <c r="AB212" s="306"/>
      <c r="AC212" s="308" t="str">
        <f t="shared" si="272"/>
        <v>No</v>
      </c>
      <c r="AE212" s="306">
        <f t="shared" si="231"/>
        <v>0</v>
      </c>
      <c r="AF212" s="306">
        <f t="shared" si="240"/>
        <v>0</v>
      </c>
      <c r="AG212" s="306">
        <f t="shared" si="248"/>
        <v>0</v>
      </c>
      <c r="AH212" s="306">
        <f t="shared" si="255"/>
        <v>0</v>
      </c>
      <c r="AI212" s="306">
        <f t="shared" si="261"/>
        <v>0</v>
      </c>
      <c r="AJ212" s="306">
        <f t="shared" si="266"/>
        <v>0</v>
      </c>
      <c r="AK212" s="306">
        <f t="shared" si="270"/>
        <v>0</v>
      </c>
      <c r="AL212" s="306">
        <f t="shared" si="273"/>
        <v>0</v>
      </c>
      <c r="AM212" s="306">
        <f t="shared" ref="AM212" si="274">IF(AB212="Yes",1,0)</f>
        <v>0</v>
      </c>
      <c r="AN212" s="308">
        <f t="shared" si="221"/>
        <v>1</v>
      </c>
    </row>
    <row r="213" spans="7:40" x14ac:dyDescent="0.3"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</row>
    <row r="215" spans="7:40" x14ac:dyDescent="0.3">
      <c r="G215" s="106" t="s">
        <v>857</v>
      </c>
      <c r="H215" s="107" t="s">
        <v>848</v>
      </c>
      <c r="I215" s="107"/>
      <c r="J215" s="107"/>
      <c r="K215" s="107"/>
      <c r="L215" s="107"/>
      <c r="M215" s="107"/>
      <c r="N215" s="107"/>
      <c r="O215" s="107"/>
      <c r="P215" s="107"/>
      <c r="Q215" s="107"/>
      <c r="R215" s="107">
        <v>4</v>
      </c>
      <c r="S215" s="107" t="s">
        <v>878</v>
      </c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</row>
    <row r="216" spans="7:40" ht="15.6" x14ac:dyDescent="0.35">
      <c r="G216" s="119" t="s">
        <v>41</v>
      </c>
      <c r="H216" s="107" t="s">
        <v>865</v>
      </c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 t="s">
        <v>879</v>
      </c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</row>
    <row r="217" spans="7:40" x14ac:dyDescent="0.3">
      <c r="G217" s="317" t="s">
        <v>882</v>
      </c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</row>
    <row r="218" spans="7:40" ht="15.6" x14ac:dyDescent="0.35">
      <c r="R218" s="107"/>
      <c r="S218" s="303" t="s">
        <v>846</v>
      </c>
      <c r="T218" s="232">
        <v>1988</v>
      </c>
      <c r="U218" s="232" t="s">
        <v>397</v>
      </c>
      <c r="V218" s="232" t="s">
        <v>401</v>
      </c>
      <c r="W218" s="232" t="s">
        <v>405</v>
      </c>
      <c r="X218" s="232" t="s">
        <v>429</v>
      </c>
      <c r="Y218" s="232" t="s">
        <v>437</v>
      </c>
      <c r="Z218" s="232" t="s">
        <v>441</v>
      </c>
      <c r="AA218" s="232" t="s">
        <v>531</v>
      </c>
      <c r="AB218" s="232" t="s">
        <v>532</v>
      </c>
      <c r="AC218" s="232" t="s">
        <v>461</v>
      </c>
    </row>
    <row r="219" spans="7:40" x14ac:dyDescent="0.3">
      <c r="R219" s="107"/>
      <c r="S219" s="232">
        <v>1977</v>
      </c>
      <c r="T219" s="308" t="str">
        <f>IF(AE219&lt;2,"No","Yes")</f>
        <v>Yes</v>
      </c>
      <c r="U219" s="308" t="str">
        <f t="shared" ref="U219:U220" si="275">IF(AF219&lt;2,"No","Yes")</f>
        <v>Yes</v>
      </c>
      <c r="V219" s="308" t="str">
        <f t="shared" ref="V219:V221" si="276">IF(AG219&lt;2,"No","Yes")</f>
        <v>No</v>
      </c>
      <c r="W219" s="308" t="str">
        <f t="shared" ref="W219:W222" si="277">IF(AH219&lt;2,"No","Yes")</f>
        <v>No</v>
      </c>
      <c r="X219" s="308" t="str">
        <f t="shared" ref="X219:X223" si="278">IF(AI219&lt;2,"No","Yes")</f>
        <v>Yes</v>
      </c>
      <c r="Y219" s="308" t="str">
        <f t="shared" ref="Y219:Y224" si="279">IF(AJ219&lt;2,"No","Yes")</f>
        <v>Yes</v>
      </c>
      <c r="Z219" s="308" t="str">
        <f t="shared" ref="Z219:Z225" si="280">IF(AK219&lt;2,"No","Yes")</f>
        <v>Yes</v>
      </c>
      <c r="AA219" s="308" t="str">
        <f t="shared" ref="AA219:AA226" si="281">IF(AL219&lt;2,"No","Yes")</f>
        <v>Yes</v>
      </c>
      <c r="AB219" s="308" t="str">
        <f t="shared" ref="AB219:AB227" si="282">IF(AM219&lt;2,"No","Yes")</f>
        <v>Yes</v>
      </c>
      <c r="AC219" s="308" t="str">
        <f t="shared" ref="AC219:AC228" si="283">IF(AN219&lt;2,"No","Yes")</f>
        <v>Yes</v>
      </c>
      <c r="AE219" s="308">
        <f>SUM(AE72,AE105,AE138)</f>
        <v>2</v>
      </c>
      <c r="AF219" s="308">
        <f t="shared" ref="AF219:AN228" si="284">SUM(AF72,AF105,AF138)</f>
        <v>2</v>
      </c>
      <c r="AG219" s="308">
        <f t="shared" si="284"/>
        <v>1</v>
      </c>
      <c r="AH219" s="308">
        <f t="shared" si="284"/>
        <v>1</v>
      </c>
      <c r="AI219" s="308">
        <f t="shared" si="284"/>
        <v>2</v>
      </c>
      <c r="AJ219" s="308">
        <f t="shared" si="284"/>
        <v>2</v>
      </c>
      <c r="AK219" s="308">
        <f t="shared" si="284"/>
        <v>2</v>
      </c>
      <c r="AL219" s="308">
        <f t="shared" si="284"/>
        <v>2</v>
      </c>
      <c r="AM219" s="308">
        <f t="shared" si="284"/>
        <v>3</v>
      </c>
      <c r="AN219" s="308">
        <f t="shared" si="284"/>
        <v>3</v>
      </c>
    </row>
    <row r="220" spans="7:40" x14ac:dyDescent="0.3">
      <c r="R220" s="107"/>
      <c r="S220" s="232">
        <v>1988</v>
      </c>
      <c r="T220" s="306"/>
      <c r="U220" s="308" t="str">
        <f t="shared" si="275"/>
        <v>No</v>
      </c>
      <c r="V220" s="308" t="str">
        <f t="shared" si="276"/>
        <v>No</v>
      </c>
      <c r="W220" s="308" t="str">
        <f t="shared" si="277"/>
        <v>No</v>
      </c>
      <c r="X220" s="308" t="str">
        <f t="shared" si="278"/>
        <v>Yes</v>
      </c>
      <c r="Y220" s="308" t="str">
        <f t="shared" si="279"/>
        <v>Yes</v>
      </c>
      <c r="Z220" s="308" t="str">
        <f t="shared" si="280"/>
        <v>Yes</v>
      </c>
      <c r="AA220" s="308" t="str">
        <f t="shared" si="281"/>
        <v>Yes</v>
      </c>
      <c r="AB220" s="308" t="str">
        <f t="shared" si="282"/>
        <v>Yes</v>
      </c>
      <c r="AC220" s="308" t="str">
        <f t="shared" si="283"/>
        <v>Yes</v>
      </c>
      <c r="AE220" s="306">
        <f t="shared" ref="AE220:AE228" si="285">IF(T220="Yes",1,0)</f>
        <v>0</v>
      </c>
      <c r="AF220" s="308">
        <f t="shared" si="284"/>
        <v>1</v>
      </c>
      <c r="AG220" s="308">
        <f t="shared" si="284"/>
        <v>1</v>
      </c>
      <c r="AH220" s="308">
        <f t="shared" si="284"/>
        <v>0</v>
      </c>
      <c r="AI220" s="308">
        <f t="shared" si="284"/>
        <v>2</v>
      </c>
      <c r="AJ220" s="308">
        <f t="shared" si="284"/>
        <v>2</v>
      </c>
      <c r="AK220" s="308">
        <f t="shared" si="284"/>
        <v>2</v>
      </c>
      <c r="AL220" s="308">
        <f t="shared" si="284"/>
        <v>2</v>
      </c>
      <c r="AM220" s="308">
        <f t="shared" si="284"/>
        <v>3</v>
      </c>
      <c r="AN220" s="308">
        <f t="shared" si="284"/>
        <v>2</v>
      </c>
    </row>
    <row r="221" spans="7:40" x14ac:dyDescent="0.3">
      <c r="R221" s="107"/>
      <c r="S221" s="232" t="s">
        <v>397</v>
      </c>
      <c r="T221" s="306"/>
      <c r="U221" s="306"/>
      <c r="V221" s="308" t="str">
        <f t="shared" si="276"/>
        <v>Yes</v>
      </c>
      <c r="W221" s="308" t="str">
        <f t="shared" si="277"/>
        <v>No</v>
      </c>
      <c r="X221" s="308" t="str">
        <f t="shared" si="278"/>
        <v>Yes</v>
      </c>
      <c r="Y221" s="308" t="str">
        <f t="shared" si="279"/>
        <v>No</v>
      </c>
      <c r="Z221" s="308" t="str">
        <f t="shared" si="280"/>
        <v>No</v>
      </c>
      <c r="AA221" s="308" t="str">
        <f t="shared" si="281"/>
        <v>No</v>
      </c>
      <c r="AB221" s="308" t="str">
        <f t="shared" si="282"/>
        <v>No</v>
      </c>
      <c r="AC221" s="308" t="str">
        <f t="shared" si="283"/>
        <v>No</v>
      </c>
      <c r="AE221" s="306">
        <f t="shared" si="285"/>
        <v>0</v>
      </c>
      <c r="AF221" s="306">
        <f t="shared" ref="AF221:AF228" si="286">IF(U221="Yes",1,0)</f>
        <v>0</v>
      </c>
      <c r="AG221" s="308">
        <f t="shared" si="284"/>
        <v>2</v>
      </c>
      <c r="AH221" s="308">
        <f t="shared" si="284"/>
        <v>1</v>
      </c>
      <c r="AI221" s="308">
        <f t="shared" si="284"/>
        <v>3</v>
      </c>
      <c r="AJ221" s="308">
        <f t="shared" si="284"/>
        <v>1</v>
      </c>
      <c r="AK221" s="308">
        <f t="shared" si="284"/>
        <v>1</v>
      </c>
      <c r="AL221" s="308">
        <f t="shared" si="284"/>
        <v>1</v>
      </c>
      <c r="AM221" s="308">
        <f t="shared" si="284"/>
        <v>1</v>
      </c>
      <c r="AN221" s="308">
        <f t="shared" si="284"/>
        <v>1</v>
      </c>
    </row>
    <row r="222" spans="7:40" x14ac:dyDescent="0.3">
      <c r="R222" s="107"/>
      <c r="S222" s="232" t="s">
        <v>401</v>
      </c>
      <c r="T222" s="306"/>
      <c r="U222" s="306"/>
      <c r="V222" s="306"/>
      <c r="W222" s="308" t="str">
        <f t="shared" si="277"/>
        <v>No</v>
      </c>
      <c r="X222" s="308" t="str">
        <f t="shared" si="278"/>
        <v>No</v>
      </c>
      <c r="Y222" s="308" t="str">
        <f t="shared" si="279"/>
        <v>Yes</v>
      </c>
      <c r="Z222" s="308" t="str">
        <f t="shared" si="280"/>
        <v>Yes</v>
      </c>
      <c r="AA222" s="308" t="str">
        <f t="shared" si="281"/>
        <v>No</v>
      </c>
      <c r="AB222" s="308" t="str">
        <f t="shared" si="282"/>
        <v>Yes</v>
      </c>
      <c r="AC222" s="308" t="str">
        <f t="shared" si="283"/>
        <v>No</v>
      </c>
      <c r="AE222" s="306">
        <f t="shared" si="285"/>
        <v>0</v>
      </c>
      <c r="AF222" s="306">
        <f t="shared" si="286"/>
        <v>0</v>
      </c>
      <c r="AG222" s="306">
        <f t="shared" ref="AG222:AG228" si="287">IF(V222="Yes",1,0)</f>
        <v>0</v>
      </c>
      <c r="AH222" s="308">
        <f t="shared" si="284"/>
        <v>0</v>
      </c>
      <c r="AI222" s="308">
        <f t="shared" si="284"/>
        <v>1</v>
      </c>
      <c r="AJ222" s="308">
        <f t="shared" si="284"/>
        <v>2</v>
      </c>
      <c r="AK222" s="308">
        <f t="shared" si="284"/>
        <v>2</v>
      </c>
      <c r="AL222" s="308">
        <f t="shared" si="284"/>
        <v>1</v>
      </c>
      <c r="AM222" s="308">
        <f t="shared" si="284"/>
        <v>3</v>
      </c>
      <c r="AN222" s="308">
        <f t="shared" si="284"/>
        <v>1</v>
      </c>
    </row>
    <row r="223" spans="7:40" x14ac:dyDescent="0.3">
      <c r="R223" s="107"/>
      <c r="S223" s="232" t="s">
        <v>405</v>
      </c>
      <c r="T223" s="306"/>
      <c r="U223" s="306"/>
      <c r="V223" s="306"/>
      <c r="W223" s="306"/>
      <c r="X223" s="308" t="str">
        <f t="shared" si="278"/>
        <v>Yes</v>
      </c>
      <c r="Y223" s="308" t="str">
        <f t="shared" si="279"/>
        <v>Yes</v>
      </c>
      <c r="Z223" s="308" t="str">
        <f t="shared" si="280"/>
        <v>Yes</v>
      </c>
      <c r="AA223" s="308" t="str">
        <f t="shared" si="281"/>
        <v>No</v>
      </c>
      <c r="AB223" s="308" t="str">
        <f t="shared" si="282"/>
        <v>Yes</v>
      </c>
      <c r="AC223" s="308" t="str">
        <f t="shared" si="283"/>
        <v>Yes</v>
      </c>
      <c r="AE223" s="306">
        <f t="shared" si="285"/>
        <v>0</v>
      </c>
      <c r="AF223" s="306">
        <f t="shared" si="286"/>
        <v>0</v>
      </c>
      <c r="AG223" s="306">
        <f t="shared" si="287"/>
        <v>0</v>
      </c>
      <c r="AH223" s="306">
        <f t="shared" ref="AH223:AH228" si="288">IF(W223="Yes",1,0)</f>
        <v>0</v>
      </c>
      <c r="AI223" s="308">
        <f t="shared" si="284"/>
        <v>2</v>
      </c>
      <c r="AJ223" s="308">
        <f t="shared" si="284"/>
        <v>3</v>
      </c>
      <c r="AK223" s="308">
        <f t="shared" si="284"/>
        <v>2</v>
      </c>
      <c r="AL223" s="308">
        <f t="shared" si="284"/>
        <v>1</v>
      </c>
      <c r="AM223" s="308">
        <f t="shared" si="284"/>
        <v>2</v>
      </c>
      <c r="AN223" s="308">
        <f t="shared" si="284"/>
        <v>2</v>
      </c>
    </row>
    <row r="224" spans="7:40" x14ac:dyDescent="0.3">
      <c r="R224" s="107"/>
      <c r="S224" s="232" t="s">
        <v>429</v>
      </c>
      <c r="T224" s="306"/>
      <c r="U224" s="306"/>
      <c r="V224" s="306"/>
      <c r="W224" s="306"/>
      <c r="X224" s="306"/>
      <c r="Y224" s="308" t="str">
        <f t="shared" si="279"/>
        <v>Yes</v>
      </c>
      <c r="Z224" s="308" t="str">
        <f t="shared" si="280"/>
        <v>Yes</v>
      </c>
      <c r="AA224" s="308" t="str">
        <f t="shared" si="281"/>
        <v>Yes</v>
      </c>
      <c r="AB224" s="308" t="str">
        <f t="shared" si="282"/>
        <v>Yes</v>
      </c>
      <c r="AC224" s="308" t="str">
        <f t="shared" si="283"/>
        <v>No</v>
      </c>
      <c r="AE224" s="306">
        <f t="shared" si="285"/>
        <v>0</v>
      </c>
      <c r="AF224" s="306">
        <f t="shared" si="286"/>
        <v>0</v>
      </c>
      <c r="AG224" s="306">
        <f t="shared" si="287"/>
        <v>0</v>
      </c>
      <c r="AH224" s="306">
        <f t="shared" si="288"/>
        <v>0</v>
      </c>
      <c r="AI224" s="306">
        <f t="shared" ref="AI224:AI228" si="289">IF(X224="Yes",1,0)</f>
        <v>0</v>
      </c>
      <c r="AJ224" s="308">
        <f t="shared" si="284"/>
        <v>2</v>
      </c>
      <c r="AK224" s="308">
        <f t="shared" si="284"/>
        <v>3</v>
      </c>
      <c r="AL224" s="308">
        <f t="shared" si="284"/>
        <v>2</v>
      </c>
      <c r="AM224" s="308">
        <f t="shared" si="284"/>
        <v>2</v>
      </c>
      <c r="AN224" s="308">
        <f t="shared" si="284"/>
        <v>1</v>
      </c>
    </row>
    <row r="225" spans="7:40" x14ac:dyDescent="0.3">
      <c r="R225" s="107"/>
      <c r="S225" s="232" t="s">
        <v>437</v>
      </c>
      <c r="T225" s="306"/>
      <c r="U225" s="306"/>
      <c r="V225" s="306"/>
      <c r="W225" s="306"/>
      <c r="X225" s="306"/>
      <c r="Y225" s="306"/>
      <c r="Z225" s="308" t="str">
        <f t="shared" si="280"/>
        <v>No</v>
      </c>
      <c r="AA225" s="308" t="str">
        <f t="shared" si="281"/>
        <v>No</v>
      </c>
      <c r="AB225" s="308" t="str">
        <f t="shared" si="282"/>
        <v>No</v>
      </c>
      <c r="AC225" s="308" t="str">
        <f t="shared" si="283"/>
        <v>Yes</v>
      </c>
      <c r="AE225" s="306">
        <f t="shared" si="285"/>
        <v>0</v>
      </c>
      <c r="AF225" s="306">
        <f t="shared" si="286"/>
        <v>0</v>
      </c>
      <c r="AG225" s="306">
        <f t="shared" si="287"/>
        <v>0</v>
      </c>
      <c r="AH225" s="306">
        <f t="shared" si="288"/>
        <v>0</v>
      </c>
      <c r="AI225" s="306">
        <f t="shared" si="289"/>
        <v>0</v>
      </c>
      <c r="AJ225" s="306">
        <f t="shared" ref="AJ225:AJ228" si="290">IF(Y225="Yes",1,0)</f>
        <v>0</v>
      </c>
      <c r="AK225" s="308">
        <f t="shared" si="284"/>
        <v>0</v>
      </c>
      <c r="AL225" s="308">
        <f t="shared" si="284"/>
        <v>0</v>
      </c>
      <c r="AM225" s="308">
        <f t="shared" si="284"/>
        <v>0</v>
      </c>
      <c r="AN225" s="308">
        <f t="shared" si="284"/>
        <v>2</v>
      </c>
    </row>
    <row r="226" spans="7:40" x14ac:dyDescent="0.3">
      <c r="R226" s="107"/>
      <c r="S226" s="232" t="s">
        <v>441</v>
      </c>
      <c r="T226" s="306"/>
      <c r="U226" s="306"/>
      <c r="V226" s="306"/>
      <c r="W226" s="306"/>
      <c r="X226" s="306"/>
      <c r="Y226" s="306"/>
      <c r="Z226" s="306"/>
      <c r="AA226" s="308" t="str">
        <f t="shared" si="281"/>
        <v>No</v>
      </c>
      <c r="AB226" s="308" t="str">
        <f t="shared" si="282"/>
        <v>Yes</v>
      </c>
      <c r="AC226" s="308" t="str">
        <f t="shared" si="283"/>
        <v>No</v>
      </c>
      <c r="AE226" s="306">
        <f t="shared" si="285"/>
        <v>0</v>
      </c>
      <c r="AF226" s="306">
        <f t="shared" si="286"/>
        <v>0</v>
      </c>
      <c r="AG226" s="306">
        <f t="shared" si="287"/>
        <v>0</v>
      </c>
      <c r="AH226" s="306">
        <f t="shared" si="288"/>
        <v>0</v>
      </c>
      <c r="AI226" s="306">
        <f t="shared" si="289"/>
        <v>0</v>
      </c>
      <c r="AJ226" s="306">
        <f t="shared" si="290"/>
        <v>0</v>
      </c>
      <c r="AK226" s="306">
        <f t="shared" ref="AK226:AK228" si="291">IF(Z226="Yes",1,0)</f>
        <v>0</v>
      </c>
      <c r="AL226" s="308">
        <f t="shared" si="284"/>
        <v>0</v>
      </c>
      <c r="AM226" s="308">
        <f t="shared" si="284"/>
        <v>2</v>
      </c>
      <c r="AN226" s="308">
        <f t="shared" si="284"/>
        <v>1</v>
      </c>
    </row>
    <row r="227" spans="7:40" x14ac:dyDescent="0.3">
      <c r="R227" s="107"/>
      <c r="S227" s="232" t="s">
        <v>531</v>
      </c>
      <c r="T227" s="306"/>
      <c r="U227" s="306"/>
      <c r="V227" s="306"/>
      <c r="W227" s="306"/>
      <c r="X227" s="306"/>
      <c r="Y227" s="306"/>
      <c r="Z227" s="306"/>
      <c r="AA227" s="306"/>
      <c r="AB227" s="308" t="str">
        <f t="shared" si="282"/>
        <v>No</v>
      </c>
      <c r="AC227" s="308" t="str">
        <f t="shared" si="283"/>
        <v>Yes</v>
      </c>
      <c r="AE227" s="306">
        <f t="shared" si="285"/>
        <v>0</v>
      </c>
      <c r="AF227" s="306">
        <f t="shared" si="286"/>
        <v>0</v>
      </c>
      <c r="AG227" s="306">
        <f t="shared" si="287"/>
        <v>0</v>
      </c>
      <c r="AH227" s="306">
        <f t="shared" si="288"/>
        <v>0</v>
      </c>
      <c r="AI227" s="306">
        <f t="shared" si="289"/>
        <v>0</v>
      </c>
      <c r="AJ227" s="306">
        <f t="shared" si="290"/>
        <v>0</v>
      </c>
      <c r="AK227" s="306">
        <f t="shared" si="291"/>
        <v>0</v>
      </c>
      <c r="AL227" s="306">
        <f t="shared" ref="AL227:AL228" si="292">IF(AA227="Yes",1,0)</f>
        <v>0</v>
      </c>
      <c r="AM227" s="308">
        <f t="shared" si="284"/>
        <v>1</v>
      </c>
      <c r="AN227" s="308">
        <f t="shared" si="284"/>
        <v>2</v>
      </c>
    </row>
    <row r="228" spans="7:40" x14ac:dyDescent="0.3">
      <c r="R228" s="107"/>
      <c r="S228" s="232" t="s">
        <v>532</v>
      </c>
      <c r="T228" s="306"/>
      <c r="U228" s="306"/>
      <c r="V228" s="306"/>
      <c r="W228" s="306"/>
      <c r="X228" s="306"/>
      <c r="Y228" s="306"/>
      <c r="Z228" s="306"/>
      <c r="AA228" s="306"/>
      <c r="AB228" s="306"/>
      <c r="AC228" s="308" t="str">
        <f t="shared" si="283"/>
        <v>No</v>
      </c>
      <c r="AE228" s="306">
        <f t="shared" si="285"/>
        <v>0</v>
      </c>
      <c r="AF228" s="306">
        <f t="shared" si="286"/>
        <v>0</v>
      </c>
      <c r="AG228" s="306">
        <f t="shared" si="287"/>
        <v>0</v>
      </c>
      <c r="AH228" s="306">
        <f t="shared" si="288"/>
        <v>0</v>
      </c>
      <c r="AI228" s="306">
        <f t="shared" si="289"/>
        <v>0</v>
      </c>
      <c r="AJ228" s="306">
        <f t="shared" si="290"/>
        <v>0</v>
      </c>
      <c r="AK228" s="306">
        <f t="shared" si="291"/>
        <v>0</v>
      </c>
      <c r="AL228" s="306">
        <f t="shared" si="292"/>
        <v>0</v>
      </c>
      <c r="AM228" s="306">
        <f t="shared" ref="AM228" si="293">IF(AB228="Yes",1,0)</f>
        <v>0</v>
      </c>
      <c r="AN228" s="308">
        <f t="shared" si="284"/>
        <v>0</v>
      </c>
    </row>
    <row r="229" spans="7:40" x14ac:dyDescent="0.3"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</row>
    <row r="231" spans="7:40" x14ac:dyDescent="0.3">
      <c r="G231" s="106" t="s">
        <v>857</v>
      </c>
      <c r="H231" s="107" t="s">
        <v>848</v>
      </c>
      <c r="I231" s="107"/>
      <c r="J231" s="107"/>
      <c r="K231" s="107"/>
      <c r="L231" s="107"/>
      <c r="M231" s="107"/>
      <c r="N231" s="107"/>
      <c r="O231" s="107"/>
      <c r="P231" s="107"/>
      <c r="Q231" s="107"/>
      <c r="R231" s="107">
        <v>5</v>
      </c>
      <c r="S231" s="107" t="s">
        <v>880</v>
      </c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</row>
    <row r="232" spans="7:40" ht="15.6" x14ac:dyDescent="0.35">
      <c r="G232" s="119" t="s">
        <v>41</v>
      </c>
      <c r="H232" s="107" t="s">
        <v>865</v>
      </c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 t="s">
        <v>874</v>
      </c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</row>
    <row r="233" spans="7:40" x14ac:dyDescent="0.3">
      <c r="G233" s="317" t="s">
        <v>882</v>
      </c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</row>
    <row r="234" spans="7:40" ht="15.6" x14ac:dyDescent="0.35">
      <c r="R234" s="107"/>
      <c r="S234" s="303" t="s">
        <v>846</v>
      </c>
      <c r="T234" s="232">
        <v>1988</v>
      </c>
      <c r="U234" s="232" t="s">
        <v>397</v>
      </c>
      <c r="V234" s="232" t="s">
        <v>401</v>
      </c>
      <c r="W234" s="232" t="s">
        <v>405</v>
      </c>
      <c r="X234" s="232" t="s">
        <v>429</v>
      </c>
      <c r="Y234" s="232" t="s">
        <v>437</v>
      </c>
      <c r="Z234" s="232" t="s">
        <v>441</v>
      </c>
      <c r="AA234" s="232" t="s">
        <v>531</v>
      </c>
      <c r="AB234" s="232" t="s">
        <v>532</v>
      </c>
      <c r="AC234" s="232" t="s">
        <v>461</v>
      </c>
    </row>
    <row r="235" spans="7:40" x14ac:dyDescent="0.3">
      <c r="R235" s="107"/>
      <c r="S235" s="232">
        <v>1977</v>
      </c>
      <c r="T235" s="308" t="str">
        <f>IF(AE235&lt;2,"No","Yes")</f>
        <v>Yes</v>
      </c>
      <c r="U235" s="308" t="str">
        <f t="shared" ref="U235:AC235" si="294">IF(AF235&lt;2,"No","Yes")</f>
        <v>Yes</v>
      </c>
      <c r="V235" s="308" t="str">
        <f t="shared" si="294"/>
        <v>No</v>
      </c>
      <c r="W235" s="308" t="str">
        <f t="shared" si="294"/>
        <v>No</v>
      </c>
      <c r="X235" s="308" t="str">
        <f t="shared" si="294"/>
        <v>Yes</v>
      </c>
      <c r="Y235" s="308" t="str">
        <f t="shared" si="294"/>
        <v>Yes</v>
      </c>
      <c r="Z235" s="308" t="str">
        <f t="shared" si="294"/>
        <v>Yes</v>
      </c>
      <c r="AA235" s="308" t="str">
        <f t="shared" si="294"/>
        <v>Yes</v>
      </c>
      <c r="AB235" s="308" t="str">
        <f t="shared" si="294"/>
        <v>Yes</v>
      </c>
      <c r="AC235" s="308" t="str">
        <f t="shared" si="294"/>
        <v>Yes</v>
      </c>
      <c r="AE235" s="308">
        <f>SUM(AE72,AE105,AE138)</f>
        <v>2</v>
      </c>
      <c r="AF235" s="308">
        <f t="shared" ref="AF235:AN244" si="295">SUM(AF72,AF105,AF138)</f>
        <v>2</v>
      </c>
      <c r="AG235" s="308">
        <f t="shared" si="295"/>
        <v>1</v>
      </c>
      <c r="AH235" s="308">
        <f t="shared" si="295"/>
        <v>1</v>
      </c>
      <c r="AI235" s="308">
        <f t="shared" si="295"/>
        <v>2</v>
      </c>
      <c r="AJ235" s="308">
        <f t="shared" si="295"/>
        <v>2</v>
      </c>
      <c r="AK235" s="308">
        <f t="shared" si="295"/>
        <v>2</v>
      </c>
      <c r="AL235" s="308">
        <f t="shared" si="295"/>
        <v>2</v>
      </c>
      <c r="AM235" s="308">
        <f t="shared" si="295"/>
        <v>3</v>
      </c>
      <c r="AN235" s="308">
        <f t="shared" si="295"/>
        <v>3</v>
      </c>
    </row>
    <row r="236" spans="7:40" x14ac:dyDescent="0.3">
      <c r="R236" s="107"/>
      <c r="S236" s="232">
        <v>1988</v>
      </c>
      <c r="T236" s="306"/>
      <c r="U236" s="308" t="str">
        <f t="shared" ref="U236" si="296">IF(AF236&lt;2,"No","Yes")</f>
        <v>No</v>
      </c>
      <c r="V236" s="308" t="str">
        <f t="shared" ref="V236" si="297">IF(AG236&lt;2,"No","Yes")</f>
        <v>No</v>
      </c>
      <c r="W236" s="308" t="str">
        <f t="shared" ref="W236" si="298">IF(AH236&lt;2,"No","Yes")</f>
        <v>No</v>
      </c>
      <c r="X236" s="308" t="str">
        <f t="shared" ref="X236" si="299">IF(AI236&lt;2,"No","Yes")</f>
        <v>Yes</v>
      </c>
      <c r="Y236" s="308" t="str">
        <f t="shared" ref="Y236" si="300">IF(AJ236&lt;2,"No","Yes")</f>
        <v>Yes</v>
      </c>
      <c r="Z236" s="308" t="str">
        <f t="shared" ref="Z236" si="301">IF(AK236&lt;2,"No","Yes")</f>
        <v>Yes</v>
      </c>
      <c r="AA236" s="308" t="str">
        <f t="shared" ref="AA236" si="302">IF(AL236&lt;2,"No","Yes")</f>
        <v>Yes</v>
      </c>
      <c r="AB236" s="308" t="str">
        <f t="shared" ref="AB236" si="303">IF(AM236&lt;2,"No","Yes")</f>
        <v>Yes</v>
      </c>
      <c r="AC236" s="308" t="str">
        <f t="shared" ref="AC236" si="304">IF(AN236&lt;2,"No","Yes")</f>
        <v>Yes</v>
      </c>
      <c r="AE236" s="306">
        <f t="shared" ref="AE236:AE244" si="305">IF(T236="Yes",1,0)</f>
        <v>0</v>
      </c>
      <c r="AF236" s="308">
        <f t="shared" si="295"/>
        <v>1</v>
      </c>
      <c r="AG236" s="308">
        <f t="shared" si="295"/>
        <v>1</v>
      </c>
      <c r="AH236" s="308">
        <f t="shared" si="295"/>
        <v>0</v>
      </c>
      <c r="AI236" s="308">
        <f t="shared" si="295"/>
        <v>2</v>
      </c>
      <c r="AJ236" s="308">
        <f t="shared" si="295"/>
        <v>2</v>
      </c>
      <c r="AK236" s="308">
        <f t="shared" si="295"/>
        <v>2</v>
      </c>
      <c r="AL236" s="308">
        <f t="shared" si="295"/>
        <v>2</v>
      </c>
      <c r="AM236" s="308">
        <f t="shared" si="295"/>
        <v>3</v>
      </c>
      <c r="AN236" s="308">
        <f t="shared" si="295"/>
        <v>2</v>
      </c>
    </row>
    <row r="237" spans="7:40" x14ac:dyDescent="0.3">
      <c r="R237" s="107"/>
      <c r="S237" s="232" t="s">
        <v>397</v>
      </c>
      <c r="T237" s="306"/>
      <c r="U237" s="306"/>
      <c r="V237" s="308" t="str">
        <f t="shared" ref="V237" si="306">IF(AG237&lt;2,"No","Yes")</f>
        <v>Yes</v>
      </c>
      <c r="W237" s="308" t="str">
        <f t="shared" ref="W237" si="307">IF(AH237&lt;2,"No","Yes")</f>
        <v>No</v>
      </c>
      <c r="X237" s="308" t="str">
        <f t="shared" ref="X237" si="308">IF(AI237&lt;2,"No","Yes")</f>
        <v>Yes</v>
      </c>
      <c r="Y237" s="308" t="str">
        <f t="shared" ref="Y237" si="309">IF(AJ237&lt;2,"No","Yes")</f>
        <v>No</v>
      </c>
      <c r="Z237" s="308" t="str">
        <f t="shared" ref="Z237" si="310">IF(AK237&lt;2,"No","Yes")</f>
        <v>No</v>
      </c>
      <c r="AA237" s="308" t="str">
        <f t="shared" ref="AA237" si="311">IF(AL237&lt;2,"No","Yes")</f>
        <v>No</v>
      </c>
      <c r="AB237" s="308" t="str">
        <f t="shared" ref="AB237" si="312">IF(AM237&lt;2,"No","Yes")</f>
        <v>No</v>
      </c>
      <c r="AC237" s="308" t="str">
        <f t="shared" ref="AC237" si="313">IF(AN237&lt;2,"No","Yes")</f>
        <v>No</v>
      </c>
      <c r="AE237" s="306">
        <f t="shared" si="305"/>
        <v>0</v>
      </c>
      <c r="AF237" s="306">
        <f t="shared" ref="AF237:AF244" si="314">IF(U237="Yes",1,0)</f>
        <v>0</v>
      </c>
      <c r="AG237" s="308">
        <f t="shared" si="295"/>
        <v>2</v>
      </c>
      <c r="AH237" s="308">
        <f t="shared" si="295"/>
        <v>1</v>
      </c>
      <c r="AI237" s="308">
        <f t="shared" si="295"/>
        <v>3</v>
      </c>
      <c r="AJ237" s="308">
        <f t="shared" si="295"/>
        <v>1</v>
      </c>
      <c r="AK237" s="308">
        <f t="shared" si="295"/>
        <v>1</v>
      </c>
      <c r="AL237" s="308">
        <f t="shared" si="295"/>
        <v>1</v>
      </c>
      <c r="AM237" s="308">
        <f t="shared" si="295"/>
        <v>1</v>
      </c>
      <c r="AN237" s="308">
        <f t="shared" si="295"/>
        <v>1</v>
      </c>
    </row>
    <row r="238" spans="7:40" x14ac:dyDescent="0.3">
      <c r="R238" s="107"/>
      <c r="S238" s="232" t="s">
        <v>401</v>
      </c>
      <c r="T238" s="306"/>
      <c r="U238" s="306"/>
      <c r="V238" s="306"/>
      <c r="W238" s="308" t="str">
        <f t="shared" ref="W238" si="315">IF(AH238&lt;2,"No","Yes")</f>
        <v>No</v>
      </c>
      <c r="X238" s="308" t="str">
        <f t="shared" ref="X238" si="316">IF(AI238&lt;2,"No","Yes")</f>
        <v>No</v>
      </c>
      <c r="Y238" s="308" t="str">
        <f t="shared" ref="Y238" si="317">IF(AJ238&lt;2,"No","Yes")</f>
        <v>Yes</v>
      </c>
      <c r="Z238" s="308" t="str">
        <f t="shared" ref="Z238" si="318">IF(AK238&lt;2,"No","Yes")</f>
        <v>Yes</v>
      </c>
      <c r="AA238" s="308" t="str">
        <f t="shared" ref="AA238" si="319">IF(AL238&lt;2,"No","Yes")</f>
        <v>No</v>
      </c>
      <c r="AB238" s="308" t="str">
        <f t="shared" ref="AB238" si="320">IF(AM238&lt;2,"No","Yes")</f>
        <v>Yes</v>
      </c>
      <c r="AC238" s="308" t="str">
        <f t="shared" ref="AC238" si="321">IF(AN238&lt;2,"No","Yes")</f>
        <v>No</v>
      </c>
      <c r="AE238" s="306">
        <f t="shared" si="305"/>
        <v>0</v>
      </c>
      <c r="AF238" s="306">
        <f t="shared" si="314"/>
        <v>0</v>
      </c>
      <c r="AG238" s="306">
        <f t="shared" ref="AG238:AG244" si="322">IF(V238="Yes",1,0)</f>
        <v>0</v>
      </c>
      <c r="AH238" s="308">
        <f t="shared" si="295"/>
        <v>0</v>
      </c>
      <c r="AI238" s="308">
        <f t="shared" si="295"/>
        <v>1</v>
      </c>
      <c r="AJ238" s="308">
        <f t="shared" si="295"/>
        <v>2</v>
      </c>
      <c r="AK238" s="308">
        <f t="shared" si="295"/>
        <v>2</v>
      </c>
      <c r="AL238" s="308">
        <f t="shared" si="295"/>
        <v>1</v>
      </c>
      <c r="AM238" s="308">
        <f t="shared" si="295"/>
        <v>3</v>
      </c>
      <c r="AN238" s="308">
        <f t="shared" si="295"/>
        <v>1</v>
      </c>
    </row>
    <row r="239" spans="7:40" x14ac:dyDescent="0.3">
      <c r="R239" s="107"/>
      <c r="S239" s="232" t="s">
        <v>405</v>
      </c>
      <c r="T239" s="306"/>
      <c r="U239" s="306"/>
      <c r="V239" s="306"/>
      <c r="W239" s="306"/>
      <c r="X239" s="308" t="str">
        <f t="shared" ref="X239" si="323">IF(AI239&lt;2,"No","Yes")</f>
        <v>Yes</v>
      </c>
      <c r="Y239" s="308" t="str">
        <f t="shared" ref="Y239" si="324">IF(AJ239&lt;2,"No","Yes")</f>
        <v>Yes</v>
      </c>
      <c r="Z239" s="308" t="str">
        <f t="shared" ref="Z239" si="325">IF(AK239&lt;2,"No","Yes")</f>
        <v>Yes</v>
      </c>
      <c r="AA239" s="308" t="str">
        <f t="shared" ref="AA239" si="326">IF(AL239&lt;2,"No","Yes")</f>
        <v>No</v>
      </c>
      <c r="AB239" s="308" t="str">
        <f t="shared" ref="AB239" si="327">IF(AM239&lt;2,"No","Yes")</f>
        <v>Yes</v>
      </c>
      <c r="AC239" s="308" t="str">
        <f t="shared" ref="AC239" si="328">IF(AN239&lt;2,"No","Yes")</f>
        <v>Yes</v>
      </c>
      <c r="AE239" s="306">
        <f t="shared" si="305"/>
        <v>0</v>
      </c>
      <c r="AF239" s="306">
        <f t="shared" si="314"/>
        <v>0</v>
      </c>
      <c r="AG239" s="306">
        <f t="shared" si="322"/>
        <v>0</v>
      </c>
      <c r="AH239" s="306">
        <f t="shared" ref="AH239:AH244" si="329">IF(W239="Yes",1,0)</f>
        <v>0</v>
      </c>
      <c r="AI239" s="308">
        <f t="shared" si="295"/>
        <v>2</v>
      </c>
      <c r="AJ239" s="308">
        <f t="shared" si="295"/>
        <v>3</v>
      </c>
      <c r="AK239" s="308">
        <f t="shared" si="295"/>
        <v>2</v>
      </c>
      <c r="AL239" s="308">
        <f t="shared" si="295"/>
        <v>1</v>
      </c>
      <c r="AM239" s="308">
        <f t="shared" si="295"/>
        <v>2</v>
      </c>
      <c r="AN239" s="308">
        <f t="shared" si="295"/>
        <v>2</v>
      </c>
    </row>
    <row r="240" spans="7:40" x14ac:dyDescent="0.3">
      <c r="R240" s="107"/>
      <c r="S240" s="232" t="s">
        <v>429</v>
      </c>
      <c r="T240" s="306"/>
      <c r="U240" s="306"/>
      <c r="V240" s="306"/>
      <c r="W240" s="306"/>
      <c r="X240" s="306"/>
      <c r="Y240" s="308" t="str">
        <f t="shared" ref="Y240" si="330">IF(AJ240&lt;2,"No","Yes")</f>
        <v>Yes</v>
      </c>
      <c r="Z240" s="308" t="str">
        <f t="shared" ref="Z240" si="331">IF(AK240&lt;2,"No","Yes")</f>
        <v>Yes</v>
      </c>
      <c r="AA240" s="308" t="str">
        <f t="shared" ref="AA240" si="332">IF(AL240&lt;2,"No","Yes")</f>
        <v>Yes</v>
      </c>
      <c r="AB240" s="308" t="str">
        <f t="shared" ref="AB240" si="333">IF(AM240&lt;2,"No","Yes")</f>
        <v>Yes</v>
      </c>
      <c r="AC240" s="308" t="str">
        <f t="shared" ref="AC240" si="334">IF(AN240&lt;2,"No","Yes")</f>
        <v>No</v>
      </c>
      <c r="AE240" s="306">
        <f t="shared" si="305"/>
        <v>0</v>
      </c>
      <c r="AF240" s="306">
        <f t="shared" si="314"/>
        <v>0</v>
      </c>
      <c r="AG240" s="306">
        <f t="shared" si="322"/>
        <v>0</v>
      </c>
      <c r="AH240" s="306">
        <f t="shared" si="329"/>
        <v>0</v>
      </c>
      <c r="AI240" s="306">
        <f t="shared" ref="AI240:AI244" si="335">IF(X240="Yes",1,0)</f>
        <v>0</v>
      </c>
      <c r="AJ240" s="308">
        <f t="shared" si="295"/>
        <v>2</v>
      </c>
      <c r="AK240" s="308">
        <f t="shared" si="295"/>
        <v>3</v>
      </c>
      <c r="AL240" s="308">
        <f t="shared" si="295"/>
        <v>2</v>
      </c>
      <c r="AM240" s="308">
        <f t="shared" si="295"/>
        <v>2</v>
      </c>
      <c r="AN240" s="308">
        <f t="shared" si="295"/>
        <v>1</v>
      </c>
    </row>
    <row r="241" spans="13:40" x14ac:dyDescent="0.3">
      <c r="R241" s="107"/>
      <c r="S241" s="232" t="s">
        <v>437</v>
      </c>
      <c r="T241" s="306"/>
      <c r="U241" s="306"/>
      <c r="V241" s="306"/>
      <c r="W241" s="306"/>
      <c r="X241" s="306"/>
      <c r="Y241" s="306"/>
      <c r="Z241" s="308" t="str">
        <f t="shared" ref="Z241" si="336">IF(AK241&lt;2,"No","Yes")</f>
        <v>No</v>
      </c>
      <c r="AA241" s="308" t="str">
        <f t="shared" ref="AA241" si="337">IF(AL241&lt;2,"No","Yes")</f>
        <v>No</v>
      </c>
      <c r="AB241" s="308" t="str">
        <f t="shared" ref="AB241" si="338">IF(AM241&lt;2,"No","Yes")</f>
        <v>No</v>
      </c>
      <c r="AC241" s="308" t="str">
        <f t="shared" ref="AC241" si="339">IF(AN241&lt;2,"No","Yes")</f>
        <v>Yes</v>
      </c>
      <c r="AE241" s="306">
        <f t="shared" si="305"/>
        <v>0</v>
      </c>
      <c r="AF241" s="306">
        <f t="shared" si="314"/>
        <v>0</v>
      </c>
      <c r="AG241" s="306">
        <f t="shared" si="322"/>
        <v>0</v>
      </c>
      <c r="AH241" s="306">
        <f t="shared" si="329"/>
        <v>0</v>
      </c>
      <c r="AI241" s="306">
        <f t="shared" si="335"/>
        <v>0</v>
      </c>
      <c r="AJ241" s="306">
        <f t="shared" ref="AJ241:AJ244" si="340">IF(Y241="Yes",1,0)</f>
        <v>0</v>
      </c>
      <c r="AK241" s="308">
        <f t="shared" si="295"/>
        <v>0</v>
      </c>
      <c r="AL241" s="308">
        <f t="shared" si="295"/>
        <v>0</v>
      </c>
      <c r="AM241" s="308">
        <f t="shared" si="295"/>
        <v>0</v>
      </c>
      <c r="AN241" s="308">
        <f t="shared" si="295"/>
        <v>2</v>
      </c>
    </row>
    <row r="242" spans="13:40" x14ac:dyDescent="0.3">
      <c r="R242" s="107"/>
      <c r="S242" s="232" t="s">
        <v>441</v>
      </c>
      <c r="T242" s="306"/>
      <c r="U242" s="306"/>
      <c r="V242" s="306"/>
      <c r="W242" s="306"/>
      <c r="X242" s="306"/>
      <c r="Y242" s="306"/>
      <c r="Z242" s="306"/>
      <c r="AA242" s="308" t="str">
        <f t="shared" ref="AA242" si="341">IF(AL242&lt;2,"No","Yes")</f>
        <v>No</v>
      </c>
      <c r="AB242" s="308" t="str">
        <f t="shared" ref="AB242" si="342">IF(AM242&lt;2,"No","Yes")</f>
        <v>Yes</v>
      </c>
      <c r="AC242" s="308" t="str">
        <f t="shared" ref="AC242" si="343">IF(AN242&lt;2,"No","Yes")</f>
        <v>No</v>
      </c>
      <c r="AE242" s="306">
        <f t="shared" si="305"/>
        <v>0</v>
      </c>
      <c r="AF242" s="306">
        <f t="shared" si="314"/>
        <v>0</v>
      </c>
      <c r="AG242" s="306">
        <f t="shared" si="322"/>
        <v>0</v>
      </c>
      <c r="AH242" s="306">
        <f t="shared" si="329"/>
        <v>0</v>
      </c>
      <c r="AI242" s="306">
        <f t="shared" si="335"/>
        <v>0</v>
      </c>
      <c r="AJ242" s="306">
        <f t="shared" si="340"/>
        <v>0</v>
      </c>
      <c r="AK242" s="306">
        <f t="shared" ref="AK242:AK244" si="344">IF(Z242="Yes",1,0)</f>
        <v>0</v>
      </c>
      <c r="AL242" s="308">
        <f t="shared" si="295"/>
        <v>0</v>
      </c>
      <c r="AM242" s="308">
        <f t="shared" si="295"/>
        <v>2</v>
      </c>
      <c r="AN242" s="308">
        <f t="shared" si="295"/>
        <v>1</v>
      </c>
    </row>
    <row r="243" spans="13:40" x14ac:dyDescent="0.3">
      <c r="R243" s="107"/>
      <c r="S243" s="232" t="s">
        <v>531</v>
      </c>
      <c r="T243" s="306"/>
      <c r="U243" s="306"/>
      <c r="V243" s="306"/>
      <c r="W243" s="306"/>
      <c r="X243" s="306"/>
      <c r="Y243" s="306"/>
      <c r="Z243" s="306"/>
      <c r="AA243" s="306"/>
      <c r="AB243" s="308" t="str">
        <f t="shared" ref="AB243" si="345">IF(AM243&lt;2,"No","Yes")</f>
        <v>No</v>
      </c>
      <c r="AC243" s="308" t="str">
        <f t="shared" ref="AC243:AC244" si="346">IF(AN243&lt;2,"No","Yes")</f>
        <v>Yes</v>
      </c>
      <c r="AE243" s="306">
        <f t="shared" si="305"/>
        <v>0</v>
      </c>
      <c r="AF243" s="306">
        <f t="shared" si="314"/>
        <v>0</v>
      </c>
      <c r="AG243" s="306">
        <f t="shared" si="322"/>
        <v>0</v>
      </c>
      <c r="AH243" s="306">
        <f t="shared" si="329"/>
        <v>0</v>
      </c>
      <c r="AI243" s="306">
        <f t="shared" si="335"/>
        <v>0</v>
      </c>
      <c r="AJ243" s="306">
        <f t="shared" si="340"/>
        <v>0</v>
      </c>
      <c r="AK243" s="306">
        <f t="shared" si="344"/>
        <v>0</v>
      </c>
      <c r="AL243" s="306">
        <f t="shared" ref="AL243:AL244" si="347">IF(AA243="Yes",1,0)</f>
        <v>0</v>
      </c>
      <c r="AM243" s="308">
        <f t="shared" si="295"/>
        <v>1</v>
      </c>
      <c r="AN243" s="308">
        <f t="shared" si="295"/>
        <v>2</v>
      </c>
    </row>
    <row r="244" spans="13:40" x14ac:dyDescent="0.3">
      <c r="R244" s="107"/>
      <c r="S244" s="232" t="s">
        <v>532</v>
      </c>
      <c r="T244" s="306"/>
      <c r="U244" s="306"/>
      <c r="V244" s="306"/>
      <c r="W244" s="306"/>
      <c r="X244" s="306"/>
      <c r="Y244" s="306"/>
      <c r="Z244" s="306"/>
      <c r="AA244" s="306"/>
      <c r="AB244" s="306"/>
      <c r="AC244" s="308" t="str">
        <f t="shared" si="346"/>
        <v>No</v>
      </c>
      <c r="AE244" s="306">
        <f t="shared" si="305"/>
        <v>0</v>
      </c>
      <c r="AF244" s="306">
        <f t="shared" si="314"/>
        <v>0</v>
      </c>
      <c r="AG244" s="306">
        <f t="shared" si="322"/>
        <v>0</v>
      </c>
      <c r="AH244" s="306">
        <f t="shared" si="329"/>
        <v>0</v>
      </c>
      <c r="AI244" s="306">
        <f t="shared" si="335"/>
        <v>0</v>
      </c>
      <c r="AJ244" s="306">
        <f t="shared" si="340"/>
        <v>0</v>
      </c>
      <c r="AK244" s="306">
        <f t="shared" si="344"/>
        <v>0</v>
      </c>
      <c r="AL244" s="306">
        <f t="shared" si="347"/>
        <v>0</v>
      </c>
      <c r="AM244" s="306">
        <f t="shared" ref="AM244" si="348">IF(AB244="Yes",1,0)</f>
        <v>0</v>
      </c>
      <c r="AN244" s="308">
        <f t="shared" si="295"/>
        <v>0</v>
      </c>
    </row>
    <row r="245" spans="13:40" x14ac:dyDescent="0.3"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</row>
    <row r="248" spans="13:40" x14ac:dyDescent="0.3">
      <c r="M248" s="107">
        <v>1</v>
      </c>
      <c r="N248" s="107" t="s">
        <v>876</v>
      </c>
      <c r="O248" s="107"/>
      <c r="P248" s="107"/>
      <c r="Q248" s="107"/>
      <c r="T248" s="364" t="s">
        <v>405</v>
      </c>
      <c r="U248" s="364"/>
      <c r="V248" s="364"/>
      <c r="W248" s="364" t="s">
        <v>441</v>
      </c>
      <c r="X248" s="364"/>
      <c r="Y248" s="364"/>
      <c r="Z248" s="364" t="s">
        <v>531</v>
      </c>
      <c r="AA248" s="364"/>
      <c r="AB248" s="364"/>
    </row>
    <row r="249" spans="13:40" x14ac:dyDescent="0.3">
      <c r="M249" s="107">
        <v>2</v>
      </c>
      <c r="N249" s="107" t="s">
        <v>877</v>
      </c>
      <c r="O249" s="107"/>
      <c r="P249" s="107"/>
      <c r="Q249" s="107"/>
      <c r="S249" s="232" t="s">
        <v>397</v>
      </c>
      <c r="T249" s="363" t="str">
        <f>_xlfn.CONCAT(W173,"/",W189,"/",W205,"/",W221,"/",W237,"/",W74)</f>
        <v>Yes/No/No/No/No/Yes</v>
      </c>
      <c r="U249" s="363"/>
      <c r="V249" s="363"/>
      <c r="W249" s="363" t="str">
        <f>_xlfn.CONCAT(Z173,"/",Z189,"/",Z205,"/",Z221,"/",Z237,"/",Z74)</f>
        <v>Yes/No/No/No/No/No</v>
      </c>
      <c r="X249" s="363"/>
      <c r="Y249" s="363"/>
      <c r="Z249" s="363" t="str">
        <f>_xlfn.CONCAT(AA173,"/",AA189,"/",AA205,"/",AA221,"/",AA237,"/",AA74)</f>
        <v>Yes/No/No/No/No/Yes</v>
      </c>
      <c r="AA249" s="363"/>
      <c r="AB249" s="363"/>
    </row>
    <row r="250" spans="13:40" x14ac:dyDescent="0.3">
      <c r="M250" s="107">
        <v>3</v>
      </c>
      <c r="N250" s="107" t="s">
        <v>881</v>
      </c>
      <c r="O250" s="107"/>
      <c r="P250" s="107"/>
      <c r="Q250" s="107"/>
      <c r="S250" s="232" t="s">
        <v>405</v>
      </c>
      <c r="T250" s="304"/>
      <c r="U250" s="304"/>
      <c r="V250" s="304"/>
      <c r="W250" s="363" t="str">
        <f>_xlfn.CONCAT(Z175,"/",Z191,"/",Z207,"/",Z223,"/",Z239,"/",Z76)</f>
        <v>Yes/No/No/Yes/Yes/Yes</v>
      </c>
      <c r="X250" s="363"/>
      <c r="Y250" s="363"/>
      <c r="Z250" s="363" t="str">
        <f>_xlfn.CONCAT(AA175,"/",AA191,"/",AA207,"/",AA223,"/",AA239,"/",AA76)</f>
        <v>Yes/No/No/No/No/No</v>
      </c>
      <c r="AA250" s="363"/>
      <c r="AB250" s="363"/>
    </row>
    <row r="251" spans="13:40" x14ac:dyDescent="0.3">
      <c r="M251" s="107">
        <v>4</v>
      </c>
      <c r="N251" s="107" t="s">
        <v>878</v>
      </c>
      <c r="O251" s="107"/>
      <c r="P251" s="107"/>
      <c r="Q251" s="107"/>
      <c r="S251" s="232" t="s">
        <v>441</v>
      </c>
      <c r="T251" s="304"/>
      <c r="U251" s="304"/>
      <c r="V251" s="304"/>
      <c r="W251" s="304"/>
      <c r="X251" s="304"/>
      <c r="Y251" s="304"/>
      <c r="Z251" s="363" t="str">
        <f>_xlfn.CONCAT(AA178,"/",AA194,"/",AA210,"/",AA226,"/",AA242,"/",AA79)</f>
        <v>No/No/No/No/No/No</v>
      </c>
      <c r="AA251" s="363"/>
      <c r="AB251" s="363"/>
    </row>
    <row r="252" spans="13:40" x14ac:dyDescent="0.3">
      <c r="M252" s="107">
        <v>5</v>
      </c>
      <c r="N252" s="107" t="s">
        <v>880</v>
      </c>
      <c r="O252" s="107"/>
      <c r="P252" s="107"/>
      <c r="Q252" s="107"/>
    </row>
    <row r="253" spans="13:40" x14ac:dyDescent="0.3">
      <c r="M253" s="107">
        <v>6</v>
      </c>
      <c r="N253" s="107" t="s">
        <v>884</v>
      </c>
      <c r="O253" s="107"/>
      <c r="P253" s="107"/>
      <c r="Q253" s="107"/>
    </row>
  </sheetData>
  <mergeCells count="9">
    <mergeCell ref="Z251:AB251"/>
    <mergeCell ref="W248:Y248"/>
    <mergeCell ref="Z248:AB248"/>
    <mergeCell ref="T248:V248"/>
    <mergeCell ref="T249:V249"/>
    <mergeCell ref="W249:Y249"/>
    <mergeCell ref="W250:Y250"/>
    <mergeCell ref="Z249:AB249"/>
    <mergeCell ref="Z250:AB250"/>
  </mergeCells>
  <conditionalFormatting sqref="T6:AC15 AE6:AN15 T22:AC31 T39:AC48 T55:AC64 T72:AC82 T88:AC97 T105:AC115 T121:AC130 T138:AC147 T154:AC163 T187:AC196 T203:AC212">
    <cfRule type="cellIs" dxfId="38" priority="80" operator="equal">
      <formula>"No"</formula>
    </cfRule>
    <cfRule type="cellIs" dxfId="37" priority="70" operator="equal">
      <formula>"Yes"</formula>
    </cfRule>
    <cfRule type="containsText" dxfId="36" priority="71" operator="containsText" text="&quot;Yes&quot;">
      <formula>NOT(ISERROR(SEARCH("""Yes""",T6)))</formula>
    </cfRule>
  </conditionalFormatting>
  <conditionalFormatting sqref="T171:AC180">
    <cfRule type="cellIs" dxfId="35" priority="10" operator="equal">
      <formula>"Yes"</formula>
    </cfRule>
    <cfRule type="containsText" dxfId="34" priority="11" operator="containsText" text="&quot;Yes&quot;">
      <formula>NOT(ISERROR(SEARCH("""Yes""",T171)))</formula>
    </cfRule>
    <cfRule type="cellIs" dxfId="33" priority="12" operator="equal">
      <formula>"No"</formula>
    </cfRule>
  </conditionalFormatting>
  <conditionalFormatting sqref="T219:AC228">
    <cfRule type="cellIs" dxfId="32" priority="4" operator="equal">
      <formula>"Yes"</formula>
    </cfRule>
    <cfRule type="containsText" dxfId="31" priority="5" operator="containsText" text="&quot;Yes&quot;">
      <formula>NOT(ISERROR(SEARCH("""Yes""",T219)))</formula>
    </cfRule>
    <cfRule type="cellIs" dxfId="30" priority="6" operator="equal">
      <formula>"No"</formula>
    </cfRule>
  </conditionalFormatting>
  <conditionalFormatting sqref="T235:AC244">
    <cfRule type="cellIs" dxfId="29" priority="16" operator="equal">
      <formula>"Yes"</formula>
    </cfRule>
    <cfRule type="containsText" dxfId="28" priority="17" operator="containsText" text="&quot;Yes&quot;">
      <formula>NOT(ISERROR(SEARCH("""Yes""",T235)))</formula>
    </cfRule>
    <cfRule type="cellIs" dxfId="27" priority="18" operator="equal">
      <formula>"No"</formula>
    </cfRule>
  </conditionalFormatting>
  <conditionalFormatting sqref="AE39:AN48">
    <cfRule type="cellIs" dxfId="26" priority="34" operator="equal">
      <formula>"Yes"</formula>
    </cfRule>
    <cfRule type="containsText" dxfId="25" priority="35" operator="containsText" text="&quot;Yes&quot;">
      <formula>NOT(ISERROR(SEARCH("""Yes""",AE39)))</formula>
    </cfRule>
    <cfRule type="cellIs" dxfId="24" priority="36" operator="equal">
      <formula>"No"</formula>
    </cfRule>
  </conditionalFormatting>
  <conditionalFormatting sqref="AE72:AN81">
    <cfRule type="cellIs" dxfId="23" priority="31" operator="equal">
      <formula>"Yes"</formula>
    </cfRule>
    <cfRule type="containsText" dxfId="22" priority="32" operator="containsText" text="&quot;Yes&quot;">
      <formula>NOT(ISERROR(SEARCH("""Yes""",AE72)))</formula>
    </cfRule>
    <cfRule type="cellIs" dxfId="21" priority="33" operator="equal">
      <formula>"No"</formula>
    </cfRule>
  </conditionalFormatting>
  <conditionalFormatting sqref="AE105:AN114">
    <cfRule type="cellIs" dxfId="20" priority="28" operator="equal">
      <formula>"Yes"</formula>
    </cfRule>
    <cfRule type="containsText" dxfId="19" priority="29" operator="containsText" text="&quot;Yes&quot;">
      <formula>NOT(ISERROR(SEARCH("""Yes""",AE105)))</formula>
    </cfRule>
    <cfRule type="cellIs" dxfId="18" priority="30" operator="equal">
      <formula>"No"</formula>
    </cfRule>
  </conditionalFormatting>
  <conditionalFormatting sqref="AE138:AN147">
    <cfRule type="containsText" dxfId="17" priority="26" operator="containsText" text="&quot;Yes&quot;">
      <formula>NOT(ISERROR(SEARCH("""Yes""",AE138)))</formula>
    </cfRule>
    <cfRule type="cellIs" dxfId="16" priority="25" operator="equal">
      <formula>"Yes"</formula>
    </cfRule>
    <cfRule type="cellIs" dxfId="15" priority="27" operator="equal">
      <formula>"No"</formula>
    </cfRule>
  </conditionalFormatting>
  <conditionalFormatting sqref="AE171:AN180">
    <cfRule type="cellIs" dxfId="14" priority="7" operator="equal">
      <formula>"Yes"</formula>
    </cfRule>
    <cfRule type="containsText" dxfId="13" priority="8" operator="containsText" text="&quot;Yes&quot;">
      <formula>NOT(ISERROR(SEARCH("""Yes""",AE171)))</formula>
    </cfRule>
    <cfRule type="cellIs" dxfId="12" priority="9" operator="equal">
      <formula>"No"</formula>
    </cfRule>
  </conditionalFormatting>
  <conditionalFormatting sqref="AE187:AN196">
    <cfRule type="cellIs" dxfId="11" priority="24" operator="equal">
      <formula>"No"</formula>
    </cfRule>
    <cfRule type="containsText" dxfId="10" priority="23" operator="containsText" text="&quot;Yes&quot;">
      <formula>NOT(ISERROR(SEARCH("""Yes""",AE187)))</formula>
    </cfRule>
    <cfRule type="cellIs" dxfId="9" priority="22" operator="equal">
      <formula>"Yes"</formula>
    </cfRule>
  </conditionalFormatting>
  <conditionalFormatting sqref="AE203:AN212">
    <cfRule type="cellIs" dxfId="8" priority="19" operator="equal">
      <formula>"Yes"</formula>
    </cfRule>
    <cfRule type="containsText" dxfId="7" priority="20" operator="containsText" text="&quot;Yes&quot;">
      <formula>NOT(ISERROR(SEARCH("""Yes""",AE203)))</formula>
    </cfRule>
    <cfRule type="cellIs" dxfId="6" priority="21" operator="equal">
      <formula>"No"</formula>
    </cfRule>
  </conditionalFormatting>
  <conditionalFormatting sqref="AE219:AN228">
    <cfRule type="cellIs" dxfId="5" priority="3" operator="equal">
      <formula>"No"</formula>
    </cfRule>
    <cfRule type="containsText" dxfId="4" priority="2" operator="containsText" text="&quot;Yes&quot;">
      <formula>NOT(ISERROR(SEARCH("""Yes""",AE219)))</formula>
    </cfRule>
    <cfRule type="cellIs" dxfId="3" priority="1" operator="equal">
      <formula>"Yes"</formula>
    </cfRule>
  </conditionalFormatting>
  <conditionalFormatting sqref="AE235:AN244">
    <cfRule type="cellIs" dxfId="2" priority="13" operator="equal">
      <formula>"Yes"</formula>
    </cfRule>
    <cfRule type="cellIs" dxfId="1" priority="15" operator="equal">
      <formula>"No"</formula>
    </cfRule>
    <cfRule type="containsText" dxfId="0" priority="14" operator="containsText" text="&quot;Yes&quot;">
      <formula>NOT(ISERROR(SEARCH("""Yes""",AE235)))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32E3-02ED-4E08-B511-606721C6D80C}">
  <dimension ref="B2:AN463"/>
  <sheetViews>
    <sheetView topLeftCell="D298" zoomScale="85" zoomScaleNormal="85" workbookViewId="0">
      <selection activeCell="U305" sqref="U305"/>
    </sheetView>
  </sheetViews>
  <sheetFormatPr baseColWidth="10" defaultRowHeight="14.4" x14ac:dyDescent="0.3"/>
  <cols>
    <col min="2" max="2" width="15" bestFit="1" customWidth="1"/>
    <col min="7" max="7" width="12" bestFit="1" customWidth="1"/>
    <col min="10" max="10" width="12.44140625" bestFit="1" customWidth="1"/>
    <col min="13" max="13" width="13.44140625" bestFit="1" customWidth="1"/>
    <col min="15" max="15" width="15.21875" bestFit="1" customWidth="1"/>
    <col min="28" max="28" width="15.5546875" bestFit="1" customWidth="1"/>
  </cols>
  <sheetData>
    <row r="2" spans="2:40" x14ac:dyDescent="0.3">
      <c r="D2" t="s">
        <v>640</v>
      </c>
      <c r="E2" t="s">
        <v>641</v>
      </c>
      <c r="F2" t="s">
        <v>642</v>
      </c>
      <c r="G2" t="s">
        <v>643</v>
      </c>
      <c r="H2" t="s">
        <v>644</v>
      </c>
      <c r="M2" s="131" t="s">
        <v>417</v>
      </c>
      <c r="N2" s="138">
        <f>GUE_all!K3</f>
        <v>43418.09</v>
      </c>
    </row>
    <row r="3" spans="2:40" x14ac:dyDescent="0.3">
      <c r="D3" t="s">
        <v>3</v>
      </c>
      <c r="E3" t="s">
        <v>4</v>
      </c>
      <c r="F3" t="s">
        <v>5</v>
      </c>
      <c r="G3" t="s">
        <v>6</v>
      </c>
      <c r="H3" t="s">
        <v>7</v>
      </c>
      <c r="K3" t="s">
        <v>638</v>
      </c>
      <c r="L3" t="s">
        <v>5</v>
      </c>
      <c r="M3" s="131" t="s">
        <v>536</v>
      </c>
      <c r="N3" s="138">
        <f>GUE_all!K4</f>
        <v>1861.55</v>
      </c>
      <c r="Q3" t="s">
        <v>3</v>
      </c>
      <c r="R3" t="s">
        <v>4</v>
      </c>
      <c r="S3" t="s">
        <v>5</v>
      </c>
      <c r="T3" t="s">
        <v>6</v>
      </c>
      <c r="U3" t="s">
        <v>7</v>
      </c>
      <c r="AD3" t="s">
        <v>3</v>
      </c>
      <c r="AE3" t="s">
        <v>4</v>
      </c>
      <c r="AF3" t="s">
        <v>5</v>
      </c>
      <c r="AG3" t="s">
        <v>6</v>
      </c>
      <c r="AH3" t="s">
        <v>7</v>
      </c>
    </row>
    <row r="4" spans="2:40" x14ac:dyDescent="0.3">
      <c r="D4" t="s">
        <v>468</v>
      </c>
      <c r="E4" t="s">
        <v>469</v>
      </c>
      <c r="F4" t="s">
        <v>470</v>
      </c>
      <c r="G4" t="s">
        <v>471</v>
      </c>
      <c r="H4" t="s">
        <v>472</v>
      </c>
      <c r="K4" t="s">
        <v>637</v>
      </c>
      <c r="L4" t="s">
        <v>636</v>
      </c>
      <c r="M4" s="131" t="s">
        <v>622</v>
      </c>
      <c r="N4" s="138">
        <v>480.62</v>
      </c>
      <c r="Q4" t="s">
        <v>468</v>
      </c>
      <c r="R4" t="s">
        <v>469</v>
      </c>
      <c r="S4" t="s">
        <v>470</v>
      </c>
      <c r="T4" t="s">
        <v>471</v>
      </c>
      <c r="U4" t="s">
        <v>472</v>
      </c>
      <c r="AD4" t="s">
        <v>468</v>
      </c>
      <c r="AE4" t="s">
        <v>469</v>
      </c>
      <c r="AF4" t="s">
        <v>470</v>
      </c>
      <c r="AG4" t="s">
        <v>471</v>
      </c>
      <c r="AH4" t="s">
        <v>472</v>
      </c>
    </row>
    <row r="5" spans="2:40" x14ac:dyDescent="0.3">
      <c r="B5" s="118" t="s">
        <v>375</v>
      </c>
      <c r="C5" s="8">
        <v>20</v>
      </c>
      <c r="D5" s="90" t="s">
        <v>524</v>
      </c>
      <c r="E5" s="91" t="s">
        <v>523</v>
      </c>
      <c r="F5" s="92" t="s">
        <v>525</v>
      </c>
      <c r="G5" s="124" t="s">
        <v>526</v>
      </c>
      <c r="H5" s="123" t="s">
        <v>527</v>
      </c>
      <c r="I5" s="212" t="s">
        <v>529</v>
      </c>
      <c r="J5" s="213" t="s">
        <v>599</v>
      </c>
      <c r="K5" s="214" t="s">
        <v>600</v>
      </c>
      <c r="L5" s="215" t="s">
        <v>525</v>
      </c>
      <c r="Q5" s="90" t="s">
        <v>524</v>
      </c>
      <c r="R5" s="91" t="s">
        <v>523</v>
      </c>
      <c r="S5" s="92" t="s">
        <v>525</v>
      </c>
      <c r="T5" s="124" t="s">
        <v>526</v>
      </c>
      <c r="U5" s="123" t="s">
        <v>527</v>
      </c>
      <c r="V5" s="212" t="s">
        <v>529</v>
      </c>
      <c r="W5" s="213" t="s">
        <v>599</v>
      </c>
      <c r="X5" s="214" t="s">
        <v>600</v>
      </c>
      <c r="Y5" s="215" t="s">
        <v>525</v>
      </c>
      <c r="AD5" s="90" t="s">
        <v>524</v>
      </c>
      <c r="AE5" s="91" t="s">
        <v>523</v>
      </c>
      <c r="AF5" s="92" t="s">
        <v>525</v>
      </c>
      <c r="AG5" s="124" t="s">
        <v>526</v>
      </c>
      <c r="AH5" s="123" t="s">
        <v>527</v>
      </c>
      <c r="AI5" s="212" t="s">
        <v>529</v>
      </c>
      <c r="AJ5" s="213" t="s">
        <v>599</v>
      </c>
      <c r="AK5" s="214" t="s">
        <v>600</v>
      </c>
      <c r="AL5" s="215" t="s">
        <v>525</v>
      </c>
    </row>
    <row r="6" spans="2:40" x14ac:dyDescent="0.3">
      <c r="B6" s="119" t="s">
        <v>413</v>
      </c>
      <c r="C6" s="107"/>
      <c r="D6" s="116"/>
      <c r="E6" s="116"/>
      <c r="F6" s="116"/>
      <c r="G6" s="116"/>
      <c r="H6" s="116"/>
      <c r="I6" s="107"/>
      <c r="J6" s="107"/>
      <c r="K6" s="107"/>
      <c r="L6" s="107"/>
      <c r="M6" s="107"/>
      <c r="N6" s="107"/>
      <c r="O6" s="119" t="s">
        <v>414</v>
      </c>
      <c r="P6" s="107"/>
      <c r="Q6" s="116"/>
      <c r="R6" s="116"/>
      <c r="S6" s="116"/>
      <c r="T6" s="116"/>
      <c r="U6" s="116"/>
      <c r="V6" s="107"/>
      <c r="W6" s="107"/>
      <c r="X6" s="107"/>
      <c r="Y6" s="107"/>
      <c r="Z6" s="107"/>
      <c r="AA6" s="107"/>
      <c r="AB6" s="119" t="s">
        <v>623</v>
      </c>
      <c r="AC6" s="107"/>
      <c r="AD6" s="116"/>
      <c r="AE6" s="116"/>
      <c r="AF6" s="116"/>
      <c r="AG6" s="116"/>
      <c r="AH6" s="116"/>
      <c r="AI6" s="107"/>
      <c r="AJ6" s="107"/>
      <c r="AK6" s="107"/>
      <c r="AL6" s="107"/>
      <c r="AM6" s="107"/>
      <c r="AN6" s="107"/>
    </row>
    <row r="7" spans="2:40" x14ac:dyDescent="0.3">
      <c r="B7" s="115" t="s">
        <v>409</v>
      </c>
      <c r="C7" s="122" t="s">
        <v>9</v>
      </c>
      <c r="D7" s="136">
        <f>'77_Seeds'!AL127</f>
        <v>259.14999999999998</v>
      </c>
      <c r="E7" s="136">
        <f>'77_Seeds'!AM127</f>
        <v>66.38</v>
      </c>
      <c r="F7" s="136">
        <f>'77_Seeds'!AN127</f>
        <v>9890.15</v>
      </c>
      <c r="G7" s="136">
        <f>'77_Seeds'!AO127</f>
        <v>18503.009999999998</v>
      </c>
      <c r="H7" s="136">
        <f>'77_Seeds'!AP127</f>
        <v>14506.12</v>
      </c>
      <c r="I7" s="108">
        <f>$N$2-N7</f>
        <v>193.27999999999884</v>
      </c>
      <c r="J7" s="108"/>
      <c r="K7" s="108">
        <f>D7+E7+G7+H7</f>
        <v>33334.659999999996</v>
      </c>
      <c r="L7" s="108">
        <f>F7</f>
        <v>9890.15</v>
      </c>
      <c r="M7" s="115" t="s">
        <v>36</v>
      </c>
      <c r="N7" s="137">
        <f>SUM(D7:H7)</f>
        <v>43224.81</v>
      </c>
      <c r="O7" s="115" t="s">
        <v>409</v>
      </c>
      <c r="P7" s="122" t="s">
        <v>9</v>
      </c>
      <c r="Q7" s="140">
        <f>'77_Seeds'!AL132</f>
        <v>0.26</v>
      </c>
      <c r="R7" s="136">
        <f>'77_Seeds'!AM132</f>
        <v>4.53</v>
      </c>
      <c r="S7" s="136">
        <f>'77_Seeds'!AN132</f>
        <v>921.5</v>
      </c>
      <c r="T7" s="136">
        <f>'77_Seeds'!AO132</f>
        <v>663.63</v>
      </c>
      <c r="U7" s="136">
        <f>'77_Seeds'!AP132</f>
        <v>261.73</v>
      </c>
      <c r="V7" s="108">
        <f>$N$3-AA7</f>
        <v>9.8999999999998636</v>
      </c>
      <c r="W7" s="108"/>
      <c r="X7" s="108">
        <f>Q7+R7+T7+U7</f>
        <v>930.15</v>
      </c>
      <c r="Y7" s="108">
        <f>S7</f>
        <v>921.5</v>
      </c>
      <c r="Z7" s="115" t="s">
        <v>36</v>
      </c>
      <c r="AA7" s="137">
        <f>SUM(Q7:U7)</f>
        <v>1851.65</v>
      </c>
      <c r="AB7" s="115" t="s">
        <v>409</v>
      </c>
      <c r="AC7" s="122" t="s">
        <v>9</v>
      </c>
      <c r="AD7" s="136">
        <v>0</v>
      </c>
      <c r="AE7" s="136">
        <v>0</v>
      </c>
      <c r="AF7" s="136">
        <v>108.06</v>
      </c>
      <c r="AG7" s="136">
        <v>194.74</v>
      </c>
      <c r="AH7" s="136">
        <v>175.46</v>
      </c>
      <c r="AI7" s="108">
        <f>$N$4-AN7</f>
        <v>2.3600000000000136</v>
      </c>
      <c r="AJ7" s="108"/>
      <c r="AK7" s="108">
        <f>AD7+AE7+AG7+AH7</f>
        <v>370.20000000000005</v>
      </c>
      <c r="AL7" s="108">
        <f>AF7</f>
        <v>108.06</v>
      </c>
      <c r="AM7" s="115" t="s">
        <v>36</v>
      </c>
      <c r="AN7" s="137">
        <f>SUM(AD7:AH7)</f>
        <v>478.26</v>
      </c>
    </row>
    <row r="8" spans="2:40" x14ac:dyDescent="0.3">
      <c r="B8" s="107"/>
      <c r="C8" s="107" t="s">
        <v>533</v>
      </c>
      <c r="D8" s="151">
        <f t="shared" ref="D8:I8" si="0">D7/$N$2</f>
        <v>5.9687102772139448E-3</v>
      </c>
      <c r="E8" s="151">
        <f t="shared" si="0"/>
        <v>1.528855829448048E-3</v>
      </c>
      <c r="F8" s="151">
        <f t="shared" si="0"/>
        <v>0.2277886936067432</v>
      </c>
      <c r="G8" s="151">
        <f t="shared" si="0"/>
        <v>0.426159004230725</v>
      </c>
      <c r="H8" s="151">
        <f t="shared" si="0"/>
        <v>0.33410313535210789</v>
      </c>
      <c r="I8" s="151">
        <f t="shared" si="0"/>
        <v>4.4516007037619307E-3</v>
      </c>
      <c r="J8" s="151"/>
      <c r="K8" s="151">
        <f>K7/$N$2</f>
        <v>0.76775970568949481</v>
      </c>
      <c r="L8" s="151">
        <f>L7/$N$2</f>
        <v>0.2277886936067432</v>
      </c>
      <c r="M8" s="145">
        <f>SUM(D8:I8)</f>
        <v>1</v>
      </c>
      <c r="N8" s="142"/>
      <c r="O8" s="107"/>
      <c r="P8" s="141" t="s">
        <v>533</v>
      </c>
      <c r="Q8" s="151">
        <f t="shared" ref="Q8:V8" si="1">Q7/$N$3</f>
        <v>1.3966855577341464E-4</v>
      </c>
      <c r="R8" s="151">
        <f t="shared" si="1"/>
        <v>2.433455990975263E-3</v>
      </c>
      <c r="S8" s="151">
        <f t="shared" si="1"/>
        <v>0.49501759286615993</v>
      </c>
      <c r="T8" s="151">
        <f t="shared" si="1"/>
        <v>0.35649324487658135</v>
      </c>
      <c r="U8" s="151">
        <f t="shared" si="1"/>
        <v>0.14059788885606081</v>
      </c>
      <c r="V8" s="151">
        <f t="shared" si="1"/>
        <v>5.3181488544491763E-3</v>
      </c>
      <c r="W8" s="151"/>
      <c r="X8" s="151">
        <f>X7/$N$3</f>
        <v>0.49966425827939082</v>
      </c>
      <c r="Y8" s="151">
        <f>Y7/$N$3</f>
        <v>0.49501759286615993</v>
      </c>
      <c r="Z8" s="145">
        <f>SUM(Q8:V8)</f>
        <v>1</v>
      </c>
      <c r="AA8" s="107"/>
      <c r="AB8" s="107"/>
      <c r="AC8" s="141" t="s">
        <v>533</v>
      </c>
      <c r="AD8" s="151">
        <f>AD7/$N$4</f>
        <v>0</v>
      </c>
      <c r="AE8" s="151">
        <f t="shared" ref="AE8:AL8" si="2">AE7/$N$4</f>
        <v>0</v>
      </c>
      <c r="AF8" s="151">
        <f t="shared" si="2"/>
        <v>0.22483458865631892</v>
      </c>
      <c r="AG8" s="151">
        <f t="shared" si="2"/>
        <v>0.40518496941450627</v>
      </c>
      <c r="AH8" s="151">
        <f t="shared" si="2"/>
        <v>0.36507011776455411</v>
      </c>
      <c r="AI8" s="151">
        <f t="shared" si="2"/>
        <v>4.9103241646207265E-3</v>
      </c>
      <c r="AJ8" s="151"/>
      <c r="AK8" s="151">
        <f t="shared" si="2"/>
        <v>0.77025508717906044</v>
      </c>
      <c r="AL8" s="151">
        <f t="shared" si="2"/>
        <v>0.22483458865631892</v>
      </c>
      <c r="AM8" s="145">
        <f>SUM(AD8:AI8)</f>
        <v>1</v>
      </c>
      <c r="AN8" s="107"/>
    </row>
    <row r="9" spans="2:40" x14ac:dyDescent="0.3">
      <c r="B9" s="107" t="s">
        <v>598</v>
      </c>
      <c r="C9" s="122" t="s">
        <v>9</v>
      </c>
      <c r="D9" s="108">
        <v>242.17</v>
      </c>
      <c r="E9" s="108">
        <v>44.12</v>
      </c>
      <c r="F9" s="108">
        <v>9324.32</v>
      </c>
      <c r="G9" s="108">
        <v>17640.88</v>
      </c>
      <c r="H9" s="108">
        <v>13805.55</v>
      </c>
      <c r="I9" s="108">
        <f>I7</f>
        <v>193.27999999999884</v>
      </c>
      <c r="J9" s="108">
        <f>SUM(D7:H7)-SUM(D9:H9)</f>
        <v>2167.7699999999968</v>
      </c>
      <c r="K9" s="108">
        <f>D9+E9+G9+H9</f>
        <v>31732.720000000001</v>
      </c>
      <c r="L9" s="108">
        <f>F9</f>
        <v>9324.32</v>
      </c>
      <c r="M9" s="115" t="s">
        <v>609</v>
      </c>
      <c r="N9" s="196">
        <f>SUM(D9:H9)</f>
        <v>41057.040000000001</v>
      </c>
      <c r="O9" s="107" t="s">
        <v>598</v>
      </c>
      <c r="P9" s="122" t="s">
        <v>9</v>
      </c>
      <c r="Q9" s="108">
        <v>0</v>
      </c>
      <c r="R9" s="108">
        <v>4.17</v>
      </c>
      <c r="S9" s="108">
        <v>888.5</v>
      </c>
      <c r="T9" s="108">
        <v>637.87</v>
      </c>
      <c r="U9" s="108">
        <v>243.97</v>
      </c>
      <c r="V9" s="108">
        <f>V7</f>
        <v>9.8999999999998636</v>
      </c>
      <c r="W9" s="108">
        <f>SUM(Q7:U7)-SUM(Q9:U9)</f>
        <v>77.1400000000001</v>
      </c>
      <c r="X9" s="108">
        <f>Q9+R9+T9+U9</f>
        <v>886.01</v>
      </c>
      <c r="Y9" s="108">
        <f>S9</f>
        <v>888.5</v>
      </c>
      <c r="Z9" s="115" t="s">
        <v>609</v>
      </c>
      <c r="AA9" s="196">
        <f>SUM(Q9:U9)</f>
        <v>1774.51</v>
      </c>
      <c r="AB9" s="107" t="s">
        <v>598</v>
      </c>
      <c r="AC9" s="122" t="s">
        <v>9</v>
      </c>
      <c r="AD9" s="108">
        <v>0</v>
      </c>
      <c r="AE9" s="108">
        <v>0</v>
      </c>
      <c r="AF9" s="108">
        <v>103.19</v>
      </c>
      <c r="AG9" s="108">
        <v>179.2</v>
      </c>
      <c r="AH9" s="108">
        <v>161.72999999999999</v>
      </c>
      <c r="AI9" s="108">
        <f>AI7</f>
        <v>2.3600000000000136</v>
      </c>
      <c r="AJ9" s="108">
        <f>SUM(AD7:AH7)-SUM(AD9:AH9)</f>
        <v>34.139999999999986</v>
      </c>
      <c r="AK9" s="108">
        <f>AD9+AE9+AG9+AH9</f>
        <v>340.92999999999995</v>
      </c>
      <c r="AL9" s="108">
        <f>AF9</f>
        <v>103.19</v>
      </c>
      <c r="AM9" s="115" t="s">
        <v>609</v>
      </c>
      <c r="AN9" s="196">
        <f>SUM(AD9:AH9)</f>
        <v>444.12</v>
      </c>
    </row>
    <row r="10" spans="2:40" x14ac:dyDescent="0.3">
      <c r="B10" s="107"/>
      <c r="C10" s="141" t="s">
        <v>533</v>
      </c>
      <c r="D10" s="151">
        <f t="shared" ref="D10:L10" si="3">D9/$N$2</f>
        <v>5.577629048168632E-3</v>
      </c>
      <c r="E10" s="151">
        <f t="shared" si="3"/>
        <v>1.0161663030317548E-3</v>
      </c>
      <c r="F10" s="151">
        <f t="shared" si="3"/>
        <v>0.21475656805723145</v>
      </c>
      <c r="G10" s="151">
        <f t="shared" si="3"/>
        <v>0.40630253426624713</v>
      </c>
      <c r="H10" s="151">
        <f t="shared" si="3"/>
        <v>0.31796769503218592</v>
      </c>
      <c r="I10" s="151">
        <f t="shared" si="3"/>
        <v>4.4516007037619307E-3</v>
      </c>
      <c r="J10" s="151">
        <f t="shared" si="3"/>
        <v>4.992780658937316E-2</v>
      </c>
      <c r="K10" s="151">
        <f t="shared" si="3"/>
        <v>0.7308640246496334</v>
      </c>
      <c r="L10" s="151">
        <f t="shared" si="3"/>
        <v>0.21475656805723145</v>
      </c>
      <c r="M10" s="145">
        <f>SUM(D10:J10)</f>
        <v>0.99999999999999989</v>
      </c>
      <c r="N10" s="195">
        <f>N9/N7</f>
        <v>0.94984894092073513</v>
      </c>
      <c r="O10" s="107"/>
      <c r="P10" s="141" t="s">
        <v>533</v>
      </c>
      <c r="Q10" s="151">
        <f t="shared" ref="Q10:Y10" si="4">Q9/$N$3</f>
        <v>0</v>
      </c>
      <c r="R10" s="151">
        <f t="shared" si="4"/>
        <v>2.2400687599043807E-3</v>
      </c>
      <c r="S10" s="151">
        <f t="shared" si="4"/>
        <v>0.47729043001799576</v>
      </c>
      <c r="T10" s="151">
        <f t="shared" si="4"/>
        <v>0.34265531411995381</v>
      </c>
      <c r="U10" s="151">
        <f t="shared" si="4"/>
        <v>0.13105745212323064</v>
      </c>
      <c r="V10" s="151">
        <f t="shared" si="4"/>
        <v>5.3181488544491763E-3</v>
      </c>
      <c r="W10" s="151">
        <f t="shared" si="4"/>
        <v>4.1438586124466228E-2</v>
      </c>
      <c r="X10" s="151">
        <f t="shared" si="4"/>
        <v>0.47595283500308883</v>
      </c>
      <c r="Y10" s="151">
        <f t="shared" si="4"/>
        <v>0.47729043001799576</v>
      </c>
      <c r="Z10" s="145">
        <f>SUM(Q10:W10)</f>
        <v>1</v>
      </c>
      <c r="AA10" s="195">
        <f>AA9/AA7</f>
        <v>0.95833985904463581</v>
      </c>
      <c r="AB10" s="107"/>
      <c r="AC10" s="141" t="s">
        <v>533</v>
      </c>
      <c r="AD10" s="151">
        <f>AD9/$N$4</f>
        <v>0</v>
      </c>
      <c r="AE10" s="151">
        <f t="shared" ref="AE10:AL10" si="5">AE9/$N$4</f>
        <v>0</v>
      </c>
      <c r="AF10" s="151">
        <f t="shared" si="5"/>
        <v>0.21470184345220755</v>
      </c>
      <c r="AG10" s="151">
        <f t="shared" si="5"/>
        <v>0.37285173317797843</v>
      </c>
      <c r="AH10" s="151">
        <f t="shared" si="5"/>
        <v>0.33650285048479045</v>
      </c>
      <c r="AI10" s="151">
        <f t="shared" si="5"/>
        <v>4.9103241646207265E-3</v>
      </c>
      <c r="AJ10" s="151">
        <f t="shared" si="5"/>
        <v>7.1033248720402786E-2</v>
      </c>
      <c r="AK10" s="151">
        <f t="shared" si="5"/>
        <v>0.70935458366276882</v>
      </c>
      <c r="AL10" s="151">
        <f t="shared" si="5"/>
        <v>0.21470184345220755</v>
      </c>
      <c r="AM10" s="145">
        <f>SUM(AD10:AJ10)</f>
        <v>1</v>
      </c>
      <c r="AN10" s="195">
        <f>AN9/AN7</f>
        <v>0.92861623384769798</v>
      </c>
    </row>
    <row r="11" spans="2:40" x14ac:dyDescent="0.3">
      <c r="B11" s="107"/>
      <c r="C11" s="107" t="s">
        <v>601</v>
      </c>
      <c r="D11" s="112">
        <f>D7-D9</f>
        <v>16.97999999999999</v>
      </c>
      <c r="E11" s="112">
        <f>E7-E9</f>
        <v>22.259999999999998</v>
      </c>
      <c r="F11" s="112">
        <f>F7-F9</f>
        <v>565.82999999999993</v>
      </c>
      <c r="G11" s="112">
        <f>G7-G9</f>
        <v>862.12999999999738</v>
      </c>
      <c r="H11" s="112">
        <f>H7-H9</f>
        <v>700.57000000000153</v>
      </c>
      <c r="I11" s="147"/>
      <c r="J11" s="147"/>
      <c r="K11" s="112">
        <f>K7-K9</f>
        <v>1601.9399999999951</v>
      </c>
      <c r="L11" s="108">
        <f>F11</f>
        <v>565.82999999999993</v>
      </c>
      <c r="M11" s="145"/>
      <c r="N11" s="107"/>
      <c r="O11" s="107"/>
      <c r="P11" s="107" t="s">
        <v>601</v>
      </c>
      <c r="Q11" s="112">
        <f>Q7-Q9</f>
        <v>0.26</v>
      </c>
      <c r="R11" s="112">
        <f>R7-R9</f>
        <v>0.36000000000000032</v>
      </c>
      <c r="S11" s="112">
        <f>S7-S9</f>
        <v>33</v>
      </c>
      <c r="T11" s="112">
        <f>T7-T9</f>
        <v>25.759999999999991</v>
      </c>
      <c r="U11" s="112">
        <f>U7-U9</f>
        <v>17.760000000000019</v>
      </c>
      <c r="V11" s="147"/>
      <c r="W11" s="147"/>
      <c r="X11" s="112">
        <f>X7-X9</f>
        <v>44.139999999999986</v>
      </c>
      <c r="Y11" s="108">
        <f>S11</f>
        <v>33</v>
      </c>
      <c r="Z11" s="145"/>
      <c r="AA11" s="107"/>
      <c r="AB11" s="107"/>
      <c r="AC11" s="107" t="s">
        <v>601</v>
      </c>
      <c r="AD11" s="112">
        <f>AD7-AD9</f>
        <v>0</v>
      </c>
      <c r="AE11" s="112">
        <f>AE7-AE9</f>
        <v>0</v>
      </c>
      <c r="AF11" s="112">
        <f>AF7-AF9</f>
        <v>4.8700000000000045</v>
      </c>
      <c r="AG11" s="112">
        <f>AG7-AG9</f>
        <v>15.54000000000002</v>
      </c>
      <c r="AH11" s="112">
        <f>AH7-AH9</f>
        <v>13.730000000000018</v>
      </c>
      <c r="AI11" s="147"/>
      <c r="AJ11" s="147"/>
      <c r="AK11" s="112">
        <f>AK7-AK9</f>
        <v>29.270000000000095</v>
      </c>
      <c r="AL11" s="108">
        <f>AF11</f>
        <v>4.8700000000000045</v>
      </c>
      <c r="AM11" s="145"/>
      <c r="AN11" s="107"/>
    </row>
    <row r="12" spans="2:40" x14ac:dyDescent="0.3">
      <c r="B12" s="107"/>
      <c r="C12" s="107" t="s">
        <v>602</v>
      </c>
      <c r="D12" s="147">
        <f>D11/D7</f>
        <v>6.5521898514373886E-2</v>
      </c>
      <c r="E12" s="147">
        <f>E11/E7</f>
        <v>0.33534197047303405</v>
      </c>
      <c r="F12" s="147">
        <f>F11/F7</f>
        <v>5.7211467975713207E-2</v>
      </c>
      <c r="G12" s="147">
        <f>G11/G7</f>
        <v>4.659404064527866E-2</v>
      </c>
      <c r="H12" s="147">
        <f>H11/H7</f>
        <v>4.8294788682294199E-2</v>
      </c>
      <c r="I12" s="147"/>
      <c r="J12" s="147"/>
      <c r="K12" s="151">
        <f>K11/K7</f>
        <v>4.8056287359762938E-2</v>
      </c>
      <c r="L12" s="151">
        <f>L11/$N$2</f>
        <v>1.3032125549511735E-2</v>
      </c>
      <c r="M12" s="145"/>
      <c r="N12" s="107"/>
      <c r="O12" s="107"/>
      <c r="P12" s="107" t="s">
        <v>602</v>
      </c>
      <c r="Q12" s="147">
        <f>Q11/Q7</f>
        <v>1</v>
      </c>
      <c r="R12" s="147">
        <f>R11/R7</f>
        <v>7.9470198675496762E-2</v>
      </c>
      <c r="S12" s="147">
        <f>S11/S7</f>
        <v>3.5811177428106349E-2</v>
      </c>
      <c r="T12" s="147">
        <f>T11/T7</f>
        <v>3.8816810572156156E-2</v>
      </c>
      <c r="U12" s="147">
        <f>U11/U7</f>
        <v>6.7856187674320931E-2</v>
      </c>
      <c r="V12" s="147"/>
      <c r="W12" s="147"/>
      <c r="X12" s="151">
        <f>X11/X7</f>
        <v>4.7454711605654988E-2</v>
      </c>
      <c r="Y12" s="151">
        <f>Y11/$N$3</f>
        <v>1.7727162848164165E-2</v>
      </c>
      <c r="Z12" s="145"/>
      <c r="AA12" s="107"/>
      <c r="AB12" s="107"/>
      <c r="AC12" s="107" t="s">
        <v>602</v>
      </c>
      <c r="AD12" s="147" t="s">
        <v>615</v>
      </c>
      <c r="AE12" s="147" t="s">
        <v>615</v>
      </c>
      <c r="AF12" s="147">
        <f>AF11/AF7</f>
        <v>4.5067555062002634E-2</v>
      </c>
      <c r="AG12" s="147">
        <f>AG11/AG7</f>
        <v>7.9798705966930367E-2</v>
      </c>
      <c r="AH12" s="147">
        <f>AH11/AH7</f>
        <v>7.8251453322694731E-2</v>
      </c>
      <c r="AI12" s="147"/>
      <c r="AJ12" s="147"/>
      <c r="AK12" s="151">
        <f t="shared" ref="AK12" si="6">AK11/$N$4</f>
        <v>6.0900503516291657E-2</v>
      </c>
      <c r="AL12" s="151">
        <f>AL11/$N$4</f>
        <v>1.0132745204111365E-2</v>
      </c>
      <c r="AM12" s="145"/>
      <c r="AN12" s="107"/>
    </row>
    <row r="13" spans="2:40" x14ac:dyDescent="0.3">
      <c r="B13" s="115" t="s">
        <v>410</v>
      </c>
      <c r="C13" s="107" t="s">
        <v>9</v>
      </c>
      <c r="D13" s="108">
        <f>'77_Seeds'!AL129</f>
        <v>253.65250000000006</v>
      </c>
      <c r="E13" s="108">
        <f>'77_Seeds'!AM129</f>
        <v>81.317000000000021</v>
      </c>
      <c r="F13" s="108">
        <f>'77_Seeds'!AN129</f>
        <v>9886.5280000000002</v>
      </c>
      <c r="G13" s="108">
        <f>'77_Seeds'!AO129</f>
        <v>18577.997499999994</v>
      </c>
      <c r="H13" s="108">
        <f>'77_Seeds'!AP129</f>
        <v>14425.309999999998</v>
      </c>
      <c r="I13" s="108">
        <f>$N$2-N13</f>
        <v>193.28500000000349</v>
      </c>
      <c r="J13" s="108"/>
      <c r="K13" s="108"/>
      <c r="L13" s="108"/>
      <c r="M13" s="115" t="s">
        <v>36</v>
      </c>
      <c r="N13" s="137">
        <f>SUM(D13:H13)</f>
        <v>43224.804999999993</v>
      </c>
      <c r="O13" s="115" t="s">
        <v>410</v>
      </c>
      <c r="P13" s="122" t="s">
        <v>9</v>
      </c>
      <c r="Q13" s="140">
        <f>'77_Seeds'!AL134</f>
        <v>0.14799999999999999</v>
      </c>
      <c r="R13" s="136">
        <f>'77_Seeds'!AM134</f>
        <v>4.7445000000000013</v>
      </c>
      <c r="S13" s="136">
        <f>'77_Seeds'!AN134</f>
        <v>914.08799999999997</v>
      </c>
      <c r="T13" s="136">
        <f>'77_Seeds'!AO134</f>
        <v>670.26400000000012</v>
      </c>
      <c r="U13" s="136">
        <f>'77_Seeds'!AP134</f>
        <v>262.39449999999999</v>
      </c>
      <c r="V13" s="108">
        <f>$N$3-AA13</f>
        <v>9.9109999999998308</v>
      </c>
      <c r="W13" s="108"/>
      <c r="X13" s="108"/>
      <c r="Y13" s="108"/>
      <c r="Z13" s="115" t="s">
        <v>36</v>
      </c>
      <c r="AA13" s="137">
        <f>SUM(Q13:U13)</f>
        <v>1851.6390000000001</v>
      </c>
      <c r="AB13" s="115"/>
      <c r="AC13" s="122"/>
      <c r="AD13" s="139"/>
      <c r="AE13" s="136"/>
      <c r="AF13" s="136"/>
      <c r="AG13" s="136"/>
      <c r="AH13" s="136"/>
      <c r="AI13" s="108"/>
      <c r="AJ13" s="108"/>
      <c r="AK13" s="108"/>
      <c r="AL13" s="108"/>
      <c r="AM13" s="115"/>
      <c r="AN13" s="137"/>
    </row>
    <row r="14" spans="2:40" x14ac:dyDescent="0.3">
      <c r="B14" s="115"/>
      <c r="C14" s="141" t="s">
        <v>533</v>
      </c>
      <c r="D14" s="151">
        <f t="shared" ref="D14:I14" si="7">D13/$N$2</f>
        <v>5.8420925471387632E-3</v>
      </c>
      <c r="E14" s="151">
        <f t="shared" si="7"/>
        <v>1.8728829388856127E-3</v>
      </c>
      <c r="F14" s="151">
        <f t="shared" si="7"/>
        <v>0.22770527215729666</v>
      </c>
      <c r="G14" s="151">
        <f t="shared" si="7"/>
        <v>0.4278861069199496</v>
      </c>
      <c r="H14" s="151">
        <f t="shared" si="7"/>
        <v>0.33224192957359477</v>
      </c>
      <c r="I14" s="147">
        <f t="shared" si="7"/>
        <v>4.4517158631345484E-3</v>
      </c>
      <c r="J14" s="147"/>
      <c r="K14" s="147"/>
      <c r="L14" s="147"/>
      <c r="M14" s="145">
        <f>SUM(D14:I14)</f>
        <v>1</v>
      </c>
      <c r="N14" s="137"/>
      <c r="O14" s="115"/>
      <c r="P14" s="141" t="s">
        <v>533</v>
      </c>
      <c r="Q14" s="151">
        <f t="shared" ref="Q14:V14" si="8">Q13/$N$3</f>
        <v>7.9503639440251401E-5</v>
      </c>
      <c r="R14" s="151">
        <f t="shared" si="8"/>
        <v>2.5486825494883303E-3</v>
      </c>
      <c r="S14" s="151">
        <f t="shared" si="8"/>
        <v>0.49103596465311167</v>
      </c>
      <c r="T14" s="151">
        <f t="shared" si="8"/>
        <v>0.36005694179581538</v>
      </c>
      <c r="U14" s="151">
        <f t="shared" si="8"/>
        <v>0.14095484945341247</v>
      </c>
      <c r="V14" s="147">
        <f t="shared" si="8"/>
        <v>5.3240579087318798E-3</v>
      </c>
      <c r="W14" s="147"/>
      <c r="X14" s="147"/>
      <c r="Y14" s="147"/>
      <c r="Z14" s="145">
        <f>SUM(Q14:V14)</f>
        <v>1</v>
      </c>
      <c r="AA14" s="137"/>
      <c r="AB14" s="115"/>
      <c r="AC14" s="141"/>
      <c r="AD14" s="151"/>
      <c r="AE14" s="151"/>
      <c r="AF14" s="151"/>
      <c r="AG14" s="151"/>
      <c r="AH14" s="151"/>
      <c r="AI14" s="147"/>
      <c r="AJ14" s="147"/>
      <c r="AK14" s="147"/>
      <c r="AL14" s="147"/>
      <c r="AM14" s="145"/>
      <c r="AN14" s="137"/>
    </row>
    <row r="15" spans="2:40" x14ac:dyDescent="0.3">
      <c r="B15" s="107"/>
      <c r="C15" s="148" t="s">
        <v>394</v>
      </c>
      <c r="D15" s="108">
        <f>'77_Seeds'!AL130</f>
        <v>4.1894248364812938</v>
      </c>
      <c r="E15" s="108">
        <f>'77_Seeds'!AM130</f>
        <v>2.8869136770861665</v>
      </c>
      <c r="F15" s="108">
        <f>'77_Seeds'!AN130</f>
        <v>45.511989719309412</v>
      </c>
      <c r="G15" s="108">
        <f>'77_Seeds'!AO130</f>
        <v>51.174386890498411</v>
      </c>
      <c r="H15" s="108">
        <f>'77_Seeds'!AP130</f>
        <v>37.408954416373568</v>
      </c>
      <c r="I15" s="107"/>
      <c r="J15" s="107"/>
      <c r="K15" s="107"/>
      <c r="L15" s="107"/>
      <c r="M15" s="107"/>
      <c r="N15" s="107"/>
      <c r="O15" s="107"/>
      <c r="P15" s="148" t="s">
        <v>394</v>
      </c>
      <c r="Q15" s="108">
        <f>'77_Seeds'!AL135</f>
        <v>3.820719138701785E-2</v>
      </c>
      <c r="R15" s="108">
        <f>'77_Seeds'!AM135</f>
        <v>8.3683221609516023E-2</v>
      </c>
      <c r="S15" s="108">
        <f>'77_Seeds'!AN135</f>
        <v>3.3321035398078469</v>
      </c>
      <c r="T15" s="108">
        <f>'77_Seeds'!AO135</f>
        <v>3.2890591679880599</v>
      </c>
      <c r="U15" s="108">
        <f>'77_Seeds'!AP135</f>
        <v>1.3933370535289882</v>
      </c>
      <c r="V15" s="107"/>
      <c r="W15" s="107"/>
      <c r="X15" s="107"/>
      <c r="Y15" s="107"/>
      <c r="Z15" s="107"/>
      <c r="AA15" s="107"/>
      <c r="AB15" s="107"/>
      <c r="AC15" s="148"/>
      <c r="AD15" s="108"/>
      <c r="AE15" s="108"/>
      <c r="AF15" s="108"/>
      <c r="AG15" s="108"/>
      <c r="AH15" s="108"/>
      <c r="AI15" s="107"/>
      <c r="AJ15" s="107"/>
      <c r="AK15" s="107"/>
      <c r="AL15" s="107"/>
      <c r="AM15" s="107"/>
      <c r="AN15" s="107"/>
    </row>
    <row r="16" spans="2:40" x14ac:dyDescent="0.3">
      <c r="B16" s="107"/>
      <c r="C16" s="129" t="s">
        <v>538</v>
      </c>
      <c r="D16" s="125">
        <f>1.96*D15</f>
        <v>8.2112726795033364</v>
      </c>
      <c r="E16" s="125">
        <f>1.96*E15</f>
        <v>5.6583508070888859</v>
      </c>
      <c r="F16" s="125">
        <f>1.96*F15</f>
        <v>89.203499849846452</v>
      </c>
      <c r="G16" s="125">
        <f>1.96*G15</f>
        <v>100.30179830537688</v>
      </c>
      <c r="H16" s="125">
        <f>1.96*H15</f>
        <v>73.321550656092185</v>
      </c>
      <c r="I16" s="107"/>
      <c r="J16" s="107"/>
      <c r="K16" s="107"/>
      <c r="L16" s="107"/>
      <c r="M16" s="107"/>
      <c r="N16" s="107"/>
      <c r="O16" s="107"/>
      <c r="P16" s="129" t="s">
        <v>538</v>
      </c>
      <c r="Q16" s="125">
        <f>1.96*Q15</f>
        <v>7.4886095118554985E-2</v>
      </c>
      <c r="R16" s="125">
        <f>1.96*R15</f>
        <v>0.16401911435465141</v>
      </c>
      <c r="S16" s="125">
        <f>1.96*S15</f>
        <v>6.5309229380233802</v>
      </c>
      <c r="T16" s="125">
        <f>1.96*T15</f>
        <v>6.4465559692565968</v>
      </c>
      <c r="U16" s="125">
        <f>1.96*U15</f>
        <v>2.7309406249168169</v>
      </c>
      <c r="V16" s="107"/>
      <c r="W16" s="107"/>
      <c r="X16" s="107"/>
      <c r="Y16" s="107"/>
      <c r="Z16" s="107"/>
      <c r="AA16" s="107"/>
      <c r="AB16" s="107"/>
      <c r="AC16" s="129"/>
      <c r="AD16" s="125"/>
      <c r="AE16" s="125"/>
      <c r="AF16" s="125"/>
      <c r="AG16" s="125"/>
      <c r="AH16" s="125"/>
      <c r="AI16" s="107"/>
      <c r="AJ16" s="107"/>
      <c r="AK16" s="107"/>
      <c r="AL16" s="107"/>
      <c r="AM16" s="107"/>
      <c r="AN16" s="107"/>
    </row>
    <row r="17" spans="2:40" x14ac:dyDescent="0.3">
      <c r="B17" s="115" t="s">
        <v>409</v>
      </c>
      <c r="C17" s="107" t="s">
        <v>391</v>
      </c>
      <c r="D17" s="146">
        <f>D7/SUM(D7:H7)</f>
        <v>5.9953994014085889E-3</v>
      </c>
      <c r="E17" s="146">
        <f>E7/SUM(D7:H7)</f>
        <v>1.5356921175593368E-3</v>
      </c>
      <c r="F17" s="146">
        <f>F7/SUM(D7:H7)</f>
        <v>0.22880725213135697</v>
      </c>
      <c r="G17" s="146">
        <f>G7/SUM(D7:H7)</f>
        <v>0.42806457680207266</v>
      </c>
      <c r="H17" s="146">
        <f>H7/SUM(D7:H7)</f>
        <v>0.33559707954760243</v>
      </c>
      <c r="I17" s="152">
        <f>SUM(D17:H17)</f>
        <v>1</v>
      </c>
      <c r="J17" s="107"/>
      <c r="K17" s="107"/>
      <c r="L17" s="107"/>
      <c r="M17" s="107"/>
      <c r="N17" s="107"/>
      <c r="O17" s="115" t="s">
        <v>409</v>
      </c>
      <c r="P17" s="107" t="s">
        <v>391</v>
      </c>
      <c r="Q17" s="146">
        <f>Q7/SUM(Q7:U7)</f>
        <v>1.4041530526827424E-4</v>
      </c>
      <c r="R17" s="146">
        <f>R7/SUM(Q7:U7)</f>
        <v>2.4464666648664705E-3</v>
      </c>
      <c r="S17" s="146">
        <f>S7/SUM(Q7:U7)</f>
        <v>0.49766424540274889</v>
      </c>
      <c r="T17" s="146">
        <f>T7/SUM(Q7:U7)</f>
        <v>0.35839926551994167</v>
      </c>
      <c r="U17" s="146">
        <f>U7/SUM(Q7:U7)</f>
        <v>0.14134960710717467</v>
      </c>
      <c r="V17" s="152">
        <f>SUM(Q17:U17)</f>
        <v>1</v>
      </c>
      <c r="W17" s="107"/>
      <c r="X17" s="107"/>
      <c r="Y17" s="107"/>
      <c r="Z17" s="107"/>
      <c r="AA17" s="107"/>
      <c r="AB17" s="115" t="s">
        <v>409</v>
      </c>
      <c r="AC17" s="107" t="s">
        <v>391</v>
      </c>
      <c r="AD17" s="146">
        <f>AD7/SUM(AD7:AH7)</f>
        <v>0</v>
      </c>
      <c r="AE17" s="146">
        <f>AE7/SUM(AD7:AH7)</f>
        <v>0</v>
      </c>
      <c r="AF17" s="146">
        <f>AF7/SUM(AD7:AH7)</f>
        <v>0.22594404717099487</v>
      </c>
      <c r="AG17" s="146">
        <f>AG7/SUM(AD7:AH7)</f>
        <v>0.40718437669886676</v>
      </c>
      <c r="AH17" s="146">
        <f>AH7/SUM(AD7:AH7)</f>
        <v>0.36687157613013843</v>
      </c>
      <c r="AI17" s="152">
        <f>SUM(AD17:AH17)</f>
        <v>1</v>
      </c>
      <c r="AJ17" s="107"/>
      <c r="AK17" s="107"/>
      <c r="AL17" s="107"/>
      <c r="AM17" s="107"/>
      <c r="AN17" s="107"/>
    </row>
    <row r="18" spans="2:40" x14ac:dyDescent="0.3">
      <c r="B18" s="148" t="s">
        <v>801</v>
      </c>
      <c r="C18" s="90" t="s">
        <v>524</v>
      </c>
      <c r="D18" s="108">
        <f>D11*D17</f>
        <v>0.10180188183591778</v>
      </c>
      <c r="E18" s="108">
        <f>E11*D17</f>
        <v>0.13345759067535518</v>
      </c>
      <c r="F18" s="108">
        <f>F11*D17</f>
        <v>3.3923768432990213</v>
      </c>
      <c r="G18" s="108">
        <f>G11*D17</f>
        <v>5.1688136859363709</v>
      </c>
      <c r="H18" s="108">
        <f>H11*D17</f>
        <v>4.200196958644824</v>
      </c>
      <c r="I18" s="107"/>
      <c r="J18" s="107"/>
      <c r="K18" s="107"/>
      <c r="L18" s="107"/>
      <c r="M18" s="107"/>
      <c r="N18" s="107"/>
      <c r="O18" s="148" t="s">
        <v>801</v>
      </c>
      <c r="P18" s="90" t="s">
        <v>524</v>
      </c>
      <c r="Q18" s="108">
        <f>Q11*Q17</f>
        <v>3.6507979369751307E-5</v>
      </c>
      <c r="R18" s="108">
        <f>R11*Q17</f>
        <v>5.054950989657877E-5</v>
      </c>
      <c r="S18" s="108">
        <f>S11*Q17</f>
        <v>4.6337050738530497E-3</v>
      </c>
      <c r="T18" s="108">
        <f>T11*Q17</f>
        <v>3.6170982637107434E-3</v>
      </c>
      <c r="U18" s="108">
        <f>U11*Q17</f>
        <v>2.4937758215645531E-3</v>
      </c>
      <c r="V18" s="107"/>
      <c r="W18" s="107"/>
      <c r="X18" s="107"/>
      <c r="Y18" s="107"/>
      <c r="Z18" s="107"/>
      <c r="AA18" s="107"/>
      <c r="AB18" s="148" t="s">
        <v>801</v>
      </c>
      <c r="AC18" s="90" t="s">
        <v>524</v>
      </c>
      <c r="AD18" s="108">
        <f>AD11*AD17</f>
        <v>0</v>
      </c>
      <c r="AE18" s="108">
        <f>AE11*AD17</f>
        <v>0</v>
      </c>
      <c r="AF18" s="108">
        <f>AF11*AD17</f>
        <v>0</v>
      </c>
      <c r="AG18" s="108">
        <f>AG11*AD17</f>
        <v>0</v>
      </c>
      <c r="AH18" s="108">
        <f>AH11*AD17</f>
        <v>0</v>
      </c>
      <c r="AI18" s="107"/>
      <c r="AJ18" s="107"/>
      <c r="AK18" s="107"/>
      <c r="AL18" s="107"/>
      <c r="AM18" s="107"/>
      <c r="AN18" s="107"/>
    </row>
    <row r="19" spans="2:40" x14ac:dyDescent="0.3">
      <c r="B19" s="107" t="s">
        <v>799</v>
      </c>
      <c r="C19" s="91" t="s">
        <v>523</v>
      </c>
      <c r="D19" s="108">
        <f>D11*E17</f>
        <v>2.6076052156157523E-2</v>
      </c>
      <c r="E19" s="108">
        <f>E11*E17</f>
        <v>3.4184506536870836E-2</v>
      </c>
      <c r="F19" s="108">
        <f>F11*E17</f>
        <v>0.86894067087859939</v>
      </c>
      <c r="G19" s="108">
        <f>G11*E17</f>
        <v>1.3239662453114269</v>
      </c>
      <c r="H19" s="108">
        <f>H11*E17</f>
        <v>1.0758598267985469</v>
      </c>
      <c r="I19" s="107"/>
      <c r="J19" s="107"/>
      <c r="K19" s="107"/>
      <c r="L19" s="107"/>
      <c r="M19" s="107"/>
      <c r="N19" s="107"/>
      <c r="O19" s="107" t="s">
        <v>799</v>
      </c>
      <c r="P19" s="91" t="s">
        <v>523</v>
      </c>
      <c r="Q19" s="108">
        <f>Q11*R17</f>
        <v>6.3608133286528236E-4</v>
      </c>
      <c r="R19" s="108">
        <f>R11*R17</f>
        <v>8.8072799935193019E-4</v>
      </c>
      <c r="S19" s="108">
        <f>S11*R17</f>
        <v>8.0733399940593531E-2</v>
      </c>
      <c r="T19" s="108">
        <f>T11*R17</f>
        <v>6.3020981286960251E-2</v>
      </c>
      <c r="U19" s="108">
        <f>U11*R17</f>
        <v>4.3449247968028563E-2</v>
      </c>
      <c r="V19" s="107"/>
      <c r="W19" s="107"/>
      <c r="X19" s="107"/>
      <c r="Y19" s="107"/>
      <c r="Z19" s="107"/>
      <c r="AA19" s="107"/>
      <c r="AB19" s="107" t="s">
        <v>799</v>
      </c>
      <c r="AC19" s="91" t="s">
        <v>523</v>
      </c>
      <c r="AD19" s="108">
        <f>AD11*AE17</f>
        <v>0</v>
      </c>
      <c r="AE19" s="108">
        <f>AE11*AE17</f>
        <v>0</v>
      </c>
      <c r="AF19" s="108">
        <f>AF11*AE17</f>
        <v>0</v>
      </c>
      <c r="AG19" s="108">
        <f>AG11*AE17</f>
        <v>0</v>
      </c>
      <c r="AH19" s="108">
        <f>AH11*AE17</f>
        <v>0</v>
      </c>
      <c r="AI19" s="107"/>
      <c r="AJ19" s="107"/>
      <c r="AK19" s="107"/>
      <c r="AL19" s="107"/>
      <c r="AM19" s="107"/>
      <c r="AN19" s="107"/>
    </row>
    <row r="20" spans="2:40" x14ac:dyDescent="0.3">
      <c r="B20" s="107"/>
      <c r="C20" s="92" t="s">
        <v>525</v>
      </c>
      <c r="D20" s="108">
        <f>D11*F17</f>
        <v>3.8851471411904388</v>
      </c>
      <c r="E20" s="108">
        <f>E11*F17</f>
        <v>5.0932494324440061</v>
      </c>
      <c r="F20" s="108">
        <f>F11*F17</f>
        <v>129.46600747348569</v>
      </c>
      <c r="G20" s="108">
        <f>G11*F17</f>
        <v>197.26159628000619</v>
      </c>
      <c r="H20" s="108">
        <f>H11*F17</f>
        <v>160.29549662566509</v>
      </c>
      <c r="I20" s="107"/>
      <c r="J20" s="107"/>
      <c r="K20" s="107"/>
      <c r="L20" s="107"/>
      <c r="M20" s="107"/>
      <c r="N20" s="107"/>
      <c r="O20" s="107"/>
      <c r="P20" s="92" t="s">
        <v>525</v>
      </c>
      <c r="Q20" s="108">
        <f>Q11*S17</f>
        <v>0.12939270380471471</v>
      </c>
      <c r="R20" s="108">
        <f>R11*S17</f>
        <v>0.17915912834498976</v>
      </c>
      <c r="S20" s="108">
        <f>S11*S17</f>
        <v>16.422920098290714</v>
      </c>
      <c r="T20" s="108">
        <f>T11*S17</f>
        <v>12.819830961574807</v>
      </c>
      <c r="U20" s="108">
        <f>U11*S17</f>
        <v>8.83851699835283</v>
      </c>
      <c r="V20" s="107"/>
      <c r="W20" s="107"/>
      <c r="X20" s="107"/>
      <c r="Y20" s="107"/>
      <c r="Z20" s="107"/>
      <c r="AA20" s="107"/>
      <c r="AB20" s="107"/>
      <c r="AC20" s="92" t="s">
        <v>525</v>
      </c>
      <c r="AD20" s="108">
        <f>AD11*AF17</f>
        <v>0</v>
      </c>
      <c r="AE20" s="108">
        <f>AE11*AF17</f>
        <v>0</v>
      </c>
      <c r="AF20" s="108">
        <f>AF11*AF17</f>
        <v>1.100347509722746</v>
      </c>
      <c r="AG20" s="108">
        <f>AG11*AF17</f>
        <v>3.5111704930372647</v>
      </c>
      <c r="AH20" s="108">
        <f>AH11*AF17</f>
        <v>3.1022117676577636</v>
      </c>
      <c r="AI20" s="107"/>
      <c r="AJ20" s="107"/>
      <c r="AK20" s="107"/>
      <c r="AL20" s="107"/>
      <c r="AM20" s="107"/>
      <c r="AN20" s="107"/>
    </row>
    <row r="21" spans="2:40" x14ac:dyDescent="0.3">
      <c r="B21" s="107"/>
      <c r="C21" s="124" t="s">
        <v>526</v>
      </c>
      <c r="D21" s="108">
        <f>D11*G17</f>
        <v>7.2685365140991891</v>
      </c>
      <c r="E21" s="108">
        <f>E11*G17</f>
        <v>9.5287174796141372</v>
      </c>
      <c r="F21" s="108">
        <f>F11*G17</f>
        <v>242.21177949191673</v>
      </c>
      <c r="G21" s="108">
        <f>G11*G17</f>
        <v>369.04731359836978</v>
      </c>
      <c r="H21" s="108">
        <f>H11*G17</f>
        <v>299.8892005702287</v>
      </c>
      <c r="I21" s="107"/>
      <c r="J21" s="107"/>
      <c r="K21" s="107"/>
      <c r="L21" s="107"/>
      <c r="M21" s="107"/>
      <c r="N21" s="107"/>
      <c r="O21" s="107"/>
      <c r="P21" s="124" t="s">
        <v>526</v>
      </c>
      <c r="Q21" s="108">
        <f>Q11*T17</f>
        <v>9.3183809035184834E-2</v>
      </c>
      <c r="R21" s="108">
        <f>R11*T17</f>
        <v>0.12902373558717911</v>
      </c>
      <c r="S21" s="108">
        <f>S11*T17</f>
        <v>11.827175762158076</v>
      </c>
      <c r="T21" s="108">
        <f>T11*T17</f>
        <v>9.2323650797936949</v>
      </c>
      <c r="U21" s="108">
        <f>U11*T17</f>
        <v>6.3651709556341709</v>
      </c>
      <c r="V21" s="107"/>
      <c r="W21" s="107"/>
      <c r="X21" s="107"/>
      <c r="Y21" s="107"/>
      <c r="Z21" s="107"/>
      <c r="AA21" s="107"/>
      <c r="AB21" s="107"/>
      <c r="AC21" s="124" t="s">
        <v>526</v>
      </c>
      <c r="AD21" s="108">
        <f>AD11*AG17</f>
        <v>0</v>
      </c>
      <c r="AE21" s="108">
        <f>AE11*AG17</f>
        <v>0</v>
      </c>
      <c r="AF21" s="108">
        <f>AF11*AG17</f>
        <v>1.982987914523483</v>
      </c>
      <c r="AG21" s="108">
        <f>AG11*AG17</f>
        <v>6.3276452139003974</v>
      </c>
      <c r="AH21" s="108">
        <f>AH11*AG17</f>
        <v>5.5906414920754477</v>
      </c>
      <c r="AI21" s="107"/>
      <c r="AJ21" s="107"/>
      <c r="AK21" s="107"/>
      <c r="AL21" s="107"/>
      <c r="AM21" s="107"/>
      <c r="AN21" s="107"/>
    </row>
    <row r="22" spans="2:40" x14ac:dyDescent="0.3">
      <c r="B22" s="107"/>
      <c r="C22" s="123" t="s">
        <v>527</v>
      </c>
      <c r="D22" s="125">
        <f>D11*H17</f>
        <v>5.6984384107182855</v>
      </c>
      <c r="E22" s="125">
        <f>E11*H17</f>
        <v>7.4703909907296291</v>
      </c>
      <c r="F22" s="125">
        <f>F11*H17</f>
        <v>189.89089552041986</v>
      </c>
      <c r="G22" s="125">
        <f>G11*H17</f>
        <v>289.3283101903736</v>
      </c>
      <c r="H22" s="125">
        <f>H11*H17</f>
        <v>235.10924601866435</v>
      </c>
      <c r="I22" s="107"/>
      <c r="J22" s="107"/>
      <c r="K22" s="107"/>
      <c r="L22" s="107"/>
      <c r="M22" s="107"/>
      <c r="N22" s="107"/>
      <c r="O22" s="107"/>
      <c r="P22" s="123" t="s">
        <v>527</v>
      </c>
      <c r="Q22" s="125">
        <f>Q11*U17</f>
        <v>3.6750897847865414E-2</v>
      </c>
      <c r="R22" s="125">
        <f>R11*U17</f>
        <v>5.0885858558582929E-2</v>
      </c>
      <c r="S22" s="125">
        <f>S11*U17</f>
        <v>4.6645370345367638</v>
      </c>
      <c r="T22" s="125">
        <f>T11*U17</f>
        <v>3.6411658790808183</v>
      </c>
      <c r="U22" s="125">
        <f>U11*U17</f>
        <v>2.5103690222234247</v>
      </c>
      <c r="V22" s="107"/>
      <c r="W22" s="107"/>
      <c r="X22" s="107"/>
      <c r="Y22" s="107"/>
      <c r="Z22" s="107"/>
      <c r="AA22" s="107"/>
      <c r="AB22" s="107"/>
      <c r="AC22" s="123" t="s">
        <v>527</v>
      </c>
      <c r="AD22" s="125">
        <f>AD11*AH17</f>
        <v>0</v>
      </c>
      <c r="AE22" s="125">
        <f>AE11*AH17</f>
        <v>0</v>
      </c>
      <c r="AF22" s="125">
        <f>AF11*AH17</f>
        <v>1.7866645757537758</v>
      </c>
      <c r="AG22" s="125">
        <f>AG11*AH17</f>
        <v>5.7011842930623589</v>
      </c>
      <c r="AH22" s="125">
        <f>AH11*AH17</f>
        <v>5.0371467402668078</v>
      </c>
      <c r="AI22" s="107"/>
      <c r="AJ22" s="107"/>
      <c r="AK22" s="107"/>
      <c r="AL22" s="107"/>
      <c r="AM22" s="107"/>
      <c r="AN22" s="107"/>
    </row>
    <row r="23" spans="2:40" x14ac:dyDescent="0.3">
      <c r="B23" s="107"/>
      <c r="C23" s="107" t="s">
        <v>36</v>
      </c>
      <c r="D23" s="108">
        <f>SUM(D18:D22)</f>
        <v>16.97999999999999</v>
      </c>
      <c r="E23" s="108">
        <f>SUM(E18:E22)</f>
        <v>22.259999999999998</v>
      </c>
      <c r="F23" s="108">
        <f>SUM(F18:F22)</f>
        <v>565.82999999999993</v>
      </c>
      <c r="G23" s="108">
        <f t="shared" ref="G23:H23" si="9">SUM(G18:G22)</f>
        <v>862.12999999999738</v>
      </c>
      <c r="H23" s="108">
        <f t="shared" si="9"/>
        <v>700.57000000000153</v>
      </c>
      <c r="I23" s="107"/>
      <c r="J23" s="107"/>
      <c r="K23" s="107"/>
      <c r="L23" s="107"/>
      <c r="M23" s="107"/>
      <c r="N23" s="107"/>
      <c r="O23" s="107"/>
      <c r="P23" s="107" t="s">
        <v>36</v>
      </c>
      <c r="Q23" s="108">
        <f>SUM(Q18:Q22)</f>
        <v>0.26</v>
      </c>
      <c r="R23" s="108">
        <f>SUM(R18:R22)</f>
        <v>0.36000000000000026</v>
      </c>
      <c r="S23" s="108">
        <f>SUM(S18:S22)</f>
        <v>33</v>
      </c>
      <c r="T23" s="108">
        <f t="shared" ref="T23" si="10">SUM(T18:T22)</f>
        <v>25.759999999999994</v>
      </c>
      <c r="U23" s="108">
        <f t="shared" ref="U23" si="11">SUM(U18:U22)</f>
        <v>17.760000000000019</v>
      </c>
      <c r="V23" s="107"/>
      <c r="W23" s="107"/>
      <c r="X23" s="107"/>
      <c r="Y23" s="107"/>
      <c r="Z23" s="107"/>
      <c r="AA23" s="107"/>
      <c r="AB23" s="107"/>
      <c r="AC23" s="107" t="s">
        <v>36</v>
      </c>
      <c r="AD23" s="108">
        <f>SUM(AD18:AD22)</f>
        <v>0</v>
      </c>
      <c r="AE23" s="108">
        <f>SUM(AE18:AE22)</f>
        <v>0</v>
      </c>
      <c r="AF23" s="108">
        <f>SUM(AF18:AF22)</f>
        <v>4.8700000000000045</v>
      </c>
      <c r="AG23" s="108">
        <f t="shared" ref="AG23" si="12">SUM(AG18:AG22)</f>
        <v>15.54000000000002</v>
      </c>
      <c r="AH23" s="108">
        <f t="shared" ref="AH23" si="13">SUM(AH18:AH22)</f>
        <v>13.73000000000002</v>
      </c>
      <c r="AI23" s="107"/>
      <c r="AJ23" s="107"/>
      <c r="AK23" s="107"/>
      <c r="AL23" s="107"/>
      <c r="AM23" s="107"/>
      <c r="AN23" s="107"/>
    </row>
    <row r="24" spans="2:40" x14ac:dyDescent="0.3">
      <c r="B24" s="107" t="s">
        <v>800</v>
      </c>
      <c r="C24" s="212" t="s">
        <v>529</v>
      </c>
      <c r="D24" s="125">
        <f>I9*D17</f>
        <v>1.158790796304245</v>
      </c>
      <c r="E24" s="125">
        <f>I9*E17</f>
        <v>0.29681857248186683</v>
      </c>
      <c r="F24" s="125">
        <f>I9*F17</f>
        <v>44.223865691948411</v>
      </c>
      <c r="G24" s="125">
        <f>I9*G17</f>
        <v>82.736321404304107</v>
      </c>
      <c r="H24" s="125">
        <f>I9*H17</f>
        <v>64.864203534960211</v>
      </c>
      <c r="I24" s="230">
        <f>SUM(D24:H24)</f>
        <v>193.27999999999884</v>
      </c>
      <c r="J24" s="107"/>
      <c r="K24" s="141"/>
      <c r="L24" s="141"/>
      <c r="M24" s="107"/>
      <c r="N24" s="107"/>
      <c r="O24" s="107" t="s">
        <v>800</v>
      </c>
      <c r="P24" s="212" t="s">
        <v>529</v>
      </c>
      <c r="Q24" s="125">
        <f>V9*Q17</f>
        <v>1.3901115221558959E-3</v>
      </c>
      <c r="R24" s="125">
        <f>V9*R17</f>
        <v>2.4220019982177723E-2</v>
      </c>
      <c r="S24" s="125">
        <f>V9*S17</f>
        <v>4.9268760294871461</v>
      </c>
      <c r="T24" s="125">
        <f>V9*T17</f>
        <v>3.5481527286473735</v>
      </c>
      <c r="U24" s="125">
        <f>V9*U17</f>
        <v>1.39936111036101</v>
      </c>
      <c r="V24" s="230">
        <f>SUM(Q24:U24)</f>
        <v>9.8999999999998636</v>
      </c>
      <c r="W24" s="107"/>
      <c r="X24" s="141"/>
      <c r="Y24" s="141"/>
      <c r="Z24" s="107"/>
      <c r="AA24" s="107"/>
      <c r="AB24" s="107" t="s">
        <v>800</v>
      </c>
      <c r="AC24" s="212" t="s">
        <v>529</v>
      </c>
      <c r="AD24" s="125">
        <f>AI9*AD17</f>
        <v>0</v>
      </c>
      <c r="AE24" s="125">
        <f>AI9*AE17</f>
        <v>0</v>
      </c>
      <c r="AF24" s="125">
        <f>AI9*AF17</f>
        <v>0.53322795132355094</v>
      </c>
      <c r="AG24" s="125">
        <f>AI9*AG17</f>
        <v>0.96095512900933111</v>
      </c>
      <c r="AH24" s="125">
        <f>AI9*AH17</f>
        <v>0.8658169196671317</v>
      </c>
      <c r="AI24" s="230">
        <f>SUM(AD24:AH24)</f>
        <v>2.3600000000000136</v>
      </c>
      <c r="AJ24" s="107"/>
      <c r="AK24" s="141"/>
      <c r="AL24" s="141"/>
      <c r="AM24" s="107"/>
      <c r="AN24" s="107"/>
    </row>
    <row r="25" spans="2:40" x14ac:dyDescent="0.3">
      <c r="B25" s="107" t="s">
        <v>802</v>
      </c>
      <c r="C25" s="107" t="s">
        <v>803</v>
      </c>
      <c r="D25" s="108">
        <f>SUM(D18:H18)+D24</f>
        <v>14.155437756695735</v>
      </c>
      <c r="E25" s="108">
        <f>SUM(D19:H19)+E24</f>
        <v>3.6258458741634683</v>
      </c>
      <c r="F25" s="108">
        <f>SUM(D20:H20)+F24</f>
        <v>540.22536264473979</v>
      </c>
      <c r="G25" s="108">
        <f>SUM(D21:H21)+G24</f>
        <v>1010.6818690585327</v>
      </c>
      <c r="H25" s="108">
        <f>SUM(D22:H22)+H24</f>
        <v>792.36148466586599</v>
      </c>
      <c r="I25" s="107"/>
      <c r="J25" s="107"/>
      <c r="K25" s="108">
        <f>D25+E25+G25+H25</f>
        <v>1820.8246373552579</v>
      </c>
      <c r="L25" s="108">
        <f>F25</f>
        <v>540.22536264473979</v>
      </c>
      <c r="M25" s="107"/>
      <c r="N25" s="107"/>
      <c r="O25" s="107" t="s">
        <v>802</v>
      </c>
      <c r="P25" s="107" t="s">
        <v>803</v>
      </c>
      <c r="Q25" s="108">
        <f>SUM(Q18:U18)+Q24</f>
        <v>1.2221748170550573E-2</v>
      </c>
      <c r="R25" s="108">
        <f>SUM(Q19:U19)+R24</f>
        <v>0.21294045850997728</v>
      </c>
      <c r="S25" s="108">
        <f>SUM(Q20:U20)+S24</f>
        <v>43.316695919855199</v>
      </c>
      <c r="T25" s="108">
        <f>SUM(Q21:U21)+T24</f>
        <v>31.19507207085568</v>
      </c>
      <c r="U25" s="108">
        <f>SUM(Q22:U22)+U24</f>
        <v>12.303069802608466</v>
      </c>
      <c r="V25" s="107"/>
      <c r="W25" s="107"/>
      <c r="X25" s="108">
        <f>Q25+R25+T25+U25</f>
        <v>43.723304080144672</v>
      </c>
      <c r="Y25" s="108">
        <f>S25</f>
        <v>43.316695919855199</v>
      </c>
      <c r="Z25" s="107"/>
      <c r="AA25" s="107"/>
      <c r="AB25" s="107" t="s">
        <v>802</v>
      </c>
      <c r="AC25" s="107" t="s">
        <v>803</v>
      </c>
      <c r="AD25" s="108">
        <f>SUM(AD18:AH18)+AD24</f>
        <v>0</v>
      </c>
      <c r="AE25" s="108">
        <f>SUM(AD19:AH19)+AE24</f>
        <v>0</v>
      </c>
      <c r="AF25" s="108">
        <f>SUM(AD20:AH20)+AF24</f>
        <v>8.2469577217413264</v>
      </c>
      <c r="AG25" s="108">
        <f>SUM(AD21:AH21)+AG24</f>
        <v>14.862229749508661</v>
      </c>
      <c r="AH25" s="108">
        <f>SUM(AD22:AH22)+AH24</f>
        <v>13.390812528750075</v>
      </c>
      <c r="AI25" s="107"/>
      <c r="AJ25" s="107"/>
      <c r="AK25" s="108">
        <f>AD25+AE25+AG25+AH25</f>
        <v>28.253042278258736</v>
      </c>
      <c r="AL25" s="108">
        <f>AF25</f>
        <v>8.2469577217413264</v>
      </c>
      <c r="AM25" s="107"/>
      <c r="AN25" s="107"/>
    </row>
    <row r="26" spans="2:40" x14ac:dyDescent="0.3">
      <c r="B26" s="107" t="s">
        <v>802</v>
      </c>
      <c r="C26" s="107" t="s">
        <v>804</v>
      </c>
      <c r="D26" s="146">
        <f>D25/$N$2</f>
        <v>3.2602626593421626E-4</v>
      </c>
      <c r="E26" s="146">
        <f t="shared" ref="E26:H26" si="14">E25/$N$2</f>
        <v>8.3510027137616337E-5</v>
      </c>
      <c r="F26" s="146">
        <f t="shared" si="14"/>
        <v>1.2442402755274123E-2</v>
      </c>
      <c r="G26" s="146">
        <f t="shared" si="14"/>
        <v>2.3277897969683436E-2</v>
      </c>
      <c r="H26" s="146">
        <f t="shared" si="14"/>
        <v>1.8249570275105747E-2</v>
      </c>
      <c r="I26" s="107"/>
      <c r="J26" s="107"/>
      <c r="K26" s="152">
        <f>K25/$N$2</f>
        <v>4.193700453786102E-2</v>
      </c>
      <c r="L26" s="147">
        <f>L25/$N$2</f>
        <v>1.2442402755274123E-2</v>
      </c>
      <c r="M26" s="107"/>
      <c r="N26" s="107"/>
      <c r="O26" s="107" t="s">
        <v>802</v>
      </c>
      <c r="P26" s="107" t="s">
        <v>804</v>
      </c>
      <c r="Q26" s="146">
        <f>Q25/$N$3</f>
        <v>6.5653612154121962E-6</v>
      </c>
      <c r="R26" s="146">
        <f t="shared" ref="R26:U26" si="15">R25/$N$3</f>
        <v>1.1438879348391249E-4</v>
      </c>
      <c r="S26" s="146">
        <f t="shared" si="15"/>
        <v>2.3269155230778223E-2</v>
      </c>
      <c r="T26" s="146">
        <f t="shared" si="15"/>
        <v>1.6757579474553828E-2</v>
      </c>
      <c r="U26" s="146">
        <f t="shared" si="15"/>
        <v>6.6090461188839759E-3</v>
      </c>
      <c r="V26" s="107"/>
      <c r="W26" s="107"/>
      <c r="X26" s="152">
        <f>X25/$N$3</f>
        <v>2.348757974813713E-2</v>
      </c>
      <c r="Y26" s="152">
        <f>Y25/$N$3</f>
        <v>2.3269155230778223E-2</v>
      </c>
      <c r="Z26" s="107"/>
      <c r="AA26" s="107"/>
      <c r="AB26" s="107" t="s">
        <v>802</v>
      </c>
      <c r="AC26" s="107" t="s">
        <v>804</v>
      </c>
      <c r="AD26" s="146">
        <f>AD25/$N$4</f>
        <v>0</v>
      </c>
      <c r="AE26" s="146">
        <f t="shared" ref="AE26:AH26" si="16">AE25/$N$4</f>
        <v>0</v>
      </c>
      <c r="AF26" s="146">
        <f t="shared" si="16"/>
        <v>1.7158998214267668E-2</v>
      </c>
      <c r="AG26" s="146">
        <f t="shared" si="16"/>
        <v>3.0923036389473305E-2</v>
      </c>
      <c r="AH26" s="146">
        <f t="shared" si="16"/>
        <v>2.7861538281282665E-2</v>
      </c>
      <c r="AI26" s="107"/>
      <c r="AJ26" s="107"/>
      <c r="AK26" s="152">
        <f>AK25/$N$4</f>
        <v>5.8784574670755971E-2</v>
      </c>
      <c r="AL26" s="152">
        <f>AL25/$N$4</f>
        <v>1.7158998214267668E-2</v>
      </c>
      <c r="AM26" s="107"/>
      <c r="AN26" s="107"/>
    </row>
    <row r="29" spans="2:40" x14ac:dyDescent="0.3">
      <c r="D29" t="s">
        <v>473</v>
      </c>
      <c r="E29" t="s">
        <v>474</v>
      </c>
      <c r="F29" t="s">
        <v>475</v>
      </c>
      <c r="G29" t="s">
        <v>476</v>
      </c>
      <c r="H29" t="s">
        <v>477</v>
      </c>
      <c r="Q29" t="s">
        <v>473</v>
      </c>
      <c r="R29" t="s">
        <v>474</v>
      </c>
      <c r="S29" t="s">
        <v>475</v>
      </c>
      <c r="T29" t="s">
        <v>476</v>
      </c>
      <c r="U29" t="s">
        <v>477</v>
      </c>
      <c r="AD29" t="s">
        <v>473</v>
      </c>
      <c r="AE29" t="s">
        <v>474</v>
      </c>
      <c r="AF29" t="s">
        <v>475</v>
      </c>
      <c r="AG29" t="s">
        <v>476</v>
      </c>
      <c r="AH29" t="s">
        <v>477</v>
      </c>
    </row>
    <row r="30" spans="2:40" x14ac:dyDescent="0.3">
      <c r="B30" s="118" t="s">
        <v>375</v>
      </c>
      <c r="C30" s="8">
        <v>20</v>
      </c>
      <c r="D30" s="90" t="s">
        <v>524</v>
      </c>
      <c r="E30" s="91" t="s">
        <v>523</v>
      </c>
      <c r="F30" s="92" t="s">
        <v>525</v>
      </c>
      <c r="G30" s="124" t="s">
        <v>526</v>
      </c>
      <c r="H30" s="123" t="s">
        <v>527</v>
      </c>
      <c r="I30" s="212" t="s">
        <v>529</v>
      </c>
      <c r="J30" s="213" t="s">
        <v>599</v>
      </c>
      <c r="K30" s="214" t="s">
        <v>600</v>
      </c>
      <c r="L30" s="215" t="s">
        <v>525</v>
      </c>
      <c r="Q30" s="90" t="s">
        <v>524</v>
      </c>
      <c r="R30" s="91" t="s">
        <v>523</v>
      </c>
      <c r="S30" s="92" t="s">
        <v>525</v>
      </c>
      <c r="T30" s="124" t="s">
        <v>526</v>
      </c>
      <c r="U30" s="123" t="s">
        <v>527</v>
      </c>
      <c r="V30" s="212" t="s">
        <v>529</v>
      </c>
      <c r="W30" s="213" t="s">
        <v>599</v>
      </c>
      <c r="X30" s="214" t="s">
        <v>600</v>
      </c>
      <c r="Y30" s="215" t="s">
        <v>525</v>
      </c>
      <c r="AD30" s="90" t="s">
        <v>524</v>
      </c>
      <c r="AE30" s="91" t="s">
        <v>523</v>
      </c>
      <c r="AF30" s="92" t="s">
        <v>525</v>
      </c>
      <c r="AG30" s="124" t="s">
        <v>526</v>
      </c>
      <c r="AH30" s="123" t="s">
        <v>527</v>
      </c>
      <c r="AI30" s="212" t="s">
        <v>529</v>
      </c>
      <c r="AJ30" s="213" t="s">
        <v>599</v>
      </c>
      <c r="AK30" s="214" t="s">
        <v>600</v>
      </c>
      <c r="AL30" s="215" t="s">
        <v>525</v>
      </c>
    </row>
    <row r="31" spans="2:40" x14ac:dyDescent="0.3">
      <c r="B31" s="119" t="s">
        <v>423</v>
      </c>
      <c r="C31" s="107"/>
      <c r="D31" s="116"/>
      <c r="E31" s="116"/>
      <c r="F31" s="116"/>
      <c r="G31" s="116"/>
      <c r="H31" s="116"/>
      <c r="I31" s="107"/>
      <c r="J31" s="107"/>
      <c r="K31" s="107"/>
      <c r="L31" s="107"/>
      <c r="M31" s="107"/>
      <c r="N31" s="107"/>
      <c r="O31" s="119" t="s">
        <v>424</v>
      </c>
      <c r="P31" s="107"/>
      <c r="Q31" s="116"/>
      <c r="R31" s="116"/>
      <c r="S31" s="116"/>
      <c r="T31" s="116"/>
      <c r="U31" s="116"/>
      <c r="V31" s="107"/>
      <c r="W31" s="107"/>
      <c r="X31" s="107"/>
      <c r="Y31" s="107"/>
      <c r="Z31" s="107"/>
      <c r="AA31" s="107"/>
      <c r="AB31" s="119" t="s">
        <v>624</v>
      </c>
      <c r="AC31" s="107"/>
      <c r="AD31" s="116"/>
      <c r="AE31" s="116"/>
      <c r="AF31" s="116"/>
      <c r="AG31" s="116"/>
      <c r="AH31" s="116"/>
      <c r="AI31" s="107"/>
      <c r="AJ31" s="107"/>
      <c r="AK31" s="107"/>
      <c r="AL31" s="107"/>
      <c r="AM31" s="107"/>
      <c r="AN31" s="107"/>
    </row>
    <row r="32" spans="2:40" x14ac:dyDescent="0.3">
      <c r="B32" s="115" t="s">
        <v>409</v>
      </c>
      <c r="C32" s="122" t="s">
        <v>9</v>
      </c>
      <c r="D32" s="136">
        <f>'88_Seeds'!AL127</f>
        <v>63.71</v>
      </c>
      <c r="E32" s="136">
        <f>'88_Seeds'!AM127</f>
        <v>28.18</v>
      </c>
      <c r="F32" s="136">
        <f>'88_Seeds'!AN127</f>
        <v>12137.33</v>
      </c>
      <c r="G32" s="136">
        <f>'88_Seeds'!AO127</f>
        <v>15486.76</v>
      </c>
      <c r="H32" s="136">
        <f>'88_Seeds'!AP127</f>
        <v>15506.46</v>
      </c>
      <c r="I32" s="108">
        <f>$N$2-N32</f>
        <v>195.64999999999418</v>
      </c>
      <c r="J32" s="108"/>
      <c r="K32" s="108">
        <f>D32+E32+G32+H32</f>
        <v>31085.11</v>
      </c>
      <c r="L32" s="108">
        <f>F32</f>
        <v>12137.33</v>
      </c>
      <c r="M32" s="115" t="s">
        <v>36</v>
      </c>
      <c r="N32" s="137">
        <f>SUM(D32:H32)</f>
        <v>43222.44</v>
      </c>
      <c r="O32" s="115" t="s">
        <v>409</v>
      </c>
      <c r="P32" s="122" t="s">
        <v>9</v>
      </c>
      <c r="Q32" s="136">
        <f>'88_Seeds'!AL132</f>
        <v>0</v>
      </c>
      <c r="R32" s="136">
        <f>'88_Seeds'!AM132</f>
        <v>3.49</v>
      </c>
      <c r="S32" s="136">
        <f>'88_Seeds'!AN132</f>
        <v>897.34</v>
      </c>
      <c r="T32" s="136">
        <f>'88_Seeds'!AO132</f>
        <v>405.06</v>
      </c>
      <c r="U32" s="136">
        <f>'88_Seeds'!AP132</f>
        <v>547.04999999999995</v>
      </c>
      <c r="V32" s="108">
        <f>$N$3-AA32</f>
        <v>8.6099999999999</v>
      </c>
      <c r="W32" s="108"/>
      <c r="X32" s="108">
        <f>Q32+R32+T32+U32</f>
        <v>955.59999999999991</v>
      </c>
      <c r="Y32" s="108">
        <f>S32</f>
        <v>897.34</v>
      </c>
      <c r="Z32" s="115" t="s">
        <v>36</v>
      </c>
      <c r="AA32" s="137">
        <f>SUM(Q32:U32)</f>
        <v>1852.94</v>
      </c>
      <c r="AB32" s="115" t="s">
        <v>409</v>
      </c>
      <c r="AC32" s="122" t="s">
        <v>9</v>
      </c>
      <c r="AD32" s="136">
        <v>0</v>
      </c>
      <c r="AE32" s="136">
        <v>1.24</v>
      </c>
      <c r="AF32" s="136">
        <v>182.27</v>
      </c>
      <c r="AG32" s="136">
        <v>102.61</v>
      </c>
      <c r="AH32" s="136">
        <v>192.14</v>
      </c>
      <c r="AI32" s="108">
        <f>$N$4-AN32</f>
        <v>2.3600000000000136</v>
      </c>
      <c r="AJ32" s="108"/>
      <c r="AK32" s="108">
        <f>AD32+AE32+AG32+AH32</f>
        <v>295.99</v>
      </c>
      <c r="AL32" s="108">
        <f>AF32</f>
        <v>182.27</v>
      </c>
      <c r="AM32" s="115" t="s">
        <v>36</v>
      </c>
      <c r="AN32" s="137">
        <f>SUM(AD32:AH32)</f>
        <v>478.26</v>
      </c>
    </row>
    <row r="33" spans="2:40" x14ac:dyDescent="0.3">
      <c r="B33" s="107"/>
      <c r="C33" s="141" t="s">
        <v>533</v>
      </c>
      <c r="D33" s="151">
        <f t="shared" ref="D33:I33" si="17">D32/$N$2</f>
        <v>1.4673607245274955E-3</v>
      </c>
      <c r="E33" s="151">
        <f t="shared" si="17"/>
        <v>6.4903822346860495E-4</v>
      </c>
      <c r="F33" s="151">
        <f t="shared" si="17"/>
        <v>0.2795454613503266</v>
      </c>
      <c r="G33" s="151">
        <f t="shared" si="17"/>
        <v>0.35668911276382725</v>
      </c>
      <c r="H33" s="151">
        <f t="shared" si="17"/>
        <v>0.35714284069151825</v>
      </c>
      <c r="I33" s="151">
        <f t="shared" si="17"/>
        <v>4.5061862463317524E-3</v>
      </c>
      <c r="J33" s="151"/>
      <c r="K33" s="151">
        <f>K32/$N$2</f>
        <v>0.71594835240334165</v>
      </c>
      <c r="L33" s="151">
        <f>L32/$N$2</f>
        <v>0.2795454613503266</v>
      </c>
      <c r="M33" s="145">
        <f>SUM(D33:I33)</f>
        <v>0.99999999999999989</v>
      </c>
      <c r="N33" s="142"/>
      <c r="O33" s="107"/>
      <c r="P33" s="141" t="s">
        <v>533</v>
      </c>
      <c r="Q33" s="151">
        <f t="shared" ref="Q33:V33" si="18">Q32/$N$3</f>
        <v>0</v>
      </c>
      <c r="R33" s="151">
        <f t="shared" si="18"/>
        <v>1.8747817678816043E-3</v>
      </c>
      <c r="S33" s="151">
        <f t="shared" si="18"/>
        <v>0.48203916091429189</v>
      </c>
      <c r="T33" s="151">
        <f t="shared" si="18"/>
        <v>0.21759286615992049</v>
      </c>
      <c r="U33" s="151">
        <f t="shared" si="18"/>
        <v>0.29386801321479411</v>
      </c>
      <c r="V33" s="151">
        <f t="shared" si="18"/>
        <v>4.6251779431118693E-3</v>
      </c>
      <c r="W33" s="151"/>
      <c r="X33" s="151">
        <f>X32/$N$3</f>
        <v>0.51333566114259621</v>
      </c>
      <c r="Y33" s="151">
        <f>Y32/$N$3</f>
        <v>0.48203916091429189</v>
      </c>
      <c r="Z33" s="145">
        <f>SUM(Q33:V33)</f>
        <v>1</v>
      </c>
      <c r="AA33" s="107"/>
      <c r="AB33" s="107"/>
      <c r="AC33" s="141" t="s">
        <v>533</v>
      </c>
      <c r="AD33" s="151">
        <f>AD32/$N$4</f>
        <v>0</v>
      </c>
      <c r="AE33" s="151">
        <f t="shared" ref="AD33:AL35" si="19">AE32/$N$4</f>
        <v>2.5800008322583328E-3</v>
      </c>
      <c r="AF33" s="151">
        <f t="shared" si="19"/>
        <v>0.37923931588365029</v>
      </c>
      <c r="AG33" s="151">
        <f t="shared" si="19"/>
        <v>0.21349506886937705</v>
      </c>
      <c r="AH33" s="151">
        <f t="shared" si="19"/>
        <v>0.39977529025009362</v>
      </c>
      <c r="AI33" s="151">
        <f t="shared" si="19"/>
        <v>4.9103241646207265E-3</v>
      </c>
      <c r="AJ33" s="151"/>
      <c r="AK33" s="151">
        <f t="shared" si="19"/>
        <v>0.61585035995172899</v>
      </c>
      <c r="AL33" s="151">
        <f t="shared" si="19"/>
        <v>0.37923931588365029</v>
      </c>
      <c r="AM33" s="145">
        <f>SUM(AD33:AI33)</f>
        <v>1</v>
      </c>
      <c r="AN33" s="107"/>
    </row>
    <row r="34" spans="2:40" x14ac:dyDescent="0.3">
      <c r="B34" s="107" t="s">
        <v>598</v>
      </c>
      <c r="C34" s="107" t="s">
        <v>9</v>
      </c>
      <c r="D34" s="108">
        <v>41.2</v>
      </c>
      <c r="E34" s="108">
        <v>21.57</v>
      </c>
      <c r="F34" s="108">
        <v>11161.43</v>
      </c>
      <c r="G34" s="108">
        <v>14924.13</v>
      </c>
      <c r="H34" s="108">
        <v>14651.75</v>
      </c>
      <c r="I34" s="108">
        <f>I32</f>
        <v>195.64999999999418</v>
      </c>
      <c r="J34" s="108">
        <f>SUM(D32:H32)-SUM(D34:H34)</f>
        <v>2422.3600000000006</v>
      </c>
      <c r="K34" s="108">
        <f>D34+E34+G34+H34</f>
        <v>29638.65</v>
      </c>
      <c r="L34" s="108">
        <f>F34</f>
        <v>11161.43</v>
      </c>
      <c r="M34" s="115" t="s">
        <v>609</v>
      </c>
      <c r="N34" s="196">
        <f>SUM(D34:H34)</f>
        <v>40800.080000000002</v>
      </c>
      <c r="O34" s="107" t="s">
        <v>598</v>
      </c>
      <c r="P34" s="122" t="s">
        <v>9</v>
      </c>
      <c r="Q34" s="108">
        <v>0</v>
      </c>
      <c r="R34" s="108">
        <v>2.41</v>
      </c>
      <c r="S34" s="108">
        <v>842.68</v>
      </c>
      <c r="T34" s="108">
        <v>389.62</v>
      </c>
      <c r="U34" s="108">
        <v>501.4</v>
      </c>
      <c r="V34" s="108">
        <f>V32</f>
        <v>8.6099999999999</v>
      </c>
      <c r="W34" s="108">
        <f>SUM(Q32:U32)-SUM(Q34:U34)</f>
        <v>116.82999999999993</v>
      </c>
      <c r="X34" s="108">
        <f>Q34+R34+T34+U34</f>
        <v>893.43000000000006</v>
      </c>
      <c r="Y34" s="108">
        <f>S34</f>
        <v>842.68</v>
      </c>
      <c r="Z34" s="115" t="s">
        <v>609</v>
      </c>
      <c r="AA34" s="196">
        <f>SUM(Q34:U34)</f>
        <v>1736.1100000000001</v>
      </c>
      <c r="AB34" s="107" t="s">
        <v>598</v>
      </c>
      <c r="AC34" s="122" t="s">
        <v>9</v>
      </c>
      <c r="AD34" s="108">
        <v>0</v>
      </c>
      <c r="AE34" s="108">
        <v>0.54</v>
      </c>
      <c r="AF34" s="108">
        <v>173.18</v>
      </c>
      <c r="AG34" s="108">
        <v>96.52</v>
      </c>
      <c r="AH34" s="108">
        <v>179.47</v>
      </c>
      <c r="AI34" s="108">
        <f>AI32</f>
        <v>2.3600000000000136</v>
      </c>
      <c r="AJ34" s="108">
        <f>SUM(AD32:AH32)-SUM(AD34:AH34)</f>
        <v>28.549999999999955</v>
      </c>
      <c r="AK34" s="108">
        <f>AD34+AE34+AG34+AH34</f>
        <v>276.52999999999997</v>
      </c>
      <c r="AL34" s="108">
        <f>AF34</f>
        <v>173.18</v>
      </c>
      <c r="AM34" s="115" t="s">
        <v>609</v>
      </c>
      <c r="AN34" s="196">
        <f>SUM(AD34:AH34)</f>
        <v>449.71000000000004</v>
      </c>
    </row>
    <row r="35" spans="2:40" x14ac:dyDescent="0.3">
      <c r="B35" s="107"/>
      <c r="C35" s="141" t="s">
        <v>533</v>
      </c>
      <c r="D35" s="151">
        <f t="shared" ref="D35:L35" si="20">D34/$N$2</f>
        <v>9.4891322948568232E-4</v>
      </c>
      <c r="E35" s="151">
        <f t="shared" si="20"/>
        <v>4.9679753300985836E-4</v>
      </c>
      <c r="F35" s="151">
        <f t="shared" si="20"/>
        <v>0.25706865502374704</v>
      </c>
      <c r="G35" s="151">
        <f t="shared" si="20"/>
        <v>0.34373068921272215</v>
      </c>
      <c r="H35" s="151">
        <f t="shared" si="20"/>
        <v>0.33745726723584574</v>
      </c>
      <c r="I35" s="151">
        <f t="shared" si="20"/>
        <v>4.5061862463317524E-3</v>
      </c>
      <c r="J35" s="151">
        <f t="shared" si="20"/>
        <v>5.5791491518857712E-2</v>
      </c>
      <c r="K35" s="151">
        <f t="shared" si="20"/>
        <v>0.68263366721106344</v>
      </c>
      <c r="L35" s="151">
        <f t="shared" si="20"/>
        <v>0.25706865502374704</v>
      </c>
      <c r="M35" s="145">
        <f>SUM(D35:J35)</f>
        <v>0.99999999999999989</v>
      </c>
      <c r="N35" s="195">
        <f>N34/N32</f>
        <v>0.94395596361519618</v>
      </c>
      <c r="O35" s="107"/>
      <c r="P35" s="141" t="s">
        <v>533</v>
      </c>
      <c r="Q35" s="151">
        <f t="shared" ref="Q35:Y35" si="21">Q34/$N$3</f>
        <v>0</v>
      </c>
      <c r="R35" s="151">
        <f t="shared" si="21"/>
        <v>1.2946200746689587E-3</v>
      </c>
      <c r="S35" s="151">
        <f t="shared" si="21"/>
        <v>0.4526765329966963</v>
      </c>
      <c r="T35" s="151">
        <f t="shared" si="21"/>
        <v>0.20929870269399156</v>
      </c>
      <c r="U35" s="151">
        <f t="shared" si="21"/>
        <v>0.26934543794150034</v>
      </c>
      <c r="V35" s="151">
        <f t="shared" si="21"/>
        <v>4.6251779431118693E-3</v>
      </c>
      <c r="W35" s="151">
        <f t="shared" si="21"/>
        <v>6.2759528350030847E-2</v>
      </c>
      <c r="X35" s="151">
        <f t="shared" si="21"/>
        <v>0.47993876071016095</v>
      </c>
      <c r="Y35" s="151">
        <f t="shared" si="21"/>
        <v>0.4526765329966963</v>
      </c>
      <c r="Z35" s="145">
        <f>SUM(Q35:W35)</f>
        <v>0.99999999999999989</v>
      </c>
      <c r="AA35" s="195">
        <f>AA34/AA32</f>
        <v>0.93694884885641205</v>
      </c>
      <c r="AB35" s="107"/>
      <c r="AC35" s="141" t="s">
        <v>533</v>
      </c>
      <c r="AD35" s="151">
        <f t="shared" si="19"/>
        <v>0</v>
      </c>
      <c r="AE35" s="151">
        <f t="shared" ref="AE35" si="22">AE34/$N$4</f>
        <v>1.1235487495318548E-3</v>
      </c>
      <c r="AF35" s="151">
        <f t="shared" ref="AF35" si="23">AF34/$N$4</f>
        <v>0.36032624526653073</v>
      </c>
      <c r="AG35" s="151">
        <f t="shared" ref="AG35" si="24">AG34/$N$4</f>
        <v>0.20082393574965668</v>
      </c>
      <c r="AH35" s="151">
        <f t="shared" ref="AH35" si="25">AH34/$N$4</f>
        <v>0.37341350755274438</v>
      </c>
      <c r="AI35" s="151">
        <f t="shared" ref="AI35" si="26">AI34/$N$4</f>
        <v>4.9103241646207265E-3</v>
      </c>
      <c r="AJ35" s="151">
        <f t="shared" ref="AJ35" si="27">AJ34/$N$4</f>
        <v>5.9402438516915554E-2</v>
      </c>
      <c r="AK35" s="151">
        <f t="shared" ref="AK35:AL37" si="28">AK34/$N$4</f>
        <v>0.57536099205193281</v>
      </c>
      <c r="AL35" s="151">
        <f t="shared" ref="AL35" si="29">AL34/$N$4</f>
        <v>0.36032624526653073</v>
      </c>
      <c r="AM35" s="145">
        <f>SUM(AD35:AJ35)</f>
        <v>0.99999999999999978</v>
      </c>
      <c r="AN35" s="195">
        <f>AN34/AN32</f>
        <v>0.94030443691715815</v>
      </c>
    </row>
    <row r="36" spans="2:40" x14ac:dyDescent="0.3">
      <c r="B36" s="107"/>
      <c r="C36" s="107" t="s">
        <v>601</v>
      </c>
      <c r="D36" s="112">
        <f>D32-D34</f>
        <v>22.509999999999998</v>
      </c>
      <c r="E36" s="112">
        <f>E32-E34</f>
        <v>6.6099999999999994</v>
      </c>
      <c r="F36" s="112">
        <f>F32-F34</f>
        <v>975.89999999999964</v>
      </c>
      <c r="G36" s="112">
        <f>G32-G34</f>
        <v>562.63000000000102</v>
      </c>
      <c r="H36" s="112">
        <f>H32-H34</f>
        <v>854.70999999999913</v>
      </c>
      <c r="I36" s="147"/>
      <c r="J36" s="147"/>
      <c r="K36" s="112">
        <f>K32-K34</f>
        <v>1446.4599999999991</v>
      </c>
      <c r="L36" s="108">
        <f>F36</f>
        <v>975.89999999999964</v>
      </c>
      <c r="M36" s="145"/>
      <c r="N36" s="107"/>
      <c r="O36" s="107"/>
      <c r="P36" s="107" t="s">
        <v>601</v>
      </c>
      <c r="Q36" s="112">
        <f>Q32-Q34</f>
        <v>0</v>
      </c>
      <c r="R36" s="112">
        <f>R32-R34</f>
        <v>1.08</v>
      </c>
      <c r="S36" s="112">
        <f>S32-S34</f>
        <v>54.660000000000082</v>
      </c>
      <c r="T36" s="112">
        <f>T32-T34</f>
        <v>15.439999999999998</v>
      </c>
      <c r="U36" s="112">
        <f>U32-U34</f>
        <v>45.649999999999977</v>
      </c>
      <c r="V36" s="147"/>
      <c r="W36" s="147"/>
      <c r="X36" s="112">
        <f>X32-X34</f>
        <v>62.169999999999845</v>
      </c>
      <c r="Y36" s="108">
        <f>S36</f>
        <v>54.660000000000082</v>
      </c>
      <c r="Z36" s="145"/>
      <c r="AA36" s="107"/>
      <c r="AB36" s="107"/>
      <c r="AC36" s="107" t="s">
        <v>601</v>
      </c>
      <c r="AD36" s="112">
        <f>AD32-AD34</f>
        <v>0</v>
      </c>
      <c r="AE36" s="112">
        <f>AE32-AE34</f>
        <v>0.7</v>
      </c>
      <c r="AF36" s="112">
        <f>AF32-AF34</f>
        <v>9.0900000000000034</v>
      </c>
      <c r="AG36" s="112">
        <f>AG32-AG34</f>
        <v>6.0900000000000034</v>
      </c>
      <c r="AH36" s="112">
        <f>AH32-AH34</f>
        <v>12.669999999999987</v>
      </c>
      <c r="AI36" s="147"/>
      <c r="AJ36" s="147"/>
      <c r="AK36" s="112">
        <f>AK32-AK34</f>
        <v>19.460000000000036</v>
      </c>
      <c r="AL36" s="108">
        <f>AF36</f>
        <v>9.0900000000000034</v>
      </c>
      <c r="AM36" s="145"/>
      <c r="AN36" s="107"/>
    </row>
    <row r="37" spans="2:40" x14ac:dyDescent="0.3">
      <c r="B37" s="107"/>
      <c r="C37" s="107" t="s">
        <v>602</v>
      </c>
      <c r="D37" s="147">
        <f>D36/D32</f>
        <v>0.35331973002668338</v>
      </c>
      <c r="E37" s="147">
        <f>E36/E32</f>
        <v>0.23456352022711141</v>
      </c>
      <c r="F37" s="147">
        <f>F36/F32</f>
        <v>8.0404833682531471E-2</v>
      </c>
      <c r="G37" s="147">
        <f>G36/G32</f>
        <v>3.632974230891426E-2</v>
      </c>
      <c r="H37" s="147">
        <f>H36/H32</f>
        <v>5.5119608214898773E-2</v>
      </c>
      <c r="I37" s="147"/>
      <c r="J37" s="147"/>
      <c r="K37" s="151">
        <f>K36/K32</f>
        <v>4.6532246467842611E-2</v>
      </c>
      <c r="L37" s="151">
        <f>L36/$N$2</f>
        <v>2.2476806326579536E-2</v>
      </c>
      <c r="M37" s="145"/>
      <c r="N37" s="107"/>
      <c r="O37" s="107"/>
      <c r="P37" s="107" t="s">
        <v>602</v>
      </c>
      <c r="Q37" s="147" t="s">
        <v>615</v>
      </c>
      <c r="R37" s="147">
        <f>R36/R32</f>
        <v>0.30945558739255014</v>
      </c>
      <c r="S37" s="147">
        <f>S36/S32</f>
        <v>6.0913366171128087E-2</v>
      </c>
      <c r="T37" s="147">
        <f>T36/T32</f>
        <v>3.8117809707203867E-2</v>
      </c>
      <c r="U37" s="147">
        <f>U36/U32</f>
        <v>8.3447582487889554E-2</v>
      </c>
      <c r="V37" s="147"/>
      <c r="W37" s="147"/>
      <c r="X37" s="151">
        <f>X36/X32</f>
        <v>6.5058601925491677E-2</v>
      </c>
      <c r="Y37" s="151">
        <f>Y36/$N$3</f>
        <v>2.9362627917595596E-2</v>
      </c>
      <c r="Z37" s="145"/>
      <c r="AA37" s="107"/>
      <c r="AB37" s="107"/>
      <c r="AC37" s="107" t="s">
        <v>602</v>
      </c>
      <c r="AD37" s="147" t="s">
        <v>615</v>
      </c>
      <c r="AE37" s="147">
        <f>AE36/AE32</f>
        <v>0.56451612903225801</v>
      </c>
      <c r="AF37" s="147">
        <f>AF36/AF32</f>
        <v>4.9871070390080666E-2</v>
      </c>
      <c r="AG37" s="147">
        <f>AG36/AG32</f>
        <v>5.9350940454146801E-2</v>
      </c>
      <c r="AH37" s="147">
        <f>AH36/AH32</f>
        <v>6.5941500988862228E-2</v>
      </c>
      <c r="AI37" s="147"/>
      <c r="AJ37" s="147"/>
      <c r="AK37" s="151">
        <f t="shared" si="28"/>
        <v>4.0489367899796173E-2</v>
      </c>
      <c r="AL37" s="151">
        <f t="shared" si="28"/>
        <v>1.8913070617119561E-2</v>
      </c>
      <c r="AM37" s="145"/>
      <c r="AN37" s="107"/>
    </row>
    <row r="38" spans="2:40" x14ac:dyDescent="0.3">
      <c r="B38" s="115" t="s">
        <v>410</v>
      </c>
      <c r="C38" s="122" t="s">
        <v>9</v>
      </c>
      <c r="D38" s="140">
        <f>'88_Seeds'!AL129</f>
        <v>60.878</v>
      </c>
      <c r="E38" s="136">
        <f>'88_Seeds'!AM129</f>
        <v>30.201000000000004</v>
      </c>
      <c r="F38" s="136">
        <f>'88_Seeds'!AN129</f>
        <v>12161.712</v>
      </c>
      <c r="G38" s="136">
        <f>'88_Seeds'!AO129</f>
        <v>15438.344500000001</v>
      </c>
      <c r="H38" s="136">
        <f>'88_Seeds'!AP129</f>
        <v>15531.3115</v>
      </c>
      <c r="I38" s="108">
        <f>$N$2-N38</f>
        <v>195.64299999999639</v>
      </c>
      <c r="J38" s="108"/>
      <c r="K38" s="108"/>
      <c r="L38" s="108"/>
      <c r="M38" s="115" t="s">
        <v>36</v>
      </c>
      <c r="N38" s="137">
        <f>SUM(D38:H38)</f>
        <v>43222.447</v>
      </c>
      <c r="O38" s="115" t="s">
        <v>410</v>
      </c>
      <c r="P38" s="122" t="s">
        <v>9</v>
      </c>
      <c r="Q38" s="136">
        <f>'88_Seeds'!AL134</f>
        <v>0</v>
      </c>
      <c r="R38" s="136">
        <f>'88_Seeds'!AM134</f>
        <v>4.1175000000000006</v>
      </c>
      <c r="S38" s="136">
        <f>'88_Seeds'!AN134</f>
        <v>892.18299999999999</v>
      </c>
      <c r="T38" s="136">
        <f>'88_Seeds'!AO134</f>
        <v>405.89250000000004</v>
      </c>
      <c r="U38" s="136">
        <f>'88_Seeds'!AP134</f>
        <v>550.73950000000002</v>
      </c>
      <c r="V38" s="108">
        <f>$N$3-AA38</f>
        <v>8.6175000000000637</v>
      </c>
      <c r="W38" s="108"/>
      <c r="X38" s="108"/>
      <c r="Y38" s="108"/>
      <c r="Z38" s="115" t="s">
        <v>36</v>
      </c>
      <c r="AA38" s="137">
        <f>SUM(Q38:U38)</f>
        <v>1852.9324999999999</v>
      </c>
      <c r="AB38" s="115"/>
      <c r="AC38" s="122"/>
      <c r="AD38" s="139"/>
      <c r="AE38" s="136"/>
      <c r="AF38" s="136"/>
      <c r="AG38" s="136"/>
      <c r="AH38" s="136"/>
      <c r="AI38" s="108"/>
      <c r="AJ38" s="108"/>
      <c r="AK38" s="108"/>
      <c r="AL38" s="108"/>
      <c r="AM38" s="115"/>
      <c r="AN38" s="137"/>
    </row>
    <row r="39" spans="2:40" x14ac:dyDescent="0.3">
      <c r="B39" s="115"/>
      <c r="C39" s="141" t="s">
        <v>533</v>
      </c>
      <c r="D39" s="151">
        <f t="shared" ref="D39:I39" si="30">D38/$N$2</f>
        <v>1.4021344559376058E-3</v>
      </c>
      <c r="E39" s="151">
        <f t="shared" si="30"/>
        <v>6.955856418373081E-4</v>
      </c>
      <c r="F39" s="151">
        <f t="shared" si="30"/>
        <v>0.28010702451443625</v>
      </c>
      <c r="G39" s="151">
        <f t="shared" si="30"/>
        <v>0.35557401304387187</v>
      </c>
      <c r="H39" s="151">
        <f t="shared" si="30"/>
        <v>0.35771521732070666</v>
      </c>
      <c r="I39" s="146">
        <f t="shared" si="30"/>
        <v>4.506025023210289E-3</v>
      </c>
      <c r="J39" s="146"/>
      <c r="K39" s="107"/>
      <c r="L39" s="230">
        <f>L34-L9</f>
        <v>1837.1100000000006</v>
      </c>
      <c r="M39" s="145">
        <f>SUM(D39:I39)</f>
        <v>1</v>
      </c>
      <c r="N39" s="137"/>
      <c r="O39" s="115"/>
      <c r="P39" s="141" t="s">
        <v>533</v>
      </c>
      <c r="Q39" s="151">
        <f t="shared" ref="Q39:V39" si="31">Q38/$N$3</f>
        <v>0</v>
      </c>
      <c r="R39" s="151">
        <f t="shared" si="31"/>
        <v>2.2118664553732108E-3</v>
      </c>
      <c r="S39" s="151">
        <f t="shared" si="31"/>
        <v>0.47926888882920149</v>
      </c>
      <c r="T39" s="151">
        <f t="shared" si="31"/>
        <v>0.21804007413177193</v>
      </c>
      <c r="U39" s="151">
        <f t="shared" si="31"/>
        <v>0.2958499637398942</v>
      </c>
      <c r="V39" s="147">
        <f t="shared" si="31"/>
        <v>4.6292068437592676E-3</v>
      </c>
      <c r="W39" s="147"/>
      <c r="X39" s="147"/>
      <c r="Y39" s="146"/>
      <c r="Z39" s="145">
        <f>SUM(Q39:V39)</f>
        <v>1</v>
      </c>
      <c r="AA39" s="137"/>
      <c r="AB39" s="115"/>
      <c r="AC39" s="141"/>
      <c r="AD39" s="151"/>
      <c r="AE39" s="151"/>
      <c r="AF39" s="151"/>
      <c r="AG39" s="151"/>
      <c r="AH39" s="151"/>
      <c r="AI39" s="147"/>
      <c r="AJ39" s="147"/>
      <c r="AK39" s="147"/>
      <c r="AL39" s="147"/>
      <c r="AM39" s="145"/>
      <c r="AN39" s="137"/>
    </row>
    <row r="40" spans="2:40" x14ac:dyDescent="0.3">
      <c r="B40" s="107"/>
      <c r="C40" s="148" t="s">
        <v>394</v>
      </c>
      <c r="D40" s="108">
        <f>'88_Seeds'!AL130</f>
        <v>2.8958226355980612</v>
      </c>
      <c r="E40" s="108">
        <f>'88_Seeds'!AM130</f>
        <v>0.82832580038228065</v>
      </c>
      <c r="F40" s="108">
        <f>'88_Seeds'!AN130</f>
        <v>43.373460746842625</v>
      </c>
      <c r="G40" s="108">
        <f>'88_Seeds'!AO130</f>
        <v>36.338837730703766</v>
      </c>
      <c r="H40" s="108">
        <f>'88_Seeds'!AP130</f>
        <v>40.798888286421423</v>
      </c>
      <c r="I40" s="107"/>
      <c r="J40" s="107"/>
      <c r="K40" s="107"/>
      <c r="L40" s="107"/>
      <c r="M40" s="107"/>
      <c r="N40" s="107"/>
      <c r="O40" s="107"/>
      <c r="P40" s="148" t="s">
        <v>394</v>
      </c>
      <c r="Q40" s="108">
        <f>'88_Seeds'!AL135</f>
        <v>0</v>
      </c>
      <c r="R40" s="108">
        <f>'88_Seeds'!AM135</f>
        <v>0.28388459015296269</v>
      </c>
      <c r="S40" s="108">
        <f>'88_Seeds'!AN135</f>
        <v>3.0459367325910343</v>
      </c>
      <c r="T40" s="108">
        <f>'88_Seeds'!AO135</f>
        <v>0.99955276183111597</v>
      </c>
      <c r="U40" s="108">
        <f>'88_Seeds'!AP135</f>
        <v>3.0866219377892858</v>
      </c>
      <c r="V40" s="107"/>
      <c r="W40" s="107"/>
      <c r="X40" s="107"/>
      <c r="Y40" s="107"/>
      <c r="Z40" s="107"/>
      <c r="AA40" s="107"/>
      <c r="AB40" s="107"/>
      <c r="AC40" s="148"/>
      <c r="AD40" s="108"/>
      <c r="AE40" s="108"/>
      <c r="AF40" s="108"/>
      <c r="AG40" s="108"/>
      <c r="AH40" s="108"/>
      <c r="AI40" s="107"/>
      <c r="AJ40" s="107"/>
      <c r="AK40" s="107"/>
      <c r="AL40" s="107"/>
      <c r="AM40" s="107"/>
      <c r="AN40" s="107"/>
    </row>
    <row r="41" spans="2:40" x14ac:dyDescent="0.3">
      <c r="B41" s="107"/>
      <c r="C41" s="129" t="s">
        <v>538</v>
      </c>
      <c r="D41" s="125">
        <f>1.96*D40</f>
        <v>5.6758123657721997</v>
      </c>
      <c r="E41" s="125">
        <f>1.96*E40</f>
        <v>1.6235185687492701</v>
      </c>
      <c r="F41" s="125">
        <f>1.96*F40</f>
        <v>85.011983063811542</v>
      </c>
      <c r="G41" s="125">
        <f>1.96*G40</f>
        <v>71.224121952179374</v>
      </c>
      <c r="H41" s="125">
        <f>1.96*H40</f>
        <v>79.965821041385993</v>
      </c>
      <c r="I41" s="107"/>
      <c r="J41" s="107"/>
      <c r="K41" s="107"/>
      <c r="L41" s="107"/>
      <c r="M41" s="107"/>
      <c r="N41" s="107"/>
      <c r="O41" s="107"/>
      <c r="P41" s="129" t="s">
        <v>538</v>
      </c>
      <c r="Q41" s="125">
        <f>1.96*Q40</f>
        <v>0</v>
      </c>
      <c r="R41" s="125">
        <f>1.96*R40</f>
        <v>0.55641379669980684</v>
      </c>
      <c r="S41" s="125">
        <f>1.96*S40</f>
        <v>5.970035995878427</v>
      </c>
      <c r="T41" s="125">
        <f>1.96*T40</f>
        <v>1.9591234131889872</v>
      </c>
      <c r="U41" s="125">
        <f>1.96*U40</f>
        <v>6.0497789980670005</v>
      </c>
      <c r="V41" s="107"/>
      <c r="W41" s="107"/>
      <c r="X41" s="107"/>
      <c r="Y41" s="107"/>
      <c r="Z41" s="107"/>
      <c r="AA41" s="107"/>
      <c r="AB41" s="107"/>
      <c r="AC41" s="129"/>
      <c r="AD41" s="125"/>
      <c r="AE41" s="125"/>
      <c r="AF41" s="125"/>
      <c r="AG41" s="125"/>
      <c r="AH41" s="125"/>
      <c r="AI41" s="107"/>
      <c r="AJ41" s="107"/>
      <c r="AK41" s="107"/>
      <c r="AL41" s="107"/>
      <c r="AM41" s="107"/>
      <c r="AN41" s="107"/>
    </row>
    <row r="42" spans="2:40" x14ac:dyDescent="0.3">
      <c r="B42" s="115" t="s">
        <v>409</v>
      </c>
      <c r="C42" s="107" t="s">
        <v>391</v>
      </c>
      <c r="D42" s="146">
        <f>D32/SUM(D32:H32)</f>
        <v>1.4740028559239136E-3</v>
      </c>
      <c r="E42" s="146">
        <f>E32/SUM(D32:H32)</f>
        <v>6.5197614942608508E-4</v>
      </c>
      <c r="F42" s="146">
        <f>F32/SUM(D32:H32)</f>
        <v>0.28081084732837847</v>
      </c>
      <c r="G42" s="146">
        <f>G32/SUM(D32:H32)</f>
        <v>0.35830369595052941</v>
      </c>
      <c r="H42" s="146">
        <f>H32/SUM(D32:H32)</f>
        <v>0.35875947771574207</v>
      </c>
      <c r="I42" s="152">
        <f>SUM(D42:H42)</f>
        <v>1</v>
      </c>
      <c r="J42" s="107"/>
      <c r="K42" s="107"/>
      <c r="L42" s="107"/>
      <c r="M42" s="107"/>
      <c r="N42" s="107"/>
      <c r="O42" s="115" t="s">
        <v>409</v>
      </c>
      <c r="P42" s="107" t="s">
        <v>391</v>
      </c>
      <c r="Q42" s="146">
        <f>Q32/SUM(Q32:U32)</f>
        <v>0</v>
      </c>
      <c r="R42" s="146">
        <f>R32/SUM(Q32:U32)</f>
        <v>1.8834932593607997E-3</v>
      </c>
      <c r="S42" s="146">
        <f>S32/SUM(Q32:U32)</f>
        <v>0.4842790376374842</v>
      </c>
      <c r="T42" s="146">
        <f>T32/SUM(Q32:U32)</f>
        <v>0.21860394831996718</v>
      </c>
      <c r="U42" s="146">
        <f>U32/SUM(Q32:U32)</f>
        <v>0.29523352078318776</v>
      </c>
      <c r="V42" s="152">
        <f>SUM(Q42:U42)</f>
        <v>1</v>
      </c>
      <c r="W42" s="107"/>
      <c r="X42" s="107"/>
      <c r="Y42" s="107"/>
      <c r="Z42" s="107"/>
      <c r="AA42" s="107"/>
      <c r="AB42" s="115" t="s">
        <v>409</v>
      </c>
      <c r="AC42" s="107" t="s">
        <v>391</v>
      </c>
      <c r="AD42" s="146">
        <f>AD32/SUM(AD32:AH32)</f>
        <v>0</v>
      </c>
      <c r="AE42" s="146">
        <f>AE32/SUM(AD32:AH32)</f>
        <v>2.5927319867854307E-3</v>
      </c>
      <c r="AF42" s="146">
        <f>AF32/SUM(AD32:AH32)</f>
        <v>0.38111069292853261</v>
      </c>
      <c r="AG42" s="146">
        <f>AG32/SUM(AD32:AH32)</f>
        <v>0.21454857190649437</v>
      </c>
      <c r="AH42" s="146">
        <f>AH32/SUM(AD32:AH32)</f>
        <v>0.4017480031781876</v>
      </c>
      <c r="AI42" s="152">
        <f>SUM(AD42:AH42)</f>
        <v>1</v>
      </c>
      <c r="AJ42" s="107"/>
      <c r="AK42" s="107"/>
      <c r="AL42" s="107"/>
      <c r="AM42" s="107"/>
      <c r="AN42" s="107"/>
    </row>
    <row r="43" spans="2:40" x14ac:dyDescent="0.3">
      <c r="B43" s="148" t="s">
        <v>801</v>
      </c>
      <c r="C43" s="90" t="s">
        <v>524</v>
      </c>
      <c r="D43" s="108">
        <f>D36*D42</f>
        <v>3.3179804286847296E-2</v>
      </c>
      <c r="E43" s="108">
        <f>E36*D42</f>
        <v>9.7431588776570686E-3</v>
      </c>
      <c r="F43" s="108">
        <f>F36*D42</f>
        <v>1.4384793870961468</v>
      </c>
      <c r="G43" s="108">
        <f>G36*D42</f>
        <v>0.829318226828473</v>
      </c>
      <c r="H43" s="108">
        <f>H36*D42</f>
        <v>1.2598449809867269</v>
      </c>
      <c r="I43" s="107"/>
      <c r="J43" s="107"/>
      <c r="K43" s="107"/>
      <c r="L43" s="107"/>
      <c r="M43" s="107"/>
      <c r="N43" s="107"/>
      <c r="O43" s="148" t="s">
        <v>801</v>
      </c>
      <c r="P43" s="90" t="s">
        <v>524</v>
      </c>
      <c r="Q43" s="108">
        <f>Q36*Q42</f>
        <v>0</v>
      </c>
      <c r="R43" s="108">
        <f>R36*Q42</f>
        <v>0</v>
      </c>
      <c r="S43" s="108">
        <f>S36*Q42</f>
        <v>0</v>
      </c>
      <c r="T43" s="108">
        <f>T36*Q42</f>
        <v>0</v>
      </c>
      <c r="U43" s="108">
        <f>U36*Q42</f>
        <v>0</v>
      </c>
      <c r="V43" s="107"/>
      <c r="W43" s="107"/>
      <c r="X43" s="107"/>
      <c r="Y43" s="107"/>
      <c r="Z43" s="107"/>
      <c r="AA43" s="107"/>
      <c r="AB43" s="148" t="s">
        <v>801</v>
      </c>
      <c r="AC43" s="90" t="s">
        <v>524</v>
      </c>
      <c r="AD43" s="108">
        <f>AD36*AD42</f>
        <v>0</v>
      </c>
      <c r="AE43" s="108">
        <f>AE36*AD42</f>
        <v>0</v>
      </c>
      <c r="AF43" s="108">
        <f>AF36*AD42</f>
        <v>0</v>
      </c>
      <c r="AG43" s="108">
        <f>AG36*AD42</f>
        <v>0</v>
      </c>
      <c r="AH43" s="108">
        <f>AH36*AD42</f>
        <v>0</v>
      </c>
      <c r="AI43" s="107"/>
      <c r="AJ43" s="107"/>
      <c r="AK43" s="107"/>
      <c r="AL43" s="107"/>
      <c r="AM43" s="107"/>
      <c r="AN43" s="107"/>
    </row>
    <row r="44" spans="2:40" x14ac:dyDescent="0.3">
      <c r="B44" s="107" t="s">
        <v>799</v>
      </c>
      <c r="C44" s="91" t="s">
        <v>523</v>
      </c>
      <c r="D44" s="108">
        <f>D36*E42</f>
        <v>1.4675983123581173E-2</v>
      </c>
      <c r="E44" s="108">
        <f>E36*E42</f>
        <v>4.3095623477064221E-3</v>
      </c>
      <c r="F44" s="108">
        <f>F36*E42</f>
        <v>0.63626352422491617</v>
      </c>
      <c r="G44" s="108">
        <f>G36*E42</f>
        <v>0.36682134095159891</v>
      </c>
      <c r="H44" s="108">
        <f>H36*E42</f>
        <v>0.55725053467596863</v>
      </c>
      <c r="I44" s="107"/>
      <c r="J44" s="107"/>
      <c r="K44" s="107"/>
      <c r="L44" s="107"/>
      <c r="M44" s="107"/>
      <c r="N44" s="107"/>
      <c r="O44" s="107" t="s">
        <v>799</v>
      </c>
      <c r="P44" s="91" t="s">
        <v>523</v>
      </c>
      <c r="Q44" s="108">
        <f>Q36*R42</f>
        <v>0</v>
      </c>
      <c r="R44" s="108">
        <f>R36*R42</f>
        <v>2.0341727201096641E-3</v>
      </c>
      <c r="S44" s="108">
        <f>S36*R42</f>
        <v>0.10295174155666147</v>
      </c>
      <c r="T44" s="108">
        <f>T36*R42</f>
        <v>2.9081135924530745E-2</v>
      </c>
      <c r="U44" s="108">
        <f>U36*R42</f>
        <v>8.5981467289820465E-2</v>
      </c>
      <c r="V44" s="107"/>
      <c r="W44" s="107"/>
      <c r="X44" s="107"/>
      <c r="Y44" s="107"/>
      <c r="Z44" s="107"/>
      <c r="AA44" s="107"/>
      <c r="AB44" s="107" t="s">
        <v>799</v>
      </c>
      <c r="AC44" s="91" t="s">
        <v>523</v>
      </c>
      <c r="AD44" s="108">
        <f>AD36*AE42</f>
        <v>0</v>
      </c>
      <c r="AE44" s="108">
        <f>AE36*AE42</f>
        <v>1.8149123907498013E-3</v>
      </c>
      <c r="AF44" s="108">
        <f>AF36*AE42</f>
        <v>2.3567933759879575E-2</v>
      </c>
      <c r="AG44" s="108">
        <f>AG36*AE42</f>
        <v>1.5789737799523283E-2</v>
      </c>
      <c r="AH44" s="108">
        <f>AH36*AE42</f>
        <v>3.2849914272571376E-2</v>
      </c>
      <c r="AI44" s="107"/>
      <c r="AJ44" s="107"/>
      <c r="AK44" s="107"/>
      <c r="AL44" s="107"/>
      <c r="AM44" s="107"/>
      <c r="AN44" s="107"/>
    </row>
    <row r="45" spans="2:40" x14ac:dyDescent="0.3">
      <c r="B45" s="107"/>
      <c r="C45" s="92" t="s">
        <v>525</v>
      </c>
      <c r="D45" s="108">
        <f>D36*F42</f>
        <v>6.3210521733617986</v>
      </c>
      <c r="E45" s="108">
        <f>E36*F42</f>
        <v>1.8561597008405815</v>
      </c>
      <c r="F45" s="108">
        <f>F36*F42</f>
        <v>274.04330590776442</v>
      </c>
      <c r="G45" s="108">
        <f>G36*F42</f>
        <v>157.99260703236587</v>
      </c>
      <c r="H45" s="108">
        <f>H36*F42</f>
        <v>240.01183932003812</v>
      </c>
      <c r="I45" s="107"/>
      <c r="J45" s="107"/>
      <c r="K45" s="107"/>
      <c r="L45" s="107"/>
      <c r="M45" s="107"/>
      <c r="N45" s="107"/>
      <c r="O45" s="107"/>
      <c r="P45" s="92" t="s">
        <v>525</v>
      </c>
      <c r="Q45" s="108">
        <f>Q36*S42</f>
        <v>0</v>
      </c>
      <c r="R45" s="108">
        <f>R36*S42</f>
        <v>0.52302136064848292</v>
      </c>
      <c r="S45" s="108">
        <f>S36*S42</f>
        <v>26.470692197264928</v>
      </c>
      <c r="T45" s="108">
        <f>T36*S42</f>
        <v>7.4772683411227545</v>
      </c>
      <c r="U45" s="108">
        <f>U36*S42</f>
        <v>22.107338068151144</v>
      </c>
      <c r="V45" s="107"/>
      <c r="W45" s="107"/>
      <c r="X45" s="107"/>
      <c r="Y45" s="107"/>
      <c r="Z45" s="107"/>
      <c r="AA45" s="107"/>
      <c r="AB45" s="107"/>
      <c r="AC45" s="92" t="s">
        <v>525</v>
      </c>
      <c r="AD45" s="108">
        <f>AD36*AF42</f>
        <v>0</v>
      </c>
      <c r="AE45" s="108">
        <f>AE36*AF42</f>
        <v>0.26677748504997278</v>
      </c>
      <c r="AF45" s="108">
        <f>AF36*AF42</f>
        <v>3.4642961987203629</v>
      </c>
      <c r="AG45" s="108">
        <f>AG36*AF42</f>
        <v>2.3209641199347648</v>
      </c>
      <c r="AH45" s="108">
        <f>AH36*AF42</f>
        <v>4.8286724794045037</v>
      </c>
      <c r="AI45" s="107"/>
      <c r="AJ45" s="107"/>
      <c r="AK45" s="107"/>
      <c r="AL45" s="107"/>
      <c r="AM45" s="107"/>
      <c r="AN45" s="107"/>
    </row>
    <row r="46" spans="2:40" x14ac:dyDescent="0.3">
      <c r="B46" s="107"/>
      <c r="C46" s="124" t="s">
        <v>526</v>
      </c>
      <c r="D46" s="108">
        <f>D36*G42</f>
        <v>8.0654161958464154</v>
      </c>
      <c r="E46" s="108">
        <f>E36*G42</f>
        <v>2.3683874302329992</v>
      </c>
      <c r="F46" s="108">
        <f>F36*G42</f>
        <v>349.66857687812154</v>
      </c>
      <c r="G46" s="108">
        <f>G36*G42</f>
        <v>201.59240845264674</v>
      </c>
      <c r="H46" s="108">
        <f>H36*G42</f>
        <v>306.24575196587671</v>
      </c>
      <c r="I46" s="107"/>
      <c r="J46" s="107"/>
      <c r="K46" s="107"/>
      <c r="L46" s="107"/>
      <c r="M46" s="107"/>
      <c r="N46" s="107"/>
      <c r="O46" s="107"/>
      <c r="P46" s="124" t="s">
        <v>526</v>
      </c>
      <c r="Q46" s="108">
        <f>Q36*T42</f>
        <v>0</v>
      </c>
      <c r="R46" s="108">
        <f>R36*T42</f>
        <v>0.23609226418556459</v>
      </c>
      <c r="S46" s="108">
        <f>S36*T42</f>
        <v>11.948891815169425</v>
      </c>
      <c r="T46" s="108">
        <f>T36*T42</f>
        <v>3.3752449620602927</v>
      </c>
      <c r="U46" s="108">
        <f>U36*T42</f>
        <v>9.9792702408064962</v>
      </c>
      <c r="V46" s="107"/>
      <c r="W46" s="107"/>
      <c r="X46" s="107"/>
      <c r="Y46" s="107"/>
      <c r="Z46" s="107"/>
      <c r="AA46" s="107"/>
      <c r="AB46" s="107"/>
      <c r="AC46" s="124" t="s">
        <v>526</v>
      </c>
      <c r="AD46" s="108">
        <f>AD36*AG42</f>
        <v>0</v>
      </c>
      <c r="AE46" s="108">
        <f>AE36*AG42</f>
        <v>0.15018400033454604</v>
      </c>
      <c r="AF46" s="108">
        <f>AF36*AG42</f>
        <v>1.9502465186300346</v>
      </c>
      <c r="AG46" s="108">
        <f>AG36*AG42</f>
        <v>1.3066008029105514</v>
      </c>
      <c r="AH46" s="108">
        <f>AH36*AG42</f>
        <v>2.7183304060552809</v>
      </c>
      <c r="AI46" s="107"/>
      <c r="AJ46" s="107"/>
      <c r="AK46" s="107"/>
      <c r="AL46" s="107"/>
      <c r="AM46" s="107"/>
      <c r="AN46" s="107"/>
    </row>
    <row r="47" spans="2:40" x14ac:dyDescent="0.3">
      <c r="B47" s="107"/>
      <c r="C47" s="123" t="s">
        <v>527</v>
      </c>
      <c r="D47" s="125">
        <f>D36*H42</f>
        <v>8.0756758433813527</v>
      </c>
      <c r="E47" s="125">
        <f>E36*H42</f>
        <v>2.3714001477010549</v>
      </c>
      <c r="F47" s="125">
        <f>F36*H42</f>
        <v>350.11337430279258</v>
      </c>
      <c r="G47" s="125">
        <f>G36*H42</f>
        <v>201.84884494720833</v>
      </c>
      <c r="H47" s="125">
        <f>H36*H42</f>
        <v>306.63531319842161</v>
      </c>
      <c r="I47" s="107"/>
      <c r="J47" s="107"/>
      <c r="K47" s="107"/>
      <c r="L47" s="107"/>
      <c r="M47" s="107"/>
      <c r="N47" s="107"/>
      <c r="O47" s="107"/>
      <c r="P47" s="123" t="s">
        <v>527</v>
      </c>
      <c r="Q47" s="125">
        <f>Q36*U42</f>
        <v>0</v>
      </c>
      <c r="R47" s="125">
        <f>R36*U42</f>
        <v>0.31885220244584278</v>
      </c>
      <c r="S47" s="125">
        <f>S36*U42</f>
        <v>16.137464246009067</v>
      </c>
      <c r="T47" s="125">
        <f>T36*U42</f>
        <v>4.5584055608924183</v>
      </c>
      <c r="U47" s="125">
        <f>U36*U42</f>
        <v>13.477410223752514</v>
      </c>
      <c r="V47" s="107"/>
      <c r="W47" s="107"/>
      <c r="X47" s="107"/>
      <c r="Y47" s="107"/>
      <c r="Z47" s="107"/>
      <c r="AA47" s="107"/>
      <c r="AB47" s="107"/>
      <c r="AC47" s="123" t="s">
        <v>527</v>
      </c>
      <c r="AD47" s="125">
        <f>AD36*AH42</f>
        <v>0</v>
      </c>
      <c r="AE47" s="125">
        <f>AE36*AH42</f>
        <v>0.28122360222473131</v>
      </c>
      <c r="AF47" s="125">
        <f>AF36*AH42</f>
        <v>3.6518893488897266</v>
      </c>
      <c r="AG47" s="125">
        <f>AG36*AH42</f>
        <v>2.4466453393551637</v>
      </c>
      <c r="AH47" s="125">
        <f>AH36*AH42</f>
        <v>5.0901472002676318</v>
      </c>
      <c r="AI47" s="107"/>
      <c r="AJ47" s="107"/>
      <c r="AK47" s="107"/>
      <c r="AL47" s="107"/>
      <c r="AM47" s="107"/>
      <c r="AN47" s="107"/>
    </row>
    <row r="48" spans="2:40" x14ac:dyDescent="0.3">
      <c r="B48" s="107"/>
      <c r="C48" s="107" t="s">
        <v>36</v>
      </c>
      <c r="D48" s="108">
        <f>SUM(D43:D47)</f>
        <v>22.509999999999998</v>
      </c>
      <c r="E48" s="108">
        <f>SUM(E43:E47)</f>
        <v>6.6099999999999994</v>
      </c>
      <c r="F48" s="108">
        <f>SUM(F43:F47)</f>
        <v>975.89999999999964</v>
      </c>
      <c r="G48" s="108">
        <f t="shared" ref="G48" si="32">SUM(G43:G47)</f>
        <v>562.63000000000102</v>
      </c>
      <c r="H48" s="108">
        <f t="shared" ref="H48" si="33">SUM(H43:H47)</f>
        <v>854.70999999999913</v>
      </c>
      <c r="I48" s="107"/>
      <c r="J48" s="107"/>
      <c r="K48" s="107"/>
      <c r="L48" s="107"/>
      <c r="M48" s="107"/>
      <c r="N48" s="107"/>
      <c r="O48" s="107"/>
      <c r="P48" s="107" t="s">
        <v>36</v>
      </c>
      <c r="Q48" s="108">
        <f>SUM(Q43:Q47)</f>
        <v>0</v>
      </c>
      <c r="R48" s="108">
        <f>SUM(R43:R47)</f>
        <v>1.08</v>
      </c>
      <c r="S48" s="108">
        <f>SUM(S43:S47)</f>
        <v>54.660000000000082</v>
      </c>
      <c r="T48" s="108">
        <f t="shared" ref="T48" si="34">SUM(T43:T47)</f>
        <v>15.439999999999998</v>
      </c>
      <c r="U48" s="108">
        <f t="shared" ref="U48" si="35">SUM(U43:U47)</f>
        <v>45.649999999999977</v>
      </c>
      <c r="V48" s="107"/>
      <c r="W48" s="107"/>
      <c r="X48" s="107"/>
      <c r="Y48" s="107"/>
      <c r="Z48" s="107"/>
      <c r="AA48" s="107"/>
      <c r="AB48" s="107"/>
      <c r="AC48" s="107" t="s">
        <v>36</v>
      </c>
      <c r="AD48" s="108">
        <f>SUM(AD43:AD47)</f>
        <v>0</v>
      </c>
      <c r="AE48" s="108">
        <f>SUM(AE43:AE47)</f>
        <v>0.7</v>
      </c>
      <c r="AF48" s="108">
        <f>SUM(AF43:AF47)</f>
        <v>9.0900000000000034</v>
      </c>
      <c r="AG48" s="108">
        <f t="shared" ref="AG48" si="36">SUM(AG43:AG47)</f>
        <v>6.0900000000000034</v>
      </c>
      <c r="AH48" s="108">
        <f t="shared" ref="AH48" si="37">SUM(AH43:AH47)</f>
        <v>12.669999999999987</v>
      </c>
      <c r="AI48" s="107"/>
      <c r="AJ48" s="107"/>
      <c r="AK48" s="107"/>
      <c r="AL48" s="107"/>
      <c r="AM48" s="107"/>
      <c r="AN48" s="107"/>
    </row>
    <row r="49" spans="2:40" x14ac:dyDescent="0.3">
      <c r="B49" s="107" t="s">
        <v>800</v>
      </c>
      <c r="C49" s="212" t="s">
        <v>529</v>
      </c>
      <c r="D49" s="125">
        <f>I34*D42</f>
        <v>0.2883886587615051</v>
      </c>
      <c r="E49" s="125">
        <f>I34*E42</f>
        <v>0.12755913363520974</v>
      </c>
      <c r="F49" s="125">
        <f>I34*F42</f>
        <v>54.940642279795611</v>
      </c>
      <c r="G49" s="125">
        <f>I34*G42</f>
        <v>70.102118112718998</v>
      </c>
      <c r="H49" s="125">
        <f>I34*H42</f>
        <v>70.191291815082849</v>
      </c>
      <c r="I49" s="230">
        <f>SUM(D49:H49)</f>
        <v>195.64999999999418</v>
      </c>
      <c r="J49" s="107"/>
      <c r="K49" s="141"/>
      <c r="L49" s="141"/>
      <c r="M49" s="107"/>
      <c r="N49" s="107"/>
      <c r="O49" s="107" t="s">
        <v>800</v>
      </c>
      <c r="P49" s="212" t="s">
        <v>529</v>
      </c>
      <c r="Q49" s="125">
        <f>V34*Q42</f>
        <v>0</v>
      </c>
      <c r="R49" s="125">
        <f>V34*R42</f>
        <v>1.6216876963096299E-2</v>
      </c>
      <c r="S49" s="125">
        <f>V34*S42</f>
        <v>4.1696425140586904</v>
      </c>
      <c r="T49" s="125">
        <f>V34*T42</f>
        <v>1.8821799950348956</v>
      </c>
      <c r="U49" s="125">
        <f>V34*U42</f>
        <v>2.5419606139432172</v>
      </c>
      <c r="V49" s="230">
        <f>SUM(Q49:U49)</f>
        <v>8.6099999999999</v>
      </c>
      <c r="W49" s="107"/>
      <c r="X49" s="141"/>
      <c r="Y49" s="141"/>
      <c r="Z49" s="107"/>
      <c r="AA49" s="107"/>
      <c r="AB49" s="107" t="s">
        <v>800</v>
      </c>
      <c r="AC49" s="212" t="s">
        <v>529</v>
      </c>
      <c r="AD49" s="125">
        <f>AI34*AD42</f>
        <v>0</v>
      </c>
      <c r="AE49" s="125">
        <f>AI34*AE42</f>
        <v>6.1188474888136521E-3</v>
      </c>
      <c r="AF49" s="125">
        <f>AI34*AF42</f>
        <v>0.89942123531134222</v>
      </c>
      <c r="AG49" s="125">
        <f>AI34*AG42</f>
        <v>0.50633462969932963</v>
      </c>
      <c r="AH49" s="125">
        <f>AI34*AH42</f>
        <v>0.94812528750052816</v>
      </c>
      <c r="AI49" s="230">
        <f>SUM(AD49:AH49)</f>
        <v>2.3600000000000136</v>
      </c>
      <c r="AJ49" s="107"/>
      <c r="AK49" s="141"/>
      <c r="AL49" s="141"/>
      <c r="AM49" s="107"/>
      <c r="AN49" s="107"/>
    </row>
    <row r="50" spans="2:40" x14ac:dyDescent="0.3">
      <c r="B50" s="107" t="s">
        <v>802</v>
      </c>
      <c r="C50" s="107" t="s">
        <v>803</v>
      </c>
      <c r="D50" s="108">
        <f>SUM(D43:H43)+D49</f>
        <v>3.8589542168373558</v>
      </c>
      <c r="E50" s="108">
        <f>SUM(D44:H44)+E49</f>
        <v>1.7068800789589811</v>
      </c>
      <c r="F50" s="108">
        <f>SUM(D45:H45)+F49</f>
        <v>735.1656064141664</v>
      </c>
      <c r="G50" s="108">
        <f>SUM(D46:H46)+G49</f>
        <v>938.04265903544342</v>
      </c>
      <c r="H50" s="108">
        <f>SUM(D47:H47)+H49</f>
        <v>939.23590025458782</v>
      </c>
      <c r="I50" s="107"/>
      <c r="J50" s="107"/>
      <c r="K50" s="108">
        <f>D50+E50+G50+H50</f>
        <v>1882.8443935858277</v>
      </c>
      <c r="L50" s="108">
        <f>F50</f>
        <v>735.1656064141664</v>
      </c>
      <c r="M50" s="107"/>
      <c r="N50" s="107"/>
      <c r="O50" s="107" t="s">
        <v>802</v>
      </c>
      <c r="P50" s="107" t="s">
        <v>803</v>
      </c>
      <c r="Q50" s="108">
        <f>SUM(Q43:U43)+Q49</f>
        <v>0</v>
      </c>
      <c r="R50" s="108">
        <f>SUM(Q44:U44)+R49</f>
        <v>0.23626539445421865</v>
      </c>
      <c r="S50" s="108">
        <f>SUM(Q45:U45)+S49</f>
        <v>60.747962481245992</v>
      </c>
      <c r="T50" s="108">
        <f>SUM(Q46:U46)+T49</f>
        <v>27.421679277256676</v>
      </c>
      <c r="U50" s="108">
        <f>SUM(Q47:U47)+U49</f>
        <v>37.034092847043055</v>
      </c>
      <c r="V50" s="107"/>
      <c r="W50" s="107"/>
      <c r="X50" s="108">
        <f>Q50+R50+T50+U50</f>
        <v>64.692037518753949</v>
      </c>
      <c r="Y50" s="108">
        <f>S50</f>
        <v>60.747962481245992</v>
      </c>
      <c r="Z50" s="107"/>
      <c r="AA50" s="107"/>
      <c r="AB50" s="107" t="s">
        <v>802</v>
      </c>
      <c r="AC50" s="107" t="s">
        <v>803</v>
      </c>
      <c r="AD50" s="108">
        <f>SUM(AD43:AH43)+AD49</f>
        <v>0</v>
      </c>
      <c r="AE50" s="108">
        <f>SUM(AD44:AH44)+AE49</f>
        <v>8.0141345711537693E-2</v>
      </c>
      <c r="AF50" s="108">
        <f>SUM(AD45:AH45)+AF49</f>
        <v>11.780131518420946</v>
      </c>
      <c r="AG50" s="108">
        <f>SUM(AD46:AH46)+AG49</f>
        <v>6.6316963576297425</v>
      </c>
      <c r="AH50" s="108">
        <f>SUM(AD47:AH47)+AH49</f>
        <v>12.418030778237782</v>
      </c>
      <c r="AI50" s="107"/>
      <c r="AJ50" s="107"/>
      <c r="AK50" s="108">
        <f>AD50+AE50+AG50+AH50</f>
        <v>19.129868481579063</v>
      </c>
      <c r="AL50" s="108">
        <f>AF50</f>
        <v>11.780131518420946</v>
      </c>
      <c r="AM50" s="107"/>
      <c r="AN50" s="107"/>
    </row>
    <row r="51" spans="2:40" x14ac:dyDescent="0.3">
      <c r="B51" s="107" t="s">
        <v>802</v>
      </c>
      <c r="C51" s="107" t="s">
        <v>804</v>
      </c>
      <c r="D51" s="146">
        <f>D50/$N$2</f>
        <v>8.8878949231469101E-5</v>
      </c>
      <c r="E51" s="146">
        <f t="shared" ref="E51" si="38">E50/$N$2</f>
        <v>3.931264776868308E-5</v>
      </c>
      <c r="F51" s="146">
        <f t="shared" ref="F51" si="39">F50/$N$2</f>
        <v>1.6932241985176375E-2</v>
      </c>
      <c r="G51" s="146">
        <f t="shared" ref="G51" si="40">G50/$N$2</f>
        <v>2.1604880800501439E-2</v>
      </c>
      <c r="H51" s="146">
        <f t="shared" ref="H51" si="41">H50/$N$2</f>
        <v>2.1632363382511479E-2</v>
      </c>
      <c r="I51" s="107"/>
      <c r="J51" s="107"/>
      <c r="K51" s="152">
        <f>K50/$N$2</f>
        <v>4.3365435780013076E-2</v>
      </c>
      <c r="L51" s="147">
        <f>L50/$N$2</f>
        <v>1.6932241985176375E-2</v>
      </c>
      <c r="M51" s="107"/>
      <c r="N51" s="107"/>
      <c r="O51" s="107" t="s">
        <v>802</v>
      </c>
      <c r="P51" s="107" t="s">
        <v>804</v>
      </c>
      <c r="Q51" s="146">
        <f>Q50/$N$3</f>
        <v>0</v>
      </c>
      <c r="R51" s="146">
        <f t="shared" ref="R51" si="42">R50/$N$3</f>
        <v>1.2691864008714172E-4</v>
      </c>
      <c r="S51" s="146">
        <f t="shared" ref="S51" si="43">S50/$N$3</f>
        <v>3.2633000715127709E-2</v>
      </c>
      <c r="T51" s="146">
        <f t="shared" ref="T51" si="44">T50/$N$3</f>
        <v>1.4730562852062354E-2</v>
      </c>
      <c r="U51" s="146">
        <f t="shared" ref="U51" si="45">U50/$N$3</f>
        <v>1.9894224085865574E-2</v>
      </c>
      <c r="V51" s="107"/>
      <c r="W51" s="107"/>
      <c r="X51" s="152">
        <f>X50/$N$3</f>
        <v>3.4751705578015067E-2</v>
      </c>
      <c r="Y51" s="152">
        <f>Y50/$N$3</f>
        <v>3.2633000715127709E-2</v>
      </c>
      <c r="Z51" s="107"/>
      <c r="AA51" s="107"/>
      <c r="AB51" s="107" t="s">
        <v>802</v>
      </c>
      <c r="AC51" s="107" t="s">
        <v>804</v>
      </c>
      <c r="AD51" s="146">
        <f>AD50/$N$4</f>
        <v>0</v>
      </c>
      <c r="AE51" s="146">
        <f t="shared" ref="AE51" si="46">AE50/$N$4</f>
        <v>1.667457569629597E-4</v>
      </c>
      <c r="AF51" s="146">
        <f t="shared" ref="AF51" si="47">AF50/$N$4</f>
        <v>2.4510281549708596E-2</v>
      </c>
      <c r="AG51" s="146">
        <f t="shared" ref="AG51" si="48">AG50/$N$4</f>
        <v>1.3798211388684912E-2</v>
      </c>
      <c r="AH51" s="146">
        <f t="shared" ref="AH51" si="49">AH50/$N$4</f>
        <v>2.5837523986179896E-2</v>
      </c>
      <c r="AI51" s="107"/>
      <c r="AJ51" s="107"/>
      <c r="AK51" s="152">
        <f>AK50/$N$4</f>
        <v>3.9802481131827772E-2</v>
      </c>
      <c r="AL51" s="152">
        <f>AL50/$N$4</f>
        <v>2.4510281549708596E-2</v>
      </c>
      <c r="AM51" s="107"/>
      <c r="AN51" s="107"/>
    </row>
    <row r="54" spans="2:40" x14ac:dyDescent="0.3">
      <c r="D54" t="s">
        <v>478</v>
      </c>
      <c r="E54" t="s">
        <v>479</v>
      </c>
      <c r="F54" t="s">
        <v>480</v>
      </c>
      <c r="G54" t="s">
        <v>481</v>
      </c>
      <c r="H54" t="s">
        <v>482</v>
      </c>
      <c r="Q54" t="s">
        <v>478</v>
      </c>
      <c r="R54" t="s">
        <v>479</v>
      </c>
      <c r="S54" t="s">
        <v>480</v>
      </c>
      <c r="T54" t="s">
        <v>481</v>
      </c>
      <c r="U54" t="s">
        <v>482</v>
      </c>
      <c r="AD54" t="s">
        <v>478</v>
      </c>
      <c r="AE54" t="s">
        <v>479</v>
      </c>
      <c r="AF54" t="s">
        <v>480</v>
      </c>
      <c r="AG54" t="s">
        <v>481</v>
      </c>
      <c r="AH54" t="s">
        <v>482</v>
      </c>
    </row>
    <row r="55" spans="2:40" x14ac:dyDescent="0.3">
      <c r="B55" s="118" t="s">
        <v>375</v>
      </c>
      <c r="C55" s="8">
        <v>20</v>
      </c>
      <c r="D55" s="90" t="s">
        <v>524</v>
      </c>
      <c r="E55" s="91" t="s">
        <v>523</v>
      </c>
      <c r="F55" s="92" t="s">
        <v>525</v>
      </c>
      <c r="G55" s="124" t="s">
        <v>526</v>
      </c>
      <c r="H55" s="123" t="s">
        <v>527</v>
      </c>
      <c r="I55" s="212" t="s">
        <v>529</v>
      </c>
      <c r="J55" s="213" t="s">
        <v>599</v>
      </c>
      <c r="K55" s="214" t="s">
        <v>600</v>
      </c>
      <c r="L55" s="215" t="s">
        <v>525</v>
      </c>
      <c r="Q55" s="90" t="s">
        <v>524</v>
      </c>
      <c r="R55" s="91" t="s">
        <v>523</v>
      </c>
      <c r="S55" s="92" t="s">
        <v>525</v>
      </c>
      <c r="T55" s="124" t="s">
        <v>526</v>
      </c>
      <c r="U55" s="123" t="s">
        <v>527</v>
      </c>
      <c r="V55" s="212" t="s">
        <v>529</v>
      </c>
      <c r="W55" s="213" t="s">
        <v>599</v>
      </c>
      <c r="X55" s="214" t="s">
        <v>600</v>
      </c>
      <c r="Y55" s="215" t="s">
        <v>525</v>
      </c>
      <c r="AD55" s="90" t="s">
        <v>524</v>
      </c>
      <c r="AE55" s="91" t="s">
        <v>523</v>
      </c>
      <c r="AF55" s="92" t="s">
        <v>525</v>
      </c>
      <c r="AG55" s="124" t="s">
        <v>526</v>
      </c>
      <c r="AH55" s="123" t="s">
        <v>527</v>
      </c>
      <c r="AI55" s="212" t="s">
        <v>529</v>
      </c>
      <c r="AJ55" s="213" t="s">
        <v>599</v>
      </c>
      <c r="AK55" s="214" t="s">
        <v>600</v>
      </c>
      <c r="AL55" s="215" t="s">
        <v>525</v>
      </c>
    </row>
    <row r="56" spans="2:40" x14ac:dyDescent="0.3">
      <c r="B56" s="119" t="s">
        <v>425</v>
      </c>
      <c r="C56" s="107"/>
      <c r="D56" s="116"/>
      <c r="E56" s="116"/>
      <c r="F56" s="116"/>
      <c r="G56" s="116"/>
      <c r="H56" s="116"/>
      <c r="I56" s="107"/>
      <c r="J56" s="107"/>
      <c r="K56" s="107"/>
      <c r="L56" s="107"/>
      <c r="M56" s="107"/>
      <c r="N56" s="107"/>
      <c r="O56" s="119" t="s">
        <v>426</v>
      </c>
      <c r="P56" s="107"/>
      <c r="Q56" s="116"/>
      <c r="R56" s="116"/>
      <c r="S56" s="116"/>
      <c r="T56" s="116"/>
      <c r="U56" s="116"/>
      <c r="V56" s="107"/>
      <c r="W56" s="107"/>
      <c r="X56" s="107"/>
      <c r="Y56" s="107"/>
      <c r="Z56" s="107"/>
      <c r="AA56" s="107"/>
      <c r="AB56" s="119" t="s">
        <v>625</v>
      </c>
      <c r="AC56" s="107"/>
      <c r="AD56" s="116"/>
      <c r="AE56" s="116"/>
      <c r="AF56" s="116"/>
      <c r="AG56" s="116"/>
      <c r="AH56" s="116"/>
      <c r="AI56" s="107"/>
      <c r="AJ56" s="107"/>
      <c r="AK56" s="107"/>
      <c r="AL56" s="107"/>
      <c r="AM56" s="107"/>
      <c r="AN56" s="107"/>
    </row>
    <row r="57" spans="2:40" x14ac:dyDescent="0.3">
      <c r="B57" s="115" t="s">
        <v>409</v>
      </c>
      <c r="C57" s="122" t="s">
        <v>9</v>
      </c>
      <c r="D57" s="136">
        <f>'88T_Seeds'!AL127</f>
        <v>31.34</v>
      </c>
      <c r="E57" s="140">
        <f>'88T_Seeds'!AM127</f>
        <v>90.99</v>
      </c>
      <c r="F57" s="136">
        <f>'88T_Seeds'!AN127</f>
        <v>16323.8</v>
      </c>
      <c r="G57" s="136">
        <f>'88T_Seeds'!AO127</f>
        <v>15088.63</v>
      </c>
      <c r="H57" s="136">
        <f>'88T_Seeds'!AP127</f>
        <v>11691.88</v>
      </c>
      <c r="I57" s="108">
        <f>$N$2-N57</f>
        <v>191.44999999999709</v>
      </c>
      <c r="J57" s="108"/>
      <c r="K57" s="108">
        <f>D57+E57+G57+H57</f>
        <v>26902.839999999997</v>
      </c>
      <c r="L57" s="108">
        <f>F57</f>
        <v>16323.8</v>
      </c>
      <c r="M57" s="115" t="s">
        <v>36</v>
      </c>
      <c r="N57" s="137">
        <f>SUM(D57:H57)</f>
        <v>43226.64</v>
      </c>
      <c r="O57" s="115" t="s">
        <v>409</v>
      </c>
      <c r="P57" s="122" t="s">
        <v>9</v>
      </c>
      <c r="Q57" s="136">
        <f>'88T_Seeds'!AL132</f>
        <v>0</v>
      </c>
      <c r="R57" s="136">
        <f>'88T_Seeds'!AM132</f>
        <v>2.08</v>
      </c>
      <c r="S57" s="136">
        <f>'88T_Seeds'!AN132</f>
        <v>1351.07</v>
      </c>
      <c r="T57" s="136">
        <f>'88T_Seeds'!AO132</f>
        <v>438.75</v>
      </c>
      <c r="U57" s="136">
        <f>'88T_Seeds'!AP132</f>
        <v>61.32</v>
      </c>
      <c r="V57" s="108">
        <f>$N$3-AA57</f>
        <v>8.3300000000001546</v>
      </c>
      <c r="W57" s="108"/>
      <c r="X57" s="108">
        <f>Q57+R57+T57+U57</f>
        <v>502.15</v>
      </c>
      <c r="Y57" s="108">
        <f>S57</f>
        <v>1351.07</v>
      </c>
      <c r="Z57" s="115" t="s">
        <v>36</v>
      </c>
      <c r="AA57" s="137">
        <f>SUM(Q57:U57)</f>
        <v>1853.2199999999998</v>
      </c>
      <c r="AB57" s="115" t="s">
        <v>409</v>
      </c>
      <c r="AC57" s="122" t="s">
        <v>9</v>
      </c>
      <c r="AD57" s="136">
        <v>0</v>
      </c>
      <c r="AE57" s="136">
        <v>0.63</v>
      </c>
      <c r="AF57" s="136">
        <v>223.08</v>
      </c>
      <c r="AG57" s="136">
        <v>137.38</v>
      </c>
      <c r="AH57" s="136">
        <v>117.36</v>
      </c>
      <c r="AI57" s="108">
        <f>$N$4-AN57</f>
        <v>2.1699999999999591</v>
      </c>
      <c r="AJ57" s="108"/>
      <c r="AK57" s="108">
        <f>AD57+AE57+AG57+AH57</f>
        <v>255.37</v>
      </c>
      <c r="AL57" s="108">
        <f>AF57</f>
        <v>223.08</v>
      </c>
      <c r="AM57" s="115" t="s">
        <v>36</v>
      </c>
      <c r="AN57" s="137">
        <f>SUM(AD57:AH57)</f>
        <v>478.45000000000005</v>
      </c>
    </row>
    <row r="58" spans="2:40" x14ac:dyDescent="0.3">
      <c r="B58" s="107"/>
      <c r="C58" s="141" t="s">
        <v>533</v>
      </c>
      <c r="D58" s="151">
        <f t="shared" ref="D58:I58" si="50">D57/$N$2</f>
        <v>7.2181894689517668E-4</v>
      </c>
      <c r="E58" s="151">
        <f t="shared" si="50"/>
        <v>2.0956702609442285E-3</v>
      </c>
      <c r="F58" s="151">
        <f t="shared" si="50"/>
        <v>0.37596771299704801</v>
      </c>
      <c r="G58" s="151">
        <f t="shared" si="50"/>
        <v>0.3475194325683143</v>
      </c>
      <c r="H58" s="151">
        <f t="shared" si="50"/>
        <v>0.26928591285337516</v>
      </c>
      <c r="I58" s="151">
        <f t="shared" si="50"/>
        <v>4.4094523734230845E-3</v>
      </c>
      <c r="J58" s="151"/>
      <c r="K58" s="151">
        <f>K57/$N$2</f>
        <v>0.61962283462952883</v>
      </c>
      <c r="L58" s="151">
        <f>L57/$N$2</f>
        <v>0.37596771299704801</v>
      </c>
      <c r="M58" s="145">
        <f>SUM(D58:I58)</f>
        <v>1</v>
      </c>
      <c r="N58" s="142"/>
      <c r="O58" s="107"/>
      <c r="P58" s="107" t="s">
        <v>533</v>
      </c>
      <c r="Q58" s="151">
        <f t="shared" ref="Q58:V58" si="51">Q57/$N$3</f>
        <v>0</v>
      </c>
      <c r="R58" s="151">
        <f t="shared" si="51"/>
        <v>1.1173484461873171E-3</v>
      </c>
      <c r="S58" s="151">
        <f t="shared" si="51"/>
        <v>0.72577690634148961</v>
      </c>
      <c r="T58" s="151">
        <f t="shared" si="51"/>
        <v>0.23569068786763719</v>
      </c>
      <c r="U58" s="151">
        <f t="shared" si="51"/>
        <v>3.2940291692406864E-2</v>
      </c>
      <c r="V58" s="151">
        <f t="shared" si="51"/>
        <v>4.4747656522790983E-3</v>
      </c>
      <c r="W58" s="151"/>
      <c r="X58" s="151">
        <f>X57/$N$3</f>
        <v>0.26974832800623139</v>
      </c>
      <c r="Y58" s="151">
        <f>Y57/$N$3</f>
        <v>0.72577690634148961</v>
      </c>
      <c r="Z58" s="145">
        <f>SUM(Q58:V58)</f>
        <v>1</v>
      </c>
      <c r="AA58" s="107"/>
      <c r="AB58" s="107"/>
      <c r="AC58" s="141" t="s">
        <v>533</v>
      </c>
      <c r="AD58" s="151">
        <f>AD57/$N$4</f>
        <v>0</v>
      </c>
      <c r="AE58" s="151">
        <f t="shared" ref="AE58" si="52">AE57/$N$4</f>
        <v>1.3108068744538304E-3</v>
      </c>
      <c r="AF58" s="151">
        <f t="shared" ref="AF58" si="53">AF57/$N$4</f>
        <v>0.464150472306604</v>
      </c>
      <c r="AG58" s="151">
        <f t="shared" ref="AG58" si="54">AG57/$N$4</f>
        <v>0.28583912446423371</v>
      </c>
      <c r="AH58" s="151">
        <f t="shared" ref="AH58" si="55">AH57/$N$4</f>
        <v>0.24418459489825642</v>
      </c>
      <c r="AI58" s="151">
        <f t="shared" ref="AI58" si="56">AI57/$N$4</f>
        <v>4.5150014564519971E-3</v>
      </c>
      <c r="AJ58" s="151"/>
      <c r="AK58" s="151">
        <f t="shared" ref="AK58" si="57">AK57/$N$4</f>
        <v>0.53133452623694399</v>
      </c>
      <c r="AL58" s="151">
        <f t="shared" ref="AL58" si="58">AL57/$N$4</f>
        <v>0.464150472306604</v>
      </c>
      <c r="AM58" s="145">
        <f>SUM(AD58:AI58)</f>
        <v>0.99999999999999989</v>
      </c>
      <c r="AN58" s="107"/>
    </row>
    <row r="59" spans="2:40" x14ac:dyDescent="0.3">
      <c r="B59" s="107" t="s">
        <v>598</v>
      </c>
      <c r="C59" s="107" t="s">
        <v>9</v>
      </c>
      <c r="D59" s="108">
        <v>25.21</v>
      </c>
      <c r="E59" s="108">
        <v>74.010000000000005</v>
      </c>
      <c r="F59" s="108">
        <v>15903.55</v>
      </c>
      <c r="G59" s="108">
        <v>14489.21</v>
      </c>
      <c r="H59" s="108">
        <v>11196.53</v>
      </c>
      <c r="I59" s="108">
        <f>I57</f>
        <v>191.44999999999709</v>
      </c>
      <c r="J59" s="108">
        <f>SUM(D57:H57)-SUM(D59:H59)</f>
        <v>1538.1300000000047</v>
      </c>
      <c r="K59" s="108">
        <f>D59+E59+G59+H59</f>
        <v>25784.959999999999</v>
      </c>
      <c r="L59" s="108">
        <f>F59</f>
        <v>15903.55</v>
      </c>
      <c r="M59" s="115" t="s">
        <v>609</v>
      </c>
      <c r="N59" s="196">
        <f>SUM(D59:H59)</f>
        <v>41688.509999999995</v>
      </c>
      <c r="O59" s="107" t="s">
        <v>598</v>
      </c>
      <c r="P59" s="122" t="s">
        <v>9</v>
      </c>
      <c r="Q59" s="108">
        <v>0</v>
      </c>
      <c r="R59" s="108">
        <v>1.79</v>
      </c>
      <c r="S59" s="108">
        <v>1337.12</v>
      </c>
      <c r="T59" s="108">
        <v>424.44</v>
      </c>
      <c r="U59" s="108">
        <v>53.49</v>
      </c>
      <c r="V59" s="108">
        <f>V57</f>
        <v>8.3300000000001546</v>
      </c>
      <c r="W59" s="108">
        <f>SUM(Q57:U57)-SUM(Q59:U59)</f>
        <v>36.379999999999882</v>
      </c>
      <c r="X59" s="108">
        <f>Q59+R59+T59+U59</f>
        <v>479.72</v>
      </c>
      <c r="Y59" s="108">
        <f>S59</f>
        <v>1337.12</v>
      </c>
      <c r="Z59" s="115" t="s">
        <v>609</v>
      </c>
      <c r="AA59" s="196">
        <f>SUM(Q59:U59)</f>
        <v>1816.84</v>
      </c>
      <c r="AB59" s="107" t="s">
        <v>598</v>
      </c>
      <c r="AC59" s="122" t="s">
        <v>9</v>
      </c>
      <c r="AD59" s="108">
        <v>0</v>
      </c>
      <c r="AE59" s="108">
        <v>0.45</v>
      </c>
      <c r="AF59" s="108">
        <v>218.6</v>
      </c>
      <c r="AG59" s="108">
        <v>128.96</v>
      </c>
      <c r="AH59" s="108">
        <v>111.45</v>
      </c>
      <c r="AI59" s="108">
        <f>AI57</f>
        <v>2.1699999999999591</v>
      </c>
      <c r="AJ59" s="108">
        <f>SUM(AD57:AH57)-SUM(AD59:AH59)</f>
        <v>18.990000000000066</v>
      </c>
      <c r="AK59" s="108">
        <f>AD59+AE59+AG59+AH59</f>
        <v>240.86</v>
      </c>
      <c r="AL59" s="108">
        <f>AF59</f>
        <v>218.6</v>
      </c>
      <c r="AM59" s="115" t="s">
        <v>609</v>
      </c>
      <c r="AN59" s="196">
        <f>SUM(AD59:AH59)</f>
        <v>459.46</v>
      </c>
    </row>
    <row r="60" spans="2:40" x14ac:dyDescent="0.3">
      <c r="B60" s="107"/>
      <c r="C60" s="141" t="s">
        <v>533</v>
      </c>
      <c r="D60" s="151">
        <f t="shared" ref="D60:L60" si="59">D59/$N$2</f>
        <v>5.8063355619742839E-4</v>
      </c>
      <c r="E60" s="151">
        <f t="shared" si="59"/>
        <v>1.7045890318989161E-3</v>
      </c>
      <c r="F60" s="151">
        <f t="shared" si="59"/>
        <v>0.36628856773754903</v>
      </c>
      <c r="G60" s="151">
        <f t="shared" si="59"/>
        <v>0.33371366635427768</v>
      </c>
      <c r="H60" s="151">
        <f t="shared" si="59"/>
        <v>0.25787707381877006</v>
      </c>
      <c r="I60" s="151">
        <f t="shared" si="59"/>
        <v>4.4094523734230845E-3</v>
      </c>
      <c r="J60" s="151">
        <f t="shared" si="59"/>
        <v>3.5426017127883902E-2</v>
      </c>
      <c r="K60" s="151">
        <f t="shared" si="59"/>
        <v>0.59387596276114407</v>
      </c>
      <c r="L60" s="151">
        <f t="shared" si="59"/>
        <v>0.36628856773754903</v>
      </c>
      <c r="M60" s="145">
        <f>SUM(D60:J60)</f>
        <v>1.0000000000000002</v>
      </c>
      <c r="N60" s="195">
        <f>N59/N57</f>
        <v>0.96441708168851414</v>
      </c>
      <c r="O60" s="107"/>
      <c r="P60" s="141" t="s">
        <v>533</v>
      </c>
      <c r="Q60" s="151">
        <f t="shared" ref="Q60:Y60" si="60">Q59/$N$3</f>
        <v>0</v>
      </c>
      <c r="R60" s="151">
        <f t="shared" si="60"/>
        <v>9.6156428782466225E-4</v>
      </c>
      <c r="S60" s="151">
        <f t="shared" si="60"/>
        <v>0.71828315113749286</v>
      </c>
      <c r="T60" s="151">
        <f t="shared" si="60"/>
        <v>0.22800354543256965</v>
      </c>
      <c r="U60" s="151">
        <f t="shared" si="60"/>
        <v>2.8734119416615189E-2</v>
      </c>
      <c r="V60" s="151">
        <f t="shared" si="60"/>
        <v>4.4747656522790983E-3</v>
      </c>
      <c r="W60" s="151">
        <f t="shared" si="60"/>
        <v>1.9542854073218492E-2</v>
      </c>
      <c r="X60" s="151">
        <f t="shared" si="60"/>
        <v>0.25769922913700949</v>
      </c>
      <c r="Y60" s="151">
        <f t="shared" si="60"/>
        <v>0.71828315113749286</v>
      </c>
      <c r="Z60" s="145">
        <f>SUM(Q60:W60)</f>
        <v>1</v>
      </c>
      <c r="AA60" s="195">
        <f>AA59/AA57</f>
        <v>0.98036930315882631</v>
      </c>
      <c r="AB60" s="107"/>
      <c r="AC60" s="141" t="s">
        <v>533</v>
      </c>
      <c r="AD60" s="151">
        <f t="shared" ref="AD60" si="61">AD59/$N$4</f>
        <v>0</v>
      </c>
      <c r="AE60" s="151">
        <f t="shared" ref="AE60" si="62">AE59/$N$4</f>
        <v>9.362906246098789E-4</v>
      </c>
      <c r="AF60" s="151">
        <f t="shared" ref="AF60" si="63">AF59/$N$4</f>
        <v>0.45482917897715447</v>
      </c>
      <c r="AG60" s="151">
        <f t="shared" ref="AG60" si="64">AG59/$N$4</f>
        <v>0.26832008655486667</v>
      </c>
      <c r="AH60" s="151">
        <f t="shared" ref="AH60" si="65">AH59/$N$4</f>
        <v>0.23188797802838002</v>
      </c>
      <c r="AI60" s="151">
        <f t="shared" ref="AI60" si="66">AI59/$N$4</f>
        <v>4.5150014564519971E-3</v>
      </c>
      <c r="AJ60" s="151">
        <f t="shared" ref="AJ60" si="67">AJ59/$N$4</f>
        <v>3.951146435853703E-2</v>
      </c>
      <c r="AK60" s="151">
        <f t="shared" ref="AK60" si="68">AK59/$N$4</f>
        <v>0.5011443552078565</v>
      </c>
      <c r="AL60" s="151">
        <f t="shared" ref="AL60" si="69">AL59/$N$4</f>
        <v>0.45482917897715447</v>
      </c>
      <c r="AM60" s="145">
        <f>SUM(AD60:AJ60)</f>
        <v>1</v>
      </c>
      <c r="AN60" s="195">
        <f>AN59/AN57</f>
        <v>0.96030933221862247</v>
      </c>
    </row>
    <row r="61" spans="2:40" x14ac:dyDescent="0.3">
      <c r="B61" s="107"/>
      <c r="C61" s="107" t="s">
        <v>601</v>
      </c>
      <c r="D61" s="112">
        <f>D57-D59</f>
        <v>6.129999999999999</v>
      </c>
      <c r="E61" s="112">
        <f>E57-E59</f>
        <v>16.97999999999999</v>
      </c>
      <c r="F61" s="112">
        <f>F57-F59</f>
        <v>420.25</v>
      </c>
      <c r="G61" s="112">
        <f>G57-G59</f>
        <v>599.42000000000007</v>
      </c>
      <c r="H61" s="112">
        <f>H57-H59</f>
        <v>495.34999999999854</v>
      </c>
      <c r="I61" s="147"/>
      <c r="J61" s="147"/>
      <c r="K61" s="112">
        <f>K57-K59</f>
        <v>1117.8799999999974</v>
      </c>
      <c r="L61" s="108">
        <f>F61</f>
        <v>420.25</v>
      </c>
      <c r="M61" s="145"/>
      <c r="N61" s="107"/>
      <c r="O61" s="107"/>
      <c r="P61" s="107" t="s">
        <v>601</v>
      </c>
      <c r="Q61" s="112">
        <f>Q57-Q59</f>
        <v>0</v>
      </c>
      <c r="R61" s="112">
        <f>R57-R59</f>
        <v>0.29000000000000004</v>
      </c>
      <c r="S61" s="112">
        <f>S57-S59</f>
        <v>13.950000000000045</v>
      </c>
      <c r="T61" s="112">
        <f>T57-T59</f>
        <v>14.310000000000002</v>
      </c>
      <c r="U61" s="112">
        <f>U57-U59</f>
        <v>7.8299999999999983</v>
      </c>
      <c r="V61" s="147"/>
      <c r="W61" s="147"/>
      <c r="X61" s="112">
        <f>X57-X59</f>
        <v>22.42999999999995</v>
      </c>
      <c r="Y61" s="108">
        <f>S61</f>
        <v>13.950000000000045</v>
      </c>
      <c r="Z61" s="145"/>
      <c r="AA61" s="107"/>
      <c r="AB61" s="107"/>
      <c r="AC61" s="107" t="s">
        <v>601</v>
      </c>
      <c r="AD61" s="112">
        <f>AD57-AD59</f>
        <v>0</v>
      </c>
      <c r="AE61" s="112">
        <f>AE57-AE59</f>
        <v>0.18</v>
      </c>
      <c r="AF61" s="112">
        <f>AF57-AF59</f>
        <v>4.4800000000000182</v>
      </c>
      <c r="AG61" s="112">
        <f>AG57-AG59</f>
        <v>8.4199999999999875</v>
      </c>
      <c r="AH61" s="112">
        <f>AH57-AH59</f>
        <v>5.9099999999999966</v>
      </c>
      <c r="AI61" s="147"/>
      <c r="AJ61" s="147"/>
      <c r="AK61" s="112">
        <f>AK57-AK59</f>
        <v>14.509999999999991</v>
      </c>
      <c r="AL61" s="108">
        <f>AF61</f>
        <v>4.4800000000000182</v>
      </c>
      <c r="AM61" s="145"/>
      <c r="AN61" s="107"/>
    </row>
    <row r="62" spans="2:40" x14ac:dyDescent="0.3">
      <c r="B62" s="107"/>
      <c r="C62" s="107" t="s">
        <v>602</v>
      </c>
      <c r="D62" s="147">
        <f>D61/D57</f>
        <v>0.19559668155711549</v>
      </c>
      <c r="E62" s="147">
        <f>E61/E57</f>
        <v>0.18661391361688087</v>
      </c>
      <c r="F62" s="147">
        <f>F61/F57</f>
        <v>2.574461828740857E-2</v>
      </c>
      <c r="G62" s="147">
        <f>G61/G57</f>
        <v>3.9726602083820735E-2</v>
      </c>
      <c r="H62" s="147">
        <f>H61/H57</f>
        <v>4.2367010266954379E-2</v>
      </c>
      <c r="I62" s="147"/>
      <c r="J62" s="147"/>
      <c r="K62" s="151">
        <f>K61/K57</f>
        <v>4.1552490369046451E-2</v>
      </c>
      <c r="L62" s="151">
        <f>L61/$N$2</f>
        <v>9.6791452594989797E-3</v>
      </c>
      <c r="M62" s="145"/>
      <c r="N62" s="107"/>
      <c r="O62" s="107"/>
      <c r="P62" s="107" t="s">
        <v>602</v>
      </c>
      <c r="Q62" s="147" t="s">
        <v>615</v>
      </c>
      <c r="R62" s="147">
        <f>R61/R57</f>
        <v>0.13942307692307693</v>
      </c>
      <c r="S62" s="147">
        <f>S61/S57</f>
        <v>1.0325149696166776E-2</v>
      </c>
      <c r="T62" s="147">
        <f>T61/T57</f>
        <v>3.2615384615384622E-2</v>
      </c>
      <c r="U62" s="147">
        <f>U61/U57</f>
        <v>0.12769080234833657</v>
      </c>
      <c r="V62" s="147"/>
      <c r="W62" s="147"/>
      <c r="X62" s="151">
        <f>X61/X57</f>
        <v>4.4667927909986957E-2</v>
      </c>
      <c r="Y62" s="151">
        <f>Y61/$N$3</f>
        <v>7.4937552039966941E-3</v>
      </c>
      <c r="Z62" s="145"/>
      <c r="AA62" s="107"/>
      <c r="AB62" s="107"/>
      <c r="AC62" s="107" t="s">
        <v>602</v>
      </c>
      <c r="AD62" s="147" t="s">
        <v>615</v>
      </c>
      <c r="AE62" s="147">
        <f>AE61/AE57</f>
        <v>0.2857142857142857</v>
      </c>
      <c r="AF62" s="147">
        <f>AF61/AF57</f>
        <v>2.0082481620943241E-2</v>
      </c>
      <c r="AG62" s="147">
        <f>AG61/AG57</f>
        <v>6.1289852962585441E-2</v>
      </c>
      <c r="AH62" s="147">
        <f>AH61/AH57</f>
        <v>5.0357873210633917E-2</v>
      </c>
      <c r="AI62" s="147"/>
      <c r="AJ62" s="147"/>
      <c r="AK62" s="151">
        <f t="shared" ref="AK62" si="70">AK61/$N$4</f>
        <v>3.0190171029087408E-2</v>
      </c>
      <c r="AL62" s="151">
        <f t="shared" ref="AL62" si="71">AL61/$N$4</f>
        <v>9.3212933294494985E-3</v>
      </c>
      <c r="AM62" s="145"/>
      <c r="AN62" s="107"/>
    </row>
    <row r="63" spans="2:40" x14ac:dyDescent="0.3">
      <c r="B63" s="115" t="s">
        <v>410</v>
      </c>
      <c r="C63" s="122" t="s">
        <v>9</v>
      </c>
      <c r="D63" s="136">
        <f>'88T_Seeds'!AL129</f>
        <v>32.717500000000001</v>
      </c>
      <c r="E63" s="136">
        <f>'88T_Seeds'!AM129</f>
        <v>96.595500000000015</v>
      </c>
      <c r="F63" s="136">
        <f>'88T_Seeds'!AN129</f>
        <v>16288.934999999998</v>
      </c>
      <c r="G63" s="136">
        <f>'88T_Seeds'!AO129</f>
        <v>15071.924499999999</v>
      </c>
      <c r="H63" s="136">
        <f>'88T_Seeds'!AP129</f>
        <v>11736.458500000001</v>
      </c>
      <c r="I63" s="108">
        <f>$N$2-N63</f>
        <v>191.45900000000256</v>
      </c>
      <c r="J63" s="108"/>
      <c r="K63" s="108"/>
      <c r="L63" s="108"/>
      <c r="M63" s="115" t="s">
        <v>36</v>
      </c>
      <c r="N63" s="137">
        <f>SUM(D63:H63)</f>
        <v>43226.630999999994</v>
      </c>
      <c r="O63" s="115" t="s">
        <v>410</v>
      </c>
      <c r="P63" s="122" t="s">
        <v>9</v>
      </c>
      <c r="Q63" s="136">
        <f>'88T_Seeds'!AL134</f>
        <v>0</v>
      </c>
      <c r="R63" s="136">
        <f>'88T_Seeds'!AM134</f>
        <v>2.4165000000000001</v>
      </c>
      <c r="S63" s="136">
        <f>'88T_Seeds'!AN134</f>
        <v>1347.154</v>
      </c>
      <c r="T63" s="136">
        <f>'88T_Seeds'!AO134</f>
        <v>439.12699999999995</v>
      </c>
      <c r="U63" s="136">
        <f>'88T_Seeds'!AP134</f>
        <v>64.524000000000001</v>
      </c>
      <c r="V63" s="108">
        <f>$N$3-AA63</f>
        <v>8.328499999999849</v>
      </c>
      <c r="W63" s="108"/>
      <c r="X63" s="108"/>
      <c r="Y63" s="108"/>
      <c r="Z63" s="115" t="s">
        <v>36</v>
      </c>
      <c r="AA63" s="137">
        <f>SUM(Q63:U63)</f>
        <v>1853.2215000000001</v>
      </c>
      <c r="AB63" s="115"/>
      <c r="AC63" s="122"/>
      <c r="AD63" s="139"/>
      <c r="AE63" s="136"/>
      <c r="AF63" s="136"/>
      <c r="AG63" s="136"/>
      <c r="AH63" s="136"/>
      <c r="AI63" s="108"/>
      <c r="AJ63" s="108"/>
      <c r="AK63" s="108"/>
      <c r="AL63" s="108"/>
      <c r="AM63" s="115"/>
      <c r="AN63" s="137"/>
    </row>
    <row r="64" spans="2:40" x14ac:dyDescent="0.3">
      <c r="B64" s="115"/>
      <c r="C64" s="141" t="s">
        <v>533</v>
      </c>
      <c r="D64" s="151">
        <f t="shared" ref="D64:I64" si="72">D63/$N$2</f>
        <v>7.5354535402179148E-4</v>
      </c>
      <c r="E64" s="151">
        <f t="shared" si="72"/>
        <v>2.2247754334656367E-3</v>
      </c>
      <c r="F64" s="151">
        <f t="shared" si="72"/>
        <v>0.37516470669253299</v>
      </c>
      <c r="G64" s="151">
        <f t="shared" si="72"/>
        <v>0.34713467358881978</v>
      </c>
      <c r="H64" s="151">
        <f t="shared" si="72"/>
        <v>0.27031263927086618</v>
      </c>
      <c r="I64" s="146">
        <f t="shared" si="72"/>
        <v>4.4096596602937292E-3</v>
      </c>
      <c r="J64" s="146"/>
      <c r="K64" s="146"/>
      <c r="L64" s="146"/>
      <c r="M64" s="145">
        <f>SUM(D64:I64)</f>
        <v>1.0000000000000002</v>
      </c>
      <c r="N64" s="137"/>
      <c r="O64" s="115"/>
      <c r="P64" s="141" t="s">
        <v>533</v>
      </c>
      <c r="Q64" s="151">
        <f t="shared" ref="Q64:V64" si="73">Q63/$N$3</f>
        <v>0</v>
      </c>
      <c r="R64" s="151">
        <f t="shared" si="73"/>
        <v>1.2981117885632941E-3</v>
      </c>
      <c r="S64" s="151">
        <f t="shared" si="73"/>
        <v>0.72367328301684086</v>
      </c>
      <c r="T64" s="151">
        <f t="shared" si="73"/>
        <v>0.23589320727350863</v>
      </c>
      <c r="U64" s="151">
        <f t="shared" si="73"/>
        <v>3.4661438048937718E-2</v>
      </c>
      <c r="V64" s="147">
        <f t="shared" si="73"/>
        <v>4.473959872149472E-3</v>
      </c>
      <c r="W64" s="147"/>
      <c r="X64" s="147"/>
      <c r="Y64" s="146"/>
      <c r="Z64" s="145">
        <f>SUM(Q64:V64)</f>
        <v>1</v>
      </c>
      <c r="AA64" s="137"/>
      <c r="AB64" s="115"/>
      <c r="AC64" s="141"/>
      <c r="AD64" s="151"/>
      <c r="AE64" s="151"/>
      <c r="AF64" s="151"/>
      <c r="AG64" s="151"/>
      <c r="AH64" s="151"/>
      <c r="AI64" s="147"/>
      <c r="AJ64" s="147"/>
      <c r="AK64" s="147"/>
      <c r="AL64" s="147"/>
      <c r="AM64" s="145"/>
      <c r="AN64" s="137"/>
    </row>
    <row r="65" spans="2:40" x14ac:dyDescent="0.3">
      <c r="B65" s="107"/>
      <c r="C65" s="148" t="s">
        <v>394</v>
      </c>
      <c r="D65" s="108">
        <f>'88T_Seeds'!AL130</f>
        <v>2.1386196821166767</v>
      </c>
      <c r="E65" s="108">
        <f>'88T_Seeds'!AM130</f>
        <v>1.3248573855722219</v>
      </c>
      <c r="F65" s="108">
        <f>'88T_Seeds'!AN130</f>
        <v>17.0732866675277</v>
      </c>
      <c r="G65" s="108">
        <f>'88T_Seeds'!AO130</f>
        <v>21.794939254150393</v>
      </c>
      <c r="H65" s="108">
        <f>'88T_Seeds'!AP130</f>
        <v>22.419840617244201</v>
      </c>
      <c r="I65" s="107"/>
      <c r="J65" s="107"/>
      <c r="K65" s="107"/>
      <c r="L65" s="107"/>
      <c r="M65" s="107"/>
      <c r="N65" s="107"/>
      <c r="O65" s="107"/>
      <c r="P65" s="148" t="s">
        <v>394</v>
      </c>
      <c r="Q65" s="108">
        <f>'88T_Seeds'!AL135</f>
        <v>0</v>
      </c>
      <c r="R65" s="108">
        <f>'88T_Seeds'!AM135</f>
        <v>9.4491088413001162E-2</v>
      </c>
      <c r="S65" s="108">
        <f>'88T_Seeds'!AN135</f>
        <v>1.1122469907448884</v>
      </c>
      <c r="T65" s="108">
        <f>'88T_Seeds'!AO135</f>
        <v>0.93749136136370881</v>
      </c>
      <c r="U65" s="108">
        <f>'88T_Seeds'!AP135</f>
        <v>0.66632155979874408</v>
      </c>
      <c r="V65" s="107"/>
      <c r="W65" s="107"/>
      <c r="X65" s="107"/>
      <c r="Y65" s="107"/>
      <c r="Z65" s="107"/>
      <c r="AA65" s="107"/>
      <c r="AB65" s="107"/>
      <c r="AC65" s="148"/>
      <c r="AD65" s="108"/>
      <c r="AE65" s="108"/>
      <c r="AF65" s="108"/>
      <c r="AG65" s="108"/>
      <c r="AH65" s="108"/>
      <c r="AI65" s="107"/>
      <c r="AJ65" s="107"/>
      <c r="AK65" s="107"/>
      <c r="AL65" s="107"/>
      <c r="AM65" s="107"/>
      <c r="AN65" s="107"/>
    </row>
    <row r="66" spans="2:40" x14ac:dyDescent="0.3">
      <c r="B66" s="107"/>
      <c r="C66" s="129" t="s">
        <v>538</v>
      </c>
      <c r="D66" s="125">
        <f>1.96*D65</f>
        <v>4.1916945769486862</v>
      </c>
      <c r="E66" s="125">
        <f>1.96*E65</f>
        <v>2.596720475721555</v>
      </c>
      <c r="F66" s="125">
        <f>1.96*F65</f>
        <v>33.463641868354294</v>
      </c>
      <c r="G66" s="125">
        <f>1.96*G65</f>
        <v>42.718080938134769</v>
      </c>
      <c r="H66" s="125">
        <f>1.96*H65</f>
        <v>43.942887609798632</v>
      </c>
      <c r="I66" s="107"/>
      <c r="J66" s="107"/>
      <c r="K66" s="107"/>
      <c r="L66" s="107"/>
      <c r="M66" s="107"/>
      <c r="N66" s="107"/>
      <c r="O66" s="107"/>
      <c r="P66" s="129" t="s">
        <v>538</v>
      </c>
      <c r="Q66" s="125">
        <f>1.96*Q65</f>
        <v>0</v>
      </c>
      <c r="R66" s="125">
        <f>1.96*R65</f>
        <v>0.18520253328948227</v>
      </c>
      <c r="S66" s="125">
        <f>1.96*S65</f>
        <v>2.1800041018599812</v>
      </c>
      <c r="T66" s="125">
        <f>1.96*T65</f>
        <v>1.8374830682728693</v>
      </c>
      <c r="U66" s="125">
        <f>1.96*U65</f>
        <v>1.3059902572055384</v>
      </c>
      <c r="V66" s="107"/>
      <c r="W66" s="107"/>
      <c r="X66" s="107"/>
      <c r="Y66" s="107"/>
      <c r="Z66" s="107"/>
      <c r="AA66" s="107"/>
      <c r="AB66" s="107"/>
      <c r="AC66" s="129"/>
      <c r="AD66" s="125"/>
      <c r="AE66" s="125"/>
      <c r="AF66" s="125"/>
      <c r="AG66" s="125"/>
      <c r="AH66" s="125"/>
      <c r="AI66" s="107"/>
      <c r="AJ66" s="107"/>
      <c r="AK66" s="107"/>
      <c r="AL66" s="107"/>
      <c r="AM66" s="107"/>
      <c r="AN66" s="107"/>
    </row>
    <row r="67" spans="2:40" x14ac:dyDescent="0.3">
      <c r="B67" s="115" t="s">
        <v>409</v>
      </c>
      <c r="C67" s="107" t="s">
        <v>391</v>
      </c>
      <c r="D67" s="146">
        <f>D57/SUM(D57:H57)</f>
        <v>7.2501586984322628E-4</v>
      </c>
      <c r="E67" s="146">
        <f>E57/SUM(D57:H57)</f>
        <v>2.1049519462997819E-3</v>
      </c>
      <c r="F67" s="146">
        <f>F57/SUM(D57:H57)</f>
        <v>0.37763286713933814</v>
      </c>
      <c r="G67" s="146">
        <f>G57/SUM(D57:H57)</f>
        <v>0.34905858979555199</v>
      </c>
      <c r="H67" s="146">
        <f>H57/SUM(D57:H57)</f>
        <v>0.27047857524896685</v>
      </c>
      <c r="I67" s="152">
        <f>SUM(D67:H67)</f>
        <v>1</v>
      </c>
      <c r="J67" s="107"/>
      <c r="K67" s="107"/>
      <c r="L67" s="107"/>
      <c r="M67" s="107"/>
      <c r="N67" s="107"/>
      <c r="O67" s="115" t="s">
        <v>409</v>
      </c>
      <c r="P67" s="107" t="s">
        <v>391</v>
      </c>
      <c r="Q67" s="146">
        <f>Q57/SUM(Q57:U57)</f>
        <v>0</v>
      </c>
      <c r="R67" s="146">
        <f>R57/SUM(Q57:U57)</f>
        <v>1.1223707924585319E-3</v>
      </c>
      <c r="S67" s="146">
        <f>S57/SUM(Q57:U57)</f>
        <v>0.72903918584949445</v>
      </c>
      <c r="T67" s="146">
        <f>T57/SUM(Q57:U57)</f>
        <v>0.23675008903422154</v>
      </c>
      <c r="U67" s="146">
        <f>U57/SUM(Q57:U57)</f>
        <v>3.3088354323825564E-2</v>
      </c>
      <c r="V67" s="152">
        <f>SUM(Q67:U67)</f>
        <v>1.0000000000000002</v>
      </c>
      <c r="W67" s="107"/>
      <c r="X67" s="107"/>
      <c r="Y67" s="107"/>
      <c r="Z67" s="107"/>
      <c r="AA67" s="107"/>
      <c r="AB67" s="115" t="s">
        <v>409</v>
      </c>
      <c r="AC67" s="107" t="s">
        <v>391</v>
      </c>
      <c r="AD67" s="146">
        <f>AD57/SUM(AD57:AH57)</f>
        <v>0</v>
      </c>
      <c r="AE67" s="146">
        <f>AE57/SUM(AD57:AH57)</f>
        <v>1.3167520117044623E-3</v>
      </c>
      <c r="AF67" s="146">
        <f>AF57/SUM(AD57:AH57)</f>
        <v>0.4662556170968753</v>
      </c>
      <c r="AG67" s="146">
        <f>AG57/SUM(AD57:AH57)</f>
        <v>0.28713554185390322</v>
      </c>
      <c r="AH67" s="146">
        <f>AH57/SUM(AD57:AH57)</f>
        <v>0.24529208903751695</v>
      </c>
      <c r="AI67" s="152">
        <f>SUM(AD67:AH67)</f>
        <v>1</v>
      </c>
      <c r="AJ67" s="107"/>
      <c r="AK67" s="107"/>
      <c r="AL67" s="107"/>
      <c r="AM67" s="107"/>
      <c r="AN67" s="107"/>
    </row>
    <row r="68" spans="2:40" x14ac:dyDescent="0.3">
      <c r="B68" s="148" t="s">
        <v>801</v>
      </c>
      <c r="C68" s="90" t="s">
        <v>524</v>
      </c>
      <c r="D68" s="108">
        <f>D61*D67</f>
        <v>4.4443472821389766E-3</v>
      </c>
      <c r="E68" s="108">
        <f>E61*D67</f>
        <v>1.2310769469937975E-2</v>
      </c>
      <c r="F68" s="108">
        <f>F61*D67</f>
        <v>0.30468791930161582</v>
      </c>
      <c r="G68" s="108">
        <f>G61*D67</f>
        <v>0.43458901270142675</v>
      </c>
      <c r="H68" s="108">
        <f>H61*D67</f>
        <v>0.35913661112684109</v>
      </c>
      <c r="I68" s="107"/>
      <c r="J68" s="107"/>
      <c r="K68" s="107"/>
      <c r="L68" s="107"/>
      <c r="M68" s="107"/>
      <c r="N68" s="107"/>
      <c r="O68" s="148" t="s">
        <v>801</v>
      </c>
      <c r="P68" s="90" t="s">
        <v>524</v>
      </c>
      <c r="Q68" s="108">
        <f>Q61*Q67</f>
        <v>0</v>
      </c>
      <c r="R68" s="108">
        <f>R61*Q67</f>
        <v>0</v>
      </c>
      <c r="S68" s="108">
        <f>S61*Q67</f>
        <v>0</v>
      </c>
      <c r="T68" s="108">
        <f>T61*Q67</f>
        <v>0</v>
      </c>
      <c r="U68" s="108">
        <f>U61*Q67</f>
        <v>0</v>
      </c>
      <c r="V68" s="107"/>
      <c r="W68" s="107"/>
      <c r="X68" s="107"/>
      <c r="Y68" s="107"/>
      <c r="Z68" s="107"/>
      <c r="AA68" s="107"/>
      <c r="AB68" s="148" t="s">
        <v>801</v>
      </c>
      <c r="AC68" s="90" t="s">
        <v>524</v>
      </c>
      <c r="AD68" s="108">
        <f>AD61*AD67</f>
        <v>0</v>
      </c>
      <c r="AE68" s="108">
        <f>AE61*AD67</f>
        <v>0</v>
      </c>
      <c r="AF68" s="108">
        <f>AF61*AD67</f>
        <v>0</v>
      </c>
      <c r="AG68" s="108">
        <f>AG61*AD67</f>
        <v>0</v>
      </c>
      <c r="AH68" s="108">
        <f>AH61*AD67</f>
        <v>0</v>
      </c>
      <c r="AI68" s="107"/>
      <c r="AJ68" s="107"/>
      <c r="AK68" s="107"/>
      <c r="AL68" s="107"/>
      <c r="AM68" s="107"/>
      <c r="AN68" s="107"/>
    </row>
    <row r="69" spans="2:40" x14ac:dyDescent="0.3">
      <c r="B69" s="107" t="s">
        <v>799</v>
      </c>
      <c r="C69" s="91" t="s">
        <v>523</v>
      </c>
      <c r="D69" s="108">
        <f>D61*E67</f>
        <v>1.2903355430817661E-2</v>
      </c>
      <c r="E69" s="108">
        <f>E61*E67</f>
        <v>3.5742084048170274E-2</v>
      </c>
      <c r="F69" s="108">
        <f>F61*E67</f>
        <v>0.88460605543248338</v>
      </c>
      <c r="G69" s="108">
        <f>G61*E67</f>
        <v>1.2617502956510154</v>
      </c>
      <c r="H69" s="108">
        <f>H61*E67</f>
        <v>1.042687946599594</v>
      </c>
      <c r="I69" s="107"/>
      <c r="J69" s="107"/>
      <c r="K69" s="107"/>
      <c r="L69" s="107"/>
      <c r="M69" s="107"/>
      <c r="N69" s="107"/>
      <c r="O69" s="107" t="s">
        <v>799</v>
      </c>
      <c r="P69" s="91" t="s">
        <v>523</v>
      </c>
      <c r="Q69" s="108">
        <f>Q61*R67</f>
        <v>0</v>
      </c>
      <c r="R69" s="108">
        <f>R61*R67</f>
        <v>3.2548752981297426E-4</v>
      </c>
      <c r="S69" s="108">
        <f>S61*R67</f>
        <v>1.5657072554796571E-2</v>
      </c>
      <c r="T69" s="108">
        <f>T61*R67</f>
        <v>1.6061126040081593E-2</v>
      </c>
      <c r="U69" s="108">
        <f>U61*R67</f>
        <v>8.7881633049503027E-3</v>
      </c>
      <c r="V69" s="107"/>
      <c r="W69" s="107"/>
      <c r="X69" s="107"/>
      <c r="Y69" s="107"/>
      <c r="Z69" s="107"/>
      <c r="AA69" s="107"/>
      <c r="AB69" s="107" t="s">
        <v>799</v>
      </c>
      <c r="AC69" s="91" t="s">
        <v>523</v>
      </c>
      <c r="AD69" s="108">
        <f>AD61*AE67</f>
        <v>0</v>
      </c>
      <c r="AE69" s="108">
        <f>AE61*AE67</f>
        <v>2.3701536210680321E-4</v>
      </c>
      <c r="AF69" s="108">
        <f>AF61*AE67</f>
        <v>5.8990490124360149E-3</v>
      </c>
      <c r="AG69" s="108">
        <f>AG61*AE67</f>
        <v>1.1087051938551556E-2</v>
      </c>
      <c r="AH69" s="108">
        <f>AH61*AE67</f>
        <v>7.7820043891733675E-3</v>
      </c>
      <c r="AI69" s="107"/>
      <c r="AJ69" s="107"/>
      <c r="AK69" s="107"/>
      <c r="AL69" s="107"/>
      <c r="AM69" s="107"/>
      <c r="AN69" s="107"/>
    </row>
    <row r="70" spans="2:40" x14ac:dyDescent="0.3">
      <c r="B70" s="107"/>
      <c r="C70" s="92" t="s">
        <v>525</v>
      </c>
      <c r="D70" s="108">
        <f>D61*F67</f>
        <v>2.3148894755641423</v>
      </c>
      <c r="E70" s="108">
        <f>E61*F67</f>
        <v>6.412206084025958</v>
      </c>
      <c r="F70" s="108">
        <f>F61*F67</f>
        <v>158.70021241530685</v>
      </c>
      <c r="G70" s="108">
        <f>G61*F67</f>
        <v>226.36069322066209</v>
      </c>
      <c r="H70" s="108">
        <f>H61*F67</f>
        <v>187.0604407374706</v>
      </c>
      <c r="I70" s="107"/>
      <c r="J70" s="107"/>
      <c r="K70" s="107"/>
      <c r="L70" s="107"/>
      <c r="M70" s="107"/>
      <c r="N70" s="107"/>
      <c r="O70" s="107"/>
      <c r="P70" s="92" t="s">
        <v>525</v>
      </c>
      <c r="Q70" s="108">
        <f>Q61*S67</f>
        <v>0</v>
      </c>
      <c r="R70" s="108">
        <f>R61*S67</f>
        <v>0.21142136389635341</v>
      </c>
      <c r="S70" s="108">
        <f>S61*S67</f>
        <v>10.17009664260048</v>
      </c>
      <c r="T70" s="108">
        <f>T61*S67</f>
        <v>10.432550749506268</v>
      </c>
      <c r="U70" s="108">
        <f>U61*S67</f>
        <v>5.7083768252015403</v>
      </c>
      <c r="V70" s="107"/>
      <c r="W70" s="107"/>
      <c r="X70" s="107"/>
      <c r="Y70" s="107"/>
      <c r="Z70" s="107"/>
      <c r="AA70" s="107"/>
      <c r="AB70" s="107"/>
      <c r="AC70" s="92" t="s">
        <v>525</v>
      </c>
      <c r="AD70" s="108">
        <f>AD61*AF67</f>
        <v>0</v>
      </c>
      <c r="AE70" s="108">
        <f>AE61*AF67</f>
        <v>8.3926011077437551E-2</v>
      </c>
      <c r="AF70" s="108">
        <f>AF61*AF67</f>
        <v>2.0888251645940099</v>
      </c>
      <c r="AG70" s="108">
        <f>AG61*AF67</f>
        <v>3.925872295955684</v>
      </c>
      <c r="AH70" s="108">
        <f>AH61*AF67</f>
        <v>2.7555706970425313</v>
      </c>
      <c r="AI70" s="107"/>
      <c r="AJ70" s="107"/>
      <c r="AK70" s="107"/>
      <c r="AL70" s="107"/>
      <c r="AM70" s="107"/>
      <c r="AN70" s="107"/>
    </row>
    <row r="71" spans="2:40" x14ac:dyDescent="0.3">
      <c r="B71" s="107"/>
      <c r="C71" s="124" t="s">
        <v>526</v>
      </c>
      <c r="D71" s="108">
        <f>D61*G67</f>
        <v>2.1397291554467333</v>
      </c>
      <c r="E71" s="108">
        <f>E61*G67</f>
        <v>5.9270148547284691</v>
      </c>
      <c r="F71" s="108">
        <f>F61*G67</f>
        <v>146.69187236158072</v>
      </c>
      <c r="G71" s="108">
        <f>G61*G67</f>
        <v>209.23269989524979</v>
      </c>
      <c r="H71" s="108">
        <f>H61*G67</f>
        <v>172.90617245522617</v>
      </c>
      <c r="I71" s="107"/>
      <c r="J71" s="107"/>
      <c r="K71" s="107"/>
      <c r="L71" s="107"/>
      <c r="M71" s="107"/>
      <c r="N71" s="107"/>
      <c r="O71" s="107"/>
      <c r="P71" s="124" t="s">
        <v>526</v>
      </c>
      <c r="Q71" s="108">
        <f>Q61*T67</f>
        <v>0</v>
      </c>
      <c r="R71" s="108">
        <f>R61*T67</f>
        <v>6.8657525819924251E-2</v>
      </c>
      <c r="S71" s="108">
        <f>S61*T67</f>
        <v>3.3026637420274012</v>
      </c>
      <c r="T71" s="108">
        <f>T61*T67</f>
        <v>3.3878937740797106</v>
      </c>
      <c r="U71" s="108">
        <f>U61*T67</f>
        <v>1.8537531971379542</v>
      </c>
      <c r="V71" s="107"/>
      <c r="W71" s="107"/>
      <c r="X71" s="107"/>
      <c r="Y71" s="107"/>
      <c r="Z71" s="107"/>
      <c r="AA71" s="107"/>
      <c r="AB71" s="107"/>
      <c r="AC71" s="124" t="s">
        <v>526</v>
      </c>
      <c r="AD71" s="108">
        <f>AD61*AG67</f>
        <v>0</v>
      </c>
      <c r="AE71" s="108">
        <f>AE61*AG67</f>
        <v>5.1684397533702575E-2</v>
      </c>
      <c r="AF71" s="108">
        <f>AF61*AG67</f>
        <v>1.2863672275054916</v>
      </c>
      <c r="AG71" s="108">
        <f>AG61*AG67</f>
        <v>2.4176812624098614</v>
      </c>
      <c r="AH71" s="108">
        <f>AH61*AG67</f>
        <v>1.6969710523565671</v>
      </c>
      <c r="AI71" s="107"/>
      <c r="AJ71" s="107"/>
      <c r="AK71" s="107"/>
      <c r="AL71" s="107"/>
      <c r="AM71" s="107"/>
      <c r="AN71" s="107"/>
    </row>
    <row r="72" spans="2:40" x14ac:dyDescent="0.3">
      <c r="B72" s="107"/>
      <c r="C72" s="123" t="s">
        <v>527</v>
      </c>
      <c r="D72" s="125">
        <f>D61*H67</f>
        <v>1.6580336662761666</v>
      </c>
      <c r="E72" s="125">
        <f>E61*H67</f>
        <v>4.5927262077274547</v>
      </c>
      <c r="F72" s="125">
        <f>F61*H67</f>
        <v>113.66862124837832</v>
      </c>
      <c r="G72" s="125">
        <f>G61*H67</f>
        <v>162.13026757573573</v>
      </c>
      <c r="H72" s="125">
        <f>H61*H67</f>
        <v>133.98156224957535</v>
      </c>
      <c r="I72" s="107"/>
      <c r="J72" s="107"/>
      <c r="K72" s="107"/>
      <c r="L72" s="107"/>
      <c r="M72" s="107"/>
      <c r="N72" s="107"/>
      <c r="O72" s="107"/>
      <c r="P72" s="123" t="s">
        <v>527</v>
      </c>
      <c r="Q72" s="125">
        <f>Q61*U67</f>
        <v>0</v>
      </c>
      <c r="R72" s="125">
        <f>R61*U67</f>
        <v>9.5956227539094139E-3</v>
      </c>
      <c r="S72" s="125">
        <f>S61*U67</f>
        <v>0.4615825428173681</v>
      </c>
      <c r="T72" s="125">
        <f>T61*U67</f>
        <v>0.47349435037394388</v>
      </c>
      <c r="U72" s="125">
        <f>U61*U67</f>
        <v>0.25908181435555411</v>
      </c>
      <c r="V72" s="107"/>
      <c r="W72" s="107"/>
      <c r="X72" s="107"/>
      <c r="Y72" s="107"/>
      <c r="Z72" s="107"/>
      <c r="AA72" s="107"/>
      <c r="AB72" s="107"/>
      <c r="AC72" s="123" t="s">
        <v>527</v>
      </c>
      <c r="AD72" s="125">
        <f>AD61*AH67</f>
        <v>0</v>
      </c>
      <c r="AE72" s="125">
        <f>AE61*AH67</f>
        <v>4.415257602675305E-2</v>
      </c>
      <c r="AF72" s="125">
        <f>AF61*AH67</f>
        <v>1.0989085588880805</v>
      </c>
      <c r="AG72" s="125">
        <f>AG61*AH67</f>
        <v>2.0653593896958897</v>
      </c>
      <c r="AH72" s="125">
        <f>AH61*AH67</f>
        <v>1.4496762462117243</v>
      </c>
      <c r="AI72" s="107"/>
      <c r="AJ72" s="107"/>
      <c r="AK72" s="107"/>
      <c r="AL72" s="107"/>
      <c r="AM72" s="107"/>
      <c r="AN72" s="107"/>
    </row>
    <row r="73" spans="2:40" x14ac:dyDescent="0.3">
      <c r="B73" s="107"/>
      <c r="C73" s="107" t="s">
        <v>36</v>
      </c>
      <c r="D73" s="108">
        <f>SUM(D68:D72)</f>
        <v>6.129999999999999</v>
      </c>
      <c r="E73" s="108">
        <f>SUM(E68:E72)</f>
        <v>16.97999999999999</v>
      </c>
      <c r="F73" s="108">
        <f>SUM(F68:F72)</f>
        <v>420.25</v>
      </c>
      <c r="G73" s="108">
        <f t="shared" ref="G73" si="74">SUM(G68:G72)</f>
        <v>599.42000000000007</v>
      </c>
      <c r="H73" s="108">
        <f t="shared" ref="H73" si="75">SUM(H68:H72)</f>
        <v>495.34999999999854</v>
      </c>
      <c r="I73" s="107"/>
      <c r="J73" s="107"/>
      <c r="K73" s="107"/>
      <c r="L73" s="107"/>
      <c r="M73" s="107"/>
      <c r="N73" s="107"/>
      <c r="O73" s="107"/>
      <c r="P73" s="107" t="s">
        <v>36</v>
      </c>
      <c r="Q73" s="108">
        <f>SUM(Q68:Q72)</f>
        <v>0</v>
      </c>
      <c r="R73" s="108">
        <f>SUM(R68:R72)</f>
        <v>0.29000000000000004</v>
      </c>
      <c r="S73" s="108">
        <f>SUM(S68:S72)</f>
        <v>13.950000000000045</v>
      </c>
      <c r="T73" s="108">
        <f t="shared" ref="T73" si="76">SUM(T68:T72)</f>
        <v>14.310000000000004</v>
      </c>
      <c r="U73" s="108">
        <f t="shared" ref="U73" si="77">SUM(U68:U72)</f>
        <v>7.8299999999999983</v>
      </c>
      <c r="V73" s="107"/>
      <c r="W73" s="107"/>
      <c r="X73" s="107"/>
      <c r="Y73" s="107"/>
      <c r="Z73" s="107"/>
      <c r="AA73" s="107"/>
      <c r="AB73" s="107"/>
      <c r="AC73" s="107" t="s">
        <v>36</v>
      </c>
      <c r="AD73" s="108">
        <f>SUM(AD68:AD72)</f>
        <v>0</v>
      </c>
      <c r="AE73" s="108">
        <f>SUM(AE68:AE72)</f>
        <v>0.18</v>
      </c>
      <c r="AF73" s="108">
        <f>SUM(AF68:AF72)</f>
        <v>4.4800000000000182</v>
      </c>
      <c r="AG73" s="108">
        <f t="shared" ref="AG73" si="78">SUM(AG68:AG72)</f>
        <v>8.4199999999999875</v>
      </c>
      <c r="AH73" s="108">
        <f t="shared" ref="AH73" si="79">SUM(AH68:AH72)</f>
        <v>5.9099999999999957</v>
      </c>
      <c r="AI73" s="107"/>
      <c r="AJ73" s="107"/>
      <c r="AK73" s="107"/>
      <c r="AL73" s="107"/>
      <c r="AM73" s="107"/>
      <c r="AN73" s="107"/>
    </row>
    <row r="74" spans="2:40" x14ac:dyDescent="0.3">
      <c r="B74" s="107" t="s">
        <v>800</v>
      </c>
      <c r="C74" s="212" t="s">
        <v>529</v>
      </c>
      <c r="D74" s="125">
        <f>I59*D67</f>
        <v>0.13880428828148356</v>
      </c>
      <c r="E74" s="125">
        <f>I59*E67</f>
        <v>0.40299305011908709</v>
      </c>
      <c r="F74" s="125">
        <f>I59*F67</f>
        <v>72.297812413825184</v>
      </c>
      <c r="G74" s="125">
        <f>I59*G67</f>
        <v>66.827267016357411</v>
      </c>
      <c r="H74" s="125">
        <f>I59*H67</f>
        <v>51.783123231413917</v>
      </c>
      <c r="I74" s="230">
        <f>SUM(D74:H74)</f>
        <v>191.44999999999709</v>
      </c>
      <c r="J74" s="107"/>
      <c r="K74" s="141"/>
      <c r="L74" s="141"/>
      <c r="M74" s="107"/>
      <c r="N74" s="107"/>
      <c r="O74" s="107" t="s">
        <v>800</v>
      </c>
      <c r="P74" s="212" t="s">
        <v>529</v>
      </c>
      <c r="Q74" s="125">
        <f>V59*Q67</f>
        <v>0</v>
      </c>
      <c r="R74" s="125">
        <f>V59*R67</f>
        <v>9.3493487011797449E-3</v>
      </c>
      <c r="S74" s="125">
        <f>V59*S67</f>
        <v>6.0728964181264011</v>
      </c>
      <c r="T74" s="125">
        <f>V59*T67</f>
        <v>1.972128241655102</v>
      </c>
      <c r="U74" s="125">
        <f>V59*U67</f>
        <v>0.27562599151747208</v>
      </c>
      <c r="V74" s="230">
        <f>SUM(Q74:U74)</f>
        <v>8.3300000000001546</v>
      </c>
      <c r="W74" s="107"/>
      <c r="X74" s="141"/>
      <c r="Y74" s="141"/>
      <c r="Z74" s="107"/>
      <c r="AA74" s="107"/>
      <c r="AB74" s="107" t="s">
        <v>800</v>
      </c>
      <c r="AC74" s="212" t="s">
        <v>529</v>
      </c>
      <c r="AD74" s="125">
        <f>AI59*AD67</f>
        <v>0</v>
      </c>
      <c r="AE74" s="125">
        <f>AI59*AE67</f>
        <v>2.8573518653986292E-3</v>
      </c>
      <c r="AF74" s="125">
        <f>AI59*AF67</f>
        <v>1.0117746891002004</v>
      </c>
      <c r="AG74" s="125">
        <f>AI59*AG67</f>
        <v>0.62308412582295825</v>
      </c>
      <c r="AH74" s="125">
        <f>AI59*AH67</f>
        <v>0.53228383321140171</v>
      </c>
      <c r="AI74" s="230">
        <f>SUM(AD74:AH74)</f>
        <v>2.1699999999999591</v>
      </c>
      <c r="AJ74" s="107"/>
      <c r="AK74" s="141"/>
      <c r="AL74" s="141"/>
      <c r="AM74" s="107"/>
      <c r="AN74" s="107"/>
    </row>
    <row r="75" spans="2:40" x14ac:dyDescent="0.3">
      <c r="B75" s="107" t="s">
        <v>802</v>
      </c>
      <c r="C75" s="107" t="s">
        <v>803</v>
      </c>
      <c r="D75" s="108">
        <f>SUM(D68:H68)+D74</f>
        <v>1.2539729481634441</v>
      </c>
      <c r="E75" s="108">
        <f>SUM(D69:H69)+E74</f>
        <v>3.6406827872811673</v>
      </c>
      <c r="F75" s="108">
        <f>SUM(D70:H70)+F74</f>
        <v>653.1462543468549</v>
      </c>
      <c r="G75" s="108">
        <f>SUM(D71:H71)+G74</f>
        <v>603.72475573858924</v>
      </c>
      <c r="H75" s="108">
        <f>SUM(D72:H72)+H74</f>
        <v>467.81433417910694</v>
      </c>
      <c r="I75" s="107"/>
      <c r="J75" s="107"/>
      <c r="K75" s="108">
        <f>D75+E75+G75+H75</f>
        <v>1076.4337456531407</v>
      </c>
      <c r="L75" s="108">
        <f>F75</f>
        <v>653.1462543468549</v>
      </c>
      <c r="M75" s="107"/>
      <c r="N75" s="107"/>
      <c r="O75" s="107" t="s">
        <v>802</v>
      </c>
      <c r="P75" s="107" t="s">
        <v>803</v>
      </c>
      <c r="Q75" s="108">
        <f>SUM(Q68:U68)+Q74</f>
        <v>0</v>
      </c>
      <c r="R75" s="108">
        <f>SUM(Q69:U69)+R74</f>
        <v>5.0181198130821184E-2</v>
      </c>
      <c r="S75" s="108">
        <f>SUM(Q70:U70)+S74</f>
        <v>32.59534199933104</v>
      </c>
      <c r="T75" s="108">
        <f>SUM(Q71:U71)+T74</f>
        <v>10.585096480720093</v>
      </c>
      <c r="U75" s="108">
        <f>SUM(Q72:U72)+U74</f>
        <v>1.4793803218182477</v>
      </c>
      <c r="V75" s="107"/>
      <c r="W75" s="107"/>
      <c r="X75" s="108">
        <f>Q75+R75+T75+U75</f>
        <v>12.114658000669161</v>
      </c>
      <c r="Y75" s="108">
        <f>S75</f>
        <v>32.59534199933104</v>
      </c>
      <c r="Z75" s="107"/>
      <c r="AA75" s="107"/>
      <c r="AB75" s="107" t="s">
        <v>802</v>
      </c>
      <c r="AC75" s="107" t="s">
        <v>803</v>
      </c>
      <c r="AD75" s="108">
        <f>SUM(AD68:AH68)+AD74</f>
        <v>0</v>
      </c>
      <c r="AE75" s="108">
        <f>SUM(AD69:AH69)+AE74</f>
        <v>2.7862472567666371E-2</v>
      </c>
      <c r="AF75" s="108">
        <f>SUM(AD70:AH70)+AF74</f>
        <v>9.8659688577698628</v>
      </c>
      <c r="AG75" s="108">
        <f>SUM(AD71:AH71)+AG74</f>
        <v>6.075788065628581</v>
      </c>
      <c r="AH75" s="108">
        <f>SUM(AD72:AH72)+AH74</f>
        <v>5.1903806040338489</v>
      </c>
      <c r="AI75" s="107"/>
      <c r="AJ75" s="107"/>
      <c r="AK75" s="108">
        <f>AD75+AE75+AG75+AH75</f>
        <v>11.294031142230097</v>
      </c>
      <c r="AL75" s="108">
        <f>AF75</f>
        <v>9.8659688577698628</v>
      </c>
      <c r="AM75" s="107"/>
      <c r="AN75" s="107"/>
    </row>
    <row r="76" spans="2:40" x14ac:dyDescent="0.3">
      <c r="B76" s="107" t="s">
        <v>802</v>
      </c>
      <c r="C76" s="107" t="s">
        <v>804</v>
      </c>
      <c r="D76" s="146">
        <f>D75/$N$2</f>
        <v>2.8881347571103294E-5</v>
      </c>
      <c r="E76" s="146">
        <f t="shared" ref="E76" si="80">E75/$N$2</f>
        <v>8.3851749058541438E-5</v>
      </c>
      <c r="F76" s="146">
        <f t="shared" ref="F76" si="81">F75/$N$2</f>
        <v>1.5043182561620167E-2</v>
      </c>
      <c r="G76" s="146">
        <f t="shared" ref="G76" si="82">G75/$N$2</f>
        <v>1.3904912807969887E-2</v>
      </c>
      <c r="H76" s="146">
        <f t="shared" ref="H76" si="83">H75/$N$2</f>
        <v>1.0774641035087148E-2</v>
      </c>
      <c r="I76" s="107"/>
      <c r="J76" s="107"/>
      <c r="K76" s="152">
        <f>K75/$N$2</f>
        <v>2.4792286939686679E-2</v>
      </c>
      <c r="L76" s="147">
        <f>L75/$N$2</f>
        <v>1.5043182561620167E-2</v>
      </c>
      <c r="M76" s="107"/>
      <c r="N76" s="107"/>
      <c r="O76" s="107" t="s">
        <v>802</v>
      </c>
      <c r="P76" s="107" t="s">
        <v>804</v>
      </c>
      <c r="Q76" s="146">
        <f>Q75/$N$3</f>
        <v>0</v>
      </c>
      <c r="R76" s="146">
        <f t="shared" ref="R76" si="84">R75/$N$3</f>
        <v>2.6956674884274493E-5</v>
      </c>
      <c r="S76" s="146">
        <f t="shared" ref="S76" si="85">S75/$N$3</f>
        <v>1.7509785930719585E-2</v>
      </c>
      <c r="T76" s="146">
        <f t="shared" ref="T76" si="86">T75/$N$3</f>
        <v>5.6861736084016512E-3</v>
      </c>
      <c r="U76" s="146">
        <f t="shared" ref="U76" si="87">U75/$N$3</f>
        <v>7.9470351149216927E-4</v>
      </c>
      <c r="V76" s="107"/>
      <c r="W76" s="107"/>
      <c r="X76" s="152">
        <f>X75/$N$3</f>
        <v>6.5078337947780942E-3</v>
      </c>
      <c r="Y76" s="152">
        <f>Y75/$N$3</f>
        <v>1.7509785930719585E-2</v>
      </c>
      <c r="Z76" s="107"/>
      <c r="AA76" s="107"/>
      <c r="AB76" s="107" t="s">
        <v>802</v>
      </c>
      <c r="AC76" s="107" t="s">
        <v>804</v>
      </c>
      <c r="AD76" s="146">
        <f>AD75/$N$4</f>
        <v>0</v>
      </c>
      <c r="AE76" s="146">
        <f t="shared" ref="AE76" si="88">AE75/$N$4</f>
        <v>5.7971937430124362E-5</v>
      </c>
      <c r="AF76" s="146">
        <f t="shared" ref="AF76" si="89">AF75/$N$4</f>
        <v>2.052758698716213E-2</v>
      </c>
      <c r="AG76" s="146">
        <f t="shared" ref="AG76" si="90">AG75/$N$4</f>
        <v>1.2641563117699182E-2</v>
      </c>
      <c r="AH76" s="146">
        <f t="shared" ref="AH76" si="91">AH75/$N$4</f>
        <v>1.0799343772697451E-2</v>
      </c>
      <c r="AI76" s="107"/>
      <c r="AJ76" s="107"/>
      <c r="AK76" s="152">
        <f>AK75/$N$4</f>
        <v>2.3498878827826759E-2</v>
      </c>
      <c r="AL76" s="152">
        <f>AL75/$N$4</f>
        <v>2.052758698716213E-2</v>
      </c>
      <c r="AM76" s="107"/>
      <c r="AN76" s="107"/>
    </row>
    <row r="79" spans="2:40" x14ac:dyDescent="0.3">
      <c r="D79" t="s">
        <v>483</v>
      </c>
      <c r="E79" t="s">
        <v>484</v>
      </c>
      <c r="F79" t="s">
        <v>485</v>
      </c>
      <c r="G79" t="s">
        <v>486</v>
      </c>
      <c r="H79" t="s">
        <v>487</v>
      </c>
      <c r="Q79" t="s">
        <v>483</v>
      </c>
      <c r="R79" t="s">
        <v>484</v>
      </c>
      <c r="S79" t="s">
        <v>485</v>
      </c>
      <c r="T79" t="s">
        <v>486</v>
      </c>
      <c r="U79" t="s">
        <v>487</v>
      </c>
      <c r="AD79" t="s">
        <v>483</v>
      </c>
      <c r="AE79" t="s">
        <v>484</v>
      </c>
      <c r="AF79" t="s">
        <v>485</v>
      </c>
      <c r="AG79" t="s">
        <v>486</v>
      </c>
      <c r="AH79" t="s">
        <v>487</v>
      </c>
    </row>
    <row r="80" spans="2:40" x14ac:dyDescent="0.3">
      <c r="B80" s="118" t="s">
        <v>375</v>
      </c>
      <c r="C80" s="8">
        <v>20</v>
      </c>
      <c r="D80" s="90" t="s">
        <v>524</v>
      </c>
      <c r="E80" s="91" t="s">
        <v>523</v>
      </c>
      <c r="F80" s="92" t="s">
        <v>525</v>
      </c>
      <c r="G80" s="124" t="s">
        <v>526</v>
      </c>
      <c r="H80" s="123" t="s">
        <v>527</v>
      </c>
      <c r="I80" s="212" t="s">
        <v>529</v>
      </c>
      <c r="J80" s="213" t="s">
        <v>599</v>
      </c>
      <c r="K80" s="214" t="s">
        <v>600</v>
      </c>
      <c r="L80" s="215" t="s">
        <v>525</v>
      </c>
      <c r="Q80" s="90" t="s">
        <v>524</v>
      </c>
      <c r="R80" s="91" t="s">
        <v>523</v>
      </c>
      <c r="S80" s="92" t="s">
        <v>525</v>
      </c>
      <c r="T80" s="124" t="s">
        <v>526</v>
      </c>
      <c r="U80" s="123" t="s">
        <v>527</v>
      </c>
      <c r="V80" s="212" t="s">
        <v>529</v>
      </c>
      <c r="W80" s="213" t="s">
        <v>599</v>
      </c>
      <c r="X80" s="214" t="s">
        <v>600</v>
      </c>
      <c r="Y80" s="215" t="s">
        <v>525</v>
      </c>
      <c r="AD80" s="90" t="s">
        <v>524</v>
      </c>
      <c r="AE80" s="91" t="s">
        <v>523</v>
      </c>
      <c r="AF80" s="92" t="s">
        <v>525</v>
      </c>
      <c r="AG80" s="124" t="s">
        <v>526</v>
      </c>
      <c r="AH80" s="123" t="s">
        <v>527</v>
      </c>
      <c r="AI80" s="212" t="s">
        <v>529</v>
      </c>
      <c r="AJ80" s="213" t="s">
        <v>599</v>
      </c>
      <c r="AK80" s="214" t="s">
        <v>600</v>
      </c>
      <c r="AL80" s="215" t="s">
        <v>525</v>
      </c>
    </row>
    <row r="81" spans="2:40" x14ac:dyDescent="0.3">
      <c r="B81" s="119" t="s">
        <v>427</v>
      </c>
      <c r="C81" s="107"/>
      <c r="D81" s="116"/>
      <c r="E81" s="116"/>
      <c r="F81" s="116"/>
      <c r="G81" s="116"/>
      <c r="H81" s="116"/>
      <c r="I81" s="107"/>
      <c r="J81" s="107"/>
      <c r="K81" s="107"/>
      <c r="L81" s="107"/>
      <c r="M81" s="107"/>
      <c r="N81" s="107"/>
      <c r="O81" s="119" t="s">
        <v>428</v>
      </c>
      <c r="P81" s="107"/>
      <c r="Q81" s="116"/>
      <c r="R81" s="116"/>
      <c r="S81" s="116"/>
      <c r="T81" s="116"/>
      <c r="U81" s="116"/>
      <c r="V81" s="107"/>
      <c r="W81" s="107"/>
      <c r="X81" s="107"/>
      <c r="Y81" s="107"/>
      <c r="Z81" s="107"/>
      <c r="AA81" s="107"/>
      <c r="AB81" s="119" t="s">
        <v>626</v>
      </c>
      <c r="AC81" s="107"/>
      <c r="AD81" s="116"/>
      <c r="AE81" s="116"/>
      <c r="AF81" s="116"/>
      <c r="AG81" s="116"/>
      <c r="AH81" s="116"/>
      <c r="AI81" s="107"/>
      <c r="AJ81" s="107"/>
      <c r="AK81" s="107"/>
      <c r="AL81" s="107"/>
      <c r="AM81" s="107"/>
      <c r="AN81" s="107"/>
    </row>
    <row r="82" spans="2:40" x14ac:dyDescent="0.3">
      <c r="B82" s="115" t="s">
        <v>409</v>
      </c>
      <c r="C82" s="122" t="s">
        <v>9</v>
      </c>
      <c r="D82" s="136">
        <f>'91T_Seeds'!AL127</f>
        <v>78.010000000000005</v>
      </c>
      <c r="E82" s="136">
        <f>'91T_Seeds'!AM127</f>
        <v>772.25</v>
      </c>
      <c r="F82" s="136">
        <f>'91T_Seeds'!AN127</f>
        <v>15605.63</v>
      </c>
      <c r="G82" s="136">
        <f>'91T_Seeds'!AO127</f>
        <v>12772.47</v>
      </c>
      <c r="H82" s="136">
        <f>'91T_Seeds'!AP127</f>
        <v>11117.02</v>
      </c>
      <c r="I82" s="108">
        <f>$N$2-N82</f>
        <v>3072.7099999999919</v>
      </c>
      <c r="J82" s="108"/>
      <c r="K82" s="108">
        <f>D82+E82+G82+H82</f>
        <v>24739.75</v>
      </c>
      <c r="L82" s="108">
        <f>F82</f>
        <v>15605.63</v>
      </c>
      <c r="M82" s="115" t="s">
        <v>36</v>
      </c>
      <c r="N82" s="137">
        <f>SUM(D82:H82)</f>
        <v>40345.380000000005</v>
      </c>
      <c r="O82" s="115" t="s">
        <v>409</v>
      </c>
      <c r="P82" s="122" t="s">
        <v>9</v>
      </c>
      <c r="Q82" s="136">
        <f>'91T_Seeds'!AL132</f>
        <v>0</v>
      </c>
      <c r="R82" s="136">
        <f>'91T_Seeds'!AM132</f>
        <v>9.9</v>
      </c>
      <c r="S82" s="136">
        <f>'91T_Seeds'!AN132</f>
        <v>1312.2</v>
      </c>
      <c r="T82" s="136">
        <f>'91T_Seeds'!AO132</f>
        <v>390.77</v>
      </c>
      <c r="U82" s="136">
        <f>'91T_Seeds'!AP132</f>
        <v>87.67</v>
      </c>
      <c r="V82" s="108">
        <f>$N$3-AA82</f>
        <v>61.009999999999764</v>
      </c>
      <c r="W82" s="108"/>
      <c r="X82" s="108">
        <f>Q82+R82+T82+U82</f>
        <v>488.34</v>
      </c>
      <c r="Y82" s="108">
        <f>S82</f>
        <v>1312.2</v>
      </c>
      <c r="Z82" s="115" t="s">
        <v>36</v>
      </c>
      <c r="AA82" s="137">
        <f>SUM(Q82:U82)</f>
        <v>1800.5400000000002</v>
      </c>
      <c r="AB82" s="115" t="s">
        <v>409</v>
      </c>
      <c r="AC82" s="122" t="s">
        <v>9</v>
      </c>
      <c r="AD82" s="136">
        <v>0</v>
      </c>
      <c r="AE82" s="136">
        <v>0.31</v>
      </c>
      <c r="AF82" s="136">
        <v>182.83</v>
      </c>
      <c r="AG82" s="136">
        <v>180.92</v>
      </c>
      <c r="AH82" s="136">
        <v>114.4</v>
      </c>
      <c r="AI82" s="108">
        <f>$N$4-AN82</f>
        <v>2.1599999999999682</v>
      </c>
      <c r="AJ82" s="108"/>
      <c r="AK82" s="108">
        <f>AD82+AE82+AG82+AH82</f>
        <v>295.63</v>
      </c>
      <c r="AL82" s="108">
        <f>AF82</f>
        <v>182.83</v>
      </c>
      <c r="AM82" s="115" t="s">
        <v>36</v>
      </c>
      <c r="AN82" s="137">
        <f>SUM(AD82:AH82)</f>
        <v>478.46000000000004</v>
      </c>
    </row>
    <row r="83" spans="2:40" x14ac:dyDescent="0.3">
      <c r="B83" s="107"/>
      <c r="C83" s="141" t="s">
        <v>534</v>
      </c>
      <c r="D83" s="151">
        <f t="shared" ref="D83:I83" si="92">D82/$N$2</f>
        <v>1.7967165299072347E-3</v>
      </c>
      <c r="E83" s="151">
        <f t="shared" si="92"/>
        <v>1.778636508423102E-2</v>
      </c>
      <c r="F83" s="151">
        <f t="shared" si="92"/>
        <v>0.35942691168588947</v>
      </c>
      <c r="G83" s="151">
        <f t="shared" si="92"/>
        <v>0.29417392612157744</v>
      </c>
      <c r="H83" s="151">
        <f t="shared" si="92"/>
        <v>0.2560458094771097</v>
      </c>
      <c r="I83" s="151">
        <f t="shared" si="92"/>
        <v>7.0770271101285018E-2</v>
      </c>
      <c r="J83" s="151"/>
      <c r="K83" s="151">
        <f>K82/$N$2</f>
        <v>0.56980281721282544</v>
      </c>
      <c r="L83" s="151">
        <f>L82/$N$2</f>
        <v>0.35942691168588947</v>
      </c>
      <c r="M83" s="145">
        <f>SUM(D83:I83)</f>
        <v>0.99999999999999978</v>
      </c>
      <c r="N83" s="142"/>
      <c r="O83" s="107"/>
      <c r="P83" s="107" t="s">
        <v>391</v>
      </c>
      <c r="Q83" s="151">
        <f t="shared" ref="Q83:V83" si="93">Q82/$N$3</f>
        <v>0</v>
      </c>
      <c r="R83" s="151">
        <f t="shared" si="93"/>
        <v>5.3181488544492492E-3</v>
      </c>
      <c r="S83" s="151">
        <f t="shared" si="93"/>
        <v>0.70489645725336414</v>
      </c>
      <c r="T83" s="151">
        <f t="shared" si="93"/>
        <v>0.20991646745991244</v>
      </c>
      <c r="U83" s="151">
        <f t="shared" si="93"/>
        <v>4.7095162633289465E-2</v>
      </c>
      <c r="V83" s="151">
        <f t="shared" si="93"/>
        <v>3.2773763798984591E-2</v>
      </c>
      <c r="W83" s="151"/>
      <c r="X83" s="151">
        <f>X82/$N$3</f>
        <v>0.26232977894765114</v>
      </c>
      <c r="Y83" s="151">
        <f>Y82/$N$3</f>
        <v>0.70489645725336414</v>
      </c>
      <c r="Z83" s="145">
        <f>SUM(Q83:V83)</f>
        <v>0.99999999999999989</v>
      </c>
      <c r="AA83" s="107"/>
      <c r="AB83" s="107"/>
      <c r="AC83" s="141" t="s">
        <v>533</v>
      </c>
      <c r="AD83" s="151">
        <f>AD82/$N$4</f>
        <v>0</v>
      </c>
      <c r="AE83" s="151">
        <f t="shared" ref="AE83" si="94">AE82/$N$4</f>
        <v>6.4500020806458321E-4</v>
      </c>
      <c r="AF83" s="151">
        <f t="shared" ref="AF83" si="95">AF82/$N$4</f>
        <v>0.38040447754983148</v>
      </c>
      <c r="AG83" s="151">
        <f t="shared" ref="AG83" si="96">AG82/$N$4</f>
        <v>0.37643044400982062</v>
      </c>
      <c r="AH83" s="151">
        <f t="shared" ref="AH83" si="97">AH82/$N$4</f>
        <v>0.23802588323415588</v>
      </c>
      <c r="AI83" s="151">
        <f t="shared" ref="AI83" si="98">AI82/$N$4</f>
        <v>4.4941949981273524E-3</v>
      </c>
      <c r="AJ83" s="151"/>
      <c r="AK83" s="151">
        <f t="shared" ref="AK83" si="99">AK82/$N$4</f>
        <v>0.61510132745204105</v>
      </c>
      <c r="AL83" s="151">
        <f t="shared" ref="AL83" si="100">AL82/$N$4</f>
        <v>0.38040447754983148</v>
      </c>
      <c r="AM83" s="145">
        <f>SUM(AD83:AI83)</f>
        <v>0.99999999999999978</v>
      </c>
      <c r="AN83" s="107"/>
    </row>
    <row r="84" spans="2:40" x14ac:dyDescent="0.3">
      <c r="B84" s="107" t="s">
        <v>598</v>
      </c>
      <c r="C84" s="107" t="s">
        <v>9</v>
      </c>
      <c r="D84" s="108">
        <v>73.37</v>
      </c>
      <c r="E84" s="108">
        <v>617.97</v>
      </c>
      <c r="F84" s="108">
        <v>15032.37</v>
      </c>
      <c r="G84" s="108">
        <v>12165.84</v>
      </c>
      <c r="H84" s="108">
        <v>10612.7</v>
      </c>
      <c r="I84" s="108">
        <f>I82</f>
        <v>3072.7099999999919</v>
      </c>
      <c r="J84" s="108">
        <f>SUM(D82:H82)-SUM(D84:H84)</f>
        <v>1843.1300000000047</v>
      </c>
      <c r="K84" s="108">
        <f>D84+E84+G84+H84</f>
        <v>23469.88</v>
      </c>
      <c r="L84" s="108">
        <f>F84</f>
        <v>15032.37</v>
      </c>
      <c r="M84" s="115" t="s">
        <v>609</v>
      </c>
      <c r="N84" s="196">
        <f>SUM(D84:H84)</f>
        <v>38502.25</v>
      </c>
      <c r="O84" s="107" t="s">
        <v>598</v>
      </c>
      <c r="P84" s="122" t="s">
        <v>9</v>
      </c>
      <c r="Q84" s="108">
        <v>0</v>
      </c>
      <c r="R84" s="108">
        <v>8.2799999999999994</v>
      </c>
      <c r="S84" s="108">
        <v>1284.02</v>
      </c>
      <c r="T84" s="108">
        <v>374.28</v>
      </c>
      <c r="U84" s="108">
        <v>73.67</v>
      </c>
      <c r="V84" s="108">
        <f>V82</f>
        <v>61.009999999999764</v>
      </c>
      <c r="W84" s="108">
        <f>SUM(Q82:U82)-SUM(Q84:U84)</f>
        <v>60.290000000000191</v>
      </c>
      <c r="X84" s="108">
        <f>Q84+R84+T84+U84</f>
        <v>456.22999999999996</v>
      </c>
      <c r="Y84" s="108">
        <f>S84</f>
        <v>1284.02</v>
      </c>
      <c r="Z84" s="115" t="s">
        <v>609</v>
      </c>
      <c r="AA84" s="196">
        <f>SUM(Q84:U84)</f>
        <v>1740.25</v>
      </c>
      <c r="AB84" s="107" t="s">
        <v>598</v>
      </c>
      <c r="AC84" s="122" t="s">
        <v>9</v>
      </c>
      <c r="AD84" s="108">
        <v>0</v>
      </c>
      <c r="AE84" s="108">
        <v>0.19</v>
      </c>
      <c r="AF84" s="108">
        <v>177.43</v>
      </c>
      <c r="AG84" s="108">
        <v>175.83</v>
      </c>
      <c r="AH84" s="108">
        <v>107.29</v>
      </c>
      <c r="AI84" s="108">
        <f>AI82</f>
        <v>2.1599999999999682</v>
      </c>
      <c r="AJ84" s="108">
        <f>SUM(AD82:AH82)-SUM(AD84:AH84)</f>
        <v>17.71999999999997</v>
      </c>
      <c r="AK84" s="108">
        <f>AD84+AE84+AG84+AH84</f>
        <v>283.31</v>
      </c>
      <c r="AL84" s="108">
        <f>AF84</f>
        <v>177.43</v>
      </c>
      <c r="AM84" s="115" t="s">
        <v>609</v>
      </c>
      <c r="AN84" s="196">
        <f>SUM(AD84:AH84)</f>
        <v>460.74000000000007</v>
      </c>
    </row>
    <row r="85" spans="2:40" x14ac:dyDescent="0.3">
      <c r="B85" s="107"/>
      <c r="C85" s="141" t="s">
        <v>533</v>
      </c>
      <c r="D85" s="151">
        <f t="shared" ref="D85:L85" si="101">D84/$N$2</f>
        <v>1.6898486322175852E-3</v>
      </c>
      <c r="E85" s="151">
        <f t="shared" si="101"/>
        <v>1.4233007486050171E-2</v>
      </c>
      <c r="F85" s="151">
        <f t="shared" si="101"/>
        <v>0.34622365930882731</v>
      </c>
      <c r="G85" s="151">
        <f t="shared" si="101"/>
        <v>0.28020210009238089</v>
      </c>
      <c r="H85" s="151">
        <f t="shared" si="101"/>
        <v>0.24443037452822089</v>
      </c>
      <c r="I85" s="151">
        <f t="shared" si="101"/>
        <v>7.0770271101285018E-2</v>
      </c>
      <c r="J85" s="151">
        <f t="shared" si="101"/>
        <v>4.2450738851018202E-2</v>
      </c>
      <c r="K85" s="151">
        <f t="shared" si="101"/>
        <v>0.54055533073886952</v>
      </c>
      <c r="L85" s="151">
        <f t="shared" si="101"/>
        <v>0.34622365930882731</v>
      </c>
      <c r="M85" s="145">
        <f>SUM(D85:J85)</f>
        <v>1</v>
      </c>
      <c r="N85" s="195">
        <f>N84/N82</f>
        <v>0.95431620671313533</v>
      </c>
      <c r="O85" s="107"/>
      <c r="P85" s="141" t="s">
        <v>533</v>
      </c>
      <c r="Q85" s="151">
        <f t="shared" ref="Q85:Y85" si="102">Q84/$N$3</f>
        <v>0</v>
      </c>
      <c r="R85" s="151">
        <f t="shared" si="102"/>
        <v>4.4479063146302808E-3</v>
      </c>
      <c r="S85" s="151">
        <f t="shared" si="102"/>
        <v>0.68975853455453784</v>
      </c>
      <c r="T85" s="151">
        <f t="shared" si="102"/>
        <v>0.2010582579033601</v>
      </c>
      <c r="U85" s="151">
        <f t="shared" si="102"/>
        <v>3.9574548091644061E-2</v>
      </c>
      <c r="V85" s="151">
        <f t="shared" si="102"/>
        <v>3.2773763798984591E-2</v>
      </c>
      <c r="W85" s="151">
        <f t="shared" si="102"/>
        <v>3.2386989336843058E-2</v>
      </c>
      <c r="X85" s="151">
        <f t="shared" si="102"/>
        <v>0.24508071230963444</v>
      </c>
      <c r="Y85" s="151">
        <f t="shared" si="102"/>
        <v>0.68975853455453784</v>
      </c>
      <c r="Z85" s="145">
        <f>SUM(Q85:W85)</f>
        <v>0.99999999999999989</v>
      </c>
      <c r="AA85" s="195">
        <f>AA84/AA82</f>
        <v>0.96651560087529287</v>
      </c>
      <c r="AB85" s="107"/>
      <c r="AC85" s="141" t="s">
        <v>533</v>
      </c>
      <c r="AD85" s="151">
        <f t="shared" ref="AD85" si="103">AD84/$N$4</f>
        <v>0</v>
      </c>
      <c r="AE85" s="151">
        <f t="shared" ref="AE85" si="104">AE84/$N$4</f>
        <v>3.9532270816861553E-4</v>
      </c>
      <c r="AF85" s="151">
        <f t="shared" ref="AF85" si="105">AF84/$N$4</f>
        <v>0.36916899005451292</v>
      </c>
      <c r="AG85" s="151">
        <f t="shared" ref="AG85" si="106">AG84/$N$4</f>
        <v>0.36583995672256669</v>
      </c>
      <c r="AH85" s="151">
        <f t="shared" ref="AH85" si="107">AH84/$N$4</f>
        <v>0.22323249136531981</v>
      </c>
      <c r="AI85" s="151">
        <f t="shared" ref="AI85" si="108">AI84/$N$4</f>
        <v>4.4941949981273524E-3</v>
      </c>
      <c r="AJ85" s="151">
        <f t="shared" ref="AJ85" si="109">AJ84/$N$4</f>
        <v>3.68690441513045E-2</v>
      </c>
      <c r="AK85" s="151">
        <f t="shared" ref="AK85" si="110">AK84/$N$4</f>
        <v>0.58946777079605506</v>
      </c>
      <c r="AL85" s="151">
        <f t="shared" ref="AL85" si="111">AL84/$N$4</f>
        <v>0.36916899005451292</v>
      </c>
      <c r="AM85" s="145">
        <f>SUM(AD85:AJ85)</f>
        <v>1</v>
      </c>
      <c r="AN85" s="195">
        <f>AN84/AN82</f>
        <v>0.96296451113990722</v>
      </c>
    </row>
    <row r="86" spans="2:40" x14ac:dyDescent="0.3">
      <c r="B86" s="107"/>
      <c r="C86" s="107" t="s">
        <v>601</v>
      </c>
      <c r="D86" s="112">
        <f>D82-D84</f>
        <v>4.6400000000000006</v>
      </c>
      <c r="E86" s="112">
        <f>E82-E84</f>
        <v>154.27999999999997</v>
      </c>
      <c r="F86" s="112">
        <f>F82-F84</f>
        <v>573.2599999999984</v>
      </c>
      <c r="G86" s="112">
        <f>G82-G84</f>
        <v>606.6299999999992</v>
      </c>
      <c r="H86" s="112">
        <f>H82-H84</f>
        <v>504.31999999999971</v>
      </c>
      <c r="I86" s="147"/>
      <c r="J86" s="147"/>
      <c r="K86" s="112">
        <f>K82-K84</f>
        <v>1269.869999999999</v>
      </c>
      <c r="L86" s="108">
        <f>F86</f>
        <v>573.2599999999984</v>
      </c>
      <c r="M86" s="145"/>
      <c r="N86" s="107"/>
      <c r="O86" s="107"/>
      <c r="P86" s="107" t="s">
        <v>601</v>
      </c>
      <c r="Q86" s="112">
        <f>Q82-Q84</f>
        <v>0</v>
      </c>
      <c r="R86" s="112">
        <f>R82-R84</f>
        <v>1.620000000000001</v>
      </c>
      <c r="S86" s="112">
        <f>S82-S84</f>
        <v>28.180000000000064</v>
      </c>
      <c r="T86" s="112">
        <f>T82-T84</f>
        <v>16.490000000000009</v>
      </c>
      <c r="U86" s="112">
        <f>U82-U84</f>
        <v>14</v>
      </c>
      <c r="V86" s="147"/>
      <c r="W86" s="147"/>
      <c r="X86" s="112">
        <f>X82-X84</f>
        <v>32.110000000000014</v>
      </c>
      <c r="Y86" s="108">
        <f>S86</f>
        <v>28.180000000000064</v>
      </c>
      <c r="Z86" s="145"/>
      <c r="AA86" s="107"/>
      <c r="AB86" s="107"/>
      <c r="AC86" s="107" t="s">
        <v>601</v>
      </c>
      <c r="AD86" s="112">
        <f>AD82-AD84</f>
        <v>0</v>
      </c>
      <c r="AE86" s="112">
        <f>AE82-AE84</f>
        <v>0.12</v>
      </c>
      <c r="AF86" s="112">
        <f>AF82-AF84</f>
        <v>5.4000000000000057</v>
      </c>
      <c r="AG86" s="112">
        <f>AG82-AG84</f>
        <v>5.089999999999975</v>
      </c>
      <c r="AH86" s="112">
        <f>AH82-AH84</f>
        <v>7.1099999999999994</v>
      </c>
      <c r="AI86" s="147"/>
      <c r="AJ86" s="147"/>
      <c r="AK86" s="112">
        <f>AK82-AK84</f>
        <v>12.319999999999993</v>
      </c>
      <c r="AL86" s="108">
        <f>AF86</f>
        <v>5.4000000000000057</v>
      </c>
      <c r="AM86" s="145"/>
      <c r="AN86" s="107"/>
    </row>
    <row r="87" spans="2:40" x14ac:dyDescent="0.3">
      <c r="B87" s="107"/>
      <c r="C87" s="107" t="s">
        <v>602</v>
      </c>
      <c r="D87" s="147">
        <f>D86/D82</f>
        <v>5.9479553903345729E-2</v>
      </c>
      <c r="E87" s="147">
        <f>E86/E82</f>
        <v>0.19977986403366782</v>
      </c>
      <c r="F87" s="147">
        <f>F86/F82</f>
        <v>3.6734178626559671E-2</v>
      </c>
      <c r="G87" s="147">
        <f>G86/G82</f>
        <v>4.7495120364346069E-2</v>
      </c>
      <c r="H87" s="147">
        <f>H86/H82</f>
        <v>4.5364675065799977E-2</v>
      </c>
      <c r="I87" s="147"/>
      <c r="J87" s="147"/>
      <c r="K87" s="151">
        <f>K86/K82</f>
        <v>5.1329136308976404E-2</v>
      </c>
      <c r="L87" s="151">
        <f>L86/$N$2</f>
        <v>1.3203252377062153E-2</v>
      </c>
      <c r="M87" s="145"/>
      <c r="N87" s="107"/>
      <c r="O87" s="107"/>
      <c r="P87" s="107" t="s">
        <v>602</v>
      </c>
      <c r="Q87" s="147" t="s">
        <v>615</v>
      </c>
      <c r="R87" s="147">
        <f>R86/R82</f>
        <v>0.16363636363636372</v>
      </c>
      <c r="S87" s="147">
        <f>S86/S82</f>
        <v>2.1475384849870494E-2</v>
      </c>
      <c r="T87" s="147">
        <f>T86/T82</f>
        <v>4.2198735829260203E-2</v>
      </c>
      <c r="U87" s="147">
        <f>U86/U82</f>
        <v>0.15968974563704802</v>
      </c>
      <c r="V87" s="147"/>
      <c r="W87" s="147"/>
      <c r="X87" s="151">
        <f>X86/X82</f>
        <v>6.5753368554695532E-2</v>
      </c>
      <c r="Y87" s="151">
        <f>Y86/$N$3</f>
        <v>1.5137922698826281E-2</v>
      </c>
      <c r="Z87" s="145"/>
      <c r="AA87" s="107"/>
      <c r="AB87" s="107"/>
      <c r="AC87" s="107" t="s">
        <v>602</v>
      </c>
      <c r="AD87" s="147" t="s">
        <v>615</v>
      </c>
      <c r="AE87" s="147">
        <f>AE86/AE82</f>
        <v>0.38709677419354838</v>
      </c>
      <c r="AF87" s="147">
        <f>AF86/AF82</f>
        <v>2.9535634195700954E-2</v>
      </c>
      <c r="AG87" s="147">
        <f>AG86/AG82</f>
        <v>2.8133981870439837E-2</v>
      </c>
      <c r="AH87" s="147">
        <f>AH86/AH82</f>
        <v>6.2150349650349643E-2</v>
      </c>
      <c r="AI87" s="147"/>
      <c r="AJ87" s="147"/>
      <c r="AK87" s="151">
        <f t="shared" ref="AK87" si="112">AK86/$N$4</f>
        <v>2.5633556655986003E-2</v>
      </c>
      <c r="AL87" s="151">
        <f t="shared" ref="AL87" si="113">AL86/$N$4</f>
        <v>1.1235487495318559E-2</v>
      </c>
      <c r="AM87" s="145"/>
      <c r="AN87" s="107"/>
    </row>
    <row r="88" spans="2:40" x14ac:dyDescent="0.3">
      <c r="B88" s="115" t="s">
        <v>410</v>
      </c>
      <c r="C88" s="122" t="s">
        <v>9</v>
      </c>
      <c r="D88" s="136">
        <f>'91T_Seeds'!AL129</f>
        <v>77.895500000000013</v>
      </c>
      <c r="E88" s="136">
        <f>'91T_Seeds'!AM129</f>
        <v>786.88400000000001</v>
      </c>
      <c r="F88" s="136">
        <f>'91T_Seeds'!AN129</f>
        <v>15525.892000000002</v>
      </c>
      <c r="G88" s="140">
        <f>'91T_Seeds'!AO129</f>
        <v>12738.239</v>
      </c>
      <c r="H88" s="140">
        <f>'91T_Seeds'!AP129</f>
        <v>11216.472000000002</v>
      </c>
      <c r="I88" s="108">
        <f>$N$2-N88</f>
        <v>3072.7074999999968</v>
      </c>
      <c r="J88" s="108"/>
      <c r="K88" s="108"/>
      <c r="L88" s="108"/>
      <c r="M88" s="115" t="s">
        <v>36</v>
      </c>
      <c r="N88" s="137">
        <f>SUM(D88:H88)</f>
        <v>40345.3825</v>
      </c>
      <c r="O88" s="115" t="s">
        <v>410</v>
      </c>
      <c r="P88" s="122" t="s">
        <v>9</v>
      </c>
      <c r="Q88" s="136">
        <f>'91T_Seeds'!AL134</f>
        <v>0</v>
      </c>
      <c r="R88" s="136">
        <f>'91T_Seeds'!AM134</f>
        <v>10.417999999999999</v>
      </c>
      <c r="S88" s="140">
        <f>'91T_Seeds'!AN134</f>
        <v>1303.0029999999999</v>
      </c>
      <c r="T88" s="140">
        <f>'91T_Seeds'!AO134</f>
        <v>395.07799999999997</v>
      </c>
      <c r="U88" s="136">
        <f>'91T_Seeds'!AP134</f>
        <v>92.042000000000002</v>
      </c>
      <c r="V88" s="108">
        <f>$N$3-AA88</f>
        <v>61.009000000000242</v>
      </c>
      <c r="W88" s="108"/>
      <c r="X88" s="108"/>
      <c r="Y88" s="108"/>
      <c r="Z88" s="115" t="s">
        <v>36</v>
      </c>
      <c r="AA88" s="137">
        <f>SUM(Q88:U88)</f>
        <v>1800.5409999999997</v>
      </c>
      <c r="AB88" s="115" t="s">
        <v>410</v>
      </c>
      <c r="AC88" s="122"/>
      <c r="AD88" s="139"/>
      <c r="AE88" s="136"/>
      <c r="AF88" s="136"/>
      <c r="AG88" s="136"/>
      <c r="AH88" s="136"/>
      <c r="AI88" s="108"/>
      <c r="AJ88" s="108"/>
      <c r="AK88" s="108"/>
      <c r="AL88" s="108"/>
      <c r="AM88" s="115"/>
      <c r="AN88" s="137"/>
    </row>
    <row r="89" spans="2:40" x14ac:dyDescent="0.3">
      <c r="B89" s="115"/>
      <c r="C89" s="141" t="s">
        <v>533</v>
      </c>
      <c r="D89" s="151">
        <f t="shared" ref="D89:I89" si="114">D88/$N$2</f>
        <v>1.7940793802767468E-3</v>
      </c>
      <c r="E89" s="151">
        <f t="shared" si="114"/>
        <v>1.8123413535694455E-2</v>
      </c>
      <c r="F89" s="151">
        <f t="shared" si="114"/>
        <v>0.35759039607684268</v>
      </c>
      <c r="G89" s="151">
        <f t="shared" si="114"/>
        <v>0.29338552202549678</v>
      </c>
      <c r="H89" s="151">
        <f t="shared" si="114"/>
        <v>0.25833637546009053</v>
      </c>
      <c r="I89" s="146">
        <f t="shared" si="114"/>
        <v>7.0770213521598874E-2</v>
      </c>
      <c r="J89" s="146"/>
      <c r="K89" s="146"/>
      <c r="L89" s="146"/>
      <c r="M89" s="145">
        <f>SUM(D89:I89)</f>
        <v>1</v>
      </c>
      <c r="N89" s="137"/>
      <c r="O89" s="115"/>
      <c r="P89" s="141" t="s">
        <v>533</v>
      </c>
      <c r="Q89" s="151">
        <f t="shared" ref="Q89:V89" si="115">Q88/$N$3</f>
        <v>0</v>
      </c>
      <c r="R89" s="151">
        <f t="shared" si="115"/>
        <v>5.5964115924901289E-3</v>
      </c>
      <c r="S89" s="151">
        <f t="shared" si="115"/>
        <v>0.69995595068625605</v>
      </c>
      <c r="T89" s="151">
        <f t="shared" si="115"/>
        <v>0.21223066799172732</v>
      </c>
      <c r="U89" s="151">
        <f t="shared" si="115"/>
        <v>4.9443743117294728E-2</v>
      </c>
      <c r="V89" s="147">
        <f t="shared" si="115"/>
        <v>3.2773226612231872E-2</v>
      </c>
      <c r="W89" s="147"/>
      <c r="X89" s="147"/>
      <c r="Y89" s="146"/>
      <c r="Z89" s="145">
        <f>SUM(Q89:V89)</f>
        <v>1</v>
      </c>
      <c r="AA89" s="137"/>
      <c r="AB89" s="115"/>
      <c r="AC89" s="141"/>
      <c r="AD89" s="151"/>
      <c r="AE89" s="151"/>
      <c r="AF89" s="151"/>
      <c r="AG89" s="151"/>
      <c r="AH89" s="151"/>
      <c r="AI89" s="147"/>
      <c r="AJ89" s="147"/>
      <c r="AK89" s="147"/>
      <c r="AL89" s="147"/>
      <c r="AM89" s="145"/>
      <c r="AN89" s="137"/>
    </row>
    <row r="90" spans="2:40" x14ac:dyDescent="0.3">
      <c r="B90" s="107"/>
      <c r="C90" s="148" t="s">
        <v>394</v>
      </c>
      <c r="D90" s="108">
        <f>'91T_Seeds'!AL130</f>
        <v>1.4244776466443669</v>
      </c>
      <c r="E90" s="108">
        <f>'91T_Seeds'!AM130</f>
        <v>12.625683543767774</v>
      </c>
      <c r="F90" s="108">
        <f>'91T_Seeds'!AN130</f>
        <v>31.540410917458019</v>
      </c>
      <c r="G90" s="108">
        <f>'91T_Seeds'!AO130</f>
        <v>23.144598948214345</v>
      </c>
      <c r="H90" s="108">
        <f>'91T_Seeds'!AP130</f>
        <v>21.116242271867634</v>
      </c>
      <c r="I90" s="107"/>
      <c r="J90" s="107"/>
      <c r="K90" s="107"/>
      <c r="L90" s="107"/>
      <c r="M90" s="107"/>
      <c r="N90" s="107"/>
      <c r="O90" s="107"/>
      <c r="P90" s="148" t="s">
        <v>394</v>
      </c>
      <c r="Q90" s="108">
        <f>'91T_Seeds'!AL135</f>
        <v>0</v>
      </c>
      <c r="R90" s="108">
        <f>'91T_Seeds'!AM135</f>
        <v>0.15700251422727027</v>
      </c>
      <c r="S90" s="108">
        <f>'91T_Seeds'!AN135</f>
        <v>2.6323372744228242</v>
      </c>
      <c r="T90" s="108">
        <f>'91T_Seeds'!AO135</f>
        <v>1.8163612555123263</v>
      </c>
      <c r="U90" s="108">
        <f>'91T_Seeds'!AP135</f>
        <v>1.2935918171794702</v>
      </c>
      <c r="V90" s="107"/>
      <c r="W90" s="107"/>
      <c r="X90" s="107"/>
      <c r="Y90" s="107"/>
      <c r="Z90" s="107"/>
      <c r="AA90" s="107"/>
      <c r="AB90" s="107"/>
      <c r="AC90" s="148"/>
      <c r="AD90" s="108"/>
      <c r="AE90" s="108"/>
      <c r="AF90" s="108"/>
      <c r="AG90" s="108"/>
      <c r="AH90" s="108"/>
      <c r="AI90" s="107"/>
      <c r="AJ90" s="107"/>
      <c r="AK90" s="107"/>
      <c r="AL90" s="107"/>
      <c r="AM90" s="107"/>
      <c r="AN90" s="107"/>
    </row>
    <row r="91" spans="2:40" x14ac:dyDescent="0.3">
      <c r="B91" s="107"/>
      <c r="C91" s="129" t="s">
        <v>538</v>
      </c>
      <c r="D91" s="125">
        <f>1.96*D90</f>
        <v>2.7919761874229589</v>
      </c>
      <c r="E91" s="125">
        <f>1.96*E90</f>
        <v>24.746339745784837</v>
      </c>
      <c r="F91" s="125">
        <f>1.96*F90</f>
        <v>61.819205398217719</v>
      </c>
      <c r="G91" s="125">
        <f>1.96*G90</f>
        <v>45.363413938500116</v>
      </c>
      <c r="H91" s="125">
        <f>1.96*H90</f>
        <v>41.387834852860564</v>
      </c>
      <c r="I91" s="107"/>
      <c r="J91" s="107"/>
      <c r="K91" s="107"/>
      <c r="L91" s="107"/>
      <c r="M91" s="107"/>
      <c r="N91" s="107"/>
      <c r="O91" s="107"/>
      <c r="P91" s="129" t="s">
        <v>538</v>
      </c>
      <c r="Q91" s="125">
        <f>1.96*Q90</f>
        <v>0</v>
      </c>
      <c r="R91" s="125">
        <f>1.96*R90</f>
        <v>0.30772492788544969</v>
      </c>
      <c r="S91" s="125">
        <f>1.96*S90</f>
        <v>5.1593810578687354</v>
      </c>
      <c r="T91" s="125">
        <f>1.96*T90</f>
        <v>3.5600680608041593</v>
      </c>
      <c r="U91" s="125">
        <f>1.96*U90</f>
        <v>2.5354399616717616</v>
      </c>
      <c r="V91" s="107"/>
      <c r="W91" s="107"/>
      <c r="X91" s="107"/>
      <c r="Y91" s="107"/>
      <c r="Z91" s="107"/>
      <c r="AA91" s="107"/>
      <c r="AB91" s="107"/>
      <c r="AC91" s="129"/>
      <c r="AD91" s="125"/>
      <c r="AE91" s="125"/>
      <c r="AF91" s="125"/>
      <c r="AG91" s="125"/>
      <c r="AH91" s="125"/>
      <c r="AI91" s="107"/>
      <c r="AJ91" s="107"/>
      <c r="AK91" s="107"/>
      <c r="AL91" s="107"/>
      <c r="AM91" s="107"/>
      <c r="AN91" s="107"/>
    </row>
    <row r="92" spans="2:40" x14ac:dyDescent="0.3">
      <c r="B92" s="115" t="s">
        <v>409</v>
      </c>
      <c r="C92" s="107" t="s">
        <v>391</v>
      </c>
      <c r="D92" s="146">
        <f>D82/SUM(D82:H82)</f>
        <v>1.9335547217550063E-3</v>
      </c>
      <c r="E92" s="146">
        <f>E82/SUM(D82:H82)</f>
        <v>1.9140977232089521E-2</v>
      </c>
      <c r="F92" s="146">
        <f>F82/SUM(D82:H82)</f>
        <v>0.38680091747803586</v>
      </c>
      <c r="G92" s="146">
        <f>G82/SUM(D82:H82)</f>
        <v>0.31657825505671278</v>
      </c>
      <c r="H92" s="146">
        <f>H82/SUM(D82:H82)</f>
        <v>0.27554629551140675</v>
      </c>
      <c r="I92" s="152">
        <f>SUM(D92:H92)</f>
        <v>0.99999999999999989</v>
      </c>
      <c r="J92" s="107"/>
      <c r="K92" s="107"/>
      <c r="L92" s="107"/>
      <c r="M92" s="107"/>
      <c r="N92" s="107"/>
      <c r="O92" s="115" t="s">
        <v>409</v>
      </c>
      <c r="P92" s="107" t="s">
        <v>391</v>
      </c>
      <c r="Q92" s="146">
        <f>Q82/SUM(Q82:U82)</f>
        <v>0</v>
      </c>
      <c r="R92" s="146">
        <f>R82/SUM(Q82:U82)</f>
        <v>5.4983504948515442E-3</v>
      </c>
      <c r="S92" s="146">
        <f>S82/SUM(Q82:U82)</f>
        <v>0.7287813655903228</v>
      </c>
      <c r="T92" s="146">
        <f>T82/SUM(Q82:U82)</f>
        <v>0.21702933564375129</v>
      </c>
      <c r="U92" s="146">
        <f>U82/SUM(Q82:U82)</f>
        <v>4.869094827107423E-2</v>
      </c>
      <c r="V92" s="152">
        <f>SUM(Q92:U92)</f>
        <v>0.99999999999999989</v>
      </c>
      <c r="W92" s="107"/>
      <c r="X92" s="107"/>
      <c r="Y92" s="107"/>
      <c r="Z92" s="107"/>
      <c r="AA92" s="107"/>
      <c r="AB92" s="115" t="s">
        <v>409</v>
      </c>
      <c r="AC92" s="107" t="s">
        <v>391</v>
      </c>
      <c r="AD92" s="146">
        <f>AD82/SUM(AD82:AH82)</f>
        <v>0</v>
      </c>
      <c r="AE92" s="146">
        <f>AE82/SUM(AD82:AH82)</f>
        <v>6.4791205116415164E-4</v>
      </c>
      <c r="AF92" s="146">
        <f>AF82/SUM(AD82:AH82)</f>
        <v>0.38212180746561886</v>
      </c>
      <c r="AG92" s="146">
        <f>AG82/SUM(AD82:AH82)</f>
        <v>0.37812983321489774</v>
      </c>
      <c r="AH92" s="146">
        <f>AH82/SUM(AD82:AH82)</f>
        <v>0.23910044726831919</v>
      </c>
      <c r="AI92" s="152">
        <f>SUM(AD92:AH92)</f>
        <v>1</v>
      </c>
      <c r="AJ92" s="107"/>
      <c r="AK92" s="107"/>
      <c r="AL92" s="107"/>
      <c r="AM92" s="107"/>
      <c r="AN92" s="107"/>
    </row>
    <row r="93" spans="2:40" x14ac:dyDescent="0.3">
      <c r="B93" s="148" t="s">
        <v>801</v>
      </c>
      <c r="C93" s="90" t="s">
        <v>524</v>
      </c>
      <c r="D93" s="108">
        <f>D86*D92</f>
        <v>8.9716939089432308E-3</v>
      </c>
      <c r="E93" s="108">
        <f>E86*D92</f>
        <v>0.29830882247236234</v>
      </c>
      <c r="F93" s="108">
        <f>F86*D92</f>
        <v>1.1084295797932717</v>
      </c>
      <c r="G93" s="108">
        <f>G86*D92</f>
        <v>1.1729523008582379</v>
      </c>
      <c r="H93" s="108">
        <f>H86*D92</f>
        <v>0.97513031727548427</v>
      </c>
      <c r="I93" s="107"/>
      <c r="J93" s="107"/>
      <c r="K93" s="107"/>
      <c r="L93" s="107"/>
      <c r="M93" s="107"/>
      <c r="N93" s="107"/>
      <c r="O93" s="148" t="s">
        <v>801</v>
      </c>
      <c r="P93" s="90" t="s">
        <v>524</v>
      </c>
      <c r="Q93" s="108">
        <f>Q86*Q92</f>
        <v>0</v>
      </c>
      <c r="R93" s="108">
        <f>R86*Q92</f>
        <v>0</v>
      </c>
      <c r="S93" s="108">
        <f>S86*Q92</f>
        <v>0</v>
      </c>
      <c r="T93" s="108">
        <f>T86*Q92</f>
        <v>0</v>
      </c>
      <c r="U93" s="108">
        <f>U86*Q92</f>
        <v>0</v>
      </c>
      <c r="V93" s="107"/>
      <c r="W93" s="107"/>
      <c r="X93" s="107"/>
      <c r="Y93" s="107"/>
      <c r="Z93" s="107"/>
      <c r="AA93" s="107"/>
      <c r="AB93" s="148" t="s">
        <v>801</v>
      </c>
      <c r="AC93" s="90" t="s">
        <v>524</v>
      </c>
      <c r="AD93" s="108">
        <f>AD86*AD92</f>
        <v>0</v>
      </c>
      <c r="AE93" s="108">
        <f>AE86*AD92</f>
        <v>0</v>
      </c>
      <c r="AF93" s="108">
        <f>AF86*AD92</f>
        <v>0</v>
      </c>
      <c r="AG93" s="108">
        <f>AG86*AD92</f>
        <v>0</v>
      </c>
      <c r="AH93" s="108">
        <f>AH86*AD92</f>
        <v>0</v>
      </c>
      <c r="AI93" s="107"/>
      <c r="AJ93" s="107"/>
      <c r="AK93" s="107"/>
      <c r="AL93" s="107"/>
      <c r="AM93" s="107"/>
      <c r="AN93" s="107"/>
    </row>
    <row r="94" spans="2:40" x14ac:dyDescent="0.3">
      <c r="B94" s="107" t="s">
        <v>799</v>
      </c>
      <c r="C94" s="91" t="s">
        <v>523</v>
      </c>
      <c r="D94" s="108">
        <f>D86*E92</f>
        <v>8.8814134356895391E-2</v>
      </c>
      <c r="E94" s="108">
        <f>E86*E92</f>
        <v>2.9530699673667709</v>
      </c>
      <c r="F94" s="108">
        <f>F86*E92</f>
        <v>10.972756608067609</v>
      </c>
      <c r="G94" s="108">
        <f>G86*E92</f>
        <v>11.61149101830245</v>
      </c>
      <c r="H94" s="108">
        <f>H86*E92</f>
        <v>9.6531776376873815</v>
      </c>
      <c r="I94" s="107"/>
      <c r="J94" s="107"/>
      <c r="K94" s="107"/>
      <c r="L94" s="107"/>
      <c r="M94" s="107"/>
      <c r="N94" s="107"/>
      <c r="O94" s="107" t="s">
        <v>799</v>
      </c>
      <c r="P94" s="91" t="s">
        <v>523</v>
      </c>
      <c r="Q94" s="108">
        <f>Q86*R92</f>
        <v>0</v>
      </c>
      <c r="R94" s="108">
        <f>R86*R92</f>
        <v>8.9073278016595075E-3</v>
      </c>
      <c r="S94" s="108">
        <f>S86*R92</f>
        <v>0.15494351694491687</v>
      </c>
      <c r="T94" s="108">
        <f>T86*R92</f>
        <v>9.0667799660102008E-2</v>
      </c>
      <c r="U94" s="108">
        <f>U86*R92</f>
        <v>7.6976906927921612E-2</v>
      </c>
      <c r="V94" s="107"/>
      <c r="W94" s="107"/>
      <c r="X94" s="107"/>
      <c r="Y94" s="107"/>
      <c r="Z94" s="107"/>
      <c r="AA94" s="107"/>
      <c r="AB94" s="107" t="s">
        <v>799</v>
      </c>
      <c r="AC94" s="91" t="s">
        <v>523</v>
      </c>
      <c r="AD94" s="108">
        <f>AD86*AE92</f>
        <v>0</v>
      </c>
      <c r="AE94" s="108">
        <f>AE86*AE92</f>
        <v>7.77494461396982E-5</v>
      </c>
      <c r="AF94" s="108">
        <f>AF86*AE92</f>
        <v>3.4987250762864223E-3</v>
      </c>
      <c r="AG94" s="108">
        <f>AG86*AE92</f>
        <v>3.2978723404255158E-3</v>
      </c>
      <c r="AH94" s="108">
        <f>AH86*AE92</f>
        <v>4.6066546837771173E-3</v>
      </c>
      <c r="AI94" s="107"/>
      <c r="AJ94" s="107"/>
      <c r="AK94" s="107"/>
      <c r="AL94" s="107"/>
      <c r="AM94" s="107"/>
      <c r="AN94" s="107"/>
    </row>
    <row r="95" spans="2:40" x14ac:dyDescent="0.3">
      <c r="B95" s="107"/>
      <c r="C95" s="92" t="s">
        <v>525</v>
      </c>
      <c r="D95" s="108">
        <f>D86*F92</f>
        <v>1.7947562570980866</v>
      </c>
      <c r="E95" s="108">
        <f>E86*F92</f>
        <v>59.675645548511362</v>
      </c>
      <c r="F95" s="108">
        <f>F86*F92</f>
        <v>221.73749395345823</v>
      </c>
      <c r="G95" s="108">
        <f>G86*F92</f>
        <v>234.64504056970057</v>
      </c>
      <c r="H95" s="108">
        <f>H86*F92</f>
        <v>195.07143870252293</v>
      </c>
      <c r="I95" s="107"/>
      <c r="J95" s="107"/>
      <c r="K95" s="107"/>
      <c r="L95" s="107"/>
      <c r="M95" s="107"/>
      <c r="N95" s="107"/>
      <c r="O95" s="107"/>
      <c r="P95" s="92" t="s">
        <v>525</v>
      </c>
      <c r="Q95" s="108">
        <f>Q86*S92</f>
        <v>0</v>
      </c>
      <c r="R95" s="108">
        <f>R86*S92</f>
        <v>1.1806258122563236</v>
      </c>
      <c r="S95" s="108">
        <f>S86*S92</f>
        <v>20.537058882335344</v>
      </c>
      <c r="T95" s="108">
        <f>T86*S92</f>
        <v>12.01760471858443</v>
      </c>
      <c r="U95" s="108">
        <f>U86*S92</f>
        <v>10.202939118264519</v>
      </c>
      <c r="V95" s="107"/>
      <c r="W95" s="107"/>
      <c r="X95" s="107"/>
      <c r="Y95" s="107"/>
      <c r="Z95" s="107"/>
      <c r="AA95" s="107"/>
      <c r="AB95" s="107"/>
      <c r="AC95" s="92" t="s">
        <v>525</v>
      </c>
      <c r="AD95" s="108">
        <f>AD86*AF92</f>
        <v>0</v>
      </c>
      <c r="AE95" s="108">
        <f>AE86*AF92</f>
        <v>4.5854616895874264E-2</v>
      </c>
      <c r="AF95" s="108">
        <f>AF86*AF92</f>
        <v>2.063457760314344</v>
      </c>
      <c r="AG95" s="108">
        <f>AG86*AF92</f>
        <v>1.9449999999999905</v>
      </c>
      <c r="AH95" s="108">
        <f>AH86*AF92</f>
        <v>2.7168860510805497</v>
      </c>
      <c r="AI95" s="107"/>
      <c r="AJ95" s="107"/>
      <c r="AK95" s="107"/>
      <c r="AL95" s="107"/>
      <c r="AM95" s="107"/>
      <c r="AN95" s="107"/>
    </row>
    <row r="96" spans="2:40" x14ac:dyDescent="0.3">
      <c r="B96" s="107"/>
      <c r="C96" s="124" t="s">
        <v>526</v>
      </c>
      <c r="D96" s="108">
        <f>D86*G92</f>
        <v>1.4689231034631474</v>
      </c>
      <c r="E96" s="108">
        <f>E86*G92</f>
        <v>48.841693190149641</v>
      </c>
      <c r="F96" s="108">
        <f>F86*G92</f>
        <v>181.48165049381066</v>
      </c>
      <c r="G96" s="108">
        <f>G86*G92</f>
        <v>192.04586686505343</v>
      </c>
      <c r="H96" s="108">
        <f>H86*G92</f>
        <v>159.6567455902013</v>
      </c>
      <c r="I96" s="107"/>
      <c r="J96" s="107"/>
      <c r="K96" s="107"/>
      <c r="L96" s="107"/>
      <c r="M96" s="107"/>
      <c r="N96" s="107"/>
      <c r="O96" s="107"/>
      <c r="P96" s="124" t="s">
        <v>526</v>
      </c>
      <c r="Q96" s="108">
        <f>Q86*T92</f>
        <v>0</v>
      </c>
      <c r="R96" s="108">
        <f>R86*T92</f>
        <v>0.35158752374287733</v>
      </c>
      <c r="S96" s="108">
        <f>S86*T92</f>
        <v>6.1158866784409254</v>
      </c>
      <c r="T96" s="108">
        <f>T86*T92</f>
        <v>3.5788137447654607</v>
      </c>
      <c r="U96" s="108">
        <f>U86*T92</f>
        <v>3.0384106990125179</v>
      </c>
      <c r="V96" s="107"/>
      <c r="W96" s="107"/>
      <c r="X96" s="107"/>
      <c r="Y96" s="107"/>
      <c r="Z96" s="107"/>
      <c r="AA96" s="107"/>
      <c r="AB96" s="107"/>
      <c r="AC96" s="124" t="s">
        <v>526</v>
      </c>
      <c r="AD96" s="108">
        <f>AD86*AG92</f>
        <v>0</v>
      </c>
      <c r="AE96" s="108">
        <f>AE86*AG92</f>
        <v>4.5375579985787728E-2</v>
      </c>
      <c r="AF96" s="108">
        <f>AF86*AG92</f>
        <v>2.0419010993604498</v>
      </c>
      <c r="AG96" s="108">
        <f>AG86*AG92</f>
        <v>1.92468085106382</v>
      </c>
      <c r="AH96" s="108">
        <f>AH86*AG92</f>
        <v>2.6885031141579225</v>
      </c>
      <c r="AI96" s="107"/>
      <c r="AJ96" s="107"/>
      <c r="AK96" s="107"/>
      <c r="AL96" s="107"/>
      <c r="AM96" s="107"/>
      <c r="AN96" s="107"/>
    </row>
    <row r="97" spans="2:40" x14ac:dyDescent="0.3">
      <c r="B97" s="107"/>
      <c r="C97" s="123" t="s">
        <v>527</v>
      </c>
      <c r="D97" s="125">
        <f>D86*H92</f>
        <v>1.2785348111729276</v>
      </c>
      <c r="E97" s="125">
        <f>E86*H92</f>
        <v>42.511282471499825</v>
      </c>
      <c r="F97" s="125">
        <f>F86*H92</f>
        <v>157.9596693648686</v>
      </c>
      <c r="G97" s="125">
        <f>G86*H92</f>
        <v>167.15464924608446</v>
      </c>
      <c r="H97" s="125">
        <f>H86*H92</f>
        <v>138.96350775231258</v>
      </c>
      <c r="I97" s="107"/>
      <c r="J97" s="107"/>
      <c r="K97" s="107"/>
      <c r="L97" s="107"/>
      <c r="M97" s="107"/>
      <c r="N97" s="107"/>
      <c r="O97" s="107"/>
      <c r="P97" s="123" t="s">
        <v>527</v>
      </c>
      <c r="Q97" s="125">
        <f>Q86*U92</f>
        <v>0</v>
      </c>
      <c r="R97" s="125">
        <f>R86*U92</f>
        <v>7.8879336199140296E-2</v>
      </c>
      <c r="S97" s="125">
        <f>S86*U92</f>
        <v>1.372110922278875</v>
      </c>
      <c r="T97" s="125">
        <f>T86*U92</f>
        <v>0.80291373699001445</v>
      </c>
      <c r="U97" s="125">
        <f>U86*U92</f>
        <v>0.68167327579503922</v>
      </c>
      <c r="V97" s="107"/>
      <c r="W97" s="107"/>
      <c r="X97" s="107"/>
      <c r="Y97" s="107"/>
      <c r="Z97" s="107"/>
      <c r="AA97" s="107"/>
      <c r="AB97" s="107"/>
      <c r="AC97" s="123" t="s">
        <v>527</v>
      </c>
      <c r="AD97" s="125">
        <f>AD86*AH92</f>
        <v>0</v>
      </c>
      <c r="AE97" s="125">
        <f>AE86*AH92</f>
        <v>2.8692053672198303E-2</v>
      </c>
      <c r="AF97" s="125">
        <f>AF86*AH92</f>
        <v>1.291142415248925</v>
      </c>
      <c r="AG97" s="125">
        <f>AG86*AH92</f>
        <v>1.2170212765957387</v>
      </c>
      <c r="AH97" s="125">
        <f>AH86*AH92</f>
        <v>1.7000041800777492</v>
      </c>
      <c r="AI97" s="107"/>
      <c r="AJ97" s="107"/>
      <c r="AK97" s="107"/>
      <c r="AL97" s="107"/>
      <c r="AM97" s="107"/>
      <c r="AN97" s="107"/>
    </row>
    <row r="98" spans="2:40" x14ac:dyDescent="0.3">
      <c r="B98" s="107"/>
      <c r="C98" s="107" t="s">
        <v>36</v>
      </c>
      <c r="D98" s="108">
        <f>SUM(D93:D97)</f>
        <v>4.6400000000000006</v>
      </c>
      <c r="E98" s="108">
        <f>SUM(E93:E97)</f>
        <v>154.27999999999997</v>
      </c>
      <c r="F98" s="108">
        <f>SUM(F93:F97)</f>
        <v>573.2599999999984</v>
      </c>
      <c r="G98" s="108">
        <f t="shared" ref="G98" si="116">SUM(G93:G97)</f>
        <v>606.62999999999909</v>
      </c>
      <c r="H98" s="108">
        <f t="shared" ref="H98" si="117">SUM(H93:H97)</f>
        <v>504.31999999999971</v>
      </c>
      <c r="I98" s="107"/>
      <c r="J98" s="107"/>
      <c r="K98" s="107"/>
      <c r="L98" s="107"/>
      <c r="M98" s="107"/>
      <c r="N98" s="107"/>
      <c r="O98" s="107"/>
      <c r="P98" s="107" t="s">
        <v>36</v>
      </c>
      <c r="Q98" s="108">
        <f>SUM(Q93:Q97)</f>
        <v>0</v>
      </c>
      <c r="R98" s="108">
        <f>SUM(R93:R97)</f>
        <v>1.6200000000000008</v>
      </c>
      <c r="S98" s="108">
        <f>SUM(S93:S97)</f>
        <v>28.180000000000064</v>
      </c>
      <c r="T98" s="108">
        <f t="shared" ref="T98" si="118">SUM(T93:T97)</f>
        <v>16.490000000000006</v>
      </c>
      <c r="U98" s="108">
        <f t="shared" ref="U98" si="119">SUM(U93:U97)</f>
        <v>13.999999999999996</v>
      </c>
      <c r="V98" s="107"/>
      <c r="W98" s="107"/>
      <c r="X98" s="107"/>
      <c r="Y98" s="107"/>
      <c r="Z98" s="107"/>
      <c r="AA98" s="107"/>
      <c r="AB98" s="107"/>
      <c r="AC98" s="107" t="s">
        <v>36</v>
      </c>
      <c r="AD98" s="108">
        <f>SUM(AD93:AD97)</f>
        <v>0</v>
      </c>
      <c r="AE98" s="108">
        <f>SUM(AE93:AE97)</f>
        <v>0.12</v>
      </c>
      <c r="AF98" s="108">
        <f>SUM(AF93:AF97)</f>
        <v>5.4000000000000048</v>
      </c>
      <c r="AG98" s="108">
        <f t="shared" ref="AG98" si="120">SUM(AG93:AG97)</f>
        <v>5.089999999999975</v>
      </c>
      <c r="AH98" s="108">
        <f t="shared" ref="AH98" si="121">SUM(AH93:AH97)</f>
        <v>7.1099999999999985</v>
      </c>
      <c r="AI98" s="107"/>
      <c r="AJ98" s="107"/>
      <c r="AK98" s="107"/>
      <c r="AL98" s="107"/>
      <c r="AM98" s="107"/>
      <c r="AN98" s="107"/>
    </row>
    <row r="99" spans="2:40" x14ac:dyDescent="0.3">
      <c r="B99" s="107" t="s">
        <v>800</v>
      </c>
      <c r="C99" s="212" t="s">
        <v>529</v>
      </c>
      <c r="D99" s="125">
        <f>I84*D92</f>
        <v>5.9412529290838094</v>
      </c>
      <c r="E99" s="125">
        <f>I84*E92</f>
        <v>58.814672150813635</v>
      </c>
      <c r="F99" s="125">
        <f>I84*F92</f>
        <v>1188.5270471439324</v>
      </c>
      <c r="G99" s="125">
        <f>I84*G92</f>
        <v>972.75317009530932</v>
      </c>
      <c r="H99" s="125">
        <f>I84*H92</f>
        <v>846.67385768085239</v>
      </c>
      <c r="I99" s="230">
        <f>SUM(D99:H99)</f>
        <v>3072.7099999999914</v>
      </c>
      <c r="J99" s="107"/>
      <c r="K99" s="141"/>
      <c r="L99" s="141"/>
      <c r="M99" s="107"/>
      <c r="N99" s="107"/>
      <c r="O99" s="107" t="s">
        <v>800</v>
      </c>
      <c r="P99" s="212" t="s">
        <v>529</v>
      </c>
      <c r="Q99" s="125">
        <f>V84*Q92</f>
        <v>0</v>
      </c>
      <c r="R99" s="125">
        <f>V84*R92</f>
        <v>0.33545436369089143</v>
      </c>
      <c r="S99" s="125">
        <f>V84*S92</f>
        <v>44.462951114665422</v>
      </c>
      <c r="T99" s="125">
        <f>V84*T92</f>
        <v>13.240959767625215</v>
      </c>
      <c r="U99" s="125">
        <f>V84*U92</f>
        <v>2.9706347540182274</v>
      </c>
      <c r="V99" s="230">
        <f>SUM(Q99:U99)</f>
        <v>61.009999999999756</v>
      </c>
      <c r="W99" s="107"/>
      <c r="X99" s="141"/>
      <c r="Y99" s="141"/>
      <c r="Z99" s="107"/>
      <c r="AA99" s="107"/>
      <c r="AB99" s="107" t="s">
        <v>800</v>
      </c>
      <c r="AC99" s="212" t="s">
        <v>529</v>
      </c>
      <c r="AD99" s="125">
        <f>AI84*AD92</f>
        <v>0</v>
      </c>
      <c r="AE99" s="125">
        <f>AI84*AE92</f>
        <v>1.3994900305145468E-3</v>
      </c>
      <c r="AF99" s="125">
        <f>AI84*AF92</f>
        <v>0.82538310412572458</v>
      </c>
      <c r="AG99" s="125">
        <f>AI84*AG92</f>
        <v>0.81676043974416712</v>
      </c>
      <c r="AH99" s="125">
        <f>AI84*AH92</f>
        <v>0.51645696609956182</v>
      </c>
      <c r="AI99" s="230">
        <f>SUM(AD99:AH99)</f>
        <v>2.1599999999999682</v>
      </c>
      <c r="AJ99" s="107"/>
      <c r="AK99" s="141"/>
      <c r="AL99" s="141"/>
      <c r="AM99" s="107"/>
      <c r="AN99" s="107"/>
    </row>
    <row r="100" spans="2:40" x14ac:dyDescent="0.3">
      <c r="B100" s="107" t="s">
        <v>802</v>
      </c>
      <c r="C100" s="107" t="s">
        <v>803</v>
      </c>
      <c r="D100" s="108">
        <f>SUM(D93:H93)+D99</f>
        <v>9.5050456433921084</v>
      </c>
      <c r="E100" s="108">
        <f>SUM(D94:H94)+E99</f>
        <v>94.093981516594738</v>
      </c>
      <c r="F100" s="108">
        <f>SUM(D95:H95)+F99</f>
        <v>1901.4514221752236</v>
      </c>
      <c r="G100" s="108">
        <f>SUM(D96:H96)+G99</f>
        <v>1556.2480493379876</v>
      </c>
      <c r="H100" s="108">
        <f>SUM(D97:H97)+H99</f>
        <v>1354.5415013267907</v>
      </c>
      <c r="I100" s="107"/>
      <c r="J100" s="107"/>
      <c r="K100" s="108">
        <f>D100+E100+G100+H100</f>
        <v>3014.388577824765</v>
      </c>
      <c r="L100" s="108">
        <f>F100</f>
        <v>1901.4514221752236</v>
      </c>
      <c r="M100" s="107"/>
      <c r="N100" s="107"/>
      <c r="O100" s="107" t="s">
        <v>802</v>
      </c>
      <c r="P100" s="107" t="s">
        <v>803</v>
      </c>
      <c r="Q100" s="108">
        <f>SUM(Q93:U93)+Q99</f>
        <v>0</v>
      </c>
      <c r="R100" s="108">
        <f>SUM(Q94:U94)+R99</f>
        <v>0.66694991502549139</v>
      </c>
      <c r="S100" s="108">
        <f>SUM(Q95:U95)+S99</f>
        <v>88.401179646106044</v>
      </c>
      <c r="T100" s="108">
        <f>SUM(Q96:U96)+T99</f>
        <v>26.325658413586996</v>
      </c>
      <c r="U100" s="108">
        <f>SUM(Q97:U97)+U99</f>
        <v>5.9062120252812962</v>
      </c>
      <c r="V100" s="107"/>
      <c r="W100" s="107"/>
      <c r="X100" s="108">
        <f>Q100+R100+T100+U100</f>
        <v>32.898820353893782</v>
      </c>
      <c r="Y100" s="108">
        <f>S100</f>
        <v>88.401179646106044</v>
      </c>
      <c r="Z100" s="107"/>
      <c r="AA100" s="107"/>
      <c r="AB100" s="107" t="s">
        <v>802</v>
      </c>
      <c r="AC100" s="107" t="s">
        <v>803</v>
      </c>
      <c r="AD100" s="108">
        <f>SUM(AD93:AH93)+AD99</f>
        <v>0</v>
      </c>
      <c r="AE100" s="108">
        <f>SUM(AD94:AH94)+AE99</f>
        <v>1.2880491577143301E-2</v>
      </c>
      <c r="AF100" s="108">
        <f>SUM(AD95:AH95)+AF99</f>
        <v>7.5965815324164838</v>
      </c>
      <c r="AG100" s="108">
        <f>SUM(AD96:AH96)+AG99</f>
        <v>7.5172210843121476</v>
      </c>
      <c r="AH100" s="108">
        <f>SUM(AD97:AH97)+AH99</f>
        <v>4.7533168916941735</v>
      </c>
      <c r="AI100" s="107"/>
      <c r="AJ100" s="107"/>
      <c r="AK100" s="108">
        <f>AD100+AE100+AG100+AH100</f>
        <v>12.283418467583465</v>
      </c>
      <c r="AL100" s="108">
        <f>AF100</f>
        <v>7.5965815324164838</v>
      </c>
      <c r="AM100" s="107"/>
      <c r="AN100" s="107"/>
    </row>
    <row r="101" spans="2:40" x14ac:dyDescent="0.3">
      <c r="B101" s="107" t="s">
        <v>802</v>
      </c>
      <c r="C101" s="107" t="s">
        <v>804</v>
      </c>
      <c r="D101" s="146">
        <f>D100/$N$2</f>
        <v>2.1891901839514612E-4</v>
      </c>
      <c r="E101" s="146">
        <f t="shared" ref="E101" si="122">E100/$N$2</f>
        <v>2.1671607736912135E-3</v>
      </c>
      <c r="F101" s="146">
        <f t="shared" ref="F101" si="123">F100/$N$2</f>
        <v>4.3793990527340648E-2</v>
      </c>
      <c r="G101" s="146">
        <f t="shared" ref="G101" si="124">G100/$N$2</f>
        <v>3.584330976645881E-2</v>
      </c>
      <c r="H101" s="146">
        <f t="shared" ref="H101" si="125">H100/$N$2</f>
        <v>3.119762986641722E-2</v>
      </c>
      <c r="I101" s="107"/>
      <c r="J101" s="107"/>
      <c r="K101" s="152">
        <f>K100/$N$2</f>
        <v>6.9427019424962391E-2</v>
      </c>
      <c r="L101" s="147">
        <f>L100/$N$2</f>
        <v>4.3793990527340648E-2</v>
      </c>
      <c r="M101" s="107"/>
      <c r="N101" s="107"/>
      <c r="O101" s="107" t="s">
        <v>802</v>
      </c>
      <c r="P101" s="107" t="s">
        <v>804</v>
      </c>
      <c r="Q101" s="146">
        <f>Q100/$N$3</f>
        <v>0</v>
      </c>
      <c r="R101" s="146">
        <f t="shared" ref="R101" si="126">R100/$N$3</f>
        <v>3.582766592492769E-4</v>
      </c>
      <c r="S101" s="146">
        <f t="shared" ref="S101" si="127">S100/$N$3</f>
        <v>4.7487942653222343E-2</v>
      </c>
      <c r="T101" s="146">
        <f t="shared" ref="T101" si="128">T100/$N$3</f>
        <v>1.4141794963115144E-2</v>
      </c>
      <c r="U101" s="146">
        <f t="shared" ref="U101" si="129">U100/$N$3</f>
        <v>3.1727388602408187E-3</v>
      </c>
      <c r="V101" s="107"/>
      <c r="W101" s="107"/>
      <c r="X101" s="152">
        <f>X100/$N$3</f>
        <v>1.7672810482605238E-2</v>
      </c>
      <c r="Y101" s="152">
        <f>Y100/$N$3</f>
        <v>4.7487942653222343E-2</v>
      </c>
      <c r="Z101" s="107"/>
      <c r="AA101" s="107"/>
      <c r="AB101" s="107" t="s">
        <v>802</v>
      </c>
      <c r="AC101" s="107" t="s">
        <v>804</v>
      </c>
      <c r="AD101" s="146">
        <f>AD100/$N$4</f>
        <v>0</v>
      </c>
      <c r="AE101" s="146">
        <f t="shared" ref="AE101" si="130">AE100/$N$4</f>
        <v>2.6799741120101746E-5</v>
      </c>
      <c r="AF101" s="146">
        <f t="shared" ref="AF101" si="131">AF100/$N$4</f>
        <v>1.5805795706413557E-2</v>
      </c>
      <c r="AG101" s="146">
        <f t="shared" ref="AG101" si="132">AG100/$N$4</f>
        <v>1.5640674720802605E-2</v>
      </c>
      <c r="AH101" s="146">
        <f t="shared" ref="AH101" si="133">AH100/$N$4</f>
        <v>9.8899689810956135E-3</v>
      </c>
      <c r="AI101" s="107"/>
      <c r="AJ101" s="107"/>
      <c r="AK101" s="152">
        <f>AK100/$N$4</f>
        <v>2.5557443443018319E-2</v>
      </c>
      <c r="AL101" s="152">
        <f>AL100/$N$4</f>
        <v>1.5805795706413557E-2</v>
      </c>
      <c r="AM101" s="107"/>
      <c r="AN101" s="107"/>
    </row>
    <row r="104" spans="2:40" x14ac:dyDescent="0.3">
      <c r="D104" t="s">
        <v>488</v>
      </c>
      <c r="E104" t="s">
        <v>489</v>
      </c>
      <c r="F104" t="s">
        <v>490</v>
      </c>
      <c r="G104" t="s">
        <v>491</v>
      </c>
      <c r="H104" t="s">
        <v>492</v>
      </c>
      <c r="Q104" t="s">
        <v>488</v>
      </c>
      <c r="R104" t="s">
        <v>489</v>
      </c>
      <c r="S104" t="s">
        <v>490</v>
      </c>
      <c r="T104" t="s">
        <v>491</v>
      </c>
      <c r="U104" t="s">
        <v>492</v>
      </c>
      <c r="AD104" t="s">
        <v>488</v>
      </c>
      <c r="AE104" t="s">
        <v>489</v>
      </c>
      <c r="AF104" t="s">
        <v>490</v>
      </c>
      <c r="AG104" t="s">
        <v>491</v>
      </c>
      <c r="AH104" t="s">
        <v>492</v>
      </c>
    </row>
    <row r="105" spans="2:40" x14ac:dyDescent="0.3">
      <c r="B105" s="118" t="s">
        <v>375</v>
      </c>
      <c r="C105" s="8">
        <v>20</v>
      </c>
      <c r="D105" s="90" t="s">
        <v>524</v>
      </c>
      <c r="E105" s="91" t="s">
        <v>523</v>
      </c>
      <c r="F105" s="92" t="s">
        <v>525</v>
      </c>
      <c r="G105" s="124" t="s">
        <v>526</v>
      </c>
      <c r="H105" s="123" t="s">
        <v>527</v>
      </c>
      <c r="I105" s="212" t="s">
        <v>529</v>
      </c>
      <c r="J105" s="213" t="s">
        <v>599</v>
      </c>
      <c r="K105" s="214" t="s">
        <v>600</v>
      </c>
      <c r="L105" s="215" t="s">
        <v>525</v>
      </c>
      <c r="Q105" s="90" t="s">
        <v>524</v>
      </c>
      <c r="R105" s="91" t="s">
        <v>523</v>
      </c>
      <c r="S105" s="92" t="s">
        <v>525</v>
      </c>
      <c r="T105" s="124" t="s">
        <v>526</v>
      </c>
      <c r="U105" s="123" t="s">
        <v>527</v>
      </c>
      <c r="V105" s="212" t="s">
        <v>529</v>
      </c>
      <c r="W105" s="213" t="s">
        <v>599</v>
      </c>
      <c r="X105" s="214" t="s">
        <v>600</v>
      </c>
      <c r="Y105" s="215" t="s">
        <v>525</v>
      </c>
      <c r="AD105" s="90" t="s">
        <v>524</v>
      </c>
      <c r="AE105" s="91" t="s">
        <v>523</v>
      </c>
      <c r="AF105" s="92" t="s">
        <v>525</v>
      </c>
      <c r="AG105" s="124" t="s">
        <v>526</v>
      </c>
      <c r="AH105" s="123" t="s">
        <v>527</v>
      </c>
      <c r="AI105" s="212" t="s">
        <v>529</v>
      </c>
      <c r="AJ105" s="213" t="s">
        <v>599</v>
      </c>
      <c r="AK105" s="214" t="s">
        <v>600</v>
      </c>
      <c r="AL105" s="215" t="s">
        <v>525</v>
      </c>
    </row>
    <row r="106" spans="2:40" x14ac:dyDescent="0.3">
      <c r="B106" s="119" t="s">
        <v>610</v>
      </c>
      <c r="C106" s="107"/>
      <c r="D106" s="116"/>
      <c r="E106" s="116"/>
      <c r="F106" s="116"/>
      <c r="G106" s="116"/>
      <c r="H106" s="116"/>
      <c r="I106" s="107"/>
      <c r="J106" s="107"/>
      <c r="K106" s="107"/>
      <c r="L106" s="107"/>
      <c r="M106" s="107"/>
      <c r="N106" s="142"/>
      <c r="O106" s="119" t="s">
        <v>436</v>
      </c>
      <c r="P106" s="107"/>
      <c r="Q106" s="116"/>
      <c r="R106" s="116"/>
      <c r="S106" s="116"/>
      <c r="T106" s="116"/>
      <c r="U106" s="116"/>
      <c r="V106" s="107"/>
      <c r="W106" s="107"/>
      <c r="X106" s="107"/>
      <c r="Y106" s="107"/>
      <c r="Z106" s="107"/>
      <c r="AA106" s="142"/>
      <c r="AB106" s="119" t="s">
        <v>627</v>
      </c>
      <c r="AC106" s="107"/>
      <c r="AD106" s="116"/>
      <c r="AE106" s="116"/>
      <c r="AF106" s="116"/>
      <c r="AG106" s="116"/>
      <c r="AH106" s="116"/>
      <c r="AI106" s="107"/>
      <c r="AJ106" s="107"/>
      <c r="AK106" s="107"/>
      <c r="AL106" s="107"/>
      <c r="AM106" s="107"/>
      <c r="AN106" s="107"/>
    </row>
    <row r="107" spans="2:40" x14ac:dyDescent="0.3">
      <c r="B107" s="115" t="s">
        <v>409</v>
      </c>
      <c r="C107" s="122" t="s">
        <v>9</v>
      </c>
      <c r="D107" s="136">
        <f>'01T_Seeds'!AL127</f>
        <v>40.92</v>
      </c>
      <c r="E107" s="136">
        <f>'01T_Seeds'!AM127</f>
        <v>235.73</v>
      </c>
      <c r="F107" s="136">
        <f>'01T_Seeds'!AN127</f>
        <v>16056.11</v>
      </c>
      <c r="G107" s="136">
        <f>'01T_Seeds'!AO127</f>
        <v>14772.43</v>
      </c>
      <c r="H107" s="136">
        <f>'01T_Seeds'!AP127</f>
        <v>11804.65</v>
      </c>
      <c r="I107" s="108">
        <f>$N$2-N107</f>
        <v>508.24999999999272</v>
      </c>
      <c r="J107" s="108"/>
      <c r="K107" s="108">
        <f>D107+E107+G107+H107</f>
        <v>26853.73</v>
      </c>
      <c r="L107" s="108">
        <f>F107</f>
        <v>16056.11</v>
      </c>
      <c r="M107" s="115" t="s">
        <v>36</v>
      </c>
      <c r="N107" s="137">
        <f>SUM(D107:H107)</f>
        <v>42909.840000000004</v>
      </c>
      <c r="O107" s="115" t="s">
        <v>409</v>
      </c>
      <c r="P107" s="122" t="s">
        <v>9</v>
      </c>
      <c r="Q107" s="136">
        <f>'01T_Seeds'!AL132</f>
        <v>0</v>
      </c>
      <c r="R107" s="136">
        <f>'01T_Seeds'!AM132</f>
        <v>5.9</v>
      </c>
      <c r="S107" s="136">
        <f>'01T_Seeds'!AN132</f>
        <v>1279.71</v>
      </c>
      <c r="T107" s="136">
        <f>'01T_Seeds'!AO132</f>
        <v>417.34</v>
      </c>
      <c r="U107" s="136">
        <f>'01T_Seeds'!AP132</f>
        <v>150.27000000000001</v>
      </c>
      <c r="V107" s="108">
        <f>$N$3-AA107</f>
        <v>8.3299999999999272</v>
      </c>
      <c r="W107" s="108"/>
      <c r="X107" s="108">
        <f>Q107+R107+T107+U107</f>
        <v>573.51</v>
      </c>
      <c r="Y107" s="108">
        <f>S107</f>
        <v>1279.71</v>
      </c>
      <c r="Z107" s="115" t="s">
        <v>36</v>
      </c>
      <c r="AA107" s="137">
        <f>SUM(Q107:U107)</f>
        <v>1853.22</v>
      </c>
      <c r="AB107" s="115" t="s">
        <v>409</v>
      </c>
      <c r="AC107" s="122" t="s">
        <v>9</v>
      </c>
      <c r="AD107" s="136">
        <v>0</v>
      </c>
      <c r="AE107" s="136">
        <v>3.69</v>
      </c>
      <c r="AF107" s="136">
        <v>184.69</v>
      </c>
      <c r="AG107" s="136">
        <v>172.78</v>
      </c>
      <c r="AH107" s="136">
        <v>117.3</v>
      </c>
      <c r="AI107" s="108">
        <f>$N$4-AN107</f>
        <v>2.160000000000025</v>
      </c>
      <c r="AJ107" s="108"/>
      <c r="AK107" s="108">
        <f>AD107+AE107+AG107+AH107</f>
        <v>293.77</v>
      </c>
      <c r="AL107" s="108">
        <f>AF107</f>
        <v>184.69</v>
      </c>
      <c r="AM107" s="115" t="s">
        <v>36</v>
      </c>
      <c r="AN107" s="137">
        <f>SUM(AD107:AH107)</f>
        <v>478.46</v>
      </c>
    </row>
    <row r="108" spans="2:40" x14ac:dyDescent="0.3">
      <c r="B108" s="107"/>
      <c r="C108" s="141" t="s">
        <v>534</v>
      </c>
      <c r="D108" s="151">
        <f t="shared" ref="D108:I108" si="134">D107/$N$2</f>
        <v>9.4246430462509995E-4</v>
      </c>
      <c r="E108" s="151">
        <f t="shared" si="134"/>
        <v>5.4293037763752392E-3</v>
      </c>
      <c r="F108" s="151">
        <f t="shared" si="134"/>
        <v>0.36980231051158635</v>
      </c>
      <c r="G108" s="151">
        <f t="shared" si="134"/>
        <v>0.34023675385075669</v>
      </c>
      <c r="H108" s="151">
        <f t="shared" si="134"/>
        <v>0.2718832173409747</v>
      </c>
      <c r="I108" s="151">
        <f t="shared" si="134"/>
        <v>1.1705950215681823E-2</v>
      </c>
      <c r="J108" s="151"/>
      <c r="K108" s="151">
        <f>K107/$N$2</f>
        <v>0.61849173927273171</v>
      </c>
      <c r="L108" s="151">
        <f>L107/$N$2</f>
        <v>0.36980231051158635</v>
      </c>
      <c r="M108" s="145">
        <f>SUM(D108:I108)</f>
        <v>0.99999999999999978</v>
      </c>
      <c r="N108" s="142"/>
      <c r="O108" s="107"/>
      <c r="P108" s="141" t="s">
        <v>533</v>
      </c>
      <c r="Q108" s="151">
        <f t="shared" ref="Q108:V108" si="135">Q107/$N$3</f>
        <v>0</v>
      </c>
      <c r="R108" s="151">
        <f t="shared" si="135"/>
        <v>3.1694018425505628E-3</v>
      </c>
      <c r="S108" s="151">
        <f t="shared" si="135"/>
        <v>0.68744325964921704</v>
      </c>
      <c r="T108" s="151">
        <f t="shared" si="135"/>
        <v>0.22418951948644947</v>
      </c>
      <c r="U108" s="151">
        <f t="shared" si="135"/>
        <v>8.0723053369503917E-2</v>
      </c>
      <c r="V108" s="151">
        <f t="shared" si="135"/>
        <v>4.474765652278976E-3</v>
      </c>
      <c r="W108" s="151"/>
      <c r="X108" s="151">
        <f>X107/$N$3</f>
        <v>0.30808197469850396</v>
      </c>
      <c r="Y108" s="151">
        <f>Y107/$N$3</f>
        <v>0.68744325964921704</v>
      </c>
      <c r="Z108" s="145">
        <f>SUM(Q108:V108)</f>
        <v>1</v>
      </c>
      <c r="AA108" s="142"/>
      <c r="AB108" s="107"/>
      <c r="AC108" s="141" t="s">
        <v>533</v>
      </c>
      <c r="AD108" s="151">
        <f>AD107/$N$4</f>
        <v>0</v>
      </c>
      <c r="AE108" s="151">
        <f t="shared" ref="AE108" si="136">AE107/$N$4</f>
        <v>7.6775831218010068E-3</v>
      </c>
      <c r="AF108" s="151">
        <f t="shared" ref="AF108" si="137">AF107/$N$4</f>
        <v>0.38427447879821897</v>
      </c>
      <c r="AG108" s="151">
        <f t="shared" ref="AG108" si="138">AG107/$N$4</f>
        <v>0.35949398693354417</v>
      </c>
      <c r="AH108" s="151">
        <f t="shared" ref="AH108" si="139">AH107/$N$4</f>
        <v>0.24405975614830844</v>
      </c>
      <c r="AI108" s="151">
        <f t="shared" ref="AI108" si="140">AI107/$N$4</f>
        <v>4.4941949981274704E-3</v>
      </c>
      <c r="AJ108" s="151"/>
      <c r="AK108" s="151">
        <f t="shared" ref="AK108" si="141">AK107/$N$4</f>
        <v>0.61123132620365361</v>
      </c>
      <c r="AL108" s="151">
        <f t="shared" ref="AL108" si="142">AL107/$N$4</f>
        <v>0.38427447879821897</v>
      </c>
      <c r="AM108" s="145">
        <f>SUM(AD108:AI108)</f>
        <v>1</v>
      </c>
      <c r="AN108" s="107"/>
    </row>
    <row r="109" spans="2:40" x14ac:dyDescent="0.3">
      <c r="B109" s="107" t="s">
        <v>598</v>
      </c>
      <c r="C109" s="107" t="s">
        <v>9</v>
      </c>
      <c r="D109" s="108">
        <v>33.04</v>
      </c>
      <c r="E109" s="108">
        <v>197.28</v>
      </c>
      <c r="F109" s="108">
        <v>15443.8</v>
      </c>
      <c r="G109" s="108">
        <v>13939.54</v>
      </c>
      <c r="H109" s="108">
        <v>11037.96</v>
      </c>
      <c r="I109" s="108">
        <f>I107</f>
        <v>508.24999999999272</v>
      </c>
      <c r="J109" s="108">
        <f>SUM(D107:H107)-SUM(D109:H109)</f>
        <v>2258.2200000000084</v>
      </c>
      <c r="K109" s="108">
        <f>D109+E109+G109+H109</f>
        <v>25207.82</v>
      </c>
      <c r="L109" s="108">
        <f>F109</f>
        <v>15443.8</v>
      </c>
      <c r="M109" s="115" t="s">
        <v>609</v>
      </c>
      <c r="N109" s="196">
        <f>SUM(D109:H109)</f>
        <v>40651.619999999995</v>
      </c>
      <c r="O109" s="107" t="s">
        <v>598</v>
      </c>
      <c r="P109" s="122" t="s">
        <v>9</v>
      </c>
      <c r="Q109" s="108">
        <v>0</v>
      </c>
      <c r="R109" s="108">
        <v>4.9000000000000004</v>
      </c>
      <c r="S109" s="108">
        <v>1249.8499999999999</v>
      </c>
      <c r="T109" s="108">
        <v>394.51</v>
      </c>
      <c r="U109" s="108">
        <v>125.86</v>
      </c>
      <c r="V109" s="108">
        <f>V107</f>
        <v>8.3299999999999272</v>
      </c>
      <c r="W109" s="108">
        <f>SUM(Q107:U107)-SUM(Q109:U109)</f>
        <v>78.100000000000136</v>
      </c>
      <c r="X109" s="108">
        <f>Q109+R109+T109+U109</f>
        <v>525.27</v>
      </c>
      <c r="Y109" s="108">
        <f>S109</f>
        <v>1249.8499999999999</v>
      </c>
      <c r="Z109" s="115" t="s">
        <v>609</v>
      </c>
      <c r="AA109" s="196">
        <f>SUM(Q109:U109)</f>
        <v>1775.12</v>
      </c>
      <c r="AB109" s="107" t="s">
        <v>598</v>
      </c>
      <c r="AC109" s="122" t="s">
        <v>9</v>
      </c>
      <c r="AD109" s="108">
        <v>0</v>
      </c>
      <c r="AE109" s="108">
        <v>2.3199999999999998</v>
      </c>
      <c r="AF109" s="108">
        <v>176.93</v>
      </c>
      <c r="AG109" s="108">
        <v>163.49</v>
      </c>
      <c r="AH109" s="108">
        <v>109.83</v>
      </c>
      <c r="AI109" s="108">
        <f>AI107</f>
        <v>2.160000000000025</v>
      </c>
      <c r="AJ109" s="108">
        <f>SUM(AD107:AH107)-SUM(AD109:AH109)</f>
        <v>25.889999999999986</v>
      </c>
      <c r="AK109" s="108">
        <f>AD109+AE109+AG109+AH109</f>
        <v>275.64</v>
      </c>
      <c r="AL109" s="108">
        <f>AF109</f>
        <v>176.93</v>
      </c>
      <c r="AM109" s="115" t="s">
        <v>609</v>
      </c>
      <c r="AN109" s="196">
        <f>SUM(AD109:AH109)</f>
        <v>452.57</v>
      </c>
    </row>
    <row r="110" spans="2:40" x14ac:dyDescent="0.3">
      <c r="B110" s="107"/>
      <c r="C110" s="141" t="s">
        <v>533</v>
      </c>
      <c r="D110" s="151">
        <f t="shared" ref="D110:L110" si="143">D109/$N$2</f>
        <v>7.6097313354871209E-4</v>
      </c>
      <c r="E110" s="151">
        <f t="shared" si="143"/>
        <v>4.5437282017702762E-3</v>
      </c>
      <c r="F110" s="151">
        <f t="shared" si="143"/>
        <v>0.35569966343521792</v>
      </c>
      <c r="G110" s="151">
        <f t="shared" si="143"/>
        <v>0.32105373589671959</v>
      </c>
      <c r="H110" s="151">
        <f t="shared" si="143"/>
        <v>0.25422490947897525</v>
      </c>
      <c r="I110" s="151">
        <f t="shared" si="143"/>
        <v>1.1705950215681823E-2</v>
      </c>
      <c r="J110" s="151">
        <f t="shared" si="143"/>
        <v>5.2011039638086537E-2</v>
      </c>
      <c r="K110" s="151">
        <f t="shared" si="143"/>
        <v>0.58058334671101386</v>
      </c>
      <c r="L110" s="151">
        <f t="shared" si="143"/>
        <v>0.35569966343521792</v>
      </c>
      <c r="M110" s="145">
        <f>SUM(D110:J110)</f>
        <v>1</v>
      </c>
      <c r="N110" s="195">
        <f>N109/N107</f>
        <v>0.94737291026953241</v>
      </c>
      <c r="O110" s="107"/>
      <c r="P110" s="141" t="s">
        <v>533</v>
      </c>
      <c r="Q110" s="151">
        <f t="shared" ref="Q110:Y110" si="144">Q109/$N$3</f>
        <v>0</v>
      </c>
      <c r="R110" s="151">
        <f t="shared" si="144"/>
        <v>2.6322150895758912E-3</v>
      </c>
      <c r="S110" s="151">
        <f t="shared" si="144"/>
        <v>0.67140286320539333</v>
      </c>
      <c r="T110" s="151">
        <f t="shared" si="144"/>
        <v>0.21192554591603771</v>
      </c>
      <c r="U110" s="151">
        <f t="shared" si="144"/>
        <v>6.7610324729392171E-2</v>
      </c>
      <c r="V110" s="151">
        <f t="shared" si="144"/>
        <v>4.474765652278976E-3</v>
      </c>
      <c r="W110" s="151">
        <f t="shared" si="144"/>
        <v>4.1954285407321927E-2</v>
      </c>
      <c r="X110" s="151">
        <f t="shared" si="144"/>
        <v>0.28216808573500579</v>
      </c>
      <c r="Y110" s="151">
        <f t="shared" si="144"/>
        <v>0.67140286320539333</v>
      </c>
      <c r="Z110" s="145">
        <f>SUM(Q110:W110)</f>
        <v>1</v>
      </c>
      <c r="AA110" s="195">
        <f>AA109/AA107</f>
        <v>0.9578571351485522</v>
      </c>
      <c r="AB110" s="107"/>
      <c r="AC110" s="141" t="s">
        <v>533</v>
      </c>
      <c r="AD110" s="151">
        <f t="shared" ref="AD110" si="145">AD109/$N$4</f>
        <v>0</v>
      </c>
      <c r="AE110" s="151">
        <f t="shared" ref="AE110" si="146">AE109/$N$4</f>
        <v>4.827098331322042E-3</v>
      </c>
      <c r="AF110" s="151">
        <f t="shared" ref="AF110" si="147">AF109/$N$4</f>
        <v>0.36812866713827974</v>
      </c>
      <c r="AG110" s="151">
        <f t="shared" ref="AG110" si="148">AG109/$N$4</f>
        <v>0.34016478714993137</v>
      </c>
      <c r="AH110" s="151">
        <f t="shared" ref="AH110" si="149">AH109/$N$4</f>
        <v>0.22851733177978445</v>
      </c>
      <c r="AI110" s="151">
        <f t="shared" ref="AI110" si="150">AI109/$N$4</f>
        <v>4.4941949981274704E-3</v>
      </c>
      <c r="AJ110" s="151">
        <f t="shared" ref="AJ110" si="151">AJ109/$N$4</f>
        <v>5.3867920602555006E-2</v>
      </c>
      <c r="AK110" s="151">
        <f t="shared" ref="AK110" si="152">AK109/$N$4</f>
        <v>0.57350921726103776</v>
      </c>
      <c r="AL110" s="151">
        <f t="shared" ref="AL110" si="153">AL109/$N$4</f>
        <v>0.36812866713827974</v>
      </c>
      <c r="AM110" s="145">
        <f>SUM(AD110:AJ110)</f>
        <v>1</v>
      </c>
      <c r="AN110" s="195">
        <f>AN109/AN107</f>
        <v>0.94588889353341976</v>
      </c>
    </row>
    <row r="111" spans="2:40" x14ac:dyDescent="0.3">
      <c r="B111" s="107"/>
      <c r="C111" s="107" t="s">
        <v>601</v>
      </c>
      <c r="D111" s="112">
        <f>D107-D109</f>
        <v>7.8800000000000026</v>
      </c>
      <c r="E111" s="112">
        <f>E107-E109</f>
        <v>38.449999999999989</v>
      </c>
      <c r="F111" s="112">
        <f>F107-F109</f>
        <v>612.31000000000131</v>
      </c>
      <c r="G111" s="112">
        <f>G107-G109</f>
        <v>832.88999999999942</v>
      </c>
      <c r="H111" s="112">
        <f>H107-H109</f>
        <v>766.69000000000051</v>
      </c>
      <c r="I111" s="147"/>
      <c r="J111" s="147"/>
      <c r="K111" s="112">
        <f>K107-K109</f>
        <v>1645.9099999999999</v>
      </c>
      <c r="L111" s="108">
        <f>F111</f>
        <v>612.31000000000131</v>
      </c>
      <c r="M111" s="145"/>
      <c r="N111" s="107"/>
      <c r="O111" s="107"/>
      <c r="P111" s="107" t="s">
        <v>601</v>
      </c>
      <c r="Q111" s="112">
        <f>Q107-Q109</f>
        <v>0</v>
      </c>
      <c r="R111" s="112">
        <f>R107-R109</f>
        <v>1</v>
      </c>
      <c r="S111" s="112">
        <f>S107-S109</f>
        <v>29.860000000000127</v>
      </c>
      <c r="T111" s="112">
        <f>T107-T109</f>
        <v>22.829999999999984</v>
      </c>
      <c r="U111" s="112">
        <f>U107-U109</f>
        <v>24.410000000000011</v>
      </c>
      <c r="V111" s="147"/>
      <c r="W111" s="147"/>
      <c r="X111" s="112">
        <f>X107-X109</f>
        <v>48.240000000000009</v>
      </c>
      <c r="Y111" s="108">
        <f>S111</f>
        <v>29.860000000000127</v>
      </c>
      <c r="Z111" s="145"/>
      <c r="AA111" s="107"/>
      <c r="AB111" s="107"/>
      <c r="AC111" s="107" t="s">
        <v>601</v>
      </c>
      <c r="AD111" s="112">
        <f>AD107-AD109</f>
        <v>0</v>
      </c>
      <c r="AE111" s="112">
        <f>AE107-AE109</f>
        <v>1.37</v>
      </c>
      <c r="AF111" s="112">
        <f>AF107-AF109</f>
        <v>7.7599999999999909</v>
      </c>
      <c r="AG111" s="112">
        <f>AG107-AG109</f>
        <v>9.289999999999992</v>
      </c>
      <c r="AH111" s="112">
        <f>AH107-AH109</f>
        <v>7.4699999999999989</v>
      </c>
      <c r="AI111" s="147"/>
      <c r="AJ111" s="147"/>
      <c r="AK111" s="112">
        <f>AK107-AK109</f>
        <v>18.129999999999995</v>
      </c>
      <c r="AL111" s="108">
        <f>AF111</f>
        <v>7.7599999999999909</v>
      </c>
      <c r="AM111" s="145"/>
      <c r="AN111" s="107"/>
    </row>
    <row r="112" spans="2:40" x14ac:dyDescent="0.3">
      <c r="B112" s="107"/>
      <c r="C112" s="107" t="s">
        <v>602</v>
      </c>
      <c r="D112" s="147">
        <f>D111/D107</f>
        <v>0.19257086999022488</v>
      </c>
      <c r="E112" s="147">
        <f>E111/E107</f>
        <v>0.16311033809867218</v>
      </c>
      <c r="F112" s="147">
        <f>F111/F107</f>
        <v>3.8135638084193575E-2</v>
      </c>
      <c r="G112" s="147">
        <f>G111/G107</f>
        <v>5.6381380720707384E-2</v>
      </c>
      <c r="H112" s="147">
        <f>H111/H107</f>
        <v>6.4948134845166997E-2</v>
      </c>
      <c r="I112" s="147"/>
      <c r="J112" s="147"/>
      <c r="K112" s="151">
        <f>K111/K107</f>
        <v>6.129167158528815E-2</v>
      </c>
      <c r="L112" s="151">
        <f>L111/$N$2</f>
        <v>1.410264707636843E-2</v>
      </c>
      <c r="M112" s="145"/>
      <c r="N112" s="107"/>
      <c r="O112" s="107"/>
      <c r="P112" s="107" t="s">
        <v>602</v>
      </c>
      <c r="Q112" s="147" t="s">
        <v>615</v>
      </c>
      <c r="R112" s="147">
        <f>R111/R107</f>
        <v>0.16949152542372881</v>
      </c>
      <c r="S112" s="147">
        <f>S111/S107</f>
        <v>2.3333411476037638E-2</v>
      </c>
      <c r="T112" s="147">
        <f>T111/T107</f>
        <v>5.4703598984041757E-2</v>
      </c>
      <c r="U112" s="147">
        <f>U111/U107</f>
        <v>0.16244093964197784</v>
      </c>
      <c r="V112" s="147"/>
      <c r="W112" s="147"/>
      <c r="X112" s="151">
        <f>X111/X107</f>
        <v>8.4113616153162124E-2</v>
      </c>
      <c r="Y112" s="151">
        <f>Y111/$N$3</f>
        <v>1.6040396443823764E-2</v>
      </c>
      <c r="Z112" s="145"/>
      <c r="AA112" s="107"/>
      <c r="AB112" s="107"/>
      <c r="AC112" s="107" t="s">
        <v>602</v>
      </c>
      <c r="AD112" s="147" t="s">
        <v>615</v>
      </c>
      <c r="AE112" s="147">
        <f>AE111/AE107</f>
        <v>0.37127371273712739</v>
      </c>
      <c r="AF112" s="147">
        <f>AF111/AF107</f>
        <v>4.2016351724511292E-2</v>
      </c>
      <c r="AG112" s="147">
        <f>AG111/AG107</f>
        <v>5.3767797198749807E-2</v>
      </c>
      <c r="AH112" s="147">
        <f>AH111/AH107</f>
        <v>6.3682864450127871E-2</v>
      </c>
      <c r="AI112" s="147"/>
      <c r="AJ112" s="147"/>
      <c r="AK112" s="151">
        <f t="shared" ref="AK112" si="154">AK111/$N$4</f>
        <v>3.7722108942615781E-2</v>
      </c>
      <c r="AL112" s="151">
        <f t="shared" ref="AL112" si="155">AL111/$N$4</f>
        <v>1.6145811659939228E-2</v>
      </c>
      <c r="AM112" s="145"/>
      <c r="AN112" s="107"/>
    </row>
    <row r="113" spans="2:40" x14ac:dyDescent="0.3">
      <c r="B113" s="115" t="s">
        <v>410</v>
      </c>
      <c r="C113" s="122" t="s">
        <v>9</v>
      </c>
      <c r="D113" s="136">
        <f>'01T_Seeds'!AL129</f>
        <v>43.940500000000007</v>
      </c>
      <c r="E113" s="136">
        <f>'01T_Seeds'!AM129</f>
        <v>240.51400000000004</v>
      </c>
      <c r="F113" s="136">
        <f>'01T_Seeds'!AN129</f>
        <v>16000.021499999999</v>
      </c>
      <c r="G113" s="136">
        <f>'01T_Seeds'!AO129</f>
        <v>14747.1055</v>
      </c>
      <c r="H113" s="136">
        <f>'01T_Seeds'!AP129</f>
        <v>11878.2585</v>
      </c>
      <c r="I113" s="108">
        <f>$N$2-N113</f>
        <v>508.25</v>
      </c>
      <c r="J113" s="108"/>
      <c r="K113" s="108"/>
      <c r="L113" s="108"/>
      <c r="M113" s="115" t="s">
        <v>36</v>
      </c>
      <c r="N113" s="137">
        <f>SUM(D113:H113)</f>
        <v>42909.84</v>
      </c>
      <c r="O113" s="115" t="s">
        <v>410</v>
      </c>
      <c r="P113" s="122" t="s">
        <v>9</v>
      </c>
      <c r="Q113" s="136">
        <f>'01T_Seeds'!AL134</f>
        <v>8.9999999999999993E-3</v>
      </c>
      <c r="R113" s="136">
        <f>'01T_Seeds'!AM134</f>
        <v>6.3680000000000003</v>
      </c>
      <c r="S113" s="136">
        <f>'01T_Seeds'!AN134</f>
        <v>1272.7224999999999</v>
      </c>
      <c r="T113" s="136">
        <f>'01T_Seeds'!AO134</f>
        <v>417.59499999999997</v>
      </c>
      <c r="U113" s="136">
        <f>'01T_Seeds'!AP134</f>
        <v>156.524</v>
      </c>
      <c r="V113" s="108">
        <f>$N$3-AA113</f>
        <v>8.3315000000000055</v>
      </c>
      <c r="W113" s="108"/>
      <c r="X113" s="108"/>
      <c r="Y113" s="108"/>
      <c r="Z113" s="115" t="s">
        <v>36</v>
      </c>
      <c r="AA113" s="137">
        <f>SUM(Q113:U113)</f>
        <v>1853.2184999999999</v>
      </c>
      <c r="AB113" s="115" t="s">
        <v>410</v>
      </c>
      <c r="AC113" s="122"/>
      <c r="AD113" s="139"/>
      <c r="AE113" s="136"/>
      <c r="AF113" s="136"/>
      <c r="AG113" s="136"/>
      <c r="AH113" s="136"/>
      <c r="AI113" s="108"/>
      <c r="AJ113" s="108"/>
      <c r="AK113" s="108"/>
      <c r="AL113" s="108"/>
      <c r="AM113" s="115"/>
      <c r="AN113" s="137"/>
    </row>
    <row r="114" spans="2:40" x14ac:dyDescent="0.3">
      <c r="B114" s="115"/>
      <c r="C114" s="141" t="s">
        <v>533</v>
      </c>
      <c r="D114" s="151">
        <f t="shared" ref="D114:I114" si="156">D113/$N$2</f>
        <v>1.0120320815586318E-3</v>
      </c>
      <c r="E114" s="151">
        <f t="shared" si="156"/>
        <v>5.5394882639931897E-3</v>
      </c>
      <c r="F114" s="151">
        <f t="shared" si="156"/>
        <v>0.36851048721857643</v>
      </c>
      <c r="G114" s="151">
        <f t="shared" si="156"/>
        <v>0.33965348314492877</v>
      </c>
      <c r="H114" s="151">
        <f t="shared" si="156"/>
        <v>0.27357855907526102</v>
      </c>
      <c r="I114" s="146">
        <f t="shared" si="156"/>
        <v>1.1705950215681989E-2</v>
      </c>
      <c r="J114" s="146"/>
      <c r="K114" s="146"/>
      <c r="L114" s="146"/>
      <c r="M114" s="145">
        <f>SUM(D114:I114)</f>
        <v>1</v>
      </c>
      <c r="N114" s="137"/>
      <c r="O114" s="115"/>
      <c r="P114" s="141" t="s">
        <v>533</v>
      </c>
      <c r="Q114" s="151">
        <f t="shared" ref="Q114:V114" si="157">Q113/$N$3</f>
        <v>4.8346807767720445E-6</v>
      </c>
      <c r="R114" s="151">
        <f t="shared" si="157"/>
        <v>3.4208052429427092E-3</v>
      </c>
      <c r="S114" s="151">
        <f t="shared" si="157"/>
        <v>0.68368966721280644</v>
      </c>
      <c r="T114" s="151">
        <f t="shared" si="157"/>
        <v>0.224326502108458</v>
      </c>
      <c r="U114" s="151">
        <f t="shared" si="157"/>
        <v>8.4082619322607507E-2</v>
      </c>
      <c r="V114" s="147">
        <f t="shared" si="157"/>
        <v>4.4755714324084799E-3</v>
      </c>
      <c r="W114" s="147"/>
      <c r="X114" s="147"/>
      <c r="Y114" s="146"/>
      <c r="Z114" s="145">
        <f>SUM(Q114:V114)</f>
        <v>0.99999999999999989</v>
      </c>
      <c r="AA114" s="137"/>
      <c r="AB114" s="115"/>
      <c r="AC114" s="141"/>
      <c r="AD114" s="151"/>
      <c r="AE114" s="151"/>
      <c r="AF114" s="151"/>
      <c r="AG114" s="151"/>
      <c r="AH114" s="151"/>
      <c r="AI114" s="147"/>
      <c r="AJ114" s="147"/>
      <c r="AK114" s="147"/>
      <c r="AL114" s="147"/>
      <c r="AM114" s="145"/>
      <c r="AN114" s="137"/>
    </row>
    <row r="115" spans="2:40" x14ac:dyDescent="0.3">
      <c r="B115" s="107"/>
      <c r="C115" s="148" t="s">
        <v>394</v>
      </c>
      <c r="D115" s="108">
        <f>'01T_Seeds'!AL130</f>
        <v>1.2008552818282068</v>
      </c>
      <c r="E115" s="108">
        <f>'01T_Seeds'!AM130</f>
        <v>3.221561357315327</v>
      </c>
      <c r="F115" s="108">
        <f>'01T_Seeds'!AN130</f>
        <v>23.676627796815708</v>
      </c>
      <c r="G115" s="108">
        <f>'01T_Seeds'!AO130</f>
        <v>29.689655973570105</v>
      </c>
      <c r="H115" s="108">
        <f>'01T_Seeds'!AP130</f>
        <v>22.518494016614785</v>
      </c>
      <c r="I115" s="107"/>
      <c r="J115" s="107"/>
      <c r="K115" s="107"/>
      <c r="L115" s="107"/>
      <c r="M115" s="107"/>
      <c r="N115" s="142"/>
      <c r="O115" s="107"/>
      <c r="P115" s="148" t="s">
        <v>394</v>
      </c>
      <c r="Q115" s="108">
        <f>'01T_Seeds'!AL135</f>
        <v>6.1942248145051672E-3</v>
      </c>
      <c r="R115" s="108">
        <f>'01T_Seeds'!AM135</f>
        <v>0.18240296627320118</v>
      </c>
      <c r="S115" s="108">
        <f>'01T_Seeds'!AN135</f>
        <v>1.6938601003251972</v>
      </c>
      <c r="T115" s="108">
        <f>'01T_Seeds'!AO135</f>
        <v>1.1319937000010678</v>
      </c>
      <c r="U115" s="108">
        <f>'01T_Seeds'!AP135</f>
        <v>1.2960040610722596</v>
      </c>
      <c r="V115" s="107"/>
      <c r="W115" s="107"/>
      <c r="X115" s="107"/>
      <c r="Y115" s="107"/>
      <c r="Z115" s="107"/>
      <c r="AA115" s="107"/>
      <c r="AB115" s="107"/>
      <c r="AC115" s="148"/>
      <c r="AD115" s="108"/>
      <c r="AE115" s="108"/>
      <c r="AF115" s="108"/>
      <c r="AG115" s="108"/>
      <c r="AH115" s="108"/>
      <c r="AI115" s="107"/>
      <c r="AJ115" s="107"/>
      <c r="AK115" s="107"/>
      <c r="AL115" s="107"/>
      <c r="AM115" s="107"/>
      <c r="AN115" s="107"/>
    </row>
    <row r="116" spans="2:40" x14ac:dyDescent="0.3">
      <c r="B116" s="107"/>
      <c r="C116" s="129" t="s">
        <v>538</v>
      </c>
      <c r="D116" s="125">
        <f>1.96*D115</f>
        <v>2.3536763523832853</v>
      </c>
      <c r="E116" s="125">
        <f>1.96*E115</f>
        <v>6.3142602603380409</v>
      </c>
      <c r="F116" s="125">
        <f>1.96*F115</f>
        <v>46.406190481758784</v>
      </c>
      <c r="G116" s="125">
        <f>1.96*G115</f>
        <v>58.191725708197403</v>
      </c>
      <c r="H116" s="125">
        <f>1.96*H115</f>
        <v>44.136248272564977</v>
      </c>
      <c r="I116" s="107"/>
      <c r="J116" s="107"/>
      <c r="K116" s="107"/>
      <c r="L116" s="107"/>
      <c r="M116" s="107"/>
      <c r="N116" s="142"/>
      <c r="O116" s="107"/>
      <c r="P116" s="129" t="s">
        <v>538</v>
      </c>
      <c r="Q116" s="125">
        <f>1.96*Q115</f>
        <v>1.2140680636430128E-2</v>
      </c>
      <c r="R116" s="125">
        <f>1.96*R115</f>
        <v>0.35750981389547432</v>
      </c>
      <c r="S116" s="125">
        <f>1.96*S115</f>
        <v>3.3199657966373866</v>
      </c>
      <c r="T116" s="125">
        <f>1.96*T115</f>
        <v>2.218707652002093</v>
      </c>
      <c r="U116" s="125">
        <f>1.96*U115</f>
        <v>2.5401679597016287</v>
      </c>
      <c r="V116" s="107"/>
      <c r="W116" s="107"/>
      <c r="X116" s="107"/>
      <c r="Y116" s="107"/>
      <c r="Z116" s="107"/>
      <c r="AA116" s="107"/>
      <c r="AB116" s="107"/>
      <c r="AC116" s="129"/>
      <c r="AD116" s="125"/>
      <c r="AE116" s="125"/>
      <c r="AF116" s="125"/>
      <c r="AG116" s="125"/>
      <c r="AH116" s="125"/>
      <c r="AI116" s="107"/>
      <c r="AJ116" s="107"/>
      <c r="AK116" s="107"/>
      <c r="AL116" s="107"/>
      <c r="AM116" s="107"/>
      <c r="AN116" s="107"/>
    </row>
    <row r="117" spans="2:40" x14ac:dyDescent="0.3">
      <c r="B117" s="115" t="s">
        <v>409</v>
      </c>
      <c r="C117" s="107" t="s">
        <v>391</v>
      </c>
      <c r="D117" s="146">
        <f>D107/SUM(D107:H107)</f>
        <v>9.5362741972470646E-4</v>
      </c>
      <c r="E117" s="146">
        <f>E107/SUM(D107:H107)</f>
        <v>5.4936117216936716E-3</v>
      </c>
      <c r="F117" s="146">
        <f>F107/SUM(D107:H107)</f>
        <v>0.37418247189921938</v>
      </c>
      <c r="G117" s="146">
        <f>G107/SUM(D107:H107)</f>
        <v>0.34426672297076844</v>
      </c>
      <c r="H117" s="146">
        <f>H107/SUM(D107:H107)</f>
        <v>0.2751035659885937</v>
      </c>
      <c r="I117" s="152">
        <f>SUM(D117:H117)</f>
        <v>0.99999999999999978</v>
      </c>
      <c r="J117" s="107"/>
      <c r="K117" s="107"/>
      <c r="L117" s="107"/>
      <c r="M117" s="107"/>
      <c r="N117" s="107"/>
      <c r="O117" s="115" t="s">
        <v>409</v>
      </c>
      <c r="P117" s="107" t="s">
        <v>391</v>
      </c>
      <c r="Q117" s="146">
        <f>Q107/SUM(Q107:U107)</f>
        <v>0</v>
      </c>
      <c r="R117" s="146">
        <f>R107/SUM(Q107:U107)</f>
        <v>3.1836479209160274E-3</v>
      </c>
      <c r="S117" s="146">
        <f>S107/SUM(Q107:U107)</f>
        <v>0.69053323404668632</v>
      </c>
      <c r="T117" s="146">
        <f>T107/SUM(Q107:U107)</f>
        <v>0.22519722429069403</v>
      </c>
      <c r="U117" s="146">
        <f>U107/SUM(Q107:U107)</f>
        <v>8.1085893741703635E-2</v>
      </c>
      <c r="V117" s="152">
        <f>SUM(Q117:U117)</f>
        <v>1</v>
      </c>
      <c r="W117" s="107"/>
      <c r="X117" s="107"/>
      <c r="Y117" s="107"/>
      <c r="Z117" s="107"/>
      <c r="AA117" s="107"/>
      <c r="AB117" s="115" t="s">
        <v>409</v>
      </c>
      <c r="AC117" s="107" t="s">
        <v>391</v>
      </c>
      <c r="AD117" s="146">
        <f>AD107/SUM(AD107:AH107)</f>
        <v>0</v>
      </c>
      <c r="AE117" s="146">
        <f>AE107/SUM(AD107:AH107)</f>
        <v>7.7122434477281277E-3</v>
      </c>
      <c r="AF117" s="146">
        <f>AF107/SUM(AD107:AH107)</f>
        <v>0.3860092797726038</v>
      </c>
      <c r="AG117" s="146">
        <f>AG107/SUM(AD107:AH107)</f>
        <v>0.36111691677465202</v>
      </c>
      <c r="AH117" s="146">
        <f>AH107/SUM(AD107:AH107)</f>
        <v>0.2451615600050161</v>
      </c>
      <c r="AI117" s="152">
        <f>SUM(AD117:AH117)</f>
        <v>1</v>
      </c>
      <c r="AJ117" s="107"/>
      <c r="AK117" s="107"/>
      <c r="AL117" s="107"/>
      <c r="AM117" s="107"/>
      <c r="AN117" s="107"/>
    </row>
    <row r="118" spans="2:40" x14ac:dyDescent="0.3">
      <c r="B118" s="148" t="s">
        <v>801</v>
      </c>
      <c r="C118" s="90" t="s">
        <v>524</v>
      </c>
      <c r="D118" s="108">
        <f>D111*D117</f>
        <v>7.514584067430689E-3</v>
      </c>
      <c r="E118" s="108">
        <f>E111*D117</f>
        <v>3.666697428841495E-2</v>
      </c>
      <c r="F118" s="108">
        <f>F111*D117</f>
        <v>0.58391560537163623</v>
      </c>
      <c r="G118" s="108">
        <f>G111*D117</f>
        <v>0.79426674161451016</v>
      </c>
      <c r="H118" s="108">
        <f>H111*D117</f>
        <v>0.73113660642873568</v>
      </c>
      <c r="I118" s="107"/>
      <c r="J118" s="107"/>
      <c r="K118" s="107"/>
      <c r="L118" s="107"/>
      <c r="M118" s="107"/>
      <c r="N118" s="107"/>
      <c r="O118" s="148" t="s">
        <v>801</v>
      </c>
      <c r="P118" s="90" t="s">
        <v>524</v>
      </c>
      <c r="Q118" s="108">
        <f>Q111*Q117</f>
        <v>0</v>
      </c>
      <c r="R118" s="108">
        <f>R111*Q117</f>
        <v>0</v>
      </c>
      <c r="S118" s="108">
        <f>S111*Q117</f>
        <v>0</v>
      </c>
      <c r="T118" s="108">
        <f>T111*Q117</f>
        <v>0</v>
      </c>
      <c r="U118" s="108">
        <f>U111*Q117</f>
        <v>0</v>
      </c>
      <c r="V118" s="107"/>
      <c r="W118" s="107"/>
      <c r="X118" s="107"/>
      <c r="Y118" s="107"/>
      <c r="Z118" s="107"/>
      <c r="AA118" s="107"/>
      <c r="AB118" s="148" t="s">
        <v>801</v>
      </c>
      <c r="AC118" s="90" t="s">
        <v>524</v>
      </c>
      <c r="AD118" s="108">
        <f>AD111*AD117</f>
        <v>0</v>
      </c>
      <c r="AE118" s="108">
        <f>AE111*AD117</f>
        <v>0</v>
      </c>
      <c r="AF118" s="108">
        <f>AF111*AD117</f>
        <v>0</v>
      </c>
      <c r="AG118" s="108">
        <f>AG111*AD117</f>
        <v>0</v>
      </c>
      <c r="AH118" s="108">
        <f>AH111*AD117</f>
        <v>0</v>
      </c>
      <c r="AI118" s="107"/>
      <c r="AJ118" s="107"/>
      <c r="AK118" s="107"/>
      <c r="AL118" s="107"/>
      <c r="AM118" s="107"/>
      <c r="AN118" s="107"/>
    </row>
    <row r="119" spans="2:40" x14ac:dyDescent="0.3">
      <c r="B119" s="107" t="s">
        <v>799</v>
      </c>
      <c r="C119" s="91" t="s">
        <v>523</v>
      </c>
      <c r="D119" s="108">
        <f>D111*E117</f>
        <v>4.3289660366946148E-2</v>
      </c>
      <c r="E119" s="108">
        <f>E111*E117</f>
        <v>0.21122937069912162</v>
      </c>
      <c r="F119" s="108">
        <f>F111*E117</f>
        <v>3.3637933933102593</v>
      </c>
      <c r="G119" s="108">
        <f>G111*E117</f>
        <v>4.5755742668814392</v>
      </c>
      <c r="H119" s="108">
        <f>H111*E117</f>
        <v>4.2118971709053241</v>
      </c>
      <c r="I119" s="107"/>
      <c r="J119" s="107"/>
      <c r="K119" s="107"/>
      <c r="L119" s="107"/>
      <c r="M119" s="107"/>
      <c r="N119" s="107"/>
      <c r="O119" s="107" t="s">
        <v>799</v>
      </c>
      <c r="P119" s="91" t="s">
        <v>523</v>
      </c>
      <c r="Q119" s="108">
        <f>Q111*R117</f>
        <v>0</v>
      </c>
      <c r="R119" s="108">
        <f>R111*R117</f>
        <v>3.1836479209160274E-3</v>
      </c>
      <c r="S119" s="108">
        <f>S111*R117</f>
        <v>9.5063726918552985E-2</v>
      </c>
      <c r="T119" s="108">
        <f>T111*R117</f>
        <v>7.2682682034512849E-2</v>
      </c>
      <c r="U119" s="108">
        <f>U111*R117</f>
        <v>7.7712845749560264E-2</v>
      </c>
      <c r="V119" s="107"/>
      <c r="W119" s="107"/>
      <c r="X119" s="107"/>
      <c r="Y119" s="107"/>
      <c r="Z119" s="107"/>
      <c r="AA119" s="107"/>
      <c r="AB119" s="107" t="s">
        <v>799</v>
      </c>
      <c r="AC119" s="91" t="s">
        <v>523</v>
      </c>
      <c r="AD119" s="108">
        <f>AD111*AE117</f>
        <v>0</v>
      </c>
      <c r="AE119" s="108">
        <f>AE111*AE117</f>
        <v>1.0565773523387535E-2</v>
      </c>
      <c r="AF119" s="108">
        <f>AF111*AE117</f>
        <v>5.9847009154370204E-2</v>
      </c>
      <c r="AG119" s="108">
        <f>AG111*AE117</f>
        <v>7.1646741629394245E-2</v>
      </c>
      <c r="AH119" s="108">
        <f>AH111*AE117</f>
        <v>5.7610458554529106E-2</v>
      </c>
      <c r="AI119" s="107"/>
      <c r="AJ119" s="107"/>
      <c r="AK119" s="107"/>
      <c r="AL119" s="107"/>
      <c r="AM119" s="107"/>
      <c r="AN119" s="107"/>
    </row>
    <row r="120" spans="2:40" x14ac:dyDescent="0.3">
      <c r="B120" s="107"/>
      <c r="C120" s="92" t="s">
        <v>525</v>
      </c>
      <c r="D120" s="108">
        <f>D111*F117</f>
        <v>2.9485578785658495</v>
      </c>
      <c r="E120" s="108">
        <f>E111*F117</f>
        <v>14.387316044524981</v>
      </c>
      <c r="F120" s="108">
        <f>F111*F117</f>
        <v>229.11566936861152</v>
      </c>
      <c r="G120" s="108">
        <f>G111*F117</f>
        <v>311.65283902014062</v>
      </c>
      <c r="H120" s="108">
        <f>H111*F117</f>
        <v>286.8819593804127</v>
      </c>
      <c r="I120" s="107"/>
      <c r="J120" s="107"/>
      <c r="K120" s="107"/>
      <c r="L120" s="107"/>
      <c r="M120" s="107"/>
      <c r="N120" s="107"/>
      <c r="O120" s="107"/>
      <c r="P120" s="92" t="s">
        <v>525</v>
      </c>
      <c r="Q120" s="108">
        <f>Q111*S117</f>
        <v>0</v>
      </c>
      <c r="R120" s="108">
        <f>R111*S117</f>
        <v>0.69053323404668632</v>
      </c>
      <c r="S120" s="108">
        <f>S111*S117</f>
        <v>20.61932236863414</v>
      </c>
      <c r="T120" s="108">
        <f>T111*S117</f>
        <v>15.764873733285837</v>
      </c>
      <c r="U120" s="108">
        <f>U111*S117</f>
        <v>16.855916243079619</v>
      </c>
      <c r="V120" s="107"/>
      <c r="W120" s="107"/>
      <c r="X120" s="107"/>
      <c r="Y120" s="107"/>
      <c r="Z120" s="107"/>
      <c r="AA120" s="107"/>
      <c r="AB120" s="107"/>
      <c r="AC120" s="92" t="s">
        <v>525</v>
      </c>
      <c r="AD120" s="108">
        <f>AD111*AF117</f>
        <v>0</v>
      </c>
      <c r="AE120" s="108">
        <f>AE111*AF117</f>
        <v>0.52883271328846726</v>
      </c>
      <c r="AF120" s="108">
        <f>AF111*AF117</f>
        <v>2.995432011035402</v>
      </c>
      <c r="AG120" s="108">
        <f>AG111*AF117</f>
        <v>3.5860262090874864</v>
      </c>
      <c r="AH120" s="108">
        <f>AH111*AF117</f>
        <v>2.8834893199013498</v>
      </c>
      <c r="AI120" s="107"/>
      <c r="AJ120" s="107"/>
      <c r="AK120" s="107"/>
      <c r="AL120" s="107"/>
      <c r="AM120" s="107"/>
      <c r="AN120" s="107"/>
    </row>
    <row r="121" spans="2:40" x14ac:dyDescent="0.3">
      <c r="B121" s="107"/>
      <c r="C121" s="124" t="s">
        <v>526</v>
      </c>
      <c r="D121" s="108">
        <f>D111*G117</f>
        <v>2.7128217770096561</v>
      </c>
      <c r="E121" s="108">
        <f>E111*G117</f>
        <v>13.237055498226042</v>
      </c>
      <c r="F121" s="108">
        <f>F111*G117</f>
        <v>210.79795714223167</v>
      </c>
      <c r="G121" s="108">
        <f>G111*G117</f>
        <v>286.7363108951231</v>
      </c>
      <c r="H121" s="108">
        <f>H111*G117</f>
        <v>263.9458538344586</v>
      </c>
      <c r="I121" s="107"/>
      <c r="J121" s="107"/>
      <c r="K121" s="107"/>
      <c r="L121" s="107"/>
      <c r="M121" s="107"/>
      <c r="N121" s="107"/>
      <c r="O121" s="107"/>
      <c r="P121" s="124" t="s">
        <v>526</v>
      </c>
      <c r="Q121" s="108">
        <f>Q111*T117</f>
        <v>0</v>
      </c>
      <c r="R121" s="108">
        <f>R111*T117</f>
        <v>0.22519722429069403</v>
      </c>
      <c r="S121" s="108">
        <f>S111*T117</f>
        <v>6.7243891173201522</v>
      </c>
      <c r="T121" s="108">
        <f>T111*T117</f>
        <v>5.1412526305565409</v>
      </c>
      <c r="U121" s="108">
        <f>U111*T117</f>
        <v>5.497064244935844</v>
      </c>
      <c r="V121" s="107"/>
      <c r="W121" s="107"/>
      <c r="X121" s="107"/>
      <c r="Y121" s="107"/>
      <c r="Z121" s="107"/>
      <c r="AA121" s="107"/>
      <c r="AB121" s="107"/>
      <c r="AC121" s="124" t="s">
        <v>526</v>
      </c>
      <c r="AD121" s="108">
        <f>AD111*AG117</f>
        <v>0</v>
      </c>
      <c r="AE121" s="108">
        <f>AE111*AG117</f>
        <v>0.49473017598127328</v>
      </c>
      <c r="AF121" s="108">
        <f>AF111*AG117</f>
        <v>2.8022672741712964</v>
      </c>
      <c r="AG121" s="108">
        <f>AG111*AG117</f>
        <v>3.3547761568365142</v>
      </c>
      <c r="AH121" s="108">
        <f>AH111*AG117</f>
        <v>2.6975433683066501</v>
      </c>
      <c r="AI121" s="107"/>
      <c r="AJ121" s="107"/>
      <c r="AK121" s="107"/>
      <c r="AL121" s="107"/>
      <c r="AM121" s="107"/>
      <c r="AN121" s="107"/>
    </row>
    <row r="122" spans="2:40" x14ac:dyDescent="0.3">
      <c r="B122" s="107"/>
      <c r="C122" s="123" t="s">
        <v>527</v>
      </c>
      <c r="D122" s="125">
        <f>D111*H117</f>
        <v>2.167816099990119</v>
      </c>
      <c r="E122" s="125">
        <f>E111*H117</f>
        <v>10.577732112261424</v>
      </c>
      <c r="F122" s="125">
        <f>F111*H117</f>
        <v>168.44866449047618</v>
      </c>
      <c r="G122" s="125">
        <f>G111*H117</f>
        <v>229.13100907623965</v>
      </c>
      <c r="H122" s="125">
        <f>H111*H117</f>
        <v>210.91915300779505</v>
      </c>
      <c r="I122" s="107"/>
      <c r="J122" s="107"/>
      <c r="K122" s="107"/>
      <c r="L122" s="107"/>
      <c r="M122" s="107"/>
      <c r="N122" s="107"/>
      <c r="O122" s="107"/>
      <c r="P122" s="123" t="s">
        <v>527</v>
      </c>
      <c r="Q122" s="125">
        <f>Q111*U117</f>
        <v>0</v>
      </c>
      <c r="R122" s="125">
        <f>R111*U117</f>
        <v>8.1085893741703635E-2</v>
      </c>
      <c r="S122" s="125">
        <f>S111*U117</f>
        <v>2.4212247871272807</v>
      </c>
      <c r="T122" s="125">
        <f>T111*U117</f>
        <v>1.8511909541230926</v>
      </c>
      <c r="U122" s="125">
        <f>U111*U117</f>
        <v>1.9793066662349865</v>
      </c>
      <c r="V122" s="107"/>
      <c r="W122" s="107"/>
      <c r="X122" s="107"/>
      <c r="Y122" s="107"/>
      <c r="Z122" s="107"/>
      <c r="AA122" s="107"/>
      <c r="AB122" s="107"/>
      <c r="AC122" s="123" t="s">
        <v>527</v>
      </c>
      <c r="AD122" s="125">
        <f>AD111*AH117</f>
        <v>0</v>
      </c>
      <c r="AE122" s="125">
        <f>AE111*AH117</f>
        <v>0.33587133720687207</v>
      </c>
      <c r="AF122" s="125">
        <f>AF111*AH117</f>
        <v>1.9024537056389228</v>
      </c>
      <c r="AG122" s="125">
        <f>AG111*AH117</f>
        <v>2.2775508924465977</v>
      </c>
      <c r="AH122" s="125">
        <f>AH111*AH117</f>
        <v>1.83135685323747</v>
      </c>
      <c r="AI122" s="107"/>
      <c r="AJ122" s="107"/>
      <c r="AK122" s="107"/>
      <c r="AL122" s="107"/>
      <c r="AM122" s="107"/>
      <c r="AN122" s="107"/>
    </row>
    <row r="123" spans="2:40" x14ac:dyDescent="0.3">
      <c r="B123" s="107"/>
      <c r="C123" s="107" t="s">
        <v>36</v>
      </c>
      <c r="D123" s="108">
        <f>SUM(D118:D122)</f>
        <v>7.8800000000000026</v>
      </c>
      <c r="E123" s="108">
        <f>SUM(E118:E122)</f>
        <v>38.449999999999982</v>
      </c>
      <c r="F123" s="108">
        <f>SUM(F118:F122)</f>
        <v>612.31000000000131</v>
      </c>
      <c r="G123" s="108">
        <f t="shared" ref="G123" si="158">SUM(G118:G122)</f>
        <v>832.88999999999942</v>
      </c>
      <c r="H123" s="108">
        <f t="shared" ref="H123" si="159">SUM(H118:H122)</f>
        <v>766.69000000000051</v>
      </c>
      <c r="I123" s="107"/>
      <c r="J123" s="107"/>
      <c r="K123" s="107"/>
      <c r="L123" s="107"/>
      <c r="M123" s="107"/>
      <c r="N123" s="107"/>
      <c r="O123" s="107"/>
      <c r="P123" s="107" t="s">
        <v>36</v>
      </c>
      <c r="Q123" s="108">
        <f>SUM(Q118:Q122)</f>
        <v>0</v>
      </c>
      <c r="R123" s="108">
        <f>SUM(R118:R122)</f>
        <v>1</v>
      </c>
      <c r="S123" s="108">
        <f>SUM(S118:S122)</f>
        <v>29.860000000000127</v>
      </c>
      <c r="T123" s="108">
        <f t="shared" ref="T123" si="160">SUM(T118:T122)</f>
        <v>22.829999999999984</v>
      </c>
      <c r="U123" s="108">
        <f t="shared" ref="U123" si="161">SUM(U118:U122)</f>
        <v>24.410000000000007</v>
      </c>
      <c r="V123" s="107"/>
      <c r="W123" s="107"/>
      <c r="X123" s="107"/>
      <c r="Y123" s="107"/>
      <c r="Z123" s="107"/>
      <c r="AA123" s="107"/>
      <c r="AB123" s="107"/>
      <c r="AC123" s="107" t="s">
        <v>36</v>
      </c>
      <c r="AD123" s="108">
        <f>SUM(AD118:AD122)</f>
        <v>0</v>
      </c>
      <c r="AE123" s="108">
        <f>SUM(AE118:AE122)</f>
        <v>1.37</v>
      </c>
      <c r="AF123" s="108">
        <f>SUM(AF118:AF122)</f>
        <v>7.7599999999999909</v>
      </c>
      <c r="AG123" s="108">
        <f t="shared" ref="AG123" si="162">SUM(AG118:AG122)</f>
        <v>9.289999999999992</v>
      </c>
      <c r="AH123" s="108">
        <f t="shared" ref="AH123" si="163">SUM(AH118:AH122)</f>
        <v>7.4699999999999989</v>
      </c>
      <c r="AI123" s="107"/>
      <c r="AJ123" s="107"/>
      <c r="AK123" s="107"/>
      <c r="AL123" s="107"/>
      <c r="AM123" s="107"/>
      <c r="AN123" s="107"/>
    </row>
    <row r="124" spans="2:40" x14ac:dyDescent="0.3">
      <c r="B124" s="107" t="s">
        <v>800</v>
      </c>
      <c r="C124" s="212" t="s">
        <v>529</v>
      </c>
      <c r="D124" s="125">
        <f>I109*D117</f>
        <v>0.48468113607507513</v>
      </c>
      <c r="E124" s="125">
        <f>I109*E117</f>
        <v>2.7921281575507688</v>
      </c>
      <c r="F124" s="125">
        <f>I109*F117</f>
        <v>190.17824134277552</v>
      </c>
      <c r="G124" s="125">
        <f>I109*G117</f>
        <v>174.97356194989055</v>
      </c>
      <c r="H124" s="125">
        <f>I109*H117</f>
        <v>139.82138741370073</v>
      </c>
      <c r="I124" s="230">
        <f>SUM(D124:H124)</f>
        <v>508.24999999999267</v>
      </c>
      <c r="J124" s="107"/>
      <c r="K124" s="141"/>
      <c r="L124" s="141"/>
      <c r="M124" s="107"/>
      <c r="N124" s="107"/>
      <c r="O124" s="107" t="s">
        <v>800</v>
      </c>
      <c r="P124" s="212" t="s">
        <v>529</v>
      </c>
      <c r="Q124" s="125">
        <f>V109*Q117</f>
        <v>0</v>
      </c>
      <c r="R124" s="125">
        <f>V109*R117</f>
        <v>2.6519787181230277E-2</v>
      </c>
      <c r="S124" s="125">
        <f>V109*S117</f>
        <v>5.7521418396088464</v>
      </c>
      <c r="T124" s="125">
        <f>V109*T117</f>
        <v>1.8758928783414648</v>
      </c>
      <c r="U124" s="125">
        <f>V109*U117</f>
        <v>0.67544549486838534</v>
      </c>
      <c r="V124" s="230">
        <f>SUM(Q124:U124)</f>
        <v>8.3299999999999272</v>
      </c>
      <c r="W124" s="107"/>
      <c r="X124" s="141"/>
      <c r="Y124" s="141"/>
      <c r="Z124" s="107"/>
      <c r="AA124" s="107"/>
      <c r="AB124" s="107" t="s">
        <v>800</v>
      </c>
      <c r="AC124" s="212" t="s">
        <v>529</v>
      </c>
      <c r="AD124" s="125">
        <f>AI109*AD117</f>
        <v>0</v>
      </c>
      <c r="AE124" s="125">
        <f>AI109*AE117</f>
        <v>1.6658445847092949E-2</v>
      </c>
      <c r="AF124" s="125">
        <f>AI109*AF117</f>
        <v>0.8337800443088339</v>
      </c>
      <c r="AG124" s="125">
        <f>AI109*AG117</f>
        <v>0.78001254023325739</v>
      </c>
      <c r="AH124" s="125">
        <f>AI109*AH117</f>
        <v>0.52954896961084086</v>
      </c>
      <c r="AI124" s="230">
        <f>SUM(AD124:AH124)</f>
        <v>2.160000000000025</v>
      </c>
      <c r="AJ124" s="107"/>
      <c r="AK124" s="141"/>
      <c r="AL124" s="141"/>
      <c r="AM124" s="107"/>
      <c r="AN124" s="107"/>
    </row>
    <row r="125" spans="2:40" x14ac:dyDescent="0.3">
      <c r="B125" s="107" t="s">
        <v>802</v>
      </c>
      <c r="C125" s="107" t="s">
        <v>803</v>
      </c>
      <c r="D125" s="108">
        <f>SUM(D118:H118)+D124</f>
        <v>2.6381816478458031</v>
      </c>
      <c r="E125" s="108">
        <f>SUM(D119:H119)+E124</f>
        <v>15.19791201971386</v>
      </c>
      <c r="F125" s="108">
        <f>SUM(D120:H120)+F124</f>
        <v>1035.1645830350312</v>
      </c>
      <c r="G125" s="108">
        <f>SUM(D121:H121)+G124</f>
        <v>952.40356109693971</v>
      </c>
      <c r="H125" s="108">
        <f>SUM(D122:H122)+H124</f>
        <v>761.06576220046304</v>
      </c>
      <c r="I125" s="107"/>
      <c r="J125" s="107"/>
      <c r="K125" s="108">
        <f>D125+E125+G125+H125</f>
        <v>1731.3054169649624</v>
      </c>
      <c r="L125" s="108">
        <f>F125</f>
        <v>1035.1645830350312</v>
      </c>
      <c r="M125" s="107"/>
      <c r="N125" s="107"/>
      <c r="O125" s="107" t="s">
        <v>802</v>
      </c>
      <c r="P125" s="107" t="s">
        <v>803</v>
      </c>
      <c r="Q125" s="108">
        <f>SUM(Q118:U118)+Q124</f>
        <v>0</v>
      </c>
      <c r="R125" s="108">
        <f>SUM(Q119:U119)+R124</f>
        <v>0.27516268980477238</v>
      </c>
      <c r="S125" s="108">
        <f>SUM(Q120:U120)+S124</f>
        <v>59.682787418655131</v>
      </c>
      <c r="T125" s="108">
        <f>SUM(Q121:U121)+T124</f>
        <v>19.463796095444696</v>
      </c>
      <c r="U125" s="108">
        <f>SUM(Q122:U122)+U124</f>
        <v>7.008253796095449</v>
      </c>
      <c r="V125" s="107"/>
      <c r="W125" s="107"/>
      <c r="X125" s="108">
        <f>Q125+R125+T125+U125</f>
        <v>26.747212581344918</v>
      </c>
      <c r="Y125" s="108">
        <f>S125</f>
        <v>59.682787418655131</v>
      </c>
      <c r="Z125" s="107"/>
      <c r="AA125" s="107"/>
      <c r="AB125" s="107" t="s">
        <v>802</v>
      </c>
      <c r="AC125" s="107" t="s">
        <v>803</v>
      </c>
      <c r="AD125" s="108">
        <f>SUM(AD118:AH118)+AD124</f>
        <v>0</v>
      </c>
      <c r="AE125" s="108">
        <f>SUM(AD119:AH119)+AE124</f>
        <v>0.21632842870877403</v>
      </c>
      <c r="AF125" s="108">
        <f>SUM(AD120:AH120)+AF124</f>
        <v>10.827560297621542</v>
      </c>
      <c r="AG125" s="108">
        <f>SUM(AD121:AH121)+AG124</f>
        <v>10.12932951552899</v>
      </c>
      <c r="AH125" s="108">
        <f>SUM(AD122:AH122)+AH124</f>
        <v>6.8767817581407025</v>
      </c>
      <c r="AI125" s="107"/>
      <c r="AJ125" s="107"/>
      <c r="AK125" s="108">
        <f>AD125+AE125+AG125+AH125</f>
        <v>17.222439702378466</v>
      </c>
      <c r="AL125" s="108">
        <f>AF125</f>
        <v>10.827560297621542</v>
      </c>
      <c r="AM125" s="107"/>
      <c r="AN125" s="107"/>
    </row>
    <row r="126" spans="2:40" x14ac:dyDescent="0.3">
      <c r="B126" s="107" t="s">
        <v>802</v>
      </c>
      <c r="C126" s="107" t="s">
        <v>804</v>
      </c>
      <c r="D126" s="146">
        <f>D125/$N$2</f>
        <v>6.076226862687427E-5</v>
      </c>
      <c r="E126" s="146">
        <f t="shared" ref="E126" si="164">E125/$N$2</f>
        <v>3.5003640233169771E-4</v>
      </c>
      <c r="F126" s="146">
        <f t="shared" ref="F126" si="165">F125/$N$2</f>
        <v>2.3841780765460462E-2</v>
      </c>
      <c r="G126" s="146">
        <f t="shared" ref="G126" si="166">G125/$N$2</f>
        <v>2.1935639294518479E-2</v>
      </c>
      <c r="H126" s="146">
        <f t="shared" ref="H126" si="167">H125/$N$2</f>
        <v>1.7528771122830671E-2</v>
      </c>
      <c r="I126" s="107"/>
      <c r="J126" s="107"/>
      <c r="K126" s="152">
        <f>K125/$N$2</f>
        <v>3.9875209088307724E-2</v>
      </c>
      <c r="L126" s="147">
        <f>L125/$N$2</f>
        <v>2.3841780765460462E-2</v>
      </c>
      <c r="M126" s="107"/>
      <c r="N126" s="107"/>
      <c r="O126" s="107" t="s">
        <v>802</v>
      </c>
      <c r="P126" s="107" t="s">
        <v>804</v>
      </c>
      <c r="Q126" s="146">
        <f>Q125/$N$3</f>
        <v>0</v>
      </c>
      <c r="R126" s="146">
        <f t="shared" ref="R126" si="168">R125/$N$3</f>
        <v>1.4781375187600246E-4</v>
      </c>
      <c r="S126" s="146">
        <f t="shared" ref="S126" si="169">S125/$N$3</f>
        <v>3.2060802781904936E-2</v>
      </c>
      <c r="T126" s="146">
        <f t="shared" ref="T126" si="170">T125/$N$3</f>
        <v>1.0455693425073029E-2</v>
      </c>
      <c r="U126" s="146">
        <f t="shared" ref="U126" si="171">U125/$N$3</f>
        <v>3.764741100746931E-3</v>
      </c>
      <c r="V126" s="107"/>
      <c r="W126" s="107"/>
      <c r="X126" s="152">
        <f>X125/$N$3</f>
        <v>1.4368248277695962E-2</v>
      </c>
      <c r="Y126" s="152">
        <f>Y125/$N$3</f>
        <v>3.2060802781904936E-2</v>
      </c>
      <c r="Z126" s="107"/>
      <c r="AA126" s="107"/>
      <c r="AB126" s="107" t="s">
        <v>802</v>
      </c>
      <c r="AC126" s="107" t="s">
        <v>804</v>
      </c>
      <c r="AD126" s="146">
        <f>AD125/$N$4</f>
        <v>0</v>
      </c>
      <c r="AE126" s="146">
        <f t="shared" ref="AE126" si="172">AE125/$N$4</f>
        <v>4.5010284363691485E-4</v>
      </c>
      <c r="AF126" s="146">
        <f t="shared" ref="AF126" si="173">AF125/$N$4</f>
        <v>2.2528318209024886E-2</v>
      </c>
      <c r="AG126" s="146">
        <f t="shared" ref="AG126" si="174">AG125/$N$4</f>
        <v>2.1075547242164268E-2</v>
      </c>
      <c r="AH126" s="146">
        <f t="shared" ref="AH126" si="175">AH125/$N$4</f>
        <v>1.4308147305856399E-2</v>
      </c>
      <c r="AI126" s="107"/>
      <c r="AJ126" s="107"/>
      <c r="AK126" s="152">
        <f>AK125/$N$4</f>
        <v>3.5833797391657582E-2</v>
      </c>
      <c r="AL126" s="152">
        <f>AL125/$N$4</f>
        <v>2.2528318209024886E-2</v>
      </c>
      <c r="AM126" s="107"/>
      <c r="AN126" s="107"/>
    </row>
    <row r="129" spans="2:40" x14ac:dyDescent="0.3">
      <c r="D129" t="s">
        <v>493</v>
      </c>
      <c r="E129" t="s">
        <v>494</v>
      </c>
      <c r="F129" t="s">
        <v>495</v>
      </c>
      <c r="G129" t="s">
        <v>496</v>
      </c>
      <c r="H129" t="s">
        <v>497</v>
      </c>
      <c r="Q129" t="s">
        <v>493</v>
      </c>
      <c r="R129" t="s">
        <v>494</v>
      </c>
      <c r="S129" t="s">
        <v>495</v>
      </c>
      <c r="T129" t="s">
        <v>496</v>
      </c>
      <c r="U129" t="s">
        <v>497</v>
      </c>
      <c r="AD129" t="s">
        <v>493</v>
      </c>
      <c r="AE129" t="s">
        <v>494</v>
      </c>
      <c r="AF129" t="s">
        <v>495</v>
      </c>
      <c r="AG129" t="s">
        <v>496</v>
      </c>
      <c r="AH129" t="s">
        <v>497</v>
      </c>
    </row>
    <row r="130" spans="2:40" x14ac:dyDescent="0.3">
      <c r="B130" s="118" t="s">
        <v>375</v>
      </c>
      <c r="C130" s="8">
        <v>20</v>
      </c>
      <c r="D130" s="90" t="s">
        <v>524</v>
      </c>
      <c r="E130" s="91" t="s">
        <v>523</v>
      </c>
      <c r="F130" s="92" t="s">
        <v>525</v>
      </c>
      <c r="G130" s="124" t="s">
        <v>526</v>
      </c>
      <c r="H130" s="123" t="s">
        <v>527</v>
      </c>
      <c r="I130" s="212" t="s">
        <v>529</v>
      </c>
      <c r="J130" s="213" t="s">
        <v>599</v>
      </c>
      <c r="K130" s="214" t="s">
        <v>600</v>
      </c>
      <c r="L130" s="215" t="s">
        <v>525</v>
      </c>
      <c r="Q130" s="90" t="s">
        <v>524</v>
      </c>
      <c r="R130" s="91" t="s">
        <v>523</v>
      </c>
      <c r="S130" s="92" t="s">
        <v>525</v>
      </c>
      <c r="T130" s="124" t="s">
        <v>526</v>
      </c>
      <c r="U130" s="123" t="s">
        <v>527</v>
      </c>
      <c r="V130" s="212" t="s">
        <v>529</v>
      </c>
      <c r="W130" s="213" t="s">
        <v>599</v>
      </c>
      <c r="X130" s="214" t="s">
        <v>600</v>
      </c>
      <c r="Y130" s="215" t="s">
        <v>525</v>
      </c>
      <c r="AD130" s="90" t="s">
        <v>524</v>
      </c>
      <c r="AE130" s="91" t="s">
        <v>523</v>
      </c>
      <c r="AF130" s="92" t="s">
        <v>525</v>
      </c>
      <c r="AG130" s="124" t="s">
        <v>526</v>
      </c>
      <c r="AH130" s="123" t="s">
        <v>527</v>
      </c>
      <c r="AI130" s="212" t="s">
        <v>529</v>
      </c>
      <c r="AJ130" s="213" t="s">
        <v>599</v>
      </c>
      <c r="AK130" s="214" t="s">
        <v>600</v>
      </c>
      <c r="AL130" s="215" t="s">
        <v>525</v>
      </c>
    </row>
    <row r="131" spans="2:40" x14ac:dyDescent="0.3">
      <c r="B131" s="119" t="s">
        <v>433</v>
      </c>
      <c r="C131" s="107"/>
      <c r="D131" s="116"/>
      <c r="E131" s="116"/>
      <c r="F131" s="116"/>
      <c r="G131" s="116"/>
      <c r="H131" s="116"/>
      <c r="I131" s="107"/>
      <c r="J131" s="107"/>
      <c r="K131" s="107"/>
      <c r="L131" s="107"/>
      <c r="M131" s="107"/>
      <c r="N131" s="142"/>
      <c r="O131" s="119" t="s">
        <v>434</v>
      </c>
      <c r="P131" s="107"/>
      <c r="Q131" s="116"/>
      <c r="R131" s="116"/>
      <c r="S131" s="116"/>
      <c r="T131" s="116"/>
      <c r="U131" s="116"/>
      <c r="V131" s="107"/>
      <c r="W131" s="107"/>
      <c r="X131" s="107"/>
      <c r="Y131" s="107"/>
      <c r="Z131" s="107"/>
      <c r="AA131" s="142"/>
      <c r="AB131" s="119" t="s">
        <v>628</v>
      </c>
      <c r="AC131" s="107"/>
      <c r="AD131" s="116"/>
      <c r="AE131" s="116"/>
      <c r="AF131" s="116"/>
      <c r="AG131" s="116"/>
      <c r="AH131" s="116"/>
      <c r="AI131" s="107"/>
      <c r="AJ131" s="107"/>
      <c r="AK131" s="107"/>
      <c r="AL131" s="107"/>
      <c r="AM131" s="107"/>
      <c r="AN131" s="107"/>
    </row>
    <row r="132" spans="2:40" x14ac:dyDescent="0.3">
      <c r="B132" s="115" t="s">
        <v>409</v>
      </c>
      <c r="C132" s="122" t="s">
        <v>9</v>
      </c>
      <c r="D132" s="136">
        <f>'07E_Seeds'!AL127</f>
        <v>32.28</v>
      </c>
      <c r="E132" s="136">
        <f>'07E_Seeds'!AM127</f>
        <v>74.58</v>
      </c>
      <c r="F132" s="136">
        <f>'07E_Seeds'!AN127</f>
        <v>12858.68</v>
      </c>
      <c r="G132" s="136">
        <f>'07E_Seeds'!AO127</f>
        <v>12748.79</v>
      </c>
      <c r="H132" s="136">
        <f>'07E_Seeds'!AP127</f>
        <v>9725.4699999999993</v>
      </c>
      <c r="I132" s="108">
        <f>$N$2-N132</f>
        <v>7978.2899999999936</v>
      </c>
      <c r="J132" s="108"/>
      <c r="K132" s="108">
        <f>D132+E132+G132+H132</f>
        <v>22581.120000000003</v>
      </c>
      <c r="L132" s="108">
        <f>F132</f>
        <v>12858.68</v>
      </c>
      <c r="M132" s="115" t="s">
        <v>36</v>
      </c>
      <c r="N132" s="137">
        <f>SUM(D132:H132)</f>
        <v>35439.800000000003</v>
      </c>
      <c r="O132" s="115" t="s">
        <v>409</v>
      </c>
      <c r="P132" s="122" t="s">
        <v>9</v>
      </c>
      <c r="Q132" s="136">
        <f>'07E_Seeds'!AL132</f>
        <v>0</v>
      </c>
      <c r="R132" s="136">
        <f>'07E_Seeds'!AM132</f>
        <v>6.52</v>
      </c>
      <c r="S132" s="136">
        <f>'07E_Seeds'!AN132</f>
        <v>920.19</v>
      </c>
      <c r="T132" s="136">
        <f>'07E_Seeds'!AO132</f>
        <v>229.97</v>
      </c>
      <c r="U132" s="136">
        <f>'07E_Seeds'!AP132</f>
        <v>110.75</v>
      </c>
      <c r="V132" s="108">
        <f>$N$3-AA132</f>
        <v>594.11999999999989</v>
      </c>
      <c r="W132" s="108"/>
      <c r="X132" s="108">
        <f>Q132+R132+T132+U132</f>
        <v>347.24</v>
      </c>
      <c r="Y132" s="108">
        <f>S132</f>
        <v>920.19</v>
      </c>
      <c r="Z132" s="115" t="s">
        <v>36</v>
      </c>
      <c r="AA132" s="137">
        <f>SUM(Q132:U132)</f>
        <v>1267.43</v>
      </c>
      <c r="AB132" s="115" t="s">
        <v>409</v>
      </c>
      <c r="AC132" s="122" t="s">
        <v>9</v>
      </c>
      <c r="AD132" s="136">
        <v>0</v>
      </c>
      <c r="AE132" s="136">
        <v>8.35</v>
      </c>
      <c r="AF132" s="136">
        <v>139.66</v>
      </c>
      <c r="AG132" s="136">
        <v>97.95</v>
      </c>
      <c r="AH132" s="136">
        <v>102.96</v>
      </c>
      <c r="AI132" s="108">
        <f>$N$4-AN132</f>
        <v>131.70000000000005</v>
      </c>
      <c r="AJ132" s="108"/>
      <c r="AK132" s="108">
        <f>AD132+AE132+AG132+AH132</f>
        <v>209.26</v>
      </c>
      <c r="AL132" s="108">
        <f>AF132</f>
        <v>139.66</v>
      </c>
      <c r="AM132" s="115" t="s">
        <v>36</v>
      </c>
      <c r="AN132" s="137">
        <f>SUM(AD132:AH132)</f>
        <v>348.91999999999996</v>
      </c>
    </row>
    <row r="133" spans="2:40" x14ac:dyDescent="0.3">
      <c r="B133" s="107"/>
      <c r="C133" s="141" t="s">
        <v>534</v>
      </c>
      <c r="D133" s="151">
        <f t="shared" ref="D133:I133" si="176">D132/$N$2</f>
        <v>7.4346890892713164E-4</v>
      </c>
      <c r="E133" s="151">
        <f t="shared" si="176"/>
        <v>1.7177172003651014E-3</v>
      </c>
      <c r="F133" s="151">
        <f t="shared" si="176"/>
        <v>0.29615950402240176</v>
      </c>
      <c r="G133" s="151">
        <f t="shared" si="176"/>
        <v>0.29362853133336825</v>
      </c>
      <c r="H133" s="151">
        <f t="shared" si="176"/>
        <v>0.22399580451374071</v>
      </c>
      <c r="I133" s="151">
        <f t="shared" si="176"/>
        <v>0.18375497402119703</v>
      </c>
      <c r="J133" s="151"/>
      <c r="K133" s="151">
        <f>K132/$N$2</f>
        <v>0.52008552195640123</v>
      </c>
      <c r="L133" s="151">
        <f>L132/$N$2</f>
        <v>0.29615950402240176</v>
      </c>
      <c r="M133" s="145">
        <f>SUM(D133:I133)</f>
        <v>1</v>
      </c>
      <c r="N133" s="142"/>
      <c r="O133" s="107"/>
      <c r="P133" s="141" t="s">
        <v>533</v>
      </c>
      <c r="Q133" s="151">
        <f t="shared" ref="Q133:V133" si="177">Q132/$N$3</f>
        <v>0</v>
      </c>
      <c r="R133" s="151">
        <f t="shared" si="177"/>
        <v>3.5024576293948588E-3</v>
      </c>
      <c r="S133" s="151">
        <f t="shared" si="177"/>
        <v>0.49431387821976314</v>
      </c>
      <c r="T133" s="151">
        <f t="shared" si="177"/>
        <v>0.12353683758158523</v>
      </c>
      <c r="U133" s="151">
        <f t="shared" si="177"/>
        <v>5.9493432891944885E-2</v>
      </c>
      <c r="V133" s="151">
        <f t="shared" si="177"/>
        <v>0.31915339367731188</v>
      </c>
      <c r="W133" s="151"/>
      <c r="X133" s="151">
        <f>X132/$N$3</f>
        <v>0.18653272810292498</v>
      </c>
      <c r="Y133" s="151">
        <f>Y132/$N$3</f>
        <v>0.49431387821976314</v>
      </c>
      <c r="Z133" s="145">
        <f>SUM(Q133:V133)</f>
        <v>1</v>
      </c>
      <c r="AA133" s="142"/>
      <c r="AB133" s="107"/>
      <c r="AC133" s="141" t="s">
        <v>533</v>
      </c>
      <c r="AD133" s="151">
        <f>AD132/$N$4</f>
        <v>0</v>
      </c>
      <c r="AE133" s="151">
        <f t="shared" ref="AE133" si="178">AE132/$N$4</f>
        <v>1.737339270109442E-2</v>
      </c>
      <c r="AF133" s="151">
        <f t="shared" ref="AF133" si="179">AF132/$N$4</f>
        <v>0.29058299696225709</v>
      </c>
      <c r="AG133" s="151">
        <f t="shared" ref="AG133" si="180">AG132/$N$4</f>
        <v>0.20379925929008363</v>
      </c>
      <c r="AH133" s="151">
        <f t="shared" ref="AH133" si="181">AH132/$N$4</f>
        <v>0.21422329491074027</v>
      </c>
      <c r="AI133" s="151">
        <f t="shared" ref="AI133" si="182">AI132/$N$4</f>
        <v>0.27402105613582467</v>
      </c>
      <c r="AJ133" s="151"/>
      <c r="AK133" s="151">
        <f t="shared" ref="AK133" si="183">AK132/$N$4</f>
        <v>0.43539594690191835</v>
      </c>
      <c r="AL133" s="151">
        <f t="shared" ref="AL133" si="184">AL132/$N$4</f>
        <v>0.29058299696225709</v>
      </c>
      <c r="AM133" s="145">
        <f>SUM(AD133:AI133)</f>
        <v>1.0000000000000002</v>
      </c>
      <c r="AN133" s="107"/>
    </row>
    <row r="134" spans="2:40" x14ac:dyDescent="0.3">
      <c r="B134" s="107" t="s">
        <v>598</v>
      </c>
      <c r="C134" s="107" t="s">
        <v>9</v>
      </c>
      <c r="D134" s="108">
        <v>29.13</v>
      </c>
      <c r="E134" s="108">
        <v>58.81</v>
      </c>
      <c r="F134" s="108">
        <v>12541.16</v>
      </c>
      <c r="G134" s="108">
        <v>12263.85</v>
      </c>
      <c r="H134" s="108">
        <v>9162.91</v>
      </c>
      <c r="I134" s="108">
        <f>I132</f>
        <v>7978.2899999999936</v>
      </c>
      <c r="J134" s="108">
        <f>SUM(D132:H132)-SUM(D134:H134)</f>
        <v>1383.9400000000023</v>
      </c>
      <c r="K134" s="108">
        <f>D134+E134+G134+H134</f>
        <v>21514.7</v>
      </c>
      <c r="L134" s="108">
        <f>F134</f>
        <v>12541.16</v>
      </c>
      <c r="M134" s="115" t="s">
        <v>609</v>
      </c>
      <c r="N134" s="196">
        <f>SUM(D134:H134)</f>
        <v>34055.86</v>
      </c>
      <c r="O134" s="107" t="s">
        <v>598</v>
      </c>
      <c r="P134" s="122" t="s">
        <v>9</v>
      </c>
      <c r="Q134" s="108">
        <v>0</v>
      </c>
      <c r="R134" s="108">
        <v>5.56</v>
      </c>
      <c r="S134" s="108">
        <v>911.23</v>
      </c>
      <c r="T134" s="108">
        <v>223.12</v>
      </c>
      <c r="U134" s="108">
        <v>102.95</v>
      </c>
      <c r="V134" s="108">
        <f>V132</f>
        <v>594.11999999999989</v>
      </c>
      <c r="W134" s="108">
        <f>SUM(Q132:U132)-SUM(Q134:U134)</f>
        <v>24.570000000000164</v>
      </c>
      <c r="X134" s="108">
        <f>Q134+R134+T134+U134</f>
        <v>331.63</v>
      </c>
      <c r="Y134" s="108">
        <f>S134</f>
        <v>911.23</v>
      </c>
      <c r="Z134" s="115" t="s">
        <v>609</v>
      </c>
      <c r="AA134" s="196">
        <f>SUM(Q134:U134)</f>
        <v>1242.8599999999999</v>
      </c>
      <c r="AB134" s="107" t="s">
        <v>598</v>
      </c>
      <c r="AC134" s="122" t="s">
        <v>9</v>
      </c>
      <c r="AD134" s="108">
        <v>0</v>
      </c>
      <c r="AE134" s="108">
        <v>5.19</v>
      </c>
      <c r="AF134" s="108">
        <v>136.02000000000001</v>
      </c>
      <c r="AG134" s="108">
        <v>95.77</v>
      </c>
      <c r="AH134" s="108">
        <v>98.14</v>
      </c>
      <c r="AI134" s="108">
        <f>AI132</f>
        <v>131.70000000000005</v>
      </c>
      <c r="AJ134" s="108">
        <f>SUM(AD132:AH132)-SUM(AD134:AH134)</f>
        <v>13.799999999999955</v>
      </c>
      <c r="AK134" s="108">
        <f>AD134+AE134+AG134+AH134</f>
        <v>199.1</v>
      </c>
      <c r="AL134" s="108">
        <f>AF134</f>
        <v>136.02000000000001</v>
      </c>
      <c r="AM134" s="115" t="s">
        <v>609</v>
      </c>
      <c r="AN134" s="196">
        <f>SUM(AD134:AH134)</f>
        <v>335.12</v>
      </c>
    </row>
    <row r="135" spans="2:40" x14ac:dyDescent="0.3">
      <c r="B135" s="107"/>
      <c r="C135" s="141" t="s">
        <v>533</v>
      </c>
      <c r="D135" s="151">
        <f t="shared" ref="D135:L135" si="185">D134/$N$2</f>
        <v>6.7091850424558057E-4</v>
      </c>
      <c r="E135" s="151">
        <f t="shared" si="185"/>
        <v>1.3545045394673051E-3</v>
      </c>
      <c r="F135" s="151">
        <f t="shared" si="185"/>
        <v>0.28884642323050141</v>
      </c>
      <c r="G135" s="151">
        <f t="shared" si="185"/>
        <v>0.2824594541123297</v>
      </c>
      <c r="H135" s="151">
        <f t="shared" si="185"/>
        <v>0.21103899319385078</v>
      </c>
      <c r="I135" s="151">
        <f t="shared" si="185"/>
        <v>0.18375497402119703</v>
      </c>
      <c r="J135" s="151">
        <f t="shared" si="185"/>
        <v>3.1874732398408184E-2</v>
      </c>
      <c r="K135" s="151">
        <f t="shared" si="185"/>
        <v>0.49552387034989337</v>
      </c>
      <c r="L135" s="151">
        <f t="shared" si="185"/>
        <v>0.28884642323050141</v>
      </c>
      <c r="M135" s="145">
        <f>SUM(D135:J135)</f>
        <v>1</v>
      </c>
      <c r="N135" s="195">
        <f>N134/N132</f>
        <v>0.96094955389138759</v>
      </c>
      <c r="O135" s="107"/>
      <c r="P135" s="141" t="s">
        <v>533</v>
      </c>
      <c r="Q135" s="151">
        <f t="shared" ref="Q135:Y135" si="186">Q134/$N$3</f>
        <v>0</v>
      </c>
      <c r="R135" s="151">
        <f t="shared" si="186"/>
        <v>2.986758346539174E-3</v>
      </c>
      <c r="S135" s="151">
        <f t="shared" si="186"/>
        <v>0.48950068491311005</v>
      </c>
      <c r="T135" s="151">
        <f t="shared" si="186"/>
        <v>0.11985710832370874</v>
      </c>
      <c r="U135" s="151">
        <f t="shared" si="186"/>
        <v>5.5303376218742449E-2</v>
      </c>
      <c r="V135" s="151">
        <f t="shared" si="186"/>
        <v>0.31915339367731188</v>
      </c>
      <c r="W135" s="151">
        <f t="shared" si="186"/>
        <v>1.3198678520587771E-2</v>
      </c>
      <c r="X135" s="151">
        <f t="shared" si="186"/>
        <v>0.17814724288899036</v>
      </c>
      <c r="Y135" s="151">
        <f t="shared" si="186"/>
        <v>0.48950068491311005</v>
      </c>
      <c r="Z135" s="145">
        <f>SUM(Q135:W135)</f>
        <v>1.0000000000000002</v>
      </c>
      <c r="AA135" s="195">
        <f>AA134/AA132</f>
        <v>0.98061431400550703</v>
      </c>
      <c r="AB135" s="107"/>
      <c r="AC135" s="141" t="s">
        <v>533</v>
      </c>
      <c r="AD135" s="151">
        <f t="shared" ref="AD135" si="187">AD134/$N$4</f>
        <v>0</v>
      </c>
      <c r="AE135" s="151">
        <f t="shared" ref="AE135" si="188">AE134/$N$4</f>
        <v>1.0798551870500604E-2</v>
      </c>
      <c r="AF135" s="151">
        <f t="shared" ref="AF135" si="189">AF134/$N$4</f>
        <v>0.2830094461320794</v>
      </c>
      <c r="AG135" s="151">
        <f t="shared" ref="AG135" si="190">AG134/$N$4</f>
        <v>0.19926345137530688</v>
      </c>
      <c r="AH135" s="151">
        <f t="shared" ref="AH135" si="191">AH134/$N$4</f>
        <v>0.20419458199825224</v>
      </c>
      <c r="AI135" s="151">
        <f t="shared" ref="AI135" si="192">AI134/$N$4</f>
        <v>0.27402105613582467</v>
      </c>
      <c r="AJ135" s="151">
        <f t="shared" ref="AJ135" si="193">AJ134/$N$4</f>
        <v>2.8712912488036191E-2</v>
      </c>
      <c r="AK135" s="151">
        <f t="shared" ref="AK135" si="194">AK134/$N$4</f>
        <v>0.41425658524405973</v>
      </c>
      <c r="AL135" s="151">
        <f t="shared" ref="AL135" si="195">AL134/$N$4</f>
        <v>0.2830094461320794</v>
      </c>
      <c r="AM135" s="145">
        <f>SUM(AD135:AJ135)</f>
        <v>1</v>
      </c>
      <c r="AN135" s="195">
        <f>AN134/AN132</f>
        <v>0.96044938667889501</v>
      </c>
    </row>
    <row r="136" spans="2:40" x14ac:dyDescent="0.3">
      <c r="B136" s="107"/>
      <c r="C136" s="107" t="s">
        <v>601</v>
      </c>
      <c r="D136" s="112">
        <f>D132-D134</f>
        <v>3.1500000000000021</v>
      </c>
      <c r="E136" s="112">
        <f>E132-E134</f>
        <v>15.769999999999996</v>
      </c>
      <c r="F136" s="112">
        <f>F132-F134</f>
        <v>317.52000000000044</v>
      </c>
      <c r="G136" s="112">
        <f>G132-G134</f>
        <v>484.94000000000051</v>
      </c>
      <c r="H136" s="112">
        <f>H132-H134</f>
        <v>562.55999999999949</v>
      </c>
      <c r="I136" s="147"/>
      <c r="J136" s="147"/>
      <c r="K136" s="112">
        <f>K132-K134</f>
        <v>1066.4200000000019</v>
      </c>
      <c r="L136" s="108">
        <f>F136</f>
        <v>317.52000000000044</v>
      </c>
      <c r="M136" s="145"/>
      <c r="N136" s="107"/>
      <c r="O136" s="107"/>
      <c r="P136" s="107" t="s">
        <v>601</v>
      </c>
      <c r="Q136" s="112">
        <f>Q132-Q134</f>
        <v>0</v>
      </c>
      <c r="R136" s="112">
        <f>R132-R134</f>
        <v>0.96</v>
      </c>
      <c r="S136" s="112">
        <f>S132-S134</f>
        <v>8.9600000000000364</v>
      </c>
      <c r="T136" s="112">
        <f>T132-T134</f>
        <v>6.8499999999999943</v>
      </c>
      <c r="U136" s="112">
        <f>U132-U134</f>
        <v>7.7999999999999972</v>
      </c>
      <c r="V136" s="147"/>
      <c r="W136" s="147"/>
      <c r="X136" s="112">
        <f>X132-X134</f>
        <v>15.610000000000014</v>
      </c>
      <c r="Y136" s="108">
        <f>S136</f>
        <v>8.9600000000000364</v>
      </c>
      <c r="Z136" s="145"/>
      <c r="AA136" s="107"/>
      <c r="AB136" s="107"/>
      <c r="AC136" s="107" t="s">
        <v>601</v>
      </c>
      <c r="AD136" s="112">
        <f>AD132-AD134</f>
        <v>0</v>
      </c>
      <c r="AE136" s="112">
        <f>AE132-AE134</f>
        <v>3.1599999999999993</v>
      </c>
      <c r="AF136" s="112">
        <f>AF132-AF134</f>
        <v>3.6399999999999864</v>
      </c>
      <c r="AG136" s="112">
        <f>AG132-AG134</f>
        <v>2.1800000000000068</v>
      </c>
      <c r="AH136" s="112">
        <f>AH132-AH134</f>
        <v>4.8199999999999932</v>
      </c>
      <c r="AI136" s="147"/>
      <c r="AJ136" s="147"/>
      <c r="AK136" s="112">
        <f>AK132-AK134</f>
        <v>10.159999999999997</v>
      </c>
      <c r="AL136" s="108">
        <f>AF136</f>
        <v>3.6399999999999864</v>
      </c>
      <c r="AM136" s="145"/>
      <c r="AN136" s="107"/>
    </row>
    <row r="137" spans="2:40" x14ac:dyDescent="0.3">
      <c r="B137" s="107"/>
      <c r="C137" s="107" t="s">
        <v>602</v>
      </c>
      <c r="D137" s="147">
        <f>D136/D132</f>
        <v>9.7583643122676644E-2</v>
      </c>
      <c r="E137" s="147">
        <f>E136/E132</f>
        <v>0.21145079109680875</v>
      </c>
      <c r="F137" s="147">
        <f>F136/F132</f>
        <v>2.4693047808950874E-2</v>
      </c>
      <c r="G137" s="147">
        <f>G136/G132</f>
        <v>3.8038119696065312E-2</v>
      </c>
      <c r="H137" s="147">
        <f>H136/H132</f>
        <v>5.7843991087320155E-2</v>
      </c>
      <c r="I137" s="147"/>
      <c r="J137" s="147"/>
      <c r="K137" s="151">
        <f>K136/K132</f>
        <v>4.7226178329507207E-2</v>
      </c>
      <c r="L137" s="151">
        <f>L136/$N$2</f>
        <v>7.3130807919003452E-3</v>
      </c>
      <c r="M137" s="145"/>
      <c r="N137" s="107"/>
      <c r="O137" s="107"/>
      <c r="P137" s="107" t="s">
        <v>602</v>
      </c>
      <c r="Q137" s="147" t="s">
        <v>615</v>
      </c>
      <c r="R137" s="147">
        <f>R136/R132</f>
        <v>0.14723926380368099</v>
      </c>
      <c r="S137" s="147">
        <f>S136/S132</f>
        <v>9.7371195079277491E-3</v>
      </c>
      <c r="T137" s="147">
        <f>T136/T132</f>
        <v>2.9786493890507432E-2</v>
      </c>
      <c r="U137" s="147">
        <f>U136/U132</f>
        <v>7.0428893905191844E-2</v>
      </c>
      <c r="V137" s="147"/>
      <c r="W137" s="147"/>
      <c r="X137" s="151">
        <f>X136/X132</f>
        <v>4.4954498329685559E-2</v>
      </c>
      <c r="Y137" s="151">
        <f>Y136/$N$3</f>
        <v>4.8131933066530774E-3</v>
      </c>
      <c r="Z137" s="145"/>
      <c r="AA137" s="107"/>
      <c r="AB137" s="107"/>
      <c r="AC137" s="107" t="s">
        <v>602</v>
      </c>
      <c r="AD137" s="147" t="s">
        <v>615</v>
      </c>
      <c r="AE137" s="147">
        <f>AE136/AE132</f>
        <v>0.37844311377245504</v>
      </c>
      <c r="AF137" s="147">
        <f>AF136/AF132</f>
        <v>2.6063296577402164E-2</v>
      </c>
      <c r="AG137" s="147">
        <f>AG136/AG132</f>
        <v>2.2256253190403336E-2</v>
      </c>
      <c r="AH137" s="147">
        <f>AH136/AH132</f>
        <v>4.6814296814296753E-2</v>
      </c>
      <c r="AI137" s="147"/>
      <c r="AJ137" s="147"/>
      <c r="AK137" s="151">
        <f t="shared" ref="AK137" si="196">AK136/$N$4</f>
        <v>2.1139361657858593E-2</v>
      </c>
      <c r="AL137" s="151">
        <f t="shared" ref="AL137" si="197">AL136/$N$4</f>
        <v>7.5735508301776585E-3</v>
      </c>
      <c r="AM137" s="145"/>
      <c r="AN137" s="107"/>
    </row>
    <row r="138" spans="2:40" x14ac:dyDescent="0.3">
      <c r="B138" s="115" t="s">
        <v>410</v>
      </c>
      <c r="C138" s="122" t="s">
        <v>9</v>
      </c>
      <c r="D138" s="136">
        <f>'07E_Seeds'!AL129</f>
        <v>33.073999999999998</v>
      </c>
      <c r="E138" s="136">
        <f>'07E_Seeds'!AM129</f>
        <v>80.141499999999979</v>
      </c>
      <c r="F138" s="136">
        <f>'07E_Seeds'!AN129</f>
        <v>12861.898499999999</v>
      </c>
      <c r="G138" s="136">
        <f>'07E_Seeds'!AO129</f>
        <v>12737.435500000001</v>
      </c>
      <c r="H138" s="136">
        <f>'07E_Seeds'!AP129</f>
        <v>9727.2484999999979</v>
      </c>
      <c r="I138" s="108">
        <f>$N$2-N138</f>
        <v>7978.2920000000013</v>
      </c>
      <c r="J138" s="108"/>
      <c r="K138" s="108"/>
      <c r="L138" s="108"/>
      <c r="M138" s="115" t="s">
        <v>36</v>
      </c>
      <c r="N138" s="137">
        <f>SUM(D138:H138)</f>
        <v>35439.797999999995</v>
      </c>
      <c r="O138" s="115" t="s">
        <v>410</v>
      </c>
      <c r="P138" s="122" t="s">
        <v>9</v>
      </c>
      <c r="Q138" s="136">
        <f>'07E_Seeds'!AL134</f>
        <v>0</v>
      </c>
      <c r="R138" s="136">
        <f>'07E_Seeds'!AM134</f>
        <v>7.283500000000001</v>
      </c>
      <c r="S138" s="136">
        <f>'07E_Seeds'!AN134</f>
        <v>918.44499999999994</v>
      </c>
      <c r="T138" s="136">
        <f>'07E_Seeds'!AO134</f>
        <v>228.24150000000003</v>
      </c>
      <c r="U138" s="136">
        <f>'07E_Seeds'!AP134</f>
        <v>113.455</v>
      </c>
      <c r="V138" s="108">
        <f>$N$3-AA138</f>
        <v>594.125</v>
      </c>
      <c r="W138" s="108"/>
      <c r="X138" s="108"/>
      <c r="Y138" s="108"/>
      <c r="Z138" s="115" t="s">
        <v>36</v>
      </c>
      <c r="AA138" s="137">
        <f>SUM(Q138:U138)</f>
        <v>1267.425</v>
      </c>
      <c r="AB138" s="115" t="s">
        <v>410</v>
      </c>
      <c r="AC138" s="122"/>
      <c r="AD138" s="139"/>
      <c r="AE138" s="136"/>
      <c r="AF138" s="136"/>
      <c r="AG138" s="136"/>
      <c r="AH138" s="136"/>
      <c r="AI138" s="108"/>
      <c r="AJ138" s="108"/>
      <c r="AK138" s="108"/>
      <c r="AL138" s="108"/>
      <c r="AM138" s="115"/>
      <c r="AN138" s="137"/>
    </row>
    <row r="139" spans="2:40" x14ac:dyDescent="0.3">
      <c r="B139" s="115"/>
      <c r="C139" s="141" t="s">
        <v>533</v>
      </c>
      <c r="D139" s="151">
        <f t="shared" ref="D139:I139" si="198">D138/$N$2</f>
        <v>7.6175621728178278E-4</v>
      </c>
      <c r="E139" s="151">
        <f t="shared" si="198"/>
        <v>1.845808970408417E-3</v>
      </c>
      <c r="F139" s="151">
        <f t="shared" si="198"/>
        <v>0.2962336321104867</v>
      </c>
      <c r="G139" s="151">
        <f t="shared" si="198"/>
        <v>0.29336701591433439</v>
      </c>
      <c r="H139" s="151">
        <f t="shared" si="198"/>
        <v>0.22403676670254261</v>
      </c>
      <c r="I139" s="146">
        <f t="shared" si="198"/>
        <v>0.18375502008494621</v>
      </c>
      <c r="J139" s="146"/>
      <c r="K139" s="146"/>
      <c r="L139" s="146"/>
      <c r="M139" s="145">
        <f>SUM(D139:I139)</f>
        <v>1</v>
      </c>
      <c r="N139" s="137"/>
      <c r="O139" s="115"/>
      <c r="P139" s="141" t="s">
        <v>533</v>
      </c>
      <c r="Q139" s="151">
        <f t="shared" ref="Q139:V139" si="199">Q138/$N$3</f>
        <v>0</v>
      </c>
      <c r="R139" s="151">
        <f t="shared" si="199"/>
        <v>3.9125997152910218E-3</v>
      </c>
      <c r="S139" s="151">
        <f t="shared" si="199"/>
        <v>0.49337648733582229</v>
      </c>
      <c r="T139" s="151">
        <f t="shared" si="199"/>
        <v>0.12260831027906854</v>
      </c>
      <c r="U139" s="151">
        <f t="shared" si="199"/>
        <v>6.0946523058741375E-2</v>
      </c>
      <c r="V139" s="147">
        <f t="shared" si="199"/>
        <v>0.31915607961107678</v>
      </c>
      <c r="W139" s="147"/>
      <c r="X139" s="147"/>
      <c r="Y139" s="146"/>
      <c r="Z139" s="145">
        <f>SUM(Q139:V139)</f>
        <v>1</v>
      </c>
      <c r="AA139" s="137"/>
      <c r="AB139" s="115"/>
      <c r="AC139" s="141"/>
      <c r="AD139" s="151"/>
      <c r="AE139" s="151"/>
      <c r="AF139" s="151"/>
      <c r="AG139" s="151"/>
      <c r="AH139" s="151"/>
      <c r="AI139" s="147"/>
      <c r="AJ139" s="147"/>
      <c r="AK139" s="147"/>
      <c r="AL139" s="147"/>
      <c r="AM139" s="145"/>
      <c r="AN139" s="137"/>
    </row>
    <row r="140" spans="2:40" x14ac:dyDescent="0.3">
      <c r="B140" s="107"/>
      <c r="C140" s="148" t="s">
        <v>394</v>
      </c>
      <c r="D140" s="108">
        <f>'07E_Seeds'!AL130</f>
        <v>0.51443039527126255</v>
      </c>
      <c r="E140" s="108">
        <f>'07E_Seeds'!AM130</f>
        <v>1.3152834945564518</v>
      </c>
      <c r="F140" s="108">
        <f>'07E_Seeds'!AN130</f>
        <v>20.072385852931063</v>
      </c>
      <c r="G140" s="108">
        <f>'07E_Seeds'!AO130</f>
        <v>13.57398379398899</v>
      </c>
      <c r="H140" s="108">
        <f>'07E_Seeds'!AP130</f>
        <v>25.427067159923567</v>
      </c>
      <c r="I140" s="107"/>
      <c r="J140" s="107"/>
      <c r="K140" s="107"/>
      <c r="L140" s="107"/>
      <c r="M140" s="107"/>
      <c r="N140" s="142"/>
      <c r="O140" s="107"/>
      <c r="P140" s="148" t="s">
        <v>394</v>
      </c>
      <c r="Q140" s="108">
        <f>'07E_Seeds'!AL135</f>
        <v>0</v>
      </c>
      <c r="R140" s="108">
        <f>'07E_Seeds'!AM135</f>
        <v>0.17307022456672988</v>
      </c>
      <c r="S140" s="108">
        <f>'07E_Seeds'!AN135</f>
        <v>0.57090256335219214</v>
      </c>
      <c r="T140" s="108">
        <f>'07E_Seeds'!AO135</f>
        <v>0.27488014134393712</v>
      </c>
      <c r="U140" s="108">
        <f>'07E_Seeds'!AP135</f>
        <v>0.636213097368451</v>
      </c>
      <c r="V140" s="107"/>
      <c r="W140" s="107"/>
      <c r="X140" s="107"/>
      <c r="Y140" s="107"/>
      <c r="Z140" s="107"/>
      <c r="AA140" s="107"/>
      <c r="AB140" s="107"/>
      <c r="AC140" s="148"/>
      <c r="AD140" s="108"/>
      <c r="AE140" s="108"/>
      <c r="AF140" s="108"/>
      <c r="AG140" s="108"/>
      <c r="AH140" s="108"/>
      <c r="AI140" s="107"/>
      <c r="AJ140" s="107"/>
      <c r="AK140" s="107"/>
      <c r="AL140" s="107"/>
      <c r="AM140" s="107"/>
      <c r="AN140" s="107"/>
    </row>
    <row r="141" spans="2:40" x14ac:dyDescent="0.3">
      <c r="B141" s="107"/>
      <c r="C141" s="129" t="s">
        <v>538</v>
      </c>
      <c r="D141" s="125">
        <f>1.96*D140</f>
        <v>1.0082835747316745</v>
      </c>
      <c r="E141" s="125">
        <f>1.96*E140</f>
        <v>2.5779556493306455</v>
      </c>
      <c r="F141" s="125">
        <f>1.96*F140</f>
        <v>39.34187627174488</v>
      </c>
      <c r="G141" s="125">
        <f>1.96*G140</f>
        <v>26.605008236218421</v>
      </c>
      <c r="H141" s="125">
        <f>1.96*H140</f>
        <v>49.837051633450187</v>
      </c>
      <c r="I141" s="107"/>
      <c r="J141" s="107"/>
      <c r="K141" s="107"/>
      <c r="L141" s="107"/>
      <c r="M141" s="107"/>
      <c r="N141" s="142"/>
      <c r="O141" s="107"/>
      <c r="P141" s="129" t="s">
        <v>538</v>
      </c>
      <c r="Q141" s="125">
        <f>1.96*Q140</f>
        <v>0</v>
      </c>
      <c r="R141" s="125">
        <f>1.96*R140</f>
        <v>0.33921764015079053</v>
      </c>
      <c r="S141" s="125">
        <f>1.96*S140</f>
        <v>1.1189690241702965</v>
      </c>
      <c r="T141" s="125">
        <f>1.96*T140</f>
        <v>0.5387650770341168</v>
      </c>
      <c r="U141" s="125">
        <f>1.96*U140</f>
        <v>1.2469776708421638</v>
      </c>
      <c r="V141" s="107"/>
      <c r="W141" s="107"/>
      <c r="X141" s="107"/>
      <c r="Y141" s="107"/>
      <c r="Z141" s="107"/>
      <c r="AA141" s="107"/>
      <c r="AB141" s="107"/>
      <c r="AC141" s="129"/>
      <c r="AD141" s="125"/>
      <c r="AE141" s="125"/>
      <c r="AF141" s="125"/>
      <c r="AG141" s="125"/>
      <c r="AH141" s="125"/>
      <c r="AI141" s="107"/>
      <c r="AJ141" s="107"/>
      <c r="AK141" s="107"/>
      <c r="AL141" s="107"/>
      <c r="AM141" s="107"/>
      <c r="AN141" s="107"/>
    </row>
    <row r="142" spans="2:40" x14ac:dyDescent="0.3">
      <c r="B142" s="115" t="s">
        <v>409</v>
      </c>
      <c r="C142" s="107" t="s">
        <v>391</v>
      </c>
      <c r="D142" s="146">
        <f>D132/SUM(D132:H132)</f>
        <v>9.1084035462954079E-4</v>
      </c>
      <c r="E142" s="146">
        <f>E132/SUM(D132:H132)</f>
        <v>2.1044136817927866E-3</v>
      </c>
      <c r="F142" s="146">
        <f>F132/SUM(D132:H132)</f>
        <v>0.36283161868859304</v>
      </c>
      <c r="G142" s="146">
        <f>G132/SUM(D132:H132)</f>
        <v>0.35973086755568595</v>
      </c>
      <c r="H142" s="146">
        <f>H132/SUM(D132:H132)</f>
        <v>0.27442225971929862</v>
      </c>
      <c r="I142" s="152">
        <f>SUM(D142:H142)</f>
        <v>1</v>
      </c>
      <c r="J142" s="107"/>
      <c r="K142" s="107"/>
      <c r="L142" s="107"/>
      <c r="M142" s="107"/>
      <c r="N142" s="107"/>
      <c r="O142" s="115" t="s">
        <v>409</v>
      </c>
      <c r="P142" s="107" t="s">
        <v>391</v>
      </c>
      <c r="Q142" s="146">
        <f>Q132/SUM(Q132:U132)</f>
        <v>0</v>
      </c>
      <c r="R142" s="146">
        <f>R132/SUM(Q132:U132)</f>
        <v>5.1442683225109073E-3</v>
      </c>
      <c r="S142" s="146">
        <f>S132/SUM(Q132:U132)</f>
        <v>0.72602826191584546</v>
      </c>
      <c r="T142" s="146">
        <f>T132/SUM(Q132:U132)</f>
        <v>0.18144591811776586</v>
      </c>
      <c r="U142" s="146">
        <f>U132/SUM(Q132:U132)</f>
        <v>8.7381551643877758E-2</v>
      </c>
      <c r="V142" s="152">
        <f>SUM(Q142:U142)</f>
        <v>1</v>
      </c>
      <c r="W142" s="107"/>
      <c r="X142" s="107"/>
      <c r="Y142" s="107"/>
      <c r="Z142" s="107"/>
      <c r="AA142" s="107"/>
      <c r="AB142" s="115" t="s">
        <v>409</v>
      </c>
      <c r="AC142" s="107" t="s">
        <v>391</v>
      </c>
      <c r="AD142" s="146">
        <f>AD132/SUM(AD132:AH132)</f>
        <v>0</v>
      </c>
      <c r="AE142" s="146">
        <f>AE132/SUM(AD132:AH132)</f>
        <v>2.3930987045741144E-2</v>
      </c>
      <c r="AF142" s="146">
        <f>AF132/SUM(AD132:AH132)</f>
        <v>0.40026367075547409</v>
      </c>
      <c r="AG142" s="146">
        <f>AG132/SUM(AD132:AH132)</f>
        <v>0.28072337498567013</v>
      </c>
      <c r="AH142" s="146">
        <f>AH132/SUM(AD132:AH132)</f>
        <v>0.29508196721311475</v>
      </c>
      <c r="AI142" s="152">
        <f>SUM(AD142:AH142)</f>
        <v>1</v>
      </c>
      <c r="AJ142" s="107"/>
      <c r="AK142" s="107"/>
      <c r="AL142" s="107"/>
      <c r="AM142" s="107"/>
      <c r="AN142" s="107"/>
    </row>
    <row r="143" spans="2:40" x14ac:dyDescent="0.3">
      <c r="B143" s="148" t="s">
        <v>801</v>
      </c>
      <c r="C143" s="90" t="s">
        <v>524</v>
      </c>
      <c r="D143" s="108">
        <f>D136*D142</f>
        <v>2.8691471170830553E-3</v>
      </c>
      <c r="E143" s="108">
        <f>E136*D142</f>
        <v>1.4363952392507855E-2</v>
      </c>
      <c r="F143" s="108">
        <f>F136*D142</f>
        <v>0.28921002940197221</v>
      </c>
      <c r="G143" s="108">
        <f>G136*D142</f>
        <v>0.44170292157405</v>
      </c>
      <c r="H143" s="108">
        <f>H136*D142</f>
        <v>0.51240234990039402</v>
      </c>
      <c r="I143" s="107"/>
      <c r="J143" s="107"/>
      <c r="K143" s="107"/>
      <c r="L143" s="107"/>
      <c r="M143" s="107"/>
      <c r="N143" s="107"/>
      <c r="O143" s="148" t="s">
        <v>801</v>
      </c>
      <c r="P143" s="90" t="s">
        <v>524</v>
      </c>
      <c r="Q143" s="108">
        <f>Q136*Q142</f>
        <v>0</v>
      </c>
      <c r="R143" s="108">
        <f>R136*Q142</f>
        <v>0</v>
      </c>
      <c r="S143" s="108">
        <f>S136*Q142</f>
        <v>0</v>
      </c>
      <c r="T143" s="108">
        <f>T136*Q142</f>
        <v>0</v>
      </c>
      <c r="U143" s="108">
        <f>U136*Q142</f>
        <v>0</v>
      </c>
      <c r="V143" s="107"/>
      <c r="W143" s="107"/>
      <c r="X143" s="107"/>
      <c r="Y143" s="107"/>
      <c r="Z143" s="107"/>
      <c r="AA143" s="107"/>
      <c r="AB143" s="148" t="s">
        <v>801</v>
      </c>
      <c r="AC143" s="90" t="s">
        <v>524</v>
      </c>
      <c r="AD143" s="108">
        <f>AD136*AD142</f>
        <v>0</v>
      </c>
      <c r="AE143" s="108">
        <f>AE136*AD142</f>
        <v>0</v>
      </c>
      <c r="AF143" s="108">
        <f>AF136*AD142</f>
        <v>0</v>
      </c>
      <c r="AG143" s="108">
        <f>AG136*AD142</f>
        <v>0</v>
      </c>
      <c r="AH143" s="108">
        <f>AH136*AD142</f>
        <v>0</v>
      </c>
      <c r="AI143" s="107"/>
      <c r="AJ143" s="107"/>
      <c r="AK143" s="107"/>
      <c r="AL143" s="107"/>
      <c r="AM143" s="107"/>
      <c r="AN143" s="107"/>
    </row>
    <row r="144" spans="2:40" x14ac:dyDescent="0.3">
      <c r="B144" s="107" t="s">
        <v>799</v>
      </c>
      <c r="C144" s="91" t="s">
        <v>523</v>
      </c>
      <c r="D144" s="108">
        <f>D136*E142</f>
        <v>6.628903097647282E-3</v>
      </c>
      <c r="E144" s="108">
        <f>E136*E142</f>
        <v>3.3186603761872234E-2</v>
      </c>
      <c r="F144" s="108">
        <f>F136*E142</f>
        <v>0.66819343224284655</v>
      </c>
      <c r="G144" s="108">
        <f>G136*E142</f>
        <v>1.0205143708485951</v>
      </c>
      <c r="H144" s="108">
        <f>H136*E142</f>
        <v>1.183858960829349</v>
      </c>
      <c r="I144" s="107"/>
      <c r="J144" s="107"/>
      <c r="K144" s="107"/>
      <c r="L144" s="107"/>
      <c r="M144" s="107"/>
      <c r="N144" s="107"/>
      <c r="O144" s="107" t="s">
        <v>799</v>
      </c>
      <c r="P144" s="91" t="s">
        <v>523</v>
      </c>
      <c r="Q144" s="108">
        <f>Q136*R142</f>
        <v>0</v>
      </c>
      <c r="R144" s="108">
        <f>R136*R142</f>
        <v>4.9384975896104707E-3</v>
      </c>
      <c r="S144" s="108">
        <f>S136*R142</f>
        <v>4.6092644169697918E-2</v>
      </c>
      <c r="T144" s="108">
        <f>T136*R142</f>
        <v>3.5238238009199688E-2</v>
      </c>
      <c r="U144" s="108">
        <f>U136*R142</f>
        <v>4.0125292915585059E-2</v>
      </c>
      <c r="V144" s="107"/>
      <c r="W144" s="107"/>
      <c r="X144" s="107"/>
      <c r="Y144" s="107"/>
      <c r="Z144" s="107"/>
      <c r="AA144" s="107"/>
      <c r="AB144" s="107" t="s">
        <v>799</v>
      </c>
      <c r="AC144" s="91" t="s">
        <v>523</v>
      </c>
      <c r="AD144" s="108">
        <f>AD136*AE142</f>
        <v>0</v>
      </c>
      <c r="AE144" s="108">
        <f>AE136*AE142</f>
        <v>7.5621919064541993E-2</v>
      </c>
      <c r="AF144" s="108">
        <f>AF136*AE142</f>
        <v>8.7108792846497432E-2</v>
      </c>
      <c r="AG144" s="108">
        <f>AG136*AE142</f>
        <v>5.2169551759715861E-2</v>
      </c>
      <c r="AH144" s="108">
        <f>AH136*AE142</f>
        <v>0.11534735756047215</v>
      </c>
      <c r="AI144" s="107"/>
      <c r="AJ144" s="107"/>
      <c r="AK144" s="107"/>
      <c r="AL144" s="107"/>
      <c r="AM144" s="107"/>
      <c r="AN144" s="107"/>
    </row>
    <row r="145" spans="2:40" x14ac:dyDescent="0.3">
      <c r="B145" s="107"/>
      <c r="C145" s="92" t="s">
        <v>525</v>
      </c>
      <c r="D145" s="108">
        <f>D136*F142</f>
        <v>1.1429195988690688</v>
      </c>
      <c r="E145" s="108">
        <f>E136*F142</f>
        <v>5.7218546267191108</v>
      </c>
      <c r="F145" s="108">
        <f>F136*F142</f>
        <v>115.20629556600223</v>
      </c>
      <c r="G145" s="108">
        <f>G136*F142</f>
        <v>175.95156516684651</v>
      </c>
      <c r="H145" s="108">
        <f>H136*F142</f>
        <v>204.11455540945471</v>
      </c>
      <c r="I145" s="107"/>
      <c r="J145" s="107"/>
      <c r="K145" s="107"/>
      <c r="L145" s="107"/>
      <c r="M145" s="107"/>
      <c r="N145" s="107"/>
      <c r="O145" s="107"/>
      <c r="P145" s="92" t="s">
        <v>525</v>
      </c>
      <c r="Q145" s="108">
        <f>Q136*S142</f>
        <v>0</v>
      </c>
      <c r="R145" s="108">
        <f>R136*S142</f>
        <v>0.69698713143921165</v>
      </c>
      <c r="S145" s="108">
        <f>S136*S142</f>
        <v>6.5052132267660019</v>
      </c>
      <c r="T145" s="108">
        <f>T136*S142</f>
        <v>4.973293594123537</v>
      </c>
      <c r="U145" s="108">
        <f>U136*S142</f>
        <v>5.6630204429435924</v>
      </c>
      <c r="V145" s="107"/>
      <c r="W145" s="107"/>
      <c r="X145" s="107"/>
      <c r="Y145" s="107"/>
      <c r="Z145" s="107"/>
      <c r="AA145" s="107"/>
      <c r="AB145" s="107"/>
      <c r="AC145" s="92" t="s">
        <v>525</v>
      </c>
      <c r="AD145" s="108">
        <f>AD136*AF142</f>
        <v>0</v>
      </c>
      <c r="AE145" s="108">
        <f>AE136*AF142</f>
        <v>1.2648331995872979</v>
      </c>
      <c r="AF145" s="108">
        <f>AF136*AF142</f>
        <v>1.4569597615499201</v>
      </c>
      <c r="AG145" s="108">
        <f>AG136*AF142</f>
        <v>0.87257480224693629</v>
      </c>
      <c r="AH145" s="108">
        <f>AH136*AF142</f>
        <v>1.9292708930413824</v>
      </c>
      <c r="AI145" s="107"/>
      <c r="AJ145" s="107"/>
      <c r="AK145" s="107"/>
      <c r="AL145" s="107"/>
      <c r="AM145" s="107"/>
      <c r="AN145" s="107"/>
    </row>
    <row r="146" spans="2:40" x14ac:dyDescent="0.3">
      <c r="B146" s="107"/>
      <c r="C146" s="124" t="s">
        <v>526</v>
      </c>
      <c r="D146" s="108">
        <f>D136*G142</f>
        <v>1.1331522328004116</v>
      </c>
      <c r="E146" s="108">
        <f>E136*G142</f>
        <v>5.6729557813531661</v>
      </c>
      <c r="F146" s="108">
        <f>F136*G142</f>
        <v>114.22174506628156</v>
      </c>
      <c r="G146" s="108">
        <f>G136*G142</f>
        <v>174.44788691245452</v>
      </c>
      <c r="H146" s="108">
        <f>H136*G142</f>
        <v>202.3701968521265</v>
      </c>
      <c r="I146" s="107"/>
      <c r="J146" s="107"/>
      <c r="K146" s="107"/>
      <c r="L146" s="107"/>
      <c r="M146" s="107"/>
      <c r="N146" s="107"/>
      <c r="O146" s="107"/>
      <c r="P146" s="124" t="s">
        <v>526</v>
      </c>
      <c r="Q146" s="108">
        <f>Q136*T142</f>
        <v>0</v>
      </c>
      <c r="R146" s="108">
        <f>R136*T142</f>
        <v>0.17418808139305522</v>
      </c>
      <c r="S146" s="108">
        <f>S136*T142</f>
        <v>1.6257554263351888</v>
      </c>
      <c r="T146" s="108">
        <f>T136*T142</f>
        <v>1.2429045391066951</v>
      </c>
      <c r="U146" s="108">
        <f>U136*T142</f>
        <v>1.4152781613185732</v>
      </c>
      <c r="V146" s="107"/>
      <c r="W146" s="107"/>
      <c r="X146" s="107"/>
      <c r="Y146" s="107"/>
      <c r="Z146" s="107"/>
      <c r="AA146" s="107"/>
      <c r="AB146" s="107"/>
      <c r="AC146" s="124" t="s">
        <v>526</v>
      </c>
      <c r="AD146" s="108">
        <f>AD136*AG142</f>
        <v>0</v>
      </c>
      <c r="AE146" s="108">
        <f>AE136*AG142</f>
        <v>0.88708586495471742</v>
      </c>
      <c r="AF146" s="108">
        <f>AF136*AG142</f>
        <v>1.0218330849478354</v>
      </c>
      <c r="AG146" s="108">
        <f>AG136*AG142</f>
        <v>0.61197695746876279</v>
      </c>
      <c r="AH146" s="108">
        <f>AH136*AG142</f>
        <v>1.3530866674309281</v>
      </c>
      <c r="AI146" s="107"/>
      <c r="AJ146" s="107"/>
      <c r="AK146" s="107"/>
      <c r="AL146" s="107"/>
      <c r="AM146" s="107"/>
      <c r="AN146" s="107"/>
    </row>
    <row r="147" spans="2:40" x14ac:dyDescent="0.3">
      <c r="B147" s="107"/>
      <c r="C147" s="123" t="s">
        <v>527</v>
      </c>
      <c r="D147" s="125">
        <f>D136*H142</f>
        <v>0.86443011811579129</v>
      </c>
      <c r="E147" s="125">
        <f>E136*H142</f>
        <v>4.3276390357733385</v>
      </c>
      <c r="F147" s="125">
        <f>F136*H142</f>
        <v>87.134555906071824</v>
      </c>
      <c r="G147" s="125">
        <f>G136*H142</f>
        <v>133.0783306282768</v>
      </c>
      <c r="H147" s="125">
        <f>H136*H142</f>
        <v>154.37898642768849</v>
      </c>
      <c r="I147" s="107"/>
      <c r="J147" s="107"/>
      <c r="K147" s="107"/>
      <c r="L147" s="107"/>
      <c r="M147" s="107"/>
      <c r="N147" s="107"/>
      <c r="O147" s="107"/>
      <c r="P147" s="123" t="s">
        <v>527</v>
      </c>
      <c r="Q147" s="125">
        <f>Q136*U142</f>
        <v>0</v>
      </c>
      <c r="R147" s="125">
        <f>R136*U142</f>
        <v>8.388628957812265E-2</v>
      </c>
      <c r="S147" s="125">
        <f>S136*U142</f>
        <v>0.7829387027291479</v>
      </c>
      <c r="T147" s="125">
        <f>T136*U142</f>
        <v>0.59856362876056213</v>
      </c>
      <c r="U147" s="125">
        <f>U136*U142</f>
        <v>0.68157610282224623</v>
      </c>
      <c r="V147" s="107"/>
      <c r="W147" s="107"/>
      <c r="X147" s="107"/>
      <c r="Y147" s="107"/>
      <c r="Z147" s="107"/>
      <c r="AA147" s="107"/>
      <c r="AB147" s="107"/>
      <c r="AC147" s="123" t="s">
        <v>527</v>
      </c>
      <c r="AD147" s="125">
        <f>AD136*AH142</f>
        <v>0</v>
      </c>
      <c r="AE147" s="125">
        <f>AE136*AH142</f>
        <v>0.93245901639344242</v>
      </c>
      <c r="AF147" s="125">
        <f>AF136*AH142</f>
        <v>1.0740983606557337</v>
      </c>
      <c r="AG147" s="125">
        <f>AG136*AH142</f>
        <v>0.64327868852459213</v>
      </c>
      <c r="AH147" s="125">
        <f>AH136*AH142</f>
        <v>1.4222950819672111</v>
      </c>
      <c r="AI147" s="107"/>
      <c r="AJ147" s="107"/>
      <c r="AK147" s="107"/>
      <c r="AL147" s="107"/>
      <c r="AM147" s="107"/>
      <c r="AN147" s="107"/>
    </row>
    <row r="148" spans="2:40" x14ac:dyDescent="0.3">
      <c r="B148" s="107"/>
      <c r="C148" s="107" t="s">
        <v>36</v>
      </c>
      <c r="D148" s="108">
        <f>SUM(D143:D147)</f>
        <v>3.1500000000000021</v>
      </c>
      <c r="E148" s="108">
        <f>SUM(E143:E147)</f>
        <v>15.769999999999996</v>
      </c>
      <c r="F148" s="108">
        <f>SUM(F143:F147)</f>
        <v>317.52000000000044</v>
      </c>
      <c r="G148" s="108">
        <f t="shared" ref="G148" si="200">SUM(G143:G147)</f>
        <v>484.94000000000051</v>
      </c>
      <c r="H148" s="108">
        <f t="shared" ref="H148" si="201">SUM(H143:H147)</f>
        <v>562.55999999999938</v>
      </c>
      <c r="I148" s="107"/>
      <c r="J148" s="107"/>
      <c r="K148" s="107"/>
      <c r="L148" s="107"/>
      <c r="M148" s="107"/>
      <c r="N148" s="107"/>
      <c r="O148" s="107"/>
      <c r="P148" s="107" t="s">
        <v>36</v>
      </c>
      <c r="Q148" s="108">
        <f>SUM(Q143:Q147)</f>
        <v>0</v>
      </c>
      <c r="R148" s="108">
        <f>SUM(R143:R147)</f>
        <v>0.96</v>
      </c>
      <c r="S148" s="108">
        <f>SUM(S143:S147)</f>
        <v>8.9600000000000364</v>
      </c>
      <c r="T148" s="108">
        <f t="shared" ref="T148" si="202">SUM(T143:T147)</f>
        <v>6.8499999999999943</v>
      </c>
      <c r="U148" s="108">
        <f t="shared" ref="U148" si="203">SUM(U143:U147)</f>
        <v>7.7999999999999972</v>
      </c>
      <c r="V148" s="107"/>
      <c r="W148" s="107"/>
      <c r="X148" s="107"/>
      <c r="Y148" s="107"/>
      <c r="Z148" s="107"/>
      <c r="AA148" s="107"/>
      <c r="AB148" s="107"/>
      <c r="AC148" s="107" t="s">
        <v>36</v>
      </c>
      <c r="AD148" s="108">
        <f>SUM(AD143:AD147)</f>
        <v>0</v>
      </c>
      <c r="AE148" s="108">
        <f>SUM(AE143:AE147)</f>
        <v>3.1599999999999997</v>
      </c>
      <c r="AF148" s="108">
        <f>SUM(AF143:AF147)</f>
        <v>3.6399999999999872</v>
      </c>
      <c r="AG148" s="108">
        <f t="shared" ref="AG148" si="204">SUM(AG143:AG147)</f>
        <v>2.1800000000000068</v>
      </c>
      <c r="AH148" s="108">
        <f t="shared" ref="AH148" si="205">SUM(AH143:AH147)</f>
        <v>4.8199999999999941</v>
      </c>
      <c r="AI148" s="107"/>
      <c r="AJ148" s="107"/>
      <c r="AK148" s="107"/>
      <c r="AL148" s="107"/>
      <c r="AM148" s="107"/>
      <c r="AN148" s="107"/>
    </row>
    <row r="149" spans="2:40" x14ac:dyDescent="0.3">
      <c r="B149" s="107" t="s">
        <v>800</v>
      </c>
      <c r="C149" s="212" t="s">
        <v>529</v>
      </c>
      <c r="D149" s="125">
        <f>I134*D142</f>
        <v>7.2669484929373134</v>
      </c>
      <c r="E149" s="125">
        <f>I134*E142</f>
        <v>16.789622633310557</v>
      </c>
      <c r="F149" s="125">
        <f>I134*F142</f>
        <v>2894.7758750670127</v>
      </c>
      <c r="G149" s="125">
        <f>I134*G142</f>
        <v>2870.0371833108516</v>
      </c>
      <c r="H149" s="125">
        <f>I134*H142</f>
        <v>2189.4203704958813</v>
      </c>
      <c r="I149" s="230">
        <f>SUM(D149:H149)</f>
        <v>7978.2899999999936</v>
      </c>
      <c r="J149" s="107"/>
      <c r="K149" s="141"/>
      <c r="L149" s="141"/>
      <c r="M149" s="107"/>
      <c r="N149" s="107"/>
      <c r="O149" s="107" t="s">
        <v>800</v>
      </c>
      <c r="P149" s="212" t="s">
        <v>529</v>
      </c>
      <c r="Q149" s="125">
        <f>V134*Q142</f>
        <v>0</v>
      </c>
      <c r="R149" s="125">
        <f>V134*R142</f>
        <v>3.0563126957701798</v>
      </c>
      <c r="S149" s="125">
        <f>V134*S142</f>
        <v>431.34791096944201</v>
      </c>
      <c r="T149" s="125">
        <f>V134*T142</f>
        <v>107.80064887212704</v>
      </c>
      <c r="U149" s="125">
        <f>V134*U142</f>
        <v>51.915127462660642</v>
      </c>
      <c r="V149" s="230">
        <f>SUM(Q149:U149)</f>
        <v>594.11999999999989</v>
      </c>
      <c r="W149" s="107"/>
      <c r="X149" s="141"/>
      <c r="Y149" s="141"/>
      <c r="Z149" s="107"/>
      <c r="AA149" s="107"/>
      <c r="AB149" s="107" t="s">
        <v>800</v>
      </c>
      <c r="AC149" s="212" t="s">
        <v>529</v>
      </c>
      <c r="AD149" s="125">
        <f>AI134*AD142</f>
        <v>0</v>
      </c>
      <c r="AE149" s="125">
        <f>AI134*AE142</f>
        <v>3.1517109939241097</v>
      </c>
      <c r="AF149" s="125">
        <f>AI134*AF142</f>
        <v>52.714725438495954</v>
      </c>
      <c r="AG149" s="125">
        <f>AI134*AG142</f>
        <v>36.971268485612768</v>
      </c>
      <c r="AH149" s="125">
        <f>AI134*AH142</f>
        <v>38.862295081967225</v>
      </c>
      <c r="AI149" s="230">
        <f>SUM(AD149:AH149)</f>
        <v>131.70000000000007</v>
      </c>
      <c r="AJ149" s="107"/>
      <c r="AK149" s="141"/>
      <c r="AL149" s="141"/>
      <c r="AM149" s="107"/>
      <c r="AN149" s="107"/>
    </row>
    <row r="150" spans="2:40" x14ac:dyDescent="0.3">
      <c r="B150" s="107" t="s">
        <v>802</v>
      </c>
      <c r="C150" s="107" t="s">
        <v>803</v>
      </c>
      <c r="D150" s="108">
        <f>SUM(D143:H143)+D149</f>
        <v>8.5274968933233204</v>
      </c>
      <c r="E150" s="108">
        <f>SUM(D144:H144)+E149</f>
        <v>19.702004904090867</v>
      </c>
      <c r="F150" s="108">
        <f>SUM(D145:H145)+F149</f>
        <v>3396.9130654349046</v>
      </c>
      <c r="G150" s="108">
        <f>SUM(D146:H146)+G149</f>
        <v>3367.8831201558678</v>
      </c>
      <c r="H150" s="108">
        <f>SUM(D147:H147)+H149</f>
        <v>2569.2043126118078</v>
      </c>
      <c r="I150" s="107"/>
      <c r="J150" s="107"/>
      <c r="K150" s="108">
        <f>D150+E150+G150+H150</f>
        <v>5965.3169345650895</v>
      </c>
      <c r="L150" s="108">
        <f>F150</f>
        <v>3396.9130654349046</v>
      </c>
      <c r="M150" s="107"/>
      <c r="N150" s="107"/>
      <c r="O150" s="107" t="s">
        <v>802</v>
      </c>
      <c r="P150" s="107" t="s">
        <v>803</v>
      </c>
      <c r="Q150" s="108">
        <f>SUM(Q143:U143)+Q149</f>
        <v>0</v>
      </c>
      <c r="R150" s="108">
        <f>SUM(Q144:U144)+R149</f>
        <v>3.182707368454273</v>
      </c>
      <c r="S150" s="108">
        <f>SUM(Q145:U145)+S149</f>
        <v>449.18642536471435</v>
      </c>
      <c r="T150" s="108">
        <f>SUM(Q146:U146)+T149</f>
        <v>112.25877508028056</v>
      </c>
      <c r="U150" s="108">
        <f>SUM(Q147:U147)+U149</f>
        <v>54.062092186550721</v>
      </c>
      <c r="V150" s="107"/>
      <c r="W150" s="107"/>
      <c r="X150" s="108">
        <f>Q150+R150+T150+U150</f>
        <v>169.50357463528556</v>
      </c>
      <c r="Y150" s="108">
        <f>S150</f>
        <v>449.18642536471435</v>
      </c>
      <c r="Z150" s="107"/>
      <c r="AA150" s="107"/>
      <c r="AB150" s="107" t="s">
        <v>802</v>
      </c>
      <c r="AC150" s="107" t="s">
        <v>803</v>
      </c>
      <c r="AD150" s="108">
        <f>SUM(AD143:AH143)+AD149</f>
        <v>0</v>
      </c>
      <c r="AE150" s="108">
        <f>SUM(AD144:AH144)+AE149</f>
        <v>3.481958615155337</v>
      </c>
      <c r="AF150" s="108">
        <f>SUM(AD145:AH145)+AF149</f>
        <v>58.238364094921494</v>
      </c>
      <c r="AG150" s="108">
        <f>SUM(AD146:AH146)+AG149</f>
        <v>40.845251060415009</v>
      </c>
      <c r="AH150" s="108">
        <f>SUM(AD147:AH147)+AH149</f>
        <v>42.934426229508205</v>
      </c>
      <c r="AI150" s="107"/>
      <c r="AJ150" s="107"/>
      <c r="AK150" s="108">
        <f>AD150+AE150+AG150+AH150</f>
        <v>87.261635905078549</v>
      </c>
      <c r="AL150" s="108">
        <f>AF150</f>
        <v>58.238364094921494</v>
      </c>
      <c r="AM150" s="107"/>
      <c r="AN150" s="107"/>
    </row>
    <row r="151" spans="2:40" x14ac:dyDescent="0.3">
      <c r="B151" s="107" t="s">
        <v>802</v>
      </c>
      <c r="C151" s="107" t="s">
        <v>804</v>
      </c>
      <c r="D151" s="146">
        <f>D150/$N$2</f>
        <v>1.9640423826389693E-4</v>
      </c>
      <c r="E151" s="146">
        <f t="shared" ref="E151" si="206">E150/$N$2</f>
        <v>4.5377410439037893E-4</v>
      </c>
      <c r="F151" s="146">
        <f t="shared" ref="F151" si="207">F150/$N$2</f>
        <v>7.8237275417571459E-2</v>
      </c>
      <c r="G151" s="146">
        <f t="shared" ref="G151" si="208">G150/$N$2</f>
        <v>7.7568661361102437E-2</v>
      </c>
      <c r="H151" s="146">
        <f t="shared" ref="H151" si="209">H150/$N$2</f>
        <v>5.9173591298277012E-2</v>
      </c>
      <c r="I151" s="107"/>
      <c r="J151" s="107"/>
      <c r="K151" s="152">
        <f>K150/$N$2</f>
        <v>0.13739243100203372</v>
      </c>
      <c r="L151" s="147">
        <f>L150/$N$2</f>
        <v>7.8237275417571459E-2</v>
      </c>
      <c r="M151" s="107"/>
      <c r="N151" s="107"/>
      <c r="O151" s="107" t="s">
        <v>802</v>
      </c>
      <c r="P151" s="107" t="s">
        <v>804</v>
      </c>
      <c r="Q151" s="146">
        <f>Q150/$N$3</f>
        <v>0</v>
      </c>
      <c r="R151" s="146">
        <f t="shared" ref="R151" si="210">R150/$N$3</f>
        <v>1.7097082369285129E-3</v>
      </c>
      <c r="S151" s="146">
        <f t="shared" ref="S151" si="211">S150/$N$3</f>
        <v>0.2412969973219706</v>
      </c>
      <c r="T151" s="146">
        <f t="shared" ref="T151" si="212">T150/$N$3</f>
        <v>6.03039268782899E-2</v>
      </c>
      <c r="U151" s="146">
        <f t="shared" ref="U151" si="213">U150/$N$3</f>
        <v>2.9041439760710549E-2</v>
      </c>
      <c r="V151" s="107"/>
      <c r="W151" s="107"/>
      <c r="X151" s="152">
        <f>X150/$N$3</f>
        <v>9.1055074875928968E-2</v>
      </c>
      <c r="Y151" s="152">
        <f>Y150/$N$3</f>
        <v>0.2412969973219706</v>
      </c>
      <c r="Z151" s="107"/>
      <c r="AA151" s="107"/>
      <c r="AB151" s="107" t="s">
        <v>802</v>
      </c>
      <c r="AC151" s="107" t="s">
        <v>804</v>
      </c>
      <c r="AD151" s="146">
        <f>AD150/$N$4</f>
        <v>0</v>
      </c>
      <c r="AE151" s="146">
        <f t="shared" ref="AE151" si="214">AE150/$N$4</f>
        <v>7.2447226814434211E-3</v>
      </c>
      <c r="AF151" s="146">
        <f t="shared" ref="AF151" si="215">AF150/$N$4</f>
        <v>0.12117340954375909</v>
      </c>
      <c r="AG151" s="146">
        <f t="shared" ref="AG151" si="216">AG150/$N$4</f>
        <v>8.4984501394896189E-2</v>
      </c>
      <c r="AH151" s="146">
        <f t="shared" ref="AH151" si="217">AH150/$N$4</f>
        <v>8.9331335003762238E-2</v>
      </c>
      <c r="AI151" s="107"/>
      <c r="AJ151" s="107"/>
      <c r="AK151" s="152">
        <f>AK150/$N$4</f>
        <v>0.18156055908010185</v>
      </c>
      <c r="AL151" s="152">
        <f>AL150/$N$4</f>
        <v>0.12117340954375909</v>
      </c>
      <c r="AM151" s="107"/>
      <c r="AN151" s="107"/>
    </row>
    <row r="154" spans="2:40" x14ac:dyDescent="0.3">
      <c r="D154" t="s">
        <v>498</v>
      </c>
      <c r="E154" t="s">
        <v>499</v>
      </c>
      <c r="F154" t="s">
        <v>500</v>
      </c>
      <c r="G154" t="s">
        <v>501</v>
      </c>
      <c r="H154" t="s">
        <v>502</v>
      </c>
      <c r="Q154" t="s">
        <v>498</v>
      </c>
      <c r="R154" t="s">
        <v>499</v>
      </c>
      <c r="S154" t="s">
        <v>500</v>
      </c>
      <c r="T154" t="s">
        <v>501</v>
      </c>
      <c r="U154" t="s">
        <v>502</v>
      </c>
      <c r="AD154" t="s">
        <v>498</v>
      </c>
      <c r="AE154" t="s">
        <v>499</v>
      </c>
      <c r="AF154" t="s">
        <v>500</v>
      </c>
      <c r="AG154" t="s">
        <v>501</v>
      </c>
      <c r="AH154" t="s">
        <v>502</v>
      </c>
    </row>
    <row r="155" spans="2:40" x14ac:dyDescent="0.3">
      <c r="B155" s="118" t="s">
        <v>375</v>
      </c>
      <c r="C155" s="8">
        <v>20</v>
      </c>
      <c r="D155" s="90" t="s">
        <v>524</v>
      </c>
      <c r="E155" s="91" t="s">
        <v>523</v>
      </c>
      <c r="F155" s="92" t="s">
        <v>525</v>
      </c>
      <c r="G155" s="124" t="s">
        <v>526</v>
      </c>
      <c r="H155" s="123" t="s">
        <v>527</v>
      </c>
      <c r="I155" s="212" t="s">
        <v>529</v>
      </c>
      <c r="J155" s="213" t="s">
        <v>599</v>
      </c>
      <c r="K155" s="214" t="s">
        <v>600</v>
      </c>
      <c r="L155" s="215" t="s">
        <v>525</v>
      </c>
      <c r="Q155" s="90" t="s">
        <v>524</v>
      </c>
      <c r="R155" s="91" t="s">
        <v>523</v>
      </c>
      <c r="S155" s="92" t="s">
        <v>525</v>
      </c>
      <c r="T155" s="124" t="s">
        <v>526</v>
      </c>
      <c r="U155" s="123" t="s">
        <v>527</v>
      </c>
      <c r="V155" s="212" t="s">
        <v>529</v>
      </c>
      <c r="W155" s="213" t="s">
        <v>599</v>
      </c>
      <c r="X155" s="214" t="s">
        <v>600</v>
      </c>
      <c r="Y155" s="215" t="s">
        <v>525</v>
      </c>
      <c r="AD155" s="90" t="s">
        <v>524</v>
      </c>
      <c r="AE155" s="91" t="s">
        <v>523</v>
      </c>
      <c r="AF155" s="92" t="s">
        <v>525</v>
      </c>
      <c r="AG155" s="124" t="s">
        <v>526</v>
      </c>
      <c r="AH155" s="123" t="s">
        <v>527</v>
      </c>
      <c r="AI155" s="212" t="s">
        <v>529</v>
      </c>
      <c r="AJ155" s="213" t="s">
        <v>599</v>
      </c>
      <c r="AK155" s="214" t="s">
        <v>600</v>
      </c>
      <c r="AL155" s="215" t="s">
        <v>525</v>
      </c>
    </row>
    <row r="156" spans="2:40" x14ac:dyDescent="0.3">
      <c r="B156" s="119" t="s">
        <v>447</v>
      </c>
      <c r="C156" s="107"/>
      <c r="D156" s="116"/>
      <c r="E156" s="116"/>
      <c r="F156" s="116"/>
      <c r="G156" s="116"/>
      <c r="H156" s="116"/>
      <c r="I156" s="107"/>
      <c r="J156" s="107"/>
      <c r="K156" s="107"/>
      <c r="L156" s="107"/>
      <c r="M156" s="107"/>
      <c r="N156" s="142"/>
      <c r="O156" s="119" t="s">
        <v>448</v>
      </c>
      <c r="P156" s="107"/>
      <c r="Q156" s="116"/>
      <c r="R156" s="116"/>
      <c r="S156" s="116"/>
      <c r="T156" s="116"/>
      <c r="U156" s="116"/>
      <c r="V156" s="107"/>
      <c r="W156" s="107"/>
      <c r="X156" s="107"/>
      <c r="Y156" s="107"/>
      <c r="Z156" s="107"/>
      <c r="AA156" s="142"/>
      <c r="AB156" s="119" t="s">
        <v>629</v>
      </c>
      <c r="AC156" s="107"/>
      <c r="AD156" s="116"/>
      <c r="AE156" s="116"/>
      <c r="AF156" s="116"/>
      <c r="AG156" s="116"/>
      <c r="AH156" s="116"/>
      <c r="AI156" s="107"/>
      <c r="AJ156" s="107"/>
      <c r="AK156" s="107"/>
      <c r="AL156" s="107"/>
      <c r="AM156" s="107"/>
      <c r="AN156" s="107"/>
    </row>
    <row r="157" spans="2:40" x14ac:dyDescent="0.3">
      <c r="B157" s="115" t="s">
        <v>409</v>
      </c>
      <c r="C157" s="122" t="s">
        <v>9</v>
      </c>
      <c r="D157" s="136">
        <f>'11E_Seeds'!AL127</f>
        <v>32.36</v>
      </c>
      <c r="E157" s="136">
        <f>'11E_Seeds'!AM127</f>
        <v>572.15</v>
      </c>
      <c r="F157" s="136">
        <f>'11E_Seeds'!AN127</f>
        <v>16007.08</v>
      </c>
      <c r="G157" s="136">
        <f>'11E_Seeds'!AO127</f>
        <v>14757.46</v>
      </c>
      <c r="H157" s="136">
        <f>'11E_Seeds'!AP127</f>
        <v>10221.14</v>
      </c>
      <c r="I157" s="108">
        <f>$N$2-N157</f>
        <v>1827.8999999999942</v>
      </c>
      <c r="J157" s="108"/>
      <c r="K157" s="108">
        <f>D157+E157+G157+H157</f>
        <v>25583.11</v>
      </c>
      <c r="L157" s="108">
        <f>F157</f>
        <v>16007.08</v>
      </c>
      <c r="M157" s="115" t="s">
        <v>36</v>
      </c>
      <c r="N157" s="137">
        <f>SUM(D157:H157)</f>
        <v>41590.19</v>
      </c>
      <c r="O157" s="115" t="s">
        <v>409</v>
      </c>
      <c r="P157" s="122" t="s">
        <v>9</v>
      </c>
      <c r="Q157" s="136">
        <f>'11E_Seeds'!AL132</f>
        <v>0.27</v>
      </c>
      <c r="R157" s="136">
        <f>'11E_Seeds'!AM132</f>
        <v>40.4</v>
      </c>
      <c r="S157" s="136">
        <f>'11E_Seeds'!AN132</f>
        <v>1289.2</v>
      </c>
      <c r="T157" s="136">
        <f>'11E_Seeds'!AO132</f>
        <v>391.02</v>
      </c>
      <c r="U157" s="136">
        <f>'11E_Seeds'!AP132</f>
        <v>100.1</v>
      </c>
      <c r="V157" s="108">
        <f>$N$3-AA157</f>
        <v>40.559999999999945</v>
      </c>
      <c r="W157" s="108"/>
      <c r="X157" s="108">
        <f>Q157+R157+T157+U157</f>
        <v>531.79</v>
      </c>
      <c r="Y157" s="108">
        <f>S157</f>
        <v>1289.2</v>
      </c>
      <c r="Z157" s="115" t="s">
        <v>36</v>
      </c>
      <c r="AA157" s="137">
        <f>SUM(Q157:U157)</f>
        <v>1820.99</v>
      </c>
      <c r="AB157" s="115" t="s">
        <v>409</v>
      </c>
      <c r="AC157" s="122" t="s">
        <v>9</v>
      </c>
      <c r="AD157" s="136">
        <v>0</v>
      </c>
      <c r="AE157" s="136">
        <v>19.079999999999998</v>
      </c>
      <c r="AF157" s="136">
        <v>162.13999999999999</v>
      </c>
      <c r="AG157" s="136">
        <v>177.49</v>
      </c>
      <c r="AH157" s="136">
        <v>101.53</v>
      </c>
      <c r="AI157" s="108">
        <f>$N$4-AN157</f>
        <v>20.379999999999995</v>
      </c>
      <c r="AJ157" s="108"/>
      <c r="AK157" s="108">
        <f>AD157+AE157+AG157+AH157</f>
        <v>298.10000000000002</v>
      </c>
      <c r="AL157" s="108">
        <f>AF157</f>
        <v>162.13999999999999</v>
      </c>
      <c r="AM157" s="115" t="s">
        <v>36</v>
      </c>
      <c r="AN157" s="137">
        <f>SUM(AD157:AH157)</f>
        <v>460.24</v>
      </c>
    </row>
    <row r="158" spans="2:40" x14ac:dyDescent="0.3">
      <c r="B158" s="107"/>
      <c r="C158" s="141" t="s">
        <v>534</v>
      </c>
      <c r="D158" s="151">
        <f t="shared" ref="D158:I158" si="218">D157/$N$2</f>
        <v>7.4531145888729797E-4</v>
      </c>
      <c r="E158" s="151">
        <f t="shared" si="218"/>
        <v>1.317768699636488E-2</v>
      </c>
      <c r="F158" s="151">
        <f t="shared" si="218"/>
        <v>0.36867305770474934</v>
      </c>
      <c r="G158" s="151">
        <f t="shared" si="218"/>
        <v>0.33989196668946053</v>
      </c>
      <c r="H158" s="151">
        <f t="shared" si="218"/>
        <v>0.23541201374818654</v>
      </c>
      <c r="I158" s="151">
        <f t="shared" si="218"/>
        <v>4.2099963402351288E-2</v>
      </c>
      <c r="J158" s="151"/>
      <c r="K158" s="151">
        <f>K157/$N$2</f>
        <v>0.58922697889289932</v>
      </c>
      <c r="L158" s="151">
        <f>L157/$N$2</f>
        <v>0.36867305770474934</v>
      </c>
      <c r="M158" s="145">
        <f>SUM(D158:I158)</f>
        <v>1</v>
      </c>
      <c r="N158" s="142"/>
      <c r="O158" s="107"/>
      <c r="P158" s="141" t="s">
        <v>533</v>
      </c>
      <c r="Q158" s="151">
        <f t="shared" ref="Q158:V158" si="219">Q157/$N$3</f>
        <v>1.4504042330316136E-4</v>
      </c>
      <c r="R158" s="151">
        <f t="shared" si="219"/>
        <v>2.1702344820176734E-2</v>
      </c>
      <c r="S158" s="151">
        <f t="shared" si="219"/>
        <v>0.69254116193494675</v>
      </c>
      <c r="T158" s="151">
        <f t="shared" si="219"/>
        <v>0.2100507641481561</v>
      </c>
      <c r="U158" s="151">
        <f t="shared" si="219"/>
        <v>5.3772393972764627E-2</v>
      </c>
      <c r="V158" s="151">
        <f t="shared" si="219"/>
        <v>2.1788294700652654E-2</v>
      </c>
      <c r="W158" s="151"/>
      <c r="X158" s="151">
        <f>X157/$N$3</f>
        <v>0.28567054336440062</v>
      </c>
      <c r="Y158" s="151">
        <f>Y157/$N$3</f>
        <v>0.69254116193494675</v>
      </c>
      <c r="Z158" s="145">
        <f>SUM(Q158:V158)</f>
        <v>1</v>
      </c>
      <c r="AA158" s="142"/>
      <c r="AB158" s="107"/>
      <c r="AC158" s="141" t="s">
        <v>533</v>
      </c>
      <c r="AD158" s="151">
        <f>AD157/$N$4</f>
        <v>0</v>
      </c>
      <c r="AE158" s="151">
        <f t="shared" ref="AE158" si="220">AE157/$N$4</f>
        <v>3.9698722483458862E-2</v>
      </c>
      <c r="AF158" s="151">
        <f t="shared" ref="AF158" si="221">AF157/$N$4</f>
        <v>0.33735591527610165</v>
      </c>
      <c r="AG158" s="151">
        <f t="shared" ref="AG158" si="222">AG157/$N$4</f>
        <v>0.36929382880446093</v>
      </c>
      <c r="AH158" s="151">
        <f t="shared" ref="AH158" si="223">AH157/$N$4</f>
        <v>0.21124797137031334</v>
      </c>
      <c r="AI158" s="151">
        <f t="shared" ref="AI158" si="224">AI157/$N$4</f>
        <v>4.2403562065665173E-2</v>
      </c>
      <c r="AJ158" s="151"/>
      <c r="AK158" s="151">
        <f t="shared" ref="AK158" si="225">AK157/$N$4</f>
        <v>0.62024052265823315</v>
      </c>
      <c r="AL158" s="151">
        <f t="shared" ref="AL158" si="226">AL157/$N$4</f>
        <v>0.33735591527610165</v>
      </c>
      <c r="AM158" s="145">
        <f>SUM(AD158:AI158)</f>
        <v>1</v>
      </c>
      <c r="AN158" s="107"/>
    </row>
    <row r="159" spans="2:40" x14ac:dyDescent="0.3">
      <c r="B159" s="107" t="s">
        <v>598</v>
      </c>
      <c r="C159" s="107" t="s">
        <v>9</v>
      </c>
      <c r="D159" s="108">
        <v>13.15</v>
      </c>
      <c r="E159" s="108">
        <v>474.95</v>
      </c>
      <c r="F159" s="108">
        <v>15458.2</v>
      </c>
      <c r="G159" s="108">
        <v>14152.66</v>
      </c>
      <c r="H159" s="108">
        <v>9670.69</v>
      </c>
      <c r="I159" s="108">
        <f>I157</f>
        <v>1827.8999999999942</v>
      </c>
      <c r="J159" s="108">
        <f>SUM(D157:H157)-SUM(D159:H159)</f>
        <v>1820.5400000000009</v>
      </c>
      <c r="K159" s="108">
        <f>D159+E159+G159+H159</f>
        <v>24311.45</v>
      </c>
      <c r="L159" s="108">
        <f>F159</f>
        <v>15458.2</v>
      </c>
      <c r="M159" s="115" t="s">
        <v>609</v>
      </c>
      <c r="N159" s="196">
        <f>SUM(D159:H159)</f>
        <v>39769.65</v>
      </c>
      <c r="O159" s="107" t="s">
        <v>598</v>
      </c>
      <c r="P159" s="122" t="s">
        <v>9</v>
      </c>
      <c r="Q159" s="108">
        <v>0.09</v>
      </c>
      <c r="R159" s="108">
        <v>33.020000000000003</v>
      </c>
      <c r="S159" s="108">
        <v>1267.1199999999999</v>
      </c>
      <c r="T159" s="108">
        <v>377.28</v>
      </c>
      <c r="U159" s="108">
        <v>87.79</v>
      </c>
      <c r="V159" s="108">
        <f>V157</f>
        <v>40.559999999999945</v>
      </c>
      <c r="W159" s="108">
        <f>SUM(Q157:U157)-SUM(Q159:U159)</f>
        <v>55.690000000000282</v>
      </c>
      <c r="X159" s="108">
        <f>Q159+R159+T159+U159</f>
        <v>498.18</v>
      </c>
      <c r="Y159" s="108">
        <f>S159</f>
        <v>1267.1199999999999</v>
      </c>
      <c r="Z159" s="115" t="s">
        <v>609</v>
      </c>
      <c r="AA159" s="196">
        <f>SUM(Q159:U159)</f>
        <v>1765.2999999999997</v>
      </c>
      <c r="AB159" s="107" t="s">
        <v>598</v>
      </c>
      <c r="AC159" s="122" t="s">
        <v>9</v>
      </c>
      <c r="AD159" s="108">
        <v>0</v>
      </c>
      <c r="AE159" s="108">
        <v>16.670000000000002</v>
      </c>
      <c r="AF159" s="108">
        <v>153.06</v>
      </c>
      <c r="AG159" s="108">
        <v>170.3</v>
      </c>
      <c r="AH159" s="108">
        <v>95.48</v>
      </c>
      <c r="AI159" s="108">
        <f>AI157</f>
        <v>20.379999999999995</v>
      </c>
      <c r="AJ159" s="108">
        <f>SUM(AD157:AH157)-SUM(AD159:AH159)</f>
        <v>24.729999999999961</v>
      </c>
      <c r="AK159" s="108">
        <f>AD159+AE159+AG159+AH159</f>
        <v>282.45000000000005</v>
      </c>
      <c r="AL159" s="108">
        <f>AF159</f>
        <v>153.06</v>
      </c>
      <c r="AM159" s="115" t="s">
        <v>609</v>
      </c>
      <c r="AN159" s="196">
        <f>SUM(AD159:AH159)</f>
        <v>435.51000000000005</v>
      </c>
    </row>
    <row r="160" spans="2:40" x14ac:dyDescent="0.3">
      <c r="B160" s="107"/>
      <c r="C160" s="141" t="s">
        <v>533</v>
      </c>
      <c r="D160" s="151">
        <f t="shared" ref="D160:L160" si="227">D159/$N$2</f>
        <v>3.0286914970234762E-4</v>
      </c>
      <c r="E160" s="151">
        <f t="shared" si="227"/>
        <v>1.0938988794762737E-2</v>
      </c>
      <c r="F160" s="151">
        <f t="shared" si="227"/>
        <v>0.35603132242804791</v>
      </c>
      <c r="G160" s="151">
        <f t="shared" si="227"/>
        <v>0.32596228899060281</v>
      </c>
      <c r="H160" s="151">
        <f t="shared" si="227"/>
        <v>0.22273411842851681</v>
      </c>
      <c r="I160" s="151">
        <f t="shared" si="227"/>
        <v>4.2099963402351288E-2</v>
      </c>
      <c r="J160" s="151">
        <f t="shared" si="227"/>
        <v>4.1930448806016131E-2</v>
      </c>
      <c r="K160" s="151">
        <f t="shared" si="227"/>
        <v>0.55993826536358471</v>
      </c>
      <c r="L160" s="151">
        <f t="shared" si="227"/>
        <v>0.35603132242804791</v>
      </c>
      <c r="M160" s="145">
        <f>SUM(D160:J160)</f>
        <v>1</v>
      </c>
      <c r="N160" s="195">
        <f>N159/N157</f>
        <v>0.9562266967282429</v>
      </c>
      <c r="O160" s="107"/>
      <c r="P160" s="141" t="s">
        <v>533</v>
      </c>
      <c r="Q160" s="151">
        <f t="shared" ref="Q160:Y160" si="228">Q159/$N$3</f>
        <v>4.834680776772045E-5</v>
      </c>
      <c r="R160" s="151">
        <f t="shared" si="228"/>
        <v>1.7737906583223662E-2</v>
      </c>
      <c r="S160" s="151">
        <f t="shared" si="228"/>
        <v>0.68068007842926592</v>
      </c>
      <c r="T160" s="151">
        <f t="shared" si="228"/>
        <v>0.2026698181622841</v>
      </c>
      <c r="U160" s="151">
        <f t="shared" si="228"/>
        <v>4.715962504364643E-2</v>
      </c>
      <c r="V160" s="151">
        <f t="shared" si="228"/>
        <v>2.1788294700652654E-2</v>
      </c>
      <c r="W160" s="151">
        <f t="shared" si="228"/>
        <v>2.9915930273159617E-2</v>
      </c>
      <c r="X160" s="151">
        <f t="shared" si="228"/>
        <v>0.26761569659692191</v>
      </c>
      <c r="Y160" s="151">
        <f t="shared" si="228"/>
        <v>0.68068007842926592</v>
      </c>
      <c r="Z160" s="145">
        <f>SUM(Q160:W160)</f>
        <v>1.0000000000000002</v>
      </c>
      <c r="AA160" s="195">
        <f>AA159/AA157</f>
        <v>0.96941773430935907</v>
      </c>
      <c r="AB160" s="107"/>
      <c r="AC160" s="141" t="s">
        <v>533</v>
      </c>
      <c r="AD160" s="151">
        <f t="shared" ref="AD160" si="229">AD159/$N$4</f>
        <v>0</v>
      </c>
      <c r="AE160" s="151">
        <f t="shared" ref="AE160" si="230">AE159/$N$4</f>
        <v>3.468436602721485E-2</v>
      </c>
      <c r="AF160" s="151">
        <f t="shared" ref="AF160" si="231">AF159/$N$4</f>
        <v>0.31846365111730679</v>
      </c>
      <c r="AG160" s="151">
        <f t="shared" ref="AG160" si="232">AG159/$N$4</f>
        <v>0.35433398526902754</v>
      </c>
      <c r="AH160" s="151">
        <f t="shared" ref="AH160" si="233">AH159/$N$4</f>
        <v>0.19866006408389164</v>
      </c>
      <c r="AI160" s="151">
        <f t="shared" ref="AI160" si="234">AI159/$N$4</f>
        <v>4.2403562065665173E-2</v>
      </c>
      <c r="AJ160" s="151">
        <f t="shared" ref="AJ160" si="235">AJ159/$N$4</f>
        <v>5.145437143689393E-2</v>
      </c>
      <c r="AK160" s="151">
        <f t="shared" ref="AK160" si="236">AK159/$N$4</f>
        <v>0.5876784153801341</v>
      </c>
      <c r="AL160" s="151">
        <f t="shared" ref="AL160" si="237">AL159/$N$4</f>
        <v>0.31846365111730679</v>
      </c>
      <c r="AM160" s="145">
        <f>SUM(AD160:AJ160)</f>
        <v>1</v>
      </c>
      <c r="AN160" s="195">
        <f>AN159/AN157</f>
        <v>0.94626716495741359</v>
      </c>
    </row>
    <row r="161" spans="2:40" x14ac:dyDescent="0.3">
      <c r="B161" s="107"/>
      <c r="C161" s="107" t="s">
        <v>601</v>
      </c>
      <c r="D161" s="112">
        <f>D157-D159</f>
        <v>19.21</v>
      </c>
      <c r="E161" s="112">
        <f>E157-E159</f>
        <v>97.199999999999989</v>
      </c>
      <c r="F161" s="112">
        <f>F157-F159</f>
        <v>548.8799999999992</v>
      </c>
      <c r="G161" s="112">
        <f>G157-G159</f>
        <v>604.79999999999927</v>
      </c>
      <c r="H161" s="112">
        <f>H157-H159</f>
        <v>550.44999999999891</v>
      </c>
      <c r="I161" s="147"/>
      <c r="J161" s="147"/>
      <c r="K161" s="112">
        <f>K157-K159</f>
        <v>1271.6599999999999</v>
      </c>
      <c r="L161" s="108">
        <f>F161</f>
        <v>548.8799999999992</v>
      </c>
      <c r="M161" s="145"/>
      <c r="N161" s="107"/>
      <c r="O161" s="107"/>
      <c r="P161" s="107" t="s">
        <v>601</v>
      </c>
      <c r="Q161" s="112">
        <f>Q157-Q159</f>
        <v>0.18000000000000002</v>
      </c>
      <c r="R161" s="112">
        <f>R157-R159</f>
        <v>7.3799999999999955</v>
      </c>
      <c r="S161" s="112">
        <f>S157-S159</f>
        <v>22.080000000000155</v>
      </c>
      <c r="T161" s="112">
        <f>T157-T159</f>
        <v>13.740000000000009</v>
      </c>
      <c r="U161" s="112">
        <f>U157-U159</f>
        <v>12.309999999999988</v>
      </c>
      <c r="V161" s="147"/>
      <c r="W161" s="147"/>
      <c r="X161" s="112">
        <f>X157-X159</f>
        <v>33.609999999999957</v>
      </c>
      <c r="Y161" s="108">
        <f>S161</f>
        <v>22.080000000000155</v>
      </c>
      <c r="Z161" s="145"/>
      <c r="AA161" s="107"/>
      <c r="AB161" s="107"/>
      <c r="AC161" s="107" t="s">
        <v>601</v>
      </c>
      <c r="AD161" s="112">
        <f>AD157-AD159</f>
        <v>0</v>
      </c>
      <c r="AE161" s="112">
        <f>AE157-AE159</f>
        <v>2.4099999999999966</v>
      </c>
      <c r="AF161" s="112">
        <f>AF157-AF159</f>
        <v>9.0799999999999841</v>
      </c>
      <c r="AG161" s="112">
        <f>AG157-AG159</f>
        <v>7.1899999999999977</v>
      </c>
      <c r="AH161" s="112">
        <f>AH157-AH159</f>
        <v>6.0499999999999972</v>
      </c>
      <c r="AI161" s="147"/>
      <c r="AJ161" s="147"/>
      <c r="AK161" s="112">
        <f>AK157-AK159</f>
        <v>15.649999999999977</v>
      </c>
      <c r="AL161" s="108">
        <f>AF161</f>
        <v>9.0799999999999841</v>
      </c>
      <c r="AM161" s="145"/>
      <c r="AN161" s="107"/>
    </row>
    <row r="162" spans="2:40" x14ac:dyDescent="0.3">
      <c r="B162" s="107"/>
      <c r="C162" s="107" t="s">
        <v>602</v>
      </c>
      <c r="D162" s="147">
        <f>D161/D157</f>
        <v>0.59363411619283069</v>
      </c>
      <c r="E162" s="147">
        <f>E161/E157</f>
        <v>0.16988551953159134</v>
      </c>
      <c r="F162" s="147">
        <f>F161/F157</f>
        <v>3.4289826751662339E-2</v>
      </c>
      <c r="G162" s="147">
        <f>G161/G157</f>
        <v>4.0982662328069963E-2</v>
      </c>
      <c r="H162" s="147">
        <f>H161/H157</f>
        <v>5.38540710723069E-2</v>
      </c>
      <c r="I162" s="147"/>
      <c r="J162" s="147"/>
      <c r="K162" s="151">
        <f>K161/K157</f>
        <v>4.9707013728979774E-2</v>
      </c>
      <c r="L162" s="151">
        <f>L161/$N$2</f>
        <v>1.2641735276701468E-2</v>
      </c>
      <c r="M162" s="145"/>
      <c r="N162" s="107"/>
      <c r="O162" s="107"/>
      <c r="P162" s="107" t="s">
        <v>602</v>
      </c>
      <c r="Q162" s="147">
        <f>Q161/Q157</f>
        <v>0.66666666666666674</v>
      </c>
      <c r="R162" s="147">
        <f>R161/R157</f>
        <v>0.18267326732673256</v>
      </c>
      <c r="S162" s="147">
        <f>S161/S157</f>
        <v>1.7126900403351034E-2</v>
      </c>
      <c r="T162" s="147">
        <f>T161/T157</f>
        <v>3.5138867577106055E-2</v>
      </c>
      <c r="U162" s="147">
        <f>U161/U157</f>
        <v>0.12297702297702287</v>
      </c>
      <c r="V162" s="147"/>
      <c r="W162" s="147"/>
      <c r="X162" s="151">
        <f>X161/X157</f>
        <v>6.3201639745012056E-2</v>
      </c>
      <c r="Y162" s="151">
        <f>Y161/$N$3</f>
        <v>1.1861083505680834E-2</v>
      </c>
      <c r="Z162" s="145"/>
      <c r="AA162" s="107"/>
      <c r="AB162" s="107"/>
      <c r="AC162" s="107" t="s">
        <v>602</v>
      </c>
      <c r="AD162" s="147" t="s">
        <v>615</v>
      </c>
      <c r="AE162" s="147">
        <f>AE161/AE157</f>
        <v>0.12631027253668747</v>
      </c>
      <c r="AF162" s="147">
        <f>AF161/AF157</f>
        <v>5.600098680152945E-2</v>
      </c>
      <c r="AG162" s="147">
        <f>AG161/AG157</f>
        <v>4.0509324468984156E-2</v>
      </c>
      <c r="AH162" s="147">
        <f>AH161/AH157</f>
        <v>5.9588299024918717E-2</v>
      </c>
      <c r="AI162" s="147"/>
      <c r="AJ162" s="147"/>
      <c r="AK162" s="151">
        <f t="shared" ref="AK162" si="238">AK161/$N$4</f>
        <v>3.2562107278099071E-2</v>
      </c>
      <c r="AL162" s="151">
        <f t="shared" ref="AL162" si="239">AL161/$N$4</f>
        <v>1.8892264158794858E-2</v>
      </c>
      <c r="AM162" s="145"/>
      <c r="AN162" s="107"/>
    </row>
    <row r="163" spans="2:40" x14ac:dyDescent="0.3">
      <c r="B163" s="115" t="s">
        <v>410</v>
      </c>
      <c r="C163" s="122" t="s">
        <v>9</v>
      </c>
      <c r="D163" s="136">
        <f>'11E_Seeds'!AL129</f>
        <v>61.6845</v>
      </c>
      <c r="E163" s="136">
        <f>'11E_Seeds'!AM129</f>
        <v>584.69949999999994</v>
      </c>
      <c r="F163" s="136">
        <f>'11E_Seeds'!AN129</f>
        <v>15989.060999999998</v>
      </c>
      <c r="G163" s="136">
        <f>'11E_Seeds'!AO129</f>
        <v>14725.397500000001</v>
      </c>
      <c r="H163" s="136">
        <f>'11E_Seeds'!AP129</f>
        <v>10229.355499999998</v>
      </c>
      <c r="I163" s="108">
        <f>$N$2-N163</f>
        <v>1827.8919999999998</v>
      </c>
      <c r="J163" s="108"/>
      <c r="K163" s="108"/>
      <c r="L163" s="108"/>
      <c r="M163" s="115" t="s">
        <v>36</v>
      </c>
      <c r="N163" s="137">
        <f>SUM(D163:H163)</f>
        <v>41590.197999999997</v>
      </c>
      <c r="O163" s="115" t="s">
        <v>410</v>
      </c>
      <c r="P163" s="122" t="s">
        <v>9</v>
      </c>
      <c r="Q163" s="136">
        <f>'11E_Seeds'!AL134</f>
        <v>0.48649999999999982</v>
      </c>
      <c r="R163" s="136">
        <f>'11E_Seeds'!AM134</f>
        <v>41.011499999999998</v>
      </c>
      <c r="S163" s="136">
        <f>'11E_Seeds'!AN134</f>
        <v>1286.5965000000001</v>
      </c>
      <c r="T163" s="136">
        <f>'11E_Seeds'!AO134</f>
        <v>389.73149999999998</v>
      </c>
      <c r="U163" s="136">
        <f>'11E_Seeds'!AP134</f>
        <v>103.1665</v>
      </c>
      <c r="V163" s="108">
        <f>$N$3-AA163</f>
        <v>40.557499999999891</v>
      </c>
      <c r="W163" s="108"/>
      <c r="X163" s="108"/>
      <c r="Y163" s="108"/>
      <c r="Z163" s="115" t="s">
        <v>36</v>
      </c>
      <c r="AA163" s="137">
        <f>SUM(Q163:U163)</f>
        <v>1820.9925000000001</v>
      </c>
      <c r="AB163" s="115" t="s">
        <v>410</v>
      </c>
      <c r="AC163" s="122"/>
      <c r="AD163" s="139"/>
      <c r="AE163" s="136"/>
      <c r="AF163" s="136"/>
      <c r="AG163" s="136"/>
      <c r="AH163" s="136"/>
      <c r="AI163" s="108"/>
      <c r="AJ163" s="108"/>
      <c r="AK163" s="108"/>
      <c r="AL163" s="108"/>
      <c r="AM163" s="115"/>
      <c r="AN163" s="137"/>
    </row>
    <row r="164" spans="2:40" x14ac:dyDescent="0.3">
      <c r="B164" s="115"/>
      <c r="C164" s="141" t="s">
        <v>533</v>
      </c>
      <c r="D164" s="151">
        <f t="shared" ref="D164:I164" si="240">D163/$N$2</f>
        <v>1.420709662723533E-3</v>
      </c>
      <c r="E164" s="151">
        <f t="shared" si="240"/>
        <v>1.3466725505428727E-2</v>
      </c>
      <c r="F164" s="151">
        <f t="shared" si="240"/>
        <v>0.36825804635809634</v>
      </c>
      <c r="G164" s="151">
        <f t="shared" si="240"/>
        <v>0.33915350721323767</v>
      </c>
      <c r="H164" s="151">
        <f t="shared" si="240"/>
        <v>0.23560123211315834</v>
      </c>
      <c r="I164" s="146">
        <f t="shared" si="240"/>
        <v>4.2099779147355396E-2</v>
      </c>
      <c r="J164" s="146"/>
      <c r="K164" s="146"/>
      <c r="L164" s="146"/>
      <c r="M164" s="145">
        <f>SUM(D164:I164)</f>
        <v>1</v>
      </c>
      <c r="N164" s="137"/>
      <c r="O164" s="115"/>
      <c r="P164" s="141" t="s">
        <v>533</v>
      </c>
      <c r="Q164" s="151">
        <f t="shared" ref="Q164:V164" si="241">Q163/$N$3</f>
        <v>2.6134135532217766E-4</v>
      </c>
      <c r="R164" s="151">
        <f t="shared" si="241"/>
        <v>2.2030834519620745E-2</v>
      </c>
      <c r="S164" s="151">
        <f t="shared" si="241"/>
        <v>0.69114259622357721</v>
      </c>
      <c r="T164" s="151">
        <f t="shared" si="241"/>
        <v>0.20935859901694823</v>
      </c>
      <c r="U164" s="151">
        <f t="shared" si="241"/>
        <v>5.5419677150761466E-2</v>
      </c>
      <c r="V164" s="147">
        <f t="shared" si="241"/>
        <v>2.1786951733770186E-2</v>
      </c>
      <c r="W164" s="147"/>
      <c r="X164" s="147"/>
      <c r="Y164" s="146"/>
      <c r="Z164" s="145">
        <f>SUM(Q164:V164)</f>
        <v>1</v>
      </c>
      <c r="AA164" s="137"/>
      <c r="AB164" s="115"/>
      <c r="AC164" s="141"/>
      <c r="AD164" s="151"/>
      <c r="AE164" s="151"/>
      <c r="AF164" s="151"/>
      <c r="AG164" s="151"/>
      <c r="AH164" s="151"/>
      <c r="AI164" s="147"/>
      <c r="AJ164" s="147"/>
      <c r="AK164" s="147"/>
      <c r="AL164" s="147"/>
      <c r="AM164" s="145"/>
      <c r="AN164" s="137"/>
    </row>
    <row r="165" spans="2:40" x14ac:dyDescent="0.3">
      <c r="B165" s="107"/>
      <c r="C165" s="148" t="s">
        <v>394</v>
      </c>
      <c r="D165" s="108">
        <f>'11E_Seeds'!AL130</f>
        <v>6.0835819380828946</v>
      </c>
      <c r="E165" s="108">
        <f>'11E_Seeds'!AM130</f>
        <v>4.4136754867832755</v>
      </c>
      <c r="F165" s="108">
        <f>'11E_Seeds'!AN130</f>
        <v>19.375320546075017</v>
      </c>
      <c r="G165" s="108">
        <f>'11E_Seeds'!AO130</f>
        <v>16.727202818903592</v>
      </c>
      <c r="H165" s="108">
        <f>'11E_Seeds'!AP130</f>
        <v>18.206611284380358</v>
      </c>
      <c r="I165" s="107"/>
      <c r="J165" s="107"/>
      <c r="K165" s="107"/>
      <c r="L165" s="107"/>
      <c r="M165" s="107"/>
      <c r="N165" s="142"/>
      <c r="O165" s="107"/>
      <c r="P165" s="148" t="s">
        <v>394</v>
      </c>
      <c r="Q165" s="108">
        <f>'11E_Seeds'!AL135</f>
        <v>5.4465223090663956E-2</v>
      </c>
      <c r="R165" s="108">
        <f>'11E_Seeds'!AM135</f>
        <v>0.45602878198640051</v>
      </c>
      <c r="S165" s="108">
        <f>'11E_Seeds'!AN135</f>
        <v>0.80371383850878264</v>
      </c>
      <c r="T165" s="108">
        <f>'11E_Seeds'!AO135</f>
        <v>0.50926276693812356</v>
      </c>
      <c r="U165" s="108">
        <f>'11E_Seeds'!AP135</f>
        <v>0.65728239344808415</v>
      </c>
      <c r="V165" s="107"/>
      <c r="W165" s="107"/>
      <c r="X165" s="107"/>
      <c r="Y165" s="107"/>
      <c r="Z165" s="107"/>
      <c r="AA165" s="107"/>
      <c r="AB165" s="107"/>
      <c r="AC165" s="148"/>
      <c r="AD165" s="108"/>
      <c r="AE165" s="108"/>
      <c r="AF165" s="108"/>
      <c r="AG165" s="108"/>
      <c r="AH165" s="108"/>
      <c r="AI165" s="107"/>
      <c r="AJ165" s="107"/>
      <c r="AK165" s="107"/>
      <c r="AL165" s="107"/>
      <c r="AM165" s="107"/>
      <c r="AN165" s="107"/>
    </row>
    <row r="166" spans="2:40" x14ac:dyDescent="0.3">
      <c r="B166" s="107"/>
      <c r="C166" s="129" t="s">
        <v>538</v>
      </c>
      <c r="D166" s="125">
        <f>1.96*D165</f>
        <v>11.923820598642473</v>
      </c>
      <c r="E166" s="125">
        <f>1.96*E165</f>
        <v>8.6508039540952204</v>
      </c>
      <c r="F166" s="125">
        <f>1.96*F165</f>
        <v>37.975628270307034</v>
      </c>
      <c r="G166" s="125">
        <f>1.96*G165</f>
        <v>32.785317525051042</v>
      </c>
      <c r="H166" s="125">
        <f>1.96*H165</f>
        <v>35.684958117385499</v>
      </c>
      <c r="I166" s="107"/>
      <c r="J166" s="107"/>
      <c r="K166" s="107"/>
      <c r="L166" s="107"/>
      <c r="M166" s="107"/>
      <c r="N166" s="107"/>
      <c r="O166" s="107"/>
      <c r="P166" s="129" t="s">
        <v>538</v>
      </c>
      <c r="Q166" s="125">
        <f>1.96*Q165</f>
        <v>0.10675183725770135</v>
      </c>
      <c r="R166" s="125">
        <f>1.96*R165</f>
        <v>0.893816412693345</v>
      </c>
      <c r="S166" s="125">
        <f>1.96*S165</f>
        <v>1.5752791234772139</v>
      </c>
      <c r="T166" s="125">
        <f>1.96*T165</f>
        <v>0.99815502319872218</v>
      </c>
      <c r="U166" s="125">
        <f>1.96*U165</f>
        <v>1.288273491158245</v>
      </c>
      <c r="V166" s="107"/>
      <c r="W166" s="107"/>
      <c r="X166" s="107"/>
      <c r="Y166" s="107"/>
      <c r="Z166" s="107"/>
      <c r="AA166" s="107"/>
      <c r="AB166" s="107"/>
      <c r="AC166" s="129"/>
      <c r="AD166" s="125"/>
      <c r="AE166" s="125"/>
      <c r="AF166" s="125"/>
      <c r="AG166" s="125"/>
      <c r="AH166" s="125"/>
      <c r="AI166" s="107"/>
      <c r="AJ166" s="107"/>
      <c r="AK166" s="107"/>
      <c r="AL166" s="107"/>
      <c r="AM166" s="107"/>
      <c r="AN166" s="107"/>
    </row>
    <row r="167" spans="2:40" x14ac:dyDescent="0.3">
      <c r="B167" s="115" t="s">
        <v>409</v>
      </c>
      <c r="C167" s="107" t="s">
        <v>391</v>
      </c>
      <c r="D167" s="146">
        <f>D157/SUM(D157:H157)</f>
        <v>7.780680973085239E-4</v>
      </c>
      <c r="E167" s="146">
        <f>E157/SUM(D157:H157)</f>
        <v>1.3756849872530036E-2</v>
      </c>
      <c r="F167" s="146">
        <f>F157/SUM(D157:H157)</f>
        <v>0.3848763374247629</v>
      </c>
      <c r="G167" s="146">
        <f>G157/SUM(D157:H157)</f>
        <v>0.35483030974371599</v>
      </c>
      <c r="H167" s="146">
        <f>H157/SUM(D157:H157)</f>
        <v>0.2457584348616825</v>
      </c>
      <c r="I167" s="152">
        <f>SUM(D167:H167)</f>
        <v>0.99999999999999989</v>
      </c>
      <c r="J167" s="107"/>
      <c r="K167" s="107"/>
      <c r="L167" s="107"/>
      <c r="M167" s="107"/>
      <c r="N167" s="107"/>
      <c r="O167" s="115" t="s">
        <v>409</v>
      </c>
      <c r="P167" s="107" t="s">
        <v>391</v>
      </c>
      <c r="Q167" s="146">
        <f>Q157/SUM(Q157:U157)</f>
        <v>1.482709954475313E-4</v>
      </c>
      <c r="R167" s="146">
        <f>R157/SUM(Q157:U157)</f>
        <v>2.2185734133630605E-2</v>
      </c>
      <c r="S167" s="146">
        <f>S157/SUM(Q157:U157)</f>
        <v>0.70796654567021233</v>
      </c>
      <c r="T167" s="146">
        <f>T157/SUM(Q157:U157)</f>
        <v>0.21472935051812475</v>
      </c>
      <c r="U167" s="146">
        <f>U157/SUM(Q157:U157)</f>
        <v>5.4970098682584748E-2</v>
      </c>
      <c r="V167" s="152">
        <f>SUM(Q167:U167)</f>
        <v>1</v>
      </c>
      <c r="W167" s="107"/>
      <c r="X167" s="107"/>
      <c r="Y167" s="107"/>
      <c r="Z167" s="107"/>
      <c r="AA167" s="107"/>
      <c r="AB167" s="115" t="s">
        <v>409</v>
      </c>
      <c r="AC167" s="107" t="s">
        <v>391</v>
      </c>
      <c r="AD167" s="146">
        <f>AD157/SUM(AD157:AH157)</f>
        <v>0</v>
      </c>
      <c r="AE167" s="146">
        <f>AE157/SUM(AD157:AH157)</f>
        <v>4.1456631322788109E-2</v>
      </c>
      <c r="AF167" s="146">
        <f>AF157/SUM(AD157:AH157)</f>
        <v>0.35229445506692159</v>
      </c>
      <c r="AG167" s="146">
        <f>AG157/SUM(AD157:AH157)</f>
        <v>0.38564661915522336</v>
      </c>
      <c r="AH167" s="146">
        <f>AH157/SUM(AD157:AH157)</f>
        <v>0.22060229445506693</v>
      </c>
      <c r="AI167" s="152">
        <f>SUM(AD167:AH167)</f>
        <v>1</v>
      </c>
      <c r="AJ167" s="107"/>
      <c r="AK167" s="107"/>
      <c r="AL167" s="107"/>
      <c r="AM167" s="107"/>
      <c r="AN167" s="107"/>
    </row>
    <row r="168" spans="2:40" x14ac:dyDescent="0.3">
      <c r="B168" s="148" t="s">
        <v>801</v>
      </c>
      <c r="C168" s="90" t="s">
        <v>524</v>
      </c>
      <c r="D168" s="108">
        <f>D161*D167</f>
        <v>1.4946688149296745E-2</v>
      </c>
      <c r="E168" s="108">
        <f>E161*D167</f>
        <v>7.5628219058388513E-2</v>
      </c>
      <c r="F168" s="108">
        <f>F161*D167</f>
        <v>0.42706601725070198</v>
      </c>
      <c r="G168" s="108">
        <f>G161*D167</f>
        <v>0.47057558525219467</v>
      </c>
      <c r="H168" s="108">
        <f>H161*D167</f>
        <v>0.42828758416347612</v>
      </c>
      <c r="I168" s="107"/>
      <c r="J168" s="107"/>
      <c r="K168" s="107"/>
      <c r="L168" s="107"/>
      <c r="M168" s="107"/>
      <c r="N168" s="107"/>
      <c r="O168" s="148" t="s">
        <v>801</v>
      </c>
      <c r="P168" s="90" t="s">
        <v>524</v>
      </c>
      <c r="Q168" s="108">
        <f>Q161*Q167</f>
        <v>2.6688779180555637E-5</v>
      </c>
      <c r="R168" s="108">
        <f>R161*Q167</f>
        <v>1.0942399464027803E-3</v>
      </c>
      <c r="S168" s="108">
        <f>S161*Q167</f>
        <v>3.2738235794815143E-3</v>
      </c>
      <c r="T168" s="108">
        <f>T161*Q167</f>
        <v>2.0372434774490814E-3</v>
      </c>
      <c r="U168" s="108">
        <f>U161*Q167</f>
        <v>1.8252159539591086E-3</v>
      </c>
      <c r="V168" s="107"/>
      <c r="W168" s="107"/>
      <c r="X168" s="107"/>
      <c r="Y168" s="107"/>
      <c r="Z168" s="107"/>
      <c r="AA168" s="107"/>
      <c r="AB168" s="148" t="s">
        <v>801</v>
      </c>
      <c r="AC168" s="90" t="s">
        <v>524</v>
      </c>
      <c r="AD168" s="108">
        <f>AD161*AD167</f>
        <v>0</v>
      </c>
      <c r="AE168" s="108">
        <f>AE161*AD167</f>
        <v>0</v>
      </c>
      <c r="AF168" s="108">
        <f>AF161*AD167</f>
        <v>0</v>
      </c>
      <c r="AG168" s="108">
        <f>AG161*AD167</f>
        <v>0</v>
      </c>
      <c r="AH168" s="108">
        <f>AH161*AD167</f>
        <v>0</v>
      </c>
      <c r="AI168" s="107"/>
      <c r="AJ168" s="107"/>
      <c r="AK168" s="107"/>
      <c r="AL168" s="107"/>
      <c r="AM168" s="107"/>
      <c r="AN168" s="107"/>
    </row>
    <row r="169" spans="2:40" x14ac:dyDescent="0.3">
      <c r="B169" s="107" t="s">
        <v>799</v>
      </c>
      <c r="C169" s="91" t="s">
        <v>523</v>
      </c>
      <c r="D169" s="108">
        <f>D161*E167</f>
        <v>0.264269086051302</v>
      </c>
      <c r="E169" s="108">
        <f>E161*E167</f>
        <v>1.3371658076099193</v>
      </c>
      <c r="F169" s="108">
        <f>F161*E167</f>
        <v>7.5508597580342753</v>
      </c>
      <c r="G169" s="108">
        <f>G161*E167</f>
        <v>8.3201428029061564</v>
      </c>
      <c r="H169" s="108">
        <f>H161*E167</f>
        <v>7.5724580123341436</v>
      </c>
      <c r="I169" s="107"/>
      <c r="J169" s="107"/>
      <c r="K169" s="107"/>
      <c r="L169" s="107"/>
      <c r="M169" s="107"/>
      <c r="N169" s="107"/>
      <c r="O169" s="107" t="s">
        <v>799</v>
      </c>
      <c r="P169" s="91" t="s">
        <v>523</v>
      </c>
      <c r="Q169" s="108">
        <f>Q161*R167</f>
        <v>3.9934321440535095E-3</v>
      </c>
      <c r="R169" s="108">
        <f>R161*R167</f>
        <v>0.16373071790619376</v>
      </c>
      <c r="S169" s="108">
        <f>S161*R167</f>
        <v>0.48986100967056717</v>
      </c>
      <c r="T169" s="108">
        <f>T161*R167</f>
        <v>0.30483198699608471</v>
      </c>
      <c r="U169" s="108">
        <f>U161*R167</f>
        <v>0.27310638718499247</v>
      </c>
      <c r="V169" s="107"/>
      <c r="W169" s="107"/>
      <c r="X169" s="107"/>
      <c r="Y169" s="107"/>
      <c r="Z169" s="107"/>
      <c r="AA169" s="107"/>
      <c r="AB169" s="107" t="s">
        <v>799</v>
      </c>
      <c r="AC169" s="91" t="s">
        <v>523</v>
      </c>
      <c r="AD169" s="108">
        <f>AD161*AE167</f>
        <v>0</v>
      </c>
      <c r="AE169" s="108">
        <f>AE161*AE167</f>
        <v>9.99104814879192E-2</v>
      </c>
      <c r="AF169" s="108">
        <f>AF161*AE167</f>
        <v>0.3764262124109154</v>
      </c>
      <c r="AG169" s="108">
        <f>AG161*AE167</f>
        <v>0.29807317921084642</v>
      </c>
      <c r="AH169" s="108">
        <f>AH161*AE167</f>
        <v>0.25081261950286793</v>
      </c>
      <c r="AI169" s="107"/>
      <c r="AJ169" s="107"/>
      <c r="AK169" s="107"/>
      <c r="AL169" s="107"/>
      <c r="AM169" s="107"/>
      <c r="AN169" s="107"/>
    </row>
    <row r="170" spans="2:40" x14ac:dyDescent="0.3">
      <c r="B170" s="107"/>
      <c r="C170" s="92" t="s">
        <v>525</v>
      </c>
      <c r="D170" s="108">
        <f>D161*F167</f>
        <v>7.3934744419296958</v>
      </c>
      <c r="E170" s="108">
        <f>E161*F167</f>
        <v>37.409979997686953</v>
      </c>
      <c r="F170" s="108">
        <f>F161*F167</f>
        <v>211.25092408570356</v>
      </c>
      <c r="G170" s="108">
        <f>G161*F167</f>
        <v>232.77320887449633</v>
      </c>
      <c r="H170" s="108">
        <f>H161*F167</f>
        <v>211.85517993546031</v>
      </c>
      <c r="I170" s="107"/>
      <c r="J170" s="107"/>
      <c r="K170" s="107"/>
      <c r="L170" s="107"/>
      <c r="M170" s="107"/>
      <c r="N170" s="107"/>
      <c r="O170" s="107"/>
      <c r="P170" s="92" t="s">
        <v>525</v>
      </c>
      <c r="Q170" s="108">
        <f>Q161*S167</f>
        <v>0.12743397822063823</v>
      </c>
      <c r="R170" s="108">
        <f>R161*S167</f>
        <v>5.224793107046164</v>
      </c>
      <c r="S170" s="108">
        <f>S161*S167</f>
        <v>15.631901328398397</v>
      </c>
      <c r="T170" s="108">
        <f>T161*S167</f>
        <v>9.7274603375087239</v>
      </c>
      <c r="U170" s="108">
        <f>U161*S167</f>
        <v>8.7150681772003047</v>
      </c>
      <c r="V170" s="107"/>
      <c r="W170" s="107"/>
      <c r="X170" s="107"/>
      <c r="Y170" s="107"/>
      <c r="Z170" s="107"/>
      <c r="AA170" s="107"/>
      <c r="AB170" s="107"/>
      <c r="AC170" s="92" t="s">
        <v>525</v>
      </c>
      <c r="AD170" s="108">
        <f>AD161*AF167</f>
        <v>0</v>
      </c>
      <c r="AE170" s="108">
        <f>AE161*AF167</f>
        <v>0.84902963671127984</v>
      </c>
      <c r="AF170" s="108">
        <f>AF161*AF167</f>
        <v>3.1988336520076426</v>
      </c>
      <c r="AG170" s="108">
        <f>AG161*AF167</f>
        <v>2.5329971319311655</v>
      </c>
      <c r="AH170" s="108">
        <f>AH161*AF167</f>
        <v>2.1313814531548747</v>
      </c>
      <c r="AI170" s="107"/>
      <c r="AJ170" s="107"/>
      <c r="AK170" s="107"/>
      <c r="AL170" s="107"/>
      <c r="AM170" s="107"/>
      <c r="AN170" s="107"/>
    </row>
    <row r="171" spans="2:40" x14ac:dyDescent="0.3">
      <c r="B171" s="107"/>
      <c r="C171" s="124" t="s">
        <v>526</v>
      </c>
      <c r="D171" s="108">
        <f>D161*G167</f>
        <v>6.8162902501767846</v>
      </c>
      <c r="E171" s="108">
        <f>E161*G167</f>
        <v>34.489506107089191</v>
      </c>
      <c r="F171" s="108">
        <f>F161*G167</f>
        <v>194.75926041213054</v>
      </c>
      <c r="G171" s="108">
        <f>G161*G167</f>
        <v>214.60137133299918</v>
      </c>
      <c r="H171" s="108">
        <f>H161*G167</f>
        <v>195.31634399842807</v>
      </c>
      <c r="I171" s="107"/>
      <c r="J171" s="107"/>
      <c r="K171" s="107"/>
      <c r="L171" s="107"/>
      <c r="M171" s="107"/>
      <c r="N171" s="107"/>
      <c r="O171" s="107"/>
      <c r="P171" s="124" t="s">
        <v>526</v>
      </c>
      <c r="Q171" s="108">
        <f>Q161*T167</f>
        <v>3.8651283093262462E-2</v>
      </c>
      <c r="R171" s="108">
        <f>R161*T167</f>
        <v>1.5847026068237597</v>
      </c>
      <c r="S171" s="108">
        <f>S161*T167</f>
        <v>4.7412240594402277</v>
      </c>
      <c r="T171" s="108">
        <f>T161*T167</f>
        <v>2.9503812761190362</v>
      </c>
      <c r="U171" s="108">
        <f>U161*T167</f>
        <v>2.6433183048781133</v>
      </c>
      <c r="V171" s="107"/>
      <c r="W171" s="107"/>
      <c r="X171" s="107"/>
      <c r="Y171" s="107"/>
      <c r="Z171" s="107"/>
      <c r="AA171" s="107"/>
      <c r="AB171" s="107"/>
      <c r="AC171" s="124" t="s">
        <v>526</v>
      </c>
      <c r="AD171" s="108">
        <f>AD161*AG167</f>
        <v>0</v>
      </c>
      <c r="AE171" s="108">
        <f>AE161*AG167</f>
        <v>0.92940835216408701</v>
      </c>
      <c r="AF171" s="108">
        <f>AF161*AG167</f>
        <v>3.5016713019294219</v>
      </c>
      <c r="AG171" s="108">
        <f>AG161*AG167</f>
        <v>2.772799191726055</v>
      </c>
      <c r="AH171" s="108">
        <f>AH161*AG167</f>
        <v>2.3331620458891003</v>
      </c>
      <c r="AI171" s="107"/>
      <c r="AJ171" s="107"/>
      <c r="AK171" s="107"/>
      <c r="AL171" s="107"/>
      <c r="AM171" s="107"/>
      <c r="AN171" s="107"/>
    </row>
    <row r="172" spans="2:40" x14ac:dyDescent="0.3">
      <c r="B172" s="107"/>
      <c r="C172" s="123" t="s">
        <v>527</v>
      </c>
      <c r="D172" s="125">
        <f>D161*H167</f>
        <v>4.721019533692921</v>
      </c>
      <c r="E172" s="125">
        <f>E161*H167</f>
        <v>23.887719868555536</v>
      </c>
      <c r="F172" s="125">
        <f>F161*H167</f>
        <v>134.89188972688009</v>
      </c>
      <c r="G172" s="125">
        <f>G161*H167</f>
        <v>148.63470140434541</v>
      </c>
      <c r="H172" s="125">
        <f>H161*H167</f>
        <v>135.27773046961286</v>
      </c>
      <c r="I172" s="107"/>
      <c r="J172" s="107"/>
      <c r="K172" s="107"/>
      <c r="L172" s="107"/>
      <c r="M172" s="107"/>
      <c r="N172" s="107"/>
      <c r="O172" s="107"/>
      <c r="P172" s="123" t="s">
        <v>527</v>
      </c>
      <c r="Q172" s="125">
        <f>Q161*U167</f>
        <v>9.894617762865255E-3</v>
      </c>
      <c r="R172" s="125">
        <f>R161*U167</f>
        <v>0.40567932827747522</v>
      </c>
      <c r="S172" s="125">
        <f>S161*U167</f>
        <v>1.2137397789114797</v>
      </c>
      <c r="T172" s="125">
        <f>T161*U167</f>
        <v>0.75528915589871493</v>
      </c>
      <c r="U172" s="125">
        <f>U161*U167</f>
        <v>0.67668191478261763</v>
      </c>
      <c r="V172" s="107"/>
      <c r="W172" s="107"/>
      <c r="X172" s="107"/>
      <c r="Y172" s="107"/>
      <c r="Z172" s="107"/>
      <c r="AA172" s="107"/>
      <c r="AB172" s="107"/>
      <c r="AC172" s="123" t="s">
        <v>527</v>
      </c>
      <c r="AD172" s="125">
        <f>AD161*AH167</f>
        <v>0</v>
      </c>
      <c r="AE172" s="125">
        <f>AE161*AH167</f>
        <v>0.53165152963671058</v>
      </c>
      <c r="AF172" s="125">
        <f>AF161*AH167</f>
        <v>2.0030688336520042</v>
      </c>
      <c r="AG172" s="125">
        <f>AG161*AH167</f>
        <v>1.5861304971319308</v>
      </c>
      <c r="AH172" s="125">
        <f>AH161*AH167</f>
        <v>1.3346438814531543</v>
      </c>
      <c r="AI172" s="107"/>
      <c r="AJ172" s="107"/>
      <c r="AK172" s="107"/>
      <c r="AL172" s="107"/>
      <c r="AM172" s="107"/>
      <c r="AN172" s="107"/>
    </row>
    <row r="173" spans="2:40" x14ac:dyDescent="0.3">
      <c r="B173" s="107"/>
      <c r="C173" s="107" t="s">
        <v>36</v>
      </c>
      <c r="D173" s="108">
        <f>SUM(D168:D172)</f>
        <v>19.21</v>
      </c>
      <c r="E173" s="108">
        <f>SUM(E168:E172)</f>
        <v>97.199999999999989</v>
      </c>
      <c r="F173" s="108">
        <f>SUM(F168:F172)</f>
        <v>548.8799999999992</v>
      </c>
      <c r="G173" s="108">
        <f t="shared" ref="G173" si="242">SUM(G168:G172)</f>
        <v>604.79999999999927</v>
      </c>
      <c r="H173" s="108">
        <f t="shared" ref="H173" si="243">SUM(H168:H172)</f>
        <v>550.44999999999879</v>
      </c>
      <c r="I173" s="107"/>
      <c r="J173" s="107"/>
      <c r="K173" s="107"/>
      <c r="L173" s="107"/>
      <c r="M173" s="107"/>
      <c r="N173" s="107"/>
      <c r="O173" s="107"/>
      <c r="P173" s="107" t="s">
        <v>36</v>
      </c>
      <c r="Q173" s="108">
        <f>SUM(Q168:Q172)</f>
        <v>0.18000000000000002</v>
      </c>
      <c r="R173" s="108">
        <f>SUM(R168:R172)</f>
        <v>7.3799999999999955</v>
      </c>
      <c r="S173" s="108">
        <f>SUM(S168:S172)</f>
        <v>22.080000000000155</v>
      </c>
      <c r="T173" s="108">
        <f t="shared" ref="T173" si="244">SUM(T168:T172)</f>
        <v>13.740000000000009</v>
      </c>
      <c r="U173" s="108">
        <f t="shared" ref="U173" si="245">SUM(U168:U172)</f>
        <v>12.309999999999986</v>
      </c>
      <c r="V173" s="107"/>
      <c r="W173" s="107"/>
      <c r="X173" s="107"/>
      <c r="Y173" s="107"/>
      <c r="Z173" s="107"/>
      <c r="AA173" s="107"/>
      <c r="AB173" s="107"/>
      <c r="AC173" s="107" t="s">
        <v>36</v>
      </c>
      <c r="AD173" s="108">
        <f>SUM(AD168:AD172)</f>
        <v>0</v>
      </c>
      <c r="AE173" s="108">
        <f>SUM(AE168:AE172)</f>
        <v>2.4099999999999966</v>
      </c>
      <c r="AF173" s="108">
        <f>SUM(AF168:AF172)</f>
        <v>9.0799999999999841</v>
      </c>
      <c r="AG173" s="108">
        <f t="shared" ref="AG173" si="246">SUM(AG168:AG172)</f>
        <v>7.1899999999999977</v>
      </c>
      <c r="AH173" s="108">
        <f t="shared" ref="AH173" si="247">SUM(AH168:AH172)</f>
        <v>6.0499999999999972</v>
      </c>
      <c r="AI173" s="107"/>
      <c r="AJ173" s="107"/>
      <c r="AK173" s="107"/>
      <c r="AL173" s="107"/>
      <c r="AM173" s="107"/>
      <c r="AN173" s="107"/>
    </row>
    <row r="174" spans="2:40" x14ac:dyDescent="0.3">
      <c r="B174" s="107" t="s">
        <v>800</v>
      </c>
      <c r="C174" s="212" t="s">
        <v>529</v>
      </c>
      <c r="D174" s="125">
        <f>I159*D167</f>
        <v>1.4222306750702463</v>
      </c>
      <c r="E174" s="125">
        <f>I159*E167</f>
        <v>25.146145881997573</v>
      </c>
      <c r="F174" s="125">
        <f>I159*F167</f>
        <v>703.51545717872182</v>
      </c>
      <c r="G174" s="125">
        <f>I159*G167</f>
        <v>648.59432318053643</v>
      </c>
      <c r="H174" s="125">
        <f>I159*H167</f>
        <v>449.22184308366803</v>
      </c>
      <c r="I174" s="230">
        <f>SUM(D174:H174)</f>
        <v>1827.8999999999942</v>
      </c>
      <c r="J174" s="107"/>
      <c r="K174" s="141"/>
      <c r="L174" s="141"/>
      <c r="M174" s="107"/>
      <c r="N174" s="107"/>
      <c r="O174" s="107" t="s">
        <v>800</v>
      </c>
      <c r="P174" s="212" t="s">
        <v>529</v>
      </c>
      <c r="Q174" s="125">
        <f>V159*Q167</f>
        <v>6.0138715753518613E-3</v>
      </c>
      <c r="R174" s="125">
        <f>V159*R167</f>
        <v>0.89985337646005614</v>
      </c>
      <c r="S174" s="125">
        <f>V159*S167</f>
        <v>28.715123092383774</v>
      </c>
      <c r="T174" s="125">
        <f>V159*T167</f>
        <v>8.709422457015128</v>
      </c>
      <c r="U174" s="125">
        <f>V159*U167</f>
        <v>2.2295872025656345</v>
      </c>
      <c r="V174" s="230">
        <f>SUM(Q174:U174)</f>
        <v>40.559999999999945</v>
      </c>
      <c r="W174" s="107"/>
      <c r="X174" s="141"/>
      <c r="Y174" s="141"/>
      <c r="Z174" s="107"/>
      <c r="AA174" s="107"/>
      <c r="AB174" s="107" t="s">
        <v>800</v>
      </c>
      <c r="AC174" s="212" t="s">
        <v>529</v>
      </c>
      <c r="AD174" s="125">
        <f>AI159*AD167</f>
        <v>0</v>
      </c>
      <c r="AE174" s="125">
        <f>AI159*AE167</f>
        <v>0.84488614635842152</v>
      </c>
      <c r="AF174" s="125">
        <f>AI159*AF167</f>
        <v>7.1797609942638605</v>
      </c>
      <c r="AG174" s="125">
        <f>AI159*AG167</f>
        <v>7.85947809838345</v>
      </c>
      <c r="AH174" s="125">
        <f>AI159*AH167</f>
        <v>4.4958747609942629</v>
      </c>
      <c r="AI174" s="230">
        <f>SUM(AD174:AH174)</f>
        <v>20.379999999999995</v>
      </c>
      <c r="AJ174" s="107"/>
      <c r="AK174" s="141"/>
      <c r="AL174" s="141"/>
      <c r="AM174" s="107"/>
      <c r="AN174" s="107"/>
    </row>
    <row r="175" spans="2:40" x14ac:dyDescent="0.3">
      <c r="B175" s="107" t="s">
        <v>802</v>
      </c>
      <c r="C175" s="107" t="s">
        <v>803</v>
      </c>
      <c r="D175" s="108">
        <f>SUM(D168:H168)+D174</f>
        <v>2.8387347689443043</v>
      </c>
      <c r="E175" s="108">
        <f>SUM(D169:H169)+E174</f>
        <v>50.191041348933368</v>
      </c>
      <c r="F175" s="108">
        <f>SUM(D170:H170)+F174</f>
        <v>1404.1982245139986</v>
      </c>
      <c r="G175" s="108">
        <f>SUM(D171:H171)+G174</f>
        <v>1294.57709528136</v>
      </c>
      <c r="H175" s="108">
        <f>SUM(D172:H172)+H174</f>
        <v>896.63490408675489</v>
      </c>
      <c r="I175" s="107"/>
      <c r="J175" s="107"/>
      <c r="K175" s="108">
        <f>D175+E175+G175+H175</f>
        <v>2244.2417754859925</v>
      </c>
      <c r="L175" s="108">
        <f>F175</f>
        <v>1404.1982245139986</v>
      </c>
      <c r="M175" s="107"/>
      <c r="N175" s="107"/>
      <c r="O175" s="107" t="s">
        <v>802</v>
      </c>
      <c r="P175" s="107" t="s">
        <v>803</v>
      </c>
      <c r="Q175" s="108">
        <f>SUM(Q168:U168)+Q174</f>
        <v>1.42710833118249E-2</v>
      </c>
      <c r="R175" s="108">
        <f>SUM(Q169:U169)+R174</f>
        <v>2.135376910361948</v>
      </c>
      <c r="S175" s="108">
        <f>SUM(Q170:U170)+S174</f>
        <v>68.141780020758006</v>
      </c>
      <c r="T175" s="108">
        <f>SUM(Q171:U171)+T174</f>
        <v>20.667699987369527</v>
      </c>
      <c r="U175" s="108">
        <f>SUM(Q172:U172)+U174</f>
        <v>5.2908719981987868</v>
      </c>
      <c r="V175" s="107"/>
      <c r="W175" s="107"/>
      <c r="X175" s="108">
        <f>Q175+R175+T175+U175</f>
        <v>28.108219979242087</v>
      </c>
      <c r="Y175" s="108">
        <f>S175</f>
        <v>68.141780020758006</v>
      </c>
      <c r="Z175" s="107"/>
      <c r="AA175" s="107"/>
      <c r="AB175" s="107" t="s">
        <v>802</v>
      </c>
      <c r="AC175" s="107" t="s">
        <v>803</v>
      </c>
      <c r="AD175" s="108">
        <f>SUM(AD168:AH168)+AD174</f>
        <v>0</v>
      </c>
      <c r="AE175" s="108">
        <f>SUM(AD169:AH169)+AE174</f>
        <v>1.8701086389709705</v>
      </c>
      <c r="AF175" s="108">
        <f>SUM(AD170:AH170)+AF174</f>
        <v>15.892002868068824</v>
      </c>
      <c r="AG175" s="108">
        <f>SUM(AD171:AH171)+AG174</f>
        <v>17.396518990092112</v>
      </c>
      <c r="AH175" s="108">
        <f>SUM(AD172:AH172)+AH174</f>
        <v>9.9513695028680615</v>
      </c>
      <c r="AI175" s="107"/>
      <c r="AJ175" s="107"/>
      <c r="AK175" s="108">
        <f>AD175+AE175+AG175+AH175</f>
        <v>29.217997131931142</v>
      </c>
      <c r="AL175" s="108">
        <f>AF175</f>
        <v>15.892002868068824</v>
      </c>
      <c r="AM175" s="107"/>
      <c r="AN175" s="107"/>
    </row>
    <row r="176" spans="2:40" x14ac:dyDescent="0.3">
      <c r="B176" s="107" t="s">
        <v>802</v>
      </c>
      <c r="C176" s="107" t="s">
        <v>804</v>
      </c>
      <c r="D176" s="146">
        <f>D175/$N$2</f>
        <v>6.5381382943015327E-5</v>
      </c>
      <c r="E176" s="146">
        <f t="shared" ref="E176" si="248">E175/$N$2</f>
        <v>1.1559937654773247E-3</v>
      </c>
      <c r="F176" s="146">
        <f t="shared" ref="F176" si="249">F175/$N$2</f>
        <v>3.2341317283049502E-2</v>
      </c>
      <c r="G176" s="146">
        <f t="shared" ref="G176" si="250">G175/$N$2</f>
        <v>2.9816537191787111E-2</v>
      </c>
      <c r="H176" s="146">
        <f t="shared" ref="H176" si="251">H175/$N$2</f>
        <v>2.0651182585110377E-2</v>
      </c>
      <c r="I176" s="107"/>
      <c r="J176" s="107"/>
      <c r="K176" s="152">
        <f>K175/$N$2</f>
        <v>5.1689094925317827E-2</v>
      </c>
      <c r="L176" s="147">
        <f>L175/$N$2</f>
        <v>3.2341317283049502E-2</v>
      </c>
      <c r="M176" s="107"/>
      <c r="N176" s="107"/>
      <c r="O176" s="107" t="s">
        <v>802</v>
      </c>
      <c r="P176" s="107" t="s">
        <v>804</v>
      </c>
      <c r="Q176" s="146">
        <f>Q175/$N$3</f>
        <v>7.6662369057102413E-6</v>
      </c>
      <c r="R176" s="146">
        <f t="shared" ref="R176" si="252">R175/$N$3</f>
        <v>1.1470961888544213E-3</v>
      </c>
      <c r="S176" s="146">
        <f t="shared" ref="S176" si="253">S175/$N$3</f>
        <v>3.6604861551265348E-2</v>
      </c>
      <c r="T176" s="146">
        <f t="shared" ref="T176" si="254">T175/$N$3</f>
        <v>1.1102414647669699E-2</v>
      </c>
      <c r="U176" s="146">
        <f t="shared" ref="U176" si="255">U175/$N$3</f>
        <v>2.8421863491170192E-3</v>
      </c>
      <c r="V176" s="107"/>
      <c r="W176" s="107"/>
      <c r="X176" s="152">
        <f>X175/$N$3</f>
        <v>1.5099363422546849E-2</v>
      </c>
      <c r="Y176" s="152">
        <f>Y175/$N$3</f>
        <v>3.6604861551265348E-2</v>
      </c>
      <c r="Z176" s="107"/>
      <c r="AA176" s="107"/>
      <c r="AB176" s="107" t="s">
        <v>802</v>
      </c>
      <c r="AC176" s="107" t="s">
        <v>804</v>
      </c>
      <c r="AD176" s="146">
        <f>AD175/$N$4</f>
        <v>0</v>
      </c>
      <c r="AE176" s="146">
        <f t="shared" ref="AE176" si="256">AE175/$N$4</f>
        <v>3.8910337459343567E-3</v>
      </c>
      <c r="AF176" s="146">
        <f t="shared" ref="AF176" si="257">AF175/$N$4</f>
        <v>3.3065629536991437E-2</v>
      </c>
      <c r="AG176" s="146">
        <f t="shared" ref="AG176" si="258">AG175/$N$4</f>
        <v>3.6195994736157693E-2</v>
      </c>
      <c r="AH176" s="146">
        <f t="shared" ref="AH176" si="259">AH175/$N$4</f>
        <v>2.070527548347564E-2</v>
      </c>
      <c r="AI176" s="107"/>
      <c r="AJ176" s="107"/>
      <c r="AK176" s="152">
        <f>AK175/$N$4</f>
        <v>6.0792303965567687E-2</v>
      </c>
      <c r="AL176" s="152">
        <f>AL175/$N$4</f>
        <v>3.3065629536991437E-2</v>
      </c>
      <c r="AM176" s="107"/>
      <c r="AN176" s="107"/>
    </row>
    <row r="179" spans="2:40" x14ac:dyDescent="0.3">
      <c r="D179" t="s">
        <v>503</v>
      </c>
      <c r="E179" t="s">
        <v>504</v>
      </c>
      <c r="F179" t="s">
        <v>505</v>
      </c>
      <c r="G179" t="s">
        <v>506</v>
      </c>
      <c r="H179" t="s">
        <v>507</v>
      </c>
      <c r="Q179" t="s">
        <v>503</v>
      </c>
      <c r="R179" t="s">
        <v>504</v>
      </c>
      <c r="S179" t="s">
        <v>505</v>
      </c>
      <c r="T179" t="s">
        <v>506</v>
      </c>
      <c r="U179" t="s">
        <v>507</v>
      </c>
      <c r="AD179" t="s">
        <v>503</v>
      </c>
      <c r="AE179" t="s">
        <v>504</v>
      </c>
      <c r="AF179" t="s">
        <v>505</v>
      </c>
      <c r="AG179" t="s">
        <v>506</v>
      </c>
      <c r="AH179" t="s">
        <v>507</v>
      </c>
    </row>
    <row r="180" spans="2:40" x14ac:dyDescent="0.3">
      <c r="B180" s="118" t="s">
        <v>375</v>
      </c>
      <c r="C180" s="8">
        <v>20</v>
      </c>
      <c r="D180" s="90" t="s">
        <v>524</v>
      </c>
      <c r="E180" s="91" t="s">
        <v>523</v>
      </c>
      <c r="F180" s="92" t="s">
        <v>525</v>
      </c>
      <c r="G180" s="124" t="s">
        <v>526</v>
      </c>
      <c r="H180" s="123" t="s">
        <v>527</v>
      </c>
      <c r="I180" s="212" t="s">
        <v>529</v>
      </c>
      <c r="J180" s="213" t="s">
        <v>599</v>
      </c>
      <c r="K180" s="214" t="s">
        <v>600</v>
      </c>
      <c r="L180" s="215" t="s">
        <v>525</v>
      </c>
      <c r="Q180" s="90" t="s">
        <v>524</v>
      </c>
      <c r="R180" s="91" t="s">
        <v>523</v>
      </c>
      <c r="S180" s="92" t="s">
        <v>525</v>
      </c>
      <c r="T180" s="124" t="s">
        <v>526</v>
      </c>
      <c r="U180" s="123" t="s">
        <v>527</v>
      </c>
      <c r="V180" s="212" t="s">
        <v>529</v>
      </c>
      <c r="W180" s="213" t="s">
        <v>599</v>
      </c>
      <c r="X180" s="214" t="s">
        <v>600</v>
      </c>
      <c r="Y180" s="215" t="s">
        <v>525</v>
      </c>
      <c r="AD180" s="90" t="s">
        <v>524</v>
      </c>
      <c r="AE180" s="91" t="s">
        <v>523</v>
      </c>
      <c r="AF180" s="92" t="s">
        <v>525</v>
      </c>
      <c r="AG180" s="124" t="s">
        <v>526</v>
      </c>
      <c r="AH180" s="123" t="s">
        <v>527</v>
      </c>
      <c r="AI180" s="212" t="s">
        <v>529</v>
      </c>
      <c r="AJ180" s="213" t="s">
        <v>599</v>
      </c>
      <c r="AK180" s="214" t="s">
        <v>600</v>
      </c>
      <c r="AL180" s="215" t="s">
        <v>525</v>
      </c>
    </row>
    <row r="181" spans="2:40" x14ac:dyDescent="0.3">
      <c r="B181" s="119" t="s">
        <v>445</v>
      </c>
      <c r="C181" s="107"/>
      <c r="D181" s="116"/>
      <c r="E181" s="116"/>
      <c r="F181" s="116"/>
      <c r="G181" s="116"/>
      <c r="H181" s="116"/>
      <c r="I181" s="107"/>
      <c r="J181" s="107"/>
      <c r="K181" s="107"/>
      <c r="L181" s="107"/>
      <c r="M181" s="107"/>
      <c r="N181" s="142"/>
      <c r="O181" s="119" t="s">
        <v>446</v>
      </c>
      <c r="P181" s="107"/>
      <c r="Q181" s="116"/>
      <c r="R181" s="116"/>
      <c r="S181" s="116"/>
      <c r="T181" s="116"/>
      <c r="U181" s="116"/>
      <c r="V181" s="107"/>
      <c r="W181" s="107"/>
      <c r="X181" s="107"/>
      <c r="Y181" s="107"/>
      <c r="Z181" s="107"/>
      <c r="AA181" s="142"/>
      <c r="AB181" s="119" t="s">
        <v>630</v>
      </c>
      <c r="AC181" s="107"/>
      <c r="AD181" s="116"/>
      <c r="AE181" s="116"/>
      <c r="AF181" s="116"/>
      <c r="AG181" s="116"/>
      <c r="AH181" s="116"/>
      <c r="AI181" s="107"/>
      <c r="AJ181" s="107"/>
      <c r="AK181" s="107"/>
      <c r="AL181" s="107"/>
      <c r="AM181" s="107"/>
      <c r="AN181" s="107"/>
    </row>
    <row r="182" spans="2:40" x14ac:dyDescent="0.3">
      <c r="B182" s="115" t="s">
        <v>409</v>
      </c>
      <c r="C182" s="122" t="s">
        <v>9</v>
      </c>
      <c r="D182" s="136">
        <f>'15O_Seeds'!AL127</f>
        <v>40.880000000000003</v>
      </c>
      <c r="E182" s="136">
        <f>'15O_Seeds'!AM127</f>
        <v>470.32</v>
      </c>
      <c r="F182" s="136">
        <f>'15O_Seeds'!AN127</f>
        <v>16350.92</v>
      </c>
      <c r="G182" s="136">
        <f>'15O_Seeds'!AO127</f>
        <v>15013.16</v>
      </c>
      <c r="H182" s="136">
        <f>'15O_Seeds'!AP127</f>
        <v>11261.79</v>
      </c>
      <c r="I182" s="108">
        <f>$N$2-N182</f>
        <v>281.0199999999968</v>
      </c>
      <c r="J182" s="108"/>
      <c r="K182" s="108">
        <f>D182+E182+G182+H182</f>
        <v>26786.15</v>
      </c>
      <c r="L182" s="108">
        <f>F182</f>
        <v>16350.92</v>
      </c>
      <c r="M182" s="115" t="s">
        <v>36</v>
      </c>
      <c r="N182" s="137">
        <f>SUM(D182:H182)</f>
        <v>43137.07</v>
      </c>
      <c r="O182" s="115" t="s">
        <v>409</v>
      </c>
      <c r="P182" s="122" t="s">
        <v>9</v>
      </c>
      <c r="Q182" s="136">
        <f>'15O_Seeds'!AL132</f>
        <v>0</v>
      </c>
      <c r="R182" s="136">
        <f>'15O_Seeds'!AM132</f>
        <v>21.46</v>
      </c>
      <c r="S182" s="136">
        <f>'15O_Seeds'!AN132</f>
        <v>1323.93</v>
      </c>
      <c r="T182" s="136">
        <f>'15O_Seeds'!AO132</f>
        <v>410.11</v>
      </c>
      <c r="U182" s="136">
        <f>'15O_Seeds'!AP132</f>
        <v>97.72</v>
      </c>
      <c r="V182" s="108">
        <f>$N$3-AA182</f>
        <v>8.3299999999999272</v>
      </c>
      <c r="W182" s="108"/>
      <c r="X182" s="108">
        <f>Q182+R182+T182+U182</f>
        <v>529.29</v>
      </c>
      <c r="Y182" s="108">
        <f>S182</f>
        <v>1323.93</v>
      </c>
      <c r="Z182" s="115" t="s">
        <v>36</v>
      </c>
      <c r="AA182" s="137">
        <f>SUM(Q182:U182)</f>
        <v>1853.22</v>
      </c>
      <c r="AB182" s="115" t="s">
        <v>409</v>
      </c>
      <c r="AC182" s="122" t="s">
        <v>9</v>
      </c>
      <c r="AD182" s="136">
        <v>0</v>
      </c>
      <c r="AE182" s="136">
        <v>4.9000000000000004</v>
      </c>
      <c r="AF182" s="136">
        <v>180.81</v>
      </c>
      <c r="AG182" s="136">
        <v>195.05</v>
      </c>
      <c r="AH182" s="136">
        <v>97.7</v>
      </c>
      <c r="AI182" s="108">
        <f>$N$4-AN182</f>
        <v>2.160000000000025</v>
      </c>
      <c r="AJ182" s="108"/>
      <c r="AK182" s="108">
        <f>AD182+AE182+AG182+AH182</f>
        <v>297.65000000000003</v>
      </c>
      <c r="AL182" s="108">
        <f>AF182</f>
        <v>180.81</v>
      </c>
      <c r="AM182" s="115" t="s">
        <v>36</v>
      </c>
      <c r="AN182" s="137">
        <f>SUM(AD182:AH182)</f>
        <v>478.46</v>
      </c>
    </row>
    <row r="183" spans="2:40" x14ac:dyDescent="0.3">
      <c r="B183" s="107"/>
      <c r="C183" s="141" t="s">
        <v>534</v>
      </c>
      <c r="D183" s="151">
        <f t="shared" ref="D183:I183" si="260">D182/$N$2</f>
        <v>9.4154302964501678E-4</v>
      </c>
      <c r="E183" s="151">
        <f t="shared" si="260"/>
        <v>1.0832351215818109E-2</v>
      </c>
      <c r="F183" s="151">
        <f t="shared" si="260"/>
        <v>0.37659233743354442</v>
      </c>
      <c r="G183" s="151">
        <f t="shared" si="260"/>
        <v>0.34578121699964232</v>
      </c>
      <c r="H183" s="151">
        <f t="shared" si="260"/>
        <v>0.25938013394877579</v>
      </c>
      <c r="I183" s="151">
        <f t="shared" si="260"/>
        <v>6.4724173725743536E-3</v>
      </c>
      <c r="J183" s="151"/>
      <c r="K183" s="151">
        <f>K182/$N$2</f>
        <v>0.61693524519388121</v>
      </c>
      <c r="L183" s="151">
        <f>L182/$N$2</f>
        <v>0.37659233743354442</v>
      </c>
      <c r="M183" s="145">
        <f>SUM(D183:I183)</f>
        <v>1</v>
      </c>
      <c r="N183" s="142"/>
      <c r="O183" s="107"/>
      <c r="P183" s="141" t="s">
        <v>533</v>
      </c>
      <c r="Q183" s="151">
        <f t="shared" ref="Q183:V183" si="261">Q182/$N$3</f>
        <v>0</v>
      </c>
      <c r="R183" s="151">
        <f t="shared" si="261"/>
        <v>1.1528027718836454E-2</v>
      </c>
      <c r="S183" s="151">
        <f t="shared" si="261"/>
        <v>0.71119765786575706</v>
      </c>
      <c r="T183" s="151">
        <f t="shared" si="261"/>
        <v>0.22030565926244261</v>
      </c>
      <c r="U183" s="151">
        <f t="shared" si="261"/>
        <v>5.2493889500684912E-2</v>
      </c>
      <c r="V183" s="151">
        <f t="shared" si="261"/>
        <v>4.474765652278976E-3</v>
      </c>
      <c r="W183" s="151"/>
      <c r="X183" s="151">
        <f>X182/$N$3</f>
        <v>0.28432757648196394</v>
      </c>
      <c r="Y183" s="151">
        <f>Y182/$N$3</f>
        <v>0.71119765786575706</v>
      </c>
      <c r="Z183" s="145">
        <f>SUM(Q183:V183)</f>
        <v>1</v>
      </c>
      <c r="AA183" s="142"/>
      <c r="AB183" s="107"/>
      <c r="AC183" s="141" t="s">
        <v>533</v>
      </c>
      <c r="AD183" s="151">
        <f>AD182/$N$4</f>
        <v>0</v>
      </c>
      <c r="AE183" s="151">
        <f t="shared" ref="AE183" si="262">AE182/$N$4</f>
        <v>1.0195164579085349E-2</v>
      </c>
      <c r="AF183" s="151">
        <f t="shared" ref="AF183" si="263">AF182/$N$4</f>
        <v>0.37620157296824935</v>
      </c>
      <c r="AG183" s="151">
        <f t="shared" ref="AG183" si="264">AG182/$N$4</f>
        <v>0.40582996962257084</v>
      </c>
      <c r="AH183" s="151">
        <f t="shared" ref="AH183" si="265">AH182/$N$4</f>
        <v>0.20327909783196704</v>
      </c>
      <c r="AI183" s="151">
        <f t="shared" ref="AI183" si="266">AI182/$N$4</f>
        <v>4.4941949981274704E-3</v>
      </c>
      <c r="AJ183" s="151"/>
      <c r="AK183" s="151">
        <f t="shared" ref="AK183" si="267">AK182/$N$4</f>
        <v>0.61930423203362328</v>
      </c>
      <c r="AL183" s="151">
        <f t="shared" ref="AL183" si="268">AL182/$N$4</f>
        <v>0.37620157296824935</v>
      </c>
      <c r="AM183" s="145">
        <f>SUM(AD183:AI183)</f>
        <v>1.0000000000000002</v>
      </c>
      <c r="AN183" s="107"/>
    </row>
    <row r="184" spans="2:40" x14ac:dyDescent="0.3">
      <c r="B184" s="107" t="s">
        <v>598</v>
      </c>
      <c r="C184" s="107" t="s">
        <v>9</v>
      </c>
      <c r="D184" s="108">
        <v>40.07</v>
      </c>
      <c r="E184" s="108">
        <v>377.02</v>
      </c>
      <c r="F184" s="108">
        <v>15915.37</v>
      </c>
      <c r="G184" s="108">
        <v>14309.44</v>
      </c>
      <c r="H184" s="108">
        <v>10634.77</v>
      </c>
      <c r="I184" s="108">
        <f>I182</f>
        <v>281.0199999999968</v>
      </c>
      <c r="J184" s="108">
        <f>SUM(D182:H182)-SUM(D184:H184)</f>
        <v>1860.4000000000015</v>
      </c>
      <c r="K184" s="108">
        <f>D184+E184+G184+H184</f>
        <v>25361.300000000003</v>
      </c>
      <c r="L184" s="108">
        <f>F184</f>
        <v>15915.37</v>
      </c>
      <c r="M184" s="115" t="s">
        <v>609</v>
      </c>
      <c r="N184" s="196">
        <f>SUM(D184:H184)</f>
        <v>41276.67</v>
      </c>
      <c r="O184" s="107" t="s">
        <v>598</v>
      </c>
      <c r="P184" s="122" t="s">
        <v>9</v>
      </c>
      <c r="Q184" s="108">
        <v>0</v>
      </c>
      <c r="R184" s="108">
        <v>18.28</v>
      </c>
      <c r="S184" s="108">
        <v>1305.74</v>
      </c>
      <c r="T184" s="108">
        <v>396.57</v>
      </c>
      <c r="U184" s="108">
        <v>85.69</v>
      </c>
      <c r="V184" s="108">
        <f>V182</f>
        <v>8.3299999999999272</v>
      </c>
      <c r="W184" s="108">
        <f>SUM(Q182:U182)-SUM(Q184:U184)</f>
        <v>46.940000000000055</v>
      </c>
      <c r="X184" s="108">
        <f>Q184+R184+T184+U184</f>
        <v>500.54</v>
      </c>
      <c r="Y184" s="108">
        <f>S184</f>
        <v>1305.74</v>
      </c>
      <c r="Z184" s="115" t="s">
        <v>609</v>
      </c>
      <c r="AA184" s="196">
        <f>SUM(Q184:U184)</f>
        <v>1806.28</v>
      </c>
      <c r="AB184" s="107" t="s">
        <v>598</v>
      </c>
      <c r="AC184" s="122" t="s">
        <v>9</v>
      </c>
      <c r="AD184" s="108">
        <v>0</v>
      </c>
      <c r="AE184" s="108">
        <v>2.75</v>
      </c>
      <c r="AF184" s="108">
        <v>175.08</v>
      </c>
      <c r="AG184" s="108">
        <v>189.01</v>
      </c>
      <c r="AH184" s="108">
        <v>91.32</v>
      </c>
      <c r="AI184" s="108">
        <f>AI182</f>
        <v>2.160000000000025</v>
      </c>
      <c r="AJ184" s="108">
        <f>SUM(AD182:AH182)-SUM(AD184:AH184)</f>
        <v>20.299999999999955</v>
      </c>
      <c r="AK184" s="108">
        <f>AD184+AE184+AG184+AH184</f>
        <v>283.08</v>
      </c>
      <c r="AL184" s="108">
        <f>AF184</f>
        <v>175.08</v>
      </c>
      <c r="AM184" s="115" t="s">
        <v>609</v>
      </c>
      <c r="AN184" s="196">
        <f>SUM(AD184:AH184)</f>
        <v>458.16</v>
      </c>
    </row>
    <row r="185" spans="2:40" x14ac:dyDescent="0.3">
      <c r="B185" s="107"/>
      <c r="C185" s="141" t="s">
        <v>533</v>
      </c>
      <c r="D185" s="151">
        <f t="shared" ref="D185:L185" si="269">D184/$N$2</f>
        <v>9.2288721129833219E-4</v>
      </c>
      <c r="E185" s="151">
        <f t="shared" si="269"/>
        <v>8.6834773247740742E-3</v>
      </c>
      <c r="F185" s="151">
        <f t="shared" si="269"/>
        <v>0.36656080449416367</v>
      </c>
      <c r="G185" s="151">
        <f t="shared" si="269"/>
        <v>0.32957322627503888</v>
      </c>
      <c r="H185" s="151">
        <f t="shared" si="269"/>
        <v>0.24493868799848176</v>
      </c>
      <c r="I185" s="151">
        <f t="shared" si="269"/>
        <v>6.4724173725743536E-3</v>
      </c>
      <c r="J185" s="151">
        <f t="shared" si="269"/>
        <v>4.2848499323669041E-2</v>
      </c>
      <c r="K185" s="151">
        <f t="shared" si="269"/>
        <v>0.58411827880959311</v>
      </c>
      <c r="L185" s="151">
        <f t="shared" si="269"/>
        <v>0.36656080449416367</v>
      </c>
      <c r="M185" s="145">
        <f>SUM(D185:J185)</f>
        <v>1</v>
      </c>
      <c r="N185" s="195">
        <f>N184/N182</f>
        <v>0.9568723605938001</v>
      </c>
      <c r="O185" s="107"/>
      <c r="P185" s="141" t="s">
        <v>533</v>
      </c>
      <c r="Q185" s="151">
        <f t="shared" ref="Q185:Y185" si="270">Q184/$N$3</f>
        <v>0</v>
      </c>
      <c r="R185" s="151">
        <f t="shared" si="270"/>
        <v>9.8197738443769993E-3</v>
      </c>
      <c r="S185" s="151">
        <f t="shared" si="270"/>
        <v>0.70142623082914779</v>
      </c>
      <c r="T185" s="151">
        <f t="shared" si="270"/>
        <v>0.21303215062716555</v>
      </c>
      <c r="U185" s="151">
        <f t="shared" si="270"/>
        <v>4.603153286239961E-2</v>
      </c>
      <c r="V185" s="151">
        <f t="shared" si="270"/>
        <v>4.474765652278976E-3</v>
      </c>
      <c r="W185" s="151">
        <f t="shared" si="270"/>
        <v>2.5215546184631118E-2</v>
      </c>
      <c r="X185" s="151">
        <f t="shared" si="270"/>
        <v>0.26888345733394214</v>
      </c>
      <c r="Y185" s="151">
        <f t="shared" si="270"/>
        <v>0.70142623082914779</v>
      </c>
      <c r="Z185" s="145">
        <f>SUM(Q185:W185)</f>
        <v>1</v>
      </c>
      <c r="AA185" s="195">
        <f>AA184/AA182</f>
        <v>0.97467111298172904</v>
      </c>
      <c r="AB185" s="107"/>
      <c r="AC185" s="141" t="s">
        <v>533</v>
      </c>
      <c r="AD185" s="151">
        <f t="shared" ref="AD185" si="271">AD184/$N$4</f>
        <v>0</v>
      </c>
      <c r="AE185" s="151">
        <f t="shared" ref="AE185" si="272">AE184/$N$4</f>
        <v>5.7217760392825933E-3</v>
      </c>
      <c r="AF185" s="151">
        <f t="shared" ref="AF185" si="273">AF184/$N$4</f>
        <v>0.36427947234821689</v>
      </c>
      <c r="AG185" s="151">
        <f t="shared" ref="AG185" si="274">AG184/$N$4</f>
        <v>0.39326286879447381</v>
      </c>
      <c r="AH185" s="151">
        <f t="shared" ref="AH185" si="275">AH184/$N$4</f>
        <v>0.19000457742083141</v>
      </c>
      <c r="AI185" s="151">
        <f t="shared" ref="AI185" si="276">AI184/$N$4</f>
        <v>4.4941949981274704E-3</v>
      </c>
      <c r="AJ185" s="151">
        <f t="shared" ref="AJ185" si="277">AJ184/$N$4</f>
        <v>4.2237110399067773E-2</v>
      </c>
      <c r="AK185" s="151">
        <f t="shared" ref="AK185" si="278">AK184/$N$4</f>
        <v>0.58898922225458783</v>
      </c>
      <c r="AL185" s="151">
        <f t="shared" ref="AL185" si="279">AL184/$N$4</f>
        <v>0.36427947234821689</v>
      </c>
      <c r="AM185" s="145">
        <f>SUM(AD185:AJ185)</f>
        <v>0.99999999999999989</v>
      </c>
      <c r="AN185" s="195">
        <f>AN184/AN182</f>
        <v>0.95757221084312183</v>
      </c>
    </row>
    <row r="186" spans="2:40" x14ac:dyDescent="0.3">
      <c r="B186" s="107"/>
      <c r="C186" s="107" t="s">
        <v>601</v>
      </c>
      <c r="D186" s="112">
        <f>D182-D184</f>
        <v>0.81000000000000227</v>
      </c>
      <c r="E186" s="112">
        <f>E182-E184</f>
        <v>93.300000000000011</v>
      </c>
      <c r="F186" s="112">
        <f>F182-F184</f>
        <v>435.54999999999927</v>
      </c>
      <c r="G186" s="112">
        <f>G182-G184</f>
        <v>703.71999999999935</v>
      </c>
      <c r="H186" s="112">
        <f>H182-H184</f>
        <v>627.02000000000044</v>
      </c>
      <c r="I186" s="147"/>
      <c r="J186" s="147"/>
      <c r="K186" s="112">
        <f>K182-K184</f>
        <v>1424.8499999999985</v>
      </c>
      <c r="L186" s="108">
        <f>F186</f>
        <v>435.54999999999927</v>
      </c>
      <c r="M186" s="145"/>
      <c r="N186" s="107"/>
      <c r="O186" s="107"/>
      <c r="P186" s="107" t="s">
        <v>601</v>
      </c>
      <c r="Q186" s="112">
        <f>Q182-Q184</f>
        <v>0</v>
      </c>
      <c r="R186" s="112">
        <f>R182-R184</f>
        <v>3.1799999999999997</v>
      </c>
      <c r="S186" s="112">
        <f>S182-S184</f>
        <v>18.190000000000055</v>
      </c>
      <c r="T186" s="112">
        <f>T182-T184</f>
        <v>13.54000000000002</v>
      </c>
      <c r="U186" s="112">
        <f>U182-U184</f>
        <v>12.030000000000001</v>
      </c>
      <c r="V186" s="147"/>
      <c r="W186" s="147"/>
      <c r="X186" s="112">
        <f>X182-X184</f>
        <v>28.749999999999943</v>
      </c>
      <c r="Y186" s="108">
        <f>S186</f>
        <v>18.190000000000055</v>
      </c>
      <c r="Z186" s="145"/>
      <c r="AA186" s="107"/>
      <c r="AB186" s="107"/>
      <c r="AC186" s="107" t="s">
        <v>601</v>
      </c>
      <c r="AD186" s="112">
        <f>AD182-AD184</f>
        <v>0</v>
      </c>
      <c r="AE186" s="112">
        <f>AE182-AE184</f>
        <v>2.1500000000000004</v>
      </c>
      <c r="AF186" s="112">
        <f>AF182-AF184</f>
        <v>5.7299999999999898</v>
      </c>
      <c r="AG186" s="112">
        <f>AG182-AG184</f>
        <v>6.0400000000000205</v>
      </c>
      <c r="AH186" s="112">
        <f>AH182-AH184</f>
        <v>6.3800000000000097</v>
      </c>
      <c r="AI186" s="147"/>
      <c r="AJ186" s="147"/>
      <c r="AK186" s="112">
        <f>AK182-AK184</f>
        <v>14.57000000000005</v>
      </c>
      <c r="AL186" s="108">
        <f>AF186</f>
        <v>5.7299999999999898</v>
      </c>
      <c r="AM186" s="145"/>
      <c r="AN186" s="107"/>
    </row>
    <row r="187" spans="2:40" x14ac:dyDescent="0.3">
      <c r="B187" s="107"/>
      <c r="C187" s="107" t="s">
        <v>602</v>
      </c>
      <c r="D187" s="147">
        <f>D186/D182</f>
        <v>1.9814090019569526E-2</v>
      </c>
      <c r="E187" s="147">
        <f>E186/E182</f>
        <v>0.19837557407722403</v>
      </c>
      <c r="F187" s="147">
        <f>F186/F182</f>
        <v>2.6637644854234456E-2</v>
      </c>
      <c r="G187" s="147">
        <f>G186/G182</f>
        <v>4.6873542944989556E-2</v>
      </c>
      <c r="H187" s="147">
        <f>H186/H182</f>
        <v>5.5676761864676967E-2</v>
      </c>
      <c r="I187" s="147"/>
      <c r="J187" s="147"/>
      <c r="K187" s="151">
        <f>K186/K182</f>
        <v>5.3193534718501856E-2</v>
      </c>
      <c r="L187" s="151">
        <f>L186/$N$2</f>
        <v>1.0031532939380781E-2</v>
      </c>
      <c r="M187" s="145"/>
      <c r="N187" s="107"/>
      <c r="O187" s="107"/>
      <c r="P187" s="107" t="s">
        <v>602</v>
      </c>
      <c r="Q187" s="147" t="s">
        <v>615</v>
      </c>
      <c r="R187" s="147">
        <f>R186/R182</f>
        <v>0.14818266542404471</v>
      </c>
      <c r="S187" s="147">
        <f>S186/S182</f>
        <v>1.3739397098033925E-2</v>
      </c>
      <c r="T187" s="147">
        <f>T186/T182</f>
        <v>3.3015532418131772E-2</v>
      </c>
      <c r="U187" s="147">
        <f>U186/U182</f>
        <v>0.12310683585755221</v>
      </c>
      <c r="V187" s="147"/>
      <c r="W187" s="147"/>
      <c r="X187" s="151">
        <f>X186/X182</f>
        <v>5.4318048706758007E-2</v>
      </c>
      <c r="Y187" s="151">
        <f>Y186/$N$3</f>
        <v>9.7714270366093068E-3</v>
      </c>
      <c r="Z187" s="145"/>
      <c r="AA187" s="107"/>
      <c r="AB187" s="107"/>
      <c r="AC187" s="107" t="s">
        <v>602</v>
      </c>
      <c r="AD187" s="147" t="s">
        <v>615</v>
      </c>
      <c r="AE187" s="147">
        <f>AE186/AE182</f>
        <v>0.43877551020408168</v>
      </c>
      <c r="AF187" s="147">
        <f>AF186/AF182</f>
        <v>3.1690725070515957E-2</v>
      </c>
      <c r="AG187" s="147">
        <f>AG186/AG182</f>
        <v>3.0966418866957293E-2</v>
      </c>
      <c r="AH187" s="147">
        <f>AH186/AH182</f>
        <v>6.5301944728761607E-2</v>
      </c>
      <c r="AI187" s="147"/>
      <c r="AJ187" s="147"/>
      <c r="AK187" s="151">
        <f t="shared" ref="AK187" si="280">AK186/$N$4</f>
        <v>3.0315009779035517E-2</v>
      </c>
      <c r="AL187" s="151">
        <f t="shared" ref="AL187" si="281">AL186/$N$4</f>
        <v>1.1922100620032437E-2</v>
      </c>
      <c r="AM187" s="145"/>
      <c r="AN187" s="107"/>
    </row>
    <row r="188" spans="2:40" x14ac:dyDescent="0.3">
      <c r="B188" s="115" t="s">
        <v>410</v>
      </c>
      <c r="C188" s="122" t="s">
        <v>9</v>
      </c>
      <c r="D188" s="136">
        <f>'15O_Seeds'!AL129</f>
        <v>40.597499999999989</v>
      </c>
      <c r="E188" s="136">
        <f>'15O_Seeds'!AM129</f>
        <v>483.78749999999991</v>
      </c>
      <c r="F188" s="136">
        <f>'15O_Seeds'!AN129</f>
        <v>16327.626999999999</v>
      </c>
      <c r="G188" s="136">
        <f>'15O_Seeds'!AO129</f>
        <v>14965.548999999999</v>
      </c>
      <c r="H188" s="136">
        <f>'15O_Seeds'!AP129</f>
        <v>11319.5155</v>
      </c>
      <c r="I188" s="108">
        <f>$N$2-N188</f>
        <v>281.01350000000093</v>
      </c>
      <c r="J188" s="108"/>
      <c r="K188" s="108"/>
      <c r="L188" s="108"/>
      <c r="M188" s="115" t="s">
        <v>36</v>
      </c>
      <c r="N188" s="137">
        <f>SUM(D188:H188)</f>
        <v>43137.076499999996</v>
      </c>
      <c r="O188" s="115" t="s">
        <v>410</v>
      </c>
      <c r="P188" s="122" t="s">
        <v>9</v>
      </c>
      <c r="Q188" s="136">
        <f>'15O_Seeds'!AL134</f>
        <v>8.9999999999999993E-3</v>
      </c>
      <c r="R188" s="136">
        <f>'15O_Seeds'!AM134</f>
        <v>22.614500000000003</v>
      </c>
      <c r="S188" s="136">
        <f>'15O_Seeds'!AN134</f>
        <v>1321.4029999999998</v>
      </c>
      <c r="T188" s="136">
        <f>'15O_Seeds'!AO134</f>
        <v>409.12749999999994</v>
      </c>
      <c r="U188" s="136">
        <f>'15O_Seeds'!AP134</f>
        <v>100.06600000000002</v>
      </c>
      <c r="V188" s="108">
        <f>$N$3-AA188</f>
        <v>8.330000000000382</v>
      </c>
      <c r="W188" s="108"/>
      <c r="X188" s="108"/>
      <c r="Y188" s="108"/>
      <c r="Z188" s="115" t="s">
        <v>36</v>
      </c>
      <c r="AA188" s="137">
        <f>SUM(Q188:U188)</f>
        <v>1853.2199999999996</v>
      </c>
      <c r="AB188" s="115" t="s">
        <v>410</v>
      </c>
      <c r="AC188" s="122"/>
      <c r="AD188" s="139"/>
      <c r="AE188" s="136"/>
      <c r="AF188" s="136"/>
      <c r="AG188" s="136"/>
      <c r="AH188" s="136"/>
      <c r="AI188" s="108"/>
      <c r="AJ188" s="108"/>
      <c r="AK188" s="108"/>
      <c r="AL188" s="108"/>
      <c r="AM188" s="115"/>
      <c r="AN188" s="137"/>
    </row>
    <row r="189" spans="2:40" x14ac:dyDescent="0.3">
      <c r="B189" s="115"/>
      <c r="C189" s="141" t="s">
        <v>533</v>
      </c>
      <c r="D189" s="151">
        <f t="shared" ref="D189:I189" si="282">D188/$N$2</f>
        <v>9.3503652509817901E-4</v>
      </c>
      <c r="E189" s="151">
        <f t="shared" si="282"/>
        <v>1.1142532985674863E-2</v>
      </c>
      <c r="F189" s="151">
        <f t="shared" si="282"/>
        <v>0.37605585598076746</v>
      </c>
      <c r="G189" s="151">
        <f t="shared" si="282"/>
        <v>0.34468464642272378</v>
      </c>
      <c r="H189" s="151">
        <f t="shared" si="282"/>
        <v>0.26070966042034555</v>
      </c>
      <c r="I189" s="146">
        <f t="shared" si="282"/>
        <v>6.4722676653901851E-3</v>
      </c>
      <c r="J189" s="146"/>
      <c r="K189" s="146"/>
      <c r="L189" s="146"/>
      <c r="M189" s="145">
        <f>SUM(D189:I189)</f>
        <v>1</v>
      </c>
      <c r="N189" s="137"/>
      <c r="O189" s="115"/>
      <c r="P189" s="141" t="s">
        <v>533</v>
      </c>
      <c r="Q189" s="151">
        <f t="shared" ref="Q189:V189" si="283">Q188/$N$3</f>
        <v>4.8346807767720445E-6</v>
      </c>
      <c r="R189" s="151">
        <f t="shared" si="283"/>
        <v>1.2148209825145714E-2</v>
      </c>
      <c r="S189" s="151">
        <f t="shared" si="283"/>
        <v>0.70984018694098994</v>
      </c>
      <c r="T189" s="151">
        <f t="shared" si="283"/>
        <v>0.21977787327764495</v>
      </c>
      <c r="U189" s="151">
        <f t="shared" si="283"/>
        <v>5.3754129623163505E-2</v>
      </c>
      <c r="V189" s="147">
        <f t="shared" si="283"/>
        <v>4.4747656522792197E-3</v>
      </c>
      <c r="W189" s="147"/>
      <c r="X189" s="147"/>
      <c r="Y189" s="146"/>
      <c r="Z189" s="145">
        <f>SUM(Q189:V189)</f>
        <v>1</v>
      </c>
      <c r="AA189" s="137"/>
      <c r="AB189" s="115"/>
      <c r="AC189" s="141"/>
      <c r="AD189" s="151"/>
      <c r="AE189" s="151"/>
      <c r="AF189" s="151"/>
      <c r="AG189" s="151"/>
      <c r="AH189" s="151"/>
      <c r="AI189" s="147"/>
      <c r="AJ189" s="147"/>
      <c r="AK189" s="147"/>
      <c r="AL189" s="147"/>
      <c r="AM189" s="145"/>
      <c r="AN189" s="137"/>
    </row>
    <row r="190" spans="2:40" x14ac:dyDescent="0.3">
      <c r="B190" s="107"/>
      <c r="C190" s="148" t="s">
        <v>394</v>
      </c>
      <c r="D190" s="108">
        <f>'15O_Seeds'!AL130</f>
        <v>0.13306087842946585</v>
      </c>
      <c r="E190" s="108">
        <f>'15O_Seeds'!AM130</f>
        <v>4.2276352650400826</v>
      </c>
      <c r="F190" s="108">
        <f>'15O_Seeds'!AN130</f>
        <v>19.768229669425605</v>
      </c>
      <c r="G190" s="108">
        <f>'15O_Seeds'!AO130</f>
        <v>24.917976906347391</v>
      </c>
      <c r="H190" s="108">
        <f>'15O_Seeds'!AP130</f>
        <v>22.364001189352692</v>
      </c>
      <c r="I190" s="107"/>
      <c r="J190" s="107"/>
      <c r="K190" s="107"/>
      <c r="L190" s="107"/>
      <c r="M190" s="107"/>
      <c r="N190" s="142"/>
      <c r="O190" s="107"/>
      <c r="P190" s="148" t="s">
        <v>394</v>
      </c>
      <c r="Q190" s="108">
        <f>'15O_Seeds'!AL135</f>
        <v>6.1942248145051672E-3</v>
      </c>
      <c r="R190" s="108">
        <f>'15O_Seeds'!AM135</f>
        <v>0.25875356595559573</v>
      </c>
      <c r="S190" s="108">
        <f>'15O_Seeds'!AN135</f>
        <v>0.84977399472169468</v>
      </c>
      <c r="T190" s="108">
        <f>'15O_Seeds'!AO135</f>
        <v>0.61844834486249334</v>
      </c>
      <c r="U190" s="108">
        <f>'15O_Seeds'!AP135</f>
        <v>0.52179467629569232</v>
      </c>
      <c r="V190" s="107"/>
      <c r="W190" s="107"/>
      <c r="X190" s="107"/>
      <c r="Y190" s="107"/>
      <c r="Z190" s="107"/>
      <c r="AA190" s="107"/>
      <c r="AB190" s="107"/>
      <c r="AC190" s="148"/>
      <c r="AD190" s="108"/>
      <c r="AE190" s="108"/>
      <c r="AF190" s="108"/>
      <c r="AG190" s="108"/>
      <c r="AH190" s="108"/>
      <c r="AI190" s="107"/>
      <c r="AJ190" s="107"/>
      <c r="AK190" s="107"/>
      <c r="AL190" s="107"/>
      <c r="AM190" s="107"/>
      <c r="AN190" s="107"/>
    </row>
    <row r="191" spans="2:40" x14ac:dyDescent="0.3">
      <c r="B191" s="107"/>
      <c r="C191" s="129" t="s">
        <v>538</v>
      </c>
      <c r="D191" s="125">
        <f>1.96*D190</f>
        <v>0.26079932172175307</v>
      </c>
      <c r="E191" s="125">
        <f>1.96*E190</f>
        <v>8.2861651194785608</v>
      </c>
      <c r="F191" s="125">
        <f>1.96*F190</f>
        <v>38.745730152074181</v>
      </c>
      <c r="G191" s="125">
        <f>1.96*G190</f>
        <v>48.839234736440886</v>
      </c>
      <c r="H191" s="125">
        <f>1.96*H190</f>
        <v>43.833442331131273</v>
      </c>
      <c r="I191" s="107"/>
      <c r="J191" s="107"/>
      <c r="K191" s="107"/>
      <c r="L191" s="107"/>
      <c r="M191" s="107"/>
      <c r="N191" s="107"/>
      <c r="O191" s="107"/>
      <c r="P191" s="129" t="s">
        <v>538</v>
      </c>
      <c r="Q191" s="125">
        <f>1.96*Q190</f>
        <v>1.2140680636430128E-2</v>
      </c>
      <c r="R191" s="125">
        <f>1.96*R190</f>
        <v>0.5071569892729676</v>
      </c>
      <c r="S191" s="125">
        <f>1.96*S190</f>
        <v>1.6655570296545215</v>
      </c>
      <c r="T191" s="125">
        <f>1.96*T190</f>
        <v>1.2121587559304869</v>
      </c>
      <c r="U191" s="125">
        <f>1.96*U190</f>
        <v>1.0227175655395568</v>
      </c>
      <c r="V191" s="107"/>
      <c r="W191" s="107"/>
      <c r="X191" s="107"/>
      <c r="Y191" s="107"/>
      <c r="Z191" s="107"/>
      <c r="AA191" s="107"/>
      <c r="AB191" s="107"/>
      <c r="AC191" s="129"/>
      <c r="AD191" s="125"/>
      <c r="AE191" s="125"/>
      <c r="AF191" s="125"/>
      <c r="AG191" s="125"/>
      <c r="AH191" s="125"/>
      <c r="AI191" s="107"/>
      <c r="AJ191" s="107"/>
      <c r="AK191" s="107"/>
      <c r="AL191" s="107"/>
      <c r="AM191" s="107"/>
      <c r="AN191" s="107"/>
    </row>
    <row r="192" spans="2:40" x14ac:dyDescent="0.3">
      <c r="B192" s="115" t="s">
        <v>409</v>
      </c>
      <c r="C192" s="107" t="s">
        <v>391</v>
      </c>
      <c r="D192" s="146">
        <f>D182/SUM(D182:H182)</f>
        <v>9.4767678936005632E-4</v>
      </c>
      <c r="E192" s="146">
        <f>E182/SUM(D182:H182)</f>
        <v>1.0902919461150235E-2</v>
      </c>
      <c r="F192" s="146">
        <f>F182/SUM(D182:H182)</f>
        <v>0.3790456792730707</v>
      </c>
      <c r="G192" s="146">
        <f>G182/SUM(D182:H182)</f>
        <v>0.34803383725412967</v>
      </c>
      <c r="H192" s="146">
        <f>H182/SUM(D182:H182)</f>
        <v>0.26106988722228935</v>
      </c>
      <c r="I192" s="152">
        <f>SUM(D192:H192)</f>
        <v>1</v>
      </c>
      <c r="J192" s="107"/>
      <c r="K192" s="107"/>
      <c r="L192" s="107"/>
      <c r="M192" s="107"/>
      <c r="N192" s="107"/>
      <c r="O192" s="115" t="s">
        <v>409</v>
      </c>
      <c r="P192" s="107" t="s">
        <v>391</v>
      </c>
      <c r="Q192" s="146">
        <f>Q182/SUM(Q182:U182)</f>
        <v>0</v>
      </c>
      <c r="R192" s="146">
        <f>R182/SUM(Q182:U182)</f>
        <v>1.1579844810653888E-2</v>
      </c>
      <c r="S192" s="146">
        <f>S182/SUM(Q182:U182)</f>
        <v>0.7143944054132807</v>
      </c>
      <c r="T192" s="146">
        <f>T182/SUM(Q182:U182)</f>
        <v>0.22129590658421558</v>
      </c>
      <c r="U192" s="146">
        <f>U182/SUM(Q182:U182)</f>
        <v>5.2729843191849861E-2</v>
      </c>
      <c r="V192" s="152">
        <f>SUM(Q192:U192)</f>
        <v>1</v>
      </c>
      <c r="W192" s="107"/>
      <c r="X192" s="107"/>
      <c r="Y192" s="107"/>
      <c r="Z192" s="107"/>
      <c r="AA192" s="107"/>
      <c r="AB192" s="115" t="s">
        <v>409</v>
      </c>
      <c r="AC192" s="107" t="s">
        <v>391</v>
      </c>
      <c r="AD192" s="146">
        <f>AD182/SUM(AD182:AH182)</f>
        <v>0</v>
      </c>
      <c r="AE192" s="146">
        <f>AE182/SUM(AD182:AH182)</f>
        <v>1.0241190486143043E-2</v>
      </c>
      <c r="AF192" s="146">
        <f>AF182/SUM(AD182:AH182)</f>
        <v>0.3778999289386783</v>
      </c>
      <c r="AG192" s="146">
        <f>AG182/SUM(AD182:AH182)</f>
        <v>0.40766208251473479</v>
      </c>
      <c r="AH192" s="146">
        <f>AH182/SUM(AD182:AH182)</f>
        <v>0.20419679806044394</v>
      </c>
      <c r="AI192" s="152">
        <f>SUM(AD192:AH192)</f>
        <v>1</v>
      </c>
      <c r="AJ192" s="107"/>
      <c r="AK192" s="107"/>
      <c r="AL192" s="107"/>
      <c r="AM192" s="107"/>
      <c r="AN192" s="107"/>
    </row>
    <row r="193" spans="2:40" x14ac:dyDescent="0.3">
      <c r="B193" s="148" t="s">
        <v>801</v>
      </c>
      <c r="C193" s="90" t="s">
        <v>524</v>
      </c>
      <c r="D193" s="108">
        <f>D186*D192</f>
        <v>7.6761819938164777E-4</v>
      </c>
      <c r="E193" s="108">
        <f>E186*D192</f>
        <v>8.8418244447293265E-2</v>
      </c>
      <c r="F193" s="108">
        <f>F186*D192</f>
        <v>0.41276062560577181</v>
      </c>
      <c r="G193" s="108">
        <f>G186*D192</f>
        <v>0.66689911020845827</v>
      </c>
      <c r="H193" s="108">
        <f>H186*D192</f>
        <v>0.59421230046454288</v>
      </c>
      <c r="I193" s="107"/>
      <c r="J193" s="107"/>
      <c r="K193" s="107"/>
      <c r="L193" s="107"/>
      <c r="M193" s="107"/>
      <c r="N193" s="107"/>
      <c r="O193" s="148" t="s">
        <v>801</v>
      </c>
      <c r="P193" s="90" t="s">
        <v>524</v>
      </c>
      <c r="Q193" s="108">
        <f>Q186*Q192</f>
        <v>0</v>
      </c>
      <c r="R193" s="108">
        <f>R186*Q192</f>
        <v>0</v>
      </c>
      <c r="S193" s="108">
        <f>S186*Q192</f>
        <v>0</v>
      </c>
      <c r="T193" s="108">
        <f>T186*Q192</f>
        <v>0</v>
      </c>
      <c r="U193" s="108">
        <f>U186*Q192</f>
        <v>0</v>
      </c>
      <c r="V193" s="107"/>
      <c r="W193" s="107"/>
      <c r="X193" s="107"/>
      <c r="Y193" s="107"/>
      <c r="Z193" s="107"/>
      <c r="AA193" s="107"/>
      <c r="AB193" s="148" t="s">
        <v>801</v>
      </c>
      <c r="AC193" s="90" t="s">
        <v>524</v>
      </c>
      <c r="AD193" s="108">
        <f>AD186*AD192</f>
        <v>0</v>
      </c>
      <c r="AE193" s="108">
        <f>AE186*AD192</f>
        <v>0</v>
      </c>
      <c r="AF193" s="108">
        <f>AF186*AD192</f>
        <v>0</v>
      </c>
      <c r="AG193" s="108">
        <f>AG186*AD192</f>
        <v>0</v>
      </c>
      <c r="AH193" s="108">
        <f>AH186*AD192</f>
        <v>0</v>
      </c>
      <c r="AI193" s="107"/>
      <c r="AJ193" s="107"/>
      <c r="AK193" s="107"/>
      <c r="AL193" s="107"/>
      <c r="AM193" s="107"/>
      <c r="AN193" s="107"/>
    </row>
    <row r="194" spans="2:40" x14ac:dyDescent="0.3">
      <c r="B194" s="107" t="s">
        <v>799</v>
      </c>
      <c r="C194" s="91" t="s">
        <v>523</v>
      </c>
      <c r="D194" s="108">
        <f>D186*E192</f>
        <v>8.8313647635317148E-3</v>
      </c>
      <c r="E194" s="108">
        <f>E186*E192</f>
        <v>1.017242385725317</v>
      </c>
      <c r="F194" s="108">
        <f>F186*E192</f>
        <v>4.7487665713039773</v>
      </c>
      <c r="G194" s="108">
        <f>G186*E192</f>
        <v>7.6726024832006363</v>
      </c>
      <c r="H194" s="108">
        <f>H186*E192</f>
        <v>6.8363485605304248</v>
      </c>
      <c r="I194" s="107"/>
      <c r="J194" s="107"/>
      <c r="K194" s="107"/>
      <c r="L194" s="107"/>
      <c r="M194" s="107"/>
      <c r="N194" s="107"/>
      <c r="O194" s="107" t="s">
        <v>799</v>
      </c>
      <c r="P194" s="91" t="s">
        <v>523</v>
      </c>
      <c r="Q194" s="108">
        <f>Q186*R192</f>
        <v>0</v>
      </c>
      <c r="R194" s="108">
        <f>R186*R192</f>
        <v>3.6823906497879359E-2</v>
      </c>
      <c r="S194" s="108">
        <f>S186*R192</f>
        <v>0.21063737710579486</v>
      </c>
      <c r="T194" s="108">
        <f>T186*R192</f>
        <v>0.15679109873625388</v>
      </c>
      <c r="U194" s="108">
        <f>U186*R192</f>
        <v>0.13930553307216628</v>
      </c>
      <c r="V194" s="107"/>
      <c r="W194" s="107"/>
      <c r="X194" s="107"/>
      <c r="Y194" s="107"/>
      <c r="Z194" s="107"/>
      <c r="AA194" s="107"/>
      <c r="AB194" s="107" t="s">
        <v>799</v>
      </c>
      <c r="AC194" s="91" t="s">
        <v>523</v>
      </c>
      <c r="AD194" s="108">
        <f>AD186*AE192</f>
        <v>0</v>
      </c>
      <c r="AE194" s="108">
        <f>AE186*AE192</f>
        <v>2.2018559545207546E-2</v>
      </c>
      <c r="AF194" s="108">
        <f>AF186*AE192</f>
        <v>5.8682021485599534E-2</v>
      </c>
      <c r="AG194" s="108">
        <f>AG186*AE192</f>
        <v>6.185679053630419E-2</v>
      </c>
      <c r="AH194" s="108">
        <f>AH186*AE192</f>
        <v>6.5338795301592714E-2</v>
      </c>
      <c r="AI194" s="107"/>
      <c r="AJ194" s="107"/>
      <c r="AK194" s="107"/>
      <c r="AL194" s="107"/>
      <c r="AM194" s="107"/>
      <c r="AN194" s="107"/>
    </row>
    <row r="195" spans="2:40" x14ac:dyDescent="0.3">
      <c r="B195" s="107"/>
      <c r="C195" s="92" t="s">
        <v>525</v>
      </c>
      <c r="D195" s="108">
        <f>D186*F192</f>
        <v>0.30702700021118812</v>
      </c>
      <c r="E195" s="108">
        <f>E186*F192</f>
        <v>35.364961876177503</v>
      </c>
      <c r="F195" s="108">
        <f>F186*F192</f>
        <v>165.09334560738566</v>
      </c>
      <c r="G195" s="108">
        <f>G186*F192</f>
        <v>266.74202541804505</v>
      </c>
      <c r="H195" s="108">
        <f>H186*F192</f>
        <v>237.66922181780095</v>
      </c>
      <c r="I195" s="107"/>
      <c r="J195" s="107"/>
      <c r="K195" s="107"/>
      <c r="L195" s="107"/>
      <c r="M195" s="107"/>
      <c r="N195" s="107"/>
      <c r="O195" s="107"/>
      <c r="P195" s="92" t="s">
        <v>525</v>
      </c>
      <c r="Q195" s="108">
        <f>Q186*S192</f>
        <v>0</v>
      </c>
      <c r="R195" s="108">
        <f>R186*S192</f>
        <v>2.2717742092142323</v>
      </c>
      <c r="S195" s="108">
        <f>S186*S192</f>
        <v>12.994834234467614</v>
      </c>
      <c r="T195" s="108">
        <f>T186*S192</f>
        <v>9.6729002492958358</v>
      </c>
      <c r="U195" s="108">
        <f>U186*S192</f>
        <v>8.5941646971217676</v>
      </c>
      <c r="V195" s="107"/>
      <c r="W195" s="107"/>
      <c r="X195" s="107"/>
      <c r="Y195" s="107"/>
      <c r="Z195" s="107"/>
      <c r="AA195" s="107"/>
      <c r="AB195" s="107"/>
      <c r="AC195" s="92" t="s">
        <v>525</v>
      </c>
      <c r="AD195" s="108">
        <f>AD186*AF192</f>
        <v>0</v>
      </c>
      <c r="AE195" s="108">
        <f>AE186*AF192</f>
        <v>0.8124848472181585</v>
      </c>
      <c r="AF195" s="108">
        <f>AF186*AF192</f>
        <v>2.1653665928186228</v>
      </c>
      <c r="AG195" s="108">
        <f>AG186*AF192</f>
        <v>2.2825155707896245</v>
      </c>
      <c r="AH195" s="108">
        <f>AH186*AF192</f>
        <v>2.4110015466287713</v>
      </c>
      <c r="AI195" s="107"/>
      <c r="AJ195" s="107"/>
      <c r="AK195" s="107"/>
      <c r="AL195" s="107"/>
      <c r="AM195" s="107"/>
      <c r="AN195" s="107"/>
    </row>
    <row r="196" spans="2:40" x14ac:dyDescent="0.3">
      <c r="B196" s="107"/>
      <c r="C196" s="124" t="s">
        <v>526</v>
      </c>
      <c r="D196" s="108">
        <f>D186*G192</f>
        <v>0.28190740817584581</v>
      </c>
      <c r="E196" s="108">
        <f>E186*G192</f>
        <v>32.471557015810305</v>
      </c>
      <c r="F196" s="108">
        <f>F186*G192</f>
        <v>151.58613781603592</v>
      </c>
      <c r="G196" s="108">
        <f>G186*G192</f>
        <v>244.91837195247589</v>
      </c>
      <c r="H196" s="108">
        <f>H186*G192</f>
        <v>218.22417663508455</v>
      </c>
      <c r="I196" s="107"/>
      <c r="J196" s="107"/>
      <c r="K196" s="107"/>
      <c r="L196" s="107"/>
      <c r="M196" s="107"/>
      <c r="N196" s="107"/>
      <c r="O196" s="107"/>
      <c r="P196" s="124" t="s">
        <v>526</v>
      </c>
      <c r="Q196" s="108">
        <f>Q186*T192</f>
        <v>0</v>
      </c>
      <c r="R196" s="108">
        <f>R186*T192</f>
        <v>0.70372098293780549</v>
      </c>
      <c r="S196" s="108">
        <f>S186*T192</f>
        <v>4.0253725407668934</v>
      </c>
      <c r="T196" s="108">
        <f>T186*T192</f>
        <v>2.9963465751502834</v>
      </c>
      <c r="U196" s="108">
        <f>U186*T192</f>
        <v>2.6621897562081136</v>
      </c>
      <c r="V196" s="107"/>
      <c r="W196" s="107"/>
      <c r="X196" s="107"/>
      <c r="Y196" s="107"/>
      <c r="Z196" s="107"/>
      <c r="AA196" s="107"/>
      <c r="AB196" s="107"/>
      <c r="AC196" s="124" t="s">
        <v>526</v>
      </c>
      <c r="AD196" s="108">
        <f>AD186*AG192</f>
        <v>0</v>
      </c>
      <c r="AE196" s="108">
        <f>AE186*AG192</f>
        <v>0.87647347740667991</v>
      </c>
      <c r="AF196" s="108">
        <f>AF186*AG192</f>
        <v>2.3359037328094261</v>
      </c>
      <c r="AG196" s="108">
        <f>AG186*AG192</f>
        <v>2.4622789783890067</v>
      </c>
      <c r="AH196" s="108">
        <f>AH186*AG192</f>
        <v>2.6008840864440117</v>
      </c>
      <c r="AI196" s="107"/>
      <c r="AJ196" s="107"/>
      <c r="AK196" s="107"/>
      <c r="AL196" s="107"/>
      <c r="AM196" s="107"/>
      <c r="AN196" s="107"/>
    </row>
    <row r="197" spans="2:40" x14ac:dyDescent="0.3">
      <c r="B197" s="107"/>
      <c r="C197" s="123" t="s">
        <v>527</v>
      </c>
      <c r="D197" s="125">
        <f>D186*H192</f>
        <v>0.21146660865005498</v>
      </c>
      <c r="E197" s="125">
        <f>E186*H192</f>
        <v>24.357820477839599</v>
      </c>
      <c r="F197" s="125">
        <f>F186*H192</f>
        <v>113.70898937966794</v>
      </c>
      <c r="G197" s="125">
        <f>G186*H192</f>
        <v>183.72010103606928</v>
      </c>
      <c r="H197" s="125">
        <f>H186*H192</f>
        <v>163.69604068611997</v>
      </c>
      <c r="I197" s="107"/>
      <c r="J197" s="107"/>
      <c r="K197" s="107"/>
      <c r="L197" s="107"/>
      <c r="M197" s="107"/>
      <c r="N197" s="107"/>
      <c r="O197" s="107"/>
      <c r="P197" s="123" t="s">
        <v>527</v>
      </c>
      <c r="Q197" s="125">
        <f>Q186*U192</f>
        <v>0</v>
      </c>
      <c r="R197" s="125">
        <f>R186*U192</f>
        <v>0.16768090135008254</v>
      </c>
      <c r="S197" s="125">
        <f>S186*U192</f>
        <v>0.95915584765975181</v>
      </c>
      <c r="T197" s="125">
        <f>T186*U192</f>
        <v>0.71396207681764823</v>
      </c>
      <c r="U197" s="125">
        <f>U186*U192</f>
        <v>0.63434001359795389</v>
      </c>
      <c r="V197" s="107"/>
      <c r="W197" s="107"/>
      <c r="X197" s="107"/>
      <c r="Y197" s="107"/>
      <c r="Z197" s="107"/>
      <c r="AA197" s="107"/>
      <c r="AB197" s="107"/>
      <c r="AC197" s="123" t="s">
        <v>527</v>
      </c>
      <c r="AD197" s="125">
        <f>AD186*AH192</f>
        <v>0</v>
      </c>
      <c r="AE197" s="125">
        <f>AE186*AH192</f>
        <v>0.43902311582995457</v>
      </c>
      <c r="AF197" s="125">
        <f>AF186*AH192</f>
        <v>1.1700476528863417</v>
      </c>
      <c r="AG197" s="125">
        <f>AG186*AH192</f>
        <v>1.2333486602850856</v>
      </c>
      <c r="AH197" s="125">
        <f>AH186*AH192</f>
        <v>1.3027755716256344</v>
      </c>
      <c r="AI197" s="107"/>
      <c r="AJ197" s="107"/>
      <c r="AK197" s="107"/>
      <c r="AL197" s="107"/>
      <c r="AM197" s="107"/>
      <c r="AN197" s="107"/>
    </row>
    <row r="198" spans="2:40" x14ac:dyDescent="0.3">
      <c r="B198" s="107"/>
      <c r="C198" s="107" t="s">
        <v>36</v>
      </c>
      <c r="D198" s="108">
        <f>SUM(D193:D197)</f>
        <v>0.81000000000000227</v>
      </c>
      <c r="E198" s="108">
        <f>SUM(E193:E197)</f>
        <v>93.300000000000011</v>
      </c>
      <c r="F198" s="108">
        <f>SUM(F193:F197)</f>
        <v>435.54999999999927</v>
      </c>
      <c r="G198" s="108">
        <f t="shared" ref="G198" si="284">SUM(G193:G197)</f>
        <v>703.71999999999935</v>
      </c>
      <c r="H198" s="108">
        <f t="shared" ref="H198" si="285">SUM(H193:H197)</f>
        <v>627.02000000000044</v>
      </c>
      <c r="I198" s="107"/>
      <c r="J198" s="107"/>
      <c r="K198" s="107"/>
      <c r="L198" s="107"/>
      <c r="M198" s="107"/>
      <c r="N198" s="107"/>
      <c r="O198" s="107"/>
      <c r="P198" s="107" t="s">
        <v>36</v>
      </c>
      <c r="Q198" s="108">
        <f>SUM(Q193:Q197)</f>
        <v>0</v>
      </c>
      <c r="R198" s="108">
        <f>SUM(R193:R197)</f>
        <v>3.1799999999999997</v>
      </c>
      <c r="S198" s="108">
        <f>SUM(S193:S197)</f>
        <v>18.190000000000055</v>
      </c>
      <c r="T198" s="108">
        <f t="shared" ref="T198" si="286">SUM(T193:T197)</f>
        <v>13.54000000000002</v>
      </c>
      <c r="U198" s="108">
        <f t="shared" ref="U198" si="287">SUM(U193:U197)</f>
        <v>12.030000000000003</v>
      </c>
      <c r="V198" s="107"/>
      <c r="W198" s="107"/>
      <c r="X198" s="107"/>
      <c r="Y198" s="107"/>
      <c r="Z198" s="107"/>
      <c r="AA198" s="107"/>
      <c r="AB198" s="107"/>
      <c r="AC198" s="107" t="s">
        <v>36</v>
      </c>
      <c r="AD198" s="108">
        <f>SUM(AD193:AD197)</f>
        <v>0</v>
      </c>
      <c r="AE198" s="108">
        <f>SUM(AE193:AE197)</f>
        <v>2.1500000000000008</v>
      </c>
      <c r="AF198" s="108">
        <f>SUM(AF193:AF197)</f>
        <v>5.7299999999999907</v>
      </c>
      <c r="AG198" s="108">
        <f t="shared" ref="AG198" si="288">SUM(AG193:AG197)</f>
        <v>6.0400000000000214</v>
      </c>
      <c r="AH198" s="108">
        <f t="shared" ref="AH198" si="289">SUM(AH193:AH197)</f>
        <v>6.3800000000000097</v>
      </c>
      <c r="AI198" s="107"/>
      <c r="AJ198" s="107"/>
      <c r="AK198" s="107"/>
      <c r="AL198" s="107"/>
      <c r="AM198" s="107"/>
      <c r="AN198" s="107"/>
    </row>
    <row r="199" spans="2:40" x14ac:dyDescent="0.3">
      <c r="B199" s="107" t="s">
        <v>800</v>
      </c>
      <c r="C199" s="212" t="s">
        <v>529</v>
      </c>
      <c r="D199" s="125">
        <f>I184*D192</f>
        <v>0.26631613134595999</v>
      </c>
      <c r="E199" s="125">
        <f>I184*E192</f>
        <v>3.0639384269724039</v>
      </c>
      <c r="F199" s="125">
        <f>I184*F192</f>
        <v>106.51941678931712</v>
      </c>
      <c r="G199" s="125">
        <f>I184*G192</f>
        <v>97.804468945154412</v>
      </c>
      <c r="H199" s="125">
        <f>I184*H192</f>
        <v>73.365859707206923</v>
      </c>
      <c r="I199" s="230">
        <f>SUM(D199:H199)</f>
        <v>281.0199999999968</v>
      </c>
      <c r="J199" s="107"/>
      <c r="K199" s="141"/>
      <c r="L199" s="141"/>
      <c r="M199" s="107"/>
      <c r="N199" s="107"/>
      <c r="O199" s="107" t="s">
        <v>800</v>
      </c>
      <c r="P199" s="212" t="s">
        <v>529</v>
      </c>
      <c r="Q199" s="125">
        <f>V184*Q192</f>
        <v>0</v>
      </c>
      <c r="R199" s="125">
        <f>V184*R192</f>
        <v>9.6460107272746051E-2</v>
      </c>
      <c r="S199" s="125">
        <f>V184*S192</f>
        <v>5.9509053970925763</v>
      </c>
      <c r="T199" s="125">
        <f>V184*T192</f>
        <v>1.8433949018464997</v>
      </c>
      <c r="U199" s="125">
        <f>V184*U192</f>
        <v>0.43923959378810551</v>
      </c>
      <c r="V199" s="230">
        <f>SUM(Q199:U199)</f>
        <v>8.3299999999999272</v>
      </c>
      <c r="W199" s="107"/>
      <c r="X199" s="141"/>
      <c r="Y199" s="141"/>
      <c r="Z199" s="107"/>
      <c r="AA199" s="107"/>
      <c r="AB199" s="107" t="s">
        <v>800</v>
      </c>
      <c r="AC199" s="212" t="s">
        <v>529</v>
      </c>
      <c r="AD199" s="125">
        <f>AI184*AD192</f>
        <v>0</v>
      </c>
      <c r="AE199" s="125">
        <f>AI184*AE192</f>
        <v>2.2120971450069228E-2</v>
      </c>
      <c r="AF199" s="125">
        <f>AI184*AF192</f>
        <v>0.81626384650755457</v>
      </c>
      <c r="AG199" s="125">
        <f>AI184*AG192</f>
        <v>0.88055009823183739</v>
      </c>
      <c r="AH199" s="125">
        <f>AI184*AH192</f>
        <v>0.44106508381056403</v>
      </c>
      <c r="AI199" s="230">
        <f>SUM(AD199:AH199)</f>
        <v>2.160000000000025</v>
      </c>
      <c r="AJ199" s="107"/>
      <c r="AK199" s="141"/>
      <c r="AL199" s="141"/>
      <c r="AM199" s="107"/>
      <c r="AN199" s="107"/>
    </row>
    <row r="200" spans="2:40" x14ac:dyDescent="0.3">
      <c r="B200" s="107" t="s">
        <v>802</v>
      </c>
      <c r="C200" s="107" t="s">
        <v>803</v>
      </c>
      <c r="D200" s="108">
        <f>SUM(D193:H193)+D199</f>
        <v>2.0293740302714078</v>
      </c>
      <c r="E200" s="108">
        <f>SUM(D194:H194)+E199</f>
        <v>23.347729792496292</v>
      </c>
      <c r="F200" s="108">
        <f>SUM(D195:H195)+F199</f>
        <v>811.69599850893746</v>
      </c>
      <c r="G200" s="108">
        <f>SUM(D196:H196)+G199</f>
        <v>745.28661977273691</v>
      </c>
      <c r="H200" s="108">
        <f>SUM(D197:H197)+H199</f>
        <v>559.06027789555378</v>
      </c>
      <c r="I200" s="107"/>
      <c r="J200" s="107"/>
      <c r="K200" s="108">
        <f>D200+E200+G200+H200</f>
        <v>1329.7240014910585</v>
      </c>
      <c r="L200" s="108">
        <f>F200</f>
        <v>811.69599850893746</v>
      </c>
      <c r="M200" s="107"/>
      <c r="N200" s="107"/>
      <c r="O200" s="107" t="s">
        <v>802</v>
      </c>
      <c r="P200" s="107" t="s">
        <v>803</v>
      </c>
      <c r="Q200" s="108">
        <f>SUM(Q193:U193)+Q199</f>
        <v>0</v>
      </c>
      <c r="R200" s="108">
        <f>SUM(Q194:U194)+R199</f>
        <v>0.64001802268484043</v>
      </c>
      <c r="S200" s="108">
        <f>SUM(Q195:U195)+S199</f>
        <v>39.484578787192028</v>
      </c>
      <c r="T200" s="108">
        <f>SUM(Q196:U196)+T199</f>
        <v>12.231024756909596</v>
      </c>
      <c r="U200" s="108">
        <f>SUM(Q197:U197)+U199</f>
        <v>2.9143784332135421</v>
      </c>
      <c r="V200" s="107"/>
      <c r="W200" s="107"/>
      <c r="X200" s="108">
        <f>Q200+R200+T200+U200</f>
        <v>15.785421212807979</v>
      </c>
      <c r="Y200" s="108">
        <f>S200</f>
        <v>39.484578787192028</v>
      </c>
      <c r="Z200" s="107"/>
      <c r="AA200" s="107"/>
      <c r="AB200" s="107" t="s">
        <v>802</v>
      </c>
      <c r="AC200" s="107" t="s">
        <v>803</v>
      </c>
      <c r="AD200" s="108">
        <f>SUM(AD193:AH193)+AD199</f>
        <v>0</v>
      </c>
      <c r="AE200" s="108">
        <f>SUM(AD194:AH194)+AE199</f>
        <v>0.23001713831877321</v>
      </c>
      <c r="AF200" s="108">
        <f>SUM(AD195:AH195)+AF199</f>
        <v>8.4876324039627313</v>
      </c>
      <c r="AG200" s="108">
        <f>SUM(AD196:AH196)+AG199</f>
        <v>9.1560903732809624</v>
      </c>
      <c r="AH200" s="108">
        <f>SUM(AD197:AH197)+AH199</f>
        <v>4.5862600844375798</v>
      </c>
      <c r="AI200" s="107"/>
      <c r="AJ200" s="107"/>
      <c r="AK200" s="108">
        <f>AD200+AE200+AG200+AH200</f>
        <v>13.972367596037316</v>
      </c>
      <c r="AL200" s="108">
        <f>AF200</f>
        <v>8.4876324039627313</v>
      </c>
      <c r="AM200" s="107"/>
      <c r="AN200" s="107"/>
    </row>
    <row r="201" spans="2:40" x14ac:dyDescent="0.3">
      <c r="B201" s="107" t="s">
        <v>802</v>
      </c>
      <c r="C201" s="107" t="s">
        <v>804</v>
      </c>
      <c r="D201" s="146">
        <f>D200/$N$2</f>
        <v>4.6740287982990681E-5</v>
      </c>
      <c r="E201" s="146">
        <f t="shared" ref="E201" si="290">E200/$N$2</f>
        <v>5.3774198248924111E-4</v>
      </c>
      <c r="F201" s="146">
        <f t="shared" ref="F201" si="291">F200/$N$2</f>
        <v>1.869488037149809E-2</v>
      </c>
      <c r="G201" s="146">
        <f t="shared" ref="G201" si="292">G200/$N$2</f>
        <v>1.7165347894684841E-2</v>
      </c>
      <c r="H201" s="146">
        <f t="shared" ref="H201" si="293">H200/$N$2</f>
        <v>1.2876206159588177E-2</v>
      </c>
      <c r="I201" s="107"/>
      <c r="J201" s="107"/>
      <c r="K201" s="152">
        <f>K200/$N$2</f>
        <v>3.0626036324745254E-2</v>
      </c>
      <c r="L201" s="147">
        <f>L200/$N$2</f>
        <v>1.869488037149809E-2</v>
      </c>
      <c r="M201" s="107"/>
      <c r="N201" s="107"/>
      <c r="O201" s="107" t="s">
        <v>802</v>
      </c>
      <c r="P201" s="107" t="s">
        <v>804</v>
      </c>
      <c r="Q201" s="146">
        <f>Q200/$N$3</f>
        <v>0</v>
      </c>
      <c r="R201" s="146">
        <f t="shared" ref="R201" si="294">R200/$N$3</f>
        <v>3.4380920345133915E-4</v>
      </c>
      <c r="S201" s="146">
        <f t="shared" ref="S201" si="295">S200/$N$3</f>
        <v>2.1210592671264284E-2</v>
      </c>
      <c r="T201" s="146">
        <f t="shared" ref="T201" si="296">T200/$N$3</f>
        <v>6.5703444747170882E-3</v>
      </c>
      <c r="U201" s="146">
        <f t="shared" ref="U201" si="297">U200/$N$3</f>
        <v>1.5655654874773936E-3</v>
      </c>
      <c r="V201" s="107"/>
      <c r="W201" s="107"/>
      <c r="X201" s="152">
        <f>X200/$N$3</f>
        <v>8.4797191656458219E-3</v>
      </c>
      <c r="Y201" s="152">
        <f>Y200/$N$3</f>
        <v>2.1210592671264284E-2</v>
      </c>
      <c r="Z201" s="107"/>
      <c r="AA201" s="107"/>
      <c r="AB201" s="107" t="s">
        <v>802</v>
      </c>
      <c r="AC201" s="107" t="s">
        <v>804</v>
      </c>
      <c r="AD201" s="146">
        <f>AD200/$N$4</f>
        <v>0</v>
      </c>
      <c r="AE201" s="146">
        <f t="shared" ref="AE201" si="298">AE200/$N$4</f>
        <v>4.7858420023880242E-4</v>
      </c>
      <c r="AF201" s="146">
        <f t="shared" ref="AF201" si="299">AF200/$N$4</f>
        <v>1.7659756988811809E-2</v>
      </c>
      <c r="AG201" s="146">
        <f t="shared" ref="AG201" si="300">AG200/$N$4</f>
        <v>1.9050581276852736E-2</v>
      </c>
      <c r="AH201" s="146">
        <f t="shared" ref="AH201" si="301">AH200/$N$4</f>
        <v>9.5423829312920386E-3</v>
      </c>
      <c r="AI201" s="107"/>
      <c r="AJ201" s="107"/>
      <c r="AK201" s="152">
        <f>AK200/$N$4</f>
        <v>2.907154840838358E-2</v>
      </c>
      <c r="AL201" s="152">
        <f>AL200/$N$4</f>
        <v>1.7659756988811809E-2</v>
      </c>
      <c r="AM201" s="107"/>
      <c r="AN201" s="107"/>
    </row>
    <row r="204" spans="2:40" x14ac:dyDescent="0.3">
      <c r="D204" t="s">
        <v>508</v>
      </c>
      <c r="E204" t="s">
        <v>509</v>
      </c>
      <c r="F204" t="s">
        <v>510</v>
      </c>
      <c r="G204" t="s">
        <v>511</v>
      </c>
      <c r="H204" t="s">
        <v>512</v>
      </c>
      <c r="Q204" t="s">
        <v>508</v>
      </c>
      <c r="R204" t="s">
        <v>509</v>
      </c>
      <c r="S204" t="s">
        <v>510</v>
      </c>
      <c r="T204" t="s">
        <v>511</v>
      </c>
      <c r="U204" t="s">
        <v>512</v>
      </c>
      <c r="AD204" t="s">
        <v>508</v>
      </c>
      <c r="AE204" t="s">
        <v>509</v>
      </c>
      <c r="AF204" t="s">
        <v>510</v>
      </c>
      <c r="AG204" t="s">
        <v>511</v>
      </c>
      <c r="AH204" t="s">
        <v>512</v>
      </c>
    </row>
    <row r="205" spans="2:40" x14ac:dyDescent="0.3">
      <c r="B205" s="118" t="s">
        <v>375</v>
      </c>
      <c r="C205" s="8">
        <v>20</v>
      </c>
      <c r="D205" s="90" t="s">
        <v>524</v>
      </c>
      <c r="E205" s="91" t="s">
        <v>523</v>
      </c>
      <c r="F205" s="92" t="s">
        <v>525</v>
      </c>
      <c r="G205" s="124" t="s">
        <v>526</v>
      </c>
      <c r="H205" s="123" t="s">
        <v>527</v>
      </c>
      <c r="I205" s="212" t="s">
        <v>529</v>
      </c>
      <c r="J205" s="213" t="s">
        <v>599</v>
      </c>
      <c r="K205" s="214" t="s">
        <v>600</v>
      </c>
      <c r="L205" s="215" t="s">
        <v>525</v>
      </c>
      <c r="Q205" s="90" t="s">
        <v>524</v>
      </c>
      <c r="R205" s="91" t="s">
        <v>523</v>
      </c>
      <c r="S205" s="92" t="s">
        <v>525</v>
      </c>
      <c r="T205" s="124" t="s">
        <v>526</v>
      </c>
      <c r="U205" s="123" t="s">
        <v>527</v>
      </c>
      <c r="V205" s="212" t="s">
        <v>529</v>
      </c>
      <c r="W205" s="213" t="s">
        <v>599</v>
      </c>
      <c r="X205" s="214" t="s">
        <v>600</v>
      </c>
      <c r="Y205" s="215" t="s">
        <v>525</v>
      </c>
      <c r="AD205" s="90" t="s">
        <v>524</v>
      </c>
      <c r="AE205" s="91" t="s">
        <v>523</v>
      </c>
      <c r="AF205" s="92" t="s">
        <v>525</v>
      </c>
      <c r="AG205" s="124" t="s">
        <v>526</v>
      </c>
      <c r="AH205" s="123" t="s">
        <v>527</v>
      </c>
      <c r="AI205" s="212" t="s">
        <v>529</v>
      </c>
      <c r="AJ205" s="213" t="s">
        <v>599</v>
      </c>
      <c r="AK205" s="214" t="s">
        <v>600</v>
      </c>
      <c r="AL205" s="215" t="s">
        <v>525</v>
      </c>
    </row>
    <row r="206" spans="2:40" x14ac:dyDescent="0.3">
      <c r="B206" s="119" t="s">
        <v>453</v>
      </c>
      <c r="C206" s="107"/>
      <c r="D206" s="116"/>
      <c r="E206" s="116"/>
      <c r="F206" s="116"/>
      <c r="G206" s="116"/>
      <c r="H206" s="116"/>
      <c r="I206" s="107"/>
      <c r="J206" s="107"/>
      <c r="K206" s="107"/>
      <c r="L206" s="107"/>
      <c r="M206" s="107"/>
      <c r="N206" s="142"/>
      <c r="O206" s="119" t="s">
        <v>454</v>
      </c>
      <c r="P206" s="107"/>
      <c r="Q206" s="116"/>
      <c r="R206" s="116"/>
      <c r="S206" s="116"/>
      <c r="T206" s="116"/>
      <c r="U206" s="116"/>
      <c r="V206" s="107"/>
      <c r="W206" s="107"/>
      <c r="X206" s="107"/>
      <c r="Y206" s="107"/>
      <c r="Z206" s="107"/>
      <c r="AA206" s="142"/>
      <c r="AB206" s="119" t="s">
        <v>631</v>
      </c>
      <c r="AC206" s="107"/>
      <c r="AD206" s="116"/>
      <c r="AE206" s="116"/>
      <c r="AF206" s="116"/>
      <c r="AG206" s="116"/>
      <c r="AH206" s="116"/>
      <c r="AI206" s="107"/>
      <c r="AJ206" s="107"/>
      <c r="AK206" s="107"/>
      <c r="AL206" s="107"/>
      <c r="AM206" s="107"/>
      <c r="AN206" s="107"/>
    </row>
    <row r="207" spans="2:40" x14ac:dyDescent="0.3">
      <c r="B207" s="115" t="s">
        <v>409</v>
      </c>
      <c r="C207" s="122" t="s">
        <v>9</v>
      </c>
      <c r="D207" s="136">
        <f>'19O_Seeds'!AL127</f>
        <v>39.590000000000003</v>
      </c>
      <c r="E207" s="136">
        <f>'19O_Seeds'!AM127</f>
        <v>282.36</v>
      </c>
      <c r="F207" s="136">
        <f>'19O_Seeds'!AN127</f>
        <v>16312.26</v>
      </c>
      <c r="G207" s="136">
        <f>'19O_Seeds'!AO127</f>
        <v>15410.66</v>
      </c>
      <c r="H207" s="136">
        <f>'19O_Seeds'!AP127</f>
        <v>10202.450000000001</v>
      </c>
      <c r="I207" s="108">
        <f>$N$2-N207</f>
        <v>1170.7699999999968</v>
      </c>
      <c r="J207" s="108"/>
      <c r="K207" s="108">
        <f>D207+E207+G207+H207</f>
        <v>25935.06</v>
      </c>
      <c r="L207" s="108">
        <f>F207</f>
        <v>16312.26</v>
      </c>
      <c r="M207" s="115" t="s">
        <v>36</v>
      </c>
      <c r="N207" s="137">
        <f>SUM(D207:H207)</f>
        <v>42247.32</v>
      </c>
      <c r="O207" s="115" t="s">
        <v>409</v>
      </c>
      <c r="P207" s="122" t="s">
        <v>9</v>
      </c>
      <c r="Q207" s="136">
        <f>'19O_Seeds'!AL132</f>
        <v>0</v>
      </c>
      <c r="R207" s="136">
        <f>'19O_Seeds'!AM132</f>
        <v>18.16</v>
      </c>
      <c r="S207" s="136">
        <f>'19O_Seeds'!AN132</f>
        <v>1344.59</v>
      </c>
      <c r="T207" s="136">
        <f>'19O_Seeds'!AO132</f>
        <v>379.89</v>
      </c>
      <c r="U207" s="136">
        <f>'19O_Seeds'!AP132</f>
        <v>108.18</v>
      </c>
      <c r="V207" s="108">
        <f>$N$3-AA207</f>
        <v>10.730000000000018</v>
      </c>
      <c r="W207" s="108"/>
      <c r="X207" s="108">
        <f>Q207+R207+T207+U207</f>
        <v>506.23</v>
      </c>
      <c r="Y207" s="108">
        <f>S207</f>
        <v>1344.59</v>
      </c>
      <c r="Z207" s="115" t="s">
        <v>36</v>
      </c>
      <c r="AA207" s="137">
        <f>SUM(Q207:U207)</f>
        <v>1850.82</v>
      </c>
      <c r="AB207" s="115" t="s">
        <v>409</v>
      </c>
      <c r="AC207" s="122" t="s">
        <v>9</v>
      </c>
      <c r="AD207" s="136">
        <v>0</v>
      </c>
      <c r="AE207" s="136">
        <v>8.6300000000000008</v>
      </c>
      <c r="AF207" s="136">
        <v>181.78</v>
      </c>
      <c r="AG207" s="136">
        <v>168.84</v>
      </c>
      <c r="AH207" s="136">
        <v>119.21</v>
      </c>
      <c r="AI207" s="108">
        <f>$N$4-AN207</f>
        <v>2.160000000000025</v>
      </c>
      <c r="AJ207" s="108"/>
      <c r="AK207" s="108">
        <f>AD207+AE207+AG207+AH207</f>
        <v>296.68</v>
      </c>
      <c r="AL207" s="108">
        <f>AF207</f>
        <v>181.78</v>
      </c>
      <c r="AM207" s="115" t="s">
        <v>36</v>
      </c>
      <c r="AN207" s="137">
        <f>SUM(AD207:AH207)</f>
        <v>478.46</v>
      </c>
    </row>
    <row r="208" spans="2:40" x14ac:dyDescent="0.3">
      <c r="B208" s="107"/>
      <c r="C208" s="141" t="s">
        <v>534</v>
      </c>
      <c r="D208" s="151">
        <f t="shared" ref="D208:I208" si="302">D207/$N$2</f>
        <v>9.11831911537334E-4</v>
      </c>
      <c r="E208" s="151">
        <f t="shared" si="302"/>
        <v>6.5032800844072149E-3</v>
      </c>
      <c r="F208" s="151">
        <f t="shared" si="302"/>
        <v>0.37570192516529405</v>
      </c>
      <c r="G208" s="151">
        <f t="shared" si="302"/>
        <v>0.35493638711421899</v>
      </c>
      <c r="H208" s="151">
        <f t="shared" si="302"/>
        <v>0.23498154801374269</v>
      </c>
      <c r="I208" s="151">
        <f t="shared" si="302"/>
        <v>2.6965027710799734E-2</v>
      </c>
      <c r="J208" s="151"/>
      <c r="K208" s="151">
        <f>K207/$N$2</f>
        <v>0.59733304712390622</v>
      </c>
      <c r="L208" s="151">
        <f>L207/$N$2</f>
        <v>0.37570192516529405</v>
      </c>
      <c r="M208" s="145">
        <f>SUM(D208:I208)</f>
        <v>1</v>
      </c>
      <c r="N208" s="142"/>
      <c r="O208" s="107"/>
      <c r="P208" s="141" t="s">
        <v>533</v>
      </c>
      <c r="Q208" s="151">
        <f t="shared" ref="Q208:V208" si="303">Q207/$N$3</f>
        <v>0</v>
      </c>
      <c r="R208" s="151">
        <f t="shared" si="303"/>
        <v>9.7553114340200378E-3</v>
      </c>
      <c r="S208" s="151">
        <f t="shared" si="303"/>
        <v>0.72229593618221377</v>
      </c>
      <c r="T208" s="151">
        <f t="shared" si="303"/>
        <v>0.204071875587548</v>
      </c>
      <c r="U208" s="151">
        <f t="shared" si="303"/>
        <v>5.8112862936799986E-2</v>
      </c>
      <c r="V208" s="151">
        <f t="shared" si="303"/>
        <v>5.7640138594182364E-3</v>
      </c>
      <c r="W208" s="151"/>
      <c r="X208" s="151">
        <f>X207/$N$3</f>
        <v>0.27194004995836807</v>
      </c>
      <c r="Y208" s="151">
        <f>Y207/$N$3</f>
        <v>0.72229593618221377</v>
      </c>
      <c r="Z208" s="145">
        <f>SUM(Q208:V208)</f>
        <v>1</v>
      </c>
      <c r="AA208" s="142"/>
      <c r="AB208" s="107"/>
      <c r="AC208" s="141" t="s">
        <v>533</v>
      </c>
      <c r="AD208" s="151">
        <f>AD207/$N$4</f>
        <v>0</v>
      </c>
      <c r="AE208" s="151">
        <f t="shared" ref="AE208" si="304">AE207/$N$4</f>
        <v>1.7955973534185012E-2</v>
      </c>
      <c r="AF208" s="151">
        <f t="shared" ref="AF208" si="305">AF207/$N$4</f>
        <v>0.37821979942574174</v>
      </c>
      <c r="AG208" s="151">
        <f t="shared" ref="AG208" si="306">AG207/$N$4</f>
        <v>0.35129624235362655</v>
      </c>
      <c r="AH208" s="151">
        <f t="shared" ref="AH208" si="307">AH207/$N$4</f>
        <v>0.24803378968831924</v>
      </c>
      <c r="AI208" s="151">
        <f t="shared" ref="AI208" si="308">AI207/$N$4</f>
        <v>4.4941949981274704E-3</v>
      </c>
      <c r="AJ208" s="151"/>
      <c r="AK208" s="151">
        <f t="shared" ref="AK208" si="309">AK207/$N$4</f>
        <v>0.61728600557613089</v>
      </c>
      <c r="AL208" s="151">
        <f t="shared" ref="AL208" si="310">AL207/$N$4</f>
        <v>0.37821979942574174</v>
      </c>
      <c r="AM208" s="145">
        <f>SUM(AD208:AI208)</f>
        <v>0.99999999999999989</v>
      </c>
      <c r="AN208" s="107"/>
    </row>
    <row r="209" spans="2:40" x14ac:dyDescent="0.3">
      <c r="B209" s="107" t="s">
        <v>598</v>
      </c>
      <c r="C209" s="107" t="s">
        <v>9</v>
      </c>
      <c r="D209" s="108">
        <v>34.130000000000003</v>
      </c>
      <c r="E209" s="108">
        <v>219.93</v>
      </c>
      <c r="F209" s="108">
        <v>15971.27</v>
      </c>
      <c r="G209" s="108">
        <v>14736.76</v>
      </c>
      <c r="H209" s="108">
        <v>9684.59</v>
      </c>
      <c r="I209" s="108">
        <f>I207</f>
        <v>1170.7699999999968</v>
      </c>
      <c r="J209" s="108">
        <f>SUM(D207:H207)-SUM(D209:H209)</f>
        <v>1600.6399999999994</v>
      </c>
      <c r="K209" s="108">
        <f>D209+E209+G209+H209</f>
        <v>24675.41</v>
      </c>
      <c r="L209" s="108">
        <f>F209</f>
        <v>15971.27</v>
      </c>
      <c r="M209" s="115" t="s">
        <v>609</v>
      </c>
      <c r="N209" s="196">
        <f>SUM(D209:H209)</f>
        <v>40646.68</v>
      </c>
      <c r="O209" s="107" t="s">
        <v>598</v>
      </c>
      <c r="P209" s="122" t="s">
        <v>9</v>
      </c>
      <c r="Q209" s="108">
        <v>0</v>
      </c>
      <c r="R209" s="108">
        <v>12.49</v>
      </c>
      <c r="S209" s="108">
        <v>1329.64</v>
      </c>
      <c r="T209" s="108">
        <v>363.45</v>
      </c>
      <c r="U209" s="108">
        <v>94.71</v>
      </c>
      <c r="V209" s="108">
        <f>V207</f>
        <v>10.730000000000018</v>
      </c>
      <c r="W209" s="108">
        <f>SUM(Q207:U207)-SUM(Q209:U209)</f>
        <v>50.529999999999745</v>
      </c>
      <c r="X209" s="108">
        <f>Q209+R209+T209+U209</f>
        <v>470.65</v>
      </c>
      <c r="Y209" s="108">
        <f>S209</f>
        <v>1329.64</v>
      </c>
      <c r="Z209" s="115" t="s">
        <v>609</v>
      </c>
      <c r="AA209" s="196">
        <f>SUM(Q209:U209)</f>
        <v>1800.2900000000002</v>
      </c>
      <c r="AB209" s="107" t="s">
        <v>598</v>
      </c>
      <c r="AC209" s="122" t="s">
        <v>9</v>
      </c>
      <c r="AD209" s="108">
        <v>0</v>
      </c>
      <c r="AE209" s="108">
        <v>5.88</v>
      </c>
      <c r="AF209" s="108">
        <v>176.08</v>
      </c>
      <c r="AG209" s="108">
        <v>162.69</v>
      </c>
      <c r="AH209" s="108">
        <v>111.83</v>
      </c>
      <c r="AI209" s="108">
        <f>AI207</f>
        <v>2.160000000000025</v>
      </c>
      <c r="AJ209" s="108">
        <f>SUM(AD207:AH207)-SUM(AD209:AH209)</f>
        <v>21.980000000000018</v>
      </c>
      <c r="AK209" s="108">
        <f>AD209+AE209+AG209+AH209</f>
        <v>280.39999999999998</v>
      </c>
      <c r="AL209" s="108">
        <f>AF209</f>
        <v>176.08</v>
      </c>
      <c r="AM209" s="115" t="s">
        <v>609</v>
      </c>
      <c r="AN209" s="196">
        <f>SUM(AD209:AH209)</f>
        <v>456.47999999999996</v>
      </c>
    </row>
    <row r="210" spans="2:40" x14ac:dyDescent="0.3">
      <c r="B210" s="107"/>
      <c r="C210" s="141" t="s">
        <v>533</v>
      </c>
      <c r="D210" s="151">
        <f t="shared" ref="D210:L210" si="311">D209/$N$2</f>
        <v>7.8607787675597906E-4</v>
      </c>
      <c r="E210" s="151">
        <f t="shared" si="311"/>
        <v>5.0654001592423809E-3</v>
      </c>
      <c r="F210" s="151">
        <f t="shared" si="311"/>
        <v>0.36784828627882993</v>
      </c>
      <c r="G210" s="151">
        <f t="shared" si="311"/>
        <v>0.33941520688726751</v>
      </c>
      <c r="H210" s="151">
        <f t="shared" si="311"/>
        <v>0.22305426148409571</v>
      </c>
      <c r="I210" s="151">
        <f t="shared" si="311"/>
        <v>2.6965027710799734E-2</v>
      </c>
      <c r="J210" s="151">
        <f t="shared" si="311"/>
        <v>3.6865739603008783E-2</v>
      </c>
      <c r="K210" s="151">
        <f t="shared" si="311"/>
        <v>0.56832094640736153</v>
      </c>
      <c r="L210" s="151">
        <f t="shared" si="311"/>
        <v>0.36784828627882993</v>
      </c>
      <c r="M210" s="145">
        <f>SUM(D210:J210)</f>
        <v>1</v>
      </c>
      <c r="N210" s="195">
        <f>N209/N207</f>
        <v>0.96211262631570482</v>
      </c>
      <c r="O210" s="107"/>
      <c r="P210" s="141" t="s">
        <v>533</v>
      </c>
      <c r="Q210" s="151">
        <f t="shared" ref="Q210:Y210" si="312">Q209/$N$3</f>
        <v>0</v>
      </c>
      <c r="R210" s="151">
        <f t="shared" si="312"/>
        <v>6.7094625446536488E-3</v>
      </c>
      <c r="S210" s="151">
        <f t="shared" si="312"/>
        <v>0.71426499422524248</v>
      </c>
      <c r="T210" s="151">
        <f t="shared" si="312"/>
        <v>0.19524052536864442</v>
      </c>
      <c r="U210" s="151">
        <f t="shared" si="312"/>
        <v>5.0876957374231147E-2</v>
      </c>
      <c r="V210" s="151">
        <f t="shared" si="312"/>
        <v>5.7640138594182364E-3</v>
      </c>
      <c r="W210" s="151">
        <f t="shared" si="312"/>
        <v>2.7144046627810021E-2</v>
      </c>
      <c r="X210" s="151">
        <f t="shared" si="312"/>
        <v>0.25282694528752919</v>
      </c>
      <c r="Y210" s="151">
        <f t="shared" si="312"/>
        <v>0.71426499422524248</v>
      </c>
      <c r="Z210" s="145">
        <f>SUM(Q210:W210)</f>
        <v>1</v>
      </c>
      <c r="AA210" s="195">
        <f>AA209/AA207</f>
        <v>0.9726985876530404</v>
      </c>
      <c r="AB210" s="107"/>
      <c r="AC210" s="141" t="s">
        <v>533</v>
      </c>
      <c r="AD210" s="151">
        <f t="shared" ref="AD210" si="313">AD209/$N$4</f>
        <v>0</v>
      </c>
      <c r="AE210" s="151">
        <f t="shared" ref="AE210" si="314">AE209/$N$4</f>
        <v>1.2234197494902418E-2</v>
      </c>
      <c r="AF210" s="151">
        <f t="shared" ref="AF210" si="315">AF209/$N$4</f>
        <v>0.36636011818068331</v>
      </c>
      <c r="AG210" s="151">
        <f t="shared" ref="AG210" si="316">AG209/$N$4</f>
        <v>0.3385002704839582</v>
      </c>
      <c r="AH210" s="151">
        <f t="shared" ref="AH210" si="317">AH209/$N$4</f>
        <v>0.23267862344471724</v>
      </c>
      <c r="AI210" s="151">
        <f t="shared" ref="AI210" si="318">AI209/$N$4</f>
        <v>4.4941949981274704E-3</v>
      </c>
      <c r="AJ210" s="151">
        <f t="shared" ref="AJ210" si="319">AJ209/$N$4</f>
        <v>4.5732595397611459E-2</v>
      </c>
      <c r="AK210" s="151">
        <f t="shared" ref="AK210" si="320">AK209/$N$4</f>
        <v>0.58341309142357778</v>
      </c>
      <c r="AL210" s="151">
        <f t="shared" ref="AL210" si="321">AL209/$N$4</f>
        <v>0.36636011818068331</v>
      </c>
      <c r="AM210" s="145">
        <f>SUM(AD210:AJ210)</f>
        <v>1</v>
      </c>
      <c r="AN210" s="195">
        <f>AN209/AN207</f>
        <v>0.95406094553358689</v>
      </c>
    </row>
    <row r="211" spans="2:40" x14ac:dyDescent="0.3">
      <c r="B211" s="107"/>
      <c r="C211" s="107" t="s">
        <v>601</v>
      </c>
      <c r="D211" s="112">
        <f>D207-D209</f>
        <v>5.4600000000000009</v>
      </c>
      <c r="E211" s="112">
        <f>E207-E209</f>
        <v>62.430000000000007</v>
      </c>
      <c r="F211" s="112">
        <f>F207-F209</f>
        <v>340.98999999999978</v>
      </c>
      <c r="G211" s="112">
        <f>G207-G209</f>
        <v>673.89999999999964</v>
      </c>
      <c r="H211" s="112">
        <f>H207-H209</f>
        <v>517.86000000000058</v>
      </c>
      <c r="I211" s="147"/>
      <c r="J211" s="147"/>
      <c r="K211" s="112">
        <f>K207-K209</f>
        <v>1259.6500000000015</v>
      </c>
      <c r="L211" s="108">
        <f>F211</f>
        <v>340.98999999999978</v>
      </c>
      <c r="M211" s="145"/>
      <c r="N211" s="107"/>
      <c r="O211" s="107"/>
      <c r="P211" s="107" t="s">
        <v>601</v>
      </c>
      <c r="Q211" s="112">
        <f>Q207-Q209</f>
        <v>0</v>
      </c>
      <c r="R211" s="112">
        <f>R207-R209</f>
        <v>5.67</v>
      </c>
      <c r="S211" s="112">
        <f>S207-S209</f>
        <v>14.949999999999818</v>
      </c>
      <c r="T211" s="112">
        <f>T207-T209</f>
        <v>16.439999999999998</v>
      </c>
      <c r="U211" s="112">
        <f>U207-U209</f>
        <v>13.470000000000013</v>
      </c>
      <c r="V211" s="147"/>
      <c r="W211" s="147"/>
      <c r="X211" s="112">
        <f>X207-X209</f>
        <v>35.580000000000041</v>
      </c>
      <c r="Y211" s="108">
        <f>S211</f>
        <v>14.949999999999818</v>
      </c>
      <c r="Z211" s="145"/>
      <c r="AA211" s="107"/>
      <c r="AB211" s="107"/>
      <c r="AC211" s="107" t="s">
        <v>601</v>
      </c>
      <c r="AD211" s="112">
        <f>AD207-AD209</f>
        <v>0</v>
      </c>
      <c r="AE211" s="112">
        <f>AE207-AE209</f>
        <v>2.7500000000000009</v>
      </c>
      <c r="AF211" s="112">
        <f>AF207-AF209</f>
        <v>5.6999999999999886</v>
      </c>
      <c r="AG211" s="112">
        <f>AG207-AG209</f>
        <v>6.1500000000000057</v>
      </c>
      <c r="AH211" s="112">
        <f>AH207-AH209</f>
        <v>7.3799999999999955</v>
      </c>
      <c r="AI211" s="147"/>
      <c r="AJ211" s="147"/>
      <c r="AK211" s="112">
        <f>AK207-AK209</f>
        <v>16.28000000000003</v>
      </c>
      <c r="AL211" s="108">
        <f>AF211</f>
        <v>5.6999999999999886</v>
      </c>
      <c r="AM211" s="145"/>
      <c r="AN211" s="107"/>
    </row>
    <row r="212" spans="2:40" x14ac:dyDescent="0.3">
      <c r="B212" s="107"/>
      <c r="C212" s="107" t="s">
        <v>602</v>
      </c>
      <c r="D212" s="147">
        <f>D211/D207</f>
        <v>0.13791361454912857</v>
      </c>
      <c r="E212" s="147">
        <f>E211/E207</f>
        <v>0.22110072248193796</v>
      </c>
      <c r="F212" s="147">
        <f>F211/F207</f>
        <v>2.0903909084332876E-2</v>
      </c>
      <c r="G212" s="147">
        <f>G211/G207</f>
        <v>4.3729470379594362E-2</v>
      </c>
      <c r="H212" s="147">
        <f>H211/H207</f>
        <v>5.075839626756324E-2</v>
      </c>
      <c r="I212" s="147"/>
      <c r="J212" s="147"/>
      <c r="K212" s="151">
        <f>K211/K207</f>
        <v>4.8569388310649809E-2</v>
      </c>
      <c r="L212" s="151">
        <f>L211/$N$2</f>
        <v>7.8536388864641395E-3</v>
      </c>
      <c r="M212" s="145"/>
      <c r="N212" s="107"/>
      <c r="O212" s="107"/>
      <c r="P212" s="107" t="s">
        <v>602</v>
      </c>
      <c r="Q212" s="147" t="s">
        <v>615</v>
      </c>
      <c r="R212" s="147">
        <f>R211/R207</f>
        <v>0.31222466960352424</v>
      </c>
      <c r="S212" s="147">
        <f>S211/S207</f>
        <v>1.1118630958135802E-2</v>
      </c>
      <c r="T212" s="147">
        <f>T211/T207</f>
        <v>4.3275685066729838E-2</v>
      </c>
      <c r="U212" s="147">
        <f>U211/U207</f>
        <v>0.12451469772601231</v>
      </c>
      <c r="V212" s="147"/>
      <c r="W212" s="147"/>
      <c r="X212" s="151">
        <f>X211/X207</f>
        <v>7.0284258143531675E-2</v>
      </c>
      <c r="Y212" s="151">
        <f>Y211/$N$3</f>
        <v>8.0309419569712433E-3</v>
      </c>
      <c r="Z212" s="145"/>
      <c r="AA212" s="107"/>
      <c r="AB212" s="107"/>
      <c r="AC212" s="107" t="s">
        <v>602</v>
      </c>
      <c r="AD212" s="147" t="s">
        <v>615</v>
      </c>
      <c r="AE212" s="147">
        <f>AE211/AE207</f>
        <v>0.31865585168018545</v>
      </c>
      <c r="AF212" s="147">
        <f>AF211/AF207</f>
        <v>3.1356584882825334E-2</v>
      </c>
      <c r="AG212" s="147">
        <f>AG211/AG207</f>
        <v>3.6425017768301385E-2</v>
      </c>
      <c r="AH212" s="147">
        <f>AH211/AH207</f>
        <v>6.1907558090764161E-2</v>
      </c>
      <c r="AI212" s="147"/>
      <c r="AJ212" s="147"/>
      <c r="AK212" s="151">
        <f t="shared" ref="AK212" si="322">AK211/$N$4</f>
        <v>3.3872914152553016E-2</v>
      </c>
      <c r="AL212" s="151">
        <f t="shared" ref="AL212" si="323">AL211/$N$4</f>
        <v>1.1859681245058443E-2</v>
      </c>
      <c r="AM212" s="145"/>
      <c r="AN212" s="107"/>
    </row>
    <row r="213" spans="2:40" x14ac:dyDescent="0.3">
      <c r="B213" s="115" t="s">
        <v>410</v>
      </c>
      <c r="C213" s="122" t="s">
        <v>9</v>
      </c>
      <c r="D213" s="136">
        <f>'19O_Seeds'!AL129</f>
        <v>40.092999999999996</v>
      </c>
      <c r="E213" s="136">
        <f>'19O_Seeds'!AM129</f>
        <v>293.33799999999997</v>
      </c>
      <c r="F213" s="136">
        <f>'19O_Seeds'!AN129</f>
        <v>16279.938</v>
      </c>
      <c r="G213" s="136">
        <f>'19O_Seeds'!AO129</f>
        <v>15381.559500000003</v>
      </c>
      <c r="H213" s="136">
        <f>'19O_Seeds'!AP129</f>
        <v>10252.395</v>
      </c>
      <c r="I213" s="108">
        <f>$N$2-N213</f>
        <v>1170.7664999999979</v>
      </c>
      <c r="J213" s="108"/>
      <c r="K213" s="108"/>
      <c r="L213" s="108"/>
      <c r="M213" s="115" t="s">
        <v>36</v>
      </c>
      <c r="N213" s="137">
        <f>SUM(D213:H213)</f>
        <v>42247.323499999999</v>
      </c>
      <c r="O213" s="115" t="s">
        <v>410</v>
      </c>
      <c r="P213" s="122" t="s">
        <v>9</v>
      </c>
      <c r="Q213" s="136">
        <f>'19O_Seeds'!AL134</f>
        <v>1.3500000000000002E-2</v>
      </c>
      <c r="R213" s="136">
        <f>'19O_Seeds'!AM134</f>
        <v>18.770499999999998</v>
      </c>
      <c r="S213" s="136">
        <f>'19O_Seeds'!AN134</f>
        <v>1342.6389999999997</v>
      </c>
      <c r="T213" s="136">
        <f>'19O_Seeds'!AO134</f>
        <v>378.70700000000005</v>
      </c>
      <c r="U213" s="136">
        <f>'19O_Seeds'!AP134</f>
        <v>110.69899999999998</v>
      </c>
      <c r="V213" s="108">
        <f>$N$3-AA213</f>
        <v>10.721000000000004</v>
      </c>
      <c r="W213" s="108"/>
      <c r="X213" s="108"/>
      <c r="Y213" s="108"/>
      <c r="Z213" s="115" t="s">
        <v>36</v>
      </c>
      <c r="AA213" s="137">
        <f>SUM(Q213:U213)</f>
        <v>1850.829</v>
      </c>
      <c r="AB213" s="115" t="s">
        <v>410</v>
      </c>
      <c r="AC213" s="122"/>
      <c r="AD213" s="139"/>
      <c r="AE213" s="136"/>
      <c r="AF213" s="136"/>
      <c r="AG213" s="136"/>
      <c r="AH213" s="136"/>
      <c r="AI213" s="108"/>
      <c r="AJ213" s="108"/>
      <c r="AK213" s="108"/>
      <c r="AL213" s="108"/>
      <c r="AM213" s="115"/>
      <c r="AN213" s="137"/>
    </row>
    <row r="214" spans="2:40" x14ac:dyDescent="0.3">
      <c r="B214" s="115"/>
      <c r="C214" s="141" t="s">
        <v>533</v>
      </c>
      <c r="D214" s="151">
        <f t="shared" ref="D214:I214" si="324">D213/$N$2</f>
        <v>9.234169444118799E-4</v>
      </c>
      <c r="E214" s="151">
        <f t="shared" si="324"/>
        <v>6.7561240026910441E-3</v>
      </c>
      <c r="F214" s="151">
        <f t="shared" si="324"/>
        <v>0.3749574889176378</v>
      </c>
      <c r="G214" s="151">
        <f t="shared" si="324"/>
        <v>0.35426614805027129</v>
      </c>
      <c r="H214" s="151">
        <f t="shared" si="324"/>
        <v>0.23613187498574906</v>
      </c>
      <c r="I214" s="146">
        <f t="shared" si="324"/>
        <v>2.6964947099239005E-2</v>
      </c>
      <c r="J214" s="146"/>
      <c r="K214" s="146"/>
      <c r="L214" s="146"/>
      <c r="M214" s="145">
        <f>SUM(D214:I214)</f>
        <v>1</v>
      </c>
      <c r="N214" s="137"/>
      <c r="O214" s="115"/>
      <c r="P214" s="141" t="s">
        <v>533</v>
      </c>
      <c r="Q214" s="151">
        <f t="shared" ref="Q214:V214" si="325">Q213/$N$3</f>
        <v>7.252021165158068E-6</v>
      </c>
      <c r="R214" s="151">
        <f t="shared" si="325"/>
        <v>1.0083263946711073E-2</v>
      </c>
      <c r="S214" s="151">
        <f t="shared" si="325"/>
        <v>0.72124788482715996</v>
      </c>
      <c r="T214" s="151">
        <f t="shared" si="325"/>
        <v>0.203436383658779</v>
      </c>
      <c r="U214" s="151">
        <f t="shared" si="325"/>
        <v>5.9466036367543169E-2</v>
      </c>
      <c r="V214" s="147">
        <f t="shared" si="325"/>
        <v>5.7591791786414572E-3</v>
      </c>
      <c r="W214" s="147"/>
      <c r="X214" s="147"/>
      <c r="Y214" s="146"/>
      <c r="Z214" s="145">
        <f>SUM(Q214:V214)</f>
        <v>0.99999999999999989</v>
      </c>
      <c r="AA214" s="137"/>
      <c r="AB214" s="115"/>
      <c r="AC214" s="141"/>
      <c r="AD214" s="151"/>
      <c r="AE214" s="151"/>
      <c r="AF214" s="151"/>
      <c r="AG214" s="151"/>
      <c r="AH214" s="151"/>
      <c r="AI214" s="147"/>
      <c r="AJ214" s="147"/>
      <c r="AK214" s="147"/>
      <c r="AL214" s="147"/>
      <c r="AM214" s="145"/>
      <c r="AN214" s="137"/>
    </row>
    <row r="215" spans="2:40" x14ac:dyDescent="0.3">
      <c r="B215" s="107"/>
      <c r="C215" s="148" t="s">
        <v>394</v>
      </c>
      <c r="D215" s="108">
        <f>'19O_Seeds'!AL130</f>
        <v>2.518593602954259</v>
      </c>
      <c r="E215" s="108">
        <f>'19O_Seeds'!AM130</f>
        <v>3.1162173932678794</v>
      </c>
      <c r="F215" s="108">
        <f>'19O_Seeds'!AN130</f>
        <v>15.627900397753535</v>
      </c>
      <c r="G215" s="108">
        <f>'19O_Seeds'!AO130</f>
        <v>28.264689971718578</v>
      </c>
      <c r="H215" s="108">
        <f>'19O_Seeds'!AP130</f>
        <v>23.216994745229169</v>
      </c>
      <c r="I215" s="107"/>
      <c r="J215" s="107"/>
      <c r="K215" s="107"/>
      <c r="L215" s="107"/>
      <c r="M215" s="107"/>
      <c r="N215" s="142"/>
      <c r="O215" s="107"/>
      <c r="P215" s="148" t="s">
        <v>394</v>
      </c>
      <c r="Q215" s="108">
        <f>'19O_Seeds'!AL135</f>
        <v>7.3726021971821272E-3</v>
      </c>
      <c r="R215" s="108">
        <f>'19O_Seeds'!AM135</f>
        <v>0.36293284502783707</v>
      </c>
      <c r="S215" s="108">
        <f>'19O_Seeds'!AN135</f>
        <v>0.67045581509895269</v>
      </c>
      <c r="T215" s="108">
        <f>'19O_Seeds'!AO135</f>
        <v>0.75327324321747191</v>
      </c>
      <c r="U215" s="108">
        <f>'19O_Seeds'!AP135</f>
        <v>0.75219394895339686</v>
      </c>
      <c r="V215" s="107"/>
      <c r="W215" s="107"/>
      <c r="X215" s="107"/>
      <c r="Y215" s="107"/>
      <c r="Z215" s="107"/>
      <c r="AA215" s="107"/>
      <c r="AB215" s="107"/>
      <c r="AC215" s="148"/>
      <c r="AD215" s="108"/>
      <c r="AE215" s="108"/>
      <c r="AF215" s="108"/>
      <c r="AG215" s="108"/>
      <c r="AH215" s="108"/>
      <c r="AI215" s="107"/>
      <c r="AJ215" s="107"/>
      <c r="AK215" s="107"/>
      <c r="AL215" s="107"/>
      <c r="AM215" s="107"/>
      <c r="AN215" s="107"/>
    </row>
    <row r="216" spans="2:40" x14ac:dyDescent="0.3">
      <c r="B216" s="107"/>
      <c r="C216" s="129" t="s">
        <v>538</v>
      </c>
      <c r="D216" s="125">
        <f>1.96*D215</f>
        <v>4.9364434617903479</v>
      </c>
      <c r="E216" s="125">
        <f>1.96*E215</f>
        <v>6.1077860908050434</v>
      </c>
      <c r="F216" s="125">
        <f>1.96*F215</f>
        <v>30.63068477959693</v>
      </c>
      <c r="G216" s="125">
        <f>1.96*G215</f>
        <v>55.398792344568413</v>
      </c>
      <c r="H216" s="125">
        <f>1.96*H215</f>
        <v>45.505309700649171</v>
      </c>
      <c r="I216" s="107"/>
      <c r="J216" s="107"/>
      <c r="K216" s="107"/>
      <c r="L216" s="107"/>
      <c r="M216" s="107"/>
      <c r="N216" s="107"/>
      <c r="O216" s="107"/>
      <c r="P216" s="129" t="s">
        <v>538</v>
      </c>
      <c r="Q216" s="125">
        <f>1.96*Q215</f>
        <v>1.445030030647697E-2</v>
      </c>
      <c r="R216" s="125">
        <f>1.96*R215</f>
        <v>0.7113483762545606</v>
      </c>
      <c r="S216" s="125">
        <f>1.96*S215</f>
        <v>1.3140933975939473</v>
      </c>
      <c r="T216" s="125">
        <f>1.96*T215</f>
        <v>1.4764155567062449</v>
      </c>
      <c r="U216" s="125">
        <f>1.96*U215</f>
        <v>1.4743001399486577</v>
      </c>
      <c r="V216" s="107"/>
      <c r="W216" s="107"/>
      <c r="X216" s="107"/>
      <c r="Y216" s="107"/>
      <c r="Z216" s="107"/>
      <c r="AA216" s="107"/>
      <c r="AB216" s="107"/>
      <c r="AC216" s="129"/>
      <c r="AD216" s="125"/>
      <c r="AE216" s="125"/>
      <c r="AF216" s="125"/>
      <c r="AG216" s="125"/>
      <c r="AH216" s="125"/>
      <c r="AI216" s="107"/>
      <c r="AJ216" s="107"/>
      <c r="AK216" s="107"/>
      <c r="AL216" s="107"/>
      <c r="AM216" s="107"/>
      <c r="AN216" s="107"/>
    </row>
    <row r="217" spans="2:40" x14ac:dyDescent="0.3">
      <c r="B217" s="115" t="s">
        <v>409</v>
      </c>
      <c r="C217" s="107" t="s">
        <v>391</v>
      </c>
      <c r="D217" s="146">
        <f>D207/SUM(D207:H207)</f>
        <v>9.3710086225587809E-4</v>
      </c>
      <c r="E217" s="146">
        <f>E207/SUM(D207:H207)</f>
        <v>6.6835008705877679E-3</v>
      </c>
      <c r="F217" s="146">
        <f>F207/SUM(D207:H207)</f>
        <v>0.38611348601520762</v>
      </c>
      <c r="G217" s="146">
        <f>G207/SUM(D207:H207)</f>
        <v>0.36477248734357587</v>
      </c>
      <c r="H217" s="146">
        <f>H207/SUM(D207:H207)</f>
        <v>0.24149342490837292</v>
      </c>
      <c r="I217" s="152">
        <f>SUM(D217:H217)</f>
        <v>1</v>
      </c>
      <c r="J217" s="107"/>
      <c r="K217" s="107"/>
      <c r="L217" s="107"/>
      <c r="M217" s="107"/>
      <c r="N217" s="107"/>
      <c r="O217" s="115" t="s">
        <v>409</v>
      </c>
      <c r="P217" s="107" t="s">
        <v>391</v>
      </c>
      <c r="Q217" s="146">
        <f>Q207/SUM(Q207:U207)</f>
        <v>0</v>
      </c>
      <c r="R217" s="146">
        <f>R207/SUM(Q207:U207)</f>
        <v>9.8118671723884561E-3</v>
      </c>
      <c r="S217" s="146">
        <f>S207/SUM(Q207:U207)</f>
        <v>0.72648339654855687</v>
      </c>
      <c r="T217" s="146">
        <f>T207/SUM(Q207:U207)</f>
        <v>0.20525496806820762</v>
      </c>
      <c r="U217" s="146">
        <f>U207/SUM(Q207:U207)</f>
        <v>5.8449768210847089E-2</v>
      </c>
      <c r="V217" s="152">
        <f>SUM(Q217:U217)</f>
        <v>1</v>
      </c>
      <c r="W217" s="107"/>
      <c r="X217" s="107"/>
      <c r="Y217" s="107"/>
      <c r="Z217" s="107"/>
      <c r="AA217" s="107"/>
      <c r="AB217" s="115" t="s">
        <v>409</v>
      </c>
      <c r="AC217" s="107" t="s">
        <v>391</v>
      </c>
      <c r="AD217" s="146">
        <f>AD207/SUM(AD207:AH207)</f>
        <v>0</v>
      </c>
      <c r="AE217" s="146">
        <f>AE207/SUM(AD207:AH207)</f>
        <v>1.8037035488860095E-2</v>
      </c>
      <c r="AF217" s="146">
        <f>AF207/SUM(AD207:AH207)</f>
        <v>0.37992726664715964</v>
      </c>
      <c r="AG217" s="146">
        <f>AG207/SUM(AD207:AH207)</f>
        <v>0.35288216360824315</v>
      </c>
      <c r="AH217" s="146">
        <f>AH207/SUM(AD207:AH207)</f>
        <v>0.24915353425573716</v>
      </c>
      <c r="AI217" s="152">
        <f>SUM(AD217:AH217)</f>
        <v>1</v>
      </c>
      <c r="AJ217" s="107"/>
      <c r="AK217" s="107"/>
      <c r="AL217" s="107"/>
      <c r="AM217" s="107"/>
      <c r="AN217" s="107"/>
    </row>
    <row r="218" spans="2:40" x14ac:dyDescent="0.3">
      <c r="B218" s="148" t="s">
        <v>801</v>
      </c>
      <c r="C218" s="90" t="s">
        <v>524</v>
      </c>
      <c r="D218" s="108">
        <f>D211*D217</f>
        <v>5.1165707079170956E-3</v>
      </c>
      <c r="E218" s="108">
        <f>E211*D217</f>
        <v>5.8503206830634473E-2</v>
      </c>
      <c r="F218" s="108">
        <f>F211*D217</f>
        <v>0.31954202302063167</v>
      </c>
      <c r="G218" s="108">
        <f>G211*D217</f>
        <v>0.63151227107423591</v>
      </c>
      <c r="H218" s="108">
        <f>H211*D217</f>
        <v>0.48528705252782955</v>
      </c>
      <c r="I218" s="107"/>
      <c r="J218" s="107"/>
      <c r="K218" s="107"/>
      <c r="L218" s="107"/>
      <c r="M218" s="107"/>
      <c r="N218" s="107"/>
      <c r="O218" s="148" t="s">
        <v>801</v>
      </c>
      <c r="P218" s="90" t="s">
        <v>524</v>
      </c>
      <c r="Q218" s="108">
        <f>Q211*Q217</f>
        <v>0</v>
      </c>
      <c r="R218" s="108">
        <f>R211*Q217</f>
        <v>0</v>
      </c>
      <c r="S218" s="108">
        <f>S211*Q217</f>
        <v>0</v>
      </c>
      <c r="T218" s="108">
        <f>T211*Q217</f>
        <v>0</v>
      </c>
      <c r="U218" s="108">
        <f>U211*Q217</f>
        <v>0</v>
      </c>
      <c r="V218" s="107"/>
      <c r="W218" s="107"/>
      <c r="X218" s="107"/>
      <c r="Y218" s="107"/>
      <c r="Z218" s="107"/>
      <c r="AA218" s="107"/>
      <c r="AB218" s="148" t="s">
        <v>801</v>
      </c>
      <c r="AC218" s="90" t="s">
        <v>524</v>
      </c>
      <c r="AD218" s="108">
        <f>AD211*AD217</f>
        <v>0</v>
      </c>
      <c r="AE218" s="108">
        <f>AE211*AD217</f>
        <v>0</v>
      </c>
      <c r="AF218" s="108">
        <f>AF211*AD217</f>
        <v>0</v>
      </c>
      <c r="AG218" s="108">
        <f>AG211*AD217</f>
        <v>0</v>
      </c>
      <c r="AH218" s="108">
        <f>AH211*AD217</f>
        <v>0</v>
      </c>
      <c r="AI218" s="107"/>
      <c r="AJ218" s="107"/>
      <c r="AK218" s="107"/>
      <c r="AL218" s="107"/>
      <c r="AM218" s="107"/>
      <c r="AN218" s="107"/>
    </row>
    <row r="219" spans="2:40" x14ac:dyDescent="0.3">
      <c r="B219" s="107" t="s">
        <v>799</v>
      </c>
      <c r="C219" s="91" t="s">
        <v>523</v>
      </c>
      <c r="D219" s="108">
        <f>D211*E217</f>
        <v>3.6491914753409217E-2</v>
      </c>
      <c r="E219" s="108">
        <f>E211*E217</f>
        <v>0.41725095935079437</v>
      </c>
      <c r="F219" s="108">
        <f>F211*E217</f>
        <v>2.2790069618617217</v>
      </c>
      <c r="G219" s="108">
        <f>G211*E217</f>
        <v>4.5040112366890943</v>
      </c>
      <c r="H219" s="108">
        <f>H211*E217</f>
        <v>3.4611177608425852</v>
      </c>
      <c r="I219" s="107"/>
      <c r="J219" s="107"/>
      <c r="K219" s="107"/>
      <c r="L219" s="107"/>
      <c r="M219" s="107"/>
      <c r="N219" s="107"/>
      <c r="O219" s="107" t="s">
        <v>799</v>
      </c>
      <c r="P219" s="91" t="s">
        <v>523</v>
      </c>
      <c r="Q219" s="108">
        <f>Q211*R217</f>
        <v>0</v>
      </c>
      <c r="R219" s="108">
        <f>R211*R217</f>
        <v>5.5633286867442545E-2</v>
      </c>
      <c r="S219" s="108">
        <f>S211*R217</f>
        <v>0.14668741422720563</v>
      </c>
      <c r="T219" s="108">
        <f>T211*R217</f>
        <v>0.1613070963140662</v>
      </c>
      <c r="U219" s="108">
        <f>U211*R217</f>
        <v>0.13216585081207263</v>
      </c>
      <c r="V219" s="107"/>
      <c r="W219" s="107"/>
      <c r="X219" s="107"/>
      <c r="Y219" s="107"/>
      <c r="Z219" s="107"/>
      <c r="AA219" s="107"/>
      <c r="AB219" s="107" t="s">
        <v>799</v>
      </c>
      <c r="AC219" s="91" t="s">
        <v>523</v>
      </c>
      <c r="AD219" s="108">
        <f>AD211*AE217</f>
        <v>0</v>
      </c>
      <c r="AE219" s="108">
        <f>AE211*AE217</f>
        <v>4.9601847594365277E-2</v>
      </c>
      <c r="AF219" s="108">
        <f>AF211*AE217</f>
        <v>0.10281110228650234</v>
      </c>
      <c r="AG219" s="108">
        <f>AG211*AE217</f>
        <v>0.11092776825648969</v>
      </c>
      <c r="AH219" s="108">
        <f>AH211*AE217</f>
        <v>0.13311332190778741</v>
      </c>
      <c r="AI219" s="107"/>
      <c r="AJ219" s="107"/>
      <c r="AK219" s="107"/>
      <c r="AL219" s="107"/>
      <c r="AM219" s="107"/>
      <c r="AN219" s="107"/>
    </row>
    <row r="220" spans="2:40" x14ac:dyDescent="0.3">
      <c r="B220" s="107"/>
      <c r="C220" s="92" t="s">
        <v>525</v>
      </c>
      <c r="D220" s="108">
        <f>D211*F217</f>
        <v>2.1081796336430338</v>
      </c>
      <c r="E220" s="108">
        <f>E211*F217</f>
        <v>24.105064931929416</v>
      </c>
      <c r="F220" s="108">
        <f>F211*F217</f>
        <v>131.66083759632556</v>
      </c>
      <c r="G220" s="108">
        <f>G211*F217</f>
        <v>260.20187822564827</v>
      </c>
      <c r="H220" s="108">
        <f>H211*F217</f>
        <v>199.95272986783564</v>
      </c>
      <c r="I220" s="107"/>
      <c r="J220" s="107"/>
      <c r="K220" s="107"/>
      <c r="L220" s="107"/>
      <c r="M220" s="107"/>
      <c r="N220" s="107"/>
      <c r="O220" s="107"/>
      <c r="P220" s="92" t="s">
        <v>525</v>
      </c>
      <c r="Q220" s="108">
        <f>Q211*S217</f>
        <v>0</v>
      </c>
      <c r="R220" s="108">
        <f>R211*S217</f>
        <v>4.119160858430317</v>
      </c>
      <c r="S220" s="108">
        <f>S211*S217</f>
        <v>10.860926778400794</v>
      </c>
      <c r="T220" s="108">
        <f>T211*S217</f>
        <v>11.943387039258273</v>
      </c>
      <c r="U220" s="108">
        <f>U211*S217</f>
        <v>9.7857313515090709</v>
      </c>
      <c r="V220" s="107"/>
      <c r="W220" s="107"/>
      <c r="X220" s="107"/>
      <c r="Y220" s="107"/>
      <c r="Z220" s="107"/>
      <c r="AA220" s="107"/>
      <c r="AB220" s="107"/>
      <c r="AC220" s="92" t="s">
        <v>525</v>
      </c>
      <c r="AD220" s="108">
        <f>AD211*AF217</f>
        <v>0</v>
      </c>
      <c r="AE220" s="108">
        <f>AE211*AF217</f>
        <v>1.0447999832796893</v>
      </c>
      <c r="AF220" s="108">
        <f>AF211*AF217</f>
        <v>2.1655854198888056</v>
      </c>
      <c r="AG220" s="108">
        <f>AG211*AF217</f>
        <v>2.3365526898800342</v>
      </c>
      <c r="AH220" s="108">
        <f>AH211*AF217</f>
        <v>2.8038632278560365</v>
      </c>
      <c r="AI220" s="107"/>
      <c r="AJ220" s="107"/>
      <c r="AK220" s="107"/>
      <c r="AL220" s="107"/>
      <c r="AM220" s="107"/>
      <c r="AN220" s="107"/>
    </row>
    <row r="221" spans="2:40" x14ac:dyDescent="0.3">
      <c r="B221" s="107"/>
      <c r="C221" s="124" t="s">
        <v>526</v>
      </c>
      <c r="D221" s="108">
        <f>D211*G217</f>
        <v>1.9916577808959246</v>
      </c>
      <c r="E221" s="108">
        <f>E211*G217</f>
        <v>22.772746384859445</v>
      </c>
      <c r="F221" s="108">
        <f>F211*G217</f>
        <v>124.38377045928586</v>
      </c>
      <c r="G221" s="108">
        <f>G211*G217</f>
        <v>245.82017922083566</v>
      </c>
      <c r="H221" s="108">
        <f>H211*G217</f>
        <v>188.90108029574441</v>
      </c>
      <c r="I221" s="107"/>
      <c r="J221" s="107"/>
      <c r="K221" s="107"/>
      <c r="L221" s="107"/>
      <c r="M221" s="107"/>
      <c r="N221" s="107"/>
      <c r="O221" s="107"/>
      <c r="P221" s="124" t="s">
        <v>526</v>
      </c>
      <c r="Q221" s="108">
        <f>Q211*T217</f>
        <v>0</v>
      </c>
      <c r="R221" s="108">
        <f>R211*T217</f>
        <v>1.1637956689467372</v>
      </c>
      <c r="S221" s="108">
        <f>S211*T217</f>
        <v>3.0685617726196663</v>
      </c>
      <c r="T221" s="108">
        <f>T211*T217</f>
        <v>3.3743916750413327</v>
      </c>
      <c r="U221" s="108">
        <f>U211*T217</f>
        <v>2.7647844198787594</v>
      </c>
      <c r="V221" s="107"/>
      <c r="W221" s="107"/>
      <c r="X221" s="107"/>
      <c r="Y221" s="107"/>
      <c r="Z221" s="107"/>
      <c r="AA221" s="107"/>
      <c r="AB221" s="107"/>
      <c r="AC221" s="124" t="s">
        <v>526</v>
      </c>
      <c r="AD221" s="108">
        <f>AD211*AG217</f>
        <v>0</v>
      </c>
      <c r="AE221" s="108">
        <f>AE211*AG217</f>
        <v>0.97042594992266895</v>
      </c>
      <c r="AF221" s="108">
        <f>AF211*AG217</f>
        <v>2.0114283325669819</v>
      </c>
      <c r="AG221" s="108">
        <f>AG211*AG217</f>
        <v>2.1702253061906975</v>
      </c>
      <c r="AH221" s="108">
        <f>AH211*AG217</f>
        <v>2.6042703674288328</v>
      </c>
      <c r="AI221" s="107"/>
      <c r="AJ221" s="107"/>
      <c r="AK221" s="107"/>
      <c r="AL221" s="107"/>
      <c r="AM221" s="107"/>
      <c r="AN221" s="107"/>
    </row>
    <row r="222" spans="2:40" x14ac:dyDescent="0.3">
      <c r="B222" s="107"/>
      <c r="C222" s="123" t="s">
        <v>527</v>
      </c>
      <c r="D222" s="125">
        <f>D211*H217</f>
        <v>1.3185540999997163</v>
      </c>
      <c r="E222" s="125">
        <f>E211*H217</f>
        <v>15.076434517029723</v>
      </c>
      <c r="F222" s="125">
        <f>F211*H217</f>
        <v>82.346842959506034</v>
      </c>
      <c r="G222" s="125">
        <f>G211*H217</f>
        <v>162.74241904575243</v>
      </c>
      <c r="H222" s="125">
        <f>H211*H217</f>
        <v>125.05978502305014</v>
      </c>
      <c r="I222" s="107"/>
      <c r="J222" s="107"/>
      <c r="K222" s="107"/>
      <c r="L222" s="107"/>
      <c r="M222" s="107"/>
      <c r="N222" s="107"/>
      <c r="O222" s="107"/>
      <c r="P222" s="123" t="s">
        <v>527</v>
      </c>
      <c r="Q222" s="125">
        <f>Q211*U217</f>
        <v>0</v>
      </c>
      <c r="R222" s="125">
        <f>R211*U217</f>
        <v>0.33141018575550302</v>
      </c>
      <c r="S222" s="125">
        <f>S211*U217</f>
        <v>0.87382403475215331</v>
      </c>
      <c r="T222" s="125">
        <f>T211*U217</f>
        <v>0.960914189386326</v>
      </c>
      <c r="U222" s="125">
        <f>U211*U217</f>
        <v>0.78731837780011105</v>
      </c>
      <c r="V222" s="107"/>
      <c r="W222" s="107"/>
      <c r="X222" s="107"/>
      <c r="Y222" s="107"/>
      <c r="Z222" s="107"/>
      <c r="AA222" s="107"/>
      <c r="AB222" s="107"/>
      <c r="AC222" s="123" t="s">
        <v>527</v>
      </c>
      <c r="AD222" s="125">
        <f>AD211*AH217</f>
        <v>0</v>
      </c>
      <c r="AE222" s="125">
        <f>AE211*AH217</f>
        <v>0.68517221920327742</v>
      </c>
      <c r="AF222" s="125">
        <f>AF211*AH217</f>
        <v>1.4201751452576989</v>
      </c>
      <c r="AG222" s="125">
        <f>AG211*AH217</f>
        <v>1.5322942356727849</v>
      </c>
      <c r="AH222" s="125">
        <f>AH211*AH217</f>
        <v>1.8387530828073391</v>
      </c>
      <c r="AI222" s="107"/>
      <c r="AJ222" s="107"/>
      <c r="AK222" s="107"/>
      <c r="AL222" s="107"/>
      <c r="AM222" s="107"/>
      <c r="AN222" s="107"/>
    </row>
    <row r="223" spans="2:40" x14ac:dyDescent="0.3">
      <c r="B223" s="107"/>
      <c r="C223" s="107" t="s">
        <v>36</v>
      </c>
      <c r="D223" s="108">
        <f>SUM(D218:D222)</f>
        <v>5.4600000000000009</v>
      </c>
      <c r="E223" s="108">
        <f>SUM(E218:E222)</f>
        <v>62.430000000000014</v>
      </c>
      <c r="F223" s="108">
        <f>SUM(F218:F222)</f>
        <v>340.98999999999978</v>
      </c>
      <c r="G223" s="108">
        <f t="shared" ref="G223" si="326">SUM(G218:G222)</f>
        <v>673.89999999999964</v>
      </c>
      <c r="H223" s="108">
        <f t="shared" ref="H223" si="327">SUM(H218:H222)</f>
        <v>517.86000000000058</v>
      </c>
      <c r="I223" s="107"/>
      <c r="J223" s="107"/>
      <c r="K223" s="107"/>
      <c r="L223" s="107"/>
      <c r="M223" s="107"/>
      <c r="N223" s="107"/>
      <c r="O223" s="107"/>
      <c r="P223" s="107" t="s">
        <v>36</v>
      </c>
      <c r="Q223" s="108">
        <f>SUM(Q218:Q222)</f>
        <v>0</v>
      </c>
      <c r="R223" s="108">
        <f>SUM(R218:R222)</f>
        <v>5.6700000000000008</v>
      </c>
      <c r="S223" s="108">
        <f>SUM(S218:S222)</f>
        <v>14.94999999999982</v>
      </c>
      <c r="T223" s="108">
        <f t="shared" ref="T223" si="328">SUM(T218:T222)</f>
        <v>16.439999999999998</v>
      </c>
      <c r="U223" s="108">
        <f t="shared" ref="U223" si="329">SUM(U218:U222)</f>
        <v>13.470000000000013</v>
      </c>
      <c r="V223" s="107"/>
      <c r="W223" s="107"/>
      <c r="X223" s="107"/>
      <c r="Y223" s="107"/>
      <c r="Z223" s="107"/>
      <c r="AA223" s="107"/>
      <c r="AB223" s="107"/>
      <c r="AC223" s="107" t="s">
        <v>36</v>
      </c>
      <c r="AD223" s="108">
        <f>SUM(AD218:AD222)</f>
        <v>0</v>
      </c>
      <c r="AE223" s="108">
        <f>SUM(AE218:AE222)</f>
        <v>2.7500000000000009</v>
      </c>
      <c r="AF223" s="108">
        <f>SUM(AF218:AF222)</f>
        <v>5.6999999999999886</v>
      </c>
      <c r="AG223" s="108">
        <f t="shared" ref="AG223" si="330">SUM(AG218:AG222)</f>
        <v>6.1500000000000057</v>
      </c>
      <c r="AH223" s="108">
        <f t="shared" ref="AH223" si="331">SUM(AH218:AH222)</f>
        <v>7.3799999999999963</v>
      </c>
      <c r="AI223" s="107"/>
      <c r="AJ223" s="107"/>
      <c r="AK223" s="107"/>
      <c r="AL223" s="107"/>
      <c r="AM223" s="107"/>
      <c r="AN223" s="107"/>
    </row>
    <row r="224" spans="2:40" x14ac:dyDescent="0.3">
      <c r="B224" s="107" t="s">
        <v>800</v>
      </c>
      <c r="C224" s="212" t="s">
        <v>529</v>
      </c>
      <c r="D224" s="125">
        <f>I209*D217</f>
        <v>1.0971295765033113</v>
      </c>
      <c r="E224" s="125">
        <f>I209*E217</f>
        <v>7.8248423142580199</v>
      </c>
      <c r="F224" s="125">
        <f>I209*F217</f>
        <v>452.05008602202338</v>
      </c>
      <c r="G224" s="125">
        <f>I209*G217</f>
        <v>427.06468500723713</v>
      </c>
      <c r="H224" s="125">
        <f>I209*H217</f>
        <v>282.73325707997498</v>
      </c>
      <c r="I224" s="230">
        <f>SUM(D224:H224)</f>
        <v>1170.7699999999968</v>
      </c>
      <c r="J224" s="107"/>
      <c r="K224" s="141"/>
      <c r="L224" s="141"/>
      <c r="M224" s="107"/>
      <c r="N224" s="107"/>
      <c r="O224" s="107" t="s">
        <v>800</v>
      </c>
      <c r="P224" s="212" t="s">
        <v>529</v>
      </c>
      <c r="Q224" s="125">
        <f>V209*Q217</f>
        <v>0</v>
      </c>
      <c r="R224" s="125">
        <f>V209*R217</f>
        <v>0.10528133475972831</v>
      </c>
      <c r="S224" s="125">
        <f>V209*S217</f>
        <v>7.7951668449660287</v>
      </c>
      <c r="T224" s="125">
        <f>V209*T217</f>
        <v>2.2023858073718716</v>
      </c>
      <c r="U224" s="125">
        <f>V209*U217</f>
        <v>0.62716601290239038</v>
      </c>
      <c r="V224" s="230">
        <f>SUM(Q224:U224)</f>
        <v>10.73000000000002</v>
      </c>
      <c r="W224" s="107"/>
      <c r="X224" s="141"/>
      <c r="Y224" s="141"/>
      <c r="Z224" s="107"/>
      <c r="AA224" s="107"/>
      <c r="AB224" s="107" t="s">
        <v>800</v>
      </c>
      <c r="AC224" s="212" t="s">
        <v>529</v>
      </c>
      <c r="AD224" s="125">
        <f>AI209*AD217</f>
        <v>0</v>
      </c>
      <c r="AE224" s="125">
        <f>AI209*AE217</f>
        <v>3.8959996655938259E-2</v>
      </c>
      <c r="AF224" s="125">
        <f>AI209*AF217</f>
        <v>0.82064289595787432</v>
      </c>
      <c r="AG224" s="125">
        <f>AI209*AG217</f>
        <v>0.76222547339381408</v>
      </c>
      <c r="AH224" s="125">
        <f>AI209*AH217</f>
        <v>0.53817163399239853</v>
      </c>
      <c r="AI224" s="230">
        <f>SUM(AD224:AH224)</f>
        <v>2.160000000000025</v>
      </c>
      <c r="AJ224" s="107"/>
      <c r="AK224" s="141"/>
      <c r="AL224" s="141"/>
      <c r="AM224" s="107"/>
      <c r="AN224" s="107"/>
    </row>
    <row r="225" spans="2:40" x14ac:dyDescent="0.3">
      <c r="B225" s="107" t="s">
        <v>802</v>
      </c>
      <c r="C225" s="107" t="s">
        <v>803</v>
      </c>
      <c r="D225" s="108">
        <f>SUM(D218:H218)+D224</f>
        <v>2.5970907006645598</v>
      </c>
      <c r="E225" s="108">
        <f>SUM(D219:H219)+E224</f>
        <v>18.522721147755625</v>
      </c>
      <c r="F225" s="108">
        <f>SUM(D220:H220)+F224</f>
        <v>1070.0787762774053</v>
      </c>
      <c r="G225" s="108">
        <f>SUM(D221:H221)+G224</f>
        <v>1010.9341191488584</v>
      </c>
      <c r="H225" s="108">
        <f>SUM(D222:H222)+H224</f>
        <v>669.27729272531303</v>
      </c>
      <c r="I225" s="107"/>
      <c r="J225" s="107"/>
      <c r="K225" s="108">
        <f>D225+E225+G225+H225</f>
        <v>1701.3312237225914</v>
      </c>
      <c r="L225" s="108">
        <f>F225</f>
        <v>1070.0787762774053</v>
      </c>
      <c r="M225" s="107"/>
      <c r="N225" s="107"/>
      <c r="O225" s="107" t="s">
        <v>802</v>
      </c>
      <c r="P225" s="107" t="s">
        <v>803</v>
      </c>
      <c r="Q225" s="108">
        <f>SUM(Q218:U218)+Q224</f>
        <v>0</v>
      </c>
      <c r="R225" s="108">
        <f>SUM(Q219:U219)+R224</f>
        <v>0.60107498298051532</v>
      </c>
      <c r="S225" s="108">
        <f>SUM(Q220:U220)+S224</f>
        <v>44.504372872564481</v>
      </c>
      <c r="T225" s="108">
        <f>SUM(Q221:U221)+T224</f>
        <v>12.573919343858368</v>
      </c>
      <c r="U225" s="108">
        <f>SUM(Q222:U222)+U224</f>
        <v>3.5806328005964838</v>
      </c>
      <c r="V225" s="107"/>
      <c r="W225" s="107"/>
      <c r="X225" s="108">
        <f>Q225+R225+T225+U225</f>
        <v>16.755627127435368</v>
      </c>
      <c r="Y225" s="108">
        <f>S225</f>
        <v>44.504372872564481</v>
      </c>
      <c r="Z225" s="107"/>
      <c r="AA225" s="107"/>
      <c r="AB225" s="107" t="s">
        <v>802</v>
      </c>
      <c r="AC225" s="107" t="s">
        <v>803</v>
      </c>
      <c r="AD225" s="108">
        <f>SUM(AD218:AH218)+AD224</f>
        <v>0</v>
      </c>
      <c r="AE225" s="108">
        <f>SUM(AD219:AH219)+AE224</f>
        <v>0.43541403670108297</v>
      </c>
      <c r="AF225" s="108">
        <f>SUM(AD220:AH220)+AF224</f>
        <v>9.1714442168624402</v>
      </c>
      <c r="AG225" s="108">
        <f>SUM(AD221:AH221)+AG224</f>
        <v>8.5185754295029952</v>
      </c>
      <c r="AH225" s="108">
        <f>SUM(AD222:AH222)+AH224</f>
        <v>6.0145663169334984</v>
      </c>
      <c r="AI225" s="107"/>
      <c r="AJ225" s="107"/>
      <c r="AK225" s="108">
        <f>AD225+AE225+AG225+AH225</f>
        <v>14.968555783137576</v>
      </c>
      <c r="AL225" s="108">
        <f>AF225</f>
        <v>9.1714442168624402</v>
      </c>
      <c r="AM225" s="107"/>
      <c r="AN225" s="107"/>
    </row>
    <row r="226" spans="2:40" x14ac:dyDescent="0.3">
      <c r="B226" s="107" t="s">
        <v>802</v>
      </c>
      <c r="C226" s="107" t="s">
        <v>804</v>
      </c>
      <c r="D226" s="146">
        <f>D225/$N$2</f>
        <v>5.9815867088224289E-5</v>
      </c>
      <c r="E226" s="146">
        <f t="shared" ref="E226" si="332">E225/$N$2</f>
        <v>4.2661298891212459E-4</v>
      </c>
      <c r="F226" s="146">
        <f t="shared" ref="F226" si="333">F225/$N$2</f>
        <v>2.4645920082560179E-2</v>
      </c>
      <c r="G226" s="146">
        <f t="shared" ref="G226" si="334">G225/$N$2</f>
        <v>2.3283707762106958E-2</v>
      </c>
      <c r="H226" s="146">
        <f t="shared" ref="H226" si="335">H225/$N$2</f>
        <v>1.5414710613141045E-2</v>
      </c>
      <c r="I226" s="107"/>
      <c r="J226" s="107"/>
      <c r="K226" s="152">
        <f>K225/$N$2</f>
        <v>3.9184847231248349E-2</v>
      </c>
      <c r="L226" s="147">
        <f>L225/$N$2</f>
        <v>2.4645920082560179E-2</v>
      </c>
      <c r="M226" s="107"/>
      <c r="N226" s="107"/>
      <c r="O226" s="107" t="s">
        <v>802</v>
      </c>
      <c r="P226" s="107" t="s">
        <v>804</v>
      </c>
      <c r="Q226" s="146">
        <f>Q225/$N$3</f>
        <v>0</v>
      </c>
      <c r="R226" s="146">
        <f t="shared" ref="R226" si="336">R225/$N$3</f>
        <v>3.2288951840160905E-4</v>
      </c>
      <c r="S226" s="146">
        <f t="shared" ref="S226" si="337">S225/$N$3</f>
        <v>2.3907159556586975E-2</v>
      </c>
      <c r="T226" s="146">
        <f t="shared" ref="T226" si="338">T225/$N$3</f>
        <v>6.7545429044926905E-3</v>
      </c>
      <c r="U226" s="146">
        <f t="shared" ref="U226" si="339">U225/$N$3</f>
        <v>1.9234685077470302E-3</v>
      </c>
      <c r="V226" s="107"/>
      <c r="W226" s="107"/>
      <c r="X226" s="152">
        <f>X225/$N$3</f>
        <v>9.0009009306413305E-3</v>
      </c>
      <c r="Y226" s="152">
        <f>Y225/$N$3</f>
        <v>2.3907159556586975E-2</v>
      </c>
      <c r="Z226" s="107"/>
      <c r="AA226" s="107"/>
      <c r="AB226" s="107" t="s">
        <v>802</v>
      </c>
      <c r="AC226" s="107" t="s">
        <v>804</v>
      </c>
      <c r="AD226" s="146">
        <f>AD225/$N$4</f>
        <v>0</v>
      </c>
      <c r="AE226" s="146">
        <f t="shared" ref="AE226" si="340">AE225/$N$4</f>
        <v>9.0594240085947937E-4</v>
      </c>
      <c r="AF226" s="146">
        <f t="shared" ref="AF226" si="341">AF225/$N$4</f>
        <v>1.9082527187512879E-2</v>
      </c>
      <c r="AG226" s="146">
        <f t="shared" ref="AG226" si="342">AG225/$N$4</f>
        <v>1.772413846594606E-2</v>
      </c>
      <c r="AH226" s="146">
        <f t="shared" ref="AH226" si="343">AH225/$N$4</f>
        <v>1.2514182341420453E-2</v>
      </c>
      <c r="AI226" s="107"/>
      <c r="AJ226" s="107"/>
      <c r="AK226" s="152">
        <f>AK225/$N$4</f>
        <v>3.114426320822599E-2</v>
      </c>
      <c r="AL226" s="152">
        <f>AL225/$N$4</f>
        <v>1.9082527187512879E-2</v>
      </c>
      <c r="AM226" s="107"/>
      <c r="AN226" s="107"/>
    </row>
    <row r="227" spans="2:40" x14ac:dyDescent="0.3">
      <c r="J227">
        <f>181156.627*30*30/10000</f>
        <v>16304.096430000001</v>
      </c>
    </row>
    <row r="228" spans="2:40" x14ac:dyDescent="0.3">
      <c r="J228">
        <f>177369.69*30*30/10000</f>
        <v>15963.2721</v>
      </c>
    </row>
    <row r="229" spans="2:40" x14ac:dyDescent="0.3">
      <c r="D229" t="s">
        <v>513</v>
      </c>
      <c r="E229" t="s">
        <v>514</v>
      </c>
      <c r="F229" t="s">
        <v>515</v>
      </c>
      <c r="G229" t="s">
        <v>516</v>
      </c>
      <c r="H229" t="s">
        <v>517</v>
      </c>
      <c r="Q229" t="s">
        <v>513</v>
      </c>
      <c r="R229" t="s">
        <v>514</v>
      </c>
      <c r="S229" t="s">
        <v>515</v>
      </c>
      <c r="T229" t="s">
        <v>516</v>
      </c>
      <c r="U229" t="s">
        <v>517</v>
      </c>
      <c r="AD229" t="s">
        <v>513</v>
      </c>
      <c r="AE229" t="s">
        <v>514</v>
      </c>
      <c r="AF229" t="s">
        <v>515</v>
      </c>
      <c r="AG229" t="s">
        <v>516</v>
      </c>
      <c r="AH229" t="s">
        <v>517</v>
      </c>
    </row>
    <row r="230" spans="2:40" x14ac:dyDescent="0.3">
      <c r="B230" s="118" t="s">
        <v>375</v>
      </c>
      <c r="C230" s="8">
        <v>20</v>
      </c>
      <c r="D230" s="90" t="s">
        <v>524</v>
      </c>
      <c r="E230" s="91" t="s">
        <v>523</v>
      </c>
      <c r="F230" s="92" t="s">
        <v>525</v>
      </c>
      <c r="G230" s="124" t="s">
        <v>526</v>
      </c>
      <c r="H230" s="123" t="s">
        <v>527</v>
      </c>
      <c r="I230" s="212" t="s">
        <v>529</v>
      </c>
      <c r="J230" s="213" t="s">
        <v>599</v>
      </c>
      <c r="K230" s="214" t="s">
        <v>600</v>
      </c>
      <c r="L230" s="215" t="s">
        <v>525</v>
      </c>
      <c r="Q230" s="90" t="s">
        <v>524</v>
      </c>
      <c r="R230" s="91" t="s">
        <v>523</v>
      </c>
      <c r="S230" s="92" t="s">
        <v>525</v>
      </c>
      <c r="T230" s="124" t="s">
        <v>526</v>
      </c>
      <c r="U230" s="123" t="s">
        <v>527</v>
      </c>
      <c r="V230" s="212" t="s">
        <v>529</v>
      </c>
      <c r="W230" s="213" t="s">
        <v>599</v>
      </c>
      <c r="X230" s="214" t="s">
        <v>600</v>
      </c>
      <c r="Y230" s="215" t="s">
        <v>525</v>
      </c>
      <c r="AD230" s="90" t="s">
        <v>524</v>
      </c>
      <c r="AE230" s="91" t="s">
        <v>523</v>
      </c>
      <c r="AF230" s="92" t="s">
        <v>525</v>
      </c>
      <c r="AG230" s="124" t="s">
        <v>526</v>
      </c>
      <c r="AH230" s="123" t="s">
        <v>527</v>
      </c>
      <c r="AI230" s="212" t="s">
        <v>529</v>
      </c>
      <c r="AJ230" s="213" t="s">
        <v>599</v>
      </c>
      <c r="AK230" s="214" t="s">
        <v>600</v>
      </c>
      <c r="AL230" s="215" t="s">
        <v>525</v>
      </c>
    </row>
    <row r="231" spans="2:40" x14ac:dyDescent="0.3">
      <c r="B231" s="119" t="s">
        <v>459</v>
      </c>
      <c r="C231" s="107"/>
      <c r="D231" s="116"/>
      <c r="E231" s="116"/>
      <c r="F231" s="116"/>
      <c r="G231" s="116"/>
      <c r="H231" s="116"/>
      <c r="I231" s="107"/>
      <c r="J231" s="107"/>
      <c r="K231" s="107"/>
      <c r="L231" s="107"/>
      <c r="M231" s="107"/>
      <c r="N231" s="142"/>
      <c r="O231" s="119" t="s">
        <v>460</v>
      </c>
      <c r="P231" s="107"/>
      <c r="Q231" s="116"/>
      <c r="R231" s="116"/>
      <c r="S231" s="116"/>
      <c r="T231" s="116"/>
      <c r="U231" s="116"/>
      <c r="V231" s="107"/>
      <c r="W231" s="107"/>
      <c r="X231" s="107"/>
      <c r="Y231" s="107"/>
      <c r="Z231" s="107"/>
      <c r="AA231" s="142"/>
      <c r="AB231" s="119" t="s">
        <v>632</v>
      </c>
      <c r="AC231" s="107"/>
      <c r="AD231" s="116"/>
      <c r="AE231" s="116"/>
      <c r="AF231" s="116"/>
      <c r="AG231" s="116"/>
      <c r="AH231" s="116"/>
      <c r="AI231" s="107"/>
      <c r="AJ231" s="107"/>
      <c r="AK231" s="107"/>
      <c r="AL231" s="107"/>
      <c r="AM231" s="107"/>
      <c r="AN231" s="107"/>
    </row>
    <row r="232" spans="2:40" x14ac:dyDescent="0.3">
      <c r="B232" s="115" t="s">
        <v>409</v>
      </c>
      <c r="C232" s="122" t="s">
        <v>9</v>
      </c>
      <c r="D232" s="136">
        <f>'19M_Seeds'!AL127</f>
        <v>169.26</v>
      </c>
      <c r="E232" s="136">
        <f>'19M_Seeds'!AM127</f>
        <v>440.32</v>
      </c>
      <c r="F232" s="136">
        <f>'19M_Seeds'!AN127</f>
        <v>18394.939999999999</v>
      </c>
      <c r="G232" s="136">
        <f>'19M_Seeds'!AO127</f>
        <v>14830.55</v>
      </c>
      <c r="H232" s="136">
        <f>'19M_Seeds'!AP127</f>
        <v>9392.94</v>
      </c>
      <c r="I232" s="108">
        <f>$N$2-N232</f>
        <v>190.08000000000175</v>
      </c>
      <c r="J232" s="108"/>
      <c r="K232" s="108">
        <f>D232+E232+G232+H232</f>
        <v>24833.07</v>
      </c>
      <c r="L232" s="108">
        <f>F232</f>
        <v>18394.939999999999</v>
      </c>
      <c r="M232" s="115" t="s">
        <v>36</v>
      </c>
      <c r="N232" s="137">
        <f>SUM(D232:H232)</f>
        <v>43228.009999999995</v>
      </c>
      <c r="O232" s="115" t="s">
        <v>409</v>
      </c>
      <c r="P232" s="122" t="s">
        <v>9</v>
      </c>
      <c r="Q232" s="136">
        <f>'19M_Seeds'!AL132</f>
        <v>0.5</v>
      </c>
      <c r="R232" s="136">
        <f>'19M_Seeds'!AM132</f>
        <v>25.07</v>
      </c>
      <c r="S232" s="136">
        <f>'19M_Seeds'!AN132</f>
        <v>1403.17</v>
      </c>
      <c r="T232" s="136">
        <f>'19M_Seeds'!AO132</f>
        <v>358.3</v>
      </c>
      <c r="U232" s="136">
        <f>'19M_Seeds'!AP132</f>
        <v>66.290000000000006</v>
      </c>
      <c r="V232" s="108">
        <f>$N$3-AA232</f>
        <v>8.2200000000000273</v>
      </c>
      <c r="W232" s="108"/>
      <c r="X232" s="108">
        <f>Q232+R232+T232+U232</f>
        <v>450.16</v>
      </c>
      <c r="Y232" s="108">
        <f>S232</f>
        <v>1403.17</v>
      </c>
      <c r="Z232" s="115" t="s">
        <v>36</v>
      </c>
      <c r="AA232" s="137">
        <f>SUM(Q232:U232)</f>
        <v>1853.33</v>
      </c>
      <c r="AB232" s="115" t="s">
        <v>409</v>
      </c>
      <c r="AC232" s="122" t="s">
        <v>9</v>
      </c>
      <c r="AD232" s="136">
        <v>0.55000000000000004</v>
      </c>
      <c r="AE232" s="136">
        <v>17.38</v>
      </c>
      <c r="AF232" s="136">
        <v>182.65</v>
      </c>
      <c r="AG232" s="136">
        <v>183.2</v>
      </c>
      <c r="AH232" s="136">
        <v>94.72</v>
      </c>
      <c r="AI232" s="108">
        <f>$N$4-AN232</f>
        <v>2.1200000000000045</v>
      </c>
      <c r="AJ232" s="108"/>
      <c r="AK232" s="108">
        <f>AD232+AE232+AG232+AH232</f>
        <v>295.85000000000002</v>
      </c>
      <c r="AL232" s="108">
        <f>AF232</f>
        <v>182.65</v>
      </c>
      <c r="AM232" s="115" t="s">
        <v>36</v>
      </c>
      <c r="AN232" s="137">
        <f>SUM(AD232:AH232)</f>
        <v>478.5</v>
      </c>
    </row>
    <row r="233" spans="2:40" x14ac:dyDescent="0.3">
      <c r="B233" s="107"/>
      <c r="C233" s="141" t="s">
        <v>534</v>
      </c>
      <c r="D233" s="151">
        <f t="shared" ref="D233:I233" si="344">D232/$N$2</f>
        <v>3.8983750782220039E-3</v>
      </c>
      <c r="E233" s="151">
        <f t="shared" si="344"/>
        <v>1.0141394980755718E-2</v>
      </c>
      <c r="F233" s="151">
        <f t="shared" si="344"/>
        <v>0.4236699495532853</v>
      </c>
      <c r="G233" s="151">
        <f t="shared" si="344"/>
        <v>0.34157536639681757</v>
      </c>
      <c r="H233" s="151">
        <f t="shared" si="344"/>
        <v>0.21633701528556418</v>
      </c>
      <c r="I233" s="151">
        <f t="shared" si="344"/>
        <v>4.3778987053553426E-3</v>
      </c>
      <c r="J233" s="151"/>
      <c r="K233" s="151">
        <f>K232/$N$2</f>
        <v>0.57195215174135949</v>
      </c>
      <c r="L233" s="151">
        <f>L232/$N$2</f>
        <v>0.4236699495532853</v>
      </c>
      <c r="M233" s="145">
        <f>SUM(D233:I233)</f>
        <v>1</v>
      </c>
      <c r="N233" s="142"/>
      <c r="O233" s="107"/>
      <c r="P233" s="141" t="s">
        <v>533</v>
      </c>
      <c r="Q233" s="151">
        <f t="shared" ref="Q233:V233" si="345">Q232/$N$3</f>
        <v>2.6859337648733585E-4</v>
      </c>
      <c r="R233" s="151">
        <f t="shared" si="345"/>
        <v>1.3467271897075018E-2</v>
      </c>
      <c r="S233" s="151">
        <f t="shared" si="345"/>
        <v>0.7537643361714701</v>
      </c>
      <c r="T233" s="151">
        <f t="shared" si="345"/>
        <v>0.19247401359082486</v>
      </c>
      <c r="U233" s="151">
        <f t="shared" si="345"/>
        <v>3.5610109854690986E-2</v>
      </c>
      <c r="V233" s="151">
        <f t="shared" si="345"/>
        <v>4.4156751094518156E-3</v>
      </c>
      <c r="W233" s="151"/>
      <c r="X233" s="151">
        <f>X232/$N$3</f>
        <v>0.2418199887190782</v>
      </c>
      <c r="Y233" s="151">
        <f>Y232/$N$3</f>
        <v>0.7537643361714701</v>
      </c>
      <c r="Z233" s="145">
        <f>SUM(Q233:V233)</f>
        <v>1</v>
      </c>
      <c r="AA233" s="142"/>
      <c r="AB233" s="107"/>
      <c r="AC233" s="141" t="s">
        <v>533</v>
      </c>
      <c r="AD233" s="151">
        <f>AD232/$N$4</f>
        <v>1.1443552078565188E-3</v>
      </c>
      <c r="AE233" s="151">
        <f t="shared" ref="AE233" si="346">AE232/$N$4</f>
        <v>3.6161624568265986E-2</v>
      </c>
      <c r="AF233" s="151">
        <f t="shared" ref="AF233" si="347">AF232/$N$4</f>
        <v>0.38002996129998751</v>
      </c>
      <c r="AG233" s="151">
        <f t="shared" ref="AG233" si="348">AG232/$N$4</f>
        <v>0.381174316507844</v>
      </c>
      <c r="AH233" s="151">
        <f t="shared" ref="AH233" si="349">AH232/$N$4</f>
        <v>0.19707877325121717</v>
      </c>
      <c r="AI233" s="151">
        <f t="shared" ref="AI233" si="350">AI232/$N$4</f>
        <v>4.410969164828772E-3</v>
      </c>
      <c r="AJ233" s="151"/>
      <c r="AK233" s="151">
        <f t="shared" ref="AK233" si="351">AK232/$N$4</f>
        <v>0.6155590695351838</v>
      </c>
      <c r="AL233" s="151">
        <f t="shared" ref="AL233" si="352">AL232/$N$4</f>
        <v>0.38002996129998751</v>
      </c>
      <c r="AM233" s="145">
        <f>SUM(AD233:AI233)</f>
        <v>0.99999999999999989</v>
      </c>
      <c r="AN233" s="107"/>
    </row>
    <row r="234" spans="2:40" x14ac:dyDescent="0.3">
      <c r="B234" s="107" t="s">
        <v>598</v>
      </c>
      <c r="C234" s="107" t="s">
        <v>9</v>
      </c>
      <c r="D234" s="108">
        <v>158.15</v>
      </c>
      <c r="E234" s="108">
        <v>333.42</v>
      </c>
      <c r="F234" s="108">
        <v>17809.849999999999</v>
      </c>
      <c r="G234" s="108">
        <v>13920.19</v>
      </c>
      <c r="H234" s="108">
        <v>8870.41</v>
      </c>
      <c r="I234" s="108">
        <f>I232</f>
        <v>190.08000000000175</v>
      </c>
      <c r="J234" s="108">
        <f>SUM(D232:H232)-SUM(D234:H234)</f>
        <v>2135.9899999999907</v>
      </c>
      <c r="K234" s="108">
        <f>D234+E234+G234+H234</f>
        <v>23282.17</v>
      </c>
      <c r="L234" s="108">
        <f>F234</f>
        <v>17809.849999999999</v>
      </c>
      <c r="M234" s="115" t="s">
        <v>609</v>
      </c>
      <c r="N234" s="196">
        <f>SUM(D234:H234)</f>
        <v>41092.020000000004</v>
      </c>
      <c r="O234" s="107" t="s">
        <v>598</v>
      </c>
      <c r="P234" s="122" t="s">
        <v>9</v>
      </c>
      <c r="Q234" s="108">
        <v>0.38</v>
      </c>
      <c r="R234" s="108">
        <v>19.059999999999999</v>
      </c>
      <c r="S234" s="108">
        <v>1381.62</v>
      </c>
      <c r="T234" s="108">
        <v>339.8</v>
      </c>
      <c r="U234" s="108">
        <v>56.85</v>
      </c>
      <c r="V234" s="108">
        <f>V232</f>
        <v>8.2200000000000273</v>
      </c>
      <c r="W234" s="108">
        <f>SUM(Q232:U232)-SUM(Q234:U234)</f>
        <v>55.620000000000118</v>
      </c>
      <c r="X234" s="108">
        <f>Q234+R234+T234+U234</f>
        <v>416.09000000000003</v>
      </c>
      <c r="Y234" s="108">
        <f>S234</f>
        <v>1381.62</v>
      </c>
      <c r="Z234" s="115" t="s">
        <v>609</v>
      </c>
      <c r="AA234" s="196">
        <f>SUM(Q234:U234)</f>
        <v>1797.7099999999998</v>
      </c>
      <c r="AB234" s="107" t="s">
        <v>598</v>
      </c>
      <c r="AC234" s="122" t="s">
        <v>9</v>
      </c>
      <c r="AD234" s="108">
        <v>0.49</v>
      </c>
      <c r="AE234" s="108">
        <v>13.37</v>
      </c>
      <c r="AF234" s="108">
        <v>175.37</v>
      </c>
      <c r="AG234" s="108">
        <v>172.65</v>
      </c>
      <c r="AH234" s="108">
        <v>86.63</v>
      </c>
      <c r="AI234" s="108">
        <f>AI232</f>
        <v>2.1200000000000045</v>
      </c>
      <c r="AJ234" s="108">
        <f>SUM(AD232:AH232)-SUM(AD234:AH234)</f>
        <v>29.990000000000009</v>
      </c>
      <c r="AK234" s="108">
        <f>AD234+AE234+AG234+AH234</f>
        <v>273.14</v>
      </c>
      <c r="AL234" s="108">
        <f>AF234</f>
        <v>175.37</v>
      </c>
      <c r="AM234" s="115" t="s">
        <v>609</v>
      </c>
      <c r="AN234" s="196">
        <f>SUM(AD234:AH234)</f>
        <v>448.51</v>
      </c>
    </row>
    <row r="235" spans="2:40" x14ac:dyDescent="0.3">
      <c r="B235" s="107"/>
      <c r="C235" s="141" t="s">
        <v>533</v>
      </c>
      <c r="D235" s="151">
        <f t="shared" ref="D235:L235" si="353">D234/$N$2</f>
        <v>3.6424909525038991E-3</v>
      </c>
      <c r="E235" s="151">
        <f t="shared" si="353"/>
        <v>7.6792875964834025E-3</v>
      </c>
      <c r="F235" s="151">
        <f t="shared" si="353"/>
        <v>0.41019423010086348</v>
      </c>
      <c r="G235" s="151">
        <f t="shared" si="353"/>
        <v>0.32060806912510437</v>
      </c>
      <c r="H235" s="151">
        <f t="shared" si="353"/>
        <v>0.20430216990199249</v>
      </c>
      <c r="I235" s="151">
        <f t="shared" si="353"/>
        <v>4.3778987053553426E-3</v>
      </c>
      <c r="J235" s="151">
        <f t="shared" si="353"/>
        <v>4.9195853617696926E-2</v>
      </c>
      <c r="K235" s="151">
        <f t="shared" si="353"/>
        <v>0.53623201757608407</v>
      </c>
      <c r="L235" s="151">
        <f t="shared" si="353"/>
        <v>0.41019423010086348</v>
      </c>
      <c r="M235" s="145">
        <f>SUM(D235:J235)</f>
        <v>0.99999999999999989</v>
      </c>
      <c r="N235" s="195">
        <f>N234/N232</f>
        <v>0.95058782488483762</v>
      </c>
      <c r="O235" s="107"/>
      <c r="P235" s="141" t="s">
        <v>533</v>
      </c>
      <c r="Q235" s="151">
        <f t="shared" ref="Q235:Y235" si="354">Q234/$N$3</f>
        <v>2.0413096613037523E-4</v>
      </c>
      <c r="R235" s="151">
        <f t="shared" si="354"/>
        <v>1.0238779511697242E-2</v>
      </c>
      <c r="S235" s="151">
        <f t="shared" si="354"/>
        <v>0.74218796164486578</v>
      </c>
      <c r="T235" s="151">
        <f t="shared" si="354"/>
        <v>0.18253605866079345</v>
      </c>
      <c r="U235" s="151">
        <f t="shared" si="354"/>
        <v>3.0539066906610086E-2</v>
      </c>
      <c r="V235" s="151">
        <f t="shared" si="354"/>
        <v>4.4156751094518156E-3</v>
      </c>
      <c r="W235" s="151">
        <f t="shared" si="354"/>
        <v>2.9878327200451301E-2</v>
      </c>
      <c r="X235" s="151">
        <f t="shared" si="354"/>
        <v>0.22351803604523116</v>
      </c>
      <c r="Y235" s="151">
        <f t="shared" si="354"/>
        <v>0.74218796164486578</v>
      </c>
      <c r="Z235" s="145">
        <f>SUM(Q235:W235)</f>
        <v>1.0000000000000002</v>
      </c>
      <c r="AA235" s="195">
        <f>AA234/AA232</f>
        <v>0.96998915465675295</v>
      </c>
      <c r="AB235" s="107"/>
      <c r="AC235" s="141" t="s">
        <v>533</v>
      </c>
      <c r="AD235" s="151">
        <f t="shared" ref="AD235" si="355">AD234/$N$4</f>
        <v>1.0195164579085347E-3</v>
      </c>
      <c r="AE235" s="151">
        <f t="shared" ref="AE235" si="356">AE234/$N$4</f>
        <v>2.7818234780075734E-2</v>
      </c>
      <c r="AF235" s="151">
        <f t="shared" ref="AF235" si="357">AF234/$N$4</f>
        <v>0.36488285963963213</v>
      </c>
      <c r="AG235" s="151">
        <f t="shared" ref="AG235" si="358">AG234/$N$4</f>
        <v>0.35922350297532357</v>
      </c>
      <c r="AH235" s="151">
        <f t="shared" ref="AH235" si="359">AH234/$N$4</f>
        <v>0.18024634846656401</v>
      </c>
      <c r="AI235" s="151">
        <f t="shared" ref="AI235" si="360">AI234/$N$4</f>
        <v>4.410969164828772E-3</v>
      </c>
      <c r="AJ235" s="151">
        <f t="shared" ref="AJ235" si="361">AJ234/$N$4</f>
        <v>6.2398568515667281E-2</v>
      </c>
      <c r="AK235" s="151">
        <f t="shared" ref="AK235" si="362">AK234/$N$4</f>
        <v>0.56830760267987179</v>
      </c>
      <c r="AL235" s="151">
        <f t="shared" ref="AL235" si="363">AL234/$N$4</f>
        <v>0.36488285963963213</v>
      </c>
      <c r="AM235" s="145">
        <f>SUM(AD235:AJ235)</f>
        <v>1</v>
      </c>
      <c r="AN235" s="195">
        <f>AN234/AN232</f>
        <v>0.937324973876698</v>
      </c>
    </row>
    <row r="236" spans="2:40" x14ac:dyDescent="0.3">
      <c r="B236" s="107"/>
      <c r="C236" s="107" t="s">
        <v>601</v>
      </c>
      <c r="D236" s="112">
        <f>D232-D234</f>
        <v>11.109999999999985</v>
      </c>
      <c r="E236" s="112">
        <f>E232-E234</f>
        <v>106.89999999999998</v>
      </c>
      <c r="F236" s="112">
        <f>F232-F234</f>
        <v>585.09000000000015</v>
      </c>
      <c r="G236" s="112">
        <f>G232-G234</f>
        <v>910.35999999999876</v>
      </c>
      <c r="H236" s="112">
        <f>H232-H234</f>
        <v>522.53000000000065</v>
      </c>
      <c r="I236" s="147"/>
      <c r="J236" s="147"/>
      <c r="K236" s="112">
        <f>K232-K234</f>
        <v>1550.9000000000015</v>
      </c>
      <c r="L236" s="108">
        <f>F236</f>
        <v>585.09000000000015</v>
      </c>
      <c r="M236" s="145"/>
      <c r="N236" s="107"/>
      <c r="O236" s="107"/>
      <c r="P236" s="107" t="s">
        <v>601</v>
      </c>
      <c r="Q236" s="112">
        <f>Q232-Q234</f>
        <v>0.12</v>
      </c>
      <c r="R236" s="112">
        <f>R232-R234</f>
        <v>6.0100000000000016</v>
      </c>
      <c r="S236" s="112">
        <f>S232-S234</f>
        <v>21.550000000000182</v>
      </c>
      <c r="T236" s="112">
        <f>T232-T234</f>
        <v>18.5</v>
      </c>
      <c r="U236" s="112">
        <f>U232-U234</f>
        <v>9.4400000000000048</v>
      </c>
      <c r="V236" s="147"/>
      <c r="W236" s="147"/>
      <c r="X236" s="112">
        <f>X232-X234</f>
        <v>34.069999999999993</v>
      </c>
      <c r="Y236" s="108">
        <f>S236</f>
        <v>21.550000000000182</v>
      </c>
      <c r="Z236" s="145"/>
      <c r="AA236" s="107"/>
      <c r="AB236" s="107"/>
      <c r="AC236" s="107" t="s">
        <v>601</v>
      </c>
      <c r="AD236" s="112">
        <f>AD232-AD234</f>
        <v>6.0000000000000053E-2</v>
      </c>
      <c r="AE236" s="112">
        <f>AE232-AE234</f>
        <v>4.01</v>
      </c>
      <c r="AF236" s="112">
        <f>AF232-AF234</f>
        <v>7.2800000000000011</v>
      </c>
      <c r="AG236" s="112">
        <f>AG232-AG234</f>
        <v>10.549999999999983</v>
      </c>
      <c r="AH236" s="112">
        <f>AH232-AH234</f>
        <v>8.0900000000000034</v>
      </c>
      <c r="AI236" s="147"/>
      <c r="AJ236" s="147"/>
      <c r="AK236" s="112">
        <f>AK232-AK234</f>
        <v>22.710000000000036</v>
      </c>
      <c r="AL236" s="108">
        <f>AF236</f>
        <v>7.2800000000000011</v>
      </c>
      <c r="AM236" s="145"/>
      <c r="AN236" s="107"/>
    </row>
    <row r="237" spans="2:40" x14ac:dyDescent="0.3">
      <c r="B237" s="107"/>
      <c r="C237" s="107" t="s">
        <v>602</v>
      </c>
      <c r="D237" s="147">
        <f>D236/D232</f>
        <v>6.5638662412855875E-2</v>
      </c>
      <c r="E237" s="147">
        <f>E236/E232</f>
        <v>0.24277797965116274</v>
      </c>
      <c r="F237" s="147">
        <f>F236/F232</f>
        <v>3.1807116522261022E-2</v>
      </c>
      <c r="G237" s="147">
        <f>G236/G232</f>
        <v>6.1384102410227459E-2</v>
      </c>
      <c r="H237" s="147">
        <f>H236/H232</f>
        <v>5.5630079612985987E-2</v>
      </c>
      <c r="I237" s="147"/>
      <c r="J237" s="147"/>
      <c r="K237" s="151">
        <f>K236/K232</f>
        <v>6.2453011246696499E-2</v>
      </c>
      <c r="L237" s="151">
        <f>L236/$N$2</f>
        <v>1.3475719452421795E-2</v>
      </c>
      <c r="M237" s="145"/>
      <c r="N237" s="107"/>
      <c r="O237" s="107"/>
      <c r="P237" s="107" t="s">
        <v>602</v>
      </c>
      <c r="Q237" s="147">
        <f>Q236/Q232</f>
        <v>0.24</v>
      </c>
      <c r="R237" s="147">
        <f>R236/R232</f>
        <v>0.23972875947347433</v>
      </c>
      <c r="S237" s="147">
        <f>S236/S232</f>
        <v>1.5358082057056651E-2</v>
      </c>
      <c r="T237" s="147">
        <f>T236/T232</f>
        <v>5.1632710019536697E-2</v>
      </c>
      <c r="U237" s="147">
        <f>U236/U232</f>
        <v>0.14240458591039379</v>
      </c>
      <c r="V237" s="147"/>
      <c r="W237" s="147"/>
      <c r="X237" s="151">
        <f>X236/X232</f>
        <v>7.5684201172916271E-2</v>
      </c>
      <c r="Y237" s="151">
        <f>Y236/$N$3</f>
        <v>1.1576374526604273E-2</v>
      </c>
      <c r="Z237" s="145"/>
      <c r="AA237" s="107"/>
      <c r="AB237" s="107"/>
      <c r="AC237" s="107" t="s">
        <v>602</v>
      </c>
      <c r="AD237" s="147">
        <f>AD236/AD232</f>
        <v>0.10909090909090918</v>
      </c>
      <c r="AE237" s="147">
        <f>AE236/AE232</f>
        <v>0.23072497123130034</v>
      </c>
      <c r="AF237" s="147">
        <f>AF236/AF232</f>
        <v>3.9857651245551608E-2</v>
      </c>
      <c r="AG237" s="147">
        <f>AG236/AG232</f>
        <v>5.7587336244541397E-2</v>
      </c>
      <c r="AH237" s="147">
        <f>AH236/AH232</f>
        <v>8.5409628378378413E-2</v>
      </c>
      <c r="AI237" s="147"/>
      <c r="AJ237" s="147"/>
      <c r="AK237" s="151">
        <f t="shared" ref="AK237" si="364">AK236/$N$4</f>
        <v>4.7251466855311966E-2</v>
      </c>
      <c r="AL237" s="151">
        <f t="shared" ref="AL237" si="365">AL236/$N$4</f>
        <v>1.5147101660355376E-2</v>
      </c>
      <c r="AM237" s="145"/>
      <c r="AN237" s="107"/>
    </row>
    <row r="238" spans="2:40" x14ac:dyDescent="0.3">
      <c r="B238" s="115" t="s">
        <v>410</v>
      </c>
      <c r="C238" s="122" t="s">
        <v>9</v>
      </c>
      <c r="D238" s="136">
        <f>'19M_Seeds'!AL129</f>
        <v>167.566</v>
      </c>
      <c r="E238" s="136">
        <f>'19M_Seeds'!AM129</f>
        <v>474.75150000000002</v>
      </c>
      <c r="F238" s="136">
        <f>'19M_Seeds'!AN129</f>
        <v>18286.533500000001</v>
      </c>
      <c r="G238" s="136">
        <f>'19M_Seeds'!AO129</f>
        <v>14868.177000000001</v>
      </c>
      <c r="H238" s="136">
        <f>'19M_Seeds'!AP129</f>
        <v>9430.9874999999993</v>
      </c>
      <c r="I238" s="108">
        <f>$N$2-N238</f>
        <v>190.07449999998789</v>
      </c>
      <c r="J238" s="108"/>
      <c r="K238" s="108"/>
      <c r="L238" s="108"/>
      <c r="M238" s="115" t="s">
        <v>36</v>
      </c>
      <c r="N238" s="137">
        <f>SUM(D238:H238)</f>
        <v>43228.015500000009</v>
      </c>
      <c r="O238" s="115" t="s">
        <v>410</v>
      </c>
      <c r="P238" s="122" t="s">
        <v>9</v>
      </c>
      <c r="Q238" s="136">
        <f>'19M_Seeds'!AL134</f>
        <v>0.49849999999999994</v>
      </c>
      <c r="R238" s="136">
        <f>'19M_Seeds'!AM134</f>
        <v>26.901999999999997</v>
      </c>
      <c r="S238" s="136">
        <f>'19M_Seeds'!AN134</f>
        <v>1395.9445000000001</v>
      </c>
      <c r="T238" s="136">
        <f>'19M_Seeds'!AO134</f>
        <v>361.846</v>
      </c>
      <c r="U238" s="136">
        <f>'19M_Seeds'!AP134</f>
        <v>68.139499999999998</v>
      </c>
      <c r="V238" s="108">
        <f>$N$3-AA238</f>
        <v>8.2194999999999254</v>
      </c>
      <c r="W238" s="108"/>
      <c r="X238" s="108"/>
      <c r="Y238" s="108"/>
      <c r="Z238" s="115" t="s">
        <v>36</v>
      </c>
      <c r="AA238" s="137">
        <f>SUM(Q238:U238)</f>
        <v>1853.3305</v>
      </c>
      <c r="AB238" s="115" t="s">
        <v>410</v>
      </c>
      <c r="AC238" s="122"/>
      <c r="AD238" s="139"/>
      <c r="AE238" s="136"/>
      <c r="AF238" s="136"/>
      <c r="AG238" s="136"/>
      <c r="AH238" s="136"/>
      <c r="AI238" s="108"/>
      <c r="AJ238" s="108"/>
      <c r="AK238" s="108"/>
      <c r="AL238" s="108"/>
      <c r="AM238" s="115"/>
      <c r="AN238" s="137"/>
    </row>
    <row r="239" spans="2:40" x14ac:dyDescent="0.3">
      <c r="B239" s="115"/>
      <c r="C239" s="141" t="s">
        <v>533</v>
      </c>
      <c r="D239" s="151">
        <f t="shared" ref="D239:I239" si="366">D238/$N$2</f>
        <v>3.8593590828154812E-3</v>
      </c>
      <c r="E239" s="151">
        <f t="shared" si="366"/>
        <v>1.0934416967674075E-2</v>
      </c>
      <c r="F239" s="151">
        <f t="shared" si="366"/>
        <v>0.42117314465007566</v>
      </c>
      <c r="G239" s="151">
        <f t="shared" si="366"/>
        <v>0.34244198673870735</v>
      </c>
      <c r="H239" s="151">
        <f t="shared" si="366"/>
        <v>0.21721332053068201</v>
      </c>
      <c r="I239" s="146">
        <f t="shared" si="366"/>
        <v>4.3777720300452625E-3</v>
      </c>
      <c r="J239" s="146"/>
      <c r="K239" s="146"/>
      <c r="L239" s="146"/>
      <c r="M239" s="145">
        <f>SUM(D239:I239)</f>
        <v>0.99999999999999989</v>
      </c>
      <c r="N239" s="137"/>
      <c r="O239" s="115"/>
      <c r="P239" s="141" t="s">
        <v>533</v>
      </c>
      <c r="Q239" s="151">
        <f t="shared" ref="Q239:V239" si="367">Q238/$N$3</f>
        <v>2.677875963578738E-4</v>
      </c>
      <c r="R239" s="151">
        <f t="shared" si="367"/>
        <v>1.4451398028524616E-2</v>
      </c>
      <c r="S239" s="151">
        <f t="shared" si="367"/>
        <v>0.74988289328785163</v>
      </c>
      <c r="T239" s="151">
        <f t="shared" si="367"/>
        <v>0.19437887781687305</v>
      </c>
      <c r="U239" s="151">
        <f t="shared" si="367"/>
        <v>3.6603636754317638E-2</v>
      </c>
      <c r="V239" s="147">
        <f t="shared" si="367"/>
        <v>4.4154065160752739E-3</v>
      </c>
      <c r="W239" s="147"/>
      <c r="X239" s="147"/>
      <c r="Y239" s="146"/>
      <c r="Z239" s="145">
        <f>SUM(Q239:V239)</f>
        <v>1</v>
      </c>
      <c r="AA239" s="137"/>
      <c r="AB239" s="115"/>
      <c r="AC239" s="141"/>
      <c r="AD239" s="151"/>
      <c r="AE239" s="151"/>
      <c r="AF239" s="151"/>
      <c r="AG239" s="151"/>
      <c r="AH239" s="151"/>
      <c r="AI239" s="147"/>
      <c r="AJ239" s="147"/>
      <c r="AK239" s="147"/>
      <c r="AL239" s="147"/>
      <c r="AM239" s="145"/>
      <c r="AN239" s="137"/>
    </row>
    <row r="240" spans="2:40" x14ac:dyDescent="0.3">
      <c r="B240" s="107"/>
      <c r="C240" s="148" t="s">
        <v>394</v>
      </c>
      <c r="D240" s="108">
        <f>'19M_Seeds'!AL130</f>
        <v>2.4499904833327513</v>
      </c>
      <c r="E240" s="108">
        <f>'19M_Seeds'!AM130</f>
        <v>4.1329097227396314</v>
      </c>
      <c r="F240" s="108">
        <f>'19M_Seeds'!AN130</f>
        <v>19.356198725268936</v>
      </c>
      <c r="G240" s="108">
        <f>'19M_Seeds'!AO130</f>
        <v>21.150636709341114</v>
      </c>
      <c r="H240" s="108">
        <f>'19M_Seeds'!AP130</f>
        <v>14.120981438140744</v>
      </c>
      <c r="I240" s="107"/>
      <c r="J240" s="107"/>
      <c r="K240" s="107"/>
      <c r="L240" s="107"/>
      <c r="M240" s="107"/>
      <c r="N240" s="142"/>
      <c r="O240" s="107"/>
      <c r="P240" s="148" t="s">
        <v>394</v>
      </c>
      <c r="Q240" s="108">
        <f>'19M_Seeds'!AL135</f>
        <v>2.625056390371756E-2</v>
      </c>
      <c r="R240" s="108">
        <f>'19M_Seeds'!AM135</f>
        <v>0.27668203297001603</v>
      </c>
      <c r="S240" s="108">
        <f>'19M_Seeds'!AN135</f>
        <v>0.93328663025381309</v>
      </c>
      <c r="T240" s="108">
        <f>'19M_Seeds'!AO135</f>
        <v>0.91228267779812722</v>
      </c>
      <c r="U240" s="108">
        <f>'19M_Seeds'!AP135</f>
        <v>0.49583500810567793</v>
      </c>
      <c r="V240" s="107"/>
      <c r="W240" s="107"/>
      <c r="X240" s="107"/>
      <c r="Y240" s="107"/>
      <c r="Z240" s="107"/>
      <c r="AA240" s="107"/>
      <c r="AB240" s="107"/>
      <c r="AC240" s="148"/>
      <c r="AD240" s="108"/>
      <c r="AE240" s="108"/>
      <c r="AF240" s="108"/>
      <c r="AG240" s="108"/>
      <c r="AH240" s="108"/>
      <c r="AI240" s="107"/>
      <c r="AJ240" s="107"/>
      <c r="AK240" s="107"/>
      <c r="AL240" s="107"/>
      <c r="AM240" s="107"/>
      <c r="AN240" s="107"/>
    </row>
    <row r="241" spans="2:40" x14ac:dyDescent="0.3">
      <c r="B241" s="107"/>
      <c r="C241" s="129" t="s">
        <v>538</v>
      </c>
      <c r="D241" s="125">
        <f>1.96*D240</f>
        <v>4.8019813473321928</v>
      </c>
      <c r="E241" s="125">
        <f>1.96*E240</f>
        <v>8.1005030565696767</v>
      </c>
      <c r="F241" s="125">
        <f>1.96*F240</f>
        <v>37.938149501527114</v>
      </c>
      <c r="G241" s="125">
        <f>1.96*G240</f>
        <v>41.455247950308582</v>
      </c>
      <c r="H241" s="125">
        <f>1.96*H240</f>
        <v>27.677123618755857</v>
      </c>
      <c r="I241" s="107"/>
      <c r="J241" s="107"/>
      <c r="K241" s="107"/>
      <c r="L241" s="107"/>
      <c r="M241" s="107"/>
      <c r="N241" s="107"/>
      <c r="O241" s="107"/>
      <c r="P241" s="129" t="s">
        <v>538</v>
      </c>
      <c r="Q241" s="125">
        <f>1.96*Q240</f>
        <v>5.1451105251286419E-2</v>
      </c>
      <c r="R241" s="125">
        <f>1.96*R240</f>
        <v>0.54229678462123143</v>
      </c>
      <c r="S241" s="125">
        <f>1.96*S240</f>
        <v>1.8292417952974735</v>
      </c>
      <c r="T241" s="125">
        <f>1.96*T240</f>
        <v>1.7880740484843294</v>
      </c>
      <c r="U241" s="125">
        <f>1.96*U240</f>
        <v>0.97183661588712877</v>
      </c>
      <c r="V241" s="107"/>
      <c r="W241" s="107"/>
      <c r="X241" s="107"/>
      <c r="Y241" s="107"/>
      <c r="Z241" s="107"/>
      <c r="AA241" s="107"/>
      <c r="AB241" s="107"/>
      <c r="AC241" s="129"/>
      <c r="AD241" s="125"/>
      <c r="AE241" s="125"/>
      <c r="AF241" s="125"/>
      <c r="AG241" s="125"/>
      <c r="AH241" s="125"/>
      <c r="AI241" s="107"/>
      <c r="AJ241" s="107"/>
      <c r="AK241" s="107"/>
      <c r="AL241" s="107"/>
      <c r="AM241" s="107"/>
      <c r="AN241" s="107"/>
    </row>
    <row r="242" spans="2:40" x14ac:dyDescent="0.3">
      <c r="B242" s="115" t="s">
        <v>409</v>
      </c>
      <c r="C242" s="107" t="s">
        <v>391</v>
      </c>
      <c r="D242" s="146">
        <f>D232/SUM(D232:H232)</f>
        <v>3.9155168142137476E-3</v>
      </c>
      <c r="E242" s="146">
        <f>E232/SUM(D232:H232)</f>
        <v>1.0185988205332609E-2</v>
      </c>
      <c r="F242" s="146">
        <f>F232/SUM(D232:H232)</f>
        <v>0.4255328894390466</v>
      </c>
      <c r="G242" s="146">
        <f>G232/SUM(D232:H232)</f>
        <v>0.34307732417013881</v>
      </c>
      <c r="H242" s="146">
        <f>H232/SUM(D232:H232)</f>
        <v>0.21728828137126835</v>
      </c>
      <c r="I242" s="152">
        <f>SUM(D242:H242)</f>
        <v>1.0000000000000002</v>
      </c>
      <c r="J242" s="107"/>
      <c r="K242" s="107"/>
      <c r="L242" s="107"/>
      <c r="M242" s="107"/>
      <c r="N242" s="107"/>
      <c r="O242" s="115" t="s">
        <v>409</v>
      </c>
      <c r="P242" s="107" t="s">
        <v>391</v>
      </c>
      <c r="Q242" s="146">
        <f>Q232/SUM(Q232:U232)</f>
        <v>2.6978465788607533E-4</v>
      </c>
      <c r="R242" s="146">
        <f>R232/SUM(Q232:U232)</f>
        <v>1.3527002746407817E-2</v>
      </c>
      <c r="S242" s="146">
        <f>S232/SUM(Q232:U232)</f>
        <v>0.75710747681200874</v>
      </c>
      <c r="T242" s="146">
        <f>T232/SUM(Q232:U232)</f>
        <v>0.19332768584116161</v>
      </c>
      <c r="U242" s="146">
        <f>U232/SUM(Q232:U232)</f>
        <v>3.5768049942535872E-2</v>
      </c>
      <c r="V242" s="152">
        <f>SUM(Q242:U242)</f>
        <v>1.0000000000000002</v>
      </c>
      <c r="W242" s="107"/>
      <c r="X242" s="107"/>
      <c r="Y242" s="107"/>
      <c r="Z242" s="107"/>
      <c r="AA242" s="107"/>
      <c r="AB242" s="115" t="s">
        <v>409</v>
      </c>
      <c r="AC242" s="107" t="s">
        <v>391</v>
      </c>
      <c r="AD242" s="146">
        <f>AD232/SUM(AD232:AH232)</f>
        <v>1.149425287356322E-3</v>
      </c>
      <c r="AE242" s="146">
        <f>AE232/SUM(AD232:AH232)</f>
        <v>3.6321839080459765E-2</v>
      </c>
      <c r="AF242" s="146">
        <f>AF232/SUM(AD232:AH232)</f>
        <v>0.38171368861024035</v>
      </c>
      <c r="AG242" s="146">
        <f>AG232/SUM(AD232:AH232)</f>
        <v>0.38286311389759664</v>
      </c>
      <c r="AH242" s="146">
        <f>AH232/SUM(AD232:AH232)</f>
        <v>0.19795193312434692</v>
      </c>
      <c r="AI242" s="152">
        <f>SUM(AD242:AH242)</f>
        <v>1</v>
      </c>
      <c r="AJ242" s="107"/>
      <c r="AK242" s="107"/>
      <c r="AL242" s="107"/>
      <c r="AM242" s="107"/>
      <c r="AN242" s="107"/>
    </row>
    <row r="243" spans="2:40" x14ac:dyDescent="0.3">
      <c r="B243" s="148" t="s">
        <v>801</v>
      </c>
      <c r="C243" s="90" t="s">
        <v>524</v>
      </c>
      <c r="D243" s="108">
        <f>D236*D242</f>
        <v>4.3501391805914676E-2</v>
      </c>
      <c r="E243" s="108">
        <f>E236*D242</f>
        <v>0.41856874743944955</v>
      </c>
      <c r="F243" s="108">
        <f>F236*D242</f>
        <v>2.2909297328283222</v>
      </c>
      <c r="G243" s="108">
        <f>G236*D242</f>
        <v>3.5645298869876223</v>
      </c>
      <c r="H243" s="108">
        <f>H236*D242</f>
        <v>2.045975000931112</v>
      </c>
      <c r="I243" s="107"/>
      <c r="J243" s="107"/>
      <c r="K243" s="107"/>
      <c r="L243" s="107"/>
      <c r="M243" s="107"/>
      <c r="N243" s="107"/>
      <c r="O243" s="148" t="s">
        <v>801</v>
      </c>
      <c r="P243" s="90" t="s">
        <v>524</v>
      </c>
      <c r="Q243" s="108">
        <f>Q236*Q242</f>
        <v>3.2374158946329038E-5</v>
      </c>
      <c r="R243" s="108">
        <f>R236*Q242</f>
        <v>1.6214057938953132E-3</v>
      </c>
      <c r="S243" s="108">
        <f>S236*Q242</f>
        <v>5.8138593774449722E-3</v>
      </c>
      <c r="T243" s="108">
        <f>T236*Q242</f>
        <v>4.991016170892394E-3</v>
      </c>
      <c r="U243" s="108">
        <f>U236*Q242</f>
        <v>2.5467671704445523E-3</v>
      </c>
      <c r="V243" s="107"/>
      <c r="W243" s="107"/>
      <c r="X243" s="107"/>
      <c r="Y243" s="107"/>
      <c r="Z243" s="107"/>
      <c r="AA243" s="107"/>
      <c r="AB243" s="148" t="s">
        <v>801</v>
      </c>
      <c r="AC243" s="90" t="s">
        <v>524</v>
      </c>
      <c r="AD243" s="108">
        <f>AD236*AD242</f>
        <v>6.8965517241379381E-5</v>
      </c>
      <c r="AE243" s="108">
        <f>AE236*AD242</f>
        <v>4.6091954022988513E-3</v>
      </c>
      <c r="AF243" s="108">
        <f>AF236*AD242</f>
        <v>8.3678160919540261E-3</v>
      </c>
      <c r="AG243" s="108">
        <f>AG236*AD242</f>
        <v>1.2126436781609178E-2</v>
      </c>
      <c r="AH243" s="108">
        <f>AH236*AD242</f>
        <v>9.2988505747126499E-3</v>
      </c>
      <c r="AI243" s="107"/>
      <c r="AJ243" s="107"/>
      <c r="AK243" s="107"/>
      <c r="AL243" s="107"/>
      <c r="AM243" s="107"/>
      <c r="AN243" s="107"/>
    </row>
    <row r="244" spans="2:40" x14ac:dyDescent="0.3">
      <c r="B244" s="107" t="s">
        <v>799</v>
      </c>
      <c r="C244" s="91" t="s">
        <v>523</v>
      </c>
      <c r="D244" s="108">
        <f>D236*E242</f>
        <v>0.11316632896124514</v>
      </c>
      <c r="E244" s="108">
        <f>E236*E242</f>
        <v>1.0888821391500556</v>
      </c>
      <c r="F244" s="108">
        <f>F236*E242</f>
        <v>5.9597198390580575</v>
      </c>
      <c r="G244" s="108">
        <f>G236*E242</f>
        <v>9.2729162226065807</v>
      </c>
      <c r="H244" s="108">
        <f>H236*E242</f>
        <v>5.322484416932455</v>
      </c>
      <c r="I244" s="107"/>
      <c r="J244" s="107"/>
      <c r="K244" s="107"/>
      <c r="L244" s="107"/>
      <c r="M244" s="107"/>
      <c r="N244" s="107"/>
      <c r="O244" s="107" t="s">
        <v>799</v>
      </c>
      <c r="P244" s="91" t="s">
        <v>523</v>
      </c>
      <c r="Q244" s="108">
        <f>Q236*R242</f>
        <v>1.6232403295689381E-3</v>
      </c>
      <c r="R244" s="108">
        <f>R236*R242</f>
        <v>8.1297286505911004E-2</v>
      </c>
      <c r="S244" s="108">
        <f>S236*R242</f>
        <v>0.29150690918509092</v>
      </c>
      <c r="T244" s="108">
        <f>T236*R242</f>
        <v>0.25024955080854461</v>
      </c>
      <c r="U244" s="108">
        <f>U236*R242</f>
        <v>0.12769490592608987</v>
      </c>
      <c r="V244" s="107"/>
      <c r="W244" s="107"/>
      <c r="X244" s="107"/>
      <c r="Y244" s="107"/>
      <c r="Z244" s="107"/>
      <c r="AA244" s="107"/>
      <c r="AB244" s="107" t="s">
        <v>799</v>
      </c>
      <c r="AC244" s="91" t="s">
        <v>523</v>
      </c>
      <c r="AD244" s="108">
        <f>AD236*AE242</f>
        <v>2.1793103448275878E-3</v>
      </c>
      <c r="AE244" s="108">
        <f>AE236*AE242</f>
        <v>0.14565057471264364</v>
      </c>
      <c r="AF244" s="108">
        <f>AF236*AE242</f>
        <v>0.26442298850574714</v>
      </c>
      <c r="AG244" s="108">
        <f>AG236*AE242</f>
        <v>0.38319540229884991</v>
      </c>
      <c r="AH244" s="108">
        <f>AH236*AE242</f>
        <v>0.29384367816091961</v>
      </c>
      <c r="AI244" s="107"/>
      <c r="AJ244" s="107"/>
      <c r="AK244" s="107"/>
      <c r="AL244" s="107"/>
      <c r="AM244" s="107"/>
      <c r="AN244" s="107"/>
    </row>
    <row r="245" spans="2:40" x14ac:dyDescent="0.3">
      <c r="B245" s="107"/>
      <c r="C245" s="92" t="s">
        <v>525</v>
      </c>
      <c r="D245" s="108">
        <f>D236*F242</f>
        <v>4.7276704016678011</v>
      </c>
      <c r="E245" s="108">
        <f>E236*F242</f>
        <v>45.489465881034072</v>
      </c>
      <c r="F245" s="108">
        <f>F236*F242</f>
        <v>248.97503828189184</v>
      </c>
      <c r="G245" s="108">
        <f>G236*F242</f>
        <v>387.38812122972996</v>
      </c>
      <c r="H245" s="108">
        <f>H236*F242</f>
        <v>222.35370071858529</v>
      </c>
      <c r="I245" s="107"/>
      <c r="J245" s="107"/>
      <c r="K245" s="107"/>
      <c r="L245" s="107"/>
      <c r="M245" s="107"/>
      <c r="N245" s="107"/>
      <c r="O245" s="107"/>
      <c r="P245" s="92" t="s">
        <v>525</v>
      </c>
      <c r="Q245" s="108">
        <f>Q236*S242</f>
        <v>9.0852897217441039E-2</v>
      </c>
      <c r="R245" s="108">
        <f>R236*S242</f>
        <v>4.5502159356401739</v>
      </c>
      <c r="S245" s="108">
        <f>S236*S242</f>
        <v>16.315666125298925</v>
      </c>
      <c r="T245" s="108">
        <f>T236*S242</f>
        <v>14.006488321022161</v>
      </c>
      <c r="U245" s="108">
        <f>U236*S242</f>
        <v>7.1470945811053666</v>
      </c>
      <c r="V245" s="107"/>
      <c r="W245" s="107"/>
      <c r="X245" s="107"/>
      <c r="Y245" s="107"/>
      <c r="Z245" s="107"/>
      <c r="AA245" s="107"/>
      <c r="AB245" s="107"/>
      <c r="AC245" s="92" t="s">
        <v>525</v>
      </c>
      <c r="AD245" s="108">
        <f>AD236*AF242</f>
        <v>2.2902821316614443E-2</v>
      </c>
      <c r="AE245" s="108">
        <f>AE236*AF242</f>
        <v>1.5306718913270638</v>
      </c>
      <c r="AF245" s="108">
        <f>AF236*AF242</f>
        <v>2.77887565308255</v>
      </c>
      <c r="AG245" s="108">
        <f>AG236*AF242</f>
        <v>4.0270794148380293</v>
      </c>
      <c r="AH245" s="108">
        <f>AH236*AF242</f>
        <v>3.0880637408568457</v>
      </c>
      <c r="AI245" s="107"/>
      <c r="AJ245" s="107"/>
      <c r="AK245" s="107"/>
      <c r="AL245" s="107"/>
      <c r="AM245" s="107"/>
      <c r="AN245" s="107"/>
    </row>
    <row r="246" spans="2:40" x14ac:dyDescent="0.3">
      <c r="B246" s="107"/>
      <c r="C246" s="124" t="s">
        <v>526</v>
      </c>
      <c r="D246" s="108">
        <f>D236*G242</f>
        <v>3.811589071530237</v>
      </c>
      <c r="E246" s="108">
        <f>E236*G242</f>
        <v>36.674965953787833</v>
      </c>
      <c r="F246" s="108">
        <f>F236*G242</f>
        <v>200.73111159870658</v>
      </c>
      <c r="G246" s="108">
        <f>G236*G242</f>
        <v>312.32387283152713</v>
      </c>
      <c r="H246" s="108">
        <f>H236*G242</f>
        <v>179.26819419862287</v>
      </c>
      <c r="I246" s="107"/>
      <c r="J246" s="107"/>
      <c r="K246" s="107"/>
      <c r="L246" s="107"/>
      <c r="M246" s="107"/>
      <c r="N246" s="107"/>
      <c r="O246" s="107"/>
      <c r="P246" s="124" t="s">
        <v>526</v>
      </c>
      <c r="Q246" s="108">
        <f>Q236*T242</f>
        <v>2.3199322300939393E-2</v>
      </c>
      <c r="R246" s="108">
        <f>R236*T242</f>
        <v>1.1618993919053815</v>
      </c>
      <c r="S246" s="108">
        <f>S236*T242</f>
        <v>4.1662116298770675</v>
      </c>
      <c r="T246" s="108">
        <f>T236*T242</f>
        <v>3.57656218806149</v>
      </c>
      <c r="U246" s="108">
        <f>U236*T242</f>
        <v>1.8250133543405664</v>
      </c>
      <c r="V246" s="107"/>
      <c r="W246" s="107"/>
      <c r="X246" s="107"/>
      <c r="Y246" s="107"/>
      <c r="Z246" s="107"/>
      <c r="AA246" s="107"/>
      <c r="AB246" s="107"/>
      <c r="AC246" s="124" t="s">
        <v>526</v>
      </c>
      <c r="AD246" s="108">
        <f>AD236*AG242</f>
        <v>2.2971786833855819E-2</v>
      </c>
      <c r="AE246" s="108">
        <f>AE236*AG242</f>
        <v>1.5352810867293625</v>
      </c>
      <c r="AF246" s="108">
        <f>AF236*AG242</f>
        <v>2.7872434691745038</v>
      </c>
      <c r="AG246" s="108">
        <f>AG236*AG242</f>
        <v>4.0392058516196379</v>
      </c>
      <c r="AH246" s="108">
        <f>AH236*AG242</f>
        <v>3.0973625914315583</v>
      </c>
      <c r="AI246" s="107"/>
      <c r="AJ246" s="107"/>
      <c r="AK246" s="107"/>
      <c r="AL246" s="107"/>
      <c r="AM246" s="107"/>
      <c r="AN246" s="107"/>
    </row>
    <row r="247" spans="2:40" x14ac:dyDescent="0.3">
      <c r="B247" s="107"/>
      <c r="C247" s="123" t="s">
        <v>527</v>
      </c>
      <c r="D247" s="125">
        <f>D236*H242</f>
        <v>2.4140728060347882</v>
      </c>
      <c r="E247" s="125">
        <f>E236*H242</f>
        <v>23.228117278588581</v>
      </c>
      <c r="F247" s="125">
        <f>F236*H242</f>
        <v>127.13320054751543</v>
      </c>
      <c r="G247" s="125">
        <f>G236*H242</f>
        <v>197.81055982914759</v>
      </c>
      <c r="H247" s="125">
        <f>H236*H242</f>
        <v>113.539645664929</v>
      </c>
      <c r="I247" s="107"/>
      <c r="J247" s="107"/>
      <c r="K247" s="107"/>
      <c r="L247" s="107"/>
      <c r="M247" s="107"/>
      <c r="N247" s="107"/>
      <c r="O247" s="107"/>
      <c r="P247" s="123" t="s">
        <v>527</v>
      </c>
      <c r="Q247" s="125">
        <f>Q236*U242</f>
        <v>4.2921659931043042E-3</v>
      </c>
      <c r="R247" s="125">
        <f>R236*U242</f>
        <v>0.21496598015464063</v>
      </c>
      <c r="S247" s="125">
        <f>S236*U242</f>
        <v>0.77080147626165452</v>
      </c>
      <c r="T247" s="125">
        <f>T236*U242</f>
        <v>0.66170892393691361</v>
      </c>
      <c r="U247" s="125">
        <f>U236*U242</f>
        <v>0.33765039145753878</v>
      </c>
      <c r="V247" s="107"/>
      <c r="W247" s="107"/>
      <c r="X247" s="107"/>
      <c r="Y247" s="107"/>
      <c r="Z247" s="107"/>
      <c r="AA247" s="107"/>
      <c r="AB247" s="107"/>
      <c r="AC247" s="123" t="s">
        <v>527</v>
      </c>
      <c r="AD247" s="125">
        <f>AD236*AH242</f>
        <v>1.1877115987460826E-2</v>
      </c>
      <c r="AE247" s="125">
        <f>AE236*AH242</f>
        <v>0.79378725182863108</v>
      </c>
      <c r="AF247" s="125">
        <f>AF236*AH242</f>
        <v>1.4410900731452458</v>
      </c>
      <c r="AG247" s="125">
        <f>AG236*AH242</f>
        <v>2.0883928944618568</v>
      </c>
      <c r="AH247" s="125">
        <f>AH236*AH242</f>
        <v>1.6014311389759672</v>
      </c>
      <c r="AI247" s="107"/>
      <c r="AJ247" s="107"/>
      <c r="AK247" s="107"/>
      <c r="AL247" s="107"/>
      <c r="AM247" s="107"/>
      <c r="AN247" s="107"/>
    </row>
    <row r="248" spans="2:40" x14ac:dyDescent="0.3">
      <c r="B248" s="107"/>
      <c r="C248" s="107" t="s">
        <v>36</v>
      </c>
      <c r="D248" s="108">
        <f>SUM(D243:D247)</f>
        <v>11.109999999999985</v>
      </c>
      <c r="E248" s="108">
        <f>SUM(E243:E247)</f>
        <v>106.89999999999999</v>
      </c>
      <c r="F248" s="108">
        <f>SUM(F243:F247)</f>
        <v>585.09000000000026</v>
      </c>
      <c r="G248" s="108">
        <f t="shared" ref="G248" si="368">SUM(G243:G247)</f>
        <v>910.35999999999888</v>
      </c>
      <c r="H248" s="108">
        <f t="shared" ref="H248" si="369">SUM(H243:H247)</f>
        <v>522.53000000000077</v>
      </c>
      <c r="I248" s="107"/>
      <c r="J248" s="107"/>
      <c r="K248" s="107"/>
      <c r="L248" s="107"/>
      <c r="M248" s="107"/>
      <c r="N248" s="107"/>
      <c r="O248" s="107"/>
      <c r="P248" s="107" t="s">
        <v>36</v>
      </c>
      <c r="Q248" s="108">
        <f>SUM(Q243:Q247)</f>
        <v>0.12000000000000001</v>
      </c>
      <c r="R248" s="108">
        <f>SUM(R243:R247)</f>
        <v>6.0100000000000025</v>
      </c>
      <c r="S248" s="108">
        <f>SUM(S243:S247)</f>
        <v>21.550000000000182</v>
      </c>
      <c r="T248" s="108">
        <f t="shared" ref="T248" si="370">SUM(T243:T247)</f>
        <v>18.5</v>
      </c>
      <c r="U248" s="108">
        <f t="shared" ref="U248" si="371">SUM(U243:U247)</f>
        <v>9.4400000000000066</v>
      </c>
      <c r="V248" s="107"/>
      <c r="W248" s="107"/>
      <c r="X248" s="107"/>
      <c r="Y248" s="107"/>
      <c r="Z248" s="107"/>
      <c r="AA248" s="107"/>
      <c r="AB248" s="107"/>
      <c r="AC248" s="107" t="s">
        <v>36</v>
      </c>
      <c r="AD248" s="108">
        <f>SUM(AD243:AD247)</f>
        <v>6.0000000000000053E-2</v>
      </c>
      <c r="AE248" s="108">
        <f>SUM(AE243:AE247)</f>
        <v>4.01</v>
      </c>
      <c r="AF248" s="108">
        <f>SUM(AF243:AF247)</f>
        <v>7.2800000000000011</v>
      </c>
      <c r="AG248" s="108">
        <f t="shared" ref="AG248" si="372">SUM(AG243:AG247)</f>
        <v>10.549999999999983</v>
      </c>
      <c r="AH248" s="108">
        <f t="shared" ref="AH248" si="373">SUM(AH243:AH247)</f>
        <v>8.0900000000000034</v>
      </c>
      <c r="AI248" s="107"/>
      <c r="AJ248" s="107"/>
      <c r="AK248" s="107"/>
      <c r="AL248" s="107"/>
      <c r="AM248" s="107"/>
      <c r="AN248" s="107"/>
    </row>
    <row r="249" spans="2:40" x14ac:dyDescent="0.3">
      <c r="B249" s="107" t="s">
        <v>800</v>
      </c>
      <c r="C249" s="212" t="s">
        <v>529</v>
      </c>
      <c r="D249" s="125">
        <f>I234*D242</f>
        <v>0.74426143604575601</v>
      </c>
      <c r="E249" s="125">
        <f>I234*E242</f>
        <v>1.9361526380696401</v>
      </c>
      <c r="F249" s="125">
        <f>I234*F242</f>
        <v>80.88529162457472</v>
      </c>
      <c r="G249" s="125">
        <f>I234*G242</f>
        <v>65.212137778260583</v>
      </c>
      <c r="H249" s="125">
        <f>I234*H242</f>
        <v>41.302156523051067</v>
      </c>
      <c r="I249" s="230">
        <f>SUM(D249:H249)</f>
        <v>190.08000000000175</v>
      </c>
      <c r="J249" s="107"/>
      <c r="K249" s="141"/>
      <c r="L249" s="141"/>
      <c r="M249" s="107"/>
      <c r="N249" s="107"/>
      <c r="O249" s="107" t="s">
        <v>800</v>
      </c>
      <c r="P249" s="212" t="s">
        <v>529</v>
      </c>
      <c r="Q249" s="125">
        <f>V234*Q242</f>
        <v>2.2176298878235465E-3</v>
      </c>
      <c r="R249" s="125">
        <f>V234*R242</f>
        <v>0.11119196257547263</v>
      </c>
      <c r="S249" s="125">
        <f>V234*S242</f>
        <v>6.2234234593947324</v>
      </c>
      <c r="T249" s="125">
        <f>V234*T242</f>
        <v>1.5891535776143537</v>
      </c>
      <c r="U249" s="125">
        <f>V234*U242</f>
        <v>0.29401337052764587</v>
      </c>
      <c r="V249" s="230">
        <f>SUM(Q249:U249)</f>
        <v>8.2200000000000273</v>
      </c>
      <c r="W249" s="107"/>
      <c r="X249" s="141"/>
      <c r="Y249" s="141"/>
      <c r="Z249" s="107"/>
      <c r="AA249" s="107"/>
      <c r="AB249" s="107" t="s">
        <v>800</v>
      </c>
      <c r="AC249" s="212" t="s">
        <v>529</v>
      </c>
      <c r="AD249" s="125">
        <f>AI234*AD242</f>
        <v>2.4367816091954079E-3</v>
      </c>
      <c r="AE249" s="125">
        <f>AI234*AE242</f>
        <v>7.7002298850574871E-2</v>
      </c>
      <c r="AF249" s="125">
        <f>AI234*AF242</f>
        <v>0.80923301985371132</v>
      </c>
      <c r="AG249" s="125">
        <f>AI234*AG242</f>
        <v>0.81166980146290657</v>
      </c>
      <c r="AH249" s="125">
        <f>AI234*AH242</f>
        <v>0.41965809822361638</v>
      </c>
      <c r="AI249" s="230">
        <f>SUM(AD249:AH249)</f>
        <v>2.1200000000000045</v>
      </c>
      <c r="AJ249" s="107"/>
      <c r="AK249" s="141"/>
      <c r="AL249" s="141"/>
      <c r="AM249" s="107"/>
      <c r="AN249" s="107"/>
    </row>
    <row r="250" spans="2:40" x14ac:dyDescent="0.3">
      <c r="B250" s="107" t="s">
        <v>802</v>
      </c>
      <c r="C250" s="107" t="s">
        <v>803</v>
      </c>
      <c r="D250" s="108">
        <f>SUM(D243:H243)+D249</f>
        <v>9.1077661960381757</v>
      </c>
      <c r="E250" s="108">
        <f>SUM(D244:H244)+E249</f>
        <v>23.693321584778033</v>
      </c>
      <c r="F250" s="108">
        <f>SUM(D245:H245)+F249</f>
        <v>989.81928813748368</v>
      </c>
      <c r="G250" s="108">
        <f>SUM(D246:H246)+G249</f>
        <v>798.0218714324352</v>
      </c>
      <c r="H250" s="108">
        <f>SUM(D247:H247)+H249</f>
        <v>505.42775264926649</v>
      </c>
      <c r="I250" s="107"/>
      <c r="J250" s="107"/>
      <c r="K250" s="108">
        <f>D250+E250+G250+H250</f>
        <v>1336.2507118625181</v>
      </c>
      <c r="L250" s="108">
        <f>F250</f>
        <v>989.81928813748368</v>
      </c>
      <c r="M250" s="107"/>
      <c r="N250" s="107"/>
      <c r="O250" s="107" t="s">
        <v>802</v>
      </c>
      <c r="P250" s="107" t="s">
        <v>803</v>
      </c>
      <c r="Q250" s="108">
        <f>SUM(Q243:U243)+Q249</f>
        <v>1.7223052559447109E-2</v>
      </c>
      <c r="R250" s="108">
        <f>SUM(Q244:U244)+R249</f>
        <v>0.86356385533067803</v>
      </c>
      <c r="S250" s="108">
        <f>SUM(Q245:U245)+S249</f>
        <v>48.333741319678794</v>
      </c>
      <c r="T250" s="108">
        <f>SUM(Q246:U246)+T249</f>
        <v>12.342039464099798</v>
      </c>
      <c r="U250" s="108">
        <f>SUM(Q247:U247)+U249</f>
        <v>2.283432308331498</v>
      </c>
      <c r="V250" s="107"/>
      <c r="W250" s="107"/>
      <c r="X250" s="108">
        <f>Q250+R250+T250+U250</f>
        <v>15.506258680321421</v>
      </c>
      <c r="Y250" s="108">
        <f>S250</f>
        <v>48.333741319678794</v>
      </c>
      <c r="Z250" s="107"/>
      <c r="AA250" s="107"/>
      <c r="AB250" s="107" t="s">
        <v>802</v>
      </c>
      <c r="AC250" s="107" t="s">
        <v>803</v>
      </c>
      <c r="AD250" s="108">
        <f>SUM(AD243:AH243)+AD249</f>
        <v>3.6908045977011493E-2</v>
      </c>
      <c r="AE250" s="108">
        <f>SUM(AD244:AH244)+AE249</f>
        <v>1.1662942528735629</v>
      </c>
      <c r="AF250" s="108">
        <f>SUM(AD245:AH245)+AF249</f>
        <v>12.256826541274815</v>
      </c>
      <c r="AG250" s="108">
        <f>SUM(AD246:AH246)+AG249</f>
        <v>12.293734587251825</v>
      </c>
      <c r="AH250" s="108">
        <f>SUM(AD247:AH247)+AH249</f>
        <v>6.3562365726227776</v>
      </c>
      <c r="AI250" s="107"/>
      <c r="AJ250" s="107"/>
      <c r="AK250" s="108">
        <f>AD250+AE250+AG250+AH250</f>
        <v>19.853173458725177</v>
      </c>
      <c r="AL250" s="108">
        <f>AF250</f>
        <v>12.256826541274815</v>
      </c>
      <c r="AM250" s="107"/>
      <c r="AN250" s="107"/>
    </row>
    <row r="251" spans="2:40" x14ac:dyDescent="0.3">
      <c r="B251" s="107" t="s">
        <v>802</v>
      </c>
      <c r="C251" s="107" t="s">
        <v>804</v>
      </c>
      <c r="D251" s="146">
        <f>D250/$N$2</f>
        <v>2.0976892802143475E-4</v>
      </c>
      <c r="E251" s="146">
        <f t="shared" ref="E251" si="374">E250/$N$2</f>
        <v>5.4570160927802289E-4</v>
      </c>
      <c r="F251" s="146">
        <f t="shared" ref="F251" si="375">F250/$N$2</f>
        <v>2.2797393624120355E-2</v>
      </c>
      <c r="G251" s="146">
        <f t="shared" ref="G251" si="376">G250/$N$2</f>
        <v>1.83799395927466E-2</v>
      </c>
      <c r="H251" s="146">
        <f t="shared" ref="H251" si="377">H250/$N$2</f>
        <v>1.1640948568886068E-2</v>
      </c>
      <c r="I251" s="107"/>
      <c r="J251" s="107"/>
      <c r="K251" s="152">
        <f>K250/$N$2</f>
        <v>3.0776358698932131E-2</v>
      </c>
      <c r="L251" s="147">
        <f>L250/$N$2</f>
        <v>2.2797393624120355E-2</v>
      </c>
      <c r="M251" s="107"/>
      <c r="N251" s="107"/>
      <c r="O251" s="107" t="s">
        <v>802</v>
      </c>
      <c r="P251" s="107" t="s">
        <v>804</v>
      </c>
      <c r="Q251" s="146">
        <f>Q250/$N$3</f>
        <v>9.2519956807215011E-6</v>
      </c>
      <c r="R251" s="146">
        <f t="shared" ref="R251" si="378">R250/$N$3</f>
        <v>4.6389506343137601E-4</v>
      </c>
      <c r="S251" s="146">
        <f t="shared" ref="S251" si="379">S250/$N$3</f>
        <v>2.5964245558635971E-2</v>
      </c>
      <c r="T251" s="146">
        <f t="shared" ref="T251" si="380">T250/$N$3</f>
        <v>6.6299801048050272E-3</v>
      </c>
      <c r="U251" s="146">
        <f t="shared" ref="U251" si="381">U250/$N$3</f>
        <v>1.2266295873500567E-3</v>
      </c>
      <c r="V251" s="107"/>
      <c r="W251" s="107"/>
      <c r="X251" s="152">
        <f>X250/$N$3</f>
        <v>8.3297567512671811E-3</v>
      </c>
      <c r="Y251" s="152">
        <f>Y250/$N$3</f>
        <v>2.5964245558635971E-2</v>
      </c>
      <c r="Z251" s="107"/>
      <c r="AA251" s="107"/>
      <c r="AB251" s="107" t="s">
        <v>802</v>
      </c>
      <c r="AC251" s="107" t="s">
        <v>804</v>
      </c>
      <c r="AD251" s="146">
        <f>AD250/$N$4</f>
        <v>7.6792572046547155E-5</v>
      </c>
      <c r="AE251" s="146">
        <f t="shared" ref="AE251" si="382">AE250/$N$4</f>
        <v>2.4266452766708896E-3</v>
      </c>
      <c r="AF251" s="146">
        <f t="shared" ref="AF251" si="383">AF250/$N$4</f>
        <v>2.5502115062366975E-2</v>
      </c>
      <c r="AG251" s="146">
        <f t="shared" ref="AG251" si="384">AG250/$N$4</f>
        <v>2.5578907634413516E-2</v>
      </c>
      <c r="AH251" s="146">
        <f t="shared" ref="AH251" si="385">AH250/$N$4</f>
        <v>1.322507713499808E-2</v>
      </c>
      <c r="AI251" s="107"/>
      <c r="AJ251" s="107"/>
      <c r="AK251" s="152">
        <f>AK250/$N$4</f>
        <v>4.1307422618129037E-2</v>
      </c>
      <c r="AL251" s="152">
        <f>AL250/$N$4</f>
        <v>2.5502115062366975E-2</v>
      </c>
      <c r="AM251" s="107"/>
      <c r="AN251" s="107"/>
    </row>
    <row r="254" spans="2:40" x14ac:dyDescent="0.3">
      <c r="D254" t="s">
        <v>518</v>
      </c>
      <c r="E254" t="s">
        <v>519</v>
      </c>
      <c r="F254" t="s">
        <v>520</v>
      </c>
      <c r="G254" t="s">
        <v>521</v>
      </c>
      <c r="H254" t="s">
        <v>522</v>
      </c>
      <c r="Q254" t="s">
        <v>518</v>
      </c>
      <c r="R254" t="s">
        <v>519</v>
      </c>
      <c r="S254" t="s">
        <v>520</v>
      </c>
      <c r="T254" t="s">
        <v>521</v>
      </c>
      <c r="U254" t="s">
        <v>522</v>
      </c>
      <c r="AD254" t="s">
        <v>518</v>
      </c>
      <c r="AE254" t="s">
        <v>519</v>
      </c>
      <c r="AF254" t="s">
        <v>520</v>
      </c>
      <c r="AG254" t="s">
        <v>521</v>
      </c>
      <c r="AH254" t="s">
        <v>522</v>
      </c>
    </row>
    <row r="255" spans="2:40" x14ac:dyDescent="0.3">
      <c r="B255" s="118" t="s">
        <v>375</v>
      </c>
      <c r="C255" s="8">
        <v>20</v>
      </c>
      <c r="D255" s="90" t="s">
        <v>524</v>
      </c>
      <c r="E255" s="91" t="s">
        <v>523</v>
      </c>
      <c r="F255" s="92" t="s">
        <v>525</v>
      </c>
      <c r="G255" s="124" t="s">
        <v>526</v>
      </c>
      <c r="H255" s="123" t="s">
        <v>527</v>
      </c>
      <c r="I255" s="212" t="s">
        <v>529</v>
      </c>
      <c r="J255" s="213" t="s">
        <v>599</v>
      </c>
      <c r="K255" s="214" t="s">
        <v>600</v>
      </c>
      <c r="L255" s="215" t="s">
        <v>525</v>
      </c>
      <c r="Q255" s="90" t="s">
        <v>524</v>
      </c>
      <c r="R255" s="91" t="s">
        <v>523</v>
      </c>
      <c r="S255" s="92" t="s">
        <v>525</v>
      </c>
      <c r="T255" s="124" t="s">
        <v>526</v>
      </c>
      <c r="U255" s="123" t="s">
        <v>527</v>
      </c>
      <c r="V255" s="212" t="s">
        <v>529</v>
      </c>
      <c r="W255" s="213" t="s">
        <v>599</v>
      </c>
      <c r="X255" s="214" t="s">
        <v>600</v>
      </c>
      <c r="Y255" s="215" t="s">
        <v>525</v>
      </c>
      <c r="AD255" s="90" t="s">
        <v>524</v>
      </c>
      <c r="AE255" s="91" t="s">
        <v>523</v>
      </c>
      <c r="AF255" s="92" t="s">
        <v>525</v>
      </c>
      <c r="AG255" s="124" t="s">
        <v>526</v>
      </c>
      <c r="AH255" s="123" t="s">
        <v>527</v>
      </c>
      <c r="AI255" s="212" t="s">
        <v>529</v>
      </c>
      <c r="AJ255" s="213" t="s">
        <v>599</v>
      </c>
      <c r="AK255" s="214" t="s">
        <v>600</v>
      </c>
      <c r="AL255" s="215" t="s">
        <v>525</v>
      </c>
    </row>
    <row r="256" spans="2:40" x14ac:dyDescent="0.3">
      <c r="B256" s="119" t="s">
        <v>465</v>
      </c>
      <c r="C256" s="107"/>
      <c r="D256" s="116"/>
      <c r="E256" s="116"/>
      <c r="F256" s="116"/>
      <c r="G256" s="116"/>
      <c r="H256" s="116"/>
      <c r="I256" s="107"/>
      <c r="J256" s="107"/>
      <c r="K256" s="107"/>
      <c r="L256" s="107"/>
      <c r="M256" s="107"/>
      <c r="N256" s="142"/>
      <c r="O256" s="119" t="s">
        <v>466</v>
      </c>
      <c r="P256" s="107"/>
      <c r="Q256" s="116"/>
      <c r="R256" s="116"/>
      <c r="S256" s="116"/>
      <c r="T256" s="116"/>
      <c r="U256" s="116"/>
      <c r="V256" s="107"/>
      <c r="W256" s="107"/>
      <c r="X256" s="107"/>
      <c r="Y256" s="107"/>
      <c r="Z256" s="107"/>
      <c r="AA256" s="142"/>
      <c r="AB256" s="119" t="s">
        <v>633</v>
      </c>
      <c r="AC256" s="107"/>
      <c r="AD256" s="116"/>
      <c r="AE256" s="116"/>
      <c r="AF256" s="116"/>
      <c r="AG256" s="116"/>
      <c r="AH256" s="116"/>
      <c r="AI256" s="107"/>
      <c r="AJ256" s="107"/>
      <c r="AK256" s="107"/>
      <c r="AL256" s="107"/>
      <c r="AM256" s="107"/>
      <c r="AN256" s="107"/>
    </row>
    <row r="257" spans="2:40" x14ac:dyDescent="0.3">
      <c r="B257" s="115" t="s">
        <v>409</v>
      </c>
      <c r="C257" s="122" t="s">
        <v>9</v>
      </c>
      <c r="D257" s="136">
        <f>'24M_Seeds'!AL127</f>
        <v>133.96</v>
      </c>
      <c r="E257" s="136">
        <f>'24M_Seeds'!AM127</f>
        <v>774.86</v>
      </c>
      <c r="F257" s="136">
        <f>'24M_Seeds'!AN127</f>
        <v>18334.84</v>
      </c>
      <c r="G257" s="136">
        <f>'24M_Seeds'!AO127</f>
        <v>14076.14</v>
      </c>
      <c r="H257" s="136">
        <f>'24M_Seeds'!AP127</f>
        <v>9908.2099999999991</v>
      </c>
      <c r="I257" s="108">
        <f>$N$2-N257</f>
        <v>190.07999999999447</v>
      </c>
      <c r="J257" s="108"/>
      <c r="K257" s="108">
        <f>D257+E257+G257+H257</f>
        <v>24893.17</v>
      </c>
      <c r="L257" s="108">
        <f>F257</f>
        <v>18334.84</v>
      </c>
      <c r="M257" s="115" t="s">
        <v>36</v>
      </c>
      <c r="N257" s="137">
        <v>43228.01</v>
      </c>
      <c r="O257" s="115" t="s">
        <v>409</v>
      </c>
      <c r="P257" s="122" t="s">
        <v>9</v>
      </c>
      <c r="Q257" s="136">
        <f>'24M_Seeds'!AL132</f>
        <v>0.22</v>
      </c>
      <c r="R257" s="136">
        <f>'24M_Seeds'!AM132</f>
        <v>62</v>
      </c>
      <c r="S257" s="136">
        <f>'24M_Seeds'!AN132</f>
        <v>1403.24</v>
      </c>
      <c r="T257" s="136">
        <f>'24M_Seeds'!AO132</f>
        <v>308.97000000000003</v>
      </c>
      <c r="U257" s="136">
        <f>'24M_Seeds'!AP132</f>
        <v>78.900000000000006</v>
      </c>
      <c r="V257" s="108">
        <f>$N$3-AA257</f>
        <v>8.2199999999997999</v>
      </c>
      <c r="W257" s="108"/>
      <c r="X257" s="108">
        <f>Q257+R257+T257+U257</f>
        <v>450.09000000000003</v>
      </c>
      <c r="Y257" s="108">
        <f>S257</f>
        <v>1403.24</v>
      </c>
      <c r="Z257" s="115" t="s">
        <v>36</v>
      </c>
      <c r="AA257" s="137">
        <f>SUM(Q257:U257)</f>
        <v>1853.3300000000002</v>
      </c>
      <c r="AB257" s="115" t="s">
        <v>409</v>
      </c>
      <c r="AC257" s="122" t="s">
        <v>9</v>
      </c>
      <c r="AD257" s="136">
        <v>0.24</v>
      </c>
      <c r="AE257" s="136">
        <v>33.64</v>
      </c>
      <c r="AF257" s="136">
        <v>158.6</v>
      </c>
      <c r="AG257" s="136">
        <v>189.84</v>
      </c>
      <c r="AH257" s="136">
        <v>96.18</v>
      </c>
      <c r="AI257" s="108">
        <f>$N$4-AN257</f>
        <v>2.1200000000000045</v>
      </c>
      <c r="AJ257" s="108"/>
      <c r="AK257" s="108">
        <f>AD257+AE257+AG257+AH257</f>
        <v>319.89999999999998</v>
      </c>
      <c r="AL257" s="108">
        <f>AF257</f>
        <v>158.6</v>
      </c>
      <c r="AM257" s="115" t="s">
        <v>36</v>
      </c>
      <c r="AN257" s="137">
        <f>SUM(AD257:AH257)</f>
        <v>478.5</v>
      </c>
    </row>
    <row r="258" spans="2:40" x14ac:dyDescent="0.3">
      <c r="B258" s="107"/>
      <c r="C258" s="141" t="s">
        <v>534</v>
      </c>
      <c r="D258" s="151">
        <f t="shared" ref="D258:I258" si="386">D257/$N$2</f>
        <v>3.085349908298592E-3</v>
      </c>
      <c r="E258" s="151">
        <f t="shared" si="386"/>
        <v>1.7846478276681451E-2</v>
      </c>
      <c r="F258" s="151">
        <f t="shared" si="386"/>
        <v>0.42228573389571034</v>
      </c>
      <c r="G258" s="151">
        <f t="shared" si="386"/>
        <v>0.32419988995370363</v>
      </c>
      <c r="H258" s="151">
        <f t="shared" si="386"/>
        <v>0.22820464926025075</v>
      </c>
      <c r="I258" s="151">
        <f t="shared" si="386"/>
        <v>4.3778987053551752E-3</v>
      </c>
      <c r="J258" s="151"/>
      <c r="K258" s="151">
        <f>K257/$N$2</f>
        <v>0.57333636739893445</v>
      </c>
      <c r="L258" s="151">
        <f>L257/$N$2</f>
        <v>0.42228573389571034</v>
      </c>
      <c r="M258" s="145">
        <f>SUM(D258:I258)</f>
        <v>1</v>
      </c>
      <c r="N258" s="142"/>
      <c r="O258" s="107"/>
      <c r="P258" s="141" t="s">
        <v>533</v>
      </c>
      <c r="Q258" s="151">
        <f t="shared" ref="Q258:V258" si="387">Q257/$N$3</f>
        <v>1.1818108565442776E-4</v>
      </c>
      <c r="R258" s="151">
        <f t="shared" si="387"/>
        <v>3.330557868442964E-2</v>
      </c>
      <c r="S258" s="151">
        <f t="shared" si="387"/>
        <v>0.75380193924417827</v>
      </c>
      <c r="T258" s="151">
        <f t="shared" si="387"/>
        <v>0.16597459106658433</v>
      </c>
      <c r="U258" s="151">
        <f t="shared" si="387"/>
        <v>4.2384034809701598E-2</v>
      </c>
      <c r="V258" s="151">
        <f t="shared" si="387"/>
        <v>4.4156751094516934E-3</v>
      </c>
      <c r="W258" s="151"/>
      <c r="X258" s="151">
        <f>X257/$N$3</f>
        <v>0.24178238564636997</v>
      </c>
      <c r="Y258" s="151">
        <f>Y257/$N$3</f>
        <v>0.75380193924417827</v>
      </c>
      <c r="Z258" s="145">
        <f>SUM(Q258:V258)</f>
        <v>1</v>
      </c>
      <c r="AA258" s="142"/>
      <c r="AB258" s="107"/>
      <c r="AC258" s="141" t="s">
        <v>533</v>
      </c>
      <c r="AD258" s="151">
        <f>AD257/$N$4</f>
        <v>4.9935499979193536E-4</v>
      </c>
      <c r="AE258" s="151">
        <f t="shared" ref="AE258" si="388">AE257/$N$4</f>
        <v>6.9992925804169617E-2</v>
      </c>
      <c r="AF258" s="151">
        <f t="shared" ref="AF258" si="389">AF257/$N$4</f>
        <v>0.32999042902917064</v>
      </c>
      <c r="AG258" s="151">
        <f t="shared" ref="AG258" si="390">AG257/$N$4</f>
        <v>0.3949898048354209</v>
      </c>
      <c r="AH258" s="151">
        <f t="shared" ref="AH258" si="391">AH257/$N$4</f>
        <v>0.20011651616661813</v>
      </c>
      <c r="AI258" s="151">
        <f t="shared" ref="AI258" si="392">AI257/$N$4</f>
        <v>4.410969164828772E-3</v>
      </c>
      <c r="AJ258" s="151"/>
      <c r="AK258" s="151">
        <f t="shared" ref="AK258" si="393">AK257/$N$4</f>
        <v>0.6655986018060005</v>
      </c>
      <c r="AL258" s="151">
        <f t="shared" ref="AL258" si="394">AL257/$N$4</f>
        <v>0.32999042902917064</v>
      </c>
      <c r="AM258" s="145">
        <f>SUM(AD258:AI258)</f>
        <v>0.99999999999999989</v>
      </c>
      <c r="AN258" s="107"/>
    </row>
    <row r="259" spans="2:40" x14ac:dyDescent="0.3">
      <c r="B259" s="107" t="s">
        <v>598</v>
      </c>
      <c r="C259" s="107" t="s">
        <v>9</v>
      </c>
      <c r="D259" s="108">
        <v>118.2</v>
      </c>
      <c r="E259" s="108">
        <v>590.16</v>
      </c>
      <c r="F259" s="108">
        <v>17967.75</v>
      </c>
      <c r="G259" s="108">
        <v>13511.88</v>
      </c>
      <c r="H259" s="108">
        <v>9387.41</v>
      </c>
      <c r="I259" s="108">
        <f>I257</f>
        <v>190.07999999999447</v>
      </c>
      <c r="J259" s="108">
        <f>SUM(D257:H257)-SUM(D259:H259)</f>
        <v>1652.6100000000079</v>
      </c>
      <c r="K259" s="108">
        <f>D259+E259+G259+H259</f>
        <v>23607.65</v>
      </c>
      <c r="L259" s="108">
        <f>F259</f>
        <v>17967.75</v>
      </c>
      <c r="M259" s="145"/>
      <c r="N259" s="107"/>
      <c r="O259" s="107" t="s">
        <v>598</v>
      </c>
      <c r="P259" s="107" t="s">
        <v>9</v>
      </c>
      <c r="Q259" s="108">
        <v>0.16</v>
      </c>
      <c r="R259" s="108">
        <v>47.07</v>
      </c>
      <c r="S259" s="108">
        <v>1381.91</v>
      </c>
      <c r="T259" s="108">
        <v>295.89</v>
      </c>
      <c r="U259" s="108">
        <v>67.23</v>
      </c>
      <c r="V259" s="108">
        <f>V257</f>
        <v>8.2199999999997999</v>
      </c>
      <c r="W259" s="108">
        <f>SUM(Q257:U257)-SUM(Q259:U259)</f>
        <v>61.069999999999936</v>
      </c>
      <c r="X259" s="108">
        <f>Q259+R259+T259+U259</f>
        <v>410.35</v>
      </c>
      <c r="Y259" s="108">
        <f>S259</f>
        <v>1381.91</v>
      </c>
      <c r="Z259" s="115" t="s">
        <v>609</v>
      </c>
      <c r="AA259" s="196">
        <f>SUM(Q259:U259)</f>
        <v>1792.2600000000002</v>
      </c>
      <c r="AB259" s="107" t="s">
        <v>598</v>
      </c>
      <c r="AC259" s="122" t="s">
        <v>9</v>
      </c>
      <c r="AD259" s="108">
        <v>0.19</v>
      </c>
      <c r="AE259" s="108">
        <v>29.85</v>
      </c>
      <c r="AF259" s="108">
        <v>153.4</v>
      </c>
      <c r="AG259" s="108">
        <v>183.38</v>
      </c>
      <c r="AH259" s="108">
        <v>89.97</v>
      </c>
      <c r="AI259" s="108">
        <f>AI257</f>
        <v>2.1200000000000045</v>
      </c>
      <c r="AJ259" s="108">
        <f>SUM(AD257:AH257)-SUM(AD259:AH259)</f>
        <v>21.710000000000036</v>
      </c>
      <c r="AK259" s="108">
        <f>AD259+AE259+AG259+AH259</f>
        <v>303.39</v>
      </c>
      <c r="AL259" s="108">
        <f>AF259</f>
        <v>153.4</v>
      </c>
      <c r="AM259" s="115" t="s">
        <v>609</v>
      </c>
      <c r="AN259" s="196">
        <f>SUM(AD259:AH259)</f>
        <v>456.78999999999996</v>
      </c>
    </row>
    <row r="260" spans="2:40" x14ac:dyDescent="0.3">
      <c r="B260" s="107"/>
      <c r="C260" s="141" t="s">
        <v>533</v>
      </c>
      <c r="D260" s="151">
        <f t="shared" ref="D260:L260" si="395">D259/$N$2</f>
        <v>2.7223675661458163E-3</v>
      </c>
      <c r="E260" s="151">
        <f t="shared" si="395"/>
        <v>1.3592491056147335E-2</v>
      </c>
      <c r="F260" s="151">
        <f t="shared" si="395"/>
        <v>0.41383096308474188</v>
      </c>
      <c r="G260" s="151">
        <f t="shared" si="395"/>
        <v>0.31120392444716016</v>
      </c>
      <c r="H260" s="151">
        <f t="shared" si="395"/>
        <v>0.21620964901956766</v>
      </c>
      <c r="I260" s="151">
        <f t="shared" si="395"/>
        <v>4.3778987053551752E-3</v>
      </c>
      <c r="J260" s="151">
        <f t="shared" si="395"/>
        <v>3.8062706120882056E-2</v>
      </c>
      <c r="K260" s="151">
        <f t="shared" si="395"/>
        <v>0.543728432089021</v>
      </c>
      <c r="L260" s="151">
        <f t="shared" si="395"/>
        <v>0.41383096308474188</v>
      </c>
      <c r="M260" s="145">
        <f>SUM(D260:J260)</f>
        <v>1</v>
      </c>
      <c r="N260" s="107"/>
      <c r="O260" s="107"/>
      <c r="P260" s="141" t="s">
        <v>533</v>
      </c>
      <c r="Q260" s="151">
        <f t="shared" ref="Q260:Y260" si="396">Q259/$N$3</f>
        <v>8.5949880475947468E-5</v>
      </c>
      <c r="R260" s="151">
        <f t="shared" si="396"/>
        <v>2.5285380462517795E-2</v>
      </c>
      <c r="S260" s="151">
        <f t="shared" si="396"/>
        <v>0.74234374580322859</v>
      </c>
      <c r="T260" s="151">
        <f t="shared" si="396"/>
        <v>0.1589481883376756</v>
      </c>
      <c r="U260" s="151">
        <f t="shared" si="396"/>
        <v>3.6115065402487177E-2</v>
      </c>
      <c r="V260" s="151">
        <f t="shared" si="396"/>
        <v>4.4156751094516934E-3</v>
      </c>
      <c r="W260" s="151">
        <f t="shared" si="396"/>
        <v>3.2805995004163167E-2</v>
      </c>
      <c r="X260" s="151">
        <f t="shared" si="396"/>
        <v>0.22043458408315653</v>
      </c>
      <c r="Y260" s="151">
        <f t="shared" si="396"/>
        <v>0.74234374580322859</v>
      </c>
      <c r="Z260" s="145">
        <f>SUM(Q260:W260)</f>
        <v>1</v>
      </c>
      <c r="AA260" s="195">
        <f>AA259/AA257</f>
        <v>0.96704850188579483</v>
      </c>
      <c r="AB260" s="107"/>
      <c r="AC260" s="141" t="s">
        <v>533</v>
      </c>
      <c r="AD260" s="151">
        <f t="shared" ref="AD260" si="397">AD259/$N$4</f>
        <v>3.9532270816861553E-4</v>
      </c>
      <c r="AE260" s="151">
        <f t="shared" ref="AE260" si="398">AE259/$N$4</f>
        <v>6.2107278099121969E-2</v>
      </c>
      <c r="AF260" s="151">
        <f t="shared" ref="AF260" si="399">AF259/$N$4</f>
        <v>0.31917107070034539</v>
      </c>
      <c r="AG260" s="151">
        <f t="shared" ref="AG260" si="400">AG259/$N$4</f>
        <v>0.38154883275768797</v>
      </c>
      <c r="AH260" s="151">
        <f t="shared" ref="AH260" si="401">AH259/$N$4</f>
        <v>0.18719570554700179</v>
      </c>
      <c r="AI260" s="151">
        <f t="shared" ref="AI260" si="402">AI259/$N$4</f>
        <v>4.410969164828772E-3</v>
      </c>
      <c r="AJ260" s="151">
        <f t="shared" ref="AJ260" si="403">AJ259/$N$4</f>
        <v>4.5170821022845566E-2</v>
      </c>
      <c r="AK260" s="151">
        <f t="shared" ref="AK260" si="404">AK259/$N$4</f>
        <v>0.63124713911198027</v>
      </c>
      <c r="AL260" s="151">
        <f t="shared" ref="AL260" si="405">AL259/$N$4</f>
        <v>0.31917107070034539</v>
      </c>
      <c r="AM260" s="145">
        <f>SUM(AD260:AJ260)</f>
        <v>1.0000000000000002</v>
      </c>
      <c r="AN260" s="195">
        <f>AN259/AN257</f>
        <v>0.95462904911180768</v>
      </c>
    </row>
    <row r="261" spans="2:40" x14ac:dyDescent="0.3">
      <c r="B261" s="107"/>
      <c r="C261" s="107" t="s">
        <v>601</v>
      </c>
      <c r="D261" s="112">
        <f>D257-D259</f>
        <v>15.760000000000005</v>
      </c>
      <c r="E261" s="112">
        <f>E257-E259</f>
        <v>184.70000000000005</v>
      </c>
      <c r="F261" s="112">
        <f>F257-F259</f>
        <v>367.09000000000015</v>
      </c>
      <c r="G261" s="112">
        <f>G257-G259</f>
        <v>564.26000000000022</v>
      </c>
      <c r="H261" s="112">
        <f>H257-H259</f>
        <v>520.79999999999927</v>
      </c>
      <c r="I261" s="147"/>
      <c r="J261" s="147"/>
      <c r="K261" s="112">
        <f>K257-K259</f>
        <v>1285.5199999999968</v>
      </c>
      <c r="L261" s="108">
        <f>F261</f>
        <v>367.09000000000015</v>
      </c>
      <c r="M261" s="145"/>
      <c r="N261" s="107"/>
      <c r="O261" s="107"/>
      <c r="P261" s="107" t="s">
        <v>601</v>
      </c>
      <c r="Q261" s="112">
        <f>Q257-Q259</f>
        <v>0.06</v>
      </c>
      <c r="R261" s="112">
        <f>R257-R259</f>
        <v>14.93</v>
      </c>
      <c r="S261" s="112">
        <f>S257-S259</f>
        <v>21.329999999999927</v>
      </c>
      <c r="T261" s="112">
        <f>T257-T259</f>
        <v>13.080000000000041</v>
      </c>
      <c r="U261" s="112">
        <f>U257-U259</f>
        <v>11.670000000000002</v>
      </c>
      <c r="V261" s="147"/>
      <c r="W261" s="147"/>
      <c r="X261" s="112">
        <f>X257-X259</f>
        <v>39.740000000000009</v>
      </c>
      <c r="Y261" s="108">
        <f>S261</f>
        <v>21.329999999999927</v>
      </c>
      <c r="Z261" s="145"/>
      <c r="AA261" s="107"/>
      <c r="AB261" s="107"/>
      <c r="AC261" s="107" t="s">
        <v>601</v>
      </c>
      <c r="AD261" s="112">
        <f>AD257-AD259</f>
        <v>4.9999999999999989E-2</v>
      </c>
      <c r="AE261" s="112">
        <f>AE257-AE259</f>
        <v>3.7899999999999991</v>
      </c>
      <c r="AF261" s="112">
        <f>AF257-AF259</f>
        <v>5.1999999999999886</v>
      </c>
      <c r="AG261" s="112">
        <f>AG257-AG259</f>
        <v>6.460000000000008</v>
      </c>
      <c r="AH261" s="112">
        <f>AH257-AH259</f>
        <v>6.210000000000008</v>
      </c>
      <c r="AI261" s="147"/>
      <c r="AJ261" s="147"/>
      <c r="AK261" s="112">
        <f>AK257-AK259</f>
        <v>16.509999999999991</v>
      </c>
      <c r="AL261" s="108">
        <f>AF261</f>
        <v>5.1999999999999886</v>
      </c>
      <c r="AM261" s="145"/>
      <c r="AN261" s="107"/>
    </row>
    <row r="262" spans="2:40" x14ac:dyDescent="0.3">
      <c r="B262" s="107"/>
      <c r="C262" s="107" t="s">
        <v>602</v>
      </c>
      <c r="D262" s="147">
        <f>D261/D257</f>
        <v>0.11764705882352944</v>
      </c>
      <c r="E262" s="147">
        <f>E261/E257</f>
        <v>0.23836564024468943</v>
      </c>
      <c r="F262" s="147">
        <f>F261/F257</f>
        <v>2.0021445510296252E-2</v>
      </c>
      <c r="G262" s="147">
        <f>G261/G257</f>
        <v>4.0086273651725561E-2</v>
      </c>
      <c r="H262" s="147">
        <f>H261/H257</f>
        <v>5.2562470920579932E-2</v>
      </c>
      <c r="I262" s="147"/>
      <c r="J262" s="147"/>
      <c r="K262" s="151">
        <f>K261/K257</f>
        <v>5.1641474348184536E-2</v>
      </c>
      <c r="L262" s="151">
        <f>L261/$N$2</f>
        <v>8.4547708109684282E-3</v>
      </c>
      <c r="M262" s="145"/>
      <c r="N262" s="107"/>
      <c r="O262" s="107"/>
      <c r="P262" s="107" t="s">
        <v>602</v>
      </c>
      <c r="Q262" s="147">
        <f>Q261/Q257</f>
        <v>0.27272727272727271</v>
      </c>
      <c r="R262" s="147">
        <f>R261/R257</f>
        <v>0.24080645161290323</v>
      </c>
      <c r="S262" s="147">
        <f>S261/S257</f>
        <v>1.52005359026253E-2</v>
      </c>
      <c r="T262" s="147">
        <f>T261/T257</f>
        <v>4.2334207204583099E-2</v>
      </c>
      <c r="U262" s="147">
        <f>U261/U257</f>
        <v>0.14790874524714831</v>
      </c>
      <c r="V262" s="147"/>
      <c r="W262" s="147"/>
      <c r="X262" s="151">
        <f>X261/X257</f>
        <v>8.8293452420627E-2</v>
      </c>
      <c r="Y262" s="151">
        <f>Y261/$N$3</f>
        <v>1.1458193440949708E-2</v>
      </c>
      <c r="Z262" s="145"/>
      <c r="AA262" s="107"/>
      <c r="AB262" s="107"/>
      <c r="AC262" s="107" t="s">
        <v>602</v>
      </c>
      <c r="AD262" s="147">
        <f>AD261/AD257</f>
        <v>0.20833333333333329</v>
      </c>
      <c r="AE262" s="147">
        <f>AE261/AE257</f>
        <v>0.11266349583828772</v>
      </c>
      <c r="AF262" s="147">
        <f>AF261/AF257</f>
        <v>3.2786885245901572E-2</v>
      </c>
      <c r="AG262" s="147">
        <f>AG261/AG257</f>
        <v>3.402865571007168E-2</v>
      </c>
      <c r="AH262" s="147">
        <f>AH261/AH257</f>
        <v>6.4566437928883419E-2</v>
      </c>
      <c r="AI262" s="147"/>
      <c r="AJ262" s="147"/>
      <c r="AK262" s="151">
        <f t="shared" ref="AK262" si="406">AK261/$N$4</f>
        <v>3.4351462694020202E-2</v>
      </c>
      <c r="AL262" s="151">
        <f t="shared" ref="AL262" si="407">AL261/$N$4</f>
        <v>1.0819358328825244E-2</v>
      </c>
      <c r="AM262" s="145"/>
      <c r="AN262" s="107"/>
    </row>
    <row r="263" spans="2:40" x14ac:dyDescent="0.3">
      <c r="B263" s="115" t="s">
        <v>410</v>
      </c>
      <c r="C263" s="122" t="s">
        <v>9</v>
      </c>
      <c r="D263" s="136">
        <f>'24M_Seeds'!AL129</f>
        <v>128.2825</v>
      </c>
      <c r="E263" s="136">
        <f>'24M_Seeds'!AM129</f>
        <v>823.54099999999994</v>
      </c>
      <c r="F263" s="136">
        <f>'24M_Seeds'!AN129</f>
        <v>18237.765999999996</v>
      </c>
      <c r="G263" s="136">
        <f>'24M_Seeds'!AO129</f>
        <v>14101.803</v>
      </c>
      <c r="H263" s="136">
        <f>'24M_Seeds'!AP129</f>
        <v>9936.6260000000002</v>
      </c>
      <c r="I263" s="108">
        <f>$N$2-N263</f>
        <v>190.07150000000547</v>
      </c>
      <c r="J263" s="108"/>
      <c r="K263" s="108"/>
      <c r="L263" s="108"/>
      <c r="M263" s="115" t="s">
        <v>36</v>
      </c>
      <c r="N263" s="137">
        <f>SUM(D263:H263)</f>
        <v>43228.018499999991</v>
      </c>
      <c r="O263" s="115" t="s">
        <v>410</v>
      </c>
      <c r="P263" s="122" t="s">
        <v>9</v>
      </c>
      <c r="Q263" s="136">
        <f>'24M_Seeds'!AL134</f>
        <v>0.22649999999999998</v>
      </c>
      <c r="R263" s="136">
        <f>'24M_Seeds'!AM134</f>
        <v>66.571999999999974</v>
      </c>
      <c r="S263" s="136">
        <f>'24M_Seeds'!AN134</f>
        <v>1396.4585</v>
      </c>
      <c r="T263" s="136">
        <f>'24M_Seeds'!AO134</f>
        <v>310.15399999999994</v>
      </c>
      <c r="U263" s="136">
        <f>'24M_Seeds'!AP134</f>
        <v>79.926500000000004</v>
      </c>
      <c r="V263" s="108">
        <f>$N$3-AA263</f>
        <v>8.2125000000000909</v>
      </c>
      <c r="W263" s="108"/>
      <c r="X263" s="108"/>
      <c r="Y263" s="108"/>
      <c r="Z263" s="115" t="s">
        <v>36</v>
      </c>
      <c r="AA263" s="137">
        <f>SUM(Q263:U263)</f>
        <v>1853.3374999999999</v>
      </c>
      <c r="AB263" s="115" t="s">
        <v>410</v>
      </c>
      <c r="AC263" s="122"/>
      <c r="AD263" s="139"/>
      <c r="AE263" s="136"/>
      <c r="AF263" s="136"/>
      <c r="AG263" s="136"/>
      <c r="AH263" s="136"/>
      <c r="AI263" s="108"/>
      <c r="AJ263" s="108"/>
      <c r="AK263" s="108"/>
      <c r="AL263" s="108"/>
      <c r="AM263" s="115"/>
      <c r="AN263" s="137"/>
    </row>
    <row r="264" spans="2:40" x14ac:dyDescent="0.3">
      <c r="B264" s="115"/>
      <c r="C264" s="141" t="s">
        <v>533</v>
      </c>
      <c r="D264" s="151">
        <f t="shared" ref="D264:I264" si="408">D263/$N$2</f>
        <v>2.9545864408130344E-3</v>
      </c>
      <c r="E264" s="151">
        <f t="shared" si="408"/>
        <v>1.8967692959317189E-2</v>
      </c>
      <c r="F264" s="151">
        <f t="shared" si="408"/>
        <v>0.42004993771029536</v>
      </c>
      <c r="G264" s="151">
        <f t="shared" si="408"/>
        <v>0.32479095694905052</v>
      </c>
      <c r="H264" s="151">
        <f t="shared" si="408"/>
        <v>0.22885912300610187</v>
      </c>
      <c r="I264" s="146">
        <f t="shared" si="408"/>
        <v>4.377702934422161E-3</v>
      </c>
      <c r="J264" s="146"/>
      <c r="K264" s="146"/>
      <c r="L264" s="146"/>
      <c r="M264" s="145">
        <f>SUM(D264:I264)</f>
        <v>1</v>
      </c>
      <c r="N264" s="137"/>
      <c r="O264" s="115"/>
      <c r="P264" s="141" t="s">
        <v>533</v>
      </c>
      <c r="Q264" s="151">
        <f t="shared" ref="Q264:V264" si="409">Q263/$N$3</f>
        <v>1.2167279954876312E-4</v>
      </c>
      <c r="R264" s="151">
        <f t="shared" si="409"/>
        <v>3.5761596519029826E-2</v>
      </c>
      <c r="S264" s="151">
        <f t="shared" si="409"/>
        <v>0.75015900727888052</v>
      </c>
      <c r="T264" s="151">
        <f t="shared" si="409"/>
        <v>0.16661062018210629</v>
      </c>
      <c r="U264" s="151">
        <f t="shared" si="409"/>
        <v>4.2935457011630096E-2</v>
      </c>
      <c r="V264" s="147">
        <f t="shared" si="409"/>
        <v>4.4116462088045396E-3</v>
      </c>
      <c r="W264" s="147"/>
      <c r="X264" s="147"/>
      <c r="Y264" s="146"/>
      <c r="Z264" s="145">
        <f>SUM(Q264:V264)</f>
        <v>0.99999999999999989</v>
      </c>
      <c r="AA264" s="137"/>
      <c r="AB264" s="115"/>
      <c r="AC264" s="141"/>
      <c r="AD264" s="151"/>
      <c r="AE264" s="151"/>
      <c r="AF264" s="151"/>
      <c r="AG264" s="151"/>
      <c r="AH264" s="151"/>
      <c r="AI264" s="147"/>
      <c r="AJ264" s="147"/>
      <c r="AK264" s="147"/>
      <c r="AL264" s="147"/>
      <c r="AM264" s="145"/>
      <c r="AN264" s="137"/>
    </row>
    <row r="265" spans="2:40" x14ac:dyDescent="0.3">
      <c r="B265" s="107"/>
      <c r="C265" s="148" t="s">
        <v>394</v>
      </c>
      <c r="D265" s="108">
        <f>'24M_Seeds'!AL130</f>
        <v>4.0395335110433512</v>
      </c>
      <c r="E265" s="108">
        <f>'24M_Seeds'!AM130</f>
        <v>12.421602890465506</v>
      </c>
      <c r="F265" s="108">
        <f>'24M_Seeds'!AN130</f>
        <v>20.186996327756145</v>
      </c>
      <c r="G265" s="108">
        <f>'24M_Seeds'!AO130</f>
        <v>23.529148664895118</v>
      </c>
      <c r="H265" s="108">
        <f>'24M_Seeds'!AP130</f>
        <v>16.386174249235697</v>
      </c>
      <c r="I265" s="107"/>
      <c r="J265" s="107"/>
      <c r="K265" s="107"/>
      <c r="L265" s="107"/>
      <c r="M265" s="107"/>
      <c r="N265" s="142"/>
      <c r="O265" s="107"/>
      <c r="P265" s="148" t="s">
        <v>394</v>
      </c>
      <c r="Q265" s="108">
        <f>'24M_Seeds'!AL135</f>
        <v>1.667451569564201E-2</v>
      </c>
      <c r="R265" s="108">
        <f>'24M_Seeds'!AM135</f>
        <v>1.1084675528807659</v>
      </c>
      <c r="S265" s="108">
        <f>'24M_Seeds'!AN135</f>
        <v>1.100741203629817</v>
      </c>
      <c r="T265" s="108">
        <f>'24M_Seeds'!AO135</f>
        <v>0.63632183184628366</v>
      </c>
      <c r="U265" s="108">
        <f>'24M_Seeds'!AP135</f>
        <v>0.4134414456091316</v>
      </c>
      <c r="V265" s="107"/>
      <c r="W265" s="107"/>
      <c r="X265" s="107"/>
      <c r="Y265" s="107"/>
      <c r="Z265" s="107"/>
      <c r="AA265" s="107"/>
      <c r="AB265" s="107"/>
      <c r="AC265" s="148"/>
      <c r="AD265" s="108"/>
      <c r="AE265" s="108"/>
      <c r="AF265" s="108"/>
      <c r="AG265" s="108"/>
      <c r="AH265" s="108"/>
      <c r="AI265" s="107"/>
      <c r="AJ265" s="107"/>
      <c r="AK265" s="107"/>
      <c r="AL265" s="107"/>
      <c r="AM265" s="107"/>
      <c r="AN265" s="107"/>
    </row>
    <row r="266" spans="2:40" x14ac:dyDescent="0.3">
      <c r="B266" s="107"/>
      <c r="C266" s="129" t="s">
        <v>538</v>
      </c>
      <c r="D266" s="125">
        <f>1.96*D265</f>
        <v>7.9174856816449681</v>
      </c>
      <c r="E266" s="125">
        <f>1.96*E265</f>
        <v>24.346341665312391</v>
      </c>
      <c r="F266" s="125">
        <f>1.96*F265</f>
        <v>39.566512802402045</v>
      </c>
      <c r="G266" s="125">
        <f>1.96*G265</f>
        <v>46.117131383194433</v>
      </c>
      <c r="H266" s="125">
        <f>1.96*H265</f>
        <v>32.11690152850197</v>
      </c>
      <c r="I266" s="107"/>
      <c r="J266" s="107"/>
      <c r="K266" s="107"/>
      <c r="L266" s="107"/>
      <c r="M266" s="107"/>
      <c r="N266" s="107"/>
      <c r="O266" s="107"/>
      <c r="P266" s="129" t="s">
        <v>538</v>
      </c>
      <c r="Q266" s="125">
        <f>1.96*Q265</f>
        <v>3.2682050763458342E-2</v>
      </c>
      <c r="R266" s="125">
        <f>1.96*R265</f>
        <v>2.1725964036463012</v>
      </c>
      <c r="S266" s="125">
        <f>1.96*S265</f>
        <v>2.1574527591144412</v>
      </c>
      <c r="T266" s="125">
        <f>1.96*T265</f>
        <v>1.2471907904187161</v>
      </c>
      <c r="U266" s="125">
        <f>1.96*U265</f>
        <v>0.81034523339389797</v>
      </c>
      <c r="V266" s="107"/>
      <c r="W266" s="107"/>
      <c r="X266" s="107"/>
      <c r="Y266" s="107"/>
      <c r="Z266" s="107"/>
      <c r="AA266" s="107"/>
      <c r="AB266" s="107"/>
      <c r="AC266" s="129"/>
      <c r="AD266" s="125"/>
      <c r="AE266" s="125"/>
      <c r="AF266" s="125"/>
      <c r="AG266" s="125"/>
      <c r="AH266" s="125"/>
      <c r="AI266" s="107"/>
      <c r="AJ266" s="107"/>
      <c r="AK266" s="107"/>
      <c r="AL266" s="107"/>
      <c r="AM266" s="107"/>
      <c r="AN266" s="107"/>
    </row>
    <row r="267" spans="2:40" x14ac:dyDescent="0.3">
      <c r="B267" s="115" t="s">
        <v>409</v>
      </c>
      <c r="C267" s="107" t="s">
        <v>391</v>
      </c>
      <c r="D267" s="146">
        <f>D257/SUM(D257:H257)</f>
        <v>3.0989166514951766E-3</v>
      </c>
      <c r="E267" s="146">
        <f>E257/SUM(D257:H257)</f>
        <v>1.7924951900399763E-2</v>
      </c>
      <c r="F267" s="146">
        <f>F257/SUM(D257:H257)</f>
        <v>0.42414258717900732</v>
      </c>
      <c r="G267" s="146">
        <f>G257/SUM(D257:H257)</f>
        <v>0.3256254451685377</v>
      </c>
      <c r="H267" s="146">
        <f>H257/SUM(D257:H257)</f>
        <v>0.22920809910056</v>
      </c>
      <c r="I267" s="152">
        <f>SUM(D267:H267)</f>
        <v>1</v>
      </c>
      <c r="J267" s="107"/>
      <c r="K267" s="107"/>
      <c r="L267" s="107"/>
      <c r="M267" s="107"/>
      <c r="N267" s="107"/>
      <c r="O267" s="115" t="s">
        <v>409</v>
      </c>
      <c r="P267" s="107" t="s">
        <v>391</v>
      </c>
      <c r="Q267" s="146">
        <f>Q257/SUM(Q257:U257)</f>
        <v>1.1870524946987314E-4</v>
      </c>
      <c r="R267" s="146">
        <f>R257/SUM(Q257:U257)</f>
        <v>3.3453297577873339E-2</v>
      </c>
      <c r="S267" s="146">
        <f>S257/SUM(Q257:U257)</f>
        <v>0.75714524666411265</v>
      </c>
      <c r="T267" s="146">
        <f>T257/SUM(Q257:U257)</f>
        <v>0.16671073149412138</v>
      </c>
      <c r="U267" s="146">
        <f>U257/SUM(Q257:U257)</f>
        <v>4.2572019014422688E-2</v>
      </c>
      <c r="V267" s="152">
        <f>SUM(Q267:U267)</f>
        <v>0.99999999999999989</v>
      </c>
      <c r="W267" s="107"/>
      <c r="X267" s="107"/>
      <c r="Y267" s="107"/>
      <c r="Z267" s="107"/>
      <c r="AA267" s="107"/>
      <c r="AB267" s="115" t="s">
        <v>409</v>
      </c>
      <c r="AC267" s="107" t="s">
        <v>391</v>
      </c>
      <c r="AD267" s="146">
        <f>AD257/SUM(AD257:AH257)</f>
        <v>5.0156739811912227E-4</v>
      </c>
      <c r="AE267" s="146">
        <f>AE257/SUM(AD257:AH257)</f>
        <v>7.0303030303030298E-2</v>
      </c>
      <c r="AF267" s="146">
        <f>AF257/SUM(AD257:AH257)</f>
        <v>0.33145245559038661</v>
      </c>
      <c r="AG267" s="146">
        <f>AG257/SUM(AD257:AH257)</f>
        <v>0.39673981191222574</v>
      </c>
      <c r="AH267" s="146">
        <f>AH257/SUM(AD257:AH257)</f>
        <v>0.20100313479623827</v>
      </c>
      <c r="AI267" s="152">
        <f>SUM(AD267:AH267)</f>
        <v>1</v>
      </c>
      <c r="AJ267" s="107"/>
      <c r="AK267" s="107"/>
      <c r="AL267" s="107"/>
      <c r="AM267" s="107"/>
      <c r="AN267" s="107"/>
    </row>
    <row r="268" spans="2:40" x14ac:dyDescent="0.3">
      <c r="B268" s="148" t="s">
        <v>801</v>
      </c>
      <c r="C268" s="90" t="s">
        <v>524</v>
      </c>
      <c r="D268" s="108">
        <f>D261*D267</f>
        <v>4.8838926427563996E-2</v>
      </c>
      <c r="E268" s="108">
        <f>E261*D267</f>
        <v>0.5723699055311593</v>
      </c>
      <c r="F268" s="108">
        <f>F261*D267</f>
        <v>1.1375813135973649</v>
      </c>
      <c r="G268" s="108">
        <f>G261*D267</f>
        <v>1.7485947097726691</v>
      </c>
      <c r="H268" s="108">
        <f>H261*D267</f>
        <v>1.6139157920986857</v>
      </c>
      <c r="I268" s="107"/>
      <c r="J268" s="107"/>
      <c r="K268" s="107"/>
      <c r="L268" s="107"/>
      <c r="M268" s="107"/>
      <c r="N268" s="107"/>
      <c r="O268" s="148" t="s">
        <v>801</v>
      </c>
      <c r="P268" s="90" t="s">
        <v>524</v>
      </c>
      <c r="Q268" s="108">
        <f>Q261*Q267</f>
        <v>7.1223149681923879E-6</v>
      </c>
      <c r="R268" s="108">
        <f>R261*Q267</f>
        <v>1.7722693745852059E-3</v>
      </c>
      <c r="S268" s="108">
        <f>S261*Q267</f>
        <v>2.5319829711923855E-3</v>
      </c>
      <c r="T268" s="108">
        <f>T261*Q267</f>
        <v>1.5526646630659455E-3</v>
      </c>
      <c r="U268" s="108">
        <f>U261*Q267</f>
        <v>1.3852902613134196E-3</v>
      </c>
      <c r="V268" s="107"/>
      <c r="W268" s="107"/>
      <c r="X268" s="107"/>
      <c r="Y268" s="107"/>
      <c r="Z268" s="107"/>
      <c r="AA268" s="107"/>
      <c r="AB268" s="148" t="s">
        <v>801</v>
      </c>
      <c r="AC268" s="90" t="s">
        <v>524</v>
      </c>
      <c r="AD268" s="108">
        <f>AD261*AD267</f>
        <v>2.5078369905956109E-5</v>
      </c>
      <c r="AE268" s="108">
        <f>AE261*AD267</f>
        <v>1.9009404388714731E-3</v>
      </c>
      <c r="AF268" s="108">
        <f>AF261*AD267</f>
        <v>2.6081504702194303E-3</v>
      </c>
      <c r="AG268" s="108">
        <f>AG261*AD267</f>
        <v>3.2401253918495337E-3</v>
      </c>
      <c r="AH268" s="108">
        <f>AH261*AD267</f>
        <v>3.1147335423197531E-3</v>
      </c>
      <c r="AI268" s="107"/>
      <c r="AJ268" s="107"/>
      <c r="AK268" s="107"/>
      <c r="AL268" s="107"/>
      <c r="AM268" s="107"/>
      <c r="AN268" s="107"/>
    </row>
    <row r="269" spans="2:40" x14ac:dyDescent="0.3">
      <c r="B269" s="107" t="s">
        <v>799</v>
      </c>
      <c r="C269" s="91" t="s">
        <v>523</v>
      </c>
      <c r="D269" s="108">
        <f>D261*E267</f>
        <v>0.28249724195030035</v>
      </c>
      <c r="E269" s="108">
        <f>E261*E267</f>
        <v>3.310738616003837</v>
      </c>
      <c r="F269" s="108">
        <f>F261*E267</f>
        <v>6.5800705931177514</v>
      </c>
      <c r="G269" s="108">
        <f>G261*E267</f>
        <v>10.114333359319573</v>
      </c>
      <c r="H269" s="108">
        <f>H261*E267</f>
        <v>9.3353149497281844</v>
      </c>
      <c r="I269" s="107"/>
      <c r="J269" s="107"/>
      <c r="K269" s="107"/>
      <c r="L269" s="107"/>
      <c r="M269" s="107"/>
      <c r="N269" s="107"/>
      <c r="O269" s="107" t="s">
        <v>799</v>
      </c>
      <c r="P269" s="91" t="s">
        <v>523</v>
      </c>
      <c r="Q269" s="108">
        <f>Q261*R267</f>
        <v>2.0071978546724002E-3</v>
      </c>
      <c r="R269" s="108">
        <f>R261*R267</f>
        <v>0.49945773283764894</v>
      </c>
      <c r="S269" s="108">
        <f>S261*R267</f>
        <v>0.71355883733603587</v>
      </c>
      <c r="T269" s="108">
        <f>T261*R267</f>
        <v>0.43756913231858463</v>
      </c>
      <c r="U269" s="108">
        <f>U261*R267</f>
        <v>0.3903999827337819</v>
      </c>
      <c r="V269" s="107"/>
      <c r="W269" s="107"/>
      <c r="X269" s="107"/>
      <c r="Y269" s="107"/>
      <c r="Z269" s="107"/>
      <c r="AA269" s="107"/>
      <c r="AB269" s="107" t="s">
        <v>799</v>
      </c>
      <c r="AC269" s="91" t="s">
        <v>523</v>
      </c>
      <c r="AD269" s="108">
        <f>AD261*AE267</f>
        <v>3.5151515151515141E-3</v>
      </c>
      <c r="AE269" s="108">
        <f>AE261*AE267</f>
        <v>0.26644848484848477</v>
      </c>
      <c r="AF269" s="108">
        <f>AF261*AE267</f>
        <v>0.36557575757575678</v>
      </c>
      <c r="AG269" s="108">
        <f>AG261*AE267</f>
        <v>0.45415757575757626</v>
      </c>
      <c r="AH269" s="108">
        <f>AH261*AE267</f>
        <v>0.43658181818181868</v>
      </c>
      <c r="AI269" s="107"/>
      <c r="AJ269" s="107"/>
      <c r="AK269" s="107"/>
      <c r="AL269" s="107"/>
      <c r="AM269" s="107"/>
      <c r="AN269" s="107"/>
    </row>
    <row r="270" spans="2:40" x14ac:dyDescent="0.3">
      <c r="B270" s="107"/>
      <c r="C270" s="92" t="s">
        <v>525</v>
      </c>
      <c r="D270" s="108">
        <f>D261*F267</f>
        <v>6.6844871739411573</v>
      </c>
      <c r="E270" s="108">
        <f>E261*F267</f>
        <v>78.339135851962666</v>
      </c>
      <c r="F270" s="108">
        <f>F261*F267</f>
        <v>155.69850232754186</v>
      </c>
      <c r="G270" s="108">
        <f>G261*F267</f>
        <v>239.32669624162676</v>
      </c>
      <c r="H270" s="108">
        <f>H261*F267</f>
        <v>220.89345940282669</v>
      </c>
      <c r="I270" s="107"/>
      <c r="J270" s="107"/>
      <c r="K270" s="107"/>
      <c r="L270" s="107"/>
      <c r="M270" s="107"/>
      <c r="N270" s="107"/>
      <c r="O270" s="107"/>
      <c r="P270" s="92" t="s">
        <v>525</v>
      </c>
      <c r="Q270" s="108">
        <f>Q261*S267</f>
        <v>4.542871479984676E-2</v>
      </c>
      <c r="R270" s="108">
        <f>R261*S267</f>
        <v>11.304178532695202</v>
      </c>
      <c r="S270" s="108">
        <f>S261*S267</f>
        <v>16.149908111345468</v>
      </c>
      <c r="T270" s="108">
        <f>T261*S267</f>
        <v>9.9034598263666247</v>
      </c>
      <c r="U270" s="108">
        <f>U261*S267</f>
        <v>8.8358850285701962</v>
      </c>
      <c r="V270" s="107"/>
      <c r="W270" s="107"/>
      <c r="X270" s="107"/>
      <c r="Y270" s="107"/>
      <c r="Z270" s="107"/>
      <c r="AA270" s="107"/>
      <c r="AB270" s="107"/>
      <c r="AC270" s="92" t="s">
        <v>525</v>
      </c>
      <c r="AD270" s="108">
        <f>AD261*AF267</f>
        <v>1.6572622779519326E-2</v>
      </c>
      <c r="AE270" s="108">
        <f>AE261*AF267</f>
        <v>1.2562048066875651</v>
      </c>
      <c r="AF270" s="108">
        <f>AF261*AF267</f>
        <v>1.7235527690700065</v>
      </c>
      <c r="AG270" s="108">
        <f>AG261*AF267</f>
        <v>2.1411828631139</v>
      </c>
      <c r="AH270" s="108">
        <f>AH261*AF267</f>
        <v>2.0583197492163037</v>
      </c>
      <c r="AI270" s="107"/>
      <c r="AJ270" s="107"/>
      <c r="AK270" s="107"/>
      <c r="AL270" s="107"/>
      <c r="AM270" s="107"/>
      <c r="AN270" s="107"/>
    </row>
    <row r="271" spans="2:40" x14ac:dyDescent="0.3">
      <c r="B271" s="107"/>
      <c r="C271" s="124" t="s">
        <v>526</v>
      </c>
      <c r="D271" s="108">
        <f>D261*G267</f>
        <v>5.1318570158561556</v>
      </c>
      <c r="E271" s="108">
        <f>E261*G267</f>
        <v>60.143019722628928</v>
      </c>
      <c r="F271" s="108">
        <f>F261*G267</f>
        <v>119.53384466691855</v>
      </c>
      <c r="G271" s="108">
        <f>G261*G267</f>
        <v>183.73741369079914</v>
      </c>
      <c r="H271" s="108">
        <f>H261*G267</f>
        <v>169.5857318437742</v>
      </c>
      <c r="I271" s="107"/>
      <c r="J271" s="107"/>
      <c r="K271" s="107"/>
      <c r="L271" s="107"/>
      <c r="M271" s="107"/>
      <c r="N271" s="107"/>
      <c r="O271" s="107"/>
      <c r="P271" s="124" t="s">
        <v>526</v>
      </c>
      <c r="Q271" s="108">
        <f>Q261*T267</f>
        <v>1.0002643889647283E-2</v>
      </c>
      <c r="R271" s="108">
        <f>R261*T267</f>
        <v>2.488991221207232</v>
      </c>
      <c r="S271" s="108">
        <f>S261*T267</f>
        <v>3.5559399027695968</v>
      </c>
      <c r="T271" s="108">
        <f>T261*T267</f>
        <v>2.1805763679431145</v>
      </c>
      <c r="U271" s="108">
        <f>U261*T267</f>
        <v>1.9455142365363969</v>
      </c>
      <c r="V271" s="107"/>
      <c r="W271" s="107"/>
      <c r="X271" s="107"/>
      <c r="Y271" s="107"/>
      <c r="Z271" s="107"/>
      <c r="AA271" s="107"/>
      <c r="AB271" s="107"/>
      <c r="AC271" s="124" t="s">
        <v>526</v>
      </c>
      <c r="AD271" s="108">
        <f>AD261*AG267</f>
        <v>1.9836990595611281E-2</v>
      </c>
      <c r="AE271" s="108">
        <f>AE261*AG267</f>
        <v>1.5036438871473352</v>
      </c>
      <c r="AF271" s="108">
        <f>AF261*AG267</f>
        <v>2.0630470219435693</v>
      </c>
      <c r="AG271" s="108">
        <f>AG261*AG267</f>
        <v>2.5629391849529815</v>
      </c>
      <c r="AH271" s="108">
        <f>AH261*AG267</f>
        <v>2.4637542319749248</v>
      </c>
      <c r="AI271" s="107"/>
      <c r="AJ271" s="107"/>
      <c r="AK271" s="107"/>
      <c r="AL271" s="107"/>
      <c r="AM271" s="107"/>
      <c r="AN271" s="107"/>
    </row>
    <row r="272" spans="2:40" x14ac:dyDescent="0.3">
      <c r="B272" s="107"/>
      <c r="C272" s="123" t="s">
        <v>527</v>
      </c>
      <c r="D272" s="125">
        <f>D261*H267</f>
        <v>3.6123196418248269</v>
      </c>
      <c r="E272" s="125">
        <f>E261*H267</f>
        <v>42.334735903873444</v>
      </c>
      <c r="F272" s="125">
        <f>F261*H267</f>
        <v>84.140001098824598</v>
      </c>
      <c r="G272" s="125">
        <f>G261*H267</f>
        <v>129.33296199848203</v>
      </c>
      <c r="H272" s="125">
        <f>H261*H267</f>
        <v>119.37157801157149</v>
      </c>
      <c r="I272" s="107"/>
      <c r="J272" s="107"/>
      <c r="K272" s="107"/>
      <c r="L272" s="107"/>
      <c r="M272" s="107"/>
      <c r="N272" s="107"/>
      <c r="O272" s="107"/>
      <c r="P272" s="123" t="s">
        <v>527</v>
      </c>
      <c r="Q272" s="125">
        <f>Q261*U267</f>
        <v>2.5543211408653611E-3</v>
      </c>
      <c r="R272" s="125">
        <f>R261*U267</f>
        <v>0.63560024388533076</v>
      </c>
      <c r="S272" s="125">
        <f>S261*U267</f>
        <v>0.90806116557763283</v>
      </c>
      <c r="T272" s="125">
        <f>T261*U267</f>
        <v>0.55684200870865053</v>
      </c>
      <c r="U272" s="125">
        <f>U261*U267</f>
        <v>0.49681546189831283</v>
      </c>
      <c r="V272" s="107"/>
      <c r="W272" s="107"/>
      <c r="X272" s="107"/>
      <c r="Y272" s="107"/>
      <c r="Z272" s="107"/>
      <c r="AA272" s="107"/>
      <c r="AB272" s="107"/>
      <c r="AC272" s="123" t="s">
        <v>527</v>
      </c>
      <c r="AD272" s="125">
        <f>AD261*AH267</f>
        <v>1.0050156739811911E-2</v>
      </c>
      <c r="AE272" s="125">
        <f>AE261*AH267</f>
        <v>0.76180188087774292</v>
      </c>
      <c r="AF272" s="125">
        <f>AF261*AH267</f>
        <v>1.0452163009404367</v>
      </c>
      <c r="AG272" s="125">
        <f>AG261*AH267</f>
        <v>1.2984802507837008</v>
      </c>
      <c r="AH272" s="125">
        <f>AH261*AH267</f>
        <v>1.2482294670846412</v>
      </c>
      <c r="AI272" s="107"/>
      <c r="AJ272" s="107"/>
      <c r="AK272" s="107"/>
      <c r="AL272" s="107"/>
      <c r="AM272" s="107"/>
      <c r="AN272" s="107"/>
    </row>
    <row r="273" spans="2:40" x14ac:dyDescent="0.3">
      <c r="B273" s="107"/>
      <c r="C273" s="107" t="s">
        <v>36</v>
      </c>
      <c r="D273" s="108">
        <f>SUM(D268:D272)</f>
        <v>15.760000000000003</v>
      </c>
      <c r="E273" s="108">
        <f>SUM(E268:E272)</f>
        <v>184.70000000000005</v>
      </c>
      <c r="F273" s="108">
        <f>SUM(F268:F272)</f>
        <v>367.09000000000009</v>
      </c>
      <c r="G273" s="108">
        <f t="shared" ref="G273" si="410">SUM(G268:G272)</f>
        <v>564.26000000000022</v>
      </c>
      <c r="H273" s="108">
        <f t="shared" ref="H273" si="411">SUM(H268:H272)</f>
        <v>520.79999999999927</v>
      </c>
      <c r="I273" s="107"/>
      <c r="J273" s="107"/>
      <c r="K273" s="107"/>
      <c r="L273" s="107"/>
      <c r="M273" s="107"/>
      <c r="N273" s="107"/>
      <c r="O273" s="107"/>
      <c r="P273" s="107" t="s">
        <v>36</v>
      </c>
      <c r="Q273" s="108">
        <f>SUM(Q268:Q272)</f>
        <v>0.06</v>
      </c>
      <c r="R273" s="108">
        <f>SUM(R268:R272)</f>
        <v>14.93</v>
      </c>
      <c r="S273" s="108">
        <f>SUM(S268:S272)</f>
        <v>21.329999999999927</v>
      </c>
      <c r="T273" s="108">
        <f t="shared" ref="T273" si="412">SUM(T268:T272)</f>
        <v>13.080000000000041</v>
      </c>
      <c r="U273" s="108">
        <f t="shared" ref="U273" si="413">SUM(U268:U272)</f>
        <v>11.670000000000002</v>
      </c>
      <c r="V273" s="107"/>
      <c r="W273" s="107"/>
      <c r="X273" s="107"/>
      <c r="Y273" s="107"/>
      <c r="Z273" s="107"/>
      <c r="AA273" s="107"/>
      <c r="AB273" s="107"/>
      <c r="AC273" s="107" t="s">
        <v>36</v>
      </c>
      <c r="AD273" s="108">
        <f>SUM(AD268:AD272)</f>
        <v>4.9999999999999989E-2</v>
      </c>
      <c r="AE273" s="108">
        <f>SUM(AE268:AE272)</f>
        <v>3.7899999999999996</v>
      </c>
      <c r="AF273" s="108">
        <f>SUM(AF268:AF272)</f>
        <v>5.1999999999999886</v>
      </c>
      <c r="AG273" s="108">
        <f t="shared" ref="AG273" si="414">SUM(AG268:AG272)</f>
        <v>6.460000000000008</v>
      </c>
      <c r="AH273" s="108">
        <f t="shared" ref="AH273" si="415">SUM(AH268:AH272)</f>
        <v>6.210000000000008</v>
      </c>
      <c r="AI273" s="107"/>
      <c r="AJ273" s="107"/>
      <c r="AK273" s="107"/>
      <c r="AL273" s="107"/>
      <c r="AM273" s="107"/>
      <c r="AN273" s="107"/>
    </row>
    <row r="274" spans="2:40" x14ac:dyDescent="0.3">
      <c r="B274" s="107" t="s">
        <v>800</v>
      </c>
      <c r="C274" s="212" t="s">
        <v>529</v>
      </c>
      <c r="D274" s="125">
        <f>I259*D267</f>
        <v>0.58904207711618606</v>
      </c>
      <c r="E274" s="125">
        <f>I259*E267</f>
        <v>3.4071748572278877</v>
      </c>
      <c r="F274" s="125">
        <f>I259*F267</f>
        <v>80.621022970983361</v>
      </c>
      <c r="G274" s="125">
        <f>I259*G267</f>
        <v>61.894884617633842</v>
      </c>
      <c r="H274" s="125">
        <f>I259*H267</f>
        <v>43.567875477033176</v>
      </c>
      <c r="I274" s="230">
        <f>SUM(D274:H274)</f>
        <v>190.07999999999444</v>
      </c>
      <c r="J274" s="107"/>
      <c r="K274" s="141"/>
      <c r="L274" s="141"/>
      <c r="M274" s="107"/>
      <c r="N274" s="107"/>
      <c r="O274" s="107" t="s">
        <v>800</v>
      </c>
      <c r="P274" s="212" t="s">
        <v>529</v>
      </c>
      <c r="Q274" s="125">
        <f>V259*Q267</f>
        <v>9.7575715064233352E-4</v>
      </c>
      <c r="R274" s="125">
        <f>V259*R267</f>
        <v>0.27498610609011215</v>
      </c>
      <c r="S274" s="125">
        <f>V259*S267</f>
        <v>6.2237339275788548</v>
      </c>
      <c r="T274" s="125">
        <f>V259*T267</f>
        <v>1.3703622128816444</v>
      </c>
      <c r="U274" s="125">
        <f>V259*U267</f>
        <v>0.349941996298546</v>
      </c>
      <c r="V274" s="230">
        <f>SUM(Q274:U274)</f>
        <v>8.2199999999997981</v>
      </c>
      <c r="W274" s="107"/>
      <c r="X274" s="141"/>
      <c r="Y274" s="141"/>
      <c r="Z274" s="107"/>
      <c r="AA274" s="107"/>
      <c r="AB274" s="107" t="s">
        <v>800</v>
      </c>
      <c r="AC274" s="212" t="s">
        <v>529</v>
      </c>
      <c r="AD274" s="125">
        <f>AI259*AD267</f>
        <v>1.0633228840125416E-3</v>
      </c>
      <c r="AE274" s="125">
        <f>AI259*AE267</f>
        <v>0.14904242424242456</v>
      </c>
      <c r="AF274" s="125">
        <f>AI259*AF267</f>
        <v>0.70267920585162114</v>
      </c>
      <c r="AG274" s="125">
        <f>AI259*AG267</f>
        <v>0.84108840125392037</v>
      </c>
      <c r="AH274" s="125">
        <f>AI259*AH267</f>
        <v>0.42612664576802606</v>
      </c>
      <c r="AI274" s="230">
        <f>SUM(AD274:AH274)</f>
        <v>2.1200000000000045</v>
      </c>
      <c r="AJ274" s="107"/>
      <c r="AK274" s="141"/>
      <c r="AL274" s="141"/>
      <c r="AM274" s="107"/>
      <c r="AN274" s="107"/>
    </row>
    <row r="275" spans="2:40" x14ac:dyDescent="0.3">
      <c r="B275" s="107" t="s">
        <v>802</v>
      </c>
      <c r="C275" s="107" t="s">
        <v>803</v>
      </c>
      <c r="D275" s="108">
        <f>SUM(D268:H268)+D274</f>
        <v>5.7103427245436293</v>
      </c>
      <c r="E275" s="108">
        <f>SUM(D269:H269)+E274</f>
        <v>33.030129617347534</v>
      </c>
      <c r="F275" s="108">
        <f>SUM(D270:H270)+F274</f>
        <v>781.56330396888256</v>
      </c>
      <c r="G275" s="108">
        <f>SUM(D271:H271)+G274</f>
        <v>600.02675155761074</v>
      </c>
      <c r="H275" s="108">
        <f>SUM(D272:H272)+H274</f>
        <v>422.35947213160961</v>
      </c>
      <c r="I275" s="107"/>
      <c r="J275" s="107"/>
      <c r="K275" s="108">
        <f>D275+E275+G275+H275</f>
        <v>1061.1266960311116</v>
      </c>
      <c r="L275" s="108">
        <f>F275</f>
        <v>781.56330396888256</v>
      </c>
      <c r="M275" s="107"/>
      <c r="N275" s="107"/>
      <c r="O275" s="107" t="s">
        <v>802</v>
      </c>
      <c r="P275" s="107" t="s">
        <v>803</v>
      </c>
      <c r="Q275" s="108">
        <f>SUM(Q268:U268)+Q274</f>
        <v>8.2250867357674829E-3</v>
      </c>
      <c r="R275" s="108">
        <f>SUM(Q269:U269)+R274</f>
        <v>2.317978989170836</v>
      </c>
      <c r="S275" s="108">
        <f>SUM(Q270:U270)+S274</f>
        <v>52.462594141356192</v>
      </c>
      <c r="T275" s="108">
        <f>SUM(Q271:U271)+T274</f>
        <v>11.551386585227633</v>
      </c>
      <c r="U275" s="108">
        <f>SUM(Q272:U272)+U274</f>
        <v>2.9498151975093383</v>
      </c>
      <c r="V275" s="107"/>
      <c r="W275" s="107"/>
      <c r="X275" s="108">
        <f>Q275+R275+T275+U275</f>
        <v>16.827405858643573</v>
      </c>
      <c r="Y275" s="108">
        <f>S275</f>
        <v>52.462594141356192</v>
      </c>
      <c r="Z275" s="107"/>
      <c r="AA275" s="107"/>
      <c r="AB275" s="107" t="s">
        <v>802</v>
      </c>
      <c r="AC275" s="107" t="s">
        <v>803</v>
      </c>
      <c r="AD275" s="108">
        <f>SUM(AD268:AH268)+AD274</f>
        <v>1.1952351097178689E-2</v>
      </c>
      <c r="AE275" s="108">
        <f>SUM(AD269:AH269)+AE274</f>
        <v>1.6753212121212127</v>
      </c>
      <c r="AF275" s="108">
        <f>SUM(AD270:AH270)+AF274</f>
        <v>7.8985120167189153</v>
      </c>
      <c r="AG275" s="108">
        <f>SUM(AD271:AH271)+AG274</f>
        <v>9.4543097178683411</v>
      </c>
      <c r="AH275" s="108">
        <f>SUM(AD272:AH272)+AH274</f>
        <v>4.7899047021943595</v>
      </c>
      <c r="AI275" s="107"/>
      <c r="AJ275" s="107"/>
      <c r="AK275" s="108">
        <f>AD275+AE275+AG275+AH275</f>
        <v>15.931487983281091</v>
      </c>
      <c r="AL275" s="108">
        <f>AF275</f>
        <v>7.8985120167189153</v>
      </c>
      <c r="AM275" s="107"/>
      <c r="AN275" s="107"/>
    </row>
    <row r="276" spans="2:40" x14ac:dyDescent="0.3">
      <c r="B276" s="107" t="s">
        <v>802</v>
      </c>
      <c r="C276" s="107" t="s">
        <v>804</v>
      </c>
      <c r="D276" s="146">
        <f>D275/$N$2</f>
        <v>1.3151989699555254E-4</v>
      </c>
      <c r="E276" s="146">
        <f t="shared" ref="E276" si="416">E275/$N$2</f>
        <v>7.6074580013417306E-4</v>
      </c>
      <c r="F276" s="146">
        <f t="shared" ref="F276" si="417">F275/$N$2</f>
        <v>1.8000867932442044E-2</v>
      </c>
      <c r="G276" s="146">
        <f t="shared" ref="G276" si="418">G275/$N$2</f>
        <v>1.3819740839765424E-2</v>
      </c>
      <c r="H276" s="146">
        <f t="shared" ref="H276" si="419">H275/$N$2</f>
        <v>9.7277303568998469E-3</v>
      </c>
      <c r="I276" s="107"/>
      <c r="J276" s="107"/>
      <c r="K276" s="152">
        <f>K275/$N$2</f>
        <v>2.4439736893794996E-2</v>
      </c>
      <c r="L276" s="147">
        <f>L275/$N$2</f>
        <v>1.8000867932442044E-2</v>
      </c>
      <c r="M276" s="107"/>
      <c r="N276" s="107"/>
      <c r="O276" s="107" t="s">
        <v>802</v>
      </c>
      <c r="P276" s="107" t="s">
        <v>804</v>
      </c>
      <c r="Q276" s="146">
        <f>Q275/$N$3</f>
        <v>4.4184076365219757E-6</v>
      </c>
      <c r="R276" s="146">
        <f t="shared" ref="R276" si="420">R275/$N$3</f>
        <v>1.245187606656193E-3</v>
      </c>
      <c r="S276" s="146">
        <f t="shared" ref="S276" si="421">S275/$N$3</f>
        <v>2.8182210599423167E-2</v>
      </c>
      <c r="T276" s="146">
        <f t="shared" ref="T276" si="422">T275/$N$3</f>
        <v>6.2052518520736124E-3</v>
      </c>
      <c r="U276" s="146">
        <f t="shared" ref="U276" si="423">U275/$N$3</f>
        <v>1.5846016478253812E-3</v>
      </c>
      <c r="V276" s="107"/>
      <c r="W276" s="107"/>
      <c r="X276" s="152">
        <f>X275/$N$3</f>
        <v>9.039459514191708E-3</v>
      </c>
      <c r="Y276" s="152">
        <f>Y275/$N$3</f>
        <v>2.8182210599423167E-2</v>
      </c>
      <c r="Z276" s="107"/>
      <c r="AA276" s="107"/>
      <c r="AB276" s="107" t="s">
        <v>802</v>
      </c>
      <c r="AC276" s="107" t="s">
        <v>804</v>
      </c>
      <c r="AD276" s="146">
        <f>AD275/$N$4</f>
        <v>2.4868609498520014E-5</v>
      </c>
      <c r="AE276" s="146">
        <f t="shared" ref="AE276" si="424">AE275/$N$4</f>
        <v>3.4857500980425547E-3</v>
      </c>
      <c r="AF276" s="146">
        <f t="shared" ref="AF276" si="425">AF275/$N$4</f>
        <v>1.6434006110271973E-2</v>
      </c>
      <c r="AG276" s="146">
        <f t="shared" ref="AG276" si="426">AG275/$N$4</f>
        <v>1.9671070113329327E-2</v>
      </c>
      <c r="AH276" s="146">
        <f t="shared" ref="AH276" si="427">AH275/$N$4</f>
        <v>9.9660952565318959E-3</v>
      </c>
      <c r="AI276" s="107"/>
      <c r="AJ276" s="107"/>
      <c r="AK276" s="152">
        <f>AK275/$N$4</f>
        <v>3.3147784077402292E-2</v>
      </c>
      <c r="AL276" s="152">
        <f>AL275/$N$4</f>
        <v>1.6434006110271973E-2</v>
      </c>
      <c r="AM276" s="107"/>
      <c r="AN276" s="107"/>
    </row>
    <row r="279" spans="2:40" x14ac:dyDescent="0.3">
      <c r="D279" s="154" t="s">
        <v>524</v>
      </c>
      <c r="E279" s="155" t="s">
        <v>523</v>
      </c>
      <c r="F279" s="156" t="s">
        <v>525</v>
      </c>
      <c r="G279" s="157" t="s">
        <v>526</v>
      </c>
      <c r="H279" s="158" t="s">
        <v>527</v>
      </c>
      <c r="Q279" s="154" t="s">
        <v>524</v>
      </c>
      <c r="R279" s="155" t="s">
        <v>523</v>
      </c>
      <c r="S279" s="156" t="s">
        <v>525</v>
      </c>
      <c r="T279" s="157" t="s">
        <v>526</v>
      </c>
      <c r="U279" s="158" t="s">
        <v>527</v>
      </c>
      <c r="AD279" s="154" t="s">
        <v>524</v>
      </c>
      <c r="AE279" s="155" t="s">
        <v>523</v>
      </c>
      <c r="AF279" s="156" t="s">
        <v>525</v>
      </c>
      <c r="AG279" s="157" t="s">
        <v>526</v>
      </c>
      <c r="AH279" s="158" t="s">
        <v>527</v>
      </c>
    </row>
    <row r="280" spans="2:40" x14ac:dyDescent="0.3">
      <c r="B280" s="132" t="s">
        <v>612</v>
      </c>
      <c r="C280" s="170">
        <v>1977</v>
      </c>
      <c r="D280" s="203">
        <f>D12*100*D8</f>
        <v>3.9108122904531251E-2</v>
      </c>
      <c r="E280" s="203">
        <f>E12*100*E8</f>
        <v>5.1268952641629333E-2</v>
      </c>
      <c r="F280" s="203">
        <f>F12*100*F8</f>
        <v>1.3032125549511737</v>
      </c>
      <c r="G280" s="203">
        <f>G12*100*G8</f>
        <v>1.9856469964477881</v>
      </c>
      <c r="H280" s="203">
        <f>H12*100*H8</f>
        <v>1.6135440319921988</v>
      </c>
      <c r="O280" s="132" t="s">
        <v>616</v>
      </c>
      <c r="P280" s="170">
        <v>1977</v>
      </c>
      <c r="Q280" s="203">
        <f>Q12*100*Q8</f>
        <v>1.3966855577341465E-2</v>
      </c>
      <c r="R280" s="203">
        <f>R12*100*R8</f>
        <v>1.9338723107088198E-2</v>
      </c>
      <c r="S280" s="203">
        <f>S12*100*S8</f>
        <v>1.7727162848164164</v>
      </c>
      <c r="T280" s="203">
        <f>T12*100*T8</f>
        <v>1.3837930756627537</v>
      </c>
      <c r="U280" s="203">
        <f>U12*100*U8</f>
        <v>0.95404367328301776</v>
      </c>
      <c r="AB280" s="132" t="s">
        <v>634</v>
      </c>
      <c r="AC280" s="170">
        <v>1977</v>
      </c>
      <c r="AD280" s="203" t="s">
        <v>615</v>
      </c>
      <c r="AE280" s="203" t="s">
        <v>615</v>
      </c>
      <c r="AF280" s="203">
        <f>AF12*100*AF8</f>
        <v>1.0132745204111364</v>
      </c>
      <c r="AG280" s="203">
        <f>AG12*100*AG8</f>
        <v>3.2333236236527858</v>
      </c>
      <c r="AH280" s="203">
        <f>AH12*100*AH8</f>
        <v>2.8567267279763677</v>
      </c>
    </row>
    <row r="281" spans="2:40" x14ac:dyDescent="0.3">
      <c r="B281" s="116" t="s">
        <v>543</v>
      </c>
      <c r="C281" s="171">
        <v>1988</v>
      </c>
      <c r="D281" s="23">
        <f>D37*100*D33</f>
        <v>5.1844749504181317E-2</v>
      </c>
      <c r="E281" s="23">
        <f>E37*100*E33</f>
        <v>1.5224069045874656E-2</v>
      </c>
      <c r="F281" s="23">
        <f>F37*100*F33</f>
        <v>2.2476806326579539</v>
      </c>
      <c r="G281" s="23">
        <f>G37*100*G33</f>
        <v>1.2958423551105105</v>
      </c>
      <c r="H281" s="23">
        <f>H37*100*H33</f>
        <v>1.9685573455672494</v>
      </c>
      <c r="O281" s="116" t="s">
        <v>543</v>
      </c>
      <c r="P281" s="171">
        <v>1988</v>
      </c>
      <c r="Q281" s="23" t="s">
        <v>615</v>
      </c>
      <c r="R281" s="23">
        <f>R37*100*R33</f>
        <v>5.8016169321264542E-2</v>
      </c>
      <c r="S281" s="23">
        <f>S37*100*S33</f>
        <v>2.9362627917595598</v>
      </c>
      <c r="T281" s="23">
        <f>T37*100*T33</f>
        <v>0.82941634659289298</v>
      </c>
      <c r="U281" s="23">
        <f>U37*100*U33</f>
        <v>2.4522575273293752</v>
      </c>
      <c r="AB281" s="116" t="s">
        <v>543</v>
      </c>
      <c r="AC281" s="171">
        <v>1988</v>
      </c>
      <c r="AD281" s="23" t="s">
        <v>615</v>
      </c>
      <c r="AE281" s="23">
        <f>AE37*100*AE33</f>
        <v>0.14564520827264782</v>
      </c>
      <c r="AF281" s="23">
        <f>AF37*100*AF33</f>
        <v>1.8913070617119561</v>
      </c>
      <c r="AG281" s="23">
        <f>AG37*100*AG33</f>
        <v>1.2671133119720368</v>
      </c>
      <c r="AH281" s="23">
        <f>AH37*100*AH33</f>
        <v>2.6361782697349234</v>
      </c>
    </row>
    <row r="282" spans="2:40" x14ac:dyDescent="0.3">
      <c r="B282" s="115" t="s">
        <v>613</v>
      </c>
      <c r="C282" s="171" t="s">
        <v>397</v>
      </c>
      <c r="D282" s="23">
        <f>D62*100*D58</f>
        <v>1.4118539069774833E-2</v>
      </c>
      <c r="E282" s="23">
        <f>E62*100*E58</f>
        <v>3.9108122904531244E-2</v>
      </c>
      <c r="F282" s="23">
        <f>F62*100*F58</f>
        <v>0.96791452594989791</v>
      </c>
      <c r="G282" s="23">
        <f>G62*100*G58</f>
        <v>1.3805766214036594</v>
      </c>
      <c r="H282" s="23">
        <f>H62*100*H58</f>
        <v>1.1408839034605127</v>
      </c>
      <c r="O282" s="115" t="s">
        <v>613</v>
      </c>
      <c r="P282" s="171" t="s">
        <v>397</v>
      </c>
      <c r="Q282" s="23" t="s">
        <v>615</v>
      </c>
      <c r="R282" s="23">
        <f>R62*100*R58</f>
        <v>1.557841583626548E-2</v>
      </c>
      <c r="S282" s="23">
        <f>S62*100*S58</f>
        <v>0.74937552039966937</v>
      </c>
      <c r="T282" s="23">
        <f>T62*100*T58</f>
        <v>0.76871424350675532</v>
      </c>
      <c r="U282" s="23">
        <f>U62*100*U58</f>
        <v>0.42061722757916781</v>
      </c>
      <c r="AB282" s="115" t="s">
        <v>613</v>
      </c>
      <c r="AC282" s="171" t="s">
        <v>397</v>
      </c>
      <c r="AD282" s="23" t="s">
        <v>615</v>
      </c>
      <c r="AE282" s="23">
        <f>AE62*100*AE58</f>
        <v>3.7451624984395152E-2</v>
      </c>
      <c r="AF282" s="23">
        <f>AF62*100*AF58</f>
        <v>0.93212933294495004</v>
      </c>
      <c r="AG282" s="23">
        <f>AG62*100*AG58</f>
        <v>1.7519037909367043</v>
      </c>
      <c r="AH282" s="23">
        <f>AH62*100*AH58</f>
        <v>1.2296616869876402</v>
      </c>
    </row>
    <row r="283" spans="2:40" x14ac:dyDescent="0.3">
      <c r="B283" t="s">
        <v>614</v>
      </c>
      <c r="C283" s="171" t="s">
        <v>401</v>
      </c>
      <c r="D283" s="23">
        <f>D87*100*D83</f>
        <v>1.0686789768964965E-2</v>
      </c>
      <c r="E283" s="23">
        <f>E87*100*E83</f>
        <v>0.35533575981808496</v>
      </c>
      <c r="F283" s="23">
        <f>F87*100*F83</f>
        <v>1.3203252377062151</v>
      </c>
      <c r="G283" s="23">
        <f>G87*100*G83</f>
        <v>1.3971826029196568</v>
      </c>
      <c r="H283" s="23">
        <f>H87*100*H83</f>
        <v>1.161543494888881</v>
      </c>
      <c r="O283" t="s">
        <v>614</v>
      </c>
      <c r="P283" s="171" t="s">
        <v>401</v>
      </c>
      <c r="Q283" s="23" t="s">
        <v>615</v>
      </c>
      <c r="R283" s="23">
        <f>R87*100*R83</f>
        <v>8.7024253981896837E-2</v>
      </c>
      <c r="S283" s="23">
        <f>S87*100*S83</f>
        <v>1.5137922698826283</v>
      </c>
      <c r="T283" s="23">
        <f>T87*100*T83</f>
        <v>0.885820955655234</v>
      </c>
      <c r="U283" s="23">
        <f>U87*100*U83</f>
        <v>0.75206145416454029</v>
      </c>
      <c r="AB283" t="s">
        <v>614</v>
      </c>
      <c r="AC283" s="171" t="s">
        <v>401</v>
      </c>
      <c r="AD283" s="23" t="s">
        <v>615</v>
      </c>
      <c r="AE283" s="23">
        <f>AE87*100*AE83</f>
        <v>2.496774998959677E-2</v>
      </c>
      <c r="AF283" s="23">
        <f>AF87*100*AF83</f>
        <v>1.1235487495318559</v>
      </c>
      <c r="AG283" s="23">
        <f>AG87*100*AG83</f>
        <v>1.0590487287253911</v>
      </c>
      <c r="AH283" s="23">
        <f>AH87*100*AH83</f>
        <v>1.4793391868836085</v>
      </c>
    </row>
    <row r="284" spans="2:40" x14ac:dyDescent="0.3">
      <c r="C284" s="171" t="s">
        <v>405</v>
      </c>
      <c r="D284" s="23">
        <f>D112*100*D108</f>
        <v>1.8149117107638783E-2</v>
      </c>
      <c r="E284" s="23">
        <f>E112*100*E108</f>
        <v>8.8557557460496289E-2</v>
      </c>
      <c r="F284" s="23">
        <f>F112*100*F108</f>
        <v>1.4102647076368431</v>
      </c>
      <c r="G284" s="23">
        <f>G112*100*G108</f>
        <v>1.9183017954037116</v>
      </c>
      <c r="H284" s="23">
        <f>H112*100*H108</f>
        <v>1.7658307861999469</v>
      </c>
      <c r="P284" s="171" t="s">
        <v>405</v>
      </c>
      <c r="Q284" s="23" t="s">
        <v>615</v>
      </c>
      <c r="R284" s="23">
        <f>R112*100*R108</f>
        <v>5.3718675297467156E-2</v>
      </c>
      <c r="S284" s="23">
        <f>S112*100*S108</f>
        <v>1.6040396443823763</v>
      </c>
      <c r="T284" s="23">
        <f>T112*100*T108</f>
        <v>1.2263973570411748</v>
      </c>
      <c r="U284" s="23">
        <f>U112*100*U108</f>
        <v>1.3112728640111742</v>
      </c>
      <c r="AC284" s="171" t="s">
        <v>405</v>
      </c>
      <c r="AD284" s="23" t="s">
        <v>615</v>
      </c>
      <c r="AE284" s="23">
        <f>AE112*100*AE108</f>
        <v>0.28504847904789649</v>
      </c>
      <c r="AF284" s="23">
        <f>AF112*100*AF108</f>
        <v>1.6145811659939227</v>
      </c>
      <c r="AG284" s="23">
        <f>AG112*100*AG108</f>
        <v>1.9329199783612816</v>
      </c>
      <c r="AH284" s="23">
        <f>AH112*100*AH108</f>
        <v>1.5542424368523988</v>
      </c>
    </row>
    <row r="285" spans="2:40" x14ac:dyDescent="0.3">
      <c r="C285" s="171" t="s">
        <v>429</v>
      </c>
      <c r="D285" s="23">
        <f>D137*100*D133</f>
        <v>7.2550404681550997E-3</v>
      </c>
      <c r="E285" s="23">
        <f>E137*100*E133</f>
        <v>3.6321266089779626E-2</v>
      </c>
      <c r="F285" s="23">
        <f>F137*100*F133</f>
        <v>0.7313080791900346</v>
      </c>
      <c r="G285" s="23">
        <f>G137*100*G133</f>
        <v>1.1169077221038526</v>
      </c>
      <c r="H285" s="23">
        <f>H137*100*H133</f>
        <v>1.2956811319889927</v>
      </c>
      <c r="P285" s="171" t="s">
        <v>429</v>
      </c>
      <c r="Q285" s="23" t="s">
        <v>615</v>
      </c>
      <c r="R285" s="23">
        <f>R137*100*R133</f>
        <v>5.1569928285568473E-2</v>
      </c>
      <c r="S285" s="23">
        <f>S137*100*S133</f>
        <v>0.48131933066530774</v>
      </c>
      <c r="T285" s="23">
        <f>T137*100*T133</f>
        <v>0.36797292578764973</v>
      </c>
      <c r="U285" s="23">
        <f>U137*100*U133</f>
        <v>0.41900566732024375</v>
      </c>
      <c r="AC285" s="171" t="s">
        <v>429</v>
      </c>
      <c r="AD285" s="23" t="s">
        <v>615</v>
      </c>
      <c r="AE285" s="23">
        <f>AE137*100*AE133</f>
        <v>0.65748408305938155</v>
      </c>
      <c r="AF285" s="23">
        <f>AF137*100*AF133</f>
        <v>0.75735508301776577</v>
      </c>
      <c r="AG285" s="23">
        <f>AG137*100*AG133</f>
        <v>0.45358079147767605</v>
      </c>
      <c r="AH285" s="23">
        <f>AH137*100*AH133</f>
        <v>1.002871291248802</v>
      </c>
    </row>
    <row r="286" spans="2:40" x14ac:dyDescent="0.3">
      <c r="C286" s="171" t="s">
        <v>437</v>
      </c>
      <c r="D286" s="23">
        <f>D162*100*D158</f>
        <v>4.4244230918495039E-2</v>
      </c>
      <c r="E286" s="23">
        <f>E162*100*E158</f>
        <v>0.22386982016021431</v>
      </c>
      <c r="F286" s="23">
        <f>F162*100*F158</f>
        <v>1.2641735276701467</v>
      </c>
      <c r="G286" s="23">
        <f>G162*100*G158</f>
        <v>1.3929677698857765</v>
      </c>
      <c r="H286" s="23">
        <f>H162*100*H158</f>
        <v>1.2677895319669727</v>
      </c>
      <c r="P286" s="171" t="s">
        <v>437</v>
      </c>
      <c r="Q286" s="23">
        <f>Q162*100*Q158</f>
        <v>9.6693615535440904E-3</v>
      </c>
      <c r="R286" s="23">
        <f>R162*100*R158</f>
        <v>0.3964438236953074</v>
      </c>
      <c r="S286" s="23">
        <f>S162*100*S158</f>
        <v>1.1861083505680832</v>
      </c>
      <c r="T286" s="23">
        <f>T162*100*T158</f>
        <v>0.73809459858719939</v>
      </c>
      <c r="U286" s="23">
        <f>U162*100*U158</f>
        <v>0.66127689291182012</v>
      </c>
      <c r="AC286" s="171" t="s">
        <v>437</v>
      </c>
      <c r="AD286" s="23" t="s">
        <v>615</v>
      </c>
      <c r="AE286" s="23">
        <f>AE162*100*AE158</f>
        <v>0.50143564562440113</v>
      </c>
      <c r="AF286" s="23">
        <f>AF162*100*AF158</f>
        <v>1.8892264158794854</v>
      </c>
      <c r="AG286" s="23">
        <f>AG162*100*AG158</f>
        <v>1.4959843535433395</v>
      </c>
      <c r="AH286" s="23">
        <f>AH162*100*AH158</f>
        <v>1.25879072864217</v>
      </c>
    </row>
    <row r="287" spans="2:40" x14ac:dyDescent="0.3">
      <c r="C287" s="171" t="s">
        <v>441</v>
      </c>
      <c r="D287" s="23">
        <f>D187*100*D183</f>
        <v>1.8655818346684581E-3</v>
      </c>
      <c r="E287" s="23">
        <f>E187*100*E183</f>
        <v>0.2148873891044033</v>
      </c>
      <c r="F287" s="23">
        <f>F187*100*F183</f>
        <v>1.0031532939380781</v>
      </c>
      <c r="G287" s="23">
        <f>G187*100*G183</f>
        <v>1.6207990724603487</v>
      </c>
      <c r="H287" s="23">
        <f>H187*100*H183</f>
        <v>1.4441445950294005</v>
      </c>
      <c r="P287" s="171" t="s">
        <v>441</v>
      </c>
      <c r="Q287" s="23" t="s">
        <v>615</v>
      </c>
      <c r="R287" s="23">
        <f>R187*100*R183</f>
        <v>0.17082538744594555</v>
      </c>
      <c r="S287" s="23">
        <f>S187*100*S183</f>
        <v>0.9771427036609307</v>
      </c>
      <c r="T287" s="23">
        <f>T187*100*T183</f>
        <v>0.72735086352770661</v>
      </c>
      <c r="U287" s="23">
        <f>U187*100*U183</f>
        <v>0.64623566382853015</v>
      </c>
      <c r="AC287" s="171" t="s">
        <v>441</v>
      </c>
      <c r="AD287" s="23" t="s">
        <v>615</v>
      </c>
      <c r="AE287" s="23">
        <f>AE187*100*AE183</f>
        <v>0.44733885398027556</v>
      </c>
      <c r="AF287" s="23">
        <f>AF187*100*AF183</f>
        <v>1.1922100620032439</v>
      </c>
      <c r="AG287" s="23">
        <f>AG187*100*AG183</f>
        <v>1.2567100828097082</v>
      </c>
      <c r="AH287" s="23">
        <f>AH187*100*AH183</f>
        <v>1.3274520411135635</v>
      </c>
    </row>
    <row r="288" spans="2:40" x14ac:dyDescent="0.3">
      <c r="C288" s="171" t="s">
        <v>531</v>
      </c>
      <c r="D288" s="23">
        <f>D212*100*D208</f>
        <v>1.2575403478135497E-2</v>
      </c>
      <c r="E288" s="23">
        <f>E212*100*E208</f>
        <v>0.14378799251648336</v>
      </c>
      <c r="F288" s="23">
        <f>F212*100*F208</f>
        <v>0.78536388864641404</v>
      </c>
      <c r="G288" s="23">
        <f>G212*100*G208</f>
        <v>1.5521180226951479</v>
      </c>
      <c r="H288" s="23">
        <f>H212*100*H208</f>
        <v>1.192728652964699</v>
      </c>
      <c r="P288" s="171" t="s">
        <v>531</v>
      </c>
      <c r="Q288" s="23" t="s">
        <v>615</v>
      </c>
      <c r="R288" s="23">
        <f>R212*100*R208</f>
        <v>0.30458488893663888</v>
      </c>
      <c r="S288" s="23">
        <f>S212*100*S208</f>
        <v>0.80309419569712437</v>
      </c>
      <c r="T288" s="23">
        <f>T212*100*T208</f>
        <v>0.88313502189036008</v>
      </c>
      <c r="U288" s="23">
        <f>U212*100*U208</f>
        <v>0.72359055625688351</v>
      </c>
      <c r="AC288" s="171" t="s">
        <v>531</v>
      </c>
      <c r="AD288" s="23" t="s">
        <v>615</v>
      </c>
      <c r="AE288" s="23">
        <f>AE212*100*AE208</f>
        <v>0.57217760392825945</v>
      </c>
      <c r="AF288" s="23">
        <f>AF212*100*AF208</f>
        <v>1.1859681245058444</v>
      </c>
      <c r="AG288" s="23">
        <f>AG212*100*AG208</f>
        <v>1.2795971869668357</v>
      </c>
      <c r="AH288" s="23">
        <f>AH212*100*AH208</f>
        <v>1.5355166243602003</v>
      </c>
    </row>
    <row r="289" spans="2:34" x14ac:dyDescent="0.3">
      <c r="C289" s="171" t="s">
        <v>532</v>
      </c>
      <c r="D289" s="23">
        <f>D237*100*D233</f>
        <v>2.5588412571810475E-2</v>
      </c>
      <c r="E289" s="23">
        <f>E237*100*E233</f>
        <v>0.24621073842723157</v>
      </c>
      <c r="F289" s="23">
        <f>F237*100*F233</f>
        <v>1.3475719452421795</v>
      </c>
      <c r="G289" s="23">
        <f>G237*100*G233</f>
        <v>2.0967297271713217</v>
      </c>
      <c r="H289" s="23">
        <f>H237*100*H233</f>
        <v>1.2034845383571702</v>
      </c>
      <c r="P289" s="171" t="s">
        <v>532</v>
      </c>
      <c r="Q289" s="23">
        <f>Q237*100*Q233</f>
        <v>6.4462410356960608E-3</v>
      </c>
      <c r="R289" s="23">
        <f>R237*100*R233</f>
        <v>0.32284923853777775</v>
      </c>
      <c r="S289" s="23">
        <f>S237*100*S233</f>
        <v>1.1576374526604274</v>
      </c>
      <c r="T289" s="23">
        <f>T237*100*T233</f>
        <v>0.99379549300314263</v>
      </c>
      <c r="U289" s="23">
        <f>U237*100*U233</f>
        <v>0.50710429480809027</v>
      </c>
      <c r="AC289" s="171" t="s">
        <v>532</v>
      </c>
      <c r="AD289" s="23">
        <f>AD237*100*AD233</f>
        <v>1.2483874994798397E-2</v>
      </c>
      <c r="AE289" s="23">
        <f>AE237*100*AE233</f>
        <v>0.8343389788190253</v>
      </c>
      <c r="AF289" s="23">
        <f>AF237*100*AF233</f>
        <v>1.5147101660355375</v>
      </c>
      <c r="AG289" s="23">
        <f>AG237*100*AG233</f>
        <v>2.1950813532520459</v>
      </c>
      <c r="AH289" s="23">
        <f>AH237*100*AH233</f>
        <v>1.6832424784653164</v>
      </c>
    </row>
    <row r="290" spans="2:34" x14ac:dyDescent="0.3">
      <c r="C290" s="172" t="s">
        <v>461</v>
      </c>
      <c r="D290" s="204">
        <f>D262*100*D258</f>
        <v>3.6298234215277558E-2</v>
      </c>
      <c r="E290" s="204">
        <f>E262*100*E258</f>
        <v>0.42539872205341156</v>
      </c>
      <c r="F290" s="204">
        <f>F262*100*F258</f>
        <v>0.84547708109684283</v>
      </c>
      <c r="G290" s="204">
        <f>G262*100*G258</f>
        <v>1.2995965506543476</v>
      </c>
      <c r="H290" s="204">
        <f>H262*100*H258</f>
        <v>1.1995000240683074</v>
      </c>
      <c r="P290" s="172" t="s">
        <v>461</v>
      </c>
      <c r="Q290" s="204">
        <f>Q262*100*Q258</f>
        <v>3.2231205178480295E-3</v>
      </c>
      <c r="R290" s="204">
        <f>R262*100*R258</f>
        <v>0.80201982219118473</v>
      </c>
      <c r="S290" s="204">
        <f>S262*100*S258</f>
        <v>1.1458193440949707</v>
      </c>
      <c r="T290" s="204">
        <f>T262*100*T258</f>
        <v>0.70264027289087272</v>
      </c>
      <c r="U290" s="204">
        <f>U262*100*U258</f>
        <v>0.62689694072144198</v>
      </c>
      <c r="AC290" s="172" t="s">
        <v>461</v>
      </c>
      <c r="AD290" s="204">
        <f>AD262*100*AD258</f>
        <v>1.0403229162331985E-2</v>
      </c>
      <c r="AE290" s="204">
        <f>AE262*100*AE258</f>
        <v>0.78856477050476448</v>
      </c>
      <c r="AF290" s="204">
        <f>AF262*100*AF258</f>
        <v>1.0819358328825246</v>
      </c>
      <c r="AG290" s="204">
        <f>AG262*100*AG258</f>
        <v>1.3440972077732944</v>
      </c>
      <c r="AH290" s="204">
        <f>AH262*100*AH258</f>
        <v>1.2920810619616345</v>
      </c>
    </row>
    <row r="292" spans="2:34" x14ac:dyDescent="0.3">
      <c r="D292" s="154" t="s">
        <v>524</v>
      </c>
      <c r="E292" s="155" t="s">
        <v>523</v>
      </c>
      <c r="F292" s="156" t="s">
        <v>525</v>
      </c>
      <c r="G292" s="157" t="s">
        <v>526</v>
      </c>
      <c r="H292" s="158" t="s">
        <v>527</v>
      </c>
      <c r="Q292" s="154" t="s">
        <v>524</v>
      </c>
      <c r="R292" s="155" t="s">
        <v>523</v>
      </c>
      <c r="S292" s="156" t="s">
        <v>525</v>
      </c>
      <c r="T292" s="157" t="s">
        <v>526</v>
      </c>
      <c r="U292" s="158" t="s">
        <v>527</v>
      </c>
      <c r="AD292" s="154" t="s">
        <v>524</v>
      </c>
      <c r="AE292" s="155" t="s">
        <v>523</v>
      </c>
      <c r="AF292" s="156" t="s">
        <v>525</v>
      </c>
      <c r="AG292" s="157" t="s">
        <v>526</v>
      </c>
      <c r="AH292" s="158" t="s">
        <v>527</v>
      </c>
    </row>
    <row r="293" spans="2:34" x14ac:dyDescent="0.3">
      <c r="B293" s="132" t="s">
        <v>612</v>
      </c>
      <c r="C293" s="170">
        <v>1977</v>
      </c>
      <c r="D293" s="203">
        <f>D12*100</f>
        <v>6.5521898514373884</v>
      </c>
      <c r="E293" s="203">
        <f>E12*100</f>
        <v>33.534197047303408</v>
      </c>
      <c r="F293" s="203">
        <f>F12*100</f>
        <v>5.7211467975713211</v>
      </c>
      <c r="G293" s="203">
        <f>G12*100</f>
        <v>4.659404064527866</v>
      </c>
      <c r="H293" s="203">
        <f>H12*100</f>
        <v>4.8294788682294199</v>
      </c>
      <c r="O293" s="132" t="s">
        <v>616</v>
      </c>
      <c r="P293" s="170">
        <v>1977</v>
      </c>
      <c r="Q293" s="203">
        <f>Q12*100</f>
        <v>100</v>
      </c>
      <c r="R293" s="203">
        <f>R12*100</f>
        <v>7.9470198675496757</v>
      </c>
      <c r="S293" s="203">
        <f>S12*100</f>
        <v>3.5811177428106347</v>
      </c>
      <c r="T293" s="203">
        <f>T12*100</f>
        <v>3.8816810572156157</v>
      </c>
      <c r="U293" s="203">
        <f>U12*100</f>
        <v>6.7856187674320934</v>
      </c>
      <c r="AB293" s="132" t="s">
        <v>634</v>
      </c>
      <c r="AC293" s="170">
        <v>1977</v>
      </c>
      <c r="AD293" s="203" t="s">
        <v>615</v>
      </c>
      <c r="AE293" s="203" t="s">
        <v>615</v>
      </c>
      <c r="AF293" s="203">
        <f>AF12*100</f>
        <v>4.5067555062002631</v>
      </c>
      <c r="AG293" s="203">
        <f>AG12*100</f>
        <v>7.9798705966930363</v>
      </c>
      <c r="AH293" s="203">
        <f>AH12*100</f>
        <v>7.8251453322694733</v>
      </c>
    </row>
    <row r="294" spans="2:34" x14ac:dyDescent="0.3">
      <c r="B294" s="116" t="s">
        <v>543</v>
      </c>
      <c r="C294" s="171">
        <v>1988</v>
      </c>
      <c r="D294" s="23">
        <f>D37*100</f>
        <v>35.331973002668335</v>
      </c>
      <c r="E294" s="23">
        <f>E37*100</f>
        <v>23.45635202271114</v>
      </c>
      <c r="F294" s="23">
        <f>F37*100</f>
        <v>8.0404833682531471</v>
      </c>
      <c r="G294" s="23">
        <f>G37*100</f>
        <v>3.6329742308914259</v>
      </c>
      <c r="H294" s="23">
        <f>H37*100</f>
        <v>5.5119608214898772</v>
      </c>
      <c r="O294" s="116" t="s">
        <v>543</v>
      </c>
      <c r="P294" s="171">
        <v>1988</v>
      </c>
      <c r="Q294" s="23" t="s">
        <v>615</v>
      </c>
      <c r="R294" s="23">
        <f>R37*100</f>
        <v>30.945558739255013</v>
      </c>
      <c r="S294" s="23">
        <f>S37*100</f>
        <v>6.0913366171128089</v>
      </c>
      <c r="T294" s="23">
        <f>T37*100</f>
        <v>3.8117809707203869</v>
      </c>
      <c r="U294" s="23">
        <f>U37*100</f>
        <v>8.3447582487889562</v>
      </c>
      <c r="AB294" s="116" t="s">
        <v>543</v>
      </c>
      <c r="AC294" s="171">
        <v>1988</v>
      </c>
      <c r="AD294" s="23" t="s">
        <v>615</v>
      </c>
      <c r="AE294" s="23">
        <f>AE37*100</f>
        <v>56.451612903225801</v>
      </c>
      <c r="AF294" s="23">
        <f>AF37*100</f>
        <v>4.987107039008067</v>
      </c>
      <c r="AG294" s="23">
        <f>AG37*100</f>
        <v>5.9350940454146803</v>
      </c>
      <c r="AH294" s="23">
        <f>AH37*100</f>
        <v>6.5941500988862227</v>
      </c>
    </row>
    <row r="295" spans="2:34" x14ac:dyDescent="0.3">
      <c r="B295" s="115" t="s">
        <v>613</v>
      </c>
      <c r="C295" s="171" t="s">
        <v>397</v>
      </c>
      <c r="D295" s="23">
        <f>D62*100</f>
        <v>19.559668155711549</v>
      </c>
      <c r="E295" s="23">
        <f>E62*100</f>
        <v>18.661391361688086</v>
      </c>
      <c r="F295" s="23">
        <f>F62*100</f>
        <v>2.5744618287408572</v>
      </c>
      <c r="G295" s="23">
        <f>G62*100</f>
        <v>3.9726602083820737</v>
      </c>
      <c r="H295" s="23">
        <f>H62*100</f>
        <v>4.2367010266954379</v>
      </c>
      <c r="O295" s="115" t="s">
        <v>613</v>
      </c>
      <c r="P295" s="171" t="s">
        <v>397</v>
      </c>
      <c r="Q295" s="23" t="s">
        <v>615</v>
      </c>
      <c r="R295" s="23">
        <f>R62*100</f>
        <v>13.942307692307693</v>
      </c>
      <c r="S295" s="23">
        <f>S62*100</f>
        <v>1.0325149696166775</v>
      </c>
      <c r="T295" s="23">
        <f>T62*100</f>
        <v>3.2615384615384624</v>
      </c>
      <c r="U295" s="23">
        <f>U62*100</f>
        <v>12.769080234833657</v>
      </c>
      <c r="AB295" s="115" t="s">
        <v>613</v>
      </c>
      <c r="AC295" s="171" t="s">
        <v>397</v>
      </c>
      <c r="AD295" s="23" t="s">
        <v>615</v>
      </c>
      <c r="AE295" s="23">
        <f>AE62*100</f>
        <v>28.571428571428569</v>
      </c>
      <c r="AF295" s="23">
        <f>AF62*100</f>
        <v>2.0082481620943242</v>
      </c>
      <c r="AG295" s="23">
        <f>AG62*100</f>
        <v>6.128985296258544</v>
      </c>
      <c r="AH295" s="23">
        <f>AH62*100</f>
        <v>5.0357873210633919</v>
      </c>
    </row>
    <row r="296" spans="2:34" x14ac:dyDescent="0.3">
      <c r="C296" s="171" t="s">
        <v>401</v>
      </c>
      <c r="D296" s="23">
        <f>D87*100</f>
        <v>5.947955390334573</v>
      </c>
      <c r="E296" s="23">
        <f>E87*100</f>
        <v>19.977986403366781</v>
      </c>
      <c r="F296" s="23">
        <f>F87*100</f>
        <v>3.6734178626559673</v>
      </c>
      <c r="G296" s="23">
        <f>G87*100</f>
        <v>4.7495120364346066</v>
      </c>
      <c r="H296" s="23">
        <f>H87*100</f>
        <v>4.5364675065799975</v>
      </c>
      <c r="P296" s="171" t="s">
        <v>401</v>
      </c>
      <c r="Q296" s="23" t="s">
        <v>615</v>
      </c>
      <c r="R296" s="23">
        <f>R87*100</f>
        <v>16.36363636363637</v>
      </c>
      <c r="S296" s="23">
        <f>S87*100</f>
        <v>2.1475384849870496</v>
      </c>
      <c r="T296" s="23">
        <f>T87*100</f>
        <v>4.2198735829260201</v>
      </c>
      <c r="U296" s="23">
        <f>U87*100</f>
        <v>15.968974563704801</v>
      </c>
      <c r="AC296" s="171" t="s">
        <v>401</v>
      </c>
      <c r="AD296" s="23" t="s">
        <v>615</v>
      </c>
      <c r="AE296" s="23">
        <f>AE87*100</f>
        <v>38.70967741935484</v>
      </c>
      <c r="AF296" s="23">
        <f>AF87*100</f>
        <v>2.9535634195700955</v>
      </c>
      <c r="AG296" s="23">
        <f>AG87*100</f>
        <v>2.8133981870439837</v>
      </c>
      <c r="AH296" s="23">
        <f>AH87*100</f>
        <v>6.2150349650349641</v>
      </c>
    </row>
    <row r="297" spans="2:34" x14ac:dyDescent="0.3">
      <c r="C297" s="171" t="s">
        <v>405</v>
      </c>
      <c r="D297" s="23">
        <f>D112*100</f>
        <v>19.257086999022487</v>
      </c>
      <c r="E297" s="23">
        <f>E112*100</f>
        <v>16.311033809867219</v>
      </c>
      <c r="F297" s="23">
        <f>F112*100</f>
        <v>3.8135638084193575</v>
      </c>
      <c r="G297" s="23">
        <f>G112*100</f>
        <v>5.6381380720707384</v>
      </c>
      <c r="H297" s="23">
        <f>H112*100</f>
        <v>6.4948134845166994</v>
      </c>
      <c r="P297" s="171" t="s">
        <v>405</v>
      </c>
      <c r="Q297" s="23" t="s">
        <v>615</v>
      </c>
      <c r="R297" s="23">
        <f>R112*100</f>
        <v>16.949152542372879</v>
      </c>
      <c r="S297" s="23">
        <f>S112*100</f>
        <v>2.3333411476037638</v>
      </c>
      <c r="T297" s="23">
        <f>T112*100</f>
        <v>5.4703598984041761</v>
      </c>
      <c r="U297" s="23">
        <f>U112*100</f>
        <v>16.244093964197784</v>
      </c>
      <c r="AC297" s="171" t="s">
        <v>405</v>
      </c>
      <c r="AD297" s="23" t="s">
        <v>615</v>
      </c>
      <c r="AE297" s="23">
        <f>AE112*100</f>
        <v>37.12737127371274</v>
      </c>
      <c r="AF297" s="23">
        <f>AF112*100</f>
        <v>4.2016351724511294</v>
      </c>
      <c r="AG297" s="23">
        <f>AG112*100</f>
        <v>5.3767797198749809</v>
      </c>
      <c r="AH297" s="23">
        <f>AH112*100</f>
        <v>6.368286445012787</v>
      </c>
    </row>
    <row r="298" spans="2:34" x14ac:dyDescent="0.3">
      <c r="C298" s="171" t="s">
        <v>429</v>
      </c>
      <c r="D298" s="23">
        <f>D137*100</f>
        <v>9.7583643122676644</v>
      </c>
      <c r="E298" s="23">
        <f>E137*100</f>
        <v>21.145079109680875</v>
      </c>
      <c r="F298" s="23">
        <f>F137*100</f>
        <v>2.4693047808950874</v>
      </c>
      <c r="G298" s="23">
        <f>G137*100</f>
        <v>3.8038119696065311</v>
      </c>
      <c r="H298" s="23">
        <f>H137*100</f>
        <v>5.7843991087320159</v>
      </c>
      <c r="P298" s="171" t="s">
        <v>429</v>
      </c>
      <c r="Q298" s="23" t="s">
        <v>615</v>
      </c>
      <c r="R298" s="23">
        <f>R137*100</f>
        <v>14.723926380368098</v>
      </c>
      <c r="S298" s="23">
        <f>S137*100</f>
        <v>0.97371195079277495</v>
      </c>
      <c r="T298" s="23">
        <f>T137*100</f>
        <v>2.9786493890507431</v>
      </c>
      <c r="U298" s="23">
        <f>U137*100</f>
        <v>7.0428893905191847</v>
      </c>
      <c r="AC298" s="171" t="s">
        <v>429</v>
      </c>
      <c r="AD298" s="23" t="s">
        <v>615</v>
      </c>
      <c r="AE298" s="23">
        <f>AE137*100</f>
        <v>37.844311377245504</v>
      </c>
      <c r="AF298" s="23">
        <f>AF137*100</f>
        <v>2.6063296577402162</v>
      </c>
      <c r="AG298" s="23">
        <f>AG137*100</f>
        <v>2.2256253190403337</v>
      </c>
      <c r="AH298" s="23">
        <f>AH137*100</f>
        <v>4.681429681429675</v>
      </c>
    </row>
    <row r="299" spans="2:34" x14ac:dyDescent="0.3">
      <c r="C299" s="171" t="s">
        <v>437</v>
      </c>
      <c r="D299" s="23">
        <f>D162*100</f>
        <v>59.36341161928307</v>
      </c>
      <c r="E299" s="23">
        <f>E162*100</f>
        <v>16.988551953159135</v>
      </c>
      <c r="F299" s="23">
        <f>F162*100</f>
        <v>3.428982675166234</v>
      </c>
      <c r="G299" s="23">
        <f>G162*100</f>
        <v>4.0982662328069965</v>
      </c>
      <c r="H299" s="23">
        <f>H162*100</f>
        <v>5.3854071072306899</v>
      </c>
      <c r="P299" s="171" t="s">
        <v>437</v>
      </c>
      <c r="Q299" s="23">
        <f>Q162*100</f>
        <v>66.666666666666671</v>
      </c>
      <c r="R299" s="23">
        <f>R162*100</f>
        <v>18.267326732673254</v>
      </c>
      <c r="S299" s="23">
        <f>S162*100</f>
        <v>1.7126900403351033</v>
      </c>
      <c r="T299" s="23">
        <f>T162*100</f>
        <v>3.5138867577106057</v>
      </c>
      <c r="U299" s="23">
        <f>U162*100</f>
        <v>12.297702297702287</v>
      </c>
      <c r="AC299" s="171" t="s">
        <v>437</v>
      </c>
      <c r="AD299" s="23" t="s">
        <v>615</v>
      </c>
      <c r="AE299" s="23">
        <f>AE162*100</f>
        <v>12.631027253668748</v>
      </c>
      <c r="AF299" s="23">
        <f>AF162*100</f>
        <v>5.6000986801529447</v>
      </c>
      <c r="AG299" s="23">
        <f>AG162*100</f>
        <v>4.0509324468984156</v>
      </c>
      <c r="AH299" s="23">
        <f>AH162*100</f>
        <v>5.9588299024918721</v>
      </c>
    </row>
    <row r="300" spans="2:34" x14ac:dyDescent="0.3">
      <c r="C300" s="171" t="s">
        <v>441</v>
      </c>
      <c r="D300" s="23">
        <f>D187*100</f>
        <v>1.9814090019569526</v>
      </c>
      <c r="E300" s="23">
        <f>E187*100</f>
        <v>19.837557407722404</v>
      </c>
      <c r="F300" s="23">
        <f>F187*100</f>
        <v>2.6637644854234455</v>
      </c>
      <c r="G300" s="23">
        <f>G187*100</f>
        <v>4.6873542944989559</v>
      </c>
      <c r="H300" s="23">
        <f>H187*100</f>
        <v>5.5676761864676969</v>
      </c>
      <c r="P300" s="171" t="s">
        <v>441</v>
      </c>
      <c r="Q300" s="23" t="s">
        <v>615</v>
      </c>
      <c r="R300" s="23">
        <f>R187*100</f>
        <v>14.818266542404471</v>
      </c>
      <c r="S300" s="23">
        <f>S187*100</f>
        <v>1.3739397098033925</v>
      </c>
      <c r="T300" s="23">
        <f>T187*100</f>
        <v>3.3015532418131772</v>
      </c>
      <c r="U300" s="23">
        <f>U187*100</f>
        <v>12.310683585755221</v>
      </c>
      <c r="AC300" s="171" t="s">
        <v>441</v>
      </c>
      <c r="AD300" s="23" t="s">
        <v>615</v>
      </c>
      <c r="AE300" s="23">
        <f>AE187*100</f>
        <v>43.87755102040817</v>
      </c>
      <c r="AF300" s="23">
        <f>AF187*100</f>
        <v>3.1690725070515957</v>
      </c>
      <c r="AG300" s="23">
        <f>AG187*100</f>
        <v>3.0966418866957293</v>
      </c>
      <c r="AH300" s="23">
        <f>AH187*100</f>
        <v>6.5301944728761612</v>
      </c>
    </row>
    <row r="301" spans="2:34" x14ac:dyDescent="0.3">
      <c r="C301" s="171" t="s">
        <v>531</v>
      </c>
      <c r="D301" s="23">
        <f>D212*100</f>
        <v>13.791361454912856</v>
      </c>
      <c r="E301" s="23">
        <f>E212*100</f>
        <v>22.110072248193795</v>
      </c>
      <c r="F301" s="23">
        <f>F212*100</f>
        <v>2.0903909084332875</v>
      </c>
      <c r="G301" s="23">
        <f>G212*100</f>
        <v>4.3729470379594364</v>
      </c>
      <c r="H301" s="23">
        <f>H212*100</f>
        <v>5.0758396267563244</v>
      </c>
      <c r="P301" s="171" t="s">
        <v>531</v>
      </c>
      <c r="Q301" s="23" t="s">
        <v>615</v>
      </c>
      <c r="R301" s="23">
        <f>R212*100</f>
        <v>31.222466960352424</v>
      </c>
      <c r="S301" s="23">
        <f>S212*100</f>
        <v>1.1118630958135802</v>
      </c>
      <c r="T301" s="23">
        <f>T212*100</f>
        <v>4.3275685066729839</v>
      </c>
      <c r="U301" s="23">
        <f>U212*100</f>
        <v>12.451469772601232</v>
      </c>
      <c r="AC301" s="171" t="s">
        <v>531</v>
      </c>
      <c r="AD301" s="23" t="s">
        <v>615</v>
      </c>
      <c r="AE301" s="23">
        <f>AE212*100</f>
        <v>31.865585168018544</v>
      </c>
      <c r="AF301" s="23">
        <f>AF212*100</f>
        <v>3.1356584882825334</v>
      </c>
      <c r="AG301" s="23">
        <f>AG212*100</f>
        <v>3.6425017768301386</v>
      </c>
      <c r="AH301" s="23">
        <f>AH212*100</f>
        <v>6.1907558090764159</v>
      </c>
    </row>
    <row r="302" spans="2:34" x14ac:dyDescent="0.3">
      <c r="C302" s="171" t="s">
        <v>532</v>
      </c>
      <c r="D302" s="23">
        <f>D237*100</f>
        <v>6.5638662412855879</v>
      </c>
      <c r="E302" s="23">
        <f>E237*100</f>
        <v>24.277797965116275</v>
      </c>
      <c r="F302" s="23">
        <f>F237*100</f>
        <v>3.1807116522261021</v>
      </c>
      <c r="G302" s="23">
        <f>G237*100</f>
        <v>6.1384102410227461</v>
      </c>
      <c r="H302" s="23">
        <f>H237*100</f>
        <v>5.5630079612985988</v>
      </c>
      <c r="P302" s="171" t="s">
        <v>532</v>
      </c>
      <c r="Q302" s="23">
        <f>Q237*100</f>
        <v>24</v>
      </c>
      <c r="R302" s="23">
        <f>R237*100</f>
        <v>23.972875947347433</v>
      </c>
      <c r="S302" s="23">
        <f>S237*100</f>
        <v>1.5358082057056652</v>
      </c>
      <c r="T302" s="23">
        <f>T237*100</f>
        <v>5.1632710019536701</v>
      </c>
      <c r="U302" s="23">
        <f>U237*100</f>
        <v>14.240458591039379</v>
      </c>
      <c r="AC302" s="171" t="s">
        <v>532</v>
      </c>
      <c r="AD302" s="23">
        <f>AD237*100</f>
        <v>10.909090909090919</v>
      </c>
      <c r="AE302" s="23">
        <f>AE237*100</f>
        <v>23.072497123130034</v>
      </c>
      <c r="AF302" s="23">
        <f>AF237*100</f>
        <v>3.9857651245551606</v>
      </c>
      <c r="AG302" s="23">
        <f>AG237*100</f>
        <v>5.7587336244541394</v>
      </c>
      <c r="AH302" s="23">
        <f>AH237*100</f>
        <v>8.5409628378378422</v>
      </c>
    </row>
    <row r="303" spans="2:34" x14ac:dyDescent="0.3">
      <c r="C303" s="172" t="s">
        <v>461</v>
      </c>
      <c r="D303" s="204">
        <f>D262*100</f>
        <v>11.764705882352944</v>
      </c>
      <c r="E303" s="204">
        <f>E262*100</f>
        <v>23.836564024468942</v>
      </c>
      <c r="F303" s="204">
        <f>F262*100</f>
        <v>2.0021445510296254</v>
      </c>
      <c r="G303" s="204">
        <f>G262*100</f>
        <v>4.0086273651725559</v>
      </c>
      <c r="H303" s="204">
        <f>H262*100</f>
        <v>5.2562470920579933</v>
      </c>
      <c r="P303" s="172" t="s">
        <v>461</v>
      </c>
      <c r="Q303" s="204">
        <f>Q262*100</f>
        <v>27.27272727272727</v>
      </c>
      <c r="R303" s="204">
        <f>R262*100</f>
        <v>24.080645161290324</v>
      </c>
      <c r="S303" s="204">
        <f>S262*100</f>
        <v>1.5200535902625301</v>
      </c>
      <c r="T303" s="204">
        <f>T262*100</f>
        <v>4.2334207204583096</v>
      </c>
      <c r="U303" s="204">
        <f>U262*100</f>
        <v>14.79087452471483</v>
      </c>
      <c r="AC303" s="172" t="s">
        <v>461</v>
      </c>
      <c r="AD303" s="204">
        <f>AD262*100</f>
        <v>20.833333333333329</v>
      </c>
      <c r="AE303" s="204">
        <f>AE262*100</f>
        <v>11.266349583828772</v>
      </c>
      <c r="AF303" s="204">
        <f>AF262*100</f>
        <v>3.2786885245901574</v>
      </c>
      <c r="AG303" s="204">
        <f>AG262*100</f>
        <v>3.402865571007168</v>
      </c>
      <c r="AH303" s="204">
        <f>AH262*100</f>
        <v>6.4566437928883422</v>
      </c>
    </row>
    <row r="305" spans="2:34" x14ac:dyDescent="0.3">
      <c r="B305" s="132" t="s">
        <v>612</v>
      </c>
      <c r="C305" s="170">
        <v>1977</v>
      </c>
      <c r="D305" s="181">
        <f>L10</f>
        <v>0.21475656805723145</v>
      </c>
      <c r="E305" s="46">
        <f>D305*F307*F313</f>
        <v>0.3412255196793107</v>
      </c>
      <c r="G305" s="170" t="s">
        <v>793</v>
      </c>
      <c r="H305" s="181">
        <f>E305</f>
        <v>0.3412255196793107</v>
      </c>
      <c r="O305" s="132" t="s">
        <v>616</v>
      </c>
      <c r="P305" s="170">
        <v>1977</v>
      </c>
      <c r="Q305" s="181">
        <f>Y10</f>
        <v>0.47729043001799576</v>
      </c>
      <c r="R305" s="46">
        <f>Q305*S307*S313</f>
        <v>0.78694605847322252</v>
      </c>
      <c r="T305" s="170" t="s">
        <v>793</v>
      </c>
      <c r="U305" s="181">
        <f>R305</f>
        <v>0.78694605847322252</v>
      </c>
      <c r="AB305" s="132" t="s">
        <v>634</v>
      </c>
      <c r="AC305" s="170">
        <v>1977</v>
      </c>
      <c r="AD305" s="181">
        <f>AL10</f>
        <v>0.21470184345220755</v>
      </c>
      <c r="AE305" s="46">
        <f>AD305*AF307*AF313</f>
        <v>0.26991900734754776</v>
      </c>
      <c r="AG305" s="170" t="s">
        <v>793</v>
      </c>
      <c r="AH305" s="181">
        <f>AE305</f>
        <v>0.26991900734754776</v>
      </c>
    </row>
    <row r="306" spans="2:34" x14ac:dyDescent="0.3">
      <c r="B306" s="116" t="s">
        <v>543</v>
      </c>
      <c r="C306" s="171">
        <v>1988</v>
      </c>
      <c r="D306" s="181">
        <f>L35</f>
        <v>0.25706865502374704</v>
      </c>
      <c r="E306" s="46">
        <f>D306*F307*F313</f>
        <v>0.40845495994498787</v>
      </c>
      <c r="G306" s="171" t="s">
        <v>794</v>
      </c>
      <c r="H306" s="181">
        <f>E306</f>
        <v>0.40845495994498787</v>
      </c>
      <c r="O306" s="116" t="s">
        <v>543</v>
      </c>
      <c r="P306" s="171">
        <v>1988</v>
      </c>
      <c r="Q306" s="181">
        <f>Y35</f>
        <v>0.4526765329966963</v>
      </c>
      <c r="R306" s="46">
        <f>Q306*S307*S313</f>
        <v>0.74636320152415891</v>
      </c>
      <c r="T306" s="171" t="s">
        <v>794</v>
      </c>
      <c r="U306" s="181">
        <f>R306</f>
        <v>0.74636320152415891</v>
      </c>
      <c r="AB306" s="116" t="s">
        <v>543</v>
      </c>
      <c r="AC306" s="171">
        <v>1988</v>
      </c>
      <c r="AD306" s="181">
        <f>AL35</f>
        <v>0.36032624526653073</v>
      </c>
      <c r="AE306" s="46">
        <f>AD306*AF307*AF313</f>
        <v>0.45299519035224656</v>
      </c>
      <c r="AG306" s="171" t="s">
        <v>794</v>
      </c>
      <c r="AH306" s="181">
        <f>AE306</f>
        <v>0.45299519035224656</v>
      </c>
    </row>
    <row r="307" spans="2:34" x14ac:dyDescent="0.3">
      <c r="B307" s="115" t="s">
        <v>639</v>
      </c>
      <c r="C307" s="171" t="s">
        <v>397</v>
      </c>
      <c r="D307" s="181">
        <f>L60</f>
        <v>0.36628856773754903</v>
      </c>
      <c r="E307" s="181">
        <f>D307*F313</f>
        <v>0.40845495994498787</v>
      </c>
      <c r="F307" s="135">
        <f>D307/D306</f>
        <v>1.4248667061478679</v>
      </c>
      <c r="G307" s="171" t="s">
        <v>798</v>
      </c>
      <c r="H307" s="181">
        <f>E308</f>
        <v>0.38608022021675903</v>
      </c>
      <c r="O307" s="115" t="s">
        <v>639</v>
      </c>
      <c r="P307" s="171" t="s">
        <v>397</v>
      </c>
      <c r="Q307" s="181">
        <f>Y60</f>
        <v>0.71828315113749286</v>
      </c>
      <c r="R307" s="181">
        <f>Q307*S313</f>
        <v>0.74636320152415891</v>
      </c>
      <c r="S307" s="135">
        <f>Q307/Q306</f>
        <v>1.5867470451416905</v>
      </c>
      <c r="T307" s="171" t="s">
        <v>798</v>
      </c>
      <c r="U307" s="181">
        <f>R308</f>
        <v>0.71672346387837338</v>
      </c>
      <c r="AB307" s="115" t="s">
        <v>639</v>
      </c>
      <c r="AC307" s="171" t="s">
        <v>397</v>
      </c>
      <c r="AD307" s="181">
        <f>AL60</f>
        <v>0.45482917897715447</v>
      </c>
      <c r="AE307" s="181">
        <f>AD307*AF313</f>
        <v>0.45299519035224656</v>
      </c>
      <c r="AF307" s="135">
        <f>AD307/AD306</f>
        <v>1.2622704700311813</v>
      </c>
      <c r="AG307" s="171" t="s">
        <v>798</v>
      </c>
      <c r="AH307" s="181">
        <f>AE308</f>
        <v>0.36768040541719632</v>
      </c>
    </row>
    <row r="308" spans="2:34" x14ac:dyDescent="0.3">
      <c r="C308" s="171" t="s">
        <v>401</v>
      </c>
      <c r="D308" s="181">
        <f>L85</f>
        <v>0.34622365930882731</v>
      </c>
      <c r="E308" s="46">
        <f>D308*F$313</f>
        <v>0.38608022021675903</v>
      </c>
      <c r="G308" s="171" t="s">
        <v>797</v>
      </c>
      <c r="H308" s="181">
        <f>E309</f>
        <v>0.39664708259466619</v>
      </c>
      <c r="P308" s="171" t="s">
        <v>401</v>
      </c>
      <c r="Q308" s="181">
        <f>Y85</f>
        <v>0.68975853455453784</v>
      </c>
      <c r="R308" s="46">
        <f>Q308*S$313</f>
        <v>0.71672346387837338</v>
      </c>
      <c r="T308" s="171" t="s">
        <v>797</v>
      </c>
      <c r="U308" s="181">
        <f>R309</f>
        <v>0.69765020897523788</v>
      </c>
      <c r="AC308" s="171" t="s">
        <v>401</v>
      </c>
      <c r="AD308" s="181">
        <f>AL85</f>
        <v>0.36916899005451292</v>
      </c>
      <c r="AE308" s="46">
        <f>AD308*AF$313</f>
        <v>0.36768040541719632</v>
      </c>
      <c r="AG308" s="171" t="s">
        <v>797</v>
      </c>
      <c r="AH308" s="181">
        <f>AE309</f>
        <v>0.36664427735143179</v>
      </c>
    </row>
    <row r="309" spans="2:34" x14ac:dyDescent="0.3">
      <c r="C309" s="171" t="s">
        <v>405</v>
      </c>
      <c r="D309" s="181">
        <f>L110</f>
        <v>0.35569966343521792</v>
      </c>
      <c r="E309" s="46">
        <f>D309*F$313</f>
        <v>0.39664708259466619</v>
      </c>
      <c r="G309" s="171" t="s">
        <v>796</v>
      </c>
      <c r="H309" s="181">
        <f>E310</f>
        <v>0.39701692149373019</v>
      </c>
      <c r="P309" s="171" t="s">
        <v>405</v>
      </c>
      <c r="Q309" s="181">
        <f>Y110</f>
        <v>0.67140286320539333</v>
      </c>
      <c r="R309" s="46">
        <f>Q309*S$313</f>
        <v>0.69765020897523788</v>
      </c>
      <c r="T309" s="171" t="s">
        <v>796</v>
      </c>
      <c r="U309" s="181">
        <f>R310</f>
        <v>0.70729010104948864</v>
      </c>
      <c r="AC309" s="171" t="s">
        <v>405</v>
      </c>
      <c r="AD309" s="181">
        <f>AL110</f>
        <v>0.36812866713827974</v>
      </c>
      <c r="AE309" s="46">
        <f>AD309*AF$313</f>
        <v>0.36664427735143179</v>
      </c>
      <c r="AG309" s="171" t="s">
        <v>796</v>
      </c>
      <c r="AH309" s="181">
        <f>AE310</f>
        <v>0.31717952349183376</v>
      </c>
    </row>
    <row r="310" spans="2:34" x14ac:dyDescent="0.3">
      <c r="C310" s="171" t="s">
        <v>437</v>
      </c>
      <c r="D310" s="181">
        <f>L160</f>
        <v>0.35603132242804791</v>
      </c>
      <c r="E310" s="46">
        <f>D310*F$313</f>
        <v>0.39701692149373019</v>
      </c>
      <c r="G310" s="171" t="s">
        <v>795</v>
      </c>
      <c r="H310" s="181">
        <f>E311</f>
        <v>0.40875853604130291</v>
      </c>
      <c r="P310" s="171" t="s">
        <v>437</v>
      </c>
      <c r="Q310" s="181">
        <f>Y160</f>
        <v>0.68068007842926592</v>
      </c>
      <c r="R310" s="46">
        <f>Q310*S$313</f>
        <v>0.70729010104948864</v>
      </c>
      <c r="T310" s="171" t="s">
        <v>795</v>
      </c>
      <c r="U310" s="181">
        <f>R311</f>
        <v>0.72884728876851401</v>
      </c>
      <c r="AC310" s="171" t="s">
        <v>437</v>
      </c>
      <c r="AD310" s="181">
        <f>AL160</f>
        <v>0.31846365111730679</v>
      </c>
      <c r="AE310" s="46">
        <f>AD310*AF$313</f>
        <v>0.31717952349183376</v>
      </c>
      <c r="AG310" s="171" t="s">
        <v>795</v>
      </c>
      <c r="AH310" s="181">
        <f>AE311</f>
        <v>0.36281060350810307</v>
      </c>
    </row>
    <row r="311" spans="2:34" x14ac:dyDescent="0.3">
      <c r="C311" s="171" t="s">
        <v>441</v>
      </c>
      <c r="D311" s="181">
        <f>L185</f>
        <v>0.36656080449416367</v>
      </c>
      <c r="E311" s="46">
        <f>D311*F$313</f>
        <v>0.40875853604130291</v>
      </c>
      <c r="G311" s="171" t="s">
        <v>532</v>
      </c>
      <c r="H311" s="181">
        <f>E313</f>
        <v>0.41019423010086348</v>
      </c>
      <c r="P311" s="171" t="s">
        <v>441</v>
      </c>
      <c r="Q311" s="181">
        <f>Y185</f>
        <v>0.70142623082914779</v>
      </c>
      <c r="R311" s="46">
        <f>Q311*S$313</f>
        <v>0.72884728876851401</v>
      </c>
      <c r="T311" s="171" t="s">
        <v>532</v>
      </c>
      <c r="U311" s="181">
        <f>R312</f>
        <v>0.74218796164486578</v>
      </c>
      <c r="AC311" s="171" t="s">
        <v>441</v>
      </c>
      <c r="AD311" s="181">
        <f>AL185</f>
        <v>0.36427947234821689</v>
      </c>
      <c r="AE311" s="46">
        <f>AD311*AF$313</f>
        <v>0.36281060350810307</v>
      </c>
      <c r="AG311" s="171" t="s">
        <v>532</v>
      </c>
      <c r="AH311" s="181">
        <f>AE312</f>
        <v>0.36488285963963213</v>
      </c>
    </row>
    <row r="312" spans="2:34" x14ac:dyDescent="0.3">
      <c r="C312" s="171" t="s">
        <v>531</v>
      </c>
      <c r="D312" s="181">
        <f>L210</f>
        <v>0.36784828627882993</v>
      </c>
      <c r="E312" s="46">
        <f>D312*F$313</f>
        <v>0.41019423010086348</v>
      </c>
      <c r="G312" s="172" t="s">
        <v>461</v>
      </c>
      <c r="H312" s="181">
        <f>E314</f>
        <v>0.41383096308474188</v>
      </c>
      <c r="P312" s="171" t="s">
        <v>531</v>
      </c>
      <c r="Q312" s="181">
        <f>Y210</f>
        <v>0.71426499422524248</v>
      </c>
      <c r="R312" s="46">
        <f>Q312*S$313</f>
        <v>0.74218796164486578</v>
      </c>
      <c r="T312" s="172" t="s">
        <v>461</v>
      </c>
      <c r="U312" s="181">
        <f>R314</f>
        <v>0.74234374580322859</v>
      </c>
      <c r="AC312" s="171" t="s">
        <v>531</v>
      </c>
      <c r="AD312" s="181">
        <f>AL210</f>
        <v>0.36636011818068331</v>
      </c>
      <c r="AE312" s="46">
        <f>AD312*AF$313</f>
        <v>0.36488285963963213</v>
      </c>
      <c r="AG312" s="172" t="s">
        <v>461</v>
      </c>
      <c r="AH312" s="181">
        <f>AE314</f>
        <v>0.31917107070034539</v>
      </c>
    </row>
    <row r="313" spans="2:34" x14ac:dyDescent="0.3">
      <c r="C313" s="171" t="s">
        <v>532</v>
      </c>
      <c r="D313" s="181">
        <f>L235</f>
        <v>0.41019423010086348</v>
      </c>
      <c r="E313" s="181">
        <f>D313</f>
        <v>0.41019423010086348</v>
      </c>
      <c r="F313" s="135">
        <f>D313/D312</f>
        <v>1.1151179586845628</v>
      </c>
      <c r="P313" s="171" t="s">
        <v>532</v>
      </c>
      <c r="Q313" s="181">
        <f>Y235</f>
        <v>0.74218796164486578</v>
      </c>
      <c r="R313" s="181">
        <f>Q313</f>
        <v>0.74218796164486578</v>
      </c>
      <c r="S313" s="135">
        <f>Q313/Q312</f>
        <v>1.0390932884088924</v>
      </c>
      <c r="AC313" s="171" t="s">
        <v>532</v>
      </c>
      <c r="AD313" s="181">
        <f>AL235</f>
        <v>0.36488285963963213</v>
      </c>
      <c r="AE313" s="181">
        <f>AD313</f>
        <v>0.36488285963963213</v>
      </c>
      <c r="AF313" s="135">
        <f>AD313/AD312</f>
        <v>0.99596774193548376</v>
      </c>
    </row>
    <row r="314" spans="2:34" x14ac:dyDescent="0.3">
      <c r="C314" s="172" t="s">
        <v>461</v>
      </c>
      <c r="D314" s="181">
        <f>L260</f>
        <v>0.41383096308474188</v>
      </c>
      <c r="E314" s="181">
        <f>D314</f>
        <v>0.41383096308474188</v>
      </c>
      <c r="P314" s="172" t="s">
        <v>461</v>
      </c>
      <c r="Q314" s="181">
        <f>Y260</f>
        <v>0.74234374580322859</v>
      </c>
      <c r="R314" s="181">
        <f>Q314</f>
        <v>0.74234374580322859</v>
      </c>
      <c r="AC314" s="172" t="s">
        <v>461</v>
      </c>
      <c r="AD314" s="181">
        <f>AL260</f>
        <v>0.31917107070034539</v>
      </c>
      <c r="AE314" s="181">
        <f>AD314</f>
        <v>0.31917107070034539</v>
      </c>
    </row>
    <row r="316" spans="2:34" x14ac:dyDescent="0.3">
      <c r="B316" s="132" t="s">
        <v>612</v>
      </c>
      <c r="C316" s="170">
        <v>1977</v>
      </c>
      <c r="D316" s="181">
        <f>L440</f>
        <v>1.2442402755274123E-2</v>
      </c>
      <c r="G316" s="170" t="s">
        <v>793</v>
      </c>
      <c r="H316" s="181">
        <f>D316</f>
        <v>1.2442402755274123E-2</v>
      </c>
      <c r="O316" s="132" t="s">
        <v>616</v>
      </c>
      <c r="P316" s="170">
        <v>1977</v>
      </c>
      <c r="Q316" s="181">
        <f>Y440</f>
        <v>2.3269155230778223E-2</v>
      </c>
      <c r="T316" s="170" t="s">
        <v>793</v>
      </c>
      <c r="U316" s="181">
        <f>Q316</f>
        <v>2.3269155230778223E-2</v>
      </c>
      <c r="AB316" s="132" t="s">
        <v>616</v>
      </c>
      <c r="AC316" s="170">
        <v>1977</v>
      </c>
      <c r="AD316" s="181">
        <f>AL440</f>
        <v>1.7158998214267668E-2</v>
      </c>
      <c r="AG316" s="170" t="s">
        <v>793</v>
      </c>
      <c r="AH316" s="181">
        <f>AD316</f>
        <v>1.7158998214267668E-2</v>
      </c>
    </row>
    <row r="317" spans="2:34" x14ac:dyDescent="0.3">
      <c r="B317" s="116" t="s">
        <v>543</v>
      </c>
      <c r="C317" s="171">
        <v>1988</v>
      </c>
      <c r="D317" s="181">
        <f t="shared" ref="D317:D319" si="428">L441</f>
        <v>1.6932241985176375E-2</v>
      </c>
      <c r="G317" s="171" t="s">
        <v>794</v>
      </c>
      <c r="H317" s="181">
        <f>D317</f>
        <v>1.6932241985176375E-2</v>
      </c>
      <c r="O317" s="116" t="s">
        <v>543</v>
      </c>
      <c r="P317" s="171">
        <v>1988</v>
      </c>
      <c r="Q317" s="181">
        <f t="shared" ref="Q317:Q319" si="429">Y441</f>
        <v>3.2633000715127709E-2</v>
      </c>
      <c r="T317" s="171" t="s">
        <v>794</v>
      </c>
      <c r="U317" s="181">
        <f>Q317</f>
        <v>3.2633000715127709E-2</v>
      </c>
      <c r="AB317" s="116" t="s">
        <v>543</v>
      </c>
      <c r="AC317" s="171">
        <v>1988</v>
      </c>
      <c r="AD317" s="181">
        <f t="shared" ref="AD317:AD319" si="430">AL441</f>
        <v>2.4510281549708596E-2</v>
      </c>
      <c r="AG317" s="171" t="s">
        <v>794</v>
      </c>
      <c r="AH317" s="181">
        <f>AD317</f>
        <v>2.4510281549708596E-2</v>
      </c>
    </row>
    <row r="318" spans="2:34" x14ac:dyDescent="0.3">
      <c r="B318" s="115" t="s">
        <v>805</v>
      </c>
      <c r="C318" s="171" t="s">
        <v>397</v>
      </c>
      <c r="D318" s="181">
        <f t="shared" si="428"/>
        <v>1.5043182561620167E-2</v>
      </c>
      <c r="G318" s="171" t="s">
        <v>798</v>
      </c>
      <c r="H318" s="181">
        <f>D319</f>
        <v>4.3793990527340648E-2</v>
      </c>
      <c r="O318" s="115" t="s">
        <v>805</v>
      </c>
      <c r="P318" s="171" t="s">
        <v>397</v>
      </c>
      <c r="Q318" s="181">
        <f t="shared" si="429"/>
        <v>1.7509785930719585E-2</v>
      </c>
      <c r="T318" s="171" t="s">
        <v>798</v>
      </c>
      <c r="U318" s="181">
        <f>Q319</f>
        <v>4.7487942653222343E-2</v>
      </c>
      <c r="AB318" s="115" t="s">
        <v>805</v>
      </c>
      <c r="AC318" s="171" t="s">
        <v>397</v>
      </c>
      <c r="AD318" s="181">
        <f t="shared" si="430"/>
        <v>2.052758698716213E-2</v>
      </c>
      <c r="AG318" s="171" t="s">
        <v>798</v>
      </c>
      <c r="AH318" s="181">
        <f>AD319</f>
        <v>1.5805795706413557E-2</v>
      </c>
    </row>
    <row r="319" spans="2:34" x14ac:dyDescent="0.3">
      <c r="C319" s="171" t="s">
        <v>401</v>
      </c>
      <c r="D319" s="181">
        <f t="shared" si="428"/>
        <v>4.3793990527340648E-2</v>
      </c>
      <c r="G319" s="171" t="s">
        <v>797</v>
      </c>
      <c r="H319" s="181">
        <f>D320</f>
        <v>2.3841780765460462E-2</v>
      </c>
      <c r="P319" s="171" t="s">
        <v>401</v>
      </c>
      <c r="Q319" s="181">
        <f t="shared" si="429"/>
        <v>4.7487942653222343E-2</v>
      </c>
      <c r="T319" s="171" t="s">
        <v>797</v>
      </c>
      <c r="U319" s="181">
        <f>Q320</f>
        <v>3.2060802781904936E-2</v>
      </c>
      <c r="AC319" s="171" t="s">
        <v>401</v>
      </c>
      <c r="AD319" s="181">
        <f t="shared" si="430"/>
        <v>1.5805795706413557E-2</v>
      </c>
      <c r="AG319" s="171" t="s">
        <v>797</v>
      </c>
      <c r="AH319" s="181">
        <f>AD320</f>
        <v>2.2528318209024886E-2</v>
      </c>
    </row>
    <row r="320" spans="2:34" x14ac:dyDescent="0.3">
      <c r="C320" s="171" t="s">
        <v>405</v>
      </c>
      <c r="D320" s="181">
        <f>L444</f>
        <v>2.3841780765460462E-2</v>
      </c>
      <c r="G320" s="171" t="s">
        <v>796</v>
      </c>
      <c r="H320" s="181">
        <f>D321</f>
        <v>3.2341317283049502E-2</v>
      </c>
      <c r="P320" s="171" t="s">
        <v>405</v>
      </c>
      <c r="Q320" s="181">
        <f>Y444</f>
        <v>3.2060802781904936E-2</v>
      </c>
      <c r="T320" s="171" t="s">
        <v>796</v>
      </c>
      <c r="U320" s="181">
        <f>Q321</f>
        <v>3.6604861551265348E-2</v>
      </c>
      <c r="AC320" s="171" t="s">
        <v>405</v>
      </c>
      <c r="AD320" s="181">
        <f>AL444</f>
        <v>2.2528318209024886E-2</v>
      </c>
      <c r="AG320" s="171" t="s">
        <v>796</v>
      </c>
      <c r="AH320" s="181">
        <f>AD321</f>
        <v>3.3065629536991437E-2</v>
      </c>
    </row>
    <row r="321" spans="3:34" x14ac:dyDescent="0.3">
      <c r="C321" s="171" t="s">
        <v>437</v>
      </c>
      <c r="D321" s="181">
        <f>L446</f>
        <v>3.2341317283049502E-2</v>
      </c>
      <c r="G321" s="171" t="s">
        <v>795</v>
      </c>
      <c r="H321" s="181">
        <f>D322</f>
        <v>1.869488037149809E-2</v>
      </c>
      <c r="P321" s="171" t="s">
        <v>437</v>
      </c>
      <c r="Q321" s="181">
        <f>Y446</f>
        <v>3.6604861551265348E-2</v>
      </c>
      <c r="T321" s="171" t="s">
        <v>795</v>
      </c>
      <c r="U321" s="181">
        <f>Q322</f>
        <v>2.1210592671264284E-2</v>
      </c>
      <c r="AC321" s="171" t="s">
        <v>437</v>
      </c>
      <c r="AD321" s="181">
        <f>AL446</f>
        <v>3.3065629536991437E-2</v>
      </c>
      <c r="AG321" s="171" t="s">
        <v>795</v>
      </c>
      <c r="AH321" s="181">
        <f>AD322</f>
        <v>1.7659756988811809E-2</v>
      </c>
    </row>
    <row r="322" spans="3:34" x14ac:dyDescent="0.3">
      <c r="C322" s="171" t="s">
        <v>441</v>
      </c>
      <c r="D322" s="181">
        <f>L447</f>
        <v>1.869488037149809E-2</v>
      </c>
      <c r="G322" s="171" t="s">
        <v>532</v>
      </c>
      <c r="H322" s="181">
        <f>D324</f>
        <v>2.2797393624120355E-2</v>
      </c>
      <c r="P322" s="171" t="s">
        <v>441</v>
      </c>
      <c r="Q322" s="181">
        <f>Y447</f>
        <v>2.1210592671264284E-2</v>
      </c>
      <c r="T322" s="171" t="s">
        <v>532</v>
      </c>
      <c r="U322" s="181">
        <f>Q324</f>
        <v>2.5964245558635971E-2</v>
      </c>
      <c r="AC322" s="171" t="s">
        <v>441</v>
      </c>
      <c r="AD322" s="181">
        <f>AL447</f>
        <v>1.7659756988811809E-2</v>
      </c>
      <c r="AG322" s="171" t="s">
        <v>532</v>
      </c>
      <c r="AH322" s="181">
        <f>AD324</f>
        <v>2.5502115062366975E-2</v>
      </c>
    </row>
    <row r="323" spans="3:34" x14ac:dyDescent="0.3">
      <c r="C323" s="171" t="s">
        <v>531</v>
      </c>
      <c r="D323" s="181">
        <f>L448</f>
        <v>2.4645920082560179E-2</v>
      </c>
      <c r="G323" s="172" t="s">
        <v>461</v>
      </c>
      <c r="H323" s="181">
        <f>D325</f>
        <v>1.8000867932442044E-2</v>
      </c>
      <c r="P323" s="171" t="s">
        <v>531</v>
      </c>
      <c r="Q323" s="181">
        <f>Y448</f>
        <v>2.3907159556586975E-2</v>
      </c>
      <c r="T323" s="172" t="s">
        <v>461</v>
      </c>
      <c r="U323" s="181">
        <f>Q325</f>
        <v>2.8182210599423167E-2</v>
      </c>
      <c r="AC323" s="171" t="s">
        <v>531</v>
      </c>
      <c r="AD323" s="181">
        <f>AL448</f>
        <v>1.9082527187512879E-2</v>
      </c>
      <c r="AG323" s="172" t="s">
        <v>461</v>
      </c>
      <c r="AH323" s="181">
        <f>AD325</f>
        <v>1.6434006110271973E-2</v>
      </c>
    </row>
    <row r="324" spans="3:34" x14ac:dyDescent="0.3">
      <c r="C324" s="171" t="s">
        <v>532</v>
      </c>
      <c r="D324" s="181">
        <f>L449</f>
        <v>2.2797393624120355E-2</v>
      </c>
      <c r="P324" s="171" t="s">
        <v>532</v>
      </c>
      <c r="Q324" s="181">
        <f>Y449</f>
        <v>2.5964245558635971E-2</v>
      </c>
      <c r="AC324" s="171" t="s">
        <v>532</v>
      </c>
      <c r="AD324" s="181">
        <f>AL449</f>
        <v>2.5502115062366975E-2</v>
      </c>
    </row>
    <row r="325" spans="3:34" x14ac:dyDescent="0.3">
      <c r="C325" s="172" t="s">
        <v>461</v>
      </c>
      <c r="D325" s="181">
        <f>L450</f>
        <v>1.8000867932442044E-2</v>
      </c>
      <c r="P325" s="172" t="s">
        <v>461</v>
      </c>
      <c r="Q325" s="181">
        <f>Y450</f>
        <v>2.8182210599423167E-2</v>
      </c>
      <c r="AC325" s="172" t="s">
        <v>461</v>
      </c>
      <c r="AD325" s="181">
        <f>AL450</f>
        <v>1.6434006110271973E-2</v>
      </c>
    </row>
    <row r="342" spans="2:39" x14ac:dyDescent="0.3">
      <c r="D342" s="154" t="s">
        <v>524</v>
      </c>
      <c r="E342" s="155" t="s">
        <v>523</v>
      </c>
      <c r="F342" s="156" t="s">
        <v>525</v>
      </c>
      <c r="G342" s="157" t="s">
        <v>526</v>
      </c>
      <c r="H342" s="158" t="s">
        <v>527</v>
      </c>
      <c r="I342" s="154" t="s">
        <v>640</v>
      </c>
      <c r="J342" s="155" t="s">
        <v>641</v>
      </c>
      <c r="K342" s="156" t="s">
        <v>642</v>
      </c>
      <c r="L342" s="157" t="s">
        <v>643</v>
      </c>
      <c r="M342" s="158" t="s">
        <v>644</v>
      </c>
      <c r="Q342" s="154" t="s">
        <v>524</v>
      </c>
      <c r="R342" s="155" t="s">
        <v>523</v>
      </c>
      <c r="S342" s="156" t="s">
        <v>525</v>
      </c>
      <c r="T342" s="157" t="s">
        <v>526</v>
      </c>
      <c r="U342" s="158" t="s">
        <v>527</v>
      </c>
      <c r="V342" s="154" t="s">
        <v>640</v>
      </c>
      <c r="W342" s="155" t="s">
        <v>641</v>
      </c>
      <c r="X342" s="156" t="s">
        <v>642</v>
      </c>
      <c r="Y342" s="157" t="s">
        <v>643</v>
      </c>
      <c r="Z342" s="158" t="s">
        <v>644</v>
      </c>
      <c r="AD342" s="154" t="s">
        <v>524</v>
      </c>
      <c r="AE342" s="155" t="s">
        <v>523</v>
      </c>
      <c r="AF342" s="156" t="s">
        <v>525</v>
      </c>
      <c r="AG342" s="157" t="s">
        <v>526</v>
      </c>
      <c r="AH342" s="158" t="s">
        <v>527</v>
      </c>
      <c r="AI342" s="154" t="s">
        <v>640</v>
      </c>
      <c r="AJ342" s="155" t="s">
        <v>641</v>
      </c>
      <c r="AK342" s="156" t="s">
        <v>642</v>
      </c>
      <c r="AL342" s="157" t="s">
        <v>643</v>
      </c>
      <c r="AM342" s="158" t="s">
        <v>644</v>
      </c>
    </row>
    <row r="343" spans="2:39" x14ac:dyDescent="0.3">
      <c r="B343" s="132" t="s">
        <v>612</v>
      </c>
      <c r="C343" s="170">
        <v>1977</v>
      </c>
      <c r="D343" s="218">
        <f>D8</f>
        <v>5.9687102772139448E-3</v>
      </c>
      <c r="E343" s="218">
        <f>E8</f>
        <v>1.528855829448048E-3</v>
      </c>
      <c r="F343" s="218">
        <f>F8</f>
        <v>0.2277886936067432</v>
      </c>
      <c r="G343" s="218">
        <f>G8</f>
        <v>0.426159004230725</v>
      </c>
      <c r="H343" s="218">
        <f>H8</f>
        <v>0.33410313535210789</v>
      </c>
      <c r="I343" s="218">
        <f>D10</f>
        <v>5.577629048168632E-3</v>
      </c>
      <c r="J343" s="218">
        <f>E10</f>
        <v>1.0161663030317548E-3</v>
      </c>
      <c r="K343" s="218">
        <f>F10</f>
        <v>0.21475656805723145</v>
      </c>
      <c r="L343" s="218">
        <f>G10</f>
        <v>0.40630253426624713</v>
      </c>
      <c r="M343" s="218">
        <f>H10</f>
        <v>0.31796769503218592</v>
      </c>
      <c r="O343" s="132" t="s">
        <v>616</v>
      </c>
      <c r="P343" s="170">
        <v>1977</v>
      </c>
      <c r="Q343" s="218">
        <f>Q8</f>
        <v>1.3966855577341464E-4</v>
      </c>
      <c r="R343" s="218">
        <f>R8</f>
        <v>2.433455990975263E-3</v>
      </c>
      <c r="S343" s="218">
        <f>S8</f>
        <v>0.49501759286615993</v>
      </c>
      <c r="T343" s="218">
        <f>T8</f>
        <v>0.35649324487658135</v>
      </c>
      <c r="U343" s="218">
        <f>U8</f>
        <v>0.14059788885606081</v>
      </c>
      <c r="V343" s="218">
        <f>Q10</f>
        <v>0</v>
      </c>
      <c r="W343" s="218">
        <f>R10</f>
        <v>2.2400687599043807E-3</v>
      </c>
      <c r="X343" s="218">
        <f>S10</f>
        <v>0.47729043001799576</v>
      </c>
      <c r="Y343" s="218">
        <f>T10</f>
        <v>0.34265531411995381</v>
      </c>
      <c r="Z343" s="218">
        <f>U10</f>
        <v>0.13105745212323064</v>
      </c>
      <c r="AB343" s="132" t="s">
        <v>634</v>
      </c>
      <c r="AC343" s="170">
        <v>1977</v>
      </c>
      <c r="AD343" s="218">
        <f>AD8</f>
        <v>0</v>
      </c>
      <c r="AE343" s="218">
        <f>AE8</f>
        <v>0</v>
      </c>
      <c r="AF343" s="218">
        <f>AF8</f>
        <v>0.22483458865631892</v>
      </c>
      <c r="AG343" s="218">
        <f>AG8</f>
        <v>0.40518496941450627</v>
      </c>
      <c r="AH343" s="218">
        <f>AH8</f>
        <v>0.36507011776455411</v>
      </c>
      <c r="AI343" s="218">
        <f>AD10</f>
        <v>0</v>
      </c>
      <c r="AJ343" s="218">
        <f>AE10</f>
        <v>0</v>
      </c>
      <c r="AK343" s="218">
        <f>AF10</f>
        <v>0.21470184345220755</v>
      </c>
      <c r="AL343" s="218">
        <f>AG10</f>
        <v>0.37285173317797843</v>
      </c>
      <c r="AM343" s="218">
        <f>AH10</f>
        <v>0.33650285048479045</v>
      </c>
    </row>
    <row r="344" spans="2:39" x14ac:dyDescent="0.3">
      <c r="B344" s="116" t="s">
        <v>543</v>
      </c>
      <c r="C344" s="171">
        <v>1988</v>
      </c>
      <c r="D344" s="49">
        <f>D33</f>
        <v>1.4673607245274955E-3</v>
      </c>
      <c r="E344" s="49">
        <f>E33</f>
        <v>6.4903822346860495E-4</v>
      </c>
      <c r="F344" s="49">
        <f>F33</f>
        <v>0.2795454613503266</v>
      </c>
      <c r="G344" s="49">
        <f>G33</f>
        <v>0.35668911276382725</v>
      </c>
      <c r="H344" s="49">
        <f>H33</f>
        <v>0.35714284069151825</v>
      </c>
      <c r="I344" s="49">
        <f>D35</f>
        <v>9.4891322948568232E-4</v>
      </c>
      <c r="J344" s="49">
        <f>E35</f>
        <v>4.9679753300985836E-4</v>
      </c>
      <c r="K344" s="49">
        <f>F35</f>
        <v>0.25706865502374704</v>
      </c>
      <c r="L344" s="49">
        <f>G35</f>
        <v>0.34373068921272215</v>
      </c>
      <c r="M344" s="49">
        <f>H35</f>
        <v>0.33745726723584574</v>
      </c>
      <c r="O344" s="116" t="s">
        <v>543</v>
      </c>
      <c r="P344" s="171">
        <v>1988</v>
      </c>
      <c r="Q344" s="49">
        <f>Q33</f>
        <v>0</v>
      </c>
      <c r="R344" s="49">
        <f>R33</f>
        <v>1.8747817678816043E-3</v>
      </c>
      <c r="S344" s="49">
        <f>S33</f>
        <v>0.48203916091429189</v>
      </c>
      <c r="T344" s="49">
        <f>T33</f>
        <v>0.21759286615992049</v>
      </c>
      <c r="U344" s="49">
        <f>U33</f>
        <v>0.29386801321479411</v>
      </c>
      <c r="V344" s="49">
        <f>Q35</f>
        <v>0</v>
      </c>
      <c r="W344" s="49">
        <f>R35</f>
        <v>1.2946200746689587E-3</v>
      </c>
      <c r="X344" s="49">
        <f>S35</f>
        <v>0.4526765329966963</v>
      </c>
      <c r="Y344" s="49">
        <f>T35</f>
        <v>0.20929870269399156</v>
      </c>
      <c r="Z344" s="49">
        <f>U35</f>
        <v>0.26934543794150034</v>
      </c>
      <c r="AB344" s="116" t="s">
        <v>543</v>
      </c>
      <c r="AC344" s="171">
        <v>1988</v>
      </c>
      <c r="AD344" s="49">
        <f>AD33</f>
        <v>0</v>
      </c>
      <c r="AE344" s="49">
        <f>AE33</f>
        <v>2.5800008322583328E-3</v>
      </c>
      <c r="AF344" s="49">
        <f>AF33</f>
        <v>0.37923931588365029</v>
      </c>
      <c r="AG344" s="49">
        <f>AG33</f>
        <v>0.21349506886937705</v>
      </c>
      <c r="AH344" s="49">
        <f>AH33</f>
        <v>0.39977529025009362</v>
      </c>
      <c r="AI344" s="49">
        <f>AD35</f>
        <v>0</v>
      </c>
      <c r="AJ344" s="49">
        <f>AE35</f>
        <v>1.1235487495318548E-3</v>
      </c>
      <c r="AK344" s="49">
        <f>AF35</f>
        <v>0.36032624526653073</v>
      </c>
      <c r="AL344" s="49">
        <f>AG35</f>
        <v>0.20082393574965668</v>
      </c>
      <c r="AM344" s="49">
        <f>AH35</f>
        <v>0.37341350755274438</v>
      </c>
    </row>
    <row r="345" spans="2:39" x14ac:dyDescent="0.3">
      <c r="B345" s="115" t="s">
        <v>645</v>
      </c>
      <c r="C345" s="171" t="s">
        <v>397</v>
      </c>
      <c r="D345" s="49">
        <f>D58</f>
        <v>7.2181894689517668E-4</v>
      </c>
      <c r="E345" s="49">
        <f t="shared" ref="E345:H345" si="431">E58</f>
        <v>2.0956702609442285E-3</v>
      </c>
      <c r="F345" s="49">
        <f t="shared" si="431"/>
        <v>0.37596771299704801</v>
      </c>
      <c r="G345" s="49">
        <f t="shared" si="431"/>
        <v>0.3475194325683143</v>
      </c>
      <c r="H345" s="49">
        <f t="shared" si="431"/>
        <v>0.26928591285337516</v>
      </c>
      <c r="I345" s="49">
        <f>D60</f>
        <v>5.8063355619742839E-4</v>
      </c>
      <c r="J345" s="49">
        <f t="shared" ref="J345:M345" si="432">E60</f>
        <v>1.7045890318989161E-3</v>
      </c>
      <c r="K345" s="49">
        <f t="shared" si="432"/>
        <v>0.36628856773754903</v>
      </c>
      <c r="L345" s="49">
        <f t="shared" si="432"/>
        <v>0.33371366635427768</v>
      </c>
      <c r="M345" s="49">
        <f t="shared" si="432"/>
        <v>0.25787707381877006</v>
      </c>
      <c r="O345" s="115" t="s">
        <v>645</v>
      </c>
      <c r="P345" s="171" t="s">
        <v>397</v>
      </c>
      <c r="Q345" s="49">
        <f>Q58</f>
        <v>0</v>
      </c>
      <c r="R345" s="49">
        <f t="shared" ref="R345:U345" si="433">R58</f>
        <v>1.1173484461873171E-3</v>
      </c>
      <c r="S345" s="49">
        <f t="shared" si="433"/>
        <v>0.72577690634148961</v>
      </c>
      <c r="T345" s="49">
        <f t="shared" si="433"/>
        <v>0.23569068786763719</v>
      </c>
      <c r="U345" s="49">
        <f t="shared" si="433"/>
        <v>3.2940291692406864E-2</v>
      </c>
      <c r="V345" s="49">
        <f>Q60</f>
        <v>0</v>
      </c>
      <c r="W345" s="49">
        <f t="shared" ref="W345" si="434">R60</f>
        <v>9.6156428782466225E-4</v>
      </c>
      <c r="X345" s="49">
        <f t="shared" ref="X345" si="435">S60</f>
        <v>0.71828315113749286</v>
      </c>
      <c r="Y345" s="49">
        <f t="shared" ref="Y345" si="436">T60</f>
        <v>0.22800354543256965</v>
      </c>
      <c r="Z345" s="49">
        <f t="shared" ref="Z345" si="437">U60</f>
        <v>2.8734119416615189E-2</v>
      </c>
      <c r="AB345" s="115" t="s">
        <v>645</v>
      </c>
      <c r="AC345" s="171" t="s">
        <v>397</v>
      </c>
      <c r="AD345" s="49">
        <f>AD58</f>
        <v>0</v>
      </c>
      <c r="AE345" s="49">
        <f t="shared" ref="AE345:AH345" si="438">AE58</f>
        <v>1.3108068744538304E-3</v>
      </c>
      <c r="AF345" s="49">
        <f t="shared" si="438"/>
        <v>0.464150472306604</v>
      </c>
      <c r="AG345" s="49">
        <f t="shared" si="438"/>
        <v>0.28583912446423371</v>
      </c>
      <c r="AH345" s="49">
        <f t="shared" si="438"/>
        <v>0.24418459489825642</v>
      </c>
      <c r="AI345" s="49">
        <f>AD60</f>
        <v>0</v>
      </c>
      <c r="AJ345" s="49">
        <f t="shared" ref="AJ345" si="439">AE60</f>
        <v>9.362906246098789E-4</v>
      </c>
      <c r="AK345" s="49">
        <f t="shared" ref="AK345" si="440">AF60</f>
        <v>0.45482917897715447</v>
      </c>
      <c r="AL345" s="49">
        <f t="shared" ref="AL345" si="441">AG60</f>
        <v>0.26832008655486667</v>
      </c>
      <c r="AM345" s="49">
        <f t="shared" ref="AM345" si="442">AH60</f>
        <v>0.23188797802838002</v>
      </c>
    </row>
    <row r="346" spans="2:39" x14ac:dyDescent="0.3">
      <c r="B346" s="115" t="s">
        <v>646</v>
      </c>
      <c r="C346" s="171" t="s">
        <v>401</v>
      </c>
      <c r="D346" s="49">
        <f>D83</f>
        <v>1.7967165299072347E-3</v>
      </c>
      <c r="E346" s="49">
        <f t="shared" ref="E346:H346" si="443">E83</f>
        <v>1.778636508423102E-2</v>
      </c>
      <c r="F346" s="49">
        <f t="shared" si="443"/>
        <v>0.35942691168588947</v>
      </c>
      <c r="G346" s="49">
        <f t="shared" si="443"/>
        <v>0.29417392612157744</v>
      </c>
      <c r="H346" s="49">
        <f t="shared" si="443"/>
        <v>0.2560458094771097</v>
      </c>
      <c r="I346" s="49">
        <f>D85</f>
        <v>1.6898486322175852E-3</v>
      </c>
      <c r="J346" s="49">
        <f t="shared" ref="J346:M346" si="444">E85</f>
        <v>1.4233007486050171E-2</v>
      </c>
      <c r="K346" s="49">
        <f t="shared" si="444"/>
        <v>0.34622365930882731</v>
      </c>
      <c r="L346" s="49">
        <f t="shared" si="444"/>
        <v>0.28020210009238089</v>
      </c>
      <c r="M346" s="49">
        <f t="shared" si="444"/>
        <v>0.24443037452822089</v>
      </c>
      <c r="O346" s="115" t="s">
        <v>646</v>
      </c>
      <c r="P346" s="171" t="s">
        <v>401</v>
      </c>
      <c r="Q346" s="49">
        <f>Q83</f>
        <v>0</v>
      </c>
      <c r="R346" s="49">
        <f t="shared" ref="R346:U346" si="445">R83</f>
        <v>5.3181488544492492E-3</v>
      </c>
      <c r="S346" s="49">
        <f t="shared" si="445"/>
        <v>0.70489645725336414</v>
      </c>
      <c r="T346" s="49">
        <f t="shared" si="445"/>
        <v>0.20991646745991244</v>
      </c>
      <c r="U346" s="49">
        <f t="shared" si="445"/>
        <v>4.7095162633289465E-2</v>
      </c>
      <c r="V346" s="49">
        <f>Q85</f>
        <v>0</v>
      </c>
      <c r="W346" s="49">
        <f t="shared" ref="W346" si="446">R85</f>
        <v>4.4479063146302808E-3</v>
      </c>
      <c r="X346" s="49">
        <f t="shared" ref="X346" si="447">S85</f>
        <v>0.68975853455453784</v>
      </c>
      <c r="Y346" s="49">
        <f t="shared" ref="Y346" si="448">T85</f>
        <v>0.2010582579033601</v>
      </c>
      <c r="Z346" s="49">
        <f t="shared" ref="Z346" si="449">U85</f>
        <v>3.9574548091644061E-2</v>
      </c>
      <c r="AB346" s="115" t="s">
        <v>646</v>
      </c>
      <c r="AC346" s="171" t="s">
        <v>401</v>
      </c>
      <c r="AD346" s="49">
        <f>AD83</f>
        <v>0</v>
      </c>
      <c r="AE346" s="49">
        <f t="shared" ref="AE346:AH346" si="450">AE83</f>
        <v>6.4500020806458321E-4</v>
      </c>
      <c r="AF346" s="49">
        <f t="shared" si="450"/>
        <v>0.38040447754983148</v>
      </c>
      <c r="AG346" s="49">
        <f t="shared" si="450"/>
        <v>0.37643044400982062</v>
      </c>
      <c r="AH346" s="49">
        <f t="shared" si="450"/>
        <v>0.23802588323415588</v>
      </c>
      <c r="AI346" s="49">
        <f>AD85</f>
        <v>0</v>
      </c>
      <c r="AJ346" s="49">
        <f t="shared" ref="AJ346" si="451">AE85</f>
        <v>3.9532270816861553E-4</v>
      </c>
      <c r="AK346" s="49">
        <f t="shared" ref="AK346" si="452">AF85</f>
        <v>0.36916899005451292</v>
      </c>
      <c r="AL346" s="49">
        <f t="shared" ref="AL346" si="453">AG85</f>
        <v>0.36583995672256669</v>
      </c>
      <c r="AM346" s="49">
        <f t="shared" ref="AM346" si="454">AH85</f>
        <v>0.22323249136531981</v>
      </c>
    </row>
    <row r="347" spans="2:39" x14ac:dyDescent="0.3">
      <c r="C347" s="171" t="s">
        <v>405</v>
      </c>
      <c r="D347" s="49">
        <f>D108</f>
        <v>9.4246430462509995E-4</v>
      </c>
      <c r="E347" s="49">
        <f t="shared" ref="E347:H347" si="455">E108</f>
        <v>5.4293037763752392E-3</v>
      </c>
      <c r="F347" s="49">
        <f t="shared" si="455"/>
        <v>0.36980231051158635</v>
      </c>
      <c r="G347" s="49">
        <f t="shared" si="455"/>
        <v>0.34023675385075669</v>
      </c>
      <c r="H347" s="49">
        <f t="shared" si="455"/>
        <v>0.2718832173409747</v>
      </c>
      <c r="I347" s="49">
        <f>D110</f>
        <v>7.6097313354871209E-4</v>
      </c>
      <c r="J347" s="49">
        <f t="shared" ref="J347:M347" si="456">E110</f>
        <v>4.5437282017702762E-3</v>
      </c>
      <c r="K347" s="49">
        <f t="shared" si="456"/>
        <v>0.35569966343521792</v>
      </c>
      <c r="L347" s="49">
        <f t="shared" si="456"/>
        <v>0.32105373589671959</v>
      </c>
      <c r="M347" s="49">
        <f t="shared" si="456"/>
        <v>0.25422490947897525</v>
      </c>
      <c r="P347" s="171" t="s">
        <v>405</v>
      </c>
      <c r="Q347" s="49">
        <f>Q108</f>
        <v>0</v>
      </c>
      <c r="R347" s="49">
        <f t="shared" ref="R347:U347" si="457">R108</f>
        <v>3.1694018425505628E-3</v>
      </c>
      <c r="S347" s="49">
        <f t="shared" si="457"/>
        <v>0.68744325964921704</v>
      </c>
      <c r="T347" s="49">
        <f t="shared" si="457"/>
        <v>0.22418951948644947</v>
      </c>
      <c r="U347" s="49">
        <f t="shared" si="457"/>
        <v>8.0723053369503917E-2</v>
      </c>
      <c r="V347" s="49">
        <f>Q110</f>
        <v>0</v>
      </c>
      <c r="W347" s="49">
        <f t="shared" ref="W347" si="458">R110</f>
        <v>2.6322150895758912E-3</v>
      </c>
      <c r="X347" s="49">
        <f t="shared" ref="X347" si="459">S110</f>
        <v>0.67140286320539333</v>
      </c>
      <c r="Y347" s="49">
        <f t="shared" ref="Y347" si="460">T110</f>
        <v>0.21192554591603771</v>
      </c>
      <c r="Z347" s="49">
        <f t="shared" ref="Z347" si="461">U110</f>
        <v>6.7610324729392171E-2</v>
      </c>
      <c r="AC347" s="171" t="s">
        <v>405</v>
      </c>
      <c r="AD347" s="49">
        <f>AD108</f>
        <v>0</v>
      </c>
      <c r="AE347" s="49">
        <f t="shared" ref="AE347:AH347" si="462">AE108</f>
        <v>7.6775831218010068E-3</v>
      </c>
      <c r="AF347" s="49">
        <f t="shared" si="462"/>
        <v>0.38427447879821897</v>
      </c>
      <c r="AG347" s="49">
        <f t="shared" si="462"/>
        <v>0.35949398693354417</v>
      </c>
      <c r="AH347" s="49">
        <f t="shared" si="462"/>
        <v>0.24405975614830844</v>
      </c>
      <c r="AI347" s="49">
        <f>AD110</f>
        <v>0</v>
      </c>
      <c r="AJ347" s="49">
        <f t="shared" ref="AJ347" si="463">AE110</f>
        <v>4.827098331322042E-3</v>
      </c>
      <c r="AK347" s="49">
        <f t="shared" ref="AK347" si="464">AF110</f>
        <v>0.36812866713827974</v>
      </c>
      <c r="AL347" s="49">
        <f t="shared" ref="AL347" si="465">AG110</f>
        <v>0.34016478714993137</v>
      </c>
      <c r="AM347" s="49">
        <f t="shared" ref="AM347" si="466">AH110</f>
        <v>0.22851733177978445</v>
      </c>
    </row>
    <row r="348" spans="2:39" x14ac:dyDescent="0.3">
      <c r="C348" s="171" t="s">
        <v>429</v>
      </c>
      <c r="D348" s="49">
        <f>D133</f>
        <v>7.4346890892713164E-4</v>
      </c>
      <c r="E348" s="49">
        <f t="shared" ref="E348:H348" si="467">E133</f>
        <v>1.7177172003651014E-3</v>
      </c>
      <c r="F348" s="49">
        <f t="shared" si="467"/>
        <v>0.29615950402240176</v>
      </c>
      <c r="G348" s="49">
        <f t="shared" si="467"/>
        <v>0.29362853133336825</v>
      </c>
      <c r="H348" s="49">
        <f t="shared" si="467"/>
        <v>0.22399580451374071</v>
      </c>
      <c r="I348" s="49">
        <f>D135</f>
        <v>6.7091850424558057E-4</v>
      </c>
      <c r="J348" s="49">
        <f t="shared" ref="J348:M348" si="468">E135</f>
        <v>1.3545045394673051E-3</v>
      </c>
      <c r="K348" s="49">
        <f t="shared" si="468"/>
        <v>0.28884642323050141</v>
      </c>
      <c r="L348" s="49">
        <f t="shared" si="468"/>
        <v>0.2824594541123297</v>
      </c>
      <c r="M348" s="49">
        <f t="shared" si="468"/>
        <v>0.21103899319385078</v>
      </c>
      <c r="P348" s="171" t="s">
        <v>429</v>
      </c>
      <c r="Q348" s="49">
        <f>Q133</f>
        <v>0</v>
      </c>
      <c r="R348" s="49">
        <f t="shared" ref="R348:U348" si="469">R133</f>
        <v>3.5024576293948588E-3</v>
      </c>
      <c r="S348" s="49">
        <f t="shared" si="469"/>
        <v>0.49431387821976314</v>
      </c>
      <c r="T348" s="49">
        <f t="shared" si="469"/>
        <v>0.12353683758158523</v>
      </c>
      <c r="U348" s="49">
        <f t="shared" si="469"/>
        <v>5.9493432891944885E-2</v>
      </c>
      <c r="V348" s="49">
        <f>Q135</f>
        <v>0</v>
      </c>
      <c r="W348" s="49">
        <f t="shared" ref="W348" si="470">R135</f>
        <v>2.986758346539174E-3</v>
      </c>
      <c r="X348" s="49">
        <f t="shared" ref="X348" si="471">S135</f>
        <v>0.48950068491311005</v>
      </c>
      <c r="Y348" s="49">
        <f t="shared" ref="Y348" si="472">T135</f>
        <v>0.11985710832370874</v>
      </c>
      <c r="Z348" s="49">
        <f t="shared" ref="Z348" si="473">U135</f>
        <v>5.5303376218742449E-2</v>
      </c>
      <c r="AC348" s="171" t="s">
        <v>429</v>
      </c>
      <c r="AD348" s="49">
        <f>AD133</f>
        <v>0</v>
      </c>
      <c r="AE348" s="49">
        <f t="shared" ref="AE348:AH348" si="474">AE133</f>
        <v>1.737339270109442E-2</v>
      </c>
      <c r="AF348" s="49">
        <f t="shared" si="474"/>
        <v>0.29058299696225709</v>
      </c>
      <c r="AG348" s="49">
        <f t="shared" si="474"/>
        <v>0.20379925929008363</v>
      </c>
      <c r="AH348" s="49">
        <f t="shared" si="474"/>
        <v>0.21422329491074027</v>
      </c>
      <c r="AI348" s="49">
        <f>AD135</f>
        <v>0</v>
      </c>
      <c r="AJ348" s="49">
        <f t="shared" ref="AJ348" si="475">AE135</f>
        <v>1.0798551870500604E-2</v>
      </c>
      <c r="AK348" s="49">
        <f t="shared" ref="AK348" si="476">AF135</f>
        <v>0.2830094461320794</v>
      </c>
      <c r="AL348" s="49">
        <f t="shared" ref="AL348" si="477">AG135</f>
        <v>0.19926345137530688</v>
      </c>
      <c r="AM348" s="49">
        <f t="shared" ref="AM348" si="478">AH135</f>
        <v>0.20419458199825224</v>
      </c>
    </row>
    <row r="349" spans="2:39" x14ac:dyDescent="0.3">
      <c r="C349" s="171" t="s">
        <v>437</v>
      </c>
      <c r="D349" s="49">
        <f>D158</f>
        <v>7.4531145888729797E-4</v>
      </c>
      <c r="E349" s="49">
        <f t="shared" ref="E349:H349" si="479">E158</f>
        <v>1.317768699636488E-2</v>
      </c>
      <c r="F349" s="49">
        <f t="shared" si="479"/>
        <v>0.36867305770474934</v>
      </c>
      <c r="G349" s="49">
        <f t="shared" si="479"/>
        <v>0.33989196668946053</v>
      </c>
      <c r="H349" s="49">
        <f t="shared" si="479"/>
        <v>0.23541201374818654</v>
      </c>
      <c r="I349" s="49">
        <f>D160</f>
        <v>3.0286914970234762E-4</v>
      </c>
      <c r="J349" s="49">
        <f t="shared" ref="J349:M349" si="480">E160</f>
        <v>1.0938988794762737E-2</v>
      </c>
      <c r="K349" s="49">
        <f t="shared" si="480"/>
        <v>0.35603132242804791</v>
      </c>
      <c r="L349" s="49">
        <f t="shared" si="480"/>
        <v>0.32596228899060281</v>
      </c>
      <c r="M349" s="49">
        <f t="shared" si="480"/>
        <v>0.22273411842851681</v>
      </c>
      <c r="P349" s="171" t="s">
        <v>437</v>
      </c>
      <c r="Q349" s="49">
        <f>Q158</f>
        <v>1.4504042330316136E-4</v>
      </c>
      <c r="R349" s="49">
        <f t="shared" ref="R349:U349" si="481">R158</f>
        <v>2.1702344820176734E-2</v>
      </c>
      <c r="S349" s="49">
        <f t="shared" si="481"/>
        <v>0.69254116193494675</v>
      </c>
      <c r="T349" s="49">
        <f t="shared" si="481"/>
        <v>0.2100507641481561</v>
      </c>
      <c r="U349" s="49">
        <f t="shared" si="481"/>
        <v>5.3772393972764627E-2</v>
      </c>
      <c r="V349" s="49">
        <f>Q160</f>
        <v>4.834680776772045E-5</v>
      </c>
      <c r="W349" s="49">
        <f t="shared" ref="W349" si="482">R160</f>
        <v>1.7737906583223662E-2</v>
      </c>
      <c r="X349" s="49">
        <f t="shared" ref="X349" si="483">S160</f>
        <v>0.68068007842926592</v>
      </c>
      <c r="Y349" s="49">
        <f t="shared" ref="Y349" si="484">T160</f>
        <v>0.2026698181622841</v>
      </c>
      <c r="Z349" s="49">
        <f t="shared" ref="Z349" si="485">U160</f>
        <v>4.715962504364643E-2</v>
      </c>
      <c r="AC349" s="171" t="s">
        <v>437</v>
      </c>
      <c r="AD349" s="49">
        <f>AD158</f>
        <v>0</v>
      </c>
      <c r="AE349" s="49">
        <f t="shared" ref="AE349:AH349" si="486">AE158</f>
        <v>3.9698722483458862E-2</v>
      </c>
      <c r="AF349" s="49">
        <f t="shared" si="486"/>
        <v>0.33735591527610165</v>
      </c>
      <c r="AG349" s="49">
        <f t="shared" si="486"/>
        <v>0.36929382880446093</v>
      </c>
      <c r="AH349" s="49">
        <f t="shared" si="486"/>
        <v>0.21124797137031334</v>
      </c>
      <c r="AI349" s="49">
        <f>AD160</f>
        <v>0</v>
      </c>
      <c r="AJ349" s="49">
        <f t="shared" ref="AJ349" si="487">AE160</f>
        <v>3.468436602721485E-2</v>
      </c>
      <c r="AK349" s="49">
        <f t="shared" ref="AK349" si="488">AF160</f>
        <v>0.31846365111730679</v>
      </c>
      <c r="AL349" s="49">
        <f t="shared" ref="AL349" si="489">AG160</f>
        <v>0.35433398526902754</v>
      </c>
      <c r="AM349" s="49">
        <f t="shared" ref="AM349" si="490">AH160</f>
        <v>0.19866006408389164</v>
      </c>
    </row>
    <row r="350" spans="2:39" x14ac:dyDescent="0.3">
      <c r="C350" s="171" t="s">
        <v>530</v>
      </c>
      <c r="D350" s="49">
        <f>D183</f>
        <v>9.4154302964501678E-4</v>
      </c>
      <c r="E350" s="49">
        <f t="shared" ref="E350:H350" si="491">E183</f>
        <v>1.0832351215818109E-2</v>
      </c>
      <c r="F350" s="49">
        <f t="shared" si="491"/>
        <v>0.37659233743354442</v>
      </c>
      <c r="G350" s="49">
        <f t="shared" si="491"/>
        <v>0.34578121699964232</v>
      </c>
      <c r="H350" s="49">
        <f t="shared" si="491"/>
        <v>0.25938013394877579</v>
      </c>
      <c r="I350" s="49">
        <f>D185</f>
        <v>9.2288721129833219E-4</v>
      </c>
      <c r="J350" s="49">
        <f t="shared" ref="J350:M350" si="492">E185</f>
        <v>8.6834773247740742E-3</v>
      </c>
      <c r="K350" s="49">
        <f t="shared" si="492"/>
        <v>0.36656080449416367</v>
      </c>
      <c r="L350" s="49">
        <f t="shared" si="492"/>
        <v>0.32957322627503888</v>
      </c>
      <c r="M350" s="49">
        <f t="shared" si="492"/>
        <v>0.24493868799848176</v>
      </c>
      <c r="P350" s="171" t="s">
        <v>530</v>
      </c>
      <c r="Q350" s="49">
        <f>Q183</f>
        <v>0</v>
      </c>
      <c r="R350" s="49">
        <f t="shared" ref="R350:U350" si="493">R183</f>
        <v>1.1528027718836454E-2</v>
      </c>
      <c r="S350" s="49">
        <f t="shared" si="493"/>
        <v>0.71119765786575706</v>
      </c>
      <c r="T350" s="49">
        <f t="shared" si="493"/>
        <v>0.22030565926244261</v>
      </c>
      <c r="U350" s="49">
        <f t="shared" si="493"/>
        <v>5.2493889500684912E-2</v>
      </c>
      <c r="V350" s="49">
        <f>Q185</f>
        <v>0</v>
      </c>
      <c r="W350" s="49">
        <f t="shared" ref="W350" si="494">R185</f>
        <v>9.8197738443769993E-3</v>
      </c>
      <c r="X350" s="49">
        <f t="shared" ref="X350" si="495">S185</f>
        <v>0.70142623082914779</v>
      </c>
      <c r="Y350" s="49">
        <f t="shared" ref="Y350" si="496">T185</f>
        <v>0.21303215062716555</v>
      </c>
      <c r="Z350" s="49">
        <f t="shared" ref="Z350" si="497">U185</f>
        <v>4.603153286239961E-2</v>
      </c>
      <c r="AC350" s="171" t="s">
        <v>530</v>
      </c>
      <c r="AD350" s="49">
        <f>AD183</f>
        <v>0</v>
      </c>
      <c r="AE350" s="49">
        <f t="shared" ref="AE350:AH350" si="498">AE183</f>
        <v>1.0195164579085349E-2</v>
      </c>
      <c r="AF350" s="49">
        <f t="shared" si="498"/>
        <v>0.37620157296824935</v>
      </c>
      <c r="AG350" s="49">
        <f t="shared" si="498"/>
        <v>0.40582996962257084</v>
      </c>
      <c r="AH350" s="49">
        <f t="shared" si="498"/>
        <v>0.20327909783196704</v>
      </c>
      <c r="AI350" s="49">
        <f>AD185</f>
        <v>0</v>
      </c>
      <c r="AJ350" s="49">
        <f t="shared" ref="AJ350" si="499">AE185</f>
        <v>5.7217760392825933E-3</v>
      </c>
      <c r="AK350" s="49">
        <f t="shared" ref="AK350" si="500">AF185</f>
        <v>0.36427947234821689</v>
      </c>
      <c r="AL350" s="49">
        <f t="shared" ref="AL350" si="501">AG185</f>
        <v>0.39326286879447381</v>
      </c>
      <c r="AM350" s="49">
        <f t="shared" ref="AM350" si="502">AH185</f>
        <v>0.19000457742083141</v>
      </c>
    </row>
    <row r="351" spans="2:39" x14ac:dyDescent="0.3">
      <c r="C351" s="171" t="s">
        <v>531</v>
      </c>
      <c r="D351" s="49">
        <f>D208</f>
        <v>9.11831911537334E-4</v>
      </c>
      <c r="E351" s="49">
        <f t="shared" ref="E351:H351" si="503">E208</f>
        <v>6.5032800844072149E-3</v>
      </c>
      <c r="F351" s="49">
        <f t="shared" si="503"/>
        <v>0.37570192516529405</v>
      </c>
      <c r="G351" s="49">
        <f t="shared" si="503"/>
        <v>0.35493638711421899</v>
      </c>
      <c r="H351" s="49">
        <f t="shared" si="503"/>
        <v>0.23498154801374269</v>
      </c>
      <c r="I351" s="49">
        <f>D210</f>
        <v>7.8607787675597906E-4</v>
      </c>
      <c r="J351" s="49">
        <f t="shared" ref="J351:M351" si="504">E210</f>
        <v>5.0654001592423809E-3</v>
      </c>
      <c r="K351" s="49">
        <f t="shared" si="504"/>
        <v>0.36784828627882993</v>
      </c>
      <c r="L351" s="49">
        <f t="shared" si="504"/>
        <v>0.33941520688726751</v>
      </c>
      <c r="M351" s="49">
        <f t="shared" si="504"/>
        <v>0.22305426148409571</v>
      </c>
      <c r="P351" s="171" t="s">
        <v>531</v>
      </c>
      <c r="Q351" s="49">
        <f>Q208</f>
        <v>0</v>
      </c>
      <c r="R351" s="49">
        <f t="shared" ref="R351:U351" si="505">R208</f>
        <v>9.7553114340200378E-3</v>
      </c>
      <c r="S351" s="49">
        <f t="shared" si="505"/>
        <v>0.72229593618221377</v>
      </c>
      <c r="T351" s="49">
        <f t="shared" si="505"/>
        <v>0.204071875587548</v>
      </c>
      <c r="U351" s="49">
        <f t="shared" si="505"/>
        <v>5.8112862936799986E-2</v>
      </c>
      <c r="V351" s="49">
        <f>Q210</f>
        <v>0</v>
      </c>
      <c r="W351" s="49">
        <f t="shared" ref="W351" si="506">R210</f>
        <v>6.7094625446536488E-3</v>
      </c>
      <c r="X351" s="49">
        <f t="shared" ref="X351" si="507">S210</f>
        <v>0.71426499422524248</v>
      </c>
      <c r="Y351" s="49">
        <f t="shared" ref="Y351" si="508">T210</f>
        <v>0.19524052536864442</v>
      </c>
      <c r="Z351" s="49">
        <f t="shared" ref="Z351" si="509">U210</f>
        <v>5.0876957374231147E-2</v>
      </c>
      <c r="AC351" s="171" t="s">
        <v>531</v>
      </c>
      <c r="AD351" s="49">
        <f>AD208</f>
        <v>0</v>
      </c>
      <c r="AE351" s="49">
        <f t="shared" ref="AE351:AH351" si="510">AE208</f>
        <v>1.7955973534185012E-2</v>
      </c>
      <c r="AF351" s="49">
        <f t="shared" si="510"/>
        <v>0.37821979942574174</v>
      </c>
      <c r="AG351" s="49">
        <f t="shared" si="510"/>
        <v>0.35129624235362655</v>
      </c>
      <c r="AH351" s="49">
        <f t="shared" si="510"/>
        <v>0.24803378968831924</v>
      </c>
      <c r="AI351" s="49">
        <f>AD210</f>
        <v>0</v>
      </c>
      <c r="AJ351" s="49">
        <f t="shared" ref="AJ351" si="511">AE210</f>
        <v>1.2234197494902418E-2</v>
      </c>
      <c r="AK351" s="49">
        <f t="shared" ref="AK351" si="512">AF210</f>
        <v>0.36636011818068331</v>
      </c>
      <c r="AL351" s="49">
        <f t="shared" ref="AL351" si="513">AG210</f>
        <v>0.3385002704839582</v>
      </c>
      <c r="AM351" s="49">
        <f t="shared" ref="AM351" si="514">AH210</f>
        <v>0.23267862344471724</v>
      </c>
    </row>
    <row r="352" spans="2:39" x14ac:dyDescent="0.3">
      <c r="C352" s="171" t="s">
        <v>532</v>
      </c>
      <c r="D352" s="49">
        <f>D233</f>
        <v>3.8983750782220039E-3</v>
      </c>
      <c r="E352" s="49">
        <f t="shared" ref="E352:H352" si="515">E233</f>
        <v>1.0141394980755718E-2</v>
      </c>
      <c r="F352" s="49">
        <f t="shared" si="515"/>
        <v>0.4236699495532853</v>
      </c>
      <c r="G352" s="49">
        <f t="shared" si="515"/>
        <v>0.34157536639681757</v>
      </c>
      <c r="H352" s="49">
        <f t="shared" si="515"/>
        <v>0.21633701528556418</v>
      </c>
      <c r="I352" s="49">
        <f>D235</f>
        <v>3.6424909525038991E-3</v>
      </c>
      <c r="J352" s="49">
        <f t="shared" ref="J352:M352" si="516">E235</f>
        <v>7.6792875964834025E-3</v>
      </c>
      <c r="K352" s="49">
        <f t="shared" si="516"/>
        <v>0.41019423010086348</v>
      </c>
      <c r="L352" s="49">
        <f t="shared" si="516"/>
        <v>0.32060806912510437</v>
      </c>
      <c r="M352" s="49">
        <f t="shared" si="516"/>
        <v>0.20430216990199249</v>
      </c>
      <c r="P352" s="171" t="s">
        <v>532</v>
      </c>
      <c r="Q352" s="49">
        <f>Q233</f>
        <v>2.6859337648733585E-4</v>
      </c>
      <c r="R352" s="49">
        <f t="shared" ref="R352:U352" si="517">R233</f>
        <v>1.3467271897075018E-2</v>
      </c>
      <c r="S352" s="49">
        <f t="shared" si="517"/>
        <v>0.7537643361714701</v>
      </c>
      <c r="T352" s="49">
        <f t="shared" si="517"/>
        <v>0.19247401359082486</v>
      </c>
      <c r="U352" s="49">
        <f t="shared" si="517"/>
        <v>3.5610109854690986E-2</v>
      </c>
      <c r="V352" s="49">
        <f>Q235</f>
        <v>2.0413096613037523E-4</v>
      </c>
      <c r="W352" s="49">
        <f t="shared" ref="W352" si="518">R235</f>
        <v>1.0238779511697242E-2</v>
      </c>
      <c r="X352" s="49">
        <f t="shared" ref="X352" si="519">S235</f>
        <v>0.74218796164486578</v>
      </c>
      <c r="Y352" s="49">
        <f t="shared" ref="Y352" si="520">T235</f>
        <v>0.18253605866079345</v>
      </c>
      <c r="Z352" s="49">
        <f t="shared" ref="Z352" si="521">U235</f>
        <v>3.0539066906610086E-2</v>
      </c>
      <c r="AC352" s="171" t="s">
        <v>532</v>
      </c>
      <c r="AD352" s="49">
        <f>AD233</f>
        <v>1.1443552078565188E-3</v>
      </c>
      <c r="AE352" s="49">
        <f t="shared" ref="AE352:AH352" si="522">AE233</f>
        <v>3.6161624568265986E-2</v>
      </c>
      <c r="AF352" s="49">
        <f t="shared" si="522"/>
        <v>0.38002996129998751</v>
      </c>
      <c r="AG352" s="49">
        <f t="shared" si="522"/>
        <v>0.381174316507844</v>
      </c>
      <c r="AH352" s="49">
        <f t="shared" si="522"/>
        <v>0.19707877325121717</v>
      </c>
      <c r="AI352" s="49">
        <f>AD235</f>
        <v>1.0195164579085347E-3</v>
      </c>
      <c r="AJ352" s="49">
        <f t="shared" ref="AJ352" si="523">AE235</f>
        <v>2.7818234780075734E-2</v>
      </c>
      <c r="AK352" s="49">
        <f t="shared" ref="AK352" si="524">AF235</f>
        <v>0.36488285963963213</v>
      </c>
      <c r="AL352" s="49">
        <f t="shared" ref="AL352" si="525">AG235</f>
        <v>0.35922350297532357</v>
      </c>
      <c r="AM352" s="49">
        <f t="shared" ref="AM352" si="526">AH235</f>
        <v>0.18024634846656401</v>
      </c>
    </row>
    <row r="353" spans="2:39" x14ac:dyDescent="0.3">
      <c r="C353" s="172" t="s">
        <v>461</v>
      </c>
      <c r="D353" s="219">
        <f>D258</f>
        <v>3.085349908298592E-3</v>
      </c>
      <c r="E353" s="219">
        <f t="shared" ref="E353:H353" si="527">E258</f>
        <v>1.7846478276681451E-2</v>
      </c>
      <c r="F353" s="219">
        <f t="shared" si="527"/>
        <v>0.42228573389571034</v>
      </c>
      <c r="G353" s="219">
        <f t="shared" si="527"/>
        <v>0.32419988995370363</v>
      </c>
      <c r="H353" s="219">
        <f t="shared" si="527"/>
        <v>0.22820464926025075</v>
      </c>
      <c r="I353" s="219">
        <f>D260</f>
        <v>2.7223675661458163E-3</v>
      </c>
      <c r="J353" s="219">
        <f t="shared" ref="J353:M353" si="528">E260</f>
        <v>1.3592491056147335E-2</v>
      </c>
      <c r="K353" s="219">
        <f t="shared" si="528"/>
        <v>0.41383096308474188</v>
      </c>
      <c r="L353" s="219">
        <f t="shared" si="528"/>
        <v>0.31120392444716016</v>
      </c>
      <c r="M353" s="219">
        <f t="shared" si="528"/>
        <v>0.21620964901956766</v>
      </c>
      <c r="P353" s="172" t="s">
        <v>461</v>
      </c>
      <c r="Q353" s="219">
        <f>Q258</f>
        <v>1.1818108565442776E-4</v>
      </c>
      <c r="R353" s="219">
        <f t="shared" ref="R353:U353" si="529">R258</f>
        <v>3.330557868442964E-2</v>
      </c>
      <c r="S353" s="219">
        <f t="shared" si="529"/>
        <v>0.75380193924417827</v>
      </c>
      <c r="T353" s="219">
        <f t="shared" si="529"/>
        <v>0.16597459106658433</v>
      </c>
      <c r="U353" s="219">
        <f t="shared" si="529"/>
        <v>4.2384034809701598E-2</v>
      </c>
      <c r="V353" s="219">
        <f>Q260</f>
        <v>8.5949880475947468E-5</v>
      </c>
      <c r="W353" s="219">
        <f t="shared" ref="W353" si="530">R260</f>
        <v>2.5285380462517795E-2</v>
      </c>
      <c r="X353" s="219">
        <f t="shared" ref="X353" si="531">S260</f>
        <v>0.74234374580322859</v>
      </c>
      <c r="Y353" s="219">
        <f t="shared" ref="Y353" si="532">T260</f>
        <v>0.1589481883376756</v>
      </c>
      <c r="Z353" s="219">
        <f t="shared" ref="Z353" si="533">U260</f>
        <v>3.6115065402487177E-2</v>
      </c>
      <c r="AC353" s="172" t="s">
        <v>461</v>
      </c>
      <c r="AD353" s="219">
        <f>AD258</f>
        <v>4.9935499979193536E-4</v>
      </c>
      <c r="AE353" s="219">
        <f t="shared" ref="AE353:AH353" si="534">AE258</f>
        <v>6.9992925804169617E-2</v>
      </c>
      <c r="AF353" s="219">
        <f t="shared" si="534"/>
        <v>0.32999042902917064</v>
      </c>
      <c r="AG353" s="219">
        <f t="shared" si="534"/>
        <v>0.3949898048354209</v>
      </c>
      <c r="AH353" s="219">
        <f t="shared" si="534"/>
        <v>0.20011651616661813</v>
      </c>
      <c r="AI353" s="219">
        <f>AD260</f>
        <v>3.9532270816861553E-4</v>
      </c>
      <c r="AJ353" s="219">
        <f t="shared" ref="AJ353" si="535">AE260</f>
        <v>6.2107278099121969E-2</v>
      </c>
      <c r="AK353" s="219">
        <f t="shared" ref="AK353" si="536">AF260</f>
        <v>0.31917107070034539</v>
      </c>
      <c r="AL353" s="219">
        <f t="shared" ref="AL353" si="537">AG260</f>
        <v>0.38154883275768797</v>
      </c>
      <c r="AM353" s="219">
        <f t="shared" ref="AM353" si="538">AH260</f>
        <v>0.18719570554700179</v>
      </c>
    </row>
    <row r="355" spans="2:39" x14ac:dyDescent="0.3">
      <c r="D355" s="154" t="s">
        <v>524</v>
      </c>
      <c r="E355" s="155" t="s">
        <v>523</v>
      </c>
      <c r="F355" s="156" t="s">
        <v>525</v>
      </c>
      <c r="G355" s="157" t="s">
        <v>526</v>
      </c>
      <c r="H355" s="158" t="s">
        <v>527</v>
      </c>
      <c r="I355" s="154" t="s">
        <v>640</v>
      </c>
      <c r="J355" s="155" t="s">
        <v>641</v>
      </c>
      <c r="K355" s="156" t="s">
        <v>642</v>
      </c>
      <c r="L355" s="157" t="s">
        <v>643</v>
      </c>
      <c r="M355" s="158" t="s">
        <v>644</v>
      </c>
      <c r="Q355" s="154" t="s">
        <v>524</v>
      </c>
      <c r="R355" s="155" t="s">
        <v>523</v>
      </c>
      <c r="S355" s="156" t="s">
        <v>525</v>
      </c>
      <c r="T355" s="157" t="s">
        <v>526</v>
      </c>
      <c r="U355" s="158" t="s">
        <v>527</v>
      </c>
      <c r="V355" s="154" t="s">
        <v>640</v>
      </c>
      <c r="W355" s="155" t="s">
        <v>641</v>
      </c>
      <c r="X355" s="156" t="s">
        <v>642</v>
      </c>
      <c r="Y355" s="157" t="s">
        <v>643</v>
      </c>
      <c r="Z355" s="158" t="s">
        <v>644</v>
      </c>
      <c r="AD355" s="154" t="s">
        <v>524</v>
      </c>
      <c r="AE355" s="155" t="s">
        <v>523</v>
      </c>
      <c r="AF355" s="156" t="s">
        <v>525</v>
      </c>
      <c r="AG355" s="157" t="s">
        <v>526</v>
      </c>
      <c r="AH355" s="158" t="s">
        <v>527</v>
      </c>
      <c r="AI355" s="154" t="s">
        <v>640</v>
      </c>
      <c r="AJ355" s="155" t="s">
        <v>641</v>
      </c>
      <c r="AK355" s="156" t="s">
        <v>642</v>
      </c>
      <c r="AL355" s="157" t="s">
        <v>643</v>
      </c>
      <c r="AM355" s="158" t="s">
        <v>644</v>
      </c>
    </row>
    <row r="356" spans="2:39" x14ac:dyDescent="0.3">
      <c r="B356" s="132" t="s">
        <v>612</v>
      </c>
      <c r="C356" s="170">
        <v>1977</v>
      </c>
      <c r="D356" s="216">
        <f>D7</f>
        <v>259.14999999999998</v>
      </c>
      <c r="E356" s="216">
        <f>E7</f>
        <v>66.38</v>
      </c>
      <c r="F356" s="216">
        <f>F7</f>
        <v>9890.15</v>
      </c>
      <c r="G356" s="216">
        <f>G7</f>
        <v>18503.009999999998</v>
      </c>
      <c r="H356" s="216">
        <f>H7</f>
        <v>14506.12</v>
      </c>
      <c r="I356" s="216">
        <f>D9</f>
        <v>242.17</v>
      </c>
      <c r="J356" s="216">
        <f>E9</f>
        <v>44.12</v>
      </c>
      <c r="K356" s="216">
        <f>F9</f>
        <v>9324.32</v>
      </c>
      <c r="L356" s="216">
        <f>G9</f>
        <v>17640.88</v>
      </c>
      <c r="M356" s="216">
        <f>H9</f>
        <v>13805.55</v>
      </c>
      <c r="O356" s="132" t="s">
        <v>616</v>
      </c>
      <c r="P356" s="170">
        <v>1977</v>
      </c>
      <c r="Q356" s="216">
        <f>Q7</f>
        <v>0.26</v>
      </c>
      <c r="R356" s="216">
        <f>R7</f>
        <v>4.53</v>
      </c>
      <c r="S356" s="216">
        <f>S7</f>
        <v>921.5</v>
      </c>
      <c r="T356" s="216">
        <f>T7</f>
        <v>663.63</v>
      </c>
      <c r="U356" s="216">
        <f>U7</f>
        <v>261.73</v>
      </c>
      <c r="V356" s="216">
        <f>Q9</f>
        <v>0</v>
      </c>
      <c r="W356" s="216">
        <f>R9</f>
        <v>4.17</v>
      </c>
      <c r="X356" s="216">
        <f>S9</f>
        <v>888.5</v>
      </c>
      <c r="Y356" s="216">
        <f>T9</f>
        <v>637.87</v>
      </c>
      <c r="Z356" s="216">
        <f>U9</f>
        <v>243.97</v>
      </c>
      <c r="AB356" s="132" t="s">
        <v>634</v>
      </c>
      <c r="AC356" s="170">
        <v>1977</v>
      </c>
      <c r="AD356" s="216">
        <f>AD7</f>
        <v>0</v>
      </c>
      <c r="AE356" s="216">
        <f>AE7</f>
        <v>0</v>
      </c>
      <c r="AF356" s="216">
        <f>AF7</f>
        <v>108.06</v>
      </c>
      <c r="AG356" s="216">
        <f>AG7</f>
        <v>194.74</v>
      </c>
      <c r="AH356" s="216">
        <f>AH7</f>
        <v>175.46</v>
      </c>
      <c r="AI356" s="216">
        <f>AD9</f>
        <v>0</v>
      </c>
      <c r="AJ356" s="216">
        <f>AE9</f>
        <v>0</v>
      </c>
      <c r="AK356" s="216">
        <f>AF9</f>
        <v>103.19</v>
      </c>
      <c r="AL356" s="216">
        <f>AG9</f>
        <v>179.2</v>
      </c>
      <c r="AM356" s="216">
        <f>AH9</f>
        <v>161.72999999999999</v>
      </c>
    </row>
    <row r="357" spans="2:39" x14ac:dyDescent="0.3">
      <c r="B357" s="116" t="s">
        <v>543</v>
      </c>
      <c r="C357" s="171">
        <v>1988</v>
      </c>
      <c r="D357" s="57">
        <f>D32</f>
        <v>63.71</v>
      </c>
      <c r="E357" s="57">
        <f>E32</f>
        <v>28.18</v>
      </c>
      <c r="F357" s="57">
        <f>F32</f>
        <v>12137.33</v>
      </c>
      <c r="G357" s="57">
        <f>G32</f>
        <v>15486.76</v>
      </c>
      <c r="H357" s="57">
        <f>H32</f>
        <v>15506.46</v>
      </c>
      <c r="I357" s="57">
        <f>D34</f>
        <v>41.2</v>
      </c>
      <c r="J357" s="57">
        <f>E34</f>
        <v>21.57</v>
      </c>
      <c r="K357" s="57">
        <f>F34</f>
        <v>11161.43</v>
      </c>
      <c r="L357" s="57">
        <f>G34</f>
        <v>14924.13</v>
      </c>
      <c r="M357" s="57">
        <f>H34</f>
        <v>14651.75</v>
      </c>
      <c r="O357" s="116" t="s">
        <v>543</v>
      </c>
      <c r="P357" s="171">
        <v>1988</v>
      </c>
      <c r="Q357" s="57">
        <f>Q32</f>
        <v>0</v>
      </c>
      <c r="R357" s="57">
        <f>R32</f>
        <v>3.49</v>
      </c>
      <c r="S357" s="57">
        <f>S32</f>
        <v>897.34</v>
      </c>
      <c r="T357" s="57">
        <f>T32</f>
        <v>405.06</v>
      </c>
      <c r="U357" s="57">
        <f>U32</f>
        <v>547.04999999999995</v>
      </c>
      <c r="V357" s="57">
        <f>Q34</f>
        <v>0</v>
      </c>
      <c r="W357" s="57">
        <f>R34</f>
        <v>2.41</v>
      </c>
      <c r="X357" s="57">
        <f>S34</f>
        <v>842.68</v>
      </c>
      <c r="Y357" s="57">
        <f>T34</f>
        <v>389.62</v>
      </c>
      <c r="Z357" s="57">
        <f>U34</f>
        <v>501.4</v>
      </c>
      <c r="AB357" s="116" t="s">
        <v>543</v>
      </c>
      <c r="AC357" s="171">
        <v>1988</v>
      </c>
      <c r="AD357" s="57">
        <f>AD32</f>
        <v>0</v>
      </c>
      <c r="AE357" s="57">
        <f>AE32</f>
        <v>1.24</v>
      </c>
      <c r="AF357" s="57">
        <f>AF32</f>
        <v>182.27</v>
      </c>
      <c r="AG357" s="57">
        <f>AG32</f>
        <v>102.61</v>
      </c>
      <c r="AH357" s="57">
        <f>AH32</f>
        <v>192.14</v>
      </c>
      <c r="AI357" s="57">
        <f>AD34</f>
        <v>0</v>
      </c>
      <c r="AJ357" s="57">
        <f>AE34</f>
        <v>0.54</v>
      </c>
      <c r="AK357" s="57">
        <f>AF34</f>
        <v>173.18</v>
      </c>
      <c r="AL357" s="57">
        <f>AG34</f>
        <v>96.52</v>
      </c>
      <c r="AM357" s="57">
        <f>AH34</f>
        <v>179.47</v>
      </c>
    </row>
    <row r="358" spans="2:39" x14ac:dyDescent="0.3">
      <c r="B358" s="115" t="s">
        <v>647</v>
      </c>
      <c r="C358" s="171" t="s">
        <v>397</v>
      </c>
      <c r="D358" s="57">
        <f>D57</f>
        <v>31.34</v>
      </c>
      <c r="E358" s="57">
        <f t="shared" ref="E358:H358" si="539">E57</f>
        <v>90.99</v>
      </c>
      <c r="F358" s="57">
        <f t="shared" si="539"/>
        <v>16323.8</v>
      </c>
      <c r="G358" s="57">
        <f t="shared" si="539"/>
        <v>15088.63</v>
      </c>
      <c r="H358" s="57">
        <f t="shared" si="539"/>
        <v>11691.88</v>
      </c>
      <c r="I358" s="57">
        <f>D59</f>
        <v>25.21</v>
      </c>
      <c r="J358" s="57">
        <f t="shared" ref="J358:M358" si="540">E59</f>
        <v>74.010000000000005</v>
      </c>
      <c r="K358" s="57">
        <f t="shared" si="540"/>
        <v>15903.55</v>
      </c>
      <c r="L358" s="57">
        <f t="shared" si="540"/>
        <v>14489.21</v>
      </c>
      <c r="M358" s="57">
        <f t="shared" si="540"/>
        <v>11196.53</v>
      </c>
      <c r="O358" s="115" t="s">
        <v>647</v>
      </c>
      <c r="P358" s="171" t="s">
        <v>397</v>
      </c>
      <c r="Q358" s="57">
        <f>Q57</f>
        <v>0</v>
      </c>
      <c r="R358" s="57">
        <f t="shared" ref="R358:U358" si="541">R57</f>
        <v>2.08</v>
      </c>
      <c r="S358" s="57">
        <f t="shared" si="541"/>
        <v>1351.07</v>
      </c>
      <c r="T358" s="57">
        <f t="shared" si="541"/>
        <v>438.75</v>
      </c>
      <c r="U358" s="57">
        <f t="shared" si="541"/>
        <v>61.32</v>
      </c>
      <c r="V358" s="57">
        <f>Q59</f>
        <v>0</v>
      </c>
      <c r="W358" s="57">
        <f t="shared" ref="W358" si="542">R59</f>
        <v>1.79</v>
      </c>
      <c r="X358" s="57">
        <f t="shared" ref="X358" si="543">S59</f>
        <v>1337.12</v>
      </c>
      <c r="Y358" s="57">
        <f t="shared" ref="Y358" si="544">T59</f>
        <v>424.44</v>
      </c>
      <c r="Z358" s="57">
        <f t="shared" ref="Z358" si="545">U59</f>
        <v>53.49</v>
      </c>
      <c r="AB358" s="115" t="s">
        <v>647</v>
      </c>
      <c r="AC358" s="171" t="s">
        <v>397</v>
      </c>
      <c r="AD358" s="57">
        <f>AD57</f>
        <v>0</v>
      </c>
      <c r="AE358" s="57">
        <f t="shared" ref="AE358:AH358" si="546">AE57</f>
        <v>0.63</v>
      </c>
      <c r="AF358" s="57">
        <f t="shared" si="546"/>
        <v>223.08</v>
      </c>
      <c r="AG358" s="57">
        <f t="shared" si="546"/>
        <v>137.38</v>
      </c>
      <c r="AH358" s="57">
        <f t="shared" si="546"/>
        <v>117.36</v>
      </c>
      <c r="AI358" s="57">
        <f>AD59</f>
        <v>0</v>
      </c>
      <c r="AJ358" s="57">
        <f t="shared" ref="AJ358" si="547">AE59</f>
        <v>0.45</v>
      </c>
      <c r="AK358" s="57">
        <f t="shared" ref="AK358" si="548">AF59</f>
        <v>218.6</v>
      </c>
      <c r="AL358" s="57">
        <f t="shared" ref="AL358" si="549">AG59</f>
        <v>128.96</v>
      </c>
      <c r="AM358" s="57">
        <f t="shared" ref="AM358" si="550">AH59</f>
        <v>111.45</v>
      </c>
    </row>
    <row r="359" spans="2:39" x14ac:dyDescent="0.3">
      <c r="B359" s="115" t="s">
        <v>648</v>
      </c>
      <c r="C359" s="171" t="s">
        <v>401</v>
      </c>
      <c r="D359" s="57">
        <f>D82</f>
        <v>78.010000000000005</v>
      </c>
      <c r="E359" s="57">
        <f t="shared" ref="E359:H359" si="551">E82</f>
        <v>772.25</v>
      </c>
      <c r="F359" s="57">
        <f t="shared" si="551"/>
        <v>15605.63</v>
      </c>
      <c r="G359" s="57">
        <f t="shared" si="551"/>
        <v>12772.47</v>
      </c>
      <c r="H359" s="57">
        <f t="shared" si="551"/>
        <v>11117.02</v>
      </c>
      <c r="I359" s="57">
        <f>D84</f>
        <v>73.37</v>
      </c>
      <c r="J359" s="57">
        <f t="shared" ref="J359:M359" si="552">E84</f>
        <v>617.97</v>
      </c>
      <c r="K359" s="57">
        <f t="shared" si="552"/>
        <v>15032.37</v>
      </c>
      <c r="L359" s="57">
        <f t="shared" si="552"/>
        <v>12165.84</v>
      </c>
      <c r="M359" s="57">
        <f t="shared" si="552"/>
        <v>10612.7</v>
      </c>
      <c r="O359" s="115" t="s">
        <v>648</v>
      </c>
      <c r="P359" s="171" t="s">
        <v>401</v>
      </c>
      <c r="Q359" s="57">
        <f>Q82</f>
        <v>0</v>
      </c>
      <c r="R359" s="57">
        <f t="shared" ref="R359:U359" si="553">R82</f>
        <v>9.9</v>
      </c>
      <c r="S359" s="57">
        <f t="shared" si="553"/>
        <v>1312.2</v>
      </c>
      <c r="T359" s="57">
        <f t="shared" si="553"/>
        <v>390.77</v>
      </c>
      <c r="U359" s="57">
        <f t="shared" si="553"/>
        <v>87.67</v>
      </c>
      <c r="V359" s="57">
        <f>Q84</f>
        <v>0</v>
      </c>
      <c r="W359" s="57">
        <f t="shared" ref="W359" si="554">R84</f>
        <v>8.2799999999999994</v>
      </c>
      <c r="X359" s="57">
        <f t="shared" ref="X359" si="555">S84</f>
        <v>1284.02</v>
      </c>
      <c r="Y359" s="57">
        <f t="shared" ref="Y359" si="556">T84</f>
        <v>374.28</v>
      </c>
      <c r="Z359" s="57">
        <f t="shared" ref="Z359" si="557">U84</f>
        <v>73.67</v>
      </c>
      <c r="AB359" s="115" t="s">
        <v>648</v>
      </c>
      <c r="AC359" s="171" t="s">
        <v>401</v>
      </c>
      <c r="AD359" s="57">
        <f>AD82</f>
        <v>0</v>
      </c>
      <c r="AE359" s="57">
        <f t="shared" ref="AE359:AH359" si="558">AE82</f>
        <v>0.31</v>
      </c>
      <c r="AF359" s="57">
        <f t="shared" si="558"/>
        <v>182.83</v>
      </c>
      <c r="AG359" s="57">
        <f t="shared" si="558"/>
        <v>180.92</v>
      </c>
      <c r="AH359" s="57">
        <f t="shared" si="558"/>
        <v>114.4</v>
      </c>
      <c r="AI359" s="57">
        <f>AD84</f>
        <v>0</v>
      </c>
      <c r="AJ359" s="57">
        <f t="shared" ref="AJ359" si="559">AE84</f>
        <v>0.19</v>
      </c>
      <c r="AK359" s="57">
        <f t="shared" ref="AK359" si="560">AF84</f>
        <v>177.43</v>
      </c>
      <c r="AL359" s="57">
        <f t="shared" ref="AL359" si="561">AG84</f>
        <v>175.83</v>
      </c>
      <c r="AM359" s="57">
        <f t="shared" ref="AM359" si="562">AH84</f>
        <v>107.29</v>
      </c>
    </row>
    <row r="360" spans="2:39" x14ac:dyDescent="0.3">
      <c r="C360" s="171" t="s">
        <v>405</v>
      </c>
      <c r="D360" s="57">
        <f>D107</f>
        <v>40.92</v>
      </c>
      <c r="E360" s="57">
        <f t="shared" ref="E360:H360" si="563">E107</f>
        <v>235.73</v>
      </c>
      <c r="F360" s="57">
        <f t="shared" si="563"/>
        <v>16056.11</v>
      </c>
      <c r="G360" s="57">
        <f t="shared" si="563"/>
        <v>14772.43</v>
      </c>
      <c r="H360" s="57">
        <f t="shared" si="563"/>
        <v>11804.65</v>
      </c>
      <c r="I360" s="57">
        <f>D109</f>
        <v>33.04</v>
      </c>
      <c r="J360" s="57">
        <f t="shared" ref="J360:M360" si="564">E109</f>
        <v>197.28</v>
      </c>
      <c r="K360" s="57">
        <f t="shared" si="564"/>
        <v>15443.8</v>
      </c>
      <c r="L360" s="57">
        <f t="shared" si="564"/>
        <v>13939.54</v>
      </c>
      <c r="M360" s="57">
        <f t="shared" si="564"/>
        <v>11037.96</v>
      </c>
      <c r="P360" s="171" t="s">
        <v>405</v>
      </c>
      <c r="Q360" s="57">
        <f>Q107</f>
        <v>0</v>
      </c>
      <c r="R360" s="57">
        <f t="shared" ref="R360:U360" si="565">R107</f>
        <v>5.9</v>
      </c>
      <c r="S360" s="57">
        <f t="shared" si="565"/>
        <v>1279.71</v>
      </c>
      <c r="T360" s="57">
        <f t="shared" si="565"/>
        <v>417.34</v>
      </c>
      <c r="U360" s="57">
        <f t="shared" si="565"/>
        <v>150.27000000000001</v>
      </c>
      <c r="V360" s="57">
        <f>Q109</f>
        <v>0</v>
      </c>
      <c r="W360" s="57">
        <f t="shared" ref="W360" si="566">R109</f>
        <v>4.9000000000000004</v>
      </c>
      <c r="X360" s="57">
        <f t="shared" ref="X360" si="567">S109</f>
        <v>1249.8499999999999</v>
      </c>
      <c r="Y360" s="57">
        <f t="shared" ref="Y360" si="568">T109</f>
        <v>394.51</v>
      </c>
      <c r="Z360" s="57">
        <f t="shared" ref="Z360" si="569">U109</f>
        <v>125.86</v>
      </c>
      <c r="AC360" s="171" t="s">
        <v>405</v>
      </c>
      <c r="AD360" s="57">
        <f>AD107</f>
        <v>0</v>
      </c>
      <c r="AE360" s="57">
        <f t="shared" ref="AE360:AH360" si="570">AE107</f>
        <v>3.69</v>
      </c>
      <c r="AF360" s="57">
        <f t="shared" si="570"/>
        <v>184.69</v>
      </c>
      <c r="AG360" s="57">
        <f t="shared" si="570"/>
        <v>172.78</v>
      </c>
      <c r="AH360" s="57">
        <f t="shared" si="570"/>
        <v>117.3</v>
      </c>
      <c r="AI360" s="57">
        <f>AD109</f>
        <v>0</v>
      </c>
      <c r="AJ360" s="57">
        <f t="shared" ref="AJ360" si="571">AE109</f>
        <v>2.3199999999999998</v>
      </c>
      <c r="AK360" s="57">
        <f t="shared" ref="AK360" si="572">AF109</f>
        <v>176.93</v>
      </c>
      <c r="AL360" s="57">
        <f t="shared" ref="AL360" si="573">AG109</f>
        <v>163.49</v>
      </c>
      <c r="AM360" s="57">
        <f t="shared" ref="AM360" si="574">AH109</f>
        <v>109.83</v>
      </c>
    </row>
    <row r="361" spans="2:39" x14ac:dyDescent="0.3">
      <c r="C361" s="171" t="s">
        <v>429</v>
      </c>
      <c r="D361" s="57">
        <f>D132</f>
        <v>32.28</v>
      </c>
      <c r="E361" s="57">
        <f t="shared" ref="E361:H361" si="575">E132</f>
        <v>74.58</v>
      </c>
      <c r="F361" s="57">
        <f t="shared" si="575"/>
        <v>12858.68</v>
      </c>
      <c r="G361" s="57">
        <f t="shared" si="575"/>
        <v>12748.79</v>
      </c>
      <c r="H361" s="57">
        <f t="shared" si="575"/>
        <v>9725.4699999999993</v>
      </c>
      <c r="I361" s="57">
        <f>D134</f>
        <v>29.13</v>
      </c>
      <c r="J361" s="57">
        <f t="shared" ref="J361:M361" si="576">E134</f>
        <v>58.81</v>
      </c>
      <c r="K361" s="57">
        <f t="shared" si="576"/>
        <v>12541.16</v>
      </c>
      <c r="L361" s="57">
        <f t="shared" si="576"/>
        <v>12263.85</v>
      </c>
      <c r="M361" s="57">
        <f t="shared" si="576"/>
        <v>9162.91</v>
      </c>
      <c r="P361" s="171" t="s">
        <v>429</v>
      </c>
      <c r="Q361" s="57">
        <f>Q132</f>
        <v>0</v>
      </c>
      <c r="R361" s="57">
        <f t="shared" ref="R361:U361" si="577">R132</f>
        <v>6.52</v>
      </c>
      <c r="S361" s="57">
        <f t="shared" si="577"/>
        <v>920.19</v>
      </c>
      <c r="T361" s="57">
        <f t="shared" si="577"/>
        <v>229.97</v>
      </c>
      <c r="U361" s="57">
        <f t="shared" si="577"/>
        <v>110.75</v>
      </c>
      <c r="V361" s="57">
        <f>Q134</f>
        <v>0</v>
      </c>
      <c r="W361" s="57">
        <f t="shared" ref="W361" si="578">R134</f>
        <v>5.56</v>
      </c>
      <c r="X361" s="57">
        <f t="shared" ref="X361" si="579">S134</f>
        <v>911.23</v>
      </c>
      <c r="Y361" s="57">
        <f t="shared" ref="Y361" si="580">T134</f>
        <v>223.12</v>
      </c>
      <c r="Z361" s="57">
        <f t="shared" ref="Z361" si="581">U134</f>
        <v>102.95</v>
      </c>
      <c r="AC361" s="171" t="s">
        <v>429</v>
      </c>
      <c r="AD361" s="57">
        <f>AD132</f>
        <v>0</v>
      </c>
      <c r="AE361" s="57">
        <f t="shared" ref="AE361:AH361" si="582">AE132</f>
        <v>8.35</v>
      </c>
      <c r="AF361" s="57">
        <f t="shared" si="582"/>
        <v>139.66</v>
      </c>
      <c r="AG361" s="57">
        <f t="shared" si="582"/>
        <v>97.95</v>
      </c>
      <c r="AH361" s="57">
        <f t="shared" si="582"/>
        <v>102.96</v>
      </c>
      <c r="AI361" s="57">
        <f>AD134</f>
        <v>0</v>
      </c>
      <c r="AJ361" s="57">
        <f t="shared" ref="AJ361" si="583">AE134</f>
        <v>5.19</v>
      </c>
      <c r="AK361" s="57">
        <f t="shared" ref="AK361" si="584">AF134</f>
        <v>136.02000000000001</v>
      </c>
      <c r="AL361" s="57">
        <f t="shared" ref="AL361" si="585">AG134</f>
        <v>95.77</v>
      </c>
      <c r="AM361" s="57">
        <f t="shared" ref="AM361" si="586">AH134</f>
        <v>98.14</v>
      </c>
    </row>
    <row r="362" spans="2:39" x14ac:dyDescent="0.3">
      <c r="C362" s="171" t="s">
        <v>437</v>
      </c>
      <c r="D362" s="57">
        <f>D157</f>
        <v>32.36</v>
      </c>
      <c r="E362" s="57">
        <f t="shared" ref="E362:H362" si="587">E157</f>
        <v>572.15</v>
      </c>
      <c r="F362" s="57">
        <f t="shared" si="587"/>
        <v>16007.08</v>
      </c>
      <c r="G362" s="57">
        <f t="shared" si="587"/>
        <v>14757.46</v>
      </c>
      <c r="H362" s="57">
        <f t="shared" si="587"/>
        <v>10221.14</v>
      </c>
      <c r="I362" s="57">
        <f>D159</f>
        <v>13.15</v>
      </c>
      <c r="J362" s="57">
        <f t="shared" ref="J362:M362" si="588">E159</f>
        <v>474.95</v>
      </c>
      <c r="K362" s="57">
        <f t="shared" si="588"/>
        <v>15458.2</v>
      </c>
      <c r="L362" s="57">
        <f t="shared" si="588"/>
        <v>14152.66</v>
      </c>
      <c r="M362" s="57">
        <f t="shared" si="588"/>
        <v>9670.69</v>
      </c>
      <c r="P362" s="171" t="s">
        <v>437</v>
      </c>
      <c r="Q362" s="57">
        <f>Q157</f>
        <v>0.27</v>
      </c>
      <c r="R362" s="57">
        <f t="shared" ref="R362:U362" si="589">R157</f>
        <v>40.4</v>
      </c>
      <c r="S362" s="57">
        <f t="shared" si="589"/>
        <v>1289.2</v>
      </c>
      <c r="T362" s="57">
        <f t="shared" si="589"/>
        <v>391.02</v>
      </c>
      <c r="U362" s="57">
        <f t="shared" si="589"/>
        <v>100.1</v>
      </c>
      <c r="V362" s="57">
        <f>Q159</f>
        <v>0.09</v>
      </c>
      <c r="W362" s="57">
        <f t="shared" ref="W362" si="590">R159</f>
        <v>33.020000000000003</v>
      </c>
      <c r="X362" s="57">
        <f t="shared" ref="X362" si="591">S159</f>
        <v>1267.1199999999999</v>
      </c>
      <c r="Y362" s="57">
        <f t="shared" ref="Y362" si="592">T159</f>
        <v>377.28</v>
      </c>
      <c r="Z362" s="57">
        <f t="shared" ref="Z362" si="593">U159</f>
        <v>87.79</v>
      </c>
      <c r="AC362" s="171" t="s">
        <v>437</v>
      </c>
      <c r="AD362" s="57">
        <f>AD157</f>
        <v>0</v>
      </c>
      <c r="AE362" s="57">
        <f t="shared" ref="AE362:AH362" si="594">AE157</f>
        <v>19.079999999999998</v>
      </c>
      <c r="AF362" s="57">
        <f t="shared" si="594"/>
        <v>162.13999999999999</v>
      </c>
      <c r="AG362" s="57">
        <f t="shared" si="594"/>
        <v>177.49</v>
      </c>
      <c r="AH362" s="57">
        <f t="shared" si="594"/>
        <v>101.53</v>
      </c>
      <c r="AI362" s="57">
        <f>AD159</f>
        <v>0</v>
      </c>
      <c r="AJ362" s="57">
        <f t="shared" ref="AJ362" si="595">AE159</f>
        <v>16.670000000000002</v>
      </c>
      <c r="AK362" s="57">
        <f t="shared" ref="AK362" si="596">AF159</f>
        <v>153.06</v>
      </c>
      <c r="AL362" s="57">
        <f t="shared" ref="AL362" si="597">AG159</f>
        <v>170.3</v>
      </c>
      <c r="AM362" s="57">
        <f t="shared" ref="AM362" si="598">AH159</f>
        <v>95.48</v>
      </c>
    </row>
    <row r="363" spans="2:39" x14ac:dyDescent="0.3">
      <c r="C363" s="171" t="s">
        <v>441</v>
      </c>
      <c r="D363" s="57">
        <f>D182</f>
        <v>40.880000000000003</v>
      </c>
      <c r="E363" s="57">
        <f t="shared" ref="E363:H363" si="599">E182</f>
        <v>470.32</v>
      </c>
      <c r="F363" s="57">
        <f t="shared" si="599"/>
        <v>16350.92</v>
      </c>
      <c r="G363" s="57">
        <f t="shared" si="599"/>
        <v>15013.16</v>
      </c>
      <c r="H363" s="57">
        <f t="shared" si="599"/>
        <v>11261.79</v>
      </c>
      <c r="I363" s="57">
        <f>D184</f>
        <v>40.07</v>
      </c>
      <c r="J363" s="57">
        <f t="shared" ref="J363:M363" si="600">E184</f>
        <v>377.02</v>
      </c>
      <c r="K363" s="57">
        <f t="shared" si="600"/>
        <v>15915.37</v>
      </c>
      <c r="L363" s="57">
        <f t="shared" si="600"/>
        <v>14309.44</v>
      </c>
      <c r="M363" s="57">
        <f t="shared" si="600"/>
        <v>10634.77</v>
      </c>
      <c r="P363" s="171" t="s">
        <v>441</v>
      </c>
      <c r="Q363" s="57">
        <f>Q182</f>
        <v>0</v>
      </c>
      <c r="R363" s="57">
        <f t="shared" ref="R363:U363" si="601">R182</f>
        <v>21.46</v>
      </c>
      <c r="S363" s="57">
        <f t="shared" si="601"/>
        <v>1323.93</v>
      </c>
      <c r="T363" s="57">
        <f t="shared" si="601"/>
        <v>410.11</v>
      </c>
      <c r="U363" s="57">
        <f t="shared" si="601"/>
        <v>97.72</v>
      </c>
      <c r="V363" s="57">
        <f>Q184</f>
        <v>0</v>
      </c>
      <c r="W363" s="57">
        <f t="shared" ref="W363" si="602">R184</f>
        <v>18.28</v>
      </c>
      <c r="X363" s="57">
        <f t="shared" ref="X363" si="603">S184</f>
        <v>1305.74</v>
      </c>
      <c r="Y363" s="57">
        <f t="shared" ref="Y363" si="604">T184</f>
        <v>396.57</v>
      </c>
      <c r="Z363" s="57">
        <f t="shared" ref="Z363" si="605">U184</f>
        <v>85.69</v>
      </c>
      <c r="AC363" s="171" t="s">
        <v>441</v>
      </c>
      <c r="AD363" s="57">
        <f>AD182</f>
        <v>0</v>
      </c>
      <c r="AE363" s="57">
        <f t="shared" ref="AE363:AH363" si="606">AE182</f>
        <v>4.9000000000000004</v>
      </c>
      <c r="AF363" s="57">
        <f t="shared" si="606"/>
        <v>180.81</v>
      </c>
      <c r="AG363" s="57">
        <f t="shared" si="606"/>
        <v>195.05</v>
      </c>
      <c r="AH363" s="57">
        <f t="shared" si="606"/>
        <v>97.7</v>
      </c>
      <c r="AI363" s="57">
        <f>AD184</f>
        <v>0</v>
      </c>
      <c r="AJ363" s="57">
        <f t="shared" ref="AJ363" si="607">AE184</f>
        <v>2.75</v>
      </c>
      <c r="AK363" s="57">
        <f t="shared" ref="AK363" si="608">AF184</f>
        <v>175.08</v>
      </c>
      <c r="AL363" s="57">
        <f t="shared" ref="AL363" si="609">AG184</f>
        <v>189.01</v>
      </c>
      <c r="AM363" s="57">
        <f t="shared" ref="AM363" si="610">AH184</f>
        <v>91.32</v>
      </c>
    </row>
    <row r="364" spans="2:39" x14ac:dyDescent="0.3">
      <c r="C364" s="171" t="s">
        <v>531</v>
      </c>
      <c r="D364" s="57">
        <f>D207</f>
        <v>39.590000000000003</v>
      </c>
      <c r="E364" s="57">
        <f t="shared" ref="E364:H364" si="611">E207</f>
        <v>282.36</v>
      </c>
      <c r="F364" s="57">
        <f t="shared" si="611"/>
        <v>16312.26</v>
      </c>
      <c r="G364" s="57">
        <f t="shared" si="611"/>
        <v>15410.66</v>
      </c>
      <c r="H364" s="57">
        <f t="shared" si="611"/>
        <v>10202.450000000001</v>
      </c>
      <c r="I364" s="57">
        <f>D209</f>
        <v>34.130000000000003</v>
      </c>
      <c r="J364" s="57">
        <f t="shared" ref="J364:M364" si="612">E209</f>
        <v>219.93</v>
      </c>
      <c r="K364" s="57">
        <f t="shared" si="612"/>
        <v>15971.27</v>
      </c>
      <c r="L364" s="57">
        <f t="shared" si="612"/>
        <v>14736.76</v>
      </c>
      <c r="M364" s="57">
        <f t="shared" si="612"/>
        <v>9684.59</v>
      </c>
      <c r="P364" s="171" t="s">
        <v>531</v>
      </c>
      <c r="Q364" s="57">
        <f>Q207</f>
        <v>0</v>
      </c>
      <c r="R364" s="57">
        <f t="shared" ref="R364:U364" si="613">R207</f>
        <v>18.16</v>
      </c>
      <c r="S364" s="57">
        <f t="shared" si="613"/>
        <v>1344.59</v>
      </c>
      <c r="T364" s="57">
        <f t="shared" si="613"/>
        <v>379.89</v>
      </c>
      <c r="U364" s="57">
        <f t="shared" si="613"/>
        <v>108.18</v>
      </c>
      <c r="V364" s="57">
        <f>Q209</f>
        <v>0</v>
      </c>
      <c r="W364" s="57">
        <f t="shared" ref="W364" si="614">R209</f>
        <v>12.49</v>
      </c>
      <c r="X364" s="57">
        <f t="shared" ref="X364" si="615">S209</f>
        <v>1329.64</v>
      </c>
      <c r="Y364" s="57">
        <f t="shared" ref="Y364" si="616">T209</f>
        <v>363.45</v>
      </c>
      <c r="Z364" s="57">
        <f t="shared" ref="Z364" si="617">U209</f>
        <v>94.71</v>
      </c>
      <c r="AC364" s="171" t="s">
        <v>531</v>
      </c>
      <c r="AD364" s="57">
        <f>AD207</f>
        <v>0</v>
      </c>
      <c r="AE364" s="57">
        <f t="shared" ref="AE364:AH364" si="618">AE207</f>
        <v>8.6300000000000008</v>
      </c>
      <c r="AF364" s="57">
        <f t="shared" si="618"/>
        <v>181.78</v>
      </c>
      <c r="AG364" s="57">
        <f t="shared" si="618"/>
        <v>168.84</v>
      </c>
      <c r="AH364" s="57">
        <f t="shared" si="618"/>
        <v>119.21</v>
      </c>
      <c r="AI364" s="57">
        <f>AD209</f>
        <v>0</v>
      </c>
      <c r="AJ364" s="57">
        <f t="shared" ref="AJ364" si="619">AE209</f>
        <v>5.88</v>
      </c>
      <c r="AK364" s="57">
        <f t="shared" ref="AK364" si="620">AF209</f>
        <v>176.08</v>
      </c>
      <c r="AL364" s="57">
        <f t="shared" ref="AL364" si="621">AG209</f>
        <v>162.69</v>
      </c>
      <c r="AM364" s="57">
        <f t="shared" ref="AM364" si="622">AH209</f>
        <v>111.83</v>
      </c>
    </row>
    <row r="365" spans="2:39" x14ac:dyDescent="0.3">
      <c r="C365" s="171" t="s">
        <v>532</v>
      </c>
      <c r="D365" s="57">
        <f>D232</f>
        <v>169.26</v>
      </c>
      <c r="E365" s="57">
        <f t="shared" ref="E365:H365" si="623">E232</f>
        <v>440.32</v>
      </c>
      <c r="F365" s="57">
        <f t="shared" si="623"/>
        <v>18394.939999999999</v>
      </c>
      <c r="G365" s="57">
        <f t="shared" si="623"/>
        <v>14830.55</v>
      </c>
      <c r="H365" s="57">
        <f t="shared" si="623"/>
        <v>9392.94</v>
      </c>
      <c r="I365" s="57">
        <f>D234</f>
        <v>158.15</v>
      </c>
      <c r="J365" s="57">
        <f t="shared" ref="J365:M365" si="624">E234</f>
        <v>333.42</v>
      </c>
      <c r="K365" s="57">
        <f t="shared" si="624"/>
        <v>17809.849999999999</v>
      </c>
      <c r="L365" s="57">
        <f t="shared" si="624"/>
        <v>13920.19</v>
      </c>
      <c r="M365" s="57">
        <f t="shared" si="624"/>
        <v>8870.41</v>
      </c>
      <c r="P365" s="171" t="s">
        <v>532</v>
      </c>
      <c r="Q365" s="57">
        <f>Q232</f>
        <v>0.5</v>
      </c>
      <c r="R365" s="57">
        <f t="shared" ref="R365:U365" si="625">R232</f>
        <v>25.07</v>
      </c>
      <c r="S365" s="57">
        <f t="shared" si="625"/>
        <v>1403.17</v>
      </c>
      <c r="T365" s="57">
        <f t="shared" si="625"/>
        <v>358.3</v>
      </c>
      <c r="U365" s="57">
        <f t="shared" si="625"/>
        <v>66.290000000000006</v>
      </c>
      <c r="V365" s="57">
        <f>Q234</f>
        <v>0.38</v>
      </c>
      <c r="W365" s="57">
        <f t="shared" ref="W365" si="626">R234</f>
        <v>19.059999999999999</v>
      </c>
      <c r="X365" s="57">
        <f t="shared" ref="X365" si="627">S234</f>
        <v>1381.62</v>
      </c>
      <c r="Y365" s="57">
        <f t="shared" ref="Y365" si="628">T234</f>
        <v>339.8</v>
      </c>
      <c r="Z365" s="57">
        <f t="shared" ref="Z365" si="629">U234</f>
        <v>56.85</v>
      </c>
      <c r="AC365" s="171" t="s">
        <v>532</v>
      </c>
      <c r="AD365" s="57">
        <f>AD232</f>
        <v>0.55000000000000004</v>
      </c>
      <c r="AE365" s="57">
        <f t="shared" ref="AE365:AH365" si="630">AE232</f>
        <v>17.38</v>
      </c>
      <c r="AF365" s="57">
        <f t="shared" si="630"/>
        <v>182.65</v>
      </c>
      <c r="AG365" s="57">
        <f t="shared" si="630"/>
        <v>183.2</v>
      </c>
      <c r="AH365" s="57">
        <f t="shared" si="630"/>
        <v>94.72</v>
      </c>
      <c r="AI365" s="57">
        <f>AD234</f>
        <v>0.49</v>
      </c>
      <c r="AJ365" s="57">
        <f t="shared" ref="AJ365" si="631">AE234</f>
        <v>13.37</v>
      </c>
      <c r="AK365" s="57">
        <f t="shared" ref="AK365" si="632">AF234</f>
        <v>175.37</v>
      </c>
      <c r="AL365" s="57">
        <f t="shared" ref="AL365" si="633">AG234</f>
        <v>172.65</v>
      </c>
      <c r="AM365" s="57">
        <f t="shared" ref="AM365" si="634">AH234</f>
        <v>86.63</v>
      </c>
    </row>
    <row r="366" spans="2:39" x14ac:dyDescent="0.3">
      <c r="C366" s="172" t="s">
        <v>461</v>
      </c>
      <c r="D366" s="217">
        <f>D257</f>
        <v>133.96</v>
      </c>
      <c r="E366" s="217">
        <f t="shared" ref="E366:H366" si="635">E257</f>
        <v>774.86</v>
      </c>
      <c r="F366" s="217">
        <f t="shared" si="635"/>
        <v>18334.84</v>
      </c>
      <c r="G366" s="217">
        <f t="shared" si="635"/>
        <v>14076.14</v>
      </c>
      <c r="H366" s="217">
        <f t="shared" si="635"/>
        <v>9908.2099999999991</v>
      </c>
      <c r="I366" s="217">
        <f>D259</f>
        <v>118.2</v>
      </c>
      <c r="J366" s="217">
        <f t="shared" ref="J366:M366" si="636">E259</f>
        <v>590.16</v>
      </c>
      <c r="K366" s="217">
        <f t="shared" si="636"/>
        <v>17967.75</v>
      </c>
      <c r="L366" s="217">
        <f t="shared" si="636"/>
        <v>13511.88</v>
      </c>
      <c r="M366" s="217">
        <f t="shared" si="636"/>
        <v>9387.41</v>
      </c>
      <c r="P366" s="172" t="s">
        <v>461</v>
      </c>
      <c r="Q366" s="217">
        <f>Q257</f>
        <v>0.22</v>
      </c>
      <c r="R366" s="217">
        <f t="shared" ref="R366:U366" si="637">R257</f>
        <v>62</v>
      </c>
      <c r="S366" s="217">
        <f t="shared" si="637"/>
        <v>1403.24</v>
      </c>
      <c r="T366" s="217">
        <f t="shared" si="637"/>
        <v>308.97000000000003</v>
      </c>
      <c r="U366" s="217">
        <f t="shared" si="637"/>
        <v>78.900000000000006</v>
      </c>
      <c r="V366" s="217">
        <f>Q259</f>
        <v>0.16</v>
      </c>
      <c r="W366" s="217">
        <f t="shared" ref="W366" si="638">R259</f>
        <v>47.07</v>
      </c>
      <c r="X366" s="217">
        <f t="shared" ref="X366" si="639">S259</f>
        <v>1381.91</v>
      </c>
      <c r="Y366" s="217">
        <f t="shared" ref="Y366" si="640">T259</f>
        <v>295.89</v>
      </c>
      <c r="Z366" s="217">
        <f t="shared" ref="Z366" si="641">U259</f>
        <v>67.23</v>
      </c>
      <c r="AC366" s="172" t="s">
        <v>461</v>
      </c>
      <c r="AD366" s="217">
        <f>AD257</f>
        <v>0.24</v>
      </c>
      <c r="AE366" s="217">
        <f t="shared" ref="AE366:AH366" si="642">AE257</f>
        <v>33.64</v>
      </c>
      <c r="AF366" s="217">
        <f t="shared" si="642"/>
        <v>158.6</v>
      </c>
      <c r="AG366" s="217">
        <f t="shared" si="642"/>
        <v>189.84</v>
      </c>
      <c r="AH366" s="217">
        <f t="shared" si="642"/>
        <v>96.18</v>
      </c>
      <c r="AI366" s="217">
        <f>AD259</f>
        <v>0.19</v>
      </c>
      <c r="AJ366" s="217">
        <f t="shared" ref="AJ366" si="643">AE259</f>
        <v>29.85</v>
      </c>
      <c r="AK366" s="217">
        <f t="shared" ref="AK366" si="644">AF259</f>
        <v>153.4</v>
      </c>
      <c r="AL366" s="217">
        <f t="shared" ref="AL366" si="645">AG259</f>
        <v>183.38</v>
      </c>
      <c r="AM366" s="217">
        <f t="shared" ref="AM366" si="646">AH259</f>
        <v>89.97</v>
      </c>
    </row>
    <row r="368" spans="2:39" x14ac:dyDescent="0.3">
      <c r="I368" s="154" t="s">
        <v>640</v>
      </c>
      <c r="J368" s="155" t="s">
        <v>641</v>
      </c>
      <c r="K368" s="156" t="s">
        <v>642</v>
      </c>
      <c r="L368" s="157" t="s">
        <v>643</v>
      </c>
      <c r="M368" s="158" t="s">
        <v>644</v>
      </c>
      <c r="V368" s="154" t="s">
        <v>640</v>
      </c>
      <c r="W368" s="155" t="s">
        <v>641</v>
      </c>
      <c r="X368" s="156" t="s">
        <v>642</v>
      </c>
      <c r="Y368" s="157" t="s">
        <v>643</v>
      </c>
      <c r="Z368" s="158" t="s">
        <v>644</v>
      </c>
      <c r="AI368" s="154" t="s">
        <v>640</v>
      </c>
      <c r="AJ368" s="155" t="s">
        <v>641</v>
      </c>
      <c r="AK368" s="156" t="s">
        <v>642</v>
      </c>
      <c r="AL368" s="157" t="s">
        <v>643</v>
      </c>
      <c r="AM368" s="158" t="s">
        <v>644</v>
      </c>
    </row>
    <row r="369" spans="7:39" x14ac:dyDescent="0.3">
      <c r="G369" s="132" t="s">
        <v>612</v>
      </c>
      <c r="H369" s="170">
        <v>1977</v>
      </c>
      <c r="I369" s="220">
        <f>D26</f>
        <v>3.2602626593421626E-4</v>
      </c>
      <c r="J369" s="220">
        <f t="shared" ref="J369:M369" si="647">E26</f>
        <v>8.3510027137616337E-5</v>
      </c>
      <c r="K369" s="220">
        <f t="shared" si="647"/>
        <v>1.2442402755274123E-2</v>
      </c>
      <c r="L369" s="220">
        <f t="shared" si="647"/>
        <v>2.3277897969683436E-2</v>
      </c>
      <c r="M369" s="220">
        <f t="shared" si="647"/>
        <v>1.8249570275105747E-2</v>
      </c>
      <c r="T369" s="132" t="s">
        <v>616</v>
      </c>
      <c r="U369" s="170">
        <v>1977</v>
      </c>
      <c r="V369" s="220">
        <f>Q26</f>
        <v>6.5653612154121962E-6</v>
      </c>
      <c r="W369" s="220">
        <f t="shared" ref="W369" si="648">R26</f>
        <v>1.1438879348391249E-4</v>
      </c>
      <c r="X369" s="220">
        <f t="shared" ref="X369" si="649">S26</f>
        <v>2.3269155230778223E-2</v>
      </c>
      <c r="Y369" s="220">
        <f t="shared" ref="Y369" si="650">T26</f>
        <v>1.6757579474553828E-2</v>
      </c>
      <c r="Z369" s="220">
        <f t="shared" ref="Z369" si="651">U26</f>
        <v>6.6090461188839759E-3</v>
      </c>
      <c r="AG369" s="132" t="s">
        <v>634</v>
      </c>
      <c r="AH369" s="170">
        <v>1977</v>
      </c>
      <c r="AI369" s="220">
        <f>AD26</f>
        <v>0</v>
      </c>
      <c r="AJ369" s="220">
        <f t="shared" ref="AJ369" si="652">AE26</f>
        <v>0</v>
      </c>
      <c r="AK369" s="220">
        <f t="shared" ref="AK369" si="653">AF26</f>
        <v>1.7158998214267668E-2</v>
      </c>
      <c r="AL369" s="220">
        <f t="shared" ref="AL369" si="654">AG26</f>
        <v>3.0923036389473305E-2</v>
      </c>
      <c r="AM369" s="220">
        <f t="shared" ref="AM369" si="655">AH26</f>
        <v>2.7861538281282665E-2</v>
      </c>
    </row>
    <row r="370" spans="7:39" x14ac:dyDescent="0.3">
      <c r="G370" s="116" t="s">
        <v>543</v>
      </c>
      <c r="H370" s="171">
        <v>1988</v>
      </c>
      <c r="I370" s="220">
        <f>D51</f>
        <v>8.8878949231469101E-5</v>
      </c>
      <c r="J370" s="220">
        <f t="shared" ref="J370:M370" si="656">E51</f>
        <v>3.931264776868308E-5</v>
      </c>
      <c r="K370" s="220">
        <f t="shared" si="656"/>
        <v>1.6932241985176375E-2</v>
      </c>
      <c r="L370" s="220">
        <f t="shared" si="656"/>
        <v>2.1604880800501439E-2</v>
      </c>
      <c r="M370" s="220">
        <f t="shared" si="656"/>
        <v>2.1632363382511479E-2</v>
      </c>
      <c r="T370" s="116" t="s">
        <v>543</v>
      </c>
      <c r="U370" s="171">
        <v>1988</v>
      </c>
      <c r="V370" s="220">
        <f>Q51</f>
        <v>0</v>
      </c>
      <c r="W370" s="220">
        <f t="shared" ref="W370" si="657">R51</f>
        <v>1.2691864008714172E-4</v>
      </c>
      <c r="X370" s="220">
        <f t="shared" ref="X370" si="658">S51</f>
        <v>3.2633000715127709E-2</v>
      </c>
      <c r="Y370" s="220">
        <f t="shared" ref="Y370" si="659">T51</f>
        <v>1.4730562852062354E-2</v>
      </c>
      <c r="Z370" s="220">
        <f t="shared" ref="Z370" si="660">U51</f>
        <v>1.9894224085865574E-2</v>
      </c>
      <c r="AG370" s="116" t="s">
        <v>543</v>
      </c>
      <c r="AH370" s="171">
        <v>1988</v>
      </c>
      <c r="AI370" s="220">
        <f>AD51</f>
        <v>0</v>
      </c>
      <c r="AJ370" s="220">
        <f t="shared" ref="AJ370" si="661">AE51</f>
        <v>1.667457569629597E-4</v>
      </c>
      <c r="AK370" s="220">
        <f t="shared" ref="AK370" si="662">AF51</f>
        <v>2.4510281549708596E-2</v>
      </c>
      <c r="AL370" s="220">
        <f t="shared" ref="AL370" si="663">AG51</f>
        <v>1.3798211388684912E-2</v>
      </c>
      <c r="AM370" s="220">
        <f t="shared" ref="AM370" si="664">AH51</f>
        <v>2.5837523986179896E-2</v>
      </c>
    </row>
    <row r="371" spans="7:39" x14ac:dyDescent="0.3">
      <c r="G371" s="115" t="s">
        <v>805</v>
      </c>
      <c r="H371" s="171" t="s">
        <v>397</v>
      </c>
      <c r="I371" s="220">
        <f>D76</f>
        <v>2.8881347571103294E-5</v>
      </c>
      <c r="J371" s="220">
        <f t="shared" ref="J371:M371" si="665">E76</f>
        <v>8.3851749058541438E-5</v>
      </c>
      <c r="K371" s="220">
        <f t="shared" si="665"/>
        <v>1.5043182561620167E-2</v>
      </c>
      <c r="L371" s="220">
        <f t="shared" si="665"/>
        <v>1.3904912807969887E-2</v>
      </c>
      <c r="M371" s="220">
        <f t="shared" si="665"/>
        <v>1.0774641035087148E-2</v>
      </c>
      <c r="T371" s="115" t="s">
        <v>805</v>
      </c>
      <c r="U371" s="171" t="s">
        <v>397</v>
      </c>
      <c r="V371" s="220">
        <f>Q76</f>
        <v>0</v>
      </c>
      <c r="W371" s="220">
        <f t="shared" ref="W371" si="666">R76</f>
        <v>2.6956674884274493E-5</v>
      </c>
      <c r="X371" s="220">
        <f t="shared" ref="X371" si="667">S76</f>
        <v>1.7509785930719585E-2</v>
      </c>
      <c r="Y371" s="220">
        <f t="shared" ref="Y371" si="668">T76</f>
        <v>5.6861736084016512E-3</v>
      </c>
      <c r="Z371" s="220">
        <f t="shared" ref="Z371" si="669">U76</f>
        <v>7.9470351149216927E-4</v>
      </c>
      <c r="AG371" s="115" t="s">
        <v>805</v>
      </c>
      <c r="AH371" s="171" t="s">
        <v>397</v>
      </c>
      <c r="AI371" s="220">
        <f>AD76</f>
        <v>0</v>
      </c>
      <c r="AJ371" s="220">
        <f t="shared" ref="AJ371" si="670">AE76</f>
        <v>5.7971937430124362E-5</v>
      </c>
      <c r="AK371" s="220">
        <f t="shared" ref="AK371" si="671">AF76</f>
        <v>2.052758698716213E-2</v>
      </c>
      <c r="AL371" s="220">
        <f t="shared" ref="AL371" si="672">AG76</f>
        <v>1.2641563117699182E-2</v>
      </c>
      <c r="AM371" s="220">
        <f t="shared" ref="AM371" si="673">AH76</f>
        <v>1.0799343772697451E-2</v>
      </c>
    </row>
    <row r="372" spans="7:39" x14ac:dyDescent="0.3">
      <c r="H372" s="171" t="s">
        <v>401</v>
      </c>
      <c r="I372" s="220">
        <f>D101</f>
        <v>2.1891901839514612E-4</v>
      </c>
      <c r="J372" s="220">
        <f t="shared" ref="J372:M372" si="674">E101</f>
        <v>2.1671607736912135E-3</v>
      </c>
      <c r="K372" s="220">
        <f t="shared" si="674"/>
        <v>4.3793990527340648E-2</v>
      </c>
      <c r="L372" s="220">
        <f t="shared" si="674"/>
        <v>3.584330976645881E-2</v>
      </c>
      <c r="M372" s="220">
        <f t="shared" si="674"/>
        <v>3.119762986641722E-2</v>
      </c>
      <c r="U372" s="171" t="s">
        <v>401</v>
      </c>
      <c r="V372" s="220">
        <f>Q101</f>
        <v>0</v>
      </c>
      <c r="W372" s="220">
        <f t="shared" ref="W372" si="675">R101</f>
        <v>3.582766592492769E-4</v>
      </c>
      <c r="X372" s="220">
        <f t="shared" ref="X372" si="676">S101</f>
        <v>4.7487942653222343E-2</v>
      </c>
      <c r="Y372" s="220">
        <f t="shared" ref="Y372" si="677">T101</f>
        <v>1.4141794963115144E-2</v>
      </c>
      <c r="Z372" s="220">
        <f t="shared" ref="Z372" si="678">U101</f>
        <v>3.1727388602408187E-3</v>
      </c>
      <c r="AH372" s="171" t="s">
        <v>401</v>
      </c>
      <c r="AI372" s="220">
        <f>AD101</f>
        <v>0</v>
      </c>
      <c r="AJ372" s="220">
        <f t="shared" ref="AJ372" si="679">AE101</f>
        <v>2.6799741120101746E-5</v>
      </c>
      <c r="AK372" s="220">
        <f t="shared" ref="AK372" si="680">AF101</f>
        <v>1.5805795706413557E-2</v>
      </c>
      <c r="AL372" s="220">
        <f t="shared" ref="AL372" si="681">AG101</f>
        <v>1.5640674720802605E-2</v>
      </c>
      <c r="AM372" s="220">
        <f t="shared" ref="AM372" si="682">AH101</f>
        <v>9.8899689810956135E-3</v>
      </c>
    </row>
    <row r="373" spans="7:39" x14ac:dyDescent="0.3">
      <c r="H373" s="171" t="s">
        <v>405</v>
      </c>
      <c r="I373" s="220">
        <f>D126</f>
        <v>6.076226862687427E-5</v>
      </c>
      <c r="J373" s="220">
        <f t="shared" ref="J373:M373" si="683">E126</f>
        <v>3.5003640233169771E-4</v>
      </c>
      <c r="K373" s="220">
        <f t="shared" si="683"/>
        <v>2.3841780765460462E-2</v>
      </c>
      <c r="L373" s="220">
        <f t="shared" si="683"/>
        <v>2.1935639294518479E-2</v>
      </c>
      <c r="M373" s="220">
        <f t="shared" si="683"/>
        <v>1.7528771122830671E-2</v>
      </c>
      <c r="U373" s="171" t="s">
        <v>405</v>
      </c>
      <c r="V373" s="220">
        <f>Q126</f>
        <v>0</v>
      </c>
      <c r="W373" s="220">
        <f t="shared" ref="W373" si="684">R126</f>
        <v>1.4781375187600246E-4</v>
      </c>
      <c r="X373" s="220">
        <f t="shared" ref="X373" si="685">S126</f>
        <v>3.2060802781904936E-2</v>
      </c>
      <c r="Y373" s="220">
        <f t="shared" ref="Y373" si="686">T126</f>
        <v>1.0455693425073029E-2</v>
      </c>
      <c r="Z373" s="220">
        <f t="shared" ref="Z373" si="687">U126</f>
        <v>3.764741100746931E-3</v>
      </c>
      <c r="AH373" s="171" t="s">
        <v>405</v>
      </c>
      <c r="AI373" s="220">
        <f>AD126</f>
        <v>0</v>
      </c>
      <c r="AJ373" s="220">
        <f t="shared" ref="AJ373" si="688">AE126</f>
        <v>4.5010284363691485E-4</v>
      </c>
      <c r="AK373" s="220">
        <f t="shared" ref="AK373" si="689">AF126</f>
        <v>2.2528318209024886E-2</v>
      </c>
      <c r="AL373" s="220">
        <f t="shared" ref="AL373" si="690">AG126</f>
        <v>2.1075547242164268E-2</v>
      </c>
      <c r="AM373" s="220">
        <f t="shared" ref="AM373" si="691">AH126</f>
        <v>1.4308147305856399E-2</v>
      </c>
    </row>
    <row r="374" spans="7:39" x14ac:dyDescent="0.3">
      <c r="H374" s="171" t="s">
        <v>429</v>
      </c>
      <c r="I374" s="220">
        <f>D151</f>
        <v>1.9640423826389693E-4</v>
      </c>
      <c r="J374" s="220">
        <f t="shared" ref="J374:M374" si="692">E151</f>
        <v>4.5377410439037893E-4</v>
      </c>
      <c r="K374" s="220">
        <f t="shared" si="692"/>
        <v>7.8237275417571459E-2</v>
      </c>
      <c r="L374" s="220">
        <f t="shared" si="692"/>
        <v>7.7568661361102437E-2</v>
      </c>
      <c r="M374" s="220">
        <f t="shared" si="692"/>
        <v>5.9173591298277012E-2</v>
      </c>
      <c r="U374" s="171" t="s">
        <v>429</v>
      </c>
      <c r="V374" s="220">
        <f>Q151</f>
        <v>0</v>
      </c>
      <c r="W374" s="220">
        <f t="shared" ref="W374" si="693">R151</f>
        <v>1.7097082369285129E-3</v>
      </c>
      <c r="X374" s="220">
        <f t="shared" ref="X374" si="694">S151</f>
        <v>0.2412969973219706</v>
      </c>
      <c r="Y374" s="220">
        <f t="shared" ref="Y374" si="695">T151</f>
        <v>6.03039268782899E-2</v>
      </c>
      <c r="Z374" s="220">
        <f t="shared" ref="Z374" si="696">U151</f>
        <v>2.9041439760710549E-2</v>
      </c>
      <c r="AH374" s="171" t="s">
        <v>429</v>
      </c>
      <c r="AI374" s="220">
        <f>AD151</f>
        <v>0</v>
      </c>
      <c r="AJ374" s="220">
        <f t="shared" ref="AJ374" si="697">AE151</f>
        <v>7.2447226814434211E-3</v>
      </c>
      <c r="AK374" s="220">
        <f t="shared" ref="AK374" si="698">AF151</f>
        <v>0.12117340954375909</v>
      </c>
      <c r="AL374" s="220">
        <f t="shared" ref="AL374" si="699">AG151</f>
        <v>8.4984501394896189E-2</v>
      </c>
      <c r="AM374" s="220">
        <f t="shared" ref="AM374" si="700">AH151</f>
        <v>8.9331335003762238E-2</v>
      </c>
    </row>
    <row r="375" spans="7:39" x14ac:dyDescent="0.3">
      <c r="H375" s="171" t="s">
        <v>437</v>
      </c>
      <c r="I375" s="220">
        <f>D176</f>
        <v>6.5381382943015327E-5</v>
      </c>
      <c r="J375" s="220">
        <f t="shared" ref="J375:M375" si="701">E176</f>
        <v>1.1559937654773247E-3</v>
      </c>
      <c r="K375" s="220">
        <f t="shared" si="701"/>
        <v>3.2341317283049502E-2</v>
      </c>
      <c r="L375" s="220">
        <f t="shared" si="701"/>
        <v>2.9816537191787111E-2</v>
      </c>
      <c r="M375" s="220">
        <f t="shared" si="701"/>
        <v>2.0651182585110377E-2</v>
      </c>
      <c r="U375" s="171" t="s">
        <v>437</v>
      </c>
      <c r="V375" s="220">
        <f>Q176</f>
        <v>7.6662369057102413E-6</v>
      </c>
      <c r="W375" s="220">
        <f t="shared" ref="W375" si="702">R176</f>
        <v>1.1470961888544213E-3</v>
      </c>
      <c r="X375" s="220">
        <f t="shared" ref="X375" si="703">S176</f>
        <v>3.6604861551265348E-2</v>
      </c>
      <c r="Y375" s="220">
        <f t="shared" ref="Y375" si="704">T176</f>
        <v>1.1102414647669699E-2</v>
      </c>
      <c r="Z375" s="220">
        <f t="shared" ref="Z375" si="705">U176</f>
        <v>2.8421863491170192E-3</v>
      </c>
      <c r="AH375" s="171" t="s">
        <v>437</v>
      </c>
      <c r="AI375" s="220">
        <f>AD176</f>
        <v>0</v>
      </c>
      <c r="AJ375" s="220">
        <f t="shared" ref="AJ375" si="706">AE176</f>
        <v>3.8910337459343567E-3</v>
      </c>
      <c r="AK375" s="220">
        <f t="shared" ref="AK375" si="707">AF176</f>
        <v>3.3065629536991437E-2</v>
      </c>
      <c r="AL375" s="220">
        <f t="shared" ref="AL375" si="708">AG176</f>
        <v>3.6195994736157693E-2</v>
      </c>
      <c r="AM375" s="220">
        <f t="shared" ref="AM375" si="709">AH176</f>
        <v>2.070527548347564E-2</v>
      </c>
    </row>
    <row r="376" spans="7:39" x14ac:dyDescent="0.3">
      <c r="H376" s="171" t="s">
        <v>441</v>
      </c>
      <c r="I376" s="220">
        <f>D201</f>
        <v>4.6740287982990681E-5</v>
      </c>
      <c r="J376" s="220">
        <f t="shared" ref="J376:M376" si="710">E201</f>
        <v>5.3774198248924111E-4</v>
      </c>
      <c r="K376" s="220">
        <f t="shared" si="710"/>
        <v>1.869488037149809E-2</v>
      </c>
      <c r="L376" s="220">
        <f t="shared" si="710"/>
        <v>1.7165347894684841E-2</v>
      </c>
      <c r="M376" s="220">
        <f t="shared" si="710"/>
        <v>1.2876206159588177E-2</v>
      </c>
      <c r="U376" s="171" t="s">
        <v>441</v>
      </c>
      <c r="V376" s="220">
        <f>Q201</f>
        <v>0</v>
      </c>
      <c r="W376" s="220">
        <f t="shared" ref="W376" si="711">R201</f>
        <v>3.4380920345133915E-4</v>
      </c>
      <c r="X376" s="220">
        <f t="shared" ref="X376" si="712">S201</f>
        <v>2.1210592671264284E-2</v>
      </c>
      <c r="Y376" s="220">
        <f t="shared" ref="Y376" si="713">T201</f>
        <v>6.5703444747170882E-3</v>
      </c>
      <c r="Z376" s="220">
        <f t="shared" ref="Z376" si="714">U201</f>
        <v>1.5655654874773936E-3</v>
      </c>
      <c r="AH376" s="171" t="s">
        <v>441</v>
      </c>
      <c r="AI376" s="220">
        <f>AD201</f>
        <v>0</v>
      </c>
      <c r="AJ376" s="220">
        <f t="shared" ref="AJ376" si="715">AE201</f>
        <v>4.7858420023880242E-4</v>
      </c>
      <c r="AK376" s="220">
        <f t="shared" ref="AK376" si="716">AF201</f>
        <v>1.7659756988811809E-2</v>
      </c>
      <c r="AL376" s="220">
        <f t="shared" ref="AL376" si="717">AG201</f>
        <v>1.9050581276852736E-2</v>
      </c>
      <c r="AM376" s="220">
        <f t="shared" ref="AM376" si="718">AH201</f>
        <v>9.5423829312920386E-3</v>
      </c>
    </row>
    <row r="377" spans="7:39" x14ac:dyDescent="0.3">
      <c r="H377" s="171" t="s">
        <v>531</v>
      </c>
      <c r="I377" s="220">
        <f>D226</f>
        <v>5.9815867088224289E-5</v>
      </c>
      <c r="J377" s="220">
        <f t="shared" ref="J377:M377" si="719">E226</f>
        <v>4.2661298891212459E-4</v>
      </c>
      <c r="K377" s="220">
        <f t="shared" si="719"/>
        <v>2.4645920082560179E-2</v>
      </c>
      <c r="L377" s="220">
        <f t="shared" si="719"/>
        <v>2.3283707762106958E-2</v>
      </c>
      <c r="M377" s="220">
        <f t="shared" si="719"/>
        <v>1.5414710613141045E-2</v>
      </c>
      <c r="U377" s="171" t="s">
        <v>531</v>
      </c>
      <c r="V377" s="220">
        <f>Q226</f>
        <v>0</v>
      </c>
      <c r="W377" s="220">
        <f t="shared" ref="W377" si="720">R226</f>
        <v>3.2288951840160905E-4</v>
      </c>
      <c r="X377" s="220">
        <f t="shared" ref="X377" si="721">S226</f>
        <v>2.3907159556586975E-2</v>
      </c>
      <c r="Y377" s="220">
        <f t="shared" ref="Y377" si="722">T226</f>
        <v>6.7545429044926905E-3</v>
      </c>
      <c r="Z377" s="220">
        <f t="shared" ref="Z377" si="723">U226</f>
        <v>1.9234685077470302E-3</v>
      </c>
      <c r="AH377" s="171" t="s">
        <v>531</v>
      </c>
      <c r="AI377" s="220">
        <f>AD226</f>
        <v>0</v>
      </c>
      <c r="AJ377" s="220">
        <f t="shared" ref="AJ377" si="724">AE226</f>
        <v>9.0594240085947937E-4</v>
      </c>
      <c r="AK377" s="220">
        <f t="shared" ref="AK377" si="725">AF226</f>
        <v>1.9082527187512879E-2</v>
      </c>
      <c r="AL377" s="220">
        <f t="shared" ref="AL377" si="726">AG226</f>
        <v>1.772413846594606E-2</v>
      </c>
      <c r="AM377" s="220">
        <f t="shared" ref="AM377" si="727">AH226</f>
        <v>1.2514182341420453E-2</v>
      </c>
    </row>
    <row r="378" spans="7:39" x14ac:dyDescent="0.3">
      <c r="H378" s="171" t="s">
        <v>532</v>
      </c>
      <c r="I378" s="220">
        <f>D251</f>
        <v>2.0976892802143475E-4</v>
      </c>
      <c r="J378" s="220">
        <f t="shared" ref="J378:M378" si="728">E251</f>
        <v>5.4570160927802289E-4</v>
      </c>
      <c r="K378" s="220">
        <f t="shared" si="728"/>
        <v>2.2797393624120355E-2</v>
      </c>
      <c r="L378" s="220">
        <f t="shared" si="728"/>
        <v>1.83799395927466E-2</v>
      </c>
      <c r="M378" s="220">
        <f t="shared" si="728"/>
        <v>1.1640948568886068E-2</v>
      </c>
      <c r="U378" s="171" t="s">
        <v>532</v>
      </c>
      <c r="V378" s="220">
        <f>Q251</f>
        <v>9.2519956807215011E-6</v>
      </c>
      <c r="W378" s="220">
        <f t="shared" ref="W378" si="729">R251</f>
        <v>4.6389506343137601E-4</v>
      </c>
      <c r="X378" s="220">
        <f t="shared" ref="X378" si="730">S251</f>
        <v>2.5964245558635971E-2</v>
      </c>
      <c r="Y378" s="220">
        <f t="shared" ref="Y378" si="731">T251</f>
        <v>6.6299801048050272E-3</v>
      </c>
      <c r="Z378" s="220">
        <f t="shared" ref="Z378" si="732">U251</f>
        <v>1.2266295873500567E-3</v>
      </c>
      <c r="AH378" s="171" t="s">
        <v>532</v>
      </c>
      <c r="AI378" s="220">
        <f>AD251</f>
        <v>7.6792572046547155E-5</v>
      </c>
      <c r="AJ378" s="220">
        <f t="shared" ref="AJ378" si="733">AE251</f>
        <v>2.4266452766708896E-3</v>
      </c>
      <c r="AK378" s="220">
        <f t="shared" ref="AK378" si="734">AF251</f>
        <v>2.5502115062366975E-2</v>
      </c>
      <c r="AL378" s="220">
        <f t="shared" ref="AL378" si="735">AG251</f>
        <v>2.5578907634413516E-2</v>
      </c>
      <c r="AM378" s="220">
        <f t="shared" ref="AM378" si="736">AH251</f>
        <v>1.322507713499808E-2</v>
      </c>
    </row>
    <row r="379" spans="7:39" x14ac:dyDescent="0.3">
      <c r="H379" s="172" t="s">
        <v>461</v>
      </c>
      <c r="I379" s="220">
        <f>D276</f>
        <v>1.3151989699555254E-4</v>
      </c>
      <c r="J379" s="220">
        <f t="shared" ref="J379:M379" si="737">E276</f>
        <v>7.6074580013417306E-4</v>
      </c>
      <c r="K379" s="220">
        <f t="shared" si="737"/>
        <v>1.8000867932442044E-2</v>
      </c>
      <c r="L379" s="220">
        <f t="shared" si="737"/>
        <v>1.3819740839765424E-2</v>
      </c>
      <c r="M379" s="220">
        <f t="shared" si="737"/>
        <v>9.7277303568998469E-3</v>
      </c>
      <c r="U379" s="172" t="s">
        <v>461</v>
      </c>
      <c r="V379" s="220">
        <f>Q276</f>
        <v>4.4184076365219757E-6</v>
      </c>
      <c r="W379" s="220">
        <f t="shared" ref="W379" si="738">R276</f>
        <v>1.245187606656193E-3</v>
      </c>
      <c r="X379" s="220">
        <f t="shared" ref="X379" si="739">S276</f>
        <v>2.8182210599423167E-2</v>
      </c>
      <c r="Y379" s="220">
        <f t="shared" ref="Y379" si="740">T276</f>
        <v>6.2052518520736124E-3</v>
      </c>
      <c r="Z379" s="220">
        <f t="shared" ref="Z379" si="741">U276</f>
        <v>1.5846016478253812E-3</v>
      </c>
      <c r="AH379" s="172" t="s">
        <v>461</v>
      </c>
      <c r="AI379" s="220">
        <f>AD276</f>
        <v>2.4868609498520014E-5</v>
      </c>
      <c r="AJ379" s="220">
        <f t="shared" ref="AJ379" si="742">AE276</f>
        <v>3.4857500980425547E-3</v>
      </c>
      <c r="AK379" s="220">
        <f t="shared" ref="AK379" si="743">AF276</f>
        <v>1.6434006110271973E-2</v>
      </c>
      <c r="AL379" s="220">
        <f t="shared" ref="AL379" si="744">AG276</f>
        <v>1.9671070113329327E-2</v>
      </c>
      <c r="AM379" s="220">
        <f t="shared" ref="AM379" si="745">AH276</f>
        <v>9.9660952565318959E-3</v>
      </c>
    </row>
    <row r="382" spans="7:39" x14ac:dyDescent="0.3">
      <c r="G382" s="132" t="s">
        <v>612</v>
      </c>
      <c r="H382" s="170">
        <v>1977</v>
      </c>
      <c r="I382" s="57">
        <f>D25</f>
        <v>14.155437756695735</v>
      </c>
      <c r="J382" s="57">
        <f t="shared" ref="J382:M382" si="746">E25</f>
        <v>3.6258458741634683</v>
      </c>
      <c r="K382" s="57">
        <f t="shared" si="746"/>
        <v>540.22536264473979</v>
      </c>
      <c r="L382" s="57">
        <f t="shared" si="746"/>
        <v>1010.6818690585327</v>
      </c>
      <c r="M382" s="57">
        <f t="shared" si="746"/>
        <v>792.36148466586599</v>
      </c>
      <c r="T382" s="132" t="s">
        <v>616</v>
      </c>
      <c r="U382" s="170">
        <v>1977</v>
      </c>
      <c r="V382" s="57">
        <f>Q25</f>
        <v>1.2221748170550573E-2</v>
      </c>
      <c r="W382" s="57">
        <f t="shared" ref="W382" si="747">R25</f>
        <v>0.21294045850997728</v>
      </c>
      <c r="X382" s="57">
        <f t="shared" ref="X382" si="748">S25</f>
        <v>43.316695919855199</v>
      </c>
      <c r="Y382" s="57">
        <f t="shared" ref="Y382" si="749">T25</f>
        <v>31.19507207085568</v>
      </c>
      <c r="Z382" s="57">
        <f t="shared" ref="Z382" si="750">U25</f>
        <v>12.303069802608466</v>
      </c>
      <c r="AG382" s="132" t="s">
        <v>634</v>
      </c>
      <c r="AH382" s="170">
        <v>1977</v>
      </c>
      <c r="AI382" s="57">
        <f>AD25</f>
        <v>0</v>
      </c>
      <c r="AJ382" s="57">
        <f t="shared" ref="AJ382" si="751">AE25</f>
        <v>0</v>
      </c>
      <c r="AK382" s="57">
        <f t="shared" ref="AK382" si="752">AF25</f>
        <v>8.2469577217413264</v>
      </c>
      <c r="AL382" s="57">
        <f t="shared" ref="AL382" si="753">AG25</f>
        <v>14.862229749508661</v>
      </c>
      <c r="AM382" s="57">
        <f t="shared" ref="AM382" si="754">AH25</f>
        <v>13.390812528750075</v>
      </c>
    </row>
    <row r="383" spans="7:39" x14ac:dyDescent="0.3">
      <c r="G383" s="116" t="s">
        <v>543</v>
      </c>
      <c r="H383" s="171">
        <v>1988</v>
      </c>
      <c r="I383" s="57">
        <f>D50</f>
        <v>3.8589542168373558</v>
      </c>
      <c r="J383" s="57">
        <f t="shared" ref="J383:M383" si="755">E50</f>
        <v>1.7068800789589811</v>
      </c>
      <c r="K383" s="57">
        <f t="shared" si="755"/>
        <v>735.1656064141664</v>
      </c>
      <c r="L383" s="57">
        <f t="shared" si="755"/>
        <v>938.04265903544342</v>
      </c>
      <c r="M383" s="57">
        <f t="shared" si="755"/>
        <v>939.23590025458782</v>
      </c>
      <c r="T383" s="116" t="s">
        <v>543</v>
      </c>
      <c r="U383" s="171">
        <v>1988</v>
      </c>
      <c r="V383" s="57">
        <f>Q50</f>
        <v>0</v>
      </c>
      <c r="W383" s="57">
        <f t="shared" ref="W383" si="756">R50</f>
        <v>0.23626539445421865</v>
      </c>
      <c r="X383" s="57">
        <f t="shared" ref="X383" si="757">S50</f>
        <v>60.747962481245992</v>
      </c>
      <c r="Y383" s="57">
        <f t="shared" ref="Y383" si="758">T50</f>
        <v>27.421679277256676</v>
      </c>
      <c r="Z383" s="57">
        <f t="shared" ref="Z383" si="759">U50</f>
        <v>37.034092847043055</v>
      </c>
      <c r="AG383" s="116" t="s">
        <v>543</v>
      </c>
      <c r="AH383" s="171">
        <v>1988</v>
      </c>
      <c r="AI383" s="57">
        <f>AD50</f>
        <v>0</v>
      </c>
      <c r="AJ383" s="57">
        <f t="shared" ref="AJ383" si="760">AE50</f>
        <v>8.0141345711537693E-2</v>
      </c>
      <c r="AK383" s="57">
        <f t="shared" ref="AK383" si="761">AF50</f>
        <v>11.780131518420946</v>
      </c>
      <c r="AL383" s="57">
        <f t="shared" ref="AL383" si="762">AG50</f>
        <v>6.6316963576297425</v>
      </c>
      <c r="AM383" s="57">
        <f t="shared" ref="AM383" si="763">AH50</f>
        <v>12.418030778237782</v>
      </c>
    </row>
    <row r="384" spans="7:39" x14ac:dyDescent="0.3">
      <c r="G384" s="115" t="s">
        <v>806</v>
      </c>
      <c r="H384" s="171" t="s">
        <v>397</v>
      </c>
      <c r="I384" s="57">
        <f>D75</f>
        <v>1.2539729481634441</v>
      </c>
      <c r="J384" s="57">
        <f t="shared" ref="J384:M384" si="764">E75</f>
        <v>3.6406827872811673</v>
      </c>
      <c r="K384" s="57">
        <f t="shared" si="764"/>
        <v>653.1462543468549</v>
      </c>
      <c r="L384" s="57">
        <f t="shared" si="764"/>
        <v>603.72475573858924</v>
      </c>
      <c r="M384" s="57">
        <f t="shared" si="764"/>
        <v>467.81433417910694</v>
      </c>
      <c r="T384" s="115" t="s">
        <v>806</v>
      </c>
      <c r="U384" s="171" t="s">
        <v>397</v>
      </c>
      <c r="V384" s="57">
        <f>Q75</f>
        <v>0</v>
      </c>
      <c r="W384" s="57">
        <f t="shared" ref="W384" si="765">R75</f>
        <v>5.0181198130821184E-2</v>
      </c>
      <c r="X384" s="57">
        <f t="shared" ref="X384" si="766">S75</f>
        <v>32.59534199933104</v>
      </c>
      <c r="Y384" s="57">
        <f t="shared" ref="Y384" si="767">T75</f>
        <v>10.585096480720093</v>
      </c>
      <c r="Z384" s="57">
        <f t="shared" ref="Z384" si="768">U75</f>
        <v>1.4793803218182477</v>
      </c>
      <c r="AG384" s="115" t="s">
        <v>806</v>
      </c>
      <c r="AH384" s="171" t="s">
        <v>397</v>
      </c>
      <c r="AI384" s="57">
        <f>AD75</f>
        <v>0</v>
      </c>
      <c r="AJ384" s="57">
        <f t="shared" ref="AJ384" si="769">AE75</f>
        <v>2.7862472567666371E-2</v>
      </c>
      <c r="AK384" s="57">
        <f t="shared" ref="AK384" si="770">AF75</f>
        <v>9.8659688577698628</v>
      </c>
      <c r="AL384" s="57">
        <f t="shared" ref="AL384" si="771">AG75</f>
        <v>6.075788065628581</v>
      </c>
      <c r="AM384" s="57">
        <f t="shared" ref="AM384" si="772">AH75</f>
        <v>5.1903806040338489</v>
      </c>
    </row>
    <row r="385" spans="8:39" x14ac:dyDescent="0.3">
      <c r="H385" s="171" t="s">
        <v>401</v>
      </c>
      <c r="I385" s="57">
        <f>D100</f>
        <v>9.5050456433921084</v>
      </c>
      <c r="J385" s="57">
        <f t="shared" ref="J385:M385" si="773">E100</f>
        <v>94.093981516594738</v>
      </c>
      <c r="K385" s="57">
        <f t="shared" si="773"/>
        <v>1901.4514221752236</v>
      </c>
      <c r="L385" s="57">
        <f t="shared" si="773"/>
        <v>1556.2480493379876</v>
      </c>
      <c r="M385" s="57">
        <f t="shared" si="773"/>
        <v>1354.5415013267907</v>
      </c>
      <c r="U385" s="171" t="s">
        <v>401</v>
      </c>
      <c r="V385" s="57">
        <f>Q100</f>
        <v>0</v>
      </c>
      <c r="W385" s="57">
        <f t="shared" ref="W385" si="774">R100</f>
        <v>0.66694991502549139</v>
      </c>
      <c r="X385" s="57">
        <f t="shared" ref="X385" si="775">S100</f>
        <v>88.401179646106044</v>
      </c>
      <c r="Y385" s="57">
        <f t="shared" ref="Y385" si="776">T100</f>
        <v>26.325658413586996</v>
      </c>
      <c r="Z385" s="57">
        <f t="shared" ref="Z385" si="777">U100</f>
        <v>5.9062120252812962</v>
      </c>
      <c r="AH385" s="171" t="s">
        <v>401</v>
      </c>
      <c r="AI385" s="57">
        <f>AD100</f>
        <v>0</v>
      </c>
      <c r="AJ385" s="57">
        <f t="shared" ref="AJ385" si="778">AE100</f>
        <v>1.2880491577143301E-2</v>
      </c>
      <c r="AK385" s="57">
        <f t="shared" ref="AK385" si="779">AF100</f>
        <v>7.5965815324164838</v>
      </c>
      <c r="AL385" s="57">
        <f t="shared" ref="AL385" si="780">AG100</f>
        <v>7.5172210843121476</v>
      </c>
      <c r="AM385" s="57">
        <f t="shared" ref="AM385" si="781">AH100</f>
        <v>4.7533168916941735</v>
      </c>
    </row>
    <row r="386" spans="8:39" x14ac:dyDescent="0.3">
      <c r="H386" s="171" t="s">
        <v>405</v>
      </c>
      <c r="I386" s="57">
        <f>D125</f>
        <v>2.6381816478458031</v>
      </c>
      <c r="J386" s="57">
        <f t="shared" ref="J386:M386" si="782">E125</f>
        <v>15.19791201971386</v>
      </c>
      <c r="K386" s="57">
        <f t="shared" si="782"/>
        <v>1035.1645830350312</v>
      </c>
      <c r="L386" s="57">
        <f t="shared" si="782"/>
        <v>952.40356109693971</v>
      </c>
      <c r="M386" s="57">
        <f t="shared" si="782"/>
        <v>761.06576220046304</v>
      </c>
      <c r="U386" s="171" t="s">
        <v>405</v>
      </c>
      <c r="V386" s="57">
        <f>Q125</f>
        <v>0</v>
      </c>
      <c r="W386" s="57">
        <f t="shared" ref="W386" si="783">R125</f>
        <v>0.27516268980477238</v>
      </c>
      <c r="X386" s="57">
        <f t="shared" ref="X386" si="784">S125</f>
        <v>59.682787418655131</v>
      </c>
      <c r="Y386" s="57">
        <f t="shared" ref="Y386" si="785">T125</f>
        <v>19.463796095444696</v>
      </c>
      <c r="Z386" s="57">
        <f t="shared" ref="Z386" si="786">U125</f>
        <v>7.008253796095449</v>
      </c>
      <c r="AH386" s="171" t="s">
        <v>405</v>
      </c>
      <c r="AI386" s="57">
        <f>AD125</f>
        <v>0</v>
      </c>
      <c r="AJ386" s="57">
        <f t="shared" ref="AJ386" si="787">AE125</f>
        <v>0.21632842870877403</v>
      </c>
      <c r="AK386" s="57">
        <f t="shared" ref="AK386" si="788">AF125</f>
        <v>10.827560297621542</v>
      </c>
      <c r="AL386" s="57">
        <f t="shared" ref="AL386" si="789">AG125</f>
        <v>10.12932951552899</v>
      </c>
      <c r="AM386" s="57">
        <f t="shared" ref="AM386" si="790">AH125</f>
        <v>6.8767817581407025</v>
      </c>
    </row>
    <row r="387" spans="8:39" x14ac:dyDescent="0.3">
      <c r="H387" s="171" t="s">
        <v>429</v>
      </c>
      <c r="I387" s="57">
        <f>D150</f>
        <v>8.5274968933233204</v>
      </c>
      <c r="J387" s="57">
        <f t="shared" ref="J387:M387" si="791">E150</f>
        <v>19.702004904090867</v>
      </c>
      <c r="K387" s="57">
        <f t="shared" si="791"/>
        <v>3396.9130654349046</v>
      </c>
      <c r="L387" s="57">
        <f t="shared" si="791"/>
        <v>3367.8831201558678</v>
      </c>
      <c r="M387" s="57">
        <f t="shared" si="791"/>
        <v>2569.2043126118078</v>
      </c>
      <c r="U387" s="171" t="s">
        <v>429</v>
      </c>
      <c r="V387" s="57">
        <f>Q150</f>
        <v>0</v>
      </c>
      <c r="W387" s="57">
        <f t="shared" ref="W387" si="792">R150</f>
        <v>3.182707368454273</v>
      </c>
      <c r="X387" s="57">
        <f t="shared" ref="X387" si="793">S150</f>
        <v>449.18642536471435</v>
      </c>
      <c r="Y387" s="57">
        <f t="shared" ref="Y387" si="794">T150</f>
        <v>112.25877508028056</v>
      </c>
      <c r="Z387" s="57">
        <f t="shared" ref="Z387" si="795">U150</f>
        <v>54.062092186550721</v>
      </c>
      <c r="AH387" s="171" t="s">
        <v>429</v>
      </c>
      <c r="AI387" s="57">
        <f>AD150</f>
        <v>0</v>
      </c>
      <c r="AJ387" s="57">
        <f t="shared" ref="AJ387" si="796">AE150</f>
        <v>3.481958615155337</v>
      </c>
      <c r="AK387" s="57">
        <f t="shared" ref="AK387" si="797">AF150</f>
        <v>58.238364094921494</v>
      </c>
      <c r="AL387" s="57">
        <f t="shared" ref="AL387" si="798">AG150</f>
        <v>40.845251060415009</v>
      </c>
      <c r="AM387" s="57">
        <f t="shared" ref="AM387" si="799">AH150</f>
        <v>42.934426229508205</v>
      </c>
    </row>
    <row r="388" spans="8:39" x14ac:dyDescent="0.3">
      <c r="H388" s="171" t="s">
        <v>437</v>
      </c>
      <c r="I388" s="57">
        <f>D175</f>
        <v>2.8387347689443043</v>
      </c>
      <c r="J388" s="57">
        <f t="shared" ref="J388:M388" si="800">E175</f>
        <v>50.191041348933368</v>
      </c>
      <c r="K388" s="57">
        <f t="shared" si="800"/>
        <v>1404.1982245139986</v>
      </c>
      <c r="L388" s="57">
        <f t="shared" si="800"/>
        <v>1294.57709528136</v>
      </c>
      <c r="M388" s="57">
        <f t="shared" si="800"/>
        <v>896.63490408675489</v>
      </c>
      <c r="U388" s="171" t="s">
        <v>437</v>
      </c>
      <c r="V388" s="57">
        <f>Q175</f>
        <v>1.42710833118249E-2</v>
      </c>
      <c r="W388" s="57">
        <f t="shared" ref="W388" si="801">R175</f>
        <v>2.135376910361948</v>
      </c>
      <c r="X388" s="57">
        <f t="shared" ref="X388" si="802">S175</f>
        <v>68.141780020758006</v>
      </c>
      <c r="Y388" s="57">
        <f t="shared" ref="Y388" si="803">T175</f>
        <v>20.667699987369527</v>
      </c>
      <c r="Z388" s="57">
        <f t="shared" ref="Z388" si="804">U175</f>
        <v>5.2908719981987868</v>
      </c>
      <c r="AH388" s="171" t="s">
        <v>437</v>
      </c>
      <c r="AI388" s="57">
        <f>AD175</f>
        <v>0</v>
      </c>
      <c r="AJ388" s="57">
        <f t="shared" ref="AJ388" si="805">AE175</f>
        <v>1.8701086389709705</v>
      </c>
      <c r="AK388" s="57">
        <f t="shared" ref="AK388" si="806">AF175</f>
        <v>15.892002868068824</v>
      </c>
      <c r="AL388" s="57">
        <f t="shared" ref="AL388" si="807">AG175</f>
        <v>17.396518990092112</v>
      </c>
      <c r="AM388" s="57">
        <f t="shared" ref="AM388" si="808">AH175</f>
        <v>9.9513695028680615</v>
      </c>
    </row>
    <row r="389" spans="8:39" x14ac:dyDescent="0.3">
      <c r="H389" s="171" t="s">
        <v>441</v>
      </c>
      <c r="I389" s="57">
        <f>D200</f>
        <v>2.0293740302714078</v>
      </c>
      <c r="J389" s="57">
        <f t="shared" ref="J389:M389" si="809">E200</f>
        <v>23.347729792496292</v>
      </c>
      <c r="K389" s="57">
        <f t="shared" si="809"/>
        <v>811.69599850893746</v>
      </c>
      <c r="L389" s="57">
        <f t="shared" si="809"/>
        <v>745.28661977273691</v>
      </c>
      <c r="M389" s="57">
        <f t="shared" si="809"/>
        <v>559.06027789555378</v>
      </c>
      <c r="U389" s="171" t="s">
        <v>441</v>
      </c>
      <c r="V389" s="57">
        <f>Q200</f>
        <v>0</v>
      </c>
      <c r="W389" s="57">
        <f t="shared" ref="W389" si="810">R200</f>
        <v>0.64001802268484043</v>
      </c>
      <c r="X389" s="57">
        <f t="shared" ref="X389" si="811">S200</f>
        <v>39.484578787192028</v>
      </c>
      <c r="Y389" s="57">
        <f t="shared" ref="Y389" si="812">T200</f>
        <v>12.231024756909596</v>
      </c>
      <c r="Z389" s="57">
        <f t="shared" ref="Z389" si="813">U200</f>
        <v>2.9143784332135421</v>
      </c>
      <c r="AH389" s="171" t="s">
        <v>441</v>
      </c>
      <c r="AI389" s="57">
        <f>AD200</f>
        <v>0</v>
      </c>
      <c r="AJ389" s="57">
        <f t="shared" ref="AJ389" si="814">AE200</f>
        <v>0.23001713831877321</v>
      </c>
      <c r="AK389" s="57">
        <f t="shared" ref="AK389" si="815">AF200</f>
        <v>8.4876324039627313</v>
      </c>
      <c r="AL389" s="57">
        <f t="shared" ref="AL389" si="816">AG200</f>
        <v>9.1560903732809624</v>
      </c>
      <c r="AM389" s="57">
        <f t="shared" ref="AM389" si="817">AH200</f>
        <v>4.5862600844375798</v>
      </c>
    </row>
    <row r="390" spans="8:39" x14ac:dyDescent="0.3">
      <c r="H390" s="171" t="s">
        <v>531</v>
      </c>
      <c r="I390" s="57">
        <f>D225</f>
        <v>2.5970907006645598</v>
      </c>
      <c r="J390" s="57">
        <f t="shared" ref="J390:M390" si="818">E225</f>
        <v>18.522721147755625</v>
      </c>
      <c r="K390" s="57">
        <f t="shared" si="818"/>
        <v>1070.0787762774053</v>
      </c>
      <c r="L390" s="57">
        <f t="shared" si="818"/>
        <v>1010.9341191488584</v>
      </c>
      <c r="M390" s="57">
        <f t="shared" si="818"/>
        <v>669.27729272531303</v>
      </c>
      <c r="U390" s="171" t="s">
        <v>531</v>
      </c>
      <c r="V390" s="57">
        <f>Q225</f>
        <v>0</v>
      </c>
      <c r="W390" s="57">
        <f t="shared" ref="W390" si="819">R225</f>
        <v>0.60107498298051532</v>
      </c>
      <c r="X390" s="57">
        <f t="shared" ref="X390" si="820">S225</f>
        <v>44.504372872564481</v>
      </c>
      <c r="Y390" s="57">
        <f t="shared" ref="Y390" si="821">T225</f>
        <v>12.573919343858368</v>
      </c>
      <c r="Z390" s="57">
        <f t="shared" ref="Z390" si="822">U225</f>
        <v>3.5806328005964838</v>
      </c>
      <c r="AH390" s="171" t="s">
        <v>531</v>
      </c>
      <c r="AI390" s="57">
        <f>AD225</f>
        <v>0</v>
      </c>
      <c r="AJ390" s="57">
        <f t="shared" ref="AJ390" si="823">AE225</f>
        <v>0.43541403670108297</v>
      </c>
      <c r="AK390" s="57">
        <f t="shared" ref="AK390" si="824">AF225</f>
        <v>9.1714442168624402</v>
      </c>
      <c r="AL390" s="57">
        <f t="shared" ref="AL390" si="825">AG225</f>
        <v>8.5185754295029952</v>
      </c>
      <c r="AM390" s="57">
        <f t="shared" ref="AM390" si="826">AH225</f>
        <v>6.0145663169334984</v>
      </c>
    </row>
    <row r="391" spans="8:39" x14ac:dyDescent="0.3">
      <c r="H391" s="171" t="s">
        <v>532</v>
      </c>
      <c r="I391" s="57">
        <f>D250</f>
        <v>9.1077661960381757</v>
      </c>
      <c r="J391" s="57">
        <f t="shared" ref="J391:M391" si="827">E250</f>
        <v>23.693321584778033</v>
      </c>
      <c r="K391" s="57">
        <f t="shared" si="827"/>
        <v>989.81928813748368</v>
      </c>
      <c r="L391" s="57">
        <f t="shared" si="827"/>
        <v>798.0218714324352</v>
      </c>
      <c r="M391" s="57">
        <f t="shared" si="827"/>
        <v>505.42775264926649</v>
      </c>
      <c r="U391" s="171" t="s">
        <v>532</v>
      </c>
      <c r="V391" s="57">
        <f>Q250</f>
        <v>1.7223052559447109E-2</v>
      </c>
      <c r="W391" s="57">
        <f t="shared" ref="W391" si="828">R250</f>
        <v>0.86356385533067803</v>
      </c>
      <c r="X391" s="57">
        <f t="shared" ref="X391" si="829">S250</f>
        <v>48.333741319678794</v>
      </c>
      <c r="Y391" s="57">
        <f t="shared" ref="Y391" si="830">T250</f>
        <v>12.342039464099798</v>
      </c>
      <c r="Z391" s="57">
        <f t="shared" ref="Z391" si="831">U250</f>
        <v>2.283432308331498</v>
      </c>
      <c r="AH391" s="171" t="s">
        <v>532</v>
      </c>
      <c r="AI391" s="57">
        <f>AD250</f>
        <v>3.6908045977011493E-2</v>
      </c>
      <c r="AJ391" s="57">
        <f t="shared" ref="AJ391" si="832">AE250</f>
        <v>1.1662942528735629</v>
      </c>
      <c r="AK391" s="57">
        <f t="shared" ref="AK391" si="833">AF250</f>
        <v>12.256826541274815</v>
      </c>
      <c r="AL391" s="57">
        <f t="shared" ref="AL391" si="834">AG250</f>
        <v>12.293734587251825</v>
      </c>
      <c r="AM391" s="57">
        <f t="shared" ref="AM391" si="835">AH250</f>
        <v>6.3562365726227776</v>
      </c>
    </row>
    <row r="392" spans="8:39" x14ac:dyDescent="0.3">
      <c r="H392" s="172" t="s">
        <v>461</v>
      </c>
      <c r="I392" s="57">
        <f>D275</f>
        <v>5.7103427245436293</v>
      </c>
      <c r="J392" s="57">
        <f t="shared" ref="J392:M392" si="836">E275</f>
        <v>33.030129617347534</v>
      </c>
      <c r="K392" s="57">
        <f t="shared" si="836"/>
        <v>781.56330396888256</v>
      </c>
      <c r="L392" s="57">
        <f t="shared" si="836"/>
        <v>600.02675155761074</v>
      </c>
      <c r="M392" s="57">
        <f t="shared" si="836"/>
        <v>422.35947213160961</v>
      </c>
      <c r="U392" s="172" t="s">
        <v>461</v>
      </c>
      <c r="V392" s="57">
        <f>Q275</f>
        <v>8.2250867357674829E-3</v>
      </c>
      <c r="W392" s="57">
        <f t="shared" ref="W392" si="837">R275</f>
        <v>2.317978989170836</v>
      </c>
      <c r="X392" s="57">
        <f t="shared" ref="X392" si="838">S275</f>
        <v>52.462594141356192</v>
      </c>
      <c r="Y392" s="57">
        <f t="shared" ref="Y392" si="839">T275</f>
        <v>11.551386585227633</v>
      </c>
      <c r="Z392" s="57">
        <f t="shared" ref="Z392" si="840">U275</f>
        <v>2.9498151975093383</v>
      </c>
      <c r="AH392" s="172" t="s">
        <v>461</v>
      </c>
      <c r="AI392" s="57">
        <f>AD275</f>
        <v>1.1952351097178689E-2</v>
      </c>
      <c r="AJ392" s="57">
        <f t="shared" ref="AJ392" si="841">AE275</f>
        <v>1.6753212121212127</v>
      </c>
      <c r="AK392" s="57">
        <f t="shared" ref="AK392" si="842">AF275</f>
        <v>7.8985120167189153</v>
      </c>
      <c r="AL392" s="57">
        <f t="shared" ref="AL392" si="843">AG275</f>
        <v>9.4543097178683411</v>
      </c>
      <c r="AM392" s="57">
        <f t="shared" ref="AM392" si="844">AH275</f>
        <v>4.7899047021943595</v>
      </c>
    </row>
    <row r="439" spans="2:38" x14ac:dyDescent="0.3">
      <c r="D439" s="214" t="s">
        <v>600</v>
      </c>
      <c r="E439" s="215" t="s">
        <v>525</v>
      </c>
      <c r="F439" s="214" t="s">
        <v>649</v>
      </c>
      <c r="G439" s="92" t="s">
        <v>642</v>
      </c>
      <c r="H439" s="212" t="s">
        <v>529</v>
      </c>
      <c r="I439" s="231"/>
      <c r="K439" s="214" t="s">
        <v>649</v>
      </c>
      <c r="L439" s="92" t="s">
        <v>642</v>
      </c>
      <c r="Q439" s="214" t="s">
        <v>600</v>
      </c>
      <c r="R439" s="215" t="s">
        <v>525</v>
      </c>
      <c r="S439" s="214" t="s">
        <v>649</v>
      </c>
      <c r="T439" s="92" t="s">
        <v>642</v>
      </c>
      <c r="U439" s="212" t="s">
        <v>529</v>
      </c>
      <c r="V439" s="231"/>
      <c r="X439" s="214" t="s">
        <v>649</v>
      </c>
      <c r="Y439" s="92" t="s">
        <v>642</v>
      </c>
      <c r="AD439" s="214" t="s">
        <v>600</v>
      </c>
      <c r="AE439" s="215" t="s">
        <v>525</v>
      </c>
      <c r="AF439" s="214" t="s">
        <v>649</v>
      </c>
      <c r="AG439" s="92" t="s">
        <v>642</v>
      </c>
      <c r="AH439" s="212" t="s">
        <v>529</v>
      </c>
      <c r="AI439" s="231"/>
      <c r="AK439" s="214" t="s">
        <v>649</v>
      </c>
      <c r="AL439" s="92" t="s">
        <v>642</v>
      </c>
    </row>
    <row r="440" spans="2:38" x14ac:dyDescent="0.3">
      <c r="B440" s="132" t="s">
        <v>612</v>
      </c>
      <c r="C440" s="170">
        <v>1977</v>
      </c>
      <c r="D440" s="220">
        <f>K8</f>
        <v>0.76775970568949481</v>
      </c>
      <c r="E440" s="220">
        <f>L8</f>
        <v>0.2277886936067432</v>
      </c>
      <c r="F440" s="220">
        <f>K10</f>
        <v>0.7308640246496334</v>
      </c>
      <c r="G440" s="220">
        <f>L10</f>
        <v>0.21475656805723145</v>
      </c>
      <c r="H440" s="173">
        <f>I8</f>
        <v>4.4516007037619307E-3</v>
      </c>
      <c r="I440" s="132" t="s">
        <v>612</v>
      </c>
      <c r="J440" s="170">
        <v>1977</v>
      </c>
      <c r="K440" s="220">
        <f>K26</f>
        <v>4.193700453786102E-2</v>
      </c>
      <c r="L440" s="220">
        <f>L26</f>
        <v>1.2442402755274123E-2</v>
      </c>
      <c r="O440" s="132" t="s">
        <v>616</v>
      </c>
      <c r="P440" s="170">
        <v>1977</v>
      </c>
      <c r="Q440" s="220">
        <f>X8</f>
        <v>0.49966425827939082</v>
      </c>
      <c r="R440" s="220">
        <f>Y8</f>
        <v>0.49501759286615993</v>
      </c>
      <c r="S440" s="220">
        <f>X10</f>
        <v>0.47595283500308883</v>
      </c>
      <c r="T440" s="220">
        <f>Y10</f>
        <v>0.47729043001799576</v>
      </c>
      <c r="U440" s="173">
        <f>V8</f>
        <v>5.3181488544491763E-3</v>
      </c>
      <c r="V440" s="132" t="s">
        <v>616</v>
      </c>
      <c r="W440" s="170">
        <v>1977</v>
      </c>
      <c r="X440" s="220">
        <f>X26</f>
        <v>2.348757974813713E-2</v>
      </c>
      <c r="Y440" s="220">
        <f>Y26</f>
        <v>2.3269155230778223E-2</v>
      </c>
      <c r="AB440" s="132" t="s">
        <v>634</v>
      </c>
      <c r="AC440" s="170">
        <v>1977</v>
      </c>
      <c r="AD440" s="220">
        <f>AK8</f>
        <v>0.77025508717906044</v>
      </c>
      <c r="AE440" s="220">
        <f>AL8</f>
        <v>0.22483458865631892</v>
      </c>
      <c r="AF440" s="220">
        <f>AK10</f>
        <v>0.70935458366276882</v>
      </c>
      <c r="AG440" s="220">
        <f>AL10</f>
        <v>0.21470184345220755</v>
      </c>
      <c r="AH440" s="173">
        <f>AI8</f>
        <v>4.9103241646207265E-3</v>
      </c>
      <c r="AI440" s="132" t="s">
        <v>634</v>
      </c>
      <c r="AJ440" s="170">
        <v>1977</v>
      </c>
      <c r="AK440" s="220">
        <f>AK26</f>
        <v>5.8784574670755971E-2</v>
      </c>
      <c r="AL440" s="220">
        <f>AL26</f>
        <v>1.7158998214267668E-2</v>
      </c>
    </row>
    <row r="441" spans="2:38" x14ac:dyDescent="0.3">
      <c r="B441" s="116" t="s">
        <v>543</v>
      </c>
      <c r="C441" s="171">
        <v>1988</v>
      </c>
      <c r="D441" s="220">
        <f>K33</f>
        <v>0.71594835240334165</v>
      </c>
      <c r="E441" s="220">
        <f>L33</f>
        <v>0.2795454613503266</v>
      </c>
      <c r="F441" s="220">
        <f>K35</f>
        <v>0.68263366721106344</v>
      </c>
      <c r="G441" s="220">
        <f>L35</f>
        <v>0.25706865502374704</v>
      </c>
      <c r="H441" s="220">
        <f>I33</f>
        <v>4.5061862463317524E-3</v>
      </c>
      <c r="I441" s="116" t="s">
        <v>543</v>
      </c>
      <c r="J441" s="171">
        <v>1988</v>
      </c>
      <c r="K441" s="220">
        <f>K51</f>
        <v>4.3365435780013076E-2</v>
      </c>
      <c r="L441" s="220">
        <f>L51</f>
        <v>1.6932241985176375E-2</v>
      </c>
      <c r="O441" s="116" t="s">
        <v>543</v>
      </c>
      <c r="P441" s="171">
        <v>1988</v>
      </c>
      <c r="Q441" s="220">
        <f>X33</f>
        <v>0.51333566114259621</v>
      </c>
      <c r="R441" s="220">
        <f>Y33</f>
        <v>0.48203916091429189</v>
      </c>
      <c r="S441" s="220">
        <f>X35</f>
        <v>0.47993876071016095</v>
      </c>
      <c r="T441" s="220">
        <f>Y35</f>
        <v>0.4526765329966963</v>
      </c>
      <c r="U441" s="220">
        <f>V33</f>
        <v>4.6251779431118693E-3</v>
      </c>
      <c r="V441" s="116" t="s">
        <v>543</v>
      </c>
      <c r="W441" s="171">
        <v>1988</v>
      </c>
      <c r="X441" s="220">
        <f>X51</f>
        <v>3.4751705578015067E-2</v>
      </c>
      <c r="Y441" s="220">
        <f>Y51</f>
        <v>3.2633000715127709E-2</v>
      </c>
      <c r="AB441" s="116" t="s">
        <v>543</v>
      </c>
      <c r="AC441" s="171">
        <v>1988</v>
      </c>
      <c r="AD441" s="220">
        <f>AK33</f>
        <v>0.61585035995172899</v>
      </c>
      <c r="AE441" s="220">
        <f>AL33</f>
        <v>0.37923931588365029</v>
      </c>
      <c r="AF441" s="220">
        <f>AK35</f>
        <v>0.57536099205193281</v>
      </c>
      <c r="AG441" s="220">
        <f>AL35</f>
        <v>0.36032624526653073</v>
      </c>
      <c r="AH441" s="220">
        <f>AI33</f>
        <v>4.9103241646207265E-3</v>
      </c>
      <c r="AI441" s="116" t="s">
        <v>543</v>
      </c>
      <c r="AJ441" s="171">
        <v>1988</v>
      </c>
      <c r="AK441" s="220">
        <f>AK51</f>
        <v>3.9802481131827772E-2</v>
      </c>
      <c r="AL441" s="220">
        <f>AL51</f>
        <v>2.4510281549708596E-2</v>
      </c>
    </row>
    <row r="442" spans="2:38" x14ac:dyDescent="0.3">
      <c r="B442" s="115" t="s">
        <v>645</v>
      </c>
      <c r="C442" s="171" t="s">
        <v>397</v>
      </c>
      <c r="D442" s="220">
        <f>K58</f>
        <v>0.61962283462952883</v>
      </c>
      <c r="E442" s="220">
        <f>L58</f>
        <v>0.37596771299704801</v>
      </c>
      <c r="F442" s="220">
        <f>K60</f>
        <v>0.59387596276114407</v>
      </c>
      <c r="G442" s="220">
        <f>L60</f>
        <v>0.36628856773754903</v>
      </c>
      <c r="H442" s="220">
        <f>I58</f>
        <v>4.4094523734230845E-3</v>
      </c>
      <c r="I442" s="115" t="s">
        <v>805</v>
      </c>
      <c r="J442" s="171" t="s">
        <v>397</v>
      </c>
      <c r="K442" s="220">
        <f>K76</f>
        <v>2.4792286939686679E-2</v>
      </c>
      <c r="L442" s="220">
        <f>L76</f>
        <v>1.5043182561620167E-2</v>
      </c>
      <c r="O442" s="115" t="s">
        <v>645</v>
      </c>
      <c r="P442" s="171" t="s">
        <v>397</v>
      </c>
      <c r="Q442" s="220">
        <f>X58</f>
        <v>0.26974832800623139</v>
      </c>
      <c r="R442" s="220">
        <f>Y58</f>
        <v>0.72577690634148961</v>
      </c>
      <c r="S442" s="220">
        <f>X60</f>
        <v>0.25769922913700949</v>
      </c>
      <c r="T442" s="220">
        <f>Y60</f>
        <v>0.71828315113749286</v>
      </c>
      <c r="U442" s="220">
        <f>V58</f>
        <v>4.4747656522790983E-3</v>
      </c>
      <c r="V442" s="115" t="s">
        <v>805</v>
      </c>
      <c r="W442" s="171" t="s">
        <v>397</v>
      </c>
      <c r="X442" s="220">
        <f>X76</f>
        <v>6.5078337947780942E-3</v>
      </c>
      <c r="Y442" s="220">
        <f>Y76</f>
        <v>1.7509785930719585E-2</v>
      </c>
      <c r="AB442" s="115" t="s">
        <v>645</v>
      </c>
      <c r="AC442" s="171" t="s">
        <v>397</v>
      </c>
      <c r="AD442" s="220">
        <f>AK58</f>
        <v>0.53133452623694399</v>
      </c>
      <c r="AE442" s="220">
        <f>AL58</f>
        <v>0.464150472306604</v>
      </c>
      <c r="AF442" s="220">
        <f>AK60</f>
        <v>0.5011443552078565</v>
      </c>
      <c r="AG442" s="220">
        <f>AL60</f>
        <v>0.45482917897715447</v>
      </c>
      <c r="AH442" s="220">
        <f>AI58</f>
        <v>4.5150014564519971E-3</v>
      </c>
      <c r="AI442" s="115" t="s">
        <v>805</v>
      </c>
      <c r="AJ442" s="171" t="s">
        <v>397</v>
      </c>
      <c r="AK442" s="220">
        <f>AK76</f>
        <v>2.3498878827826759E-2</v>
      </c>
      <c r="AL442" s="220">
        <f>AL76</f>
        <v>2.052758698716213E-2</v>
      </c>
    </row>
    <row r="443" spans="2:38" x14ac:dyDescent="0.3">
      <c r="B443" s="115" t="s">
        <v>646</v>
      </c>
      <c r="C443" s="171" t="s">
        <v>401</v>
      </c>
      <c r="D443" s="220">
        <f>K83</f>
        <v>0.56980281721282544</v>
      </c>
      <c r="E443" s="220">
        <f>L83</f>
        <v>0.35942691168588947</v>
      </c>
      <c r="F443" s="220">
        <f>K85</f>
        <v>0.54055533073886952</v>
      </c>
      <c r="G443" s="220">
        <f>L85</f>
        <v>0.34622365930882731</v>
      </c>
      <c r="H443" s="220">
        <f>I83</f>
        <v>7.0770271101285018E-2</v>
      </c>
      <c r="J443" s="171" t="s">
        <v>401</v>
      </c>
      <c r="K443" s="220">
        <f>K101</f>
        <v>6.9427019424962391E-2</v>
      </c>
      <c r="L443" s="220">
        <f>L101</f>
        <v>4.3793990527340648E-2</v>
      </c>
      <c r="O443" s="115" t="s">
        <v>646</v>
      </c>
      <c r="P443" s="171" t="s">
        <v>401</v>
      </c>
      <c r="Q443" s="220">
        <f>X83</f>
        <v>0.26232977894765114</v>
      </c>
      <c r="R443" s="220">
        <f>Y83</f>
        <v>0.70489645725336414</v>
      </c>
      <c r="S443" s="220">
        <f>X85</f>
        <v>0.24508071230963444</v>
      </c>
      <c r="T443" s="220">
        <f>Y85</f>
        <v>0.68975853455453784</v>
      </c>
      <c r="U443" s="220">
        <f>V83</f>
        <v>3.2773763798984591E-2</v>
      </c>
      <c r="W443" s="171" t="s">
        <v>401</v>
      </c>
      <c r="X443" s="220">
        <f>X101</f>
        <v>1.7672810482605238E-2</v>
      </c>
      <c r="Y443" s="220">
        <f>Y101</f>
        <v>4.7487942653222343E-2</v>
      </c>
      <c r="AB443" s="115" t="s">
        <v>646</v>
      </c>
      <c r="AC443" s="171" t="s">
        <v>401</v>
      </c>
      <c r="AD443" s="220">
        <f>AK83</f>
        <v>0.61510132745204105</v>
      </c>
      <c r="AE443" s="220">
        <f>AL83</f>
        <v>0.38040447754983148</v>
      </c>
      <c r="AF443" s="220">
        <f>AK85</f>
        <v>0.58946777079605506</v>
      </c>
      <c r="AG443" s="220">
        <f>AL85</f>
        <v>0.36916899005451292</v>
      </c>
      <c r="AH443" s="220">
        <f>AI83</f>
        <v>4.4941949981273524E-3</v>
      </c>
      <c r="AJ443" s="171" t="s">
        <v>401</v>
      </c>
      <c r="AK443" s="220">
        <f>AK101</f>
        <v>2.5557443443018319E-2</v>
      </c>
      <c r="AL443" s="220">
        <f>AL101</f>
        <v>1.5805795706413557E-2</v>
      </c>
    </row>
    <row r="444" spans="2:38" x14ac:dyDescent="0.3">
      <c r="C444" s="171" t="s">
        <v>405</v>
      </c>
      <c r="D444" s="220">
        <f>K108</f>
        <v>0.61849173927273171</v>
      </c>
      <c r="E444" s="220">
        <f>L108</f>
        <v>0.36980231051158635</v>
      </c>
      <c r="F444" s="220">
        <f>K110</f>
        <v>0.58058334671101386</v>
      </c>
      <c r="G444" s="220">
        <f>L110</f>
        <v>0.35569966343521792</v>
      </c>
      <c r="H444" s="220">
        <f>I108</f>
        <v>1.1705950215681823E-2</v>
      </c>
      <c r="J444" s="171" t="s">
        <v>405</v>
      </c>
      <c r="K444" s="220">
        <f>K126</f>
        <v>3.9875209088307724E-2</v>
      </c>
      <c r="L444" s="220">
        <f>L126</f>
        <v>2.3841780765460462E-2</v>
      </c>
      <c r="P444" s="171" t="s">
        <v>405</v>
      </c>
      <c r="Q444" s="220">
        <f>X108</f>
        <v>0.30808197469850396</v>
      </c>
      <c r="R444" s="220">
        <f>Y108</f>
        <v>0.68744325964921704</v>
      </c>
      <c r="S444" s="220">
        <f>X110</f>
        <v>0.28216808573500579</v>
      </c>
      <c r="T444" s="220">
        <f>Y110</f>
        <v>0.67140286320539333</v>
      </c>
      <c r="U444" s="220">
        <f>V108</f>
        <v>4.474765652278976E-3</v>
      </c>
      <c r="W444" s="171" t="s">
        <v>405</v>
      </c>
      <c r="X444" s="220">
        <f>X126</f>
        <v>1.4368248277695962E-2</v>
      </c>
      <c r="Y444" s="220">
        <f>Y126</f>
        <v>3.2060802781904936E-2</v>
      </c>
      <c r="AC444" s="171" t="s">
        <v>405</v>
      </c>
      <c r="AD444" s="220">
        <f>AK108</f>
        <v>0.61123132620365361</v>
      </c>
      <c r="AE444" s="220">
        <f>AL108</f>
        <v>0.38427447879821897</v>
      </c>
      <c r="AF444" s="220">
        <f>AK110</f>
        <v>0.57350921726103776</v>
      </c>
      <c r="AG444" s="220">
        <f>AL110</f>
        <v>0.36812866713827974</v>
      </c>
      <c r="AH444" s="220">
        <f>AI108</f>
        <v>4.4941949981274704E-3</v>
      </c>
      <c r="AJ444" s="171" t="s">
        <v>405</v>
      </c>
      <c r="AK444" s="220">
        <f>AK126</f>
        <v>3.5833797391657582E-2</v>
      </c>
      <c r="AL444" s="220">
        <f>AL126</f>
        <v>2.2528318209024886E-2</v>
      </c>
    </row>
    <row r="445" spans="2:38" x14ac:dyDescent="0.3">
      <c r="C445" s="171" t="s">
        <v>429</v>
      </c>
      <c r="D445" s="220">
        <f>K133</f>
        <v>0.52008552195640123</v>
      </c>
      <c r="E445" s="220">
        <f>L133</f>
        <v>0.29615950402240176</v>
      </c>
      <c r="F445" s="220">
        <f>K135</f>
        <v>0.49552387034989337</v>
      </c>
      <c r="G445" s="220">
        <f>L135</f>
        <v>0.28884642323050141</v>
      </c>
      <c r="H445" s="220">
        <f>I133</f>
        <v>0.18375497402119703</v>
      </c>
      <c r="J445" s="171" t="s">
        <v>429</v>
      </c>
      <c r="K445" s="220">
        <f>K151</f>
        <v>0.13739243100203372</v>
      </c>
      <c r="L445" s="220">
        <f>L151</f>
        <v>7.8237275417571459E-2</v>
      </c>
      <c r="P445" s="171" t="s">
        <v>429</v>
      </c>
      <c r="Q445" s="220">
        <f>X133</f>
        <v>0.18653272810292498</v>
      </c>
      <c r="R445" s="220">
        <f>Y133</f>
        <v>0.49431387821976314</v>
      </c>
      <c r="S445" s="220">
        <f>X135</f>
        <v>0.17814724288899036</v>
      </c>
      <c r="T445" s="220">
        <f>Y135</f>
        <v>0.48950068491311005</v>
      </c>
      <c r="U445" s="220">
        <f>V133</f>
        <v>0.31915339367731188</v>
      </c>
      <c r="W445" s="171" t="s">
        <v>429</v>
      </c>
      <c r="X445" s="220">
        <f>X151</f>
        <v>9.1055074875928968E-2</v>
      </c>
      <c r="Y445" s="220">
        <f>Y151</f>
        <v>0.2412969973219706</v>
      </c>
      <c r="AC445" s="171" t="s">
        <v>429</v>
      </c>
      <c r="AD445" s="220">
        <f>AK133</f>
        <v>0.43539594690191835</v>
      </c>
      <c r="AE445" s="220">
        <f>AL133</f>
        <v>0.29058299696225709</v>
      </c>
      <c r="AF445" s="220">
        <f>AK135</f>
        <v>0.41425658524405973</v>
      </c>
      <c r="AG445" s="220">
        <f>AL135</f>
        <v>0.2830094461320794</v>
      </c>
      <c r="AH445" s="220">
        <f>AI133</f>
        <v>0.27402105613582467</v>
      </c>
      <c r="AJ445" s="171" t="s">
        <v>429</v>
      </c>
      <c r="AK445" s="220">
        <f>AK151</f>
        <v>0.18156055908010185</v>
      </c>
      <c r="AL445" s="220">
        <f>AL151</f>
        <v>0.12117340954375909</v>
      </c>
    </row>
    <row r="446" spans="2:38" x14ac:dyDescent="0.3">
      <c r="C446" s="171" t="s">
        <v>437</v>
      </c>
      <c r="D446" s="220">
        <f>K158</f>
        <v>0.58922697889289932</v>
      </c>
      <c r="E446" s="220">
        <f>L158</f>
        <v>0.36867305770474934</v>
      </c>
      <c r="F446" s="220">
        <f>K160</f>
        <v>0.55993826536358471</v>
      </c>
      <c r="G446" s="220">
        <f>L160</f>
        <v>0.35603132242804791</v>
      </c>
      <c r="H446" s="220">
        <f>I158</f>
        <v>4.2099963402351288E-2</v>
      </c>
      <c r="J446" s="171" t="s">
        <v>437</v>
      </c>
      <c r="K446" s="220">
        <f>K176</f>
        <v>5.1689094925317827E-2</v>
      </c>
      <c r="L446" s="220">
        <f>L176</f>
        <v>3.2341317283049502E-2</v>
      </c>
      <c r="P446" s="171" t="s">
        <v>437</v>
      </c>
      <c r="Q446" s="220">
        <f>X158</f>
        <v>0.28567054336440062</v>
      </c>
      <c r="R446" s="220">
        <f>Y158</f>
        <v>0.69254116193494675</v>
      </c>
      <c r="S446" s="220">
        <f>X160</f>
        <v>0.26761569659692191</v>
      </c>
      <c r="T446" s="220">
        <f>Y160</f>
        <v>0.68068007842926592</v>
      </c>
      <c r="U446" s="220">
        <f>V158</f>
        <v>2.1788294700652654E-2</v>
      </c>
      <c r="W446" s="171" t="s">
        <v>437</v>
      </c>
      <c r="X446" s="220">
        <f>X176</f>
        <v>1.5099363422546849E-2</v>
      </c>
      <c r="Y446" s="220">
        <f>Y176</f>
        <v>3.6604861551265348E-2</v>
      </c>
      <c r="AC446" s="171" t="s">
        <v>437</v>
      </c>
      <c r="AD446" s="220">
        <f>AK158</f>
        <v>0.62024052265823315</v>
      </c>
      <c r="AE446" s="220">
        <f>AL158</f>
        <v>0.33735591527610165</v>
      </c>
      <c r="AF446" s="220">
        <f>AK160</f>
        <v>0.5876784153801341</v>
      </c>
      <c r="AG446" s="220">
        <f>AL160</f>
        <v>0.31846365111730679</v>
      </c>
      <c r="AH446" s="220">
        <f>AI158</f>
        <v>4.2403562065665173E-2</v>
      </c>
      <c r="AJ446" s="171" t="s">
        <v>437</v>
      </c>
      <c r="AK446" s="220">
        <f>AK176</f>
        <v>6.0792303965567687E-2</v>
      </c>
      <c r="AL446" s="220">
        <f>AL176</f>
        <v>3.3065629536991437E-2</v>
      </c>
    </row>
    <row r="447" spans="2:38" x14ac:dyDescent="0.3">
      <c r="C447" s="171" t="s">
        <v>441</v>
      </c>
      <c r="D447" s="220">
        <f>K183</f>
        <v>0.61693524519388121</v>
      </c>
      <c r="E447" s="220">
        <f>L183</f>
        <v>0.37659233743354442</v>
      </c>
      <c r="F447" s="220">
        <f>K185</f>
        <v>0.58411827880959311</v>
      </c>
      <c r="G447" s="220">
        <f>L185</f>
        <v>0.36656080449416367</v>
      </c>
      <c r="H447" s="220">
        <f>I183</f>
        <v>6.4724173725743536E-3</v>
      </c>
      <c r="J447" s="171" t="s">
        <v>441</v>
      </c>
      <c r="K447" s="220">
        <f>K201</f>
        <v>3.0626036324745254E-2</v>
      </c>
      <c r="L447" s="220">
        <f>L201</f>
        <v>1.869488037149809E-2</v>
      </c>
      <c r="P447" s="171" t="s">
        <v>441</v>
      </c>
      <c r="Q447" s="220">
        <f>X183</f>
        <v>0.28432757648196394</v>
      </c>
      <c r="R447" s="220">
        <f>Y183</f>
        <v>0.71119765786575706</v>
      </c>
      <c r="S447" s="220">
        <f>X185</f>
        <v>0.26888345733394214</v>
      </c>
      <c r="T447" s="220">
        <f>Y185</f>
        <v>0.70142623082914779</v>
      </c>
      <c r="U447" s="220">
        <f>V183</f>
        <v>4.474765652278976E-3</v>
      </c>
      <c r="W447" s="171" t="s">
        <v>530</v>
      </c>
      <c r="X447" s="220">
        <f>X201</f>
        <v>8.4797191656458219E-3</v>
      </c>
      <c r="Y447" s="220">
        <f>Y201</f>
        <v>2.1210592671264284E-2</v>
      </c>
      <c r="AC447" s="171" t="s">
        <v>441</v>
      </c>
      <c r="AD447" s="220">
        <f>AK183</f>
        <v>0.61930423203362328</v>
      </c>
      <c r="AE447" s="220">
        <f>AL183</f>
        <v>0.37620157296824935</v>
      </c>
      <c r="AF447" s="220">
        <f>AK185</f>
        <v>0.58898922225458783</v>
      </c>
      <c r="AG447" s="220">
        <f>AL185</f>
        <v>0.36427947234821689</v>
      </c>
      <c r="AH447" s="220">
        <f>AI183</f>
        <v>4.4941949981274704E-3</v>
      </c>
      <c r="AJ447" s="171" t="s">
        <v>530</v>
      </c>
      <c r="AK447" s="220">
        <f>AK201</f>
        <v>2.907154840838358E-2</v>
      </c>
      <c r="AL447" s="220">
        <f>AL201</f>
        <v>1.7659756988811809E-2</v>
      </c>
    </row>
    <row r="448" spans="2:38" x14ac:dyDescent="0.3">
      <c r="C448" s="171" t="s">
        <v>531</v>
      </c>
      <c r="D448" s="220">
        <f>K208</f>
        <v>0.59733304712390622</v>
      </c>
      <c r="E448" s="220">
        <f>L208</f>
        <v>0.37570192516529405</v>
      </c>
      <c r="F448" s="220">
        <f>K210</f>
        <v>0.56832094640736153</v>
      </c>
      <c r="G448" s="220">
        <f>L210</f>
        <v>0.36784828627882993</v>
      </c>
      <c r="H448" s="220">
        <f>I208</f>
        <v>2.6965027710799734E-2</v>
      </c>
      <c r="J448" s="171" t="s">
        <v>531</v>
      </c>
      <c r="K448" s="220">
        <f>K226</f>
        <v>3.9184847231248349E-2</v>
      </c>
      <c r="L448" s="220">
        <f>L226</f>
        <v>2.4645920082560179E-2</v>
      </c>
      <c r="P448" s="171" t="s">
        <v>531</v>
      </c>
      <c r="Q448" s="220">
        <f>X208</f>
        <v>0.27194004995836807</v>
      </c>
      <c r="R448" s="220">
        <f>Y208</f>
        <v>0.72229593618221377</v>
      </c>
      <c r="S448" s="220">
        <f>X210</f>
        <v>0.25282694528752919</v>
      </c>
      <c r="T448" s="220">
        <f>Y210</f>
        <v>0.71426499422524248</v>
      </c>
      <c r="U448" s="220">
        <f>V208</f>
        <v>5.7640138594182364E-3</v>
      </c>
      <c r="W448" s="171" t="s">
        <v>531</v>
      </c>
      <c r="X448" s="220">
        <f>X226</f>
        <v>9.0009009306413305E-3</v>
      </c>
      <c r="Y448" s="220">
        <f>Y226</f>
        <v>2.3907159556586975E-2</v>
      </c>
      <c r="AC448" s="171" t="s">
        <v>531</v>
      </c>
      <c r="AD448" s="220">
        <f>AK208</f>
        <v>0.61728600557613089</v>
      </c>
      <c r="AE448" s="220">
        <f>AL208</f>
        <v>0.37821979942574174</v>
      </c>
      <c r="AF448" s="220">
        <f>AK210</f>
        <v>0.58341309142357778</v>
      </c>
      <c r="AG448" s="220">
        <f>AL210</f>
        <v>0.36636011818068331</v>
      </c>
      <c r="AH448" s="220">
        <f>AI208</f>
        <v>4.4941949981274704E-3</v>
      </c>
      <c r="AJ448" s="171" t="s">
        <v>531</v>
      </c>
      <c r="AK448" s="220">
        <f>AK226</f>
        <v>3.114426320822599E-2</v>
      </c>
      <c r="AL448" s="220">
        <f>AL226</f>
        <v>1.9082527187512879E-2</v>
      </c>
    </row>
    <row r="449" spans="2:38" x14ac:dyDescent="0.3">
      <c r="C449" s="171" t="s">
        <v>532</v>
      </c>
      <c r="D449" s="220">
        <f>K233</f>
        <v>0.57195215174135949</v>
      </c>
      <c r="E449" s="220">
        <f>L233</f>
        <v>0.4236699495532853</v>
      </c>
      <c r="F449" s="220">
        <f>K235</f>
        <v>0.53623201757608407</v>
      </c>
      <c r="G449" s="220">
        <f>L235</f>
        <v>0.41019423010086348</v>
      </c>
      <c r="H449" s="220">
        <f>I233</f>
        <v>4.3778987053553426E-3</v>
      </c>
      <c r="J449" s="171" t="s">
        <v>532</v>
      </c>
      <c r="K449" s="220">
        <f>K251</f>
        <v>3.0776358698932131E-2</v>
      </c>
      <c r="L449" s="220">
        <f>L251</f>
        <v>2.2797393624120355E-2</v>
      </c>
      <c r="P449" s="171" t="s">
        <v>532</v>
      </c>
      <c r="Q449" s="220">
        <f>X233</f>
        <v>0.2418199887190782</v>
      </c>
      <c r="R449" s="220">
        <f>Y233</f>
        <v>0.7537643361714701</v>
      </c>
      <c r="S449" s="220">
        <f>X235</f>
        <v>0.22351803604523116</v>
      </c>
      <c r="T449" s="220">
        <f>Y235</f>
        <v>0.74218796164486578</v>
      </c>
      <c r="U449" s="220">
        <f>V233</f>
        <v>4.4156751094518156E-3</v>
      </c>
      <c r="W449" s="171" t="s">
        <v>532</v>
      </c>
      <c r="X449" s="220">
        <f>X251</f>
        <v>8.3297567512671811E-3</v>
      </c>
      <c r="Y449" s="220">
        <f>Y251</f>
        <v>2.5964245558635971E-2</v>
      </c>
      <c r="AC449" s="171" t="s">
        <v>532</v>
      </c>
      <c r="AD449" s="220">
        <f>AK233</f>
        <v>0.6155590695351838</v>
      </c>
      <c r="AE449" s="220">
        <f>AL233</f>
        <v>0.38002996129998751</v>
      </c>
      <c r="AF449" s="220">
        <f>AK235</f>
        <v>0.56830760267987179</v>
      </c>
      <c r="AG449" s="220">
        <f>AL235</f>
        <v>0.36488285963963213</v>
      </c>
      <c r="AH449" s="220">
        <f>AI233</f>
        <v>4.410969164828772E-3</v>
      </c>
      <c r="AJ449" s="171" t="s">
        <v>532</v>
      </c>
      <c r="AK449" s="220">
        <f>AK251</f>
        <v>4.1307422618129037E-2</v>
      </c>
      <c r="AL449" s="220">
        <f>AL251</f>
        <v>2.5502115062366975E-2</v>
      </c>
    </row>
    <row r="450" spans="2:38" x14ac:dyDescent="0.3">
      <c r="C450" s="172" t="s">
        <v>461</v>
      </c>
      <c r="D450" s="220">
        <f>K258</f>
        <v>0.57333636739893445</v>
      </c>
      <c r="E450" s="220">
        <f>L258</f>
        <v>0.42228573389571034</v>
      </c>
      <c r="F450" s="220">
        <f>K260</f>
        <v>0.543728432089021</v>
      </c>
      <c r="G450" s="220">
        <f>L260</f>
        <v>0.41383096308474188</v>
      </c>
      <c r="H450" s="220">
        <f>I258</f>
        <v>4.3778987053551752E-3</v>
      </c>
      <c r="J450" s="172" t="s">
        <v>461</v>
      </c>
      <c r="K450" s="220">
        <f>K276</f>
        <v>2.4439736893794996E-2</v>
      </c>
      <c r="L450" s="220">
        <f>L276</f>
        <v>1.8000867932442044E-2</v>
      </c>
      <c r="P450" s="172" t="s">
        <v>461</v>
      </c>
      <c r="Q450" s="220">
        <f>X258</f>
        <v>0.24178238564636997</v>
      </c>
      <c r="R450" s="220">
        <f>Y258</f>
        <v>0.75380193924417827</v>
      </c>
      <c r="S450" s="220">
        <f>X260</f>
        <v>0.22043458408315653</v>
      </c>
      <c r="T450" s="220">
        <f>Y260</f>
        <v>0.74234374580322859</v>
      </c>
      <c r="U450" s="220">
        <f>V258</f>
        <v>4.4156751094516934E-3</v>
      </c>
      <c r="W450" s="172" t="s">
        <v>461</v>
      </c>
      <c r="X450" s="220">
        <f>X276</f>
        <v>9.039459514191708E-3</v>
      </c>
      <c r="Y450" s="220">
        <f>Y276</f>
        <v>2.8182210599423167E-2</v>
      </c>
      <c r="AC450" s="172" t="s">
        <v>461</v>
      </c>
      <c r="AD450" s="220">
        <f>AK258</f>
        <v>0.6655986018060005</v>
      </c>
      <c r="AE450" s="220">
        <f>AL258</f>
        <v>0.32999042902917064</v>
      </c>
      <c r="AF450" s="220">
        <f>AK260</f>
        <v>0.63124713911198027</v>
      </c>
      <c r="AG450" s="220">
        <f>AL260</f>
        <v>0.31917107070034539</v>
      </c>
      <c r="AH450" s="220">
        <f>AI258</f>
        <v>4.410969164828772E-3</v>
      </c>
      <c r="AJ450" s="172" t="s">
        <v>461</v>
      </c>
      <c r="AK450" s="220">
        <f>AK276</f>
        <v>3.3147784077402292E-2</v>
      </c>
      <c r="AL450" s="220">
        <f>AL276</f>
        <v>1.6434006110271973E-2</v>
      </c>
    </row>
    <row r="452" spans="2:38" x14ac:dyDescent="0.3">
      <c r="D452" s="214" t="s">
        <v>600</v>
      </c>
      <c r="E452" s="215" t="s">
        <v>525</v>
      </c>
      <c r="F452" s="214" t="s">
        <v>649</v>
      </c>
      <c r="G452" s="92" t="s">
        <v>642</v>
      </c>
      <c r="H452" s="212" t="s">
        <v>529</v>
      </c>
      <c r="K452" s="214" t="s">
        <v>649</v>
      </c>
      <c r="L452" s="92" t="s">
        <v>642</v>
      </c>
      <c r="Q452" s="214" t="s">
        <v>600</v>
      </c>
      <c r="R452" s="215" t="s">
        <v>525</v>
      </c>
      <c r="S452" s="214" t="s">
        <v>649</v>
      </c>
      <c r="T452" s="92" t="s">
        <v>642</v>
      </c>
      <c r="U452" s="212" t="s">
        <v>529</v>
      </c>
      <c r="X452" s="214" t="s">
        <v>649</v>
      </c>
      <c r="Y452" s="92" t="s">
        <v>642</v>
      </c>
      <c r="AD452" s="214" t="s">
        <v>600</v>
      </c>
      <c r="AE452" s="215" t="s">
        <v>525</v>
      </c>
      <c r="AF452" s="214" t="s">
        <v>649</v>
      </c>
      <c r="AG452" s="92" t="s">
        <v>642</v>
      </c>
      <c r="AH452" s="212" t="s">
        <v>529</v>
      </c>
      <c r="AK452" s="214" t="s">
        <v>649</v>
      </c>
      <c r="AL452" s="92" t="s">
        <v>642</v>
      </c>
    </row>
    <row r="453" spans="2:38" x14ac:dyDescent="0.3">
      <c r="B453" s="132" t="s">
        <v>612</v>
      </c>
      <c r="C453" s="170">
        <v>1977</v>
      </c>
      <c r="D453" s="57">
        <f>K7</f>
        <v>33334.659999999996</v>
      </c>
      <c r="E453" s="57">
        <f>L7</f>
        <v>9890.15</v>
      </c>
      <c r="F453" s="57">
        <f>K9</f>
        <v>31732.720000000001</v>
      </c>
      <c r="G453" s="57">
        <f>L9</f>
        <v>9324.32</v>
      </c>
      <c r="H453" s="57">
        <f>I7</f>
        <v>193.27999999999884</v>
      </c>
      <c r="I453" s="132" t="s">
        <v>612</v>
      </c>
      <c r="J453" s="170">
        <v>1977</v>
      </c>
      <c r="K453" s="57">
        <f>K25</f>
        <v>1820.8246373552579</v>
      </c>
      <c r="L453" s="57">
        <f>L25</f>
        <v>540.22536264473979</v>
      </c>
      <c r="O453" s="132" t="s">
        <v>616</v>
      </c>
      <c r="P453" s="170">
        <v>1977</v>
      </c>
      <c r="Q453" s="57">
        <f>X7</f>
        <v>930.15</v>
      </c>
      <c r="R453" s="57">
        <f>Y7</f>
        <v>921.5</v>
      </c>
      <c r="S453" s="57">
        <f>X9</f>
        <v>886.01</v>
      </c>
      <c r="T453" s="57">
        <f>Y9</f>
        <v>888.5</v>
      </c>
      <c r="U453" s="57">
        <f>V7</f>
        <v>9.8999999999998636</v>
      </c>
      <c r="V453" s="132" t="s">
        <v>616</v>
      </c>
      <c r="W453" s="170">
        <v>1977</v>
      </c>
      <c r="X453" s="57">
        <f>X25</f>
        <v>43.723304080144672</v>
      </c>
      <c r="Y453" s="57">
        <f>Y25</f>
        <v>43.316695919855199</v>
      </c>
      <c r="AB453" s="132" t="s">
        <v>634</v>
      </c>
      <c r="AC453" s="170">
        <v>1977</v>
      </c>
      <c r="AD453" s="57">
        <f>AK7</f>
        <v>370.20000000000005</v>
      </c>
      <c r="AE453" s="57">
        <f>AL7</f>
        <v>108.06</v>
      </c>
      <c r="AF453" s="57">
        <f>AK9</f>
        <v>340.92999999999995</v>
      </c>
      <c r="AG453" s="57">
        <f>AL9</f>
        <v>103.19</v>
      </c>
      <c r="AH453" s="57">
        <f>AI7</f>
        <v>2.3600000000000136</v>
      </c>
      <c r="AI453" s="132" t="s">
        <v>634</v>
      </c>
      <c r="AJ453" s="170">
        <v>1977</v>
      </c>
      <c r="AK453" s="57">
        <f>AK25</f>
        <v>28.253042278258736</v>
      </c>
      <c r="AL453" s="57">
        <f>AL25</f>
        <v>8.2469577217413264</v>
      </c>
    </row>
    <row r="454" spans="2:38" x14ac:dyDescent="0.3">
      <c r="B454" s="116" t="s">
        <v>543</v>
      </c>
      <c r="C454" s="171">
        <v>1988</v>
      </c>
      <c r="D454" s="57">
        <f>K32</f>
        <v>31085.11</v>
      </c>
      <c r="E454" s="57">
        <f>L32</f>
        <v>12137.33</v>
      </c>
      <c r="F454" s="57">
        <f>K34</f>
        <v>29638.65</v>
      </c>
      <c r="G454" s="57">
        <f>L34</f>
        <v>11161.43</v>
      </c>
      <c r="H454" s="57">
        <f>I32</f>
        <v>195.64999999999418</v>
      </c>
      <c r="I454" s="116" t="s">
        <v>543</v>
      </c>
      <c r="J454" s="171">
        <v>1988</v>
      </c>
      <c r="K454" s="57">
        <f>K50</f>
        <v>1882.8443935858277</v>
      </c>
      <c r="L454" s="57">
        <f>L50</f>
        <v>735.1656064141664</v>
      </c>
      <c r="O454" s="116" t="s">
        <v>543</v>
      </c>
      <c r="P454" s="171">
        <v>1988</v>
      </c>
      <c r="Q454" s="57">
        <f>X32</f>
        <v>955.59999999999991</v>
      </c>
      <c r="R454" s="57">
        <f>Y32</f>
        <v>897.34</v>
      </c>
      <c r="S454" s="57">
        <f>X34</f>
        <v>893.43000000000006</v>
      </c>
      <c r="T454" s="57">
        <f>Y34</f>
        <v>842.68</v>
      </c>
      <c r="U454" s="57">
        <f>V32</f>
        <v>8.6099999999999</v>
      </c>
      <c r="V454" s="116" t="s">
        <v>543</v>
      </c>
      <c r="W454" s="171">
        <v>1988</v>
      </c>
      <c r="X454" s="57">
        <f>X50</f>
        <v>64.692037518753949</v>
      </c>
      <c r="Y454" s="57">
        <f>Y50</f>
        <v>60.747962481245992</v>
      </c>
      <c r="AB454" s="116" t="s">
        <v>543</v>
      </c>
      <c r="AC454" s="171">
        <v>1988</v>
      </c>
      <c r="AD454" s="57">
        <f>AK32</f>
        <v>295.99</v>
      </c>
      <c r="AE454" s="57">
        <f>AL32</f>
        <v>182.27</v>
      </c>
      <c r="AF454" s="57">
        <f>AK34</f>
        <v>276.52999999999997</v>
      </c>
      <c r="AG454" s="57">
        <f>AL34</f>
        <v>173.18</v>
      </c>
      <c r="AH454" s="57">
        <f>AI32</f>
        <v>2.3600000000000136</v>
      </c>
      <c r="AI454" s="116" t="s">
        <v>543</v>
      </c>
      <c r="AJ454" s="171">
        <v>1988</v>
      </c>
      <c r="AK454" s="57">
        <f>AK50</f>
        <v>19.129868481579063</v>
      </c>
      <c r="AL454" s="57">
        <f>AL50</f>
        <v>11.780131518420946</v>
      </c>
    </row>
    <row r="455" spans="2:38" x14ac:dyDescent="0.3">
      <c r="B455" s="115" t="s">
        <v>647</v>
      </c>
      <c r="C455" s="171" t="s">
        <v>397</v>
      </c>
      <c r="D455" s="57">
        <f>K57</f>
        <v>26902.839999999997</v>
      </c>
      <c r="E455" s="57">
        <f>L57</f>
        <v>16323.8</v>
      </c>
      <c r="F455" s="57">
        <f>K59</f>
        <v>25784.959999999999</v>
      </c>
      <c r="G455" s="57">
        <f>L59</f>
        <v>15903.55</v>
      </c>
      <c r="H455" s="57">
        <f>I57</f>
        <v>191.44999999999709</v>
      </c>
      <c r="I455" s="115" t="s">
        <v>806</v>
      </c>
      <c r="J455" s="171" t="s">
        <v>397</v>
      </c>
      <c r="K455" s="57">
        <f>K75</f>
        <v>1076.4337456531407</v>
      </c>
      <c r="L455" s="57">
        <f>L75</f>
        <v>653.1462543468549</v>
      </c>
      <c r="O455" s="115" t="s">
        <v>647</v>
      </c>
      <c r="P455" s="171" t="s">
        <v>397</v>
      </c>
      <c r="Q455" s="57">
        <f>X57</f>
        <v>502.15</v>
      </c>
      <c r="R455" s="57">
        <f>Y57</f>
        <v>1351.07</v>
      </c>
      <c r="S455" s="57">
        <f>X59</f>
        <v>479.72</v>
      </c>
      <c r="T455" s="57">
        <f>Y59</f>
        <v>1337.12</v>
      </c>
      <c r="U455" s="57">
        <f>V57</f>
        <v>8.3300000000001546</v>
      </c>
      <c r="V455" s="115" t="s">
        <v>806</v>
      </c>
      <c r="W455" s="171" t="s">
        <v>397</v>
      </c>
      <c r="X455" s="57">
        <f>X75</f>
        <v>12.114658000669161</v>
      </c>
      <c r="Y455" s="57">
        <f>Y75</f>
        <v>32.59534199933104</v>
      </c>
      <c r="AB455" s="115" t="s">
        <v>647</v>
      </c>
      <c r="AC455" s="171" t="s">
        <v>397</v>
      </c>
      <c r="AD455" s="57">
        <f>AK57</f>
        <v>255.37</v>
      </c>
      <c r="AE455" s="57">
        <f>AL57</f>
        <v>223.08</v>
      </c>
      <c r="AF455" s="57">
        <f>AK59</f>
        <v>240.86</v>
      </c>
      <c r="AG455" s="57">
        <f>AL59</f>
        <v>218.6</v>
      </c>
      <c r="AH455" s="57">
        <f>AI57</f>
        <v>2.1699999999999591</v>
      </c>
      <c r="AI455" s="115" t="s">
        <v>806</v>
      </c>
      <c r="AJ455" s="171" t="s">
        <v>397</v>
      </c>
      <c r="AK455" s="57">
        <f>AK75</f>
        <v>11.294031142230097</v>
      </c>
      <c r="AL455" s="57">
        <f>AL75</f>
        <v>9.8659688577698628</v>
      </c>
    </row>
    <row r="456" spans="2:38" x14ac:dyDescent="0.3">
      <c r="B456" s="115" t="s">
        <v>648</v>
      </c>
      <c r="C456" s="171" t="s">
        <v>401</v>
      </c>
      <c r="D456" s="57">
        <f>K82</f>
        <v>24739.75</v>
      </c>
      <c r="E456" s="57">
        <f>L82</f>
        <v>15605.63</v>
      </c>
      <c r="F456" s="57">
        <f>K84</f>
        <v>23469.88</v>
      </c>
      <c r="G456" s="57">
        <f>L84</f>
        <v>15032.37</v>
      </c>
      <c r="H456" s="57">
        <f>I82</f>
        <v>3072.7099999999919</v>
      </c>
      <c r="J456" s="171" t="s">
        <v>401</v>
      </c>
      <c r="K456" s="57">
        <f>K100</f>
        <v>3014.388577824765</v>
      </c>
      <c r="L456" s="57">
        <f>L100</f>
        <v>1901.4514221752236</v>
      </c>
      <c r="O456" s="115" t="s">
        <v>648</v>
      </c>
      <c r="P456" s="171" t="s">
        <v>401</v>
      </c>
      <c r="Q456" s="57">
        <f>X82</f>
        <v>488.34</v>
      </c>
      <c r="R456" s="57">
        <f>Y82</f>
        <v>1312.2</v>
      </c>
      <c r="S456" s="57">
        <f>X84</f>
        <v>456.22999999999996</v>
      </c>
      <c r="T456" s="57">
        <f>Y84</f>
        <v>1284.02</v>
      </c>
      <c r="U456" s="57">
        <f>V82</f>
        <v>61.009999999999764</v>
      </c>
      <c r="W456" s="171" t="s">
        <v>401</v>
      </c>
      <c r="X456" s="57">
        <f>X100</f>
        <v>32.898820353893782</v>
      </c>
      <c r="Y456" s="57">
        <f>Y100</f>
        <v>88.401179646106044</v>
      </c>
      <c r="AB456" s="115" t="s">
        <v>648</v>
      </c>
      <c r="AC456" s="171" t="s">
        <v>401</v>
      </c>
      <c r="AD456" s="57">
        <f>AK82</f>
        <v>295.63</v>
      </c>
      <c r="AE456" s="57">
        <f>AL82</f>
        <v>182.83</v>
      </c>
      <c r="AF456" s="57">
        <f>AK84</f>
        <v>283.31</v>
      </c>
      <c r="AG456" s="57">
        <f>AL84</f>
        <v>177.43</v>
      </c>
      <c r="AH456" s="57">
        <f>AI82</f>
        <v>2.1599999999999682</v>
      </c>
      <c r="AJ456" s="171" t="s">
        <v>401</v>
      </c>
      <c r="AK456" s="57">
        <f>AK100</f>
        <v>12.283418467583465</v>
      </c>
      <c r="AL456" s="57">
        <f>AL100</f>
        <v>7.5965815324164838</v>
      </c>
    </row>
    <row r="457" spans="2:38" x14ac:dyDescent="0.3">
      <c r="C457" s="171" t="s">
        <v>405</v>
      </c>
      <c r="D457" s="57">
        <f>K107</f>
        <v>26853.73</v>
      </c>
      <c r="E457" s="57">
        <f>L107</f>
        <v>16056.11</v>
      </c>
      <c r="F457" s="57">
        <f>K109</f>
        <v>25207.82</v>
      </c>
      <c r="G457" s="57">
        <f>L109</f>
        <v>15443.8</v>
      </c>
      <c r="H457" s="57">
        <f>I107</f>
        <v>508.24999999999272</v>
      </c>
      <c r="J457" s="171" t="s">
        <v>405</v>
      </c>
      <c r="K457" s="57">
        <f>K125</f>
        <v>1731.3054169649624</v>
      </c>
      <c r="L457" s="57">
        <f>L125</f>
        <v>1035.1645830350312</v>
      </c>
      <c r="P457" s="171" t="s">
        <v>405</v>
      </c>
      <c r="Q457" s="57">
        <f>X107</f>
        <v>573.51</v>
      </c>
      <c r="R457" s="57">
        <f>Y107</f>
        <v>1279.71</v>
      </c>
      <c r="S457" s="57">
        <f>X109</f>
        <v>525.27</v>
      </c>
      <c r="T457" s="57">
        <f>Y109</f>
        <v>1249.8499999999999</v>
      </c>
      <c r="U457" s="57">
        <f>V107</f>
        <v>8.3299999999999272</v>
      </c>
      <c r="W457" s="171" t="s">
        <v>405</v>
      </c>
      <c r="X457" s="57">
        <f>X125</f>
        <v>26.747212581344918</v>
      </c>
      <c r="Y457" s="57">
        <f>Y125</f>
        <v>59.682787418655131</v>
      </c>
      <c r="AC457" s="171" t="s">
        <v>405</v>
      </c>
      <c r="AD457" s="57">
        <f>AK107</f>
        <v>293.77</v>
      </c>
      <c r="AE457" s="57">
        <f>AL107</f>
        <v>184.69</v>
      </c>
      <c r="AF457" s="57">
        <f>AK109</f>
        <v>275.64</v>
      </c>
      <c r="AG457" s="57">
        <f>AL109</f>
        <v>176.93</v>
      </c>
      <c r="AH457" s="57">
        <f>AI107</f>
        <v>2.160000000000025</v>
      </c>
      <c r="AJ457" s="171" t="s">
        <v>405</v>
      </c>
      <c r="AK457" s="57">
        <f>AK125</f>
        <v>17.222439702378466</v>
      </c>
      <c r="AL457" s="57">
        <f>AL125</f>
        <v>10.827560297621542</v>
      </c>
    </row>
    <row r="458" spans="2:38" x14ac:dyDescent="0.3">
      <c r="C458" s="171" t="s">
        <v>429</v>
      </c>
      <c r="D458" s="57">
        <f>K132</f>
        <v>22581.120000000003</v>
      </c>
      <c r="E458" s="57">
        <f>L132</f>
        <v>12858.68</v>
      </c>
      <c r="F458" s="57">
        <f>K134</f>
        <v>21514.7</v>
      </c>
      <c r="G458" s="57">
        <f>L134</f>
        <v>12541.16</v>
      </c>
      <c r="H458" s="57">
        <f>I132</f>
        <v>7978.2899999999936</v>
      </c>
      <c r="J458" s="171" t="s">
        <v>429</v>
      </c>
      <c r="K458" s="57">
        <f>K150</f>
        <v>5965.3169345650895</v>
      </c>
      <c r="L458" s="57">
        <f>L150</f>
        <v>3396.9130654349046</v>
      </c>
      <c r="P458" s="171" t="s">
        <v>429</v>
      </c>
      <c r="Q458" s="57">
        <f>X132</f>
        <v>347.24</v>
      </c>
      <c r="R458" s="57">
        <f>Y132</f>
        <v>920.19</v>
      </c>
      <c r="S458" s="57">
        <f>X134</f>
        <v>331.63</v>
      </c>
      <c r="T458" s="57">
        <f>Y134</f>
        <v>911.23</v>
      </c>
      <c r="U458" s="57">
        <f>V132</f>
        <v>594.11999999999989</v>
      </c>
      <c r="W458" s="171" t="s">
        <v>429</v>
      </c>
      <c r="X458" s="57">
        <f>X150</f>
        <v>169.50357463528556</v>
      </c>
      <c r="Y458" s="57">
        <f>Y150</f>
        <v>449.18642536471435</v>
      </c>
      <c r="AC458" s="171" t="s">
        <v>429</v>
      </c>
      <c r="AD458" s="57">
        <f>AK132</f>
        <v>209.26</v>
      </c>
      <c r="AE458" s="57">
        <f>AL132</f>
        <v>139.66</v>
      </c>
      <c r="AF458" s="57">
        <f>AK134</f>
        <v>199.1</v>
      </c>
      <c r="AG458" s="57">
        <f>AL134</f>
        <v>136.02000000000001</v>
      </c>
      <c r="AH458" s="57">
        <f>AI132</f>
        <v>131.70000000000005</v>
      </c>
      <c r="AJ458" s="171" t="s">
        <v>429</v>
      </c>
      <c r="AK458" s="57">
        <f>AK150</f>
        <v>87.261635905078549</v>
      </c>
      <c r="AL458" s="57">
        <f>AL150</f>
        <v>58.238364094921494</v>
      </c>
    </row>
    <row r="459" spans="2:38" x14ac:dyDescent="0.3">
      <c r="C459" s="171" t="s">
        <v>437</v>
      </c>
      <c r="D459" s="57">
        <f>K157</f>
        <v>25583.11</v>
      </c>
      <c r="E459" s="57">
        <f>L157</f>
        <v>16007.08</v>
      </c>
      <c r="F459" s="57">
        <f>K159</f>
        <v>24311.45</v>
      </c>
      <c r="G459" s="57">
        <f>L159</f>
        <v>15458.2</v>
      </c>
      <c r="H459" s="57">
        <f>I157</f>
        <v>1827.8999999999942</v>
      </c>
      <c r="J459" s="171" t="s">
        <v>437</v>
      </c>
      <c r="K459" s="57">
        <f>K175</f>
        <v>2244.2417754859925</v>
      </c>
      <c r="L459" s="57">
        <f>L175</f>
        <v>1404.1982245139986</v>
      </c>
      <c r="P459" s="171" t="s">
        <v>437</v>
      </c>
      <c r="Q459" s="57">
        <f>X157</f>
        <v>531.79</v>
      </c>
      <c r="R459" s="57">
        <f>Y157</f>
        <v>1289.2</v>
      </c>
      <c r="S459" s="57">
        <f>X159</f>
        <v>498.18</v>
      </c>
      <c r="T459" s="57">
        <f>Y159</f>
        <v>1267.1199999999999</v>
      </c>
      <c r="U459" s="57">
        <f>V157</f>
        <v>40.559999999999945</v>
      </c>
      <c r="W459" s="171" t="s">
        <v>437</v>
      </c>
      <c r="X459" s="57">
        <f>X175</f>
        <v>28.108219979242087</v>
      </c>
      <c r="Y459" s="57">
        <f>Y175</f>
        <v>68.141780020758006</v>
      </c>
      <c r="AC459" s="171" t="s">
        <v>437</v>
      </c>
      <c r="AD459" s="57">
        <f>AK157</f>
        <v>298.10000000000002</v>
      </c>
      <c r="AE459" s="57">
        <f>AL157</f>
        <v>162.13999999999999</v>
      </c>
      <c r="AF459" s="57">
        <f>AK159</f>
        <v>282.45000000000005</v>
      </c>
      <c r="AG459" s="57">
        <f>AL159</f>
        <v>153.06</v>
      </c>
      <c r="AH459" s="57">
        <f>AI157</f>
        <v>20.379999999999995</v>
      </c>
      <c r="AJ459" s="171" t="s">
        <v>437</v>
      </c>
      <c r="AK459" s="57">
        <f>AK175</f>
        <v>29.217997131931142</v>
      </c>
      <c r="AL459" s="57">
        <f>AL175</f>
        <v>15.892002868068824</v>
      </c>
    </row>
    <row r="460" spans="2:38" x14ac:dyDescent="0.3">
      <c r="C460" s="171" t="s">
        <v>441</v>
      </c>
      <c r="D460" s="57">
        <f>K182</f>
        <v>26786.15</v>
      </c>
      <c r="E460" s="57">
        <f>L182</f>
        <v>16350.92</v>
      </c>
      <c r="F460" s="57">
        <f>K184</f>
        <v>25361.300000000003</v>
      </c>
      <c r="G460" s="57">
        <f>L184</f>
        <v>15915.37</v>
      </c>
      <c r="H460" s="57">
        <f>I182</f>
        <v>281.0199999999968</v>
      </c>
      <c r="J460" s="171" t="s">
        <v>441</v>
      </c>
      <c r="K460" s="57">
        <f>K200</f>
        <v>1329.7240014910585</v>
      </c>
      <c r="L460" s="57">
        <f>L200</f>
        <v>811.69599850893746</v>
      </c>
      <c r="P460" s="171" t="s">
        <v>441</v>
      </c>
      <c r="Q460" s="57">
        <f>X182</f>
        <v>529.29</v>
      </c>
      <c r="R460" s="57">
        <f>Y182</f>
        <v>1323.93</v>
      </c>
      <c r="S460" s="57">
        <f>X184</f>
        <v>500.54</v>
      </c>
      <c r="T460" s="57">
        <f>Y184</f>
        <v>1305.74</v>
      </c>
      <c r="U460" s="57">
        <f>V182</f>
        <v>8.3299999999999272</v>
      </c>
      <c r="W460" s="171" t="s">
        <v>530</v>
      </c>
      <c r="X460" s="57">
        <f>X200</f>
        <v>15.785421212807979</v>
      </c>
      <c r="Y460" s="57">
        <f>Y200</f>
        <v>39.484578787192028</v>
      </c>
      <c r="AC460" s="171" t="s">
        <v>441</v>
      </c>
      <c r="AD460" s="57">
        <f>AK182</f>
        <v>297.65000000000003</v>
      </c>
      <c r="AE460" s="57">
        <f>AL182</f>
        <v>180.81</v>
      </c>
      <c r="AF460" s="57">
        <f>AK184</f>
        <v>283.08</v>
      </c>
      <c r="AG460" s="57">
        <f>AL184</f>
        <v>175.08</v>
      </c>
      <c r="AH460" s="57">
        <f>AI182</f>
        <v>2.160000000000025</v>
      </c>
      <c r="AJ460" s="171" t="s">
        <v>530</v>
      </c>
      <c r="AK460" s="57">
        <f>AK200</f>
        <v>13.972367596037316</v>
      </c>
      <c r="AL460" s="57">
        <f>AL200</f>
        <v>8.4876324039627313</v>
      </c>
    </row>
    <row r="461" spans="2:38" x14ac:dyDescent="0.3">
      <c r="C461" s="171" t="s">
        <v>531</v>
      </c>
      <c r="D461" s="57">
        <f>K207</f>
        <v>25935.06</v>
      </c>
      <c r="E461" s="57">
        <f>L207</f>
        <v>16312.26</v>
      </c>
      <c r="F461" s="57">
        <f>K209</f>
        <v>24675.41</v>
      </c>
      <c r="G461" s="57">
        <f>L209</f>
        <v>15971.27</v>
      </c>
      <c r="H461" s="57">
        <f>I207</f>
        <v>1170.7699999999968</v>
      </c>
      <c r="J461" s="171" t="s">
        <v>531</v>
      </c>
      <c r="K461" s="57">
        <f>K225</f>
        <v>1701.3312237225914</v>
      </c>
      <c r="L461" s="57">
        <f>L225</f>
        <v>1070.0787762774053</v>
      </c>
      <c r="P461" s="171" t="s">
        <v>531</v>
      </c>
      <c r="Q461" s="57">
        <f>X207</f>
        <v>506.23</v>
      </c>
      <c r="R461" s="57">
        <f>Y207</f>
        <v>1344.59</v>
      </c>
      <c r="S461" s="57">
        <f>X209</f>
        <v>470.65</v>
      </c>
      <c r="T461" s="57">
        <f>Y209</f>
        <v>1329.64</v>
      </c>
      <c r="U461" s="57">
        <f>V207</f>
        <v>10.730000000000018</v>
      </c>
      <c r="W461" s="171" t="s">
        <v>531</v>
      </c>
      <c r="X461" s="57">
        <f>X225</f>
        <v>16.755627127435368</v>
      </c>
      <c r="Y461" s="57">
        <f>Y225</f>
        <v>44.504372872564481</v>
      </c>
      <c r="AC461" s="171" t="s">
        <v>531</v>
      </c>
      <c r="AD461" s="57">
        <f>AK207</f>
        <v>296.68</v>
      </c>
      <c r="AE461" s="57">
        <f>AL207</f>
        <v>181.78</v>
      </c>
      <c r="AF461" s="57">
        <f>AK209</f>
        <v>280.39999999999998</v>
      </c>
      <c r="AG461" s="57">
        <f>AL209</f>
        <v>176.08</v>
      </c>
      <c r="AH461" s="57">
        <f>AI207</f>
        <v>2.160000000000025</v>
      </c>
      <c r="AJ461" s="171" t="s">
        <v>531</v>
      </c>
      <c r="AK461" s="57">
        <f>AK225</f>
        <v>14.968555783137576</v>
      </c>
      <c r="AL461" s="57">
        <f>AL225</f>
        <v>9.1714442168624402</v>
      </c>
    </row>
    <row r="462" spans="2:38" x14ac:dyDescent="0.3">
      <c r="C462" s="171" t="s">
        <v>532</v>
      </c>
      <c r="D462" s="57">
        <f>K232</f>
        <v>24833.07</v>
      </c>
      <c r="E462" s="57">
        <f>L232</f>
        <v>18394.939999999999</v>
      </c>
      <c r="F462" s="57">
        <f>K234</f>
        <v>23282.17</v>
      </c>
      <c r="G462" s="57">
        <f>L234</f>
        <v>17809.849999999999</v>
      </c>
      <c r="H462" s="57">
        <f>I232</f>
        <v>190.08000000000175</v>
      </c>
      <c r="J462" s="171" t="s">
        <v>532</v>
      </c>
      <c r="K462" s="57">
        <f>K250</f>
        <v>1336.2507118625181</v>
      </c>
      <c r="L462" s="57">
        <f>L250</f>
        <v>989.81928813748368</v>
      </c>
      <c r="P462" s="171" t="s">
        <v>532</v>
      </c>
      <c r="Q462" s="57">
        <f>X232</f>
        <v>450.16</v>
      </c>
      <c r="R462" s="57">
        <f>Y232</f>
        <v>1403.17</v>
      </c>
      <c r="S462" s="57">
        <f>X234</f>
        <v>416.09000000000003</v>
      </c>
      <c r="T462" s="57">
        <f>Y234</f>
        <v>1381.62</v>
      </c>
      <c r="U462" s="57">
        <f>V232</f>
        <v>8.2200000000000273</v>
      </c>
      <c r="W462" s="171" t="s">
        <v>532</v>
      </c>
      <c r="X462" s="57">
        <f>X250</f>
        <v>15.506258680321421</v>
      </c>
      <c r="Y462" s="57">
        <f>Y250</f>
        <v>48.333741319678794</v>
      </c>
      <c r="AC462" s="171" t="s">
        <v>532</v>
      </c>
      <c r="AD462" s="57">
        <f>AK232</f>
        <v>295.85000000000002</v>
      </c>
      <c r="AE462" s="57">
        <f>AL232</f>
        <v>182.65</v>
      </c>
      <c r="AF462" s="57">
        <f>AK234</f>
        <v>273.14</v>
      </c>
      <c r="AG462" s="57">
        <f>AL234</f>
        <v>175.37</v>
      </c>
      <c r="AH462" s="57">
        <f>AI232</f>
        <v>2.1200000000000045</v>
      </c>
      <c r="AJ462" s="171" t="s">
        <v>532</v>
      </c>
      <c r="AK462" s="57">
        <f>AK250</f>
        <v>19.853173458725177</v>
      </c>
      <c r="AL462" s="57">
        <f>AL250</f>
        <v>12.256826541274815</v>
      </c>
    </row>
    <row r="463" spans="2:38" x14ac:dyDescent="0.3">
      <c r="C463" s="172" t="s">
        <v>461</v>
      </c>
      <c r="D463" s="57">
        <f>K257</f>
        <v>24893.17</v>
      </c>
      <c r="E463" s="57">
        <f>L257</f>
        <v>18334.84</v>
      </c>
      <c r="F463" s="57">
        <f>K259</f>
        <v>23607.65</v>
      </c>
      <c r="G463" s="57">
        <f>L259</f>
        <v>17967.75</v>
      </c>
      <c r="H463" s="57">
        <f>I257</f>
        <v>190.07999999999447</v>
      </c>
      <c r="J463" s="172" t="s">
        <v>461</v>
      </c>
      <c r="K463" s="57">
        <f>K275</f>
        <v>1061.1266960311116</v>
      </c>
      <c r="L463" s="57">
        <f>L275</f>
        <v>781.56330396888256</v>
      </c>
      <c r="P463" s="172" t="s">
        <v>461</v>
      </c>
      <c r="Q463" s="57">
        <f>X257</f>
        <v>450.09000000000003</v>
      </c>
      <c r="R463" s="57">
        <f>Y257</f>
        <v>1403.24</v>
      </c>
      <c r="S463" s="57">
        <f>X259</f>
        <v>410.35</v>
      </c>
      <c r="T463" s="57">
        <f>Y259</f>
        <v>1381.91</v>
      </c>
      <c r="U463" s="57">
        <f>V257</f>
        <v>8.2199999999997999</v>
      </c>
      <c r="W463" s="172" t="s">
        <v>461</v>
      </c>
      <c r="X463" s="57">
        <f>X275</f>
        <v>16.827405858643573</v>
      </c>
      <c r="Y463" s="57">
        <f>Y275</f>
        <v>52.462594141356192</v>
      </c>
      <c r="AC463" s="172" t="s">
        <v>461</v>
      </c>
      <c r="AD463" s="57">
        <f>AK257</f>
        <v>319.89999999999998</v>
      </c>
      <c r="AE463" s="57">
        <f>AL257</f>
        <v>158.6</v>
      </c>
      <c r="AF463" s="57">
        <f>AK259</f>
        <v>303.39</v>
      </c>
      <c r="AG463" s="57">
        <f>AL259</f>
        <v>153.4</v>
      </c>
      <c r="AH463" s="57">
        <f>AI257</f>
        <v>2.1200000000000045</v>
      </c>
      <c r="AJ463" s="172" t="s">
        <v>461</v>
      </c>
      <c r="AK463" s="57">
        <f>AK275</f>
        <v>15.931487983281091</v>
      </c>
      <c r="AL463" s="57">
        <f>AL275</f>
        <v>7.8985120167189153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F1714-5DEA-4360-9C4A-CC20B9448292}">
  <dimension ref="A1:Y126"/>
  <sheetViews>
    <sheetView tabSelected="1" topLeftCell="A93" zoomScale="85" zoomScaleNormal="85" workbookViewId="0">
      <selection activeCell="L93" sqref="L93"/>
    </sheetView>
  </sheetViews>
  <sheetFormatPr baseColWidth="10" defaultRowHeight="14.4" x14ac:dyDescent="0.3"/>
  <cols>
    <col min="2" max="2" width="18" customWidth="1"/>
    <col min="3" max="3" width="12.77734375" customWidth="1"/>
    <col min="10" max="10" width="16.109375" customWidth="1"/>
    <col min="18" max="18" width="15.77734375" customWidth="1"/>
  </cols>
  <sheetData>
    <row r="1" spans="1:24" x14ac:dyDescent="0.3">
      <c r="B1" s="16" t="s">
        <v>812</v>
      </c>
      <c r="C1" s="235">
        <v>1</v>
      </c>
      <c r="D1" s="236">
        <v>2</v>
      </c>
    </row>
    <row r="2" spans="1:24" x14ac:dyDescent="0.3">
      <c r="B2" s="235">
        <v>1</v>
      </c>
      <c r="C2" s="237">
        <v>101</v>
      </c>
      <c r="D2" s="238">
        <v>102</v>
      </c>
      <c r="J2" s="131" t="s">
        <v>417</v>
      </c>
      <c r="K2" s="138">
        <f>GUE_all!K3</f>
        <v>43418.09</v>
      </c>
    </row>
    <row r="3" spans="1:24" x14ac:dyDescent="0.3">
      <c r="B3" s="236">
        <v>2</v>
      </c>
      <c r="C3" s="239">
        <v>201</v>
      </c>
      <c r="D3" s="240">
        <v>202</v>
      </c>
      <c r="J3" s="131" t="s">
        <v>536</v>
      </c>
      <c r="K3" s="138">
        <f>GUE_all!K4</f>
        <v>1861.55</v>
      </c>
    </row>
    <row r="4" spans="1:24" x14ac:dyDescent="0.3">
      <c r="J4" s="131" t="s">
        <v>622</v>
      </c>
      <c r="K4" s="138">
        <f>GUE_PA_HC!N4</f>
        <v>480.62</v>
      </c>
    </row>
    <row r="6" spans="1:24" x14ac:dyDescent="0.3">
      <c r="A6" t="s">
        <v>835</v>
      </c>
      <c r="B6" s="118" t="s">
        <v>807</v>
      </c>
      <c r="C6" s="119" t="s">
        <v>809</v>
      </c>
      <c r="D6" s="119"/>
      <c r="E6" s="115"/>
      <c r="F6" s="115"/>
      <c r="G6" s="115"/>
      <c r="H6" s="115"/>
      <c r="J6" s="118" t="s">
        <v>807</v>
      </c>
      <c r="K6" s="119" t="s">
        <v>817</v>
      </c>
      <c r="L6" s="119"/>
      <c r="M6" s="115"/>
      <c r="N6" s="115"/>
      <c r="O6" s="115"/>
      <c r="P6" s="115"/>
      <c r="R6" s="118" t="s">
        <v>807</v>
      </c>
      <c r="S6" s="119" t="s">
        <v>819</v>
      </c>
      <c r="T6" s="119"/>
      <c r="U6" s="115"/>
      <c r="V6" s="115"/>
      <c r="W6" s="115"/>
      <c r="X6" s="115"/>
    </row>
    <row r="7" spans="1:24" x14ac:dyDescent="0.3">
      <c r="A7" t="s">
        <v>897</v>
      </c>
      <c r="B7" s="119" t="s">
        <v>808</v>
      </c>
      <c r="C7" s="107" t="s">
        <v>815</v>
      </c>
      <c r="D7" s="254" t="s">
        <v>810</v>
      </c>
      <c r="E7" s="255" t="s">
        <v>811</v>
      </c>
      <c r="F7" s="115"/>
      <c r="G7" s="115"/>
      <c r="H7" s="318" t="s">
        <v>885</v>
      </c>
      <c r="J7" s="119" t="s">
        <v>816</v>
      </c>
      <c r="K7" s="107" t="s">
        <v>815</v>
      </c>
      <c r="L7" s="254" t="s">
        <v>810</v>
      </c>
      <c r="M7" s="255" t="s">
        <v>811</v>
      </c>
      <c r="N7" s="115"/>
      <c r="O7" s="115"/>
      <c r="P7" s="318" t="s">
        <v>885</v>
      </c>
      <c r="R7" s="119" t="s">
        <v>818</v>
      </c>
      <c r="S7" s="107" t="s">
        <v>815</v>
      </c>
      <c r="T7" s="254" t="s">
        <v>810</v>
      </c>
      <c r="U7" s="255" t="s">
        <v>811</v>
      </c>
      <c r="V7" s="115"/>
      <c r="W7" s="115"/>
      <c r="X7" s="318" t="s">
        <v>885</v>
      </c>
    </row>
    <row r="8" spans="1:24" x14ac:dyDescent="0.3">
      <c r="B8" s="107"/>
      <c r="C8" s="214" t="s">
        <v>810</v>
      </c>
      <c r="D8" s="256">
        <v>24783.97</v>
      </c>
      <c r="E8" s="257">
        <v>5237.5200000000004</v>
      </c>
      <c r="F8" s="116">
        <f>D8+E8</f>
        <v>30021.49</v>
      </c>
      <c r="G8" s="116"/>
      <c r="H8" s="319">
        <f>E8-D9</f>
        <v>1745.1200000000003</v>
      </c>
      <c r="J8" s="115"/>
      <c r="K8" s="214" t="s">
        <v>810</v>
      </c>
      <c r="L8" s="256">
        <v>612.91999999999996</v>
      </c>
      <c r="M8" s="257">
        <v>214.15</v>
      </c>
      <c r="N8" s="116">
        <f>L8+M8</f>
        <v>827.06999999999994</v>
      </c>
      <c r="O8" s="116"/>
      <c r="P8" s="319">
        <f>M8-L9</f>
        <v>-30.039999999999992</v>
      </c>
      <c r="R8" s="115"/>
      <c r="S8" s="214" t="s">
        <v>810</v>
      </c>
      <c r="T8" s="256">
        <v>215.21</v>
      </c>
      <c r="U8" s="257">
        <v>96.86</v>
      </c>
      <c r="V8" s="116">
        <f>T8+U8</f>
        <v>312.07</v>
      </c>
      <c r="W8" s="116"/>
      <c r="X8" s="319">
        <f>U8-T9</f>
        <v>67.05</v>
      </c>
    </row>
    <row r="9" spans="1:24" x14ac:dyDescent="0.3">
      <c r="B9" s="107"/>
      <c r="C9" s="253" t="s">
        <v>811</v>
      </c>
      <c r="D9" s="258">
        <v>3492.4</v>
      </c>
      <c r="E9" s="259">
        <v>5261.16</v>
      </c>
      <c r="F9" s="116">
        <f>D9+E9</f>
        <v>8753.56</v>
      </c>
      <c r="G9" s="116"/>
      <c r="H9" s="115"/>
      <c r="J9" s="107"/>
      <c r="K9" s="253" t="s">
        <v>811</v>
      </c>
      <c r="L9" s="258">
        <v>244.19</v>
      </c>
      <c r="M9" s="259">
        <v>595.49</v>
      </c>
      <c r="N9" s="116">
        <f>L9+M9</f>
        <v>839.68000000000006</v>
      </c>
      <c r="O9" s="116"/>
      <c r="P9" s="115"/>
      <c r="R9" s="107"/>
      <c r="S9" s="253" t="s">
        <v>811</v>
      </c>
      <c r="T9" s="258">
        <v>29.81</v>
      </c>
      <c r="U9" s="259">
        <v>74.27</v>
      </c>
      <c r="V9" s="116">
        <f>T9+U9</f>
        <v>104.08</v>
      </c>
      <c r="W9" s="116"/>
      <c r="X9" s="115"/>
    </row>
    <row r="10" spans="1:24" x14ac:dyDescent="0.3">
      <c r="B10" s="107"/>
      <c r="C10" s="107"/>
      <c r="D10" s="116">
        <f>D8+D9</f>
        <v>28276.370000000003</v>
      </c>
      <c r="E10" s="116">
        <f>E8+E9</f>
        <v>10498.68</v>
      </c>
      <c r="F10" s="241">
        <f>SUM(D8:E9)</f>
        <v>38775.050000000003</v>
      </c>
      <c r="G10" s="336"/>
      <c r="H10" s="242">
        <f>F10/$K$2</f>
        <v>0.89306208541186416</v>
      </c>
      <c r="J10" s="107"/>
      <c r="K10" s="107"/>
      <c r="L10" s="116">
        <f>L8+L9</f>
        <v>857.1099999999999</v>
      </c>
      <c r="M10" s="116">
        <f>M8+M9</f>
        <v>809.64</v>
      </c>
      <c r="N10" s="241">
        <f>SUM(L8:M9)</f>
        <v>1666.75</v>
      </c>
      <c r="O10" s="336"/>
      <c r="P10" s="242">
        <f>N10/$K$3</f>
        <v>0.89535602052053398</v>
      </c>
      <c r="R10" s="107"/>
      <c r="S10" s="107"/>
      <c r="T10" s="116">
        <f>T8+T9</f>
        <v>245.02</v>
      </c>
      <c r="U10" s="116">
        <f>U8+U9</f>
        <v>171.13</v>
      </c>
      <c r="V10" s="241">
        <f>SUM(T8:U9)</f>
        <v>416.15</v>
      </c>
      <c r="W10" s="336"/>
      <c r="X10" s="242">
        <f>V10/$K$4</f>
        <v>0.86586076318089134</v>
      </c>
    </row>
    <row r="11" spans="1:24" x14ac:dyDescent="0.3">
      <c r="B11" s="107" t="s">
        <v>820</v>
      </c>
      <c r="C11" s="107"/>
      <c r="D11" s="261" t="s">
        <v>900</v>
      </c>
      <c r="E11" s="260"/>
      <c r="F11" s="125">
        <f>$K$2-F10</f>
        <v>4643.0399999999936</v>
      </c>
      <c r="G11" s="125"/>
      <c r="H11" s="151">
        <f>F11/$K$2</f>
        <v>0.10693791458813583</v>
      </c>
      <c r="J11" s="107" t="s">
        <v>820</v>
      </c>
      <c r="K11" s="107"/>
      <c r="L11" s="261" t="s">
        <v>900</v>
      </c>
      <c r="M11" s="260"/>
      <c r="N11" s="125">
        <f>$K$3-N10</f>
        <v>194.79999999999995</v>
      </c>
      <c r="O11" s="125"/>
      <c r="P11" s="151">
        <f>N11/$K$3</f>
        <v>0.10464397947946602</v>
      </c>
      <c r="R11" s="107" t="s">
        <v>820</v>
      </c>
      <c r="S11" s="107"/>
      <c r="T11" s="261" t="s">
        <v>900</v>
      </c>
      <c r="U11" s="260"/>
      <c r="V11" s="125">
        <f>$K$4-V10</f>
        <v>64.470000000000027</v>
      </c>
      <c r="W11" s="125"/>
      <c r="X11" s="151">
        <f>V11/$K$4</f>
        <v>0.13413923681910872</v>
      </c>
    </row>
    <row r="12" spans="1:24" x14ac:dyDescent="0.3">
      <c r="B12" s="107"/>
      <c r="C12" s="107" t="s">
        <v>813</v>
      </c>
      <c r="D12" s="248" t="s">
        <v>810</v>
      </c>
      <c r="E12" s="250" t="s">
        <v>811</v>
      </c>
      <c r="F12" s="115"/>
      <c r="G12" s="115"/>
      <c r="H12" s="318" t="s">
        <v>885</v>
      </c>
      <c r="J12" s="107"/>
      <c r="K12" s="107" t="s">
        <v>813</v>
      </c>
      <c r="L12" s="248" t="s">
        <v>810</v>
      </c>
      <c r="M12" s="250" t="s">
        <v>811</v>
      </c>
      <c r="N12" s="115"/>
      <c r="O12" s="115"/>
      <c r="P12" s="318" t="s">
        <v>885</v>
      </c>
      <c r="R12" s="107"/>
      <c r="S12" s="107" t="s">
        <v>813</v>
      </c>
      <c r="T12" s="248" t="s">
        <v>810</v>
      </c>
      <c r="U12" s="250" t="s">
        <v>811</v>
      </c>
      <c r="V12" s="115"/>
      <c r="W12" s="115"/>
      <c r="X12" s="318" t="s">
        <v>885</v>
      </c>
    </row>
    <row r="13" spans="1:24" x14ac:dyDescent="0.3">
      <c r="B13" s="107"/>
      <c r="C13" s="214" t="s">
        <v>810</v>
      </c>
      <c r="D13" s="247">
        <f>D8/$F$10</f>
        <v>0.63917312808107274</v>
      </c>
      <c r="E13" s="249">
        <f>E8/$F$10</f>
        <v>0.13507448733141544</v>
      </c>
      <c r="F13" s="146">
        <f>D13+E13</f>
        <v>0.77424761541248821</v>
      </c>
      <c r="G13" s="146"/>
      <c r="H13" s="320">
        <f>E13-D14</f>
        <v>4.5006260469038745E-2</v>
      </c>
      <c r="J13" s="107"/>
      <c r="K13" s="214" t="s">
        <v>810</v>
      </c>
      <c r="L13" s="247">
        <f>L8/$N$10</f>
        <v>0.36773361331933402</v>
      </c>
      <c r="M13" s="249">
        <f>M8/$N$10</f>
        <v>0.12848357582120895</v>
      </c>
      <c r="N13" s="146">
        <f>L13+M13</f>
        <v>0.49621718914054297</v>
      </c>
      <c r="O13" s="146"/>
      <c r="P13" s="320">
        <f>M13-L14</f>
        <v>-1.8023098845057733E-2</v>
      </c>
      <c r="R13" s="107"/>
      <c r="S13" s="214" t="s">
        <v>810</v>
      </c>
      <c r="T13" s="247">
        <f>T8/$V$10</f>
        <v>0.51714526012255202</v>
      </c>
      <c r="U13" s="249">
        <f>U8/$V$10</f>
        <v>0.23275261324041813</v>
      </c>
      <c r="V13" s="146">
        <f>T13+U13</f>
        <v>0.7498978733629702</v>
      </c>
      <c r="W13" s="146"/>
      <c r="X13" s="320">
        <f>U13-T14</f>
        <v>0.16111978853778686</v>
      </c>
    </row>
    <row r="14" spans="1:24" x14ac:dyDescent="0.3">
      <c r="B14" s="107"/>
      <c r="C14" s="251" t="s">
        <v>811</v>
      </c>
      <c r="D14" s="245">
        <f>D9/$F$10</f>
        <v>9.0068226862376699E-2</v>
      </c>
      <c r="E14" s="246">
        <f>E9/$F$10</f>
        <v>0.13568415772513509</v>
      </c>
      <c r="F14" s="146">
        <f>D14+E14</f>
        <v>0.22575238458751179</v>
      </c>
      <c r="G14" s="146"/>
      <c r="H14" s="243">
        <f>F13+F14</f>
        <v>1</v>
      </c>
      <c r="J14" s="107"/>
      <c r="K14" s="251" t="s">
        <v>811</v>
      </c>
      <c r="L14" s="245">
        <f>L9/$N$10</f>
        <v>0.14650667466626668</v>
      </c>
      <c r="M14" s="246">
        <f>M9/$N$10</f>
        <v>0.35727613619319032</v>
      </c>
      <c r="N14" s="146">
        <f>L14+M14</f>
        <v>0.50378281085945698</v>
      </c>
      <c r="O14" s="146"/>
      <c r="P14" s="243">
        <f>N13+N14</f>
        <v>1</v>
      </c>
      <c r="R14" s="107"/>
      <c r="S14" s="251" t="s">
        <v>811</v>
      </c>
      <c r="T14" s="245">
        <f>T9/$V$10</f>
        <v>7.163282470263127E-2</v>
      </c>
      <c r="U14" s="246">
        <f>U9/$V$10</f>
        <v>0.17846930193439867</v>
      </c>
      <c r="V14" s="146">
        <f>T14+U14</f>
        <v>0.25010212663702991</v>
      </c>
      <c r="W14" s="146"/>
      <c r="X14" s="243">
        <f>V13+V14</f>
        <v>1</v>
      </c>
    </row>
    <row r="15" spans="1:24" x14ac:dyDescent="0.3">
      <c r="B15" s="107"/>
      <c r="C15" s="107"/>
      <c r="D15" s="107"/>
      <c r="E15" s="107"/>
      <c r="F15" s="107"/>
      <c r="G15" s="107"/>
      <c r="H15" s="107"/>
      <c r="J15" s="107"/>
      <c r="K15" s="107"/>
      <c r="L15" s="107"/>
      <c r="M15" s="107"/>
      <c r="N15" s="107"/>
      <c r="O15" s="107"/>
      <c r="P15" s="107"/>
      <c r="R15" s="107"/>
      <c r="S15" s="107"/>
      <c r="T15" s="107"/>
      <c r="U15" s="107"/>
      <c r="V15" s="107"/>
      <c r="W15" s="107"/>
      <c r="X15" s="107"/>
    </row>
    <row r="16" spans="1:24" x14ac:dyDescent="0.3">
      <c r="B16" s="107"/>
      <c r="C16" s="107" t="s">
        <v>814</v>
      </c>
      <c r="D16" s="248" t="s">
        <v>810</v>
      </c>
      <c r="E16" s="250" t="s">
        <v>811</v>
      </c>
      <c r="F16" s="115"/>
      <c r="G16" s="115"/>
      <c r="H16" s="318" t="s">
        <v>885</v>
      </c>
      <c r="J16" s="107"/>
      <c r="K16" s="107" t="s">
        <v>814</v>
      </c>
      <c r="L16" s="248" t="s">
        <v>810</v>
      </c>
      <c r="M16" s="250" t="s">
        <v>811</v>
      </c>
      <c r="N16" s="115"/>
      <c r="O16" s="115"/>
      <c r="P16" s="318" t="s">
        <v>885</v>
      </c>
      <c r="R16" s="107"/>
      <c r="S16" s="107" t="s">
        <v>814</v>
      </c>
      <c r="T16" s="248" t="s">
        <v>810</v>
      </c>
      <c r="U16" s="250" t="s">
        <v>811</v>
      </c>
      <c r="V16" s="115"/>
      <c r="W16" s="115"/>
      <c r="X16" s="318" t="s">
        <v>885</v>
      </c>
    </row>
    <row r="17" spans="1:24" x14ac:dyDescent="0.3">
      <c r="B17" s="107"/>
      <c r="C17" s="214" t="s">
        <v>810</v>
      </c>
      <c r="D17" s="247">
        <f>D8/$K$2</f>
        <v>0.57082128670330734</v>
      </c>
      <c r="E17" s="249">
        <f>E8/$K$2</f>
        <v>0.12062990334213229</v>
      </c>
      <c r="F17" s="146">
        <f>D17+E17</f>
        <v>0.69145119004543965</v>
      </c>
      <c r="G17" s="146"/>
      <c r="H17" s="320">
        <f>E17-D18</f>
        <v>4.0193384831069268E-2</v>
      </c>
      <c r="J17" s="107"/>
      <c r="K17" s="214" t="s">
        <v>810</v>
      </c>
      <c r="L17" s="247">
        <f>L8/$K$3</f>
        <v>0.32925250463323574</v>
      </c>
      <c r="M17" s="249">
        <f>M8/$K$3</f>
        <v>0.11503854314952594</v>
      </c>
      <c r="N17" s="146">
        <f>L17+M17</f>
        <v>0.44429104778276168</v>
      </c>
      <c r="O17" s="146"/>
      <c r="P17" s="320">
        <f>M17-L18</f>
        <v>-1.6137090059359122E-2</v>
      </c>
      <c r="R17" s="107"/>
      <c r="S17" s="214" t="s">
        <v>810</v>
      </c>
      <c r="T17" s="247">
        <f>T8/$K$4</f>
        <v>0.44777578960509345</v>
      </c>
      <c r="U17" s="249">
        <f>U8/$K$4</f>
        <v>0.20153135533269526</v>
      </c>
      <c r="V17" s="146">
        <f>T17+U17</f>
        <v>0.64930714493778874</v>
      </c>
      <c r="W17" s="146"/>
      <c r="X17" s="320">
        <f>U17-T18</f>
        <v>0.13950730306687195</v>
      </c>
    </row>
    <row r="18" spans="1:24" x14ac:dyDescent="0.3">
      <c r="B18" s="107"/>
      <c r="C18" s="251" t="s">
        <v>811</v>
      </c>
      <c r="D18" s="245">
        <f>D9/$K$2</f>
        <v>8.0436518511063024E-2</v>
      </c>
      <c r="E18" s="252">
        <f>E9/$K$2</f>
        <v>0.12117437685536145</v>
      </c>
      <c r="F18" s="146">
        <f>D18+E18</f>
        <v>0.20161089536642446</v>
      </c>
      <c r="G18" s="146"/>
      <c r="H18" s="243">
        <f>F17+F18</f>
        <v>0.89306208541186405</v>
      </c>
      <c r="J18" s="107"/>
      <c r="K18" s="251" t="s">
        <v>811</v>
      </c>
      <c r="L18" s="245">
        <f>L9/$K$3</f>
        <v>0.13117563320888506</v>
      </c>
      <c r="M18" s="252">
        <f>M9/$K$3</f>
        <v>0.31988933952888721</v>
      </c>
      <c r="N18" s="146">
        <f>L18+M18</f>
        <v>0.45106497273777224</v>
      </c>
      <c r="O18" s="146"/>
      <c r="P18" s="243">
        <f>N17+N18</f>
        <v>0.89535602052053398</v>
      </c>
      <c r="R18" s="107"/>
      <c r="S18" s="251" t="s">
        <v>811</v>
      </c>
      <c r="T18" s="245">
        <f>T9/$K$4</f>
        <v>6.2024052265823311E-2</v>
      </c>
      <c r="U18" s="252">
        <f>U9/$K$4</f>
        <v>0.15452956597727935</v>
      </c>
      <c r="V18" s="146">
        <f>T18+U18</f>
        <v>0.21655361824310265</v>
      </c>
      <c r="W18" s="146"/>
      <c r="X18" s="243">
        <f>V17+V18</f>
        <v>0.86586076318089145</v>
      </c>
    </row>
    <row r="19" spans="1:24" x14ac:dyDescent="0.3">
      <c r="B19" s="107"/>
      <c r="C19" s="107"/>
      <c r="D19" s="107"/>
      <c r="E19" s="107"/>
      <c r="F19" s="107"/>
      <c r="G19" s="107"/>
      <c r="H19" s="107"/>
      <c r="J19" s="107"/>
      <c r="K19" s="107"/>
      <c r="L19" s="107"/>
      <c r="M19" s="107"/>
      <c r="N19" s="107"/>
      <c r="O19" s="107"/>
      <c r="P19" s="107"/>
      <c r="R19" s="107"/>
      <c r="S19" s="107"/>
      <c r="T19" s="107"/>
      <c r="U19" s="107"/>
      <c r="V19" s="107"/>
      <c r="W19" s="107"/>
      <c r="X19" s="107"/>
    </row>
    <row r="22" spans="1:24" x14ac:dyDescent="0.3">
      <c r="A22" t="s">
        <v>836</v>
      </c>
      <c r="B22" s="118" t="s">
        <v>829</v>
      </c>
      <c r="C22" s="266" t="s">
        <v>397</v>
      </c>
      <c r="D22" s="266" t="s">
        <v>405</v>
      </c>
      <c r="E22" s="266" t="s">
        <v>441</v>
      </c>
      <c r="F22" s="266" t="s">
        <v>449</v>
      </c>
      <c r="G22" s="266"/>
      <c r="H22" s="119"/>
      <c r="J22" s="118" t="s">
        <v>829</v>
      </c>
      <c r="K22" s="266" t="s">
        <v>397</v>
      </c>
      <c r="L22" s="266" t="s">
        <v>405</v>
      </c>
      <c r="M22" s="266" t="s">
        <v>441</v>
      </c>
      <c r="N22" s="266" t="s">
        <v>449</v>
      </c>
      <c r="O22" s="266"/>
      <c r="P22" s="119"/>
      <c r="R22" s="118" t="s">
        <v>829</v>
      </c>
      <c r="S22" s="266" t="s">
        <v>397</v>
      </c>
      <c r="T22" s="266" t="s">
        <v>405</v>
      </c>
      <c r="U22" s="266" t="s">
        <v>441</v>
      </c>
      <c r="V22" s="266" t="s">
        <v>449</v>
      </c>
      <c r="W22" s="266"/>
      <c r="X22" s="119"/>
    </row>
    <row r="23" spans="1:24" x14ac:dyDescent="0.3">
      <c r="A23" t="s">
        <v>898</v>
      </c>
      <c r="B23" s="119" t="s">
        <v>830</v>
      </c>
      <c r="C23" s="119"/>
      <c r="D23" s="119"/>
      <c r="E23" s="107" t="s">
        <v>813</v>
      </c>
      <c r="F23" s="107" t="s">
        <v>814</v>
      </c>
      <c r="G23" s="107"/>
      <c r="H23" s="119"/>
      <c r="J23" s="119" t="s">
        <v>833</v>
      </c>
      <c r="K23" s="119"/>
      <c r="L23" s="119"/>
      <c r="M23" s="107" t="s">
        <v>813</v>
      </c>
      <c r="N23" s="107" t="s">
        <v>814</v>
      </c>
      <c r="O23" s="107"/>
      <c r="P23" s="119"/>
      <c r="R23" s="119" t="s">
        <v>834</v>
      </c>
      <c r="S23" s="119"/>
      <c r="T23" s="119"/>
      <c r="U23" s="107" t="s">
        <v>813</v>
      </c>
      <c r="V23" s="107" t="s">
        <v>814</v>
      </c>
      <c r="W23" s="107"/>
      <c r="X23" s="119"/>
    </row>
    <row r="24" spans="1:24" x14ac:dyDescent="0.3">
      <c r="B24" s="119" t="s">
        <v>821</v>
      </c>
      <c r="C24" s="276">
        <v>1111</v>
      </c>
      <c r="D24" s="277">
        <v>18642.310000000001</v>
      </c>
      <c r="E24" s="323">
        <f>D24/D$40</f>
        <v>0.52153090638896915</v>
      </c>
      <c r="F24" s="323">
        <f>D24/$K$2</f>
        <v>0.42936734434886481</v>
      </c>
      <c r="G24" s="337"/>
      <c r="H24" s="119"/>
      <c r="J24" s="119" t="s">
        <v>821</v>
      </c>
      <c r="K24" s="271">
        <v>1111</v>
      </c>
      <c r="L24" s="263">
        <v>324.02999999999997</v>
      </c>
      <c r="M24" s="323">
        <f>L24/L$40</f>
        <v>0.19479863653579094</v>
      </c>
      <c r="N24" s="323">
        <f>L24/$K$3</f>
        <v>0.17406462356638283</v>
      </c>
      <c r="O24" s="337"/>
      <c r="P24" s="119"/>
      <c r="R24" s="296" t="s">
        <v>821</v>
      </c>
      <c r="S24" s="271">
        <v>1111</v>
      </c>
      <c r="T24" s="263">
        <v>198.65</v>
      </c>
      <c r="U24" s="323">
        <f>T24/T$40</f>
        <v>0.49458483754512639</v>
      </c>
      <c r="V24" s="323">
        <f>T24/$K$4</f>
        <v>0.41332029461944991</v>
      </c>
      <c r="W24" s="337"/>
      <c r="X24" s="119"/>
    </row>
    <row r="25" spans="1:24" x14ac:dyDescent="0.3">
      <c r="B25" s="119" t="s">
        <v>822</v>
      </c>
      <c r="C25" s="238">
        <v>1112</v>
      </c>
      <c r="D25" s="270">
        <v>291.3</v>
      </c>
      <c r="E25" s="323">
        <f t="shared" ref="E25:E39" si="0">D25/D$40</f>
        <v>8.149309448834758E-3</v>
      </c>
      <c r="F25" s="323">
        <f t="shared" ref="F25:F39" si="1">D25/$K$2</f>
        <v>6.7091850424558066E-3</v>
      </c>
      <c r="G25" s="337"/>
      <c r="H25" s="119"/>
      <c r="J25" s="119" t="s">
        <v>822</v>
      </c>
      <c r="K25" s="238">
        <v>1112</v>
      </c>
      <c r="L25" s="321">
        <v>7.33</v>
      </c>
      <c r="M25" s="323">
        <f t="shared" ref="M25:M39" si="2">L25/L$40</f>
        <v>4.4066105169501208E-3</v>
      </c>
      <c r="N25" s="323">
        <f t="shared" ref="N25:N39" si="3">L25/$K$3</f>
        <v>3.9375788993043434E-3</v>
      </c>
      <c r="O25" s="337"/>
      <c r="P25" s="119"/>
      <c r="R25" s="296" t="s">
        <v>822</v>
      </c>
      <c r="S25" s="299">
        <v>1112</v>
      </c>
      <c r="T25" s="321">
        <v>1.85</v>
      </c>
      <c r="U25" s="323">
        <f t="shared" ref="U25:U39" si="4">T25/T$40</f>
        <v>4.606000248972987E-3</v>
      </c>
      <c r="V25" s="323">
        <f t="shared" ref="V25:V39" si="5">T25/$K$4</f>
        <v>3.8491947900628357E-3</v>
      </c>
      <c r="W25" s="337"/>
      <c r="X25" s="119"/>
    </row>
    <row r="26" spans="1:24" x14ac:dyDescent="0.3">
      <c r="B26" s="119" t="s">
        <v>823</v>
      </c>
      <c r="C26" s="278">
        <v>1121</v>
      </c>
      <c r="D26" s="279">
        <v>285.58</v>
      </c>
      <c r="E26" s="323">
        <f t="shared" si="0"/>
        <v>7.9892886797055616E-3</v>
      </c>
      <c r="F26" s="323">
        <f t="shared" si="1"/>
        <v>6.5774427203039105E-3</v>
      </c>
      <c r="G26" s="337"/>
      <c r="H26" s="119"/>
      <c r="J26" s="119" t="s">
        <v>823</v>
      </c>
      <c r="K26" s="271">
        <v>1121</v>
      </c>
      <c r="L26" s="263">
        <v>7.43</v>
      </c>
      <c r="M26" s="323">
        <f t="shared" si="2"/>
        <v>4.4667279864855931E-3</v>
      </c>
      <c r="N26" s="323">
        <f t="shared" si="3"/>
        <v>3.9912975746018101E-3</v>
      </c>
      <c r="O26" s="337"/>
      <c r="P26" s="119"/>
      <c r="R26" s="296" t="s">
        <v>823</v>
      </c>
      <c r="S26" s="271">
        <v>1121</v>
      </c>
      <c r="T26" s="263">
        <v>1.58</v>
      </c>
      <c r="U26" s="323">
        <f t="shared" si="4"/>
        <v>3.9337731856093619E-3</v>
      </c>
      <c r="V26" s="323">
        <f t="shared" si="5"/>
        <v>3.2874204152969081E-3</v>
      </c>
      <c r="W26" s="337"/>
      <c r="X26" s="119"/>
    </row>
    <row r="27" spans="1:24" x14ac:dyDescent="0.3">
      <c r="B27" s="119" t="s">
        <v>822</v>
      </c>
      <c r="C27" s="238">
        <v>1122</v>
      </c>
      <c r="D27" s="270">
        <v>477.67</v>
      </c>
      <c r="E27" s="323">
        <f t="shared" si="0"/>
        <v>1.3363133005234805E-2</v>
      </c>
      <c r="F27" s="323">
        <f t="shared" si="1"/>
        <v>1.1001635493408393E-2</v>
      </c>
      <c r="G27" s="337"/>
      <c r="H27" s="119"/>
      <c r="J27" s="119" t="s">
        <v>822</v>
      </c>
      <c r="K27" s="238">
        <v>1122</v>
      </c>
      <c r="L27" s="321">
        <v>26.03</v>
      </c>
      <c r="M27" s="323">
        <f t="shared" si="2"/>
        <v>1.5648577320083446E-2</v>
      </c>
      <c r="N27" s="323">
        <f t="shared" si="3"/>
        <v>1.3982971179930704E-2</v>
      </c>
      <c r="O27" s="337"/>
      <c r="P27" s="119"/>
      <c r="R27" s="296" t="s">
        <v>822</v>
      </c>
      <c r="S27" s="299">
        <v>1122</v>
      </c>
      <c r="T27" s="321">
        <v>2.15</v>
      </c>
      <c r="U27" s="323">
        <f t="shared" si="4"/>
        <v>5.352919208265903E-3</v>
      </c>
      <c r="V27" s="323">
        <f t="shared" si="5"/>
        <v>4.4733885398027546E-3</v>
      </c>
      <c r="W27" s="337"/>
      <c r="X27" s="119"/>
    </row>
    <row r="28" spans="1:24" x14ac:dyDescent="0.3">
      <c r="B28" s="119" t="s">
        <v>823</v>
      </c>
      <c r="C28" s="237">
        <v>1211</v>
      </c>
      <c r="D28" s="280">
        <v>422.69</v>
      </c>
      <c r="E28" s="323">
        <f t="shared" si="0"/>
        <v>1.1825031276786694E-2</v>
      </c>
      <c r="F28" s="323">
        <f t="shared" si="1"/>
        <v>9.7353430332840531E-3</v>
      </c>
      <c r="G28" s="337"/>
      <c r="H28" s="119"/>
      <c r="J28" s="296" t="s">
        <v>823</v>
      </c>
      <c r="K28" s="271">
        <v>1211</v>
      </c>
      <c r="L28" s="263">
        <v>5.59</v>
      </c>
      <c r="M28" s="323">
        <f t="shared" si="2"/>
        <v>3.3605665470329026E-3</v>
      </c>
      <c r="N28" s="323">
        <f t="shared" si="3"/>
        <v>3.0028739491284144E-3</v>
      </c>
      <c r="O28" s="337"/>
      <c r="P28" s="119"/>
      <c r="R28" s="296" t="s">
        <v>823</v>
      </c>
      <c r="S28" s="298">
        <v>1211</v>
      </c>
      <c r="T28" s="263">
        <v>0.98</v>
      </c>
      <c r="U28" s="323">
        <f t="shared" si="4"/>
        <v>2.4399352670235281E-3</v>
      </c>
      <c r="V28" s="323">
        <f t="shared" si="5"/>
        <v>2.0390329158170694E-3</v>
      </c>
      <c r="W28" s="337"/>
      <c r="X28" s="119"/>
    </row>
    <row r="29" spans="1:24" x14ac:dyDescent="0.3">
      <c r="B29" s="119" t="s">
        <v>824</v>
      </c>
      <c r="C29" s="281">
        <v>1212</v>
      </c>
      <c r="D29" s="282">
        <v>122.73</v>
      </c>
      <c r="E29" s="323">
        <f t="shared" si="0"/>
        <v>3.433452621543048E-3</v>
      </c>
      <c r="F29" s="323">
        <f t="shared" si="1"/>
        <v>2.8267019576402375E-3</v>
      </c>
      <c r="G29" s="337"/>
      <c r="H29" s="119"/>
      <c r="J29" s="296" t="s">
        <v>824</v>
      </c>
      <c r="K29" s="294">
        <v>1212</v>
      </c>
      <c r="L29" s="295">
        <v>1.5</v>
      </c>
      <c r="M29" s="323">
        <f t="shared" si="2"/>
        <v>9.017620430320848E-4</v>
      </c>
      <c r="N29" s="323">
        <f t="shared" si="3"/>
        <v>8.0578012946200749E-4</v>
      </c>
      <c r="O29" s="337"/>
      <c r="P29" s="119"/>
      <c r="R29" s="296" t="s">
        <v>824</v>
      </c>
      <c r="S29" s="297">
        <v>1212</v>
      </c>
      <c r="T29" s="295">
        <v>0.75</v>
      </c>
      <c r="U29" s="323">
        <f t="shared" si="4"/>
        <v>1.8672973982322919E-3</v>
      </c>
      <c r="V29" s="323">
        <f t="shared" si="5"/>
        <v>1.5604843743497981E-3</v>
      </c>
      <c r="W29" s="337"/>
      <c r="X29" s="119"/>
    </row>
    <row r="30" spans="1:24" x14ac:dyDescent="0.3">
      <c r="B30" s="119" t="s">
        <v>825</v>
      </c>
      <c r="C30" s="281">
        <v>1221</v>
      </c>
      <c r="D30" s="283">
        <v>101.52</v>
      </c>
      <c r="E30" s="323">
        <f t="shared" si="0"/>
        <v>2.8400888954538432E-3</v>
      </c>
      <c r="F30" s="323">
        <f t="shared" si="1"/>
        <v>2.3381958994511277E-3</v>
      </c>
      <c r="G30" s="337"/>
      <c r="H30" s="119"/>
      <c r="J30" s="296" t="s">
        <v>825</v>
      </c>
      <c r="K30" s="268">
        <v>1221</v>
      </c>
      <c r="L30" s="295">
        <v>1.63</v>
      </c>
      <c r="M30" s="323">
        <f t="shared" si="2"/>
        <v>9.7991475342819865E-4</v>
      </c>
      <c r="N30" s="323">
        <f t="shared" si="3"/>
        <v>8.7561440734871469E-4</v>
      </c>
      <c r="O30" s="337"/>
      <c r="P30" s="119"/>
      <c r="R30" s="296" t="s">
        <v>825</v>
      </c>
      <c r="S30" s="269">
        <v>1221</v>
      </c>
      <c r="T30" s="325">
        <v>0.22</v>
      </c>
      <c r="U30" s="323">
        <f t="shared" si="4"/>
        <v>5.47740570148139E-4</v>
      </c>
      <c r="V30" s="323">
        <f t="shared" si="5"/>
        <v>4.5774208314260746E-4</v>
      </c>
      <c r="W30" s="337"/>
      <c r="X30" s="119"/>
    </row>
    <row r="31" spans="1:24" x14ac:dyDescent="0.3">
      <c r="B31" s="119" t="s">
        <v>822</v>
      </c>
      <c r="C31" s="238">
        <v>1222</v>
      </c>
      <c r="D31" s="244">
        <v>1069.76</v>
      </c>
      <c r="E31" s="323">
        <f t="shared" si="0"/>
        <v>2.9927240906232305E-2</v>
      </c>
      <c r="F31" s="323">
        <f t="shared" si="1"/>
        <v>2.4638578067344742E-2</v>
      </c>
      <c r="G31" s="337"/>
      <c r="H31" s="119"/>
      <c r="J31" s="119" t="s">
        <v>822</v>
      </c>
      <c r="K31" s="238">
        <v>1222</v>
      </c>
      <c r="L31" s="321">
        <v>41.44</v>
      </c>
      <c r="M31" s="323">
        <f t="shared" si="2"/>
        <v>2.4912679375499729E-2</v>
      </c>
      <c r="N31" s="323">
        <f t="shared" si="3"/>
        <v>2.2261019043270391E-2</v>
      </c>
      <c r="O31" s="337"/>
      <c r="P31" s="119"/>
      <c r="R31" s="119" t="s">
        <v>822</v>
      </c>
      <c r="S31" s="238">
        <v>1222</v>
      </c>
      <c r="T31" s="322">
        <v>1.64</v>
      </c>
      <c r="U31" s="323">
        <f t="shared" si="4"/>
        <v>4.0831569774679444E-3</v>
      </c>
      <c r="V31" s="323">
        <f t="shared" si="5"/>
        <v>3.4122591652448919E-3</v>
      </c>
      <c r="W31" s="337"/>
      <c r="X31" s="119"/>
    </row>
    <row r="32" spans="1:24" x14ac:dyDescent="0.3">
      <c r="B32" s="119" t="s">
        <v>826</v>
      </c>
      <c r="C32" s="284">
        <v>2111</v>
      </c>
      <c r="D32" s="272">
        <v>976.61</v>
      </c>
      <c r="E32" s="323">
        <f t="shared" si="0"/>
        <v>2.7321308276095135E-2</v>
      </c>
      <c r="F32" s="323">
        <f t="shared" si="1"/>
        <v>2.2493158957476021E-2</v>
      </c>
      <c r="G32" s="337"/>
      <c r="H32" s="119"/>
      <c r="J32" s="119" t="s">
        <v>826</v>
      </c>
      <c r="K32" s="239">
        <v>2111</v>
      </c>
      <c r="L32" s="324">
        <v>32.18</v>
      </c>
      <c r="M32" s="323">
        <f t="shared" si="2"/>
        <v>1.9345801696514991E-2</v>
      </c>
      <c r="N32" s="323">
        <f t="shared" si="3"/>
        <v>1.7286669710724935E-2</v>
      </c>
      <c r="O32" s="337"/>
      <c r="P32" s="119"/>
      <c r="R32" s="119" t="s">
        <v>826</v>
      </c>
      <c r="S32" s="239">
        <v>2111</v>
      </c>
      <c r="T32" s="324">
        <v>18.71</v>
      </c>
      <c r="U32" s="323">
        <f t="shared" si="4"/>
        <v>4.6582845761234913E-2</v>
      </c>
      <c r="V32" s="323">
        <f t="shared" si="5"/>
        <v>3.8928883525446302E-2</v>
      </c>
      <c r="W32" s="337"/>
      <c r="X32" s="119"/>
    </row>
    <row r="33" spans="2:24" x14ac:dyDescent="0.3">
      <c r="B33" s="119" t="s">
        <v>825</v>
      </c>
      <c r="C33" s="285">
        <v>2112</v>
      </c>
      <c r="D33" s="292">
        <v>139.83000000000001</v>
      </c>
      <c r="E33" s="323">
        <f t="shared" si="0"/>
        <v>3.9118363893943164E-3</v>
      </c>
      <c r="F33" s="323">
        <f t="shared" si="1"/>
        <v>3.2205470116258E-3</v>
      </c>
      <c r="G33" s="337"/>
      <c r="H33" s="119"/>
      <c r="J33" s="119" t="s">
        <v>825</v>
      </c>
      <c r="K33" s="268">
        <v>2112</v>
      </c>
      <c r="L33" s="295">
        <v>5.56</v>
      </c>
      <c r="M33" s="323">
        <f t="shared" si="2"/>
        <v>3.3425313061722609E-3</v>
      </c>
      <c r="N33" s="323">
        <f t="shared" si="3"/>
        <v>2.986758346539174E-3</v>
      </c>
      <c r="O33" s="337"/>
      <c r="P33" s="119"/>
      <c r="R33" s="119" t="s">
        <v>825</v>
      </c>
      <c r="S33" s="262">
        <v>2112</v>
      </c>
      <c r="T33" s="295">
        <v>1.7</v>
      </c>
      <c r="U33" s="323">
        <f t="shared" si="4"/>
        <v>4.2325407693265286E-3</v>
      </c>
      <c r="V33" s="323">
        <f t="shared" si="5"/>
        <v>3.5370979151928758E-3</v>
      </c>
      <c r="W33" s="337"/>
      <c r="X33" s="119"/>
    </row>
    <row r="34" spans="2:24" x14ac:dyDescent="0.3">
      <c r="B34" s="119" t="s">
        <v>824</v>
      </c>
      <c r="C34" s="288">
        <v>2121</v>
      </c>
      <c r="D34" s="273">
        <v>114.42</v>
      </c>
      <c r="E34" s="323">
        <f t="shared" si="0"/>
        <v>3.2009748957626946E-3</v>
      </c>
      <c r="F34" s="323">
        <f t="shared" si="1"/>
        <v>2.6353070805279553E-3</v>
      </c>
      <c r="G34" s="337"/>
      <c r="H34" s="119"/>
      <c r="J34" s="119" t="s">
        <v>824</v>
      </c>
      <c r="K34" s="288">
        <v>2121</v>
      </c>
      <c r="L34" s="325">
        <v>8.35</v>
      </c>
      <c r="M34" s="323">
        <f t="shared" si="2"/>
        <v>5.0198087062119385E-3</v>
      </c>
      <c r="N34" s="323">
        <f t="shared" si="3"/>
        <v>4.485509387338508E-3</v>
      </c>
      <c r="O34" s="337"/>
      <c r="P34" s="119"/>
      <c r="R34" s="119" t="s">
        <v>824</v>
      </c>
      <c r="S34" s="294">
        <v>2121</v>
      </c>
      <c r="T34" s="293">
        <v>3</v>
      </c>
      <c r="U34" s="323">
        <f t="shared" si="4"/>
        <v>7.4691895929291678E-3</v>
      </c>
      <c r="V34" s="323">
        <f t="shared" si="5"/>
        <v>6.2419374973991925E-3</v>
      </c>
      <c r="W34" s="337"/>
      <c r="X34" s="119"/>
    </row>
    <row r="35" spans="2:24" x14ac:dyDescent="0.3">
      <c r="B35" s="119" t="s">
        <v>827</v>
      </c>
      <c r="C35" s="286">
        <v>2122</v>
      </c>
      <c r="D35" s="274">
        <v>566.53</v>
      </c>
      <c r="E35" s="323">
        <f t="shared" si="0"/>
        <v>1.5849050058525077E-2</v>
      </c>
      <c r="F35" s="323">
        <f t="shared" si="1"/>
        <v>1.3048247861663191E-2</v>
      </c>
      <c r="G35" s="337"/>
      <c r="H35" s="119"/>
      <c r="J35" s="119" t="s">
        <v>827</v>
      </c>
      <c r="K35" s="289">
        <v>2122</v>
      </c>
      <c r="L35" s="265">
        <v>50.21</v>
      </c>
      <c r="M35" s="323">
        <f t="shared" si="2"/>
        <v>3.018498145376065E-2</v>
      </c>
      <c r="N35" s="323">
        <f t="shared" si="3"/>
        <v>2.6972146866858265E-2</v>
      </c>
      <c r="O35" s="337"/>
      <c r="P35" s="119"/>
      <c r="R35" s="119" t="s">
        <v>827</v>
      </c>
      <c r="S35" s="300">
        <v>2122</v>
      </c>
      <c r="T35" s="265">
        <v>7.62</v>
      </c>
      <c r="U35" s="323">
        <f t="shared" si="4"/>
        <v>1.8971741566040087E-2</v>
      </c>
      <c r="V35" s="323">
        <f t="shared" si="5"/>
        <v>1.5854521243393951E-2</v>
      </c>
      <c r="W35" s="337"/>
      <c r="X35" s="119"/>
    </row>
    <row r="36" spans="2:24" x14ac:dyDescent="0.3">
      <c r="B36" s="119" t="s">
        <v>826</v>
      </c>
      <c r="C36" s="284">
        <v>2211</v>
      </c>
      <c r="D36" s="272">
        <v>370.43</v>
      </c>
      <c r="E36" s="323">
        <f t="shared" si="0"/>
        <v>1.0363023340651766E-2</v>
      </c>
      <c r="F36" s="323">
        <f t="shared" si="1"/>
        <v>8.5316972718053712E-3</v>
      </c>
      <c r="G36" s="337"/>
      <c r="H36" s="119"/>
      <c r="J36" s="119" t="s">
        <v>826</v>
      </c>
      <c r="K36" s="290">
        <v>2211</v>
      </c>
      <c r="L36" s="324">
        <v>15.33</v>
      </c>
      <c r="M36" s="323">
        <f t="shared" si="2"/>
        <v>9.2160080797879067E-3</v>
      </c>
      <c r="N36" s="323">
        <f t="shared" si="3"/>
        <v>8.2350729231017161E-3</v>
      </c>
      <c r="O36" s="337"/>
      <c r="P36" s="119"/>
      <c r="R36" s="119" t="s">
        <v>826</v>
      </c>
      <c r="S36" s="239">
        <v>2211</v>
      </c>
      <c r="T36" s="324">
        <v>8.84</v>
      </c>
      <c r="U36" s="323">
        <f t="shared" si="4"/>
        <v>2.2009212000497946E-2</v>
      </c>
      <c r="V36" s="323">
        <f t="shared" si="5"/>
        <v>1.8392909159002956E-2</v>
      </c>
      <c r="W36" s="337"/>
      <c r="X36" s="119"/>
    </row>
    <row r="37" spans="2:24" x14ac:dyDescent="0.3">
      <c r="B37" s="119" t="s">
        <v>827</v>
      </c>
      <c r="C37" s="286">
        <v>2212</v>
      </c>
      <c r="D37" s="274">
        <v>357.92</v>
      </c>
      <c r="E37" s="323">
        <f t="shared" si="0"/>
        <v>1.0013047847328996E-2</v>
      </c>
      <c r="F37" s="323">
        <f t="shared" si="1"/>
        <v>8.2435685217843533E-3</v>
      </c>
      <c r="G37" s="337"/>
      <c r="H37" s="119"/>
      <c r="J37" s="119" t="s">
        <v>827</v>
      </c>
      <c r="K37" s="289">
        <v>2212</v>
      </c>
      <c r="L37" s="302">
        <v>41.6</v>
      </c>
      <c r="M37" s="323">
        <f t="shared" si="2"/>
        <v>2.5008867326756484E-2</v>
      </c>
      <c r="N37" s="323">
        <f t="shared" si="3"/>
        <v>2.2346968923746342E-2</v>
      </c>
      <c r="O37" s="337"/>
      <c r="P37" s="119"/>
      <c r="R37" s="119" t="s">
        <v>827</v>
      </c>
      <c r="S37" s="300">
        <v>2212</v>
      </c>
      <c r="T37" s="265">
        <v>6.32</v>
      </c>
      <c r="U37" s="323">
        <f t="shared" si="4"/>
        <v>1.5735092742437447E-2</v>
      </c>
      <c r="V37" s="323">
        <f t="shared" si="5"/>
        <v>1.3149681661187632E-2</v>
      </c>
      <c r="W37" s="337"/>
      <c r="X37" s="119"/>
    </row>
    <row r="38" spans="2:24" x14ac:dyDescent="0.3">
      <c r="B38" s="119" t="s">
        <v>826</v>
      </c>
      <c r="C38" s="284">
        <v>2221</v>
      </c>
      <c r="D38" s="272">
        <v>268.22000000000003</v>
      </c>
      <c r="E38" s="323">
        <f t="shared" si="0"/>
        <v>7.50363124053024E-3</v>
      </c>
      <c r="F38" s="323">
        <f t="shared" si="1"/>
        <v>6.1776093789478086E-3</v>
      </c>
      <c r="G38" s="337"/>
      <c r="H38" s="119"/>
      <c r="J38" s="119" t="s">
        <v>826</v>
      </c>
      <c r="K38" s="290">
        <v>2221</v>
      </c>
      <c r="L38" s="324">
        <v>14.44</v>
      </c>
      <c r="M38" s="323">
        <f t="shared" si="2"/>
        <v>8.680962600922203E-3</v>
      </c>
      <c r="N38" s="323">
        <f t="shared" si="3"/>
        <v>7.7569767129542586E-3</v>
      </c>
      <c r="O38" s="337"/>
      <c r="P38" s="119"/>
      <c r="R38" s="119" t="s">
        <v>826</v>
      </c>
      <c r="S38" s="239">
        <v>2221</v>
      </c>
      <c r="T38" s="324">
        <v>6.56</v>
      </c>
      <c r="U38" s="323">
        <f t="shared" si="4"/>
        <v>1.6332627909871777E-2</v>
      </c>
      <c r="V38" s="323">
        <f t="shared" si="5"/>
        <v>1.3649036660979568E-2</v>
      </c>
      <c r="W38" s="337"/>
      <c r="X38" s="119"/>
    </row>
    <row r="39" spans="2:24" x14ac:dyDescent="0.3">
      <c r="B39" s="119" t="s">
        <v>828</v>
      </c>
      <c r="C39" s="287">
        <v>2222</v>
      </c>
      <c r="D39" s="275">
        <v>11537.84</v>
      </c>
      <c r="E39" s="323">
        <f t="shared" si="0"/>
        <v>0.32277867672895166</v>
      </c>
      <c r="F39" s="323">
        <f t="shared" si="1"/>
        <v>0.26573808290507483</v>
      </c>
      <c r="G39" s="337"/>
      <c r="H39" s="119"/>
      <c r="J39" s="119" t="s">
        <v>828</v>
      </c>
      <c r="K39" s="291">
        <v>2222</v>
      </c>
      <c r="L39" s="265">
        <v>1080.76</v>
      </c>
      <c r="M39" s="323">
        <f t="shared" si="2"/>
        <v>0.64972556375157065</v>
      </c>
      <c r="N39" s="323">
        <f t="shared" si="3"/>
        <v>0.58056995514490617</v>
      </c>
      <c r="O39" s="337"/>
      <c r="P39" s="119"/>
      <c r="R39" s="119" t="s">
        <v>828</v>
      </c>
      <c r="S39" s="300">
        <v>2222</v>
      </c>
      <c r="T39" s="265">
        <v>141.08000000000001</v>
      </c>
      <c r="U39" s="323">
        <f t="shared" si="4"/>
        <v>0.3512510892568157</v>
      </c>
      <c r="V39" s="323">
        <f t="shared" si="5"/>
        <v>0.2935375140443594</v>
      </c>
      <c r="W39" s="337"/>
      <c r="X39" s="119"/>
    </row>
    <row r="40" spans="2:24" x14ac:dyDescent="0.3">
      <c r="B40" s="119"/>
      <c r="C40" s="119" t="s">
        <v>36</v>
      </c>
      <c r="D40" s="266">
        <f>SUM(D24:D39)</f>
        <v>35745.360000000001</v>
      </c>
      <c r="E40" s="267">
        <f>SUM(E24:E39)</f>
        <v>1</v>
      </c>
      <c r="F40" s="331">
        <f>SUM(F24:F39)</f>
        <v>0.82328264555165831</v>
      </c>
      <c r="G40" s="331"/>
      <c r="H40" s="119"/>
      <c r="J40" s="119"/>
      <c r="K40" s="119" t="s">
        <v>36</v>
      </c>
      <c r="L40" s="266">
        <f>SUM(L24:L39)</f>
        <v>1663.4099999999999</v>
      </c>
      <c r="M40" s="267">
        <f>SUM(M24:M39)</f>
        <v>1</v>
      </c>
      <c r="N40" s="331">
        <f>SUM(N24:N39)</f>
        <v>0.89356181676559854</v>
      </c>
      <c r="O40" s="331"/>
      <c r="P40" s="119"/>
      <c r="R40" s="119"/>
      <c r="S40" s="119" t="s">
        <v>36</v>
      </c>
      <c r="T40" s="266">
        <f>SUM(T24:T39)</f>
        <v>401.65</v>
      </c>
      <c r="U40" s="267">
        <f>SUM(U24:U39)</f>
        <v>1.0000000000000004</v>
      </c>
      <c r="V40" s="331">
        <f>SUM(V24:V39)</f>
        <v>0.83569139861012887</v>
      </c>
      <c r="W40" s="331"/>
      <c r="X40" s="119"/>
    </row>
    <row r="41" spans="2:24" x14ac:dyDescent="0.3">
      <c r="B41" s="107" t="s">
        <v>820</v>
      </c>
      <c r="C41" s="107"/>
      <c r="D41" s="107"/>
      <c r="E41" s="330"/>
      <c r="F41" s="125">
        <f>$K$2-D40</f>
        <v>7672.7299999999959</v>
      </c>
      <c r="G41" s="125"/>
      <c r="H41" s="151">
        <f>F41/$K$2</f>
        <v>0.17671735444834161</v>
      </c>
      <c r="J41" s="107" t="s">
        <v>820</v>
      </c>
      <c r="K41" s="107"/>
      <c r="L41" s="107"/>
      <c r="M41" s="330"/>
      <c r="N41" s="125">
        <f>$K$3-L40</f>
        <v>198.1400000000001</v>
      </c>
      <c r="O41" s="125"/>
      <c r="P41" s="151">
        <f>N41/$K$3</f>
        <v>0.10643818323440149</v>
      </c>
      <c r="R41" s="107" t="s">
        <v>820</v>
      </c>
      <c r="S41" s="107"/>
      <c r="T41" s="107"/>
      <c r="U41" s="330"/>
      <c r="V41" s="125">
        <f>$K$4-T40</f>
        <v>78.970000000000027</v>
      </c>
      <c r="W41" s="125"/>
      <c r="X41" s="151">
        <f>V41/$K$4</f>
        <v>0.16430860138987147</v>
      </c>
    </row>
    <row r="42" spans="2:24" x14ac:dyDescent="0.3">
      <c r="B42" s="119"/>
      <c r="C42" s="237" t="s">
        <v>831</v>
      </c>
      <c r="D42" s="326">
        <f>D24+D26+D28</f>
        <v>19350.580000000002</v>
      </c>
      <c r="E42" s="329">
        <f t="shared" ref="E42:E45" si="6">D42/D$47</f>
        <v>0.54134522634546134</v>
      </c>
      <c r="F42" s="323">
        <f t="shared" ref="F42:F43" si="7">D42/$K$2</f>
        <v>0.44568013010245278</v>
      </c>
      <c r="G42" s="337"/>
      <c r="H42" s="119"/>
      <c r="J42" s="119"/>
      <c r="K42" s="237" t="s">
        <v>831</v>
      </c>
      <c r="L42" s="326">
        <f>L24+L26+L28</f>
        <v>337.04999999999995</v>
      </c>
      <c r="M42" s="329">
        <f t="shared" ref="M42:M45" si="8">L42/L$47</f>
        <v>0.20262593106930943</v>
      </c>
      <c r="N42" s="323">
        <f t="shared" ref="N42:N43" si="9">L42/$K$3</f>
        <v>0.18105879509011305</v>
      </c>
      <c r="O42" s="119"/>
      <c r="P42" s="119"/>
      <c r="R42" s="119"/>
      <c r="S42" s="237" t="s">
        <v>831</v>
      </c>
      <c r="T42" s="326">
        <f>T24+T26+T28</f>
        <v>201.21</v>
      </c>
      <c r="U42" s="329">
        <f t="shared" ref="U42:U45" si="10">T42/T$47</f>
        <v>0.50095854599775924</v>
      </c>
      <c r="V42" s="323">
        <f t="shared" ref="V42:V43" si="11">T42/$K$4</f>
        <v>0.41864674795056389</v>
      </c>
      <c r="W42" s="119"/>
      <c r="X42" s="119"/>
    </row>
    <row r="43" spans="2:24" x14ac:dyDescent="0.3">
      <c r="B43" s="119"/>
      <c r="C43" s="238" t="s">
        <v>822</v>
      </c>
      <c r="D43" s="322">
        <f>D25+D27+D31</f>
        <v>1838.73</v>
      </c>
      <c r="E43" s="323">
        <f t="shared" si="6"/>
        <v>5.1439683360301872E-2</v>
      </c>
      <c r="F43" s="323">
        <f t="shared" si="7"/>
        <v>4.2349398603208945E-2</v>
      </c>
      <c r="G43" s="337"/>
      <c r="H43" s="328" t="s">
        <v>885</v>
      </c>
      <c r="J43" s="119"/>
      <c r="K43" s="238" t="s">
        <v>822</v>
      </c>
      <c r="L43" s="321">
        <f>L25+L27+L31</f>
        <v>74.8</v>
      </c>
      <c r="M43" s="323">
        <f t="shared" si="8"/>
        <v>4.4967867212533291E-2</v>
      </c>
      <c r="N43" s="323">
        <f t="shared" si="9"/>
        <v>4.0181569122505437E-2</v>
      </c>
      <c r="O43" s="119"/>
      <c r="P43" s="328" t="s">
        <v>885</v>
      </c>
      <c r="R43" s="119"/>
      <c r="S43" s="238" t="s">
        <v>822</v>
      </c>
      <c r="T43" s="322">
        <f>T25+T27+T31</f>
        <v>5.64</v>
      </c>
      <c r="U43" s="323">
        <f t="shared" si="10"/>
        <v>1.4042076434706834E-2</v>
      </c>
      <c r="V43" s="323">
        <f t="shared" si="11"/>
        <v>1.1734842495110481E-2</v>
      </c>
      <c r="W43" s="119"/>
      <c r="X43" s="328" t="s">
        <v>885</v>
      </c>
    </row>
    <row r="44" spans="2:24" x14ac:dyDescent="0.3">
      <c r="B44" s="119"/>
      <c r="C44" s="301" t="s">
        <v>824</v>
      </c>
      <c r="D44" s="264">
        <f>D29+D30+D33+D34</f>
        <v>478.50000000000006</v>
      </c>
      <c r="E44" s="323">
        <f t="shared" si="6"/>
        <v>1.3386352802153903E-2</v>
      </c>
      <c r="F44" s="323">
        <f>D44/$K$2</f>
        <v>1.1020751949245121E-2</v>
      </c>
      <c r="G44" s="337"/>
      <c r="H44" s="319">
        <f>D43-D45</f>
        <v>223.47000000000003</v>
      </c>
      <c r="J44" s="119"/>
      <c r="K44" s="269" t="s">
        <v>824</v>
      </c>
      <c r="L44" s="264">
        <f>L29+L30+L33+L34</f>
        <v>17.04</v>
      </c>
      <c r="M44" s="323">
        <f t="shared" si="8"/>
        <v>1.0244016808844483E-2</v>
      </c>
      <c r="N44" s="323">
        <f>L44/$K$3</f>
        <v>9.1536622706884039E-3</v>
      </c>
      <c r="O44" s="337"/>
      <c r="P44" s="319">
        <f>L43-L45</f>
        <v>12.850000000000001</v>
      </c>
      <c r="R44" s="119"/>
      <c r="S44" s="301" t="s">
        <v>824</v>
      </c>
      <c r="T44" s="264">
        <f>T29+T30+T33+T34</f>
        <v>5.67</v>
      </c>
      <c r="U44" s="323">
        <f>T44/T$47</f>
        <v>1.4116768330636126E-2</v>
      </c>
      <c r="V44" s="323">
        <f>T44/$K$4</f>
        <v>1.1797261870084475E-2</v>
      </c>
      <c r="W44" s="337"/>
      <c r="X44" s="319">
        <f>T43-T45</f>
        <v>-28.47</v>
      </c>
    </row>
    <row r="45" spans="2:24" x14ac:dyDescent="0.3">
      <c r="B45" s="119"/>
      <c r="C45" s="239" t="s">
        <v>826</v>
      </c>
      <c r="D45" s="324">
        <f>D32+D36+D38</f>
        <v>1615.26</v>
      </c>
      <c r="E45" s="323">
        <f t="shared" si="6"/>
        <v>4.5187962857277136E-2</v>
      </c>
      <c r="F45" s="323">
        <f t="shared" ref="F45:F46" si="12">D45/$K$2</f>
        <v>3.72024656082292E-2</v>
      </c>
      <c r="G45" s="115" t="s">
        <v>813</v>
      </c>
      <c r="H45" s="233">
        <f>E43-E45</f>
        <v>6.2517205030247353E-3</v>
      </c>
      <c r="J45" s="119"/>
      <c r="K45" s="239" t="s">
        <v>826</v>
      </c>
      <c r="L45" s="324">
        <f>L32+L36+L38</f>
        <v>61.949999999999996</v>
      </c>
      <c r="M45" s="323">
        <f t="shared" si="8"/>
        <v>3.7242772377225099E-2</v>
      </c>
      <c r="N45" s="323">
        <f t="shared" ref="N45:N46" si="13">L45/$K$3</f>
        <v>3.3278719346780908E-2</v>
      </c>
      <c r="O45" s="115" t="s">
        <v>813</v>
      </c>
      <c r="P45" s="233">
        <f>M43-M45</f>
        <v>7.7250948353081925E-3</v>
      </c>
      <c r="R45" s="119"/>
      <c r="S45" s="239" t="s">
        <v>826</v>
      </c>
      <c r="T45" s="324">
        <f>T32+T36+T38</f>
        <v>34.11</v>
      </c>
      <c r="U45" s="323">
        <f t="shared" si="10"/>
        <v>8.4924685671604633E-2</v>
      </c>
      <c r="V45" s="323">
        <f t="shared" ref="V45:V46" si="14">T45/$K$4</f>
        <v>7.0970829345428824E-2</v>
      </c>
      <c r="W45" s="115" t="s">
        <v>813</v>
      </c>
      <c r="X45" s="233">
        <f>U43-U45</f>
        <v>-7.0882609236897792E-2</v>
      </c>
    </row>
    <row r="46" spans="2:24" x14ac:dyDescent="0.3">
      <c r="B46" s="119"/>
      <c r="C46" s="240" t="s">
        <v>832</v>
      </c>
      <c r="D46" s="327">
        <f>D35+D37+D39</f>
        <v>12462.29</v>
      </c>
      <c r="E46" s="323">
        <f>D46/D$47</f>
        <v>0.34864077463480575</v>
      </c>
      <c r="F46" s="323">
        <f t="shared" si="12"/>
        <v>0.28702989928852241</v>
      </c>
      <c r="G46" s="115" t="s">
        <v>814</v>
      </c>
      <c r="H46" s="233">
        <f>H44/$K$2</f>
        <v>5.1469329949797435E-3</v>
      </c>
      <c r="J46" s="119"/>
      <c r="K46" s="240" t="s">
        <v>832</v>
      </c>
      <c r="L46" s="327">
        <f>L35+L37+L39</f>
        <v>1172.57</v>
      </c>
      <c r="M46" s="323">
        <f>L46/L$47</f>
        <v>0.70491941253208767</v>
      </c>
      <c r="N46" s="323">
        <f t="shared" si="13"/>
        <v>0.62988907093551072</v>
      </c>
      <c r="O46" s="115" t="s">
        <v>814</v>
      </c>
      <c r="P46" s="233">
        <f>P44/$K$3</f>
        <v>6.9028497757245314E-3</v>
      </c>
      <c r="R46" s="119"/>
      <c r="S46" s="240" t="s">
        <v>832</v>
      </c>
      <c r="T46" s="327">
        <f>T35+T37+T39</f>
        <v>155.02000000000001</v>
      </c>
      <c r="U46" s="323">
        <f>T46/T$47</f>
        <v>0.38595792356529324</v>
      </c>
      <c r="V46" s="323">
        <f t="shared" si="14"/>
        <v>0.32254171694894096</v>
      </c>
      <c r="W46" s="115" t="s">
        <v>814</v>
      </c>
      <c r="X46" s="233">
        <f>X44/$K$4</f>
        <v>-5.9235986850318334E-2</v>
      </c>
    </row>
    <row r="47" spans="2:24" x14ac:dyDescent="0.3">
      <c r="B47" s="119"/>
      <c r="C47" s="119" t="s">
        <v>36</v>
      </c>
      <c r="D47" s="266">
        <f>SUM(D42:D46)</f>
        <v>35745.360000000001</v>
      </c>
      <c r="E47" s="267">
        <f>SUM(E42:E46)</f>
        <v>1</v>
      </c>
      <c r="F47" s="331">
        <f>SUM(F42:F46)</f>
        <v>0.82328264555165842</v>
      </c>
      <c r="G47" s="119"/>
      <c r="H47" s="119"/>
      <c r="J47" s="119"/>
      <c r="K47" s="119" t="s">
        <v>36</v>
      </c>
      <c r="L47" s="266">
        <f>SUM(L42:L46)</f>
        <v>1663.4099999999999</v>
      </c>
      <c r="M47" s="267">
        <f>SUM(M42:M46)</f>
        <v>1</v>
      </c>
      <c r="N47" s="331">
        <f>SUM(N42:N46)</f>
        <v>0.89356181676559854</v>
      </c>
      <c r="O47" s="119"/>
      <c r="P47" s="119"/>
      <c r="R47" s="119"/>
      <c r="S47" s="119" t="s">
        <v>36</v>
      </c>
      <c r="T47" s="266">
        <f>SUM(T42:T46)</f>
        <v>401.65</v>
      </c>
      <c r="U47" s="267">
        <f>SUM(U42:U46)</f>
        <v>1</v>
      </c>
      <c r="V47" s="331">
        <f>SUM(V42:V46)</f>
        <v>0.83569139861012864</v>
      </c>
      <c r="W47" s="119"/>
      <c r="X47" s="119"/>
    </row>
    <row r="50" spans="1:24" x14ac:dyDescent="0.3">
      <c r="A50" t="s">
        <v>837</v>
      </c>
      <c r="B50" s="118" t="s">
        <v>807</v>
      </c>
      <c r="C50" s="119" t="s">
        <v>841</v>
      </c>
      <c r="D50" s="119"/>
      <c r="E50" s="115"/>
      <c r="F50" s="115"/>
      <c r="G50" s="115"/>
      <c r="H50" s="115"/>
      <c r="J50" s="118" t="s">
        <v>807</v>
      </c>
      <c r="K50" s="119" t="s">
        <v>842</v>
      </c>
      <c r="L50" s="119"/>
      <c r="M50" s="115"/>
      <c r="N50" s="115"/>
      <c r="O50" s="115"/>
      <c r="P50" s="115"/>
      <c r="R50" s="118" t="s">
        <v>807</v>
      </c>
      <c r="S50" s="119" t="s">
        <v>843</v>
      </c>
      <c r="T50" s="119"/>
      <c r="U50" s="115"/>
      <c r="V50" s="115"/>
      <c r="W50" s="115"/>
      <c r="X50" s="115"/>
    </row>
    <row r="51" spans="1:24" x14ac:dyDescent="0.3">
      <c r="A51" t="s">
        <v>899</v>
      </c>
      <c r="B51" s="119" t="s">
        <v>838</v>
      </c>
      <c r="C51" s="107" t="s">
        <v>815</v>
      </c>
      <c r="D51" s="254" t="s">
        <v>810</v>
      </c>
      <c r="E51" s="255" t="s">
        <v>811</v>
      </c>
      <c r="F51" s="115"/>
      <c r="G51" s="115"/>
      <c r="H51" s="318" t="s">
        <v>885</v>
      </c>
      <c r="J51" s="119" t="s">
        <v>839</v>
      </c>
      <c r="K51" s="107" t="s">
        <v>815</v>
      </c>
      <c r="L51" s="254" t="s">
        <v>810</v>
      </c>
      <c r="M51" s="255" t="s">
        <v>811</v>
      </c>
      <c r="N51" s="115"/>
      <c r="O51" s="115"/>
      <c r="P51" s="318" t="s">
        <v>885</v>
      </c>
      <c r="R51" s="119" t="s">
        <v>840</v>
      </c>
      <c r="S51" s="107" t="s">
        <v>815</v>
      </c>
      <c r="T51" s="254" t="s">
        <v>810</v>
      </c>
      <c r="U51" s="255" t="s">
        <v>811</v>
      </c>
      <c r="V51" s="115"/>
      <c r="W51" s="115"/>
      <c r="X51" s="318" t="s">
        <v>885</v>
      </c>
    </row>
    <row r="52" spans="1:24" x14ac:dyDescent="0.3">
      <c r="B52" s="107"/>
      <c r="C52" s="214" t="s">
        <v>810</v>
      </c>
      <c r="D52" s="256">
        <v>20755.59</v>
      </c>
      <c r="E52" s="257">
        <v>1323.72</v>
      </c>
      <c r="F52" s="116">
        <f>D52+E52</f>
        <v>22079.31</v>
      </c>
      <c r="G52" s="116"/>
      <c r="H52" s="319">
        <f>E52-D53</f>
        <v>-41.470000000000027</v>
      </c>
      <c r="J52" s="115"/>
      <c r="K52" s="214" t="s">
        <v>810</v>
      </c>
      <c r="L52" s="256">
        <v>340.76</v>
      </c>
      <c r="M52" s="257">
        <v>47.82</v>
      </c>
      <c r="N52" s="116">
        <f>L52+M52</f>
        <v>388.58</v>
      </c>
      <c r="O52" s="116"/>
      <c r="P52" s="319">
        <f>M52-L53</f>
        <v>2.0600000000000023</v>
      </c>
      <c r="R52" s="115"/>
      <c r="S52" s="214" t="s">
        <v>810</v>
      </c>
      <c r="T52" s="256">
        <v>252.04</v>
      </c>
      <c r="U52" s="257">
        <v>9.16</v>
      </c>
      <c r="V52" s="116">
        <f>T52+U52</f>
        <v>261.2</v>
      </c>
      <c r="W52" s="116"/>
      <c r="X52" s="319">
        <f>U52-T53</f>
        <v>-18.97</v>
      </c>
    </row>
    <row r="53" spans="1:24" x14ac:dyDescent="0.3">
      <c r="B53" s="107"/>
      <c r="C53" s="253" t="s">
        <v>811</v>
      </c>
      <c r="D53" s="258">
        <v>1365.19</v>
      </c>
      <c r="E53" s="259">
        <v>15889.39</v>
      </c>
      <c r="F53" s="116">
        <f>D53+E53</f>
        <v>17254.579999999998</v>
      </c>
      <c r="G53" s="116"/>
      <c r="H53" s="115"/>
      <c r="J53" s="107"/>
      <c r="K53" s="253" t="s">
        <v>811</v>
      </c>
      <c r="L53" s="258">
        <v>45.76</v>
      </c>
      <c r="M53" s="259">
        <v>1308.3499999999999</v>
      </c>
      <c r="N53" s="116">
        <f>L53+M53</f>
        <v>1354.11</v>
      </c>
      <c r="O53" s="116"/>
      <c r="P53" s="115"/>
      <c r="R53" s="107"/>
      <c r="S53" s="253" t="s">
        <v>811</v>
      </c>
      <c r="T53" s="258">
        <v>28.13</v>
      </c>
      <c r="U53" s="259">
        <v>140.34</v>
      </c>
      <c r="V53" s="116">
        <f>T53+U53</f>
        <v>168.47</v>
      </c>
      <c r="W53" s="116"/>
      <c r="X53" s="115"/>
    </row>
    <row r="54" spans="1:24" x14ac:dyDescent="0.3">
      <c r="B54" s="107"/>
      <c r="C54" s="107"/>
      <c r="D54" s="116">
        <f>D52+D53</f>
        <v>22120.78</v>
      </c>
      <c r="E54" s="116">
        <f>E52+E53</f>
        <v>17213.11</v>
      </c>
      <c r="F54" s="241">
        <f>SUM(D52:E53)</f>
        <v>39333.89</v>
      </c>
      <c r="G54" s="336"/>
      <c r="H54" s="242">
        <f>F54/$K$2</f>
        <v>0.90593321815860628</v>
      </c>
      <c r="J54" s="107"/>
      <c r="K54" s="107"/>
      <c r="L54" s="116">
        <f>L52+L53</f>
        <v>386.52</v>
      </c>
      <c r="M54" s="116">
        <f>M52+M53</f>
        <v>1356.1699999999998</v>
      </c>
      <c r="N54" s="241">
        <f>SUM(L52:M53)</f>
        <v>1742.6899999999998</v>
      </c>
      <c r="O54" s="336"/>
      <c r="P54" s="242">
        <f>N54/$K$3</f>
        <v>0.93614998254143045</v>
      </c>
      <c r="R54" s="107"/>
      <c r="S54" s="107"/>
      <c r="T54" s="116">
        <f>T52+T53</f>
        <v>280.17</v>
      </c>
      <c r="U54" s="116">
        <f>U52+U53</f>
        <v>149.5</v>
      </c>
      <c r="V54" s="241">
        <f>SUM(T52:U53)</f>
        <v>429.66999999999996</v>
      </c>
      <c r="W54" s="336"/>
      <c r="X54" s="242">
        <f>V54/$K$4</f>
        <v>0.89399109483583694</v>
      </c>
    </row>
    <row r="55" spans="1:24" x14ac:dyDescent="0.3">
      <c r="B55" s="107" t="s">
        <v>820</v>
      </c>
      <c r="C55" s="107"/>
      <c r="D55" s="261" t="s">
        <v>900</v>
      </c>
      <c r="E55" s="260"/>
      <c r="F55" s="125">
        <f>$K$2-F54</f>
        <v>4084.1999999999971</v>
      </c>
      <c r="G55" s="125"/>
      <c r="H55" s="151">
        <f>F55/$K$2</f>
        <v>9.4066781841393707E-2</v>
      </c>
      <c r="J55" s="107" t="s">
        <v>820</v>
      </c>
      <c r="K55" s="107"/>
      <c r="L55" s="261" t="s">
        <v>900</v>
      </c>
      <c r="M55" s="260"/>
      <c r="N55" s="125">
        <f>$K$3-N54</f>
        <v>118.86000000000013</v>
      </c>
      <c r="O55" s="125"/>
      <c r="P55" s="151">
        <f>N55/$K$3</f>
        <v>6.3850017458569538E-2</v>
      </c>
      <c r="R55" s="107" t="s">
        <v>820</v>
      </c>
      <c r="S55" s="107"/>
      <c r="T55" s="261" t="s">
        <v>900</v>
      </c>
      <c r="U55" s="260"/>
      <c r="V55" s="125">
        <f>$K$4-V54</f>
        <v>50.950000000000045</v>
      </c>
      <c r="W55" s="125"/>
      <c r="X55" s="151">
        <f>V55/$K$4</f>
        <v>0.10600890516416304</v>
      </c>
    </row>
    <row r="56" spans="1:24" x14ac:dyDescent="0.3">
      <c r="B56" s="107"/>
      <c r="C56" s="107" t="s">
        <v>813</v>
      </c>
      <c r="D56" s="248" t="s">
        <v>810</v>
      </c>
      <c r="E56" s="250" t="s">
        <v>811</v>
      </c>
      <c r="F56" s="115"/>
      <c r="G56" s="115"/>
      <c r="H56" s="318" t="s">
        <v>885</v>
      </c>
      <c r="J56" s="107"/>
      <c r="K56" s="107" t="s">
        <v>813</v>
      </c>
      <c r="L56" s="248" t="s">
        <v>810</v>
      </c>
      <c r="M56" s="250" t="s">
        <v>811</v>
      </c>
      <c r="N56" s="115"/>
      <c r="O56" s="115"/>
      <c r="P56" s="318" t="s">
        <v>885</v>
      </c>
      <c r="R56" s="107"/>
      <c r="S56" s="107" t="s">
        <v>813</v>
      </c>
      <c r="T56" s="248" t="s">
        <v>810</v>
      </c>
      <c r="U56" s="250" t="s">
        <v>811</v>
      </c>
      <c r="V56" s="115"/>
      <c r="W56" s="115"/>
      <c r="X56" s="318" t="s">
        <v>885</v>
      </c>
    </row>
    <row r="57" spans="1:24" x14ac:dyDescent="0.3">
      <c r="B57" s="107"/>
      <c r="C57" s="214" t="s">
        <v>810</v>
      </c>
      <c r="D57" s="247">
        <f>D52/$F$54</f>
        <v>0.52767702355398871</v>
      </c>
      <c r="E57" s="249">
        <f>E52/$F$54</f>
        <v>3.3653422023603566E-2</v>
      </c>
      <c r="F57" s="146">
        <f>D57+E57</f>
        <v>0.56133044557759226</v>
      </c>
      <c r="G57" s="146"/>
      <c r="H57" s="320">
        <f>E57-D58</f>
        <v>-1.0543071127722195E-3</v>
      </c>
      <c r="J57" s="107"/>
      <c r="K57" s="214" t="s">
        <v>810</v>
      </c>
      <c r="L57" s="247">
        <f>L52/$N$54</f>
        <v>0.19553678508512704</v>
      </c>
      <c r="M57" s="249">
        <f>M52/$N$54</f>
        <v>2.7440336491286462E-2</v>
      </c>
      <c r="N57" s="146">
        <f>L57+M57</f>
        <v>0.2229771215764135</v>
      </c>
      <c r="O57" s="146"/>
      <c r="P57" s="320">
        <f>M57-L58</f>
        <v>1.1820805765798865E-3</v>
      </c>
      <c r="R57" s="107"/>
      <c r="S57" s="214" t="s">
        <v>810</v>
      </c>
      <c r="T57" s="247">
        <f>T52/$V$54</f>
        <v>0.58658970838085045</v>
      </c>
      <c r="U57" s="249">
        <f>U52/$V$54</f>
        <v>2.1318686433774759E-2</v>
      </c>
      <c r="V57" s="146">
        <f>T57+U57</f>
        <v>0.60790839481462522</v>
      </c>
      <c r="W57" s="146"/>
      <c r="X57" s="320">
        <f>U57-T58</f>
        <v>-4.4150161752042269E-2</v>
      </c>
    </row>
    <row r="58" spans="1:24" x14ac:dyDescent="0.3">
      <c r="B58" s="107"/>
      <c r="C58" s="251" t="s">
        <v>811</v>
      </c>
      <c r="D58" s="245">
        <f>D53/$F$54</f>
        <v>3.4707729136375785E-2</v>
      </c>
      <c r="E58" s="246">
        <f>E53/$F$54</f>
        <v>0.40396182528603197</v>
      </c>
      <c r="F58" s="146">
        <f>D58+E58</f>
        <v>0.43866955442240774</v>
      </c>
      <c r="G58" s="146"/>
      <c r="H58" s="243">
        <f>F57+F58</f>
        <v>1</v>
      </c>
      <c r="J58" s="107"/>
      <c r="K58" s="251" t="s">
        <v>811</v>
      </c>
      <c r="L58" s="245">
        <f>L53/$N$54</f>
        <v>2.6258255914706576E-2</v>
      </c>
      <c r="M58" s="246">
        <f>M53/$N$54</f>
        <v>0.75076462250887999</v>
      </c>
      <c r="N58" s="146">
        <f>L58+M58</f>
        <v>0.77702287842358653</v>
      </c>
      <c r="O58" s="146"/>
      <c r="P58" s="243">
        <f>N57+N58</f>
        <v>1</v>
      </c>
      <c r="R58" s="107"/>
      <c r="S58" s="251" t="s">
        <v>811</v>
      </c>
      <c r="T58" s="245">
        <f>T53/$V$54</f>
        <v>6.5468848185817025E-2</v>
      </c>
      <c r="U58" s="246">
        <f>U53/$V$54</f>
        <v>0.32662275699955784</v>
      </c>
      <c r="V58" s="146">
        <f>T58+U58</f>
        <v>0.39209160518537489</v>
      </c>
      <c r="W58" s="146"/>
      <c r="X58" s="243">
        <f>V57+V58</f>
        <v>1</v>
      </c>
    </row>
    <row r="59" spans="1:24" x14ac:dyDescent="0.3">
      <c r="B59" s="107"/>
      <c r="C59" s="107"/>
      <c r="D59" s="107"/>
      <c r="E59" s="107"/>
      <c r="F59" s="107"/>
      <c r="G59" s="107"/>
      <c r="H59" s="107"/>
      <c r="J59" s="107"/>
      <c r="K59" s="107"/>
      <c r="L59" s="107"/>
      <c r="M59" s="107"/>
      <c r="N59" s="107"/>
      <c r="O59" s="107"/>
      <c r="P59" s="107"/>
      <c r="R59" s="107"/>
      <c r="S59" s="107"/>
      <c r="T59" s="107"/>
      <c r="U59" s="107"/>
      <c r="V59" s="107"/>
      <c r="W59" s="107"/>
      <c r="X59" s="107"/>
    </row>
    <row r="60" spans="1:24" x14ac:dyDescent="0.3">
      <c r="B60" s="107"/>
      <c r="C60" s="107" t="s">
        <v>814</v>
      </c>
      <c r="D60" s="248" t="s">
        <v>810</v>
      </c>
      <c r="E60" s="250" t="s">
        <v>811</v>
      </c>
      <c r="F60" s="115"/>
      <c r="G60" s="115"/>
      <c r="H60" s="318" t="s">
        <v>885</v>
      </c>
      <c r="J60" s="107"/>
      <c r="K60" s="107" t="s">
        <v>814</v>
      </c>
      <c r="L60" s="248" t="s">
        <v>810</v>
      </c>
      <c r="M60" s="250" t="s">
        <v>811</v>
      </c>
      <c r="N60" s="115"/>
      <c r="O60" s="115"/>
      <c r="P60" s="318" t="s">
        <v>885</v>
      </c>
      <c r="R60" s="107"/>
      <c r="S60" s="107" t="s">
        <v>814</v>
      </c>
      <c r="T60" s="248" t="s">
        <v>810</v>
      </c>
      <c r="U60" s="250" t="s">
        <v>811</v>
      </c>
      <c r="V60" s="115"/>
      <c r="W60" s="115"/>
      <c r="X60" s="318" t="s">
        <v>885</v>
      </c>
    </row>
    <row r="61" spans="1:24" x14ac:dyDescent="0.3">
      <c r="B61" s="107"/>
      <c r="C61" s="214" t="s">
        <v>810</v>
      </c>
      <c r="D61" s="247">
        <f>D52/$K$2</f>
        <v>0.47804014409661966</v>
      </c>
      <c r="E61" s="249">
        <f>E52/$K$2</f>
        <v>3.0487752915892896E-2</v>
      </c>
      <c r="F61" s="146">
        <f>D61+E61</f>
        <v>0.50852789701251255</v>
      </c>
      <c r="G61" s="146"/>
      <c r="H61" s="320">
        <f>E61-D62</f>
        <v>-9.5513183560124587E-4</v>
      </c>
      <c r="J61" s="107"/>
      <c r="K61" s="214" t="s">
        <v>810</v>
      </c>
      <c r="L61" s="247">
        <f>L52/$K$3</f>
        <v>0.18305175794364911</v>
      </c>
      <c r="M61" s="249">
        <f>M52/$K$3</f>
        <v>2.5688270527248799E-2</v>
      </c>
      <c r="N61" s="146">
        <f>L61+M61</f>
        <v>0.2087400284708979</v>
      </c>
      <c r="O61" s="146"/>
      <c r="P61" s="320">
        <f>M61-L62</f>
        <v>1.1066047111278239E-3</v>
      </c>
      <c r="R61" s="107"/>
      <c r="S61" s="214" t="s">
        <v>810</v>
      </c>
      <c r="T61" s="247">
        <f>T52/$K$4</f>
        <v>0.52440597561483082</v>
      </c>
      <c r="U61" s="249">
        <f>U52/$K$4</f>
        <v>1.9058715825392203E-2</v>
      </c>
      <c r="V61" s="146">
        <f>T61+U61</f>
        <v>0.54346469144022302</v>
      </c>
      <c r="W61" s="146"/>
      <c r="X61" s="320">
        <f>U61-T62</f>
        <v>-3.9469851441887562E-2</v>
      </c>
    </row>
    <row r="62" spans="1:24" x14ac:dyDescent="0.3">
      <c r="B62" s="107"/>
      <c r="C62" s="251" t="s">
        <v>811</v>
      </c>
      <c r="D62" s="245">
        <f>D53/$K$2</f>
        <v>3.1442884751494142E-2</v>
      </c>
      <c r="E62" s="252">
        <f>E53/$K$2</f>
        <v>0.36596243639459958</v>
      </c>
      <c r="F62" s="146">
        <f>D62+E62</f>
        <v>0.39740532114609373</v>
      </c>
      <c r="G62" s="146"/>
      <c r="H62" s="243">
        <f>F61+F62</f>
        <v>0.90593321815860628</v>
      </c>
      <c r="J62" s="107"/>
      <c r="K62" s="251" t="s">
        <v>811</v>
      </c>
      <c r="L62" s="245">
        <f>L53/$K$3</f>
        <v>2.4581665816120975E-2</v>
      </c>
      <c r="M62" s="252">
        <f>M53/$K$3</f>
        <v>0.70282828825441157</v>
      </c>
      <c r="N62" s="146">
        <f>L62+M62</f>
        <v>0.72740995407053255</v>
      </c>
      <c r="O62" s="146"/>
      <c r="P62" s="243">
        <f>N61+N62</f>
        <v>0.93614998254143045</v>
      </c>
      <c r="R62" s="107"/>
      <c r="S62" s="251" t="s">
        <v>811</v>
      </c>
      <c r="T62" s="245">
        <f>T53/$K$4</f>
        <v>5.8528567267279764E-2</v>
      </c>
      <c r="U62" s="252">
        <f>U53/$K$4</f>
        <v>0.29199783612833424</v>
      </c>
      <c r="V62" s="146">
        <f>T62+U62</f>
        <v>0.35052640339561403</v>
      </c>
      <c r="W62" s="146"/>
      <c r="X62" s="243">
        <f>V61+V62</f>
        <v>0.89399109483583705</v>
      </c>
    </row>
    <row r="63" spans="1:24" x14ac:dyDescent="0.3">
      <c r="B63" s="107"/>
      <c r="C63" s="107"/>
      <c r="D63" s="107"/>
      <c r="E63" s="107"/>
      <c r="F63" s="107"/>
      <c r="G63" s="107"/>
      <c r="H63" s="107"/>
      <c r="J63" s="107"/>
      <c r="K63" s="107"/>
      <c r="L63" s="107"/>
      <c r="M63" s="107"/>
      <c r="N63" s="107"/>
      <c r="O63" s="107"/>
      <c r="P63" s="107"/>
      <c r="R63" s="107"/>
      <c r="S63" s="107"/>
      <c r="T63" s="107"/>
      <c r="U63" s="107"/>
      <c r="V63" s="107"/>
      <c r="W63" s="107"/>
      <c r="X63" s="107"/>
    </row>
    <row r="90" spans="1:25" ht="15" thickBot="1" x14ac:dyDescent="0.3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</row>
    <row r="91" spans="1:25" ht="15" thickTop="1" x14ac:dyDescent="0.3"/>
    <row r="92" spans="1:25" x14ac:dyDescent="0.3">
      <c r="B92" s="118" t="s">
        <v>886</v>
      </c>
      <c r="E92" s="173">
        <f>E93/$P$93</f>
        <v>0.14917127071823205</v>
      </c>
      <c r="F92" s="1"/>
      <c r="G92" s="1"/>
      <c r="H92" s="1"/>
      <c r="I92" s="173">
        <f>I93/$P$93</f>
        <v>0.68508287292817682</v>
      </c>
      <c r="J92" s="1"/>
      <c r="K92" s="1"/>
      <c r="L92" s="173">
        <f>L93/$P$93</f>
        <v>0.16574585635359115</v>
      </c>
    </row>
    <row r="93" spans="1:25" ht="15.6" x14ac:dyDescent="0.35">
      <c r="B93" s="107" t="s">
        <v>891</v>
      </c>
      <c r="C93" s="107"/>
      <c r="D93" s="332" t="s">
        <v>888</v>
      </c>
      <c r="E93" s="352">
        <f>9*6</f>
        <v>54</v>
      </c>
      <c r="F93" s="106"/>
      <c r="G93" s="106"/>
      <c r="H93" s="332" t="s">
        <v>889</v>
      </c>
      <c r="I93" s="352">
        <f>31*8</f>
        <v>248</v>
      </c>
      <c r="J93" s="106"/>
      <c r="K93" s="332" t="s">
        <v>890</v>
      </c>
      <c r="L93" s="352">
        <f>5*12</f>
        <v>60</v>
      </c>
      <c r="M93" s="106"/>
      <c r="N93" s="332" t="s">
        <v>887</v>
      </c>
      <c r="O93" s="332"/>
      <c r="P93" s="352">
        <f>E93+I93+L93</f>
        <v>362</v>
      </c>
    </row>
    <row r="95" spans="1:25" x14ac:dyDescent="0.3">
      <c r="B95" s="106" t="s">
        <v>41</v>
      </c>
      <c r="C95" s="107"/>
      <c r="D95" s="107"/>
      <c r="E95" s="107"/>
      <c r="F95" s="107"/>
      <c r="G95" s="107"/>
      <c r="H95" s="107"/>
      <c r="J95" s="106" t="s">
        <v>412</v>
      </c>
      <c r="K95" s="353"/>
      <c r="L95" s="107"/>
      <c r="M95" s="107"/>
      <c r="N95" s="107"/>
      <c r="O95" s="107"/>
      <c r="P95" s="107"/>
      <c r="R95" s="106" t="s">
        <v>45</v>
      </c>
      <c r="S95" s="107"/>
      <c r="T95" s="107"/>
      <c r="U95" s="107"/>
      <c r="V95" s="107"/>
      <c r="W95" s="107"/>
      <c r="X95" s="107"/>
    </row>
    <row r="96" spans="1:25" ht="18" customHeight="1" x14ac:dyDescent="0.3">
      <c r="B96" s="107"/>
      <c r="C96" s="107"/>
      <c r="D96" s="107"/>
      <c r="E96" s="107"/>
      <c r="F96" s="107"/>
      <c r="G96" s="107" t="s">
        <v>901</v>
      </c>
      <c r="H96" s="107"/>
      <c r="J96" s="107"/>
      <c r="K96" s="107"/>
      <c r="L96" s="107"/>
      <c r="M96" s="107"/>
      <c r="N96" s="107"/>
      <c r="O96" s="107" t="s">
        <v>901</v>
      </c>
      <c r="P96" s="107"/>
      <c r="R96" s="107"/>
      <c r="S96" s="107"/>
      <c r="T96" s="107"/>
      <c r="U96" s="107"/>
      <c r="V96" s="107"/>
      <c r="W96" s="107" t="s">
        <v>901</v>
      </c>
      <c r="X96" s="107"/>
    </row>
    <row r="97" spans="2:24" ht="18" customHeight="1" x14ac:dyDescent="0.3">
      <c r="B97" s="308"/>
      <c r="C97" s="333">
        <f>GUE_PA_HC!H305</f>
        <v>0.3412255196793107</v>
      </c>
      <c r="D97" s="305"/>
      <c r="E97" s="334">
        <f>H17</f>
        <v>4.0193384831069268E-2</v>
      </c>
      <c r="F97" s="115" t="s">
        <v>892</v>
      </c>
      <c r="G97" s="334">
        <f>C$97*(1+E97)</f>
        <v>0.35494052830596279</v>
      </c>
      <c r="H97" s="107"/>
      <c r="J97" s="307"/>
      <c r="K97" s="333">
        <f>GUE_PA_HC!U305</f>
        <v>0.78694605847322252</v>
      </c>
      <c r="L97" s="305"/>
      <c r="M97" s="334">
        <f>P17</f>
        <v>-1.6137090059359122E-2</v>
      </c>
      <c r="N97" s="115" t="s">
        <v>892</v>
      </c>
      <c r="O97" s="334">
        <f>K$97*(1+P17)</f>
        <v>0.7742470390557824</v>
      </c>
      <c r="P97" s="107"/>
      <c r="R97" s="307"/>
      <c r="S97" s="333">
        <f>GUE_PA_HC!AH305</f>
        <v>0.26991900734754776</v>
      </c>
      <c r="T97" s="305"/>
      <c r="U97" s="334">
        <f>X17</f>
        <v>0.13950730306687195</v>
      </c>
      <c r="V97" s="115" t="s">
        <v>892</v>
      </c>
      <c r="W97" s="334">
        <f>S$97*(1+X17)</f>
        <v>0.30757468010909134</v>
      </c>
      <c r="X97" s="107"/>
    </row>
    <row r="98" spans="2:24" ht="18" customHeight="1" x14ac:dyDescent="0.35">
      <c r="B98" s="308"/>
      <c r="C98" s="333">
        <f>GUE_PA_HC!H306</f>
        <v>0.40845495994498787</v>
      </c>
      <c r="D98" s="305"/>
      <c r="E98" s="334">
        <f>H46</f>
        <v>5.1469329949797435E-3</v>
      </c>
      <c r="F98" s="115" t="s">
        <v>893</v>
      </c>
      <c r="G98" s="334">
        <f>C$98*(1+E98+E99)</f>
        <v>0.41505873105128444</v>
      </c>
      <c r="H98" s="232" t="s">
        <v>895</v>
      </c>
      <c r="J98" s="307"/>
      <c r="K98" s="333">
        <f>GUE_PA_HC!U306</f>
        <v>0.74636320152415891</v>
      </c>
      <c r="L98" s="305"/>
      <c r="M98" s="334">
        <f>P46</f>
        <v>6.9028497757245314E-3</v>
      </c>
      <c r="N98" s="115" t="s">
        <v>893</v>
      </c>
      <c r="O98" s="334">
        <f>K$98*(1+N44+P46)</f>
        <v>0.75834719126043104</v>
      </c>
      <c r="P98" s="232" t="s">
        <v>896</v>
      </c>
      <c r="R98" s="307"/>
      <c r="S98" s="333">
        <f>GUE_PA_HC!AH306</f>
        <v>0.45299519035224656</v>
      </c>
      <c r="T98" s="305"/>
      <c r="U98" s="334">
        <f>X46</f>
        <v>-5.9235986850318334E-2</v>
      </c>
      <c r="V98" s="115" t="s">
        <v>893</v>
      </c>
      <c r="W98" s="334">
        <f>S$98*(1+V44+X46)</f>
        <v>0.43150567609975771</v>
      </c>
      <c r="X98" s="232" t="s">
        <v>896</v>
      </c>
    </row>
    <row r="99" spans="2:24" ht="18" customHeight="1" x14ac:dyDescent="0.3">
      <c r="B99" s="107"/>
      <c r="C99" s="107"/>
      <c r="D99" s="305"/>
      <c r="E99" s="334">
        <f>F44</f>
        <v>1.1020751949245121E-2</v>
      </c>
      <c r="F99" s="115" t="s">
        <v>894</v>
      </c>
      <c r="G99" s="334">
        <f>C$100*(1+E100)</f>
        <v>0.4098024405329142</v>
      </c>
      <c r="H99" s="335">
        <f>100*(G97*$E$93+G98*$I$93+G99*$L$93)/$P$93</f>
        <v>40.521961398125796</v>
      </c>
      <c r="J99" s="107"/>
      <c r="K99" s="107"/>
      <c r="L99" s="305"/>
      <c r="M99" s="334">
        <f>N44</f>
        <v>9.1536622706884039E-3</v>
      </c>
      <c r="N99" s="115" t="s">
        <v>894</v>
      </c>
      <c r="O99" s="334">
        <f>K$100*(1+P61)</f>
        <v>0.74300927033976438</v>
      </c>
      <c r="P99" s="335">
        <f>100*(O97*$E$93+O98*$I$93+O99*$L$93)/$P$93</f>
        <v>75.817679492261064</v>
      </c>
      <c r="R99" s="107"/>
      <c r="S99" s="107"/>
      <c r="T99" s="305"/>
      <c r="U99" s="334">
        <f>V44</f>
        <v>1.1797261870084475E-2</v>
      </c>
      <c r="V99" s="115" t="s">
        <v>894</v>
      </c>
      <c r="W99" s="334">
        <f>S$100*(1+X61)</f>
        <v>0.35048098737596473</v>
      </c>
      <c r="X99" s="335">
        <f>100*(W97*$E$93+W98*$I$93+W99*$L$93)/$P$93</f>
        <v>39.958922552814563</v>
      </c>
    </row>
    <row r="100" spans="2:24" x14ac:dyDescent="0.3">
      <c r="B100" s="308"/>
      <c r="C100" s="333">
        <f>GUE_PA_HC!H311</f>
        <v>0.41019423010086348</v>
      </c>
      <c r="D100" s="305"/>
      <c r="E100" s="334">
        <f>H61</f>
        <v>-9.5513183560124587E-4</v>
      </c>
      <c r="F100" s="107"/>
      <c r="G100" s="107"/>
      <c r="H100" s="107"/>
      <c r="J100" s="307"/>
      <c r="K100" s="333">
        <f>GUE_PA_HC!U311</f>
        <v>0.74218796164486578</v>
      </c>
      <c r="L100" s="305"/>
      <c r="M100" s="334">
        <f>P61</f>
        <v>1.1066047111278239E-3</v>
      </c>
      <c r="N100" s="107"/>
      <c r="O100" s="107"/>
      <c r="P100" s="107"/>
      <c r="R100" s="307"/>
      <c r="S100" s="333">
        <f>GUE_PA_HC!AH311</f>
        <v>0.36488285963963213</v>
      </c>
      <c r="T100" s="305"/>
      <c r="U100" s="334">
        <f>X61</f>
        <v>-3.9469851441887562E-2</v>
      </c>
      <c r="V100" s="107"/>
      <c r="W100" s="107"/>
      <c r="X100" s="107"/>
    </row>
    <row r="102" spans="2:24" x14ac:dyDescent="0.3"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</row>
    <row r="103" spans="2:24" x14ac:dyDescent="0.3"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</row>
    <row r="104" spans="2:24" x14ac:dyDescent="0.3"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</row>
    <row r="105" spans="2:24" x14ac:dyDescent="0.3"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</row>
    <row r="107" spans="2:24" x14ac:dyDescent="0.3">
      <c r="E107" s="14">
        <f>E108/$P108</f>
        <v>0.2</v>
      </c>
      <c r="F107" s="13"/>
      <c r="G107" s="13"/>
      <c r="H107" s="13"/>
      <c r="I107" s="14">
        <f>I108/$P108</f>
        <v>0.68888888888888888</v>
      </c>
      <c r="J107" s="13"/>
      <c r="K107" s="13"/>
      <c r="L107" s="14">
        <f>L108/$P108</f>
        <v>0.1111111111111111</v>
      </c>
    </row>
    <row r="108" spans="2:24" ht="15.6" x14ac:dyDescent="0.35">
      <c r="B108" t="s">
        <v>938</v>
      </c>
      <c r="D108" s="307" t="s">
        <v>939</v>
      </c>
      <c r="E108" s="309">
        <f>9</f>
        <v>9</v>
      </c>
      <c r="F108" s="107"/>
      <c r="G108" s="107"/>
      <c r="H108" s="307" t="s">
        <v>940</v>
      </c>
      <c r="I108" s="309">
        <f>31</f>
        <v>31</v>
      </c>
      <c r="J108" s="107"/>
      <c r="K108" s="307" t="s">
        <v>941</v>
      </c>
      <c r="L108" s="309">
        <f>5</f>
        <v>5</v>
      </c>
      <c r="M108" s="107"/>
      <c r="N108" s="307" t="s">
        <v>887</v>
      </c>
      <c r="O108" s="307"/>
      <c r="P108" s="309">
        <f>E108+I108+L108</f>
        <v>45</v>
      </c>
    </row>
    <row r="110" spans="2:24" x14ac:dyDescent="0.3">
      <c r="E110" s="14">
        <f>E111/$P111</f>
        <v>8.9108910891089105E-2</v>
      </c>
      <c r="F110" s="13"/>
      <c r="G110" s="13"/>
      <c r="H110" s="13"/>
      <c r="I110" s="14">
        <f>I111/$P111</f>
        <v>0.61386138613861396</v>
      </c>
      <c r="J110" s="13"/>
      <c r="K110" s="13"/>
      <c r="L110" s="14">
        <f>L111/$P111</f>
        <v>0.29702970297029702</v>
      </c>
    </row>
    <row r="111" spans="2:24" ht="15.6" x14ac:dyDescent="0.35">
      <c r="B111" t="s">
        <v>942</v>
      </c>
      <c r="D111" s="307" t="s">
        <v>939</v>
      </c>
      <c r="E111" s="309">
        <f>9/60</f>
        <v>0.15</v>
      </c>
      <c r="F111" s="107"/>
      <c r="G111" s="107"/>
      <c r="H111" s="307" t="s">
        <v>940</v>
      </c>
      <c r="I111" s="309">
        <f>31/30</f>
        <v>1.0333333333333334</v>
      </c>
      <c r="J111" s="107"/>
      <c r="K111" s="307" t="s">
        <v>941</v>
      </c>
      <c r="L111" s="309">
        <f>5/10</f>
        <v>0.5</v>
      </c>
      <c r="M111" s="107"/>
      <c r="N111" s="307" t="s">
        <v>887</v>
      </c>
      <c r="O111" s="307"/>
      <c r="P111" s="309">
        <f>E111+I111+L111</f>
        <v>1.6833333333333333</v>
      </c>
    </row>
    <row r="113" spans="2:16" x14ac:dyDescent="0.3">
      <c r="E113" s="14">
        <f>E114/$P114</f>
        <v>0.13235294117647059</v>
      </c>
      <c r="F113" s="13"/>
      <c r="G113" s="13"/>
      <c r="H113" s="13"/>
      <c r="I113" s="14">
        <f>I114/$P114</f>
        <v>0.68382352941176472</v>
      </c>
      <c r="J113" s="13"/>
      <c r="K113" s="13"/>
      <c r="L113" s="14">
        <f>L114/$P114</f>
        <v>0.18382352941176472</v>
      </c>
    </row>
    <row r="114" spans="2:16" ht="15.6" x14ac:dyDescent="0.35">
      <c r="B114" t="s">
        <v>937</v>
      </c>
      <c r="D114" s="307" t="s">
        <v>939</v>
      </c>
      <c r="E114" s="309">
        <f>9*4</f>
        <v>36</v>
      </c>
      <c r="F114" s="107"/>
      <c r="G114" s="107"/>
      <c r="H114" s="307" t="s">
        <v>940</v>
      </c>
      <c r="I114" s="309">
        <f>31*6</f>
        <v>186</v>
      </c>
      <c r="J114" s="107"/>
      <c r="K114" s="307" t="s">
        <v>941</v>
      </c>
      <c r="L114" s="309">
        <f>5*10</f>
        <v>50</v>
      </c>
      <c r="M114" s="107"/>
      <c r="N114" s="307" t="s">
        <v>887</v>
      </c>
      <c r="O114" s="307"/>
      <c r="P114" s="309">
        <f>E114+I114+L114</f>
        <v>272</v>
      </c>
    </row>
    <row r="116" spans="2:16" x14ac:dyDescent="0.3">
      <c r="B116" s="348"/>
      <c r="C116" s="69"/>
      <c r="D116" s="69"/>
      <c r="E116" s="349">
        <f>E117/$P117</f>
        <v>0.14917127071823205</v>
      </c>
      <c r="F116" s="338"/>
      <c r="G116" s="338"/>
      <c r="H116" s="338"/>
      <c r="I116" s="349">
        <f>I117/$P117</f>
        <v>0.68508287292817682</v>
      </c>
      <c r="J116" s="338"/>
      <c r="K116" s="338"/>
      <c r="L116" s="349">
        <f>L117/$P117</f>
        <v>0.16574585635359115</v>
      </c>
      <c r="M116" s="69"/>
      <c r="N116" s="69"/>
      <c r="O116" s="69"/>
      <c r="P116" s="350"/>
    </row>
    <row r="117" spans="2:16" ht="15.6" x14ac:dyDescent="0.35">
      <c r="B117" s="351" t="s">
        <v>943</v>
      </c>
      <c r="C117" s="58"/>
      <c r="D117" s="307" t="s">
        <v>939</v>
      </c>
      <c r="E117" s="309">
        <f>9*6</f>
        <v>54</v>
      </c>
      <c r="F117" s="141"/>
      <c r="G117" s="141"/>
      <c r="H117" s="307" t="s">
        <v>940</v>
      </c>
      <c r="I117" s="309">
        <f>31*8</f>
        <v>248</v>
      </c>
      <c r="J117" s="141"/>
      <c r="K117" s="307" t="s">
        <v>941</v>
      </c>
      <c r="L117" s="309">
        <f>5*12</f>
        <v>60</v>
      </c>
      <c r="M117" s="141"/>
      <c r="N117" s="307" t="s">
        <v>887</v>
      </c>
      <c r="O117" s="307"/>
      <c r="P117" s="309">
        <f>E117+I117+L117</f>
        <v>362</v>
      </c>
    </row>
    <row r="119" spans="2:16" x14ac:dyDescent="0.3">
      <c r="E119" s="14">
        <f>E120/$P120</f>
        <v>9.375E-2</v>
      </c>
      <c r="F119" s="13"/>
      <c r="G119" s="13"/>
      <c r="H119" s="13"/>
      <c r="I119" s="14">
        <f>I120/$P120</f>
        <v>0.64583333333333337</v>
      </c>
      <c r="J119" s="13"/>
      <c r="K119" s="13"/>
      <c r="L119" s="14">
        <f>L120/$P120</f>
        <v>0.26041666666666669</v>
      </c>
    </row>
    <row r="120" spans="2:16" ht="15.6" x14ac:dyDescent="0.35">
      <c r="B120" t="s">
        <v>936</v>
      </c>
      <c r="D120" s="307" t="s">
        <v>939</v>
      </c>
      <c r="E120" s="309">
        <f>9*4*6</f>
        <v>216</v>
      </c>
      <c r="F120" s="107"/>
      <c r="G120" s="107"/>
      <c r="H120" s="307" t="s">
        <v>940</v>
      </c>
      <c r="I120" s="309">
        <f>31*6*8</f>
        <v>1488</v>
      </c>
      <c r="J120" s="107"/>
      <c r="K120" s="307" t="s">
        <v>941</v>
      </c>
      <c r="L120" s="309">
        <f>5*10*12</f>
        <v>600</v>
      </c>
      <c r="M120" s="107"/>
      <c r="N120" s="307" t="s">
        <v>887</v>
      </c>
      <c r="O120" s="307"/>
      <c r="P120" s="309">
        <f>E120+I120+L120</f>
        <v>2304</v>
      </c>
    </row>
    <row r="122" spans="2:16" x14ac:dyDescent="0.3">
      <c r="E122" s="14">
        <f>E123/$P123</f>
        <v>5.9340659340659338E-2</v>
      </c>
      <c r="F122" s="13"/>
      <c r="G122" s="13"/>
      <c r="H122" s="13"/>
      <c r="I122" s="14">
        <f>I123/$P123</f>
        <v>0.54505494505494512</v>
      </c>
      <c r="J122" s="13"/>
      <c r="K122" s="13"/>
      <c r="L122" s="14">
        <f>L123/$P123</f>
        <v>0.39560439560439559</v>
      </c>
    </row>
    <row r="123" spans="2:16" ht="15.6" x14ac:dyDescent="0.35">
      <c r="B123" t="s">
        <v>944</v>
      </c>
      <c r="D123" s="307" t="s">
        <v>939</v>
      </c>
      <c r="E123" s="309">
        <f>9*6/60</f>
        <v>0.9</v>
      </c>
      <c r="F123" s="107"/>
      <c r="G123" s="107"/>
      <c r="H123" s="307" t="s">
        <v>940</v>
      </c>
      <c r="I123" s="309">
        <f>31*8/30</f>
        <v>8.2666666666666675</v>
      </c>
      <c r="J123" s="107"/>
      <c r="K123" s="307" t="s">
        <v>941</v>
      </c>
      <c r="L123" s="309">
        <f>5*12/10</f>
        <v>6</v>
      </c>
      <c r="M123" s="107"/>
      <c r="N123" s="307" t="s">
        <v>887</v>
      </c>
      <c r="O123" s="307"/>
      <c r="P123" s="309">
        <f>E123+I123+L123</f>
        <v>15.166666666666668</v>
      </c>
    </row>
    <row r="125" spans="2:16" x14ac:dyDescent="0.3">
      <c r="E125" s="14">
        <f>E126/$P126</f>
        <v>3.1802120141342753E-2</v>
      </c>
      <c r="F125" s="13"/>
      <c r="G125" s="13"/>
      <c r="H125" s="13"/>
      <c r="I125" s="14">
        <f>I126/$P126</f>
        <v>0.43816254416961131</v>
      </c>
      <c r="J125" s="13"/>
      <c r="K125" s="13"/>
      <c r="L125" s="14">
        <f>L126/$P126</f>
        <v>0.53003533568904593</v>
      </c>
    </row>
    <row r="126" spans="2:16" ht="15.6" x14ac:dyDescent="0.35">
      <c r="B126" t="s">
        <v>945</v>
      </c>
      <c r="D126" s="307" t="s">
        <v>939</v>
      </c>
      <c r="E126" s="309">
        <f>9*4*6/60</f>
        <v>3.6</v>
      </c>
      <c r="F126" s="107"/>
      <c r="G126" s="107"/>
      <c r="H126" s="307" t="s">
        <v>940</v>
      </c>
      <c r="I126" s="309">
        <f>31*6*8/30</f>
        <v>49.6</v>
      </c>
      <c r="J126" s="107"/>
      <c r="K126" s="307" t="s">
        <v>941</v>
      </c>
      <c r="L126" s="309">
        <f>5*10*12/10</f>
        <v>60</v>
      </c>
      <c r="M126" s="107"/>
      <c r="N126" s="307" t="s">
        <v>887</v>
      </c>
      <c r="O126" s="307"/>
      <c r="P126" s="309">
        <f>E126+I126+L126</f>
        <v>113.2</v>
      </c>
    </row>
  </sheetData>
  <phoneticPr fontId="4" type="noConversion"/>
  <conditionalFormatting sqref="X99 P99 H99">
    <cfRule type="colorScale" priority="1">
      <colorScale>
        <cfvo type="num" val="0"/>
        <cfvo type="num" val="40"/>
        <cfvo type="num" val="80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C12C7-E386-440D-AD74-B6CA9B4895FB}">
  <dimension ref="B2:Z173"/>
  <sheetViews>
    <sheetView zoomScale="85" zoomScaleNormal="85" workbookViewId="0">
      <selection activeCell="E11" sqref="E11"/>
    </sheetView>
  </sheetViews>
  <sheetFormatPr baseColWidth="10" defaultRowHeight="14.4" x14ac:dyDescent="0.3"/>
  <cols>
    <col min="2" max="2" width="16.5546875" bestFit="1" customWidth="1"/>
    <col min="4" max="8" width="10.33203125" customWidth="1"/>
  </cols>
  <sheetData>
    <row r="2" spans="2:24" x14ac:dyDescent="0.3">
      <c r="B2" s="361" t="s">
        <v>650</v>
      </c>
      <c r="C2" s="361"/>
      <c r="D2" s="361"/>
      <c r="E2" s="361"/>
      <c r="F2" s="361"/>
      <c r="G2" s="361"/>
      <c r="H2" s="361"/>
      <c r="I2" s="361"/>
      <c r="J2" s="361"/>
      <c r="K2" s="361"/>
      <c r="L2" s="361"/>
      <c r="Q2" t="s">
        <v>706</v>
      </c>
      <c r="W2" t="s">
        <v>730</v>
      </c>
    </row>
    <row r="3" spans="2:24" x14ac:dyDescent="0.3">
      <c r="B3" t="s">
        <v>635</v>
      </c>
      <c r="J3" s="1" t="s">
        <v>58</v>
      </c>
      <c r="O3" s="170">
        <v>1977</v>
      </c>
      <c r="P3" t="s">
        <v>707</v>
      </c>
      <c r="Q3" s="224">
        <v>28132</v>
      </c>
    </row>
    <row r="4" spans="2:24" ht="15.6" x14ac:dyDescent="0.35">
      <c r="C4" s="1" t="s">
        <v>0</v>
      </c>
      <c r="D4" s="90" t="s">
        <v>524</v>
      </c>
      <c r="E4" s="91" t="s">
        <v>523</v>
      </c>
      <c r="F4" s="92" t="s">
        <v>525</v>
      </c>
      <c r="G4" s="124" t="s">
        <v>526</v>
      </c>
      <c r="H4" s="123" t="s">
        <v>527</v>
      </c>
      <c r="I4" s="1" t="s">
        <v>20</v>
      </c>
      <c r="J4" s="1" t="s">
        <v>1</v>
      </c>
      <c r="K4" s="1" t="s">
        <v>13</v>
      </c>
      <c r="M4" s="1" t="s">
        <v>56</v>
      </c>
      <c r="O4" s="171">
        <v>1988</v>
      </c>
      <c r="P4" t="s">
        <v>708</v>
      </c>
      <c r="Q4" s="224">
        <v>32224</v>
      </c>
      <c r="R4" s="224">
        <v>32249</v>
      </c>
    </row>
    <row r="5" spans="2:24" x14ac:dyDescent="0.3">
      <c r="B5" t="s">
        <v>3</v>
      </c>
      <c r="C5" s="198" t="s">
        <v>524</v>
      </c>
      <c r="D5" s="197">
        <f>'77_Seeds'!AL83+'88_Seeds'!AL83+'88T_Seeds'!AL83+'91T_Seeds'!AL83+'01T_Seeds'!AL83+'07E_Seeds'!AL83+'11E_Seeds'!AL83+'15O_Seeds'!AL83+'19O_Seeds'!AL83+'19M_Seeds'!AL83+'24M_Seeds'!AL83</f>
        <v>2183</v>
      </c>
      <c r="E5" s="3">
        <f>'77_Seeds'!AM83+'88_Seeds'!AM83+'88T_Seeds'!AM83+'91T_Seeds'!AM83+'01T_Seeds'!AM83+'07E_Seeds'!AM83+'11E_Seeds'!AM83+'15O_Seeds'!AM83+'19O_Seeds'!AM83+'19M_Seeds'!AM83+'24M_Seeds'!AM83</f>
        <v>0</v>
      </c>
      <c r="F5" s="3">
        <f>'77_Seeds'!AN83+'88_Seeds'!AN83+'88T_Seeds'!AN83+'91T_Seeds'!AN83+'01T_Seeds'!AN83+'07E_Seeds'!AN83+'11E_Seeds'!AN83+'15O_Seeds'!AN83+'19O_Seeds'!AN83+'19M_Seeds'!AN83+'24M_Seeds'!AN83</f>
        <v>0</v>
      </c>
      <c r="G5" s="186">
        <f>'77_Seeds'!AO83+'88_Seeds'!AO83+'88T_Seeds'!AO83+'91T_Seeds'!AO83+'01T_Seeds'!AO83+'07E_Seeds'!AO83+'11E_Seeds'!AO83+'15O_Seeds'!AO83+'19O_Seeds'!AO83+'19M_Seeds'!AO83+'24M_Seeds'!AO83</f>
        <v>1</v>
      </c>
      <c r="H5" s="4">
        <f>'77_Seeds'!AP83+'88_Seeds'!AP83+'88T_Seeds'!AP83+'91T_Seeds'!AP83+'01T_Seeds'!AP83+'07E_Seeds'!AP83+'11E_Seeds'!AP83+'15O_Seeds'!AP83+'19O_Seeds'!AP83+'19M_Seeds'!AP83+'24M_Seeds'!AP83</f>
        <v>0</v>
      </c>
      <c r="I5" s="1">
        <f>SUM(D5:H5)</f>
        <v>2184</v>
      </c>
      <c r="J5" s="10">
        <f>D5/I5</f>
        <v>0.99954212454212454</v>
      </c>
      <c r="K5" s="11">
        <f>1-J5</f>
        <v>4.5787545787545625E-4</v>
      </c>
      <c r="L5">
        <f>I5-D10</f>
        <v>1</v>
      </c>
      <c r="M5" s="10">
        <f>2*(D11*J5)/(D11+J5)</f>
        <v>0.99977100984657663</v>
      </c>
      <c r="O5" s="171" t="s">
        <v>397</v>
      </c>
      <c r="P5" t="s">
        <v>709</v>
      </c>
      <c r="Q5" s="224">
        <v>32128</v>
      </c>
      <c r="R5" s="224">
        <v>32224</v>
      </c>
      <c r="S5" s="224">
        <v>32249</v>
      </c>
    </row>
    <row r="6" spans="2:24" x14ac:dyDescent="0.3">
      <c r="B6" t="s">
        <v>4</v>
      </c>
      <c r="C6" s="199" t="s">
        <v>523</v>
      </c>
      <c r="D6" s="1">
        <f>'77_Seeds'!AL84+'88_Seeds'!AL84+'88T_Seeds'!AL84+'91T_Seeds'!AL84+'01T_Seeds'!AL84+'07E_Seeds'!AL84+'11E_Seeds'!AL84+'15O_Seeds'!AL84+'19O_Seeds'!AL84+'19M_Seeds'!AL84+'24M_Seeds'!AL84</f>
        <v>0</v>
      </c>
      <c r="E6" s="184">
        <f>'77_Seeds'!AM84+'88_Seeds'!AM84+'88T_Seeds'!AM84+'91T_Seeds'!AM84+'01T_Seeds'!AM84+'07E_Seeds'!AM84+'11E_Seeds'!AM84+'15O_Seeds'!AM84+'19O_Seeds'!AM84+'19M_Seeds'!AM84+'24M_Seeds'!AM84</f>
        <v>2813</v>
      </c>
      <c r="F6" s="189">
        <f>'77_Seeds'!AN84+'88_Seeds'!AN84+'88T_Seeds'!AN84+'91T_Seeds'!AN84+'01T_Seeds'!AN84+'07E_Seeds'!AN84+'11E_Seeds'!AN84+'15O_Seeds'!AN84+'19O_Seeds'!AN84+'19M_Seeds'!AN84+'24M_Seeds'!AN84</f>
        <v>269</v>
      </c>
      <c r="G6" s="187">
        <f>'77_Seeds'!AO84+'88_Seeds'!AO84+'88T_Seeds'!AO84+'91T_Seeds'!AO84+'01T_Seeds'!AO84+'07E_Seeds'!AO84+'11E_Seeds'!AO84+'15O_Seeds'!AO84+'19O_Seeds'!AO84+'19M_Seeds'!AO84+'24M_Seeds'!AO84</f>
        <v>1</v>
      </c>
      <c r="H6" s="188">
        <f>'77_Seeds'!AP84+'88_Seeds'!AP84+'88T_Seeds'!AP84+'91T_Seeds'!AP84+'01T_Seeds'!AP84+'07E_Seeds'!AP84+'11E_Seeds'!AP84+'15O_Seeds'!AP84+'19O_Seeds'!AP84+'19M_Seeds'!AP84+'24M_Seeds'!AP84</f>
        <v>30</v>
      </c>
      <c r="I6" s="1">
        <f>SUM(D6:H6)</f>
        <v>3113</v>
      </c>
      <c r="J6" s="10">
        <f>E6/I6</f>
        <v>0.90362993896562804</v>
      </c>
      <c r="K6" s="11">
        <f>1-J6</f>
        <v>9.6370061034371957E-2</v>
      </c>
      <c r="L6">
        <f>I6-E10</f>
        <v>-1580</v>
      </c>
      <c r="M6" s="10">
        <f>2*(E11*J6)/(E11+J6)</f>
        <v>0.72072764540097356</v>
      </c>
      <c r="O6" s="171" t="s">
        <v>401</v>
      </c>
      <c r="P6" t="s">
        <v>710</v>
      </c>
      <c r="Q6" s="224">
        <v>33313</v>
      </c>
      <c r="R6" s="224">
        <v>33320</v>
      </c>
    </row>
    <row r="7" spans="2:24" x14ac:dyDescent="0.3">
      <c r="B7" t="s">
        <v>5</v>
      </c>
      <c r="C7" s="200" t="s">
        <v>525</v>
      </c>
      <c r="D7" s="1">
        <f>'77_Seeds'!AL85+'88_Seeds'!AL85+'88T_Seeds'!AL85+'91T_Seeds'!AL85+'01T_Seeds'!AL85+'07E_Seeds'!AL85+'11E_Seeds'!AL85+'15O_Seeds'!AL85+'19O_Seeds'!AL85+'19M_Seeds'!AL85+'24M_Seeds'!AL85</f>
        <v>0</v>
      </c>
      <c r="E7" s="185">
        <f>'77_Seeds'!AM85+'88_Seeds'!AM85+'88T_Seeds'!AM85+'91T_Seeds'!AM85+'01T_Seeds'!AM85+'07E_Seeds'!AM85+'11E_Seeds'!AM85+'15O_Seeds'!AM85+'19O_Seeds'!AM85+'19M_Seeds'!AM85+'24M_Seeds'!AM85</f>
        <v>1691</v>
      </c>
      <c r="F7" s="183">
        <f>'77_Seeds'!AN85+'88_Seeds'!AN85+'88T_Seeds'!AN85+'91T_Seeds'!AN85+'01T_Seeds'!AN85+'07E_Seeds'!AN85+'11E_Seeds'!AN85+'15O_Seeds'!AN85+'19O_Seeds'!AN85+'19M_Seeds'!AN85+'24M_Seeds'!AN85</f>
        <v>65482</v>
      </c>
      <c r="G7" s="189">
        <f>'77_Seeds'!AO85+'88_Seeds'!AO85+'88T_Seeds'!AO85+'91T_Seeds'!AO85+'01T_Seeds'!AO85+'07E_Seeds'!AO85+'11E_Seeds'!AO85+'15O_Seeds'!AO85+'19O_Seeds'!AO85+'19M_Seeds'!AO85+'24M_Seeds'!AO85</f>
        <v>754</v>
      </c>
      <c r="H7" s="192">
        <f>'77_Seeds'!AP85+'88_Seeds'!AP85+'88T_Seeds'!AP85+'91T_Seeds'!AP85+'01T_Seeds'!AP85+'07E_Seeds'!AP85+'11E_Seeds'!AP85+'15O_Seeds'!AP85+'19O_Seeds'!AP85+'19M_Seeds'!AP85+'24M_Seeds'!AP85</f>
        <v>501</v>
      </c>
      <c r="I7" s="1">
        <f>SUM(D7:H7)</f>
        <v>68428</v>
      </c>
      <c r="J7" s="10">
        <f>F7/I7</f>
        <v>0.95694744841293033</v>
      </c>
      <c r="K7" s="11">
        <f>1-J7</f>
        <v>4.3052551587069665E-2</v>
      </c>
      <c r="L7">
        <f>I7-F10</f>
        <v>1761</v>
      </c>
      <c r="M7" s="10">
        <f>2*(F11*J7)/(F11+J7)</f>
        <v>0.96942151819090261</v>
      </c>
      <c r="O7" s="171" t="s">
        <v>405</v>
      </c>
      <c r="P7" t="s">
        <v>707</v>
      </c>
      <c r="Q7" s="224">
        <v>36920</v>
      </c>
      <c r="R7" s="225">
        <v>36921</v>
      </c>
    </row>
    <row r="8" spans="2:24" x14ac:dyDescent="0.3">
      <c r="B8" t="s">
        <v>6</v>
      </c>
      <c r="C8" s="201" t="s">
        <v>526</v>
      </c>
      <c r="D8" s="1">
        <f>'77_Seeds'!AL86+'88_Seeds'!AL86+'88T_Seeds'!AL86+'91T_Seeds'!AL86+'01T_Seeds'!AL86+'07E_Seeds'!AL86+'11E_Seeds'!AL86+'15O_Seeds'!AL86+'19O_Seeds'!AL86+'19M_Seeds'!AL86+'24M_Seeds'!AL86</f>
        <v>0</v>
      </c>
      <c r="E8" s="187">
        <f>'77_Seeds'!AM86+'88_Seeds'!AM86+'88T_Seeds'!AM86+'91T_Seeds'!AM86+'01T_Seeds'!AM86+'07E_Seeds'!AM86+'11E_Seeds'!AM86+'15O_Seeds'!AM86+'19O_Seeds'!AM86+'19M_Seeds'!AM86+'24M_Seeds'!AM86</f>
        <v>57</v>
      </c>
      <c r="F8" s="189">
        <f>'77_Seeds'!AN86+'88_Seeds'!AN86+'88T_Seeds'!AN86+'91T_Seeds'!AN86+'01T_Seeds'!AN86+'07E_Seeds'!AN86+'11E_Seeds'!AN86+'15O_Seeds'!AN86+'19O_Seeds'!AN86+'19M_Seeds'!AN86+'24M_Seeds'!AN86</f>
        <v>702</v>
      </c>
      <c r="G8" s="183">
        <f>'77_Seeds'!AO86+'88_Seeds'!AO86+'88T_Seeds'!AO86+'91T_Seeds'!AO86+'01T_Seeds'!AO86+'07E_Seeds'!AO86+'11E_Seeds'!AO86+'15O_Seeds'!AO86+'19O_Seeds'!AO86+'19M_Seeds'!AO86+'24M_Seeds'!AO86</f>
        <v>22455</v>
      </c>
      <c r="H8" s="193">
        <f>'77_Seeds'!AP86+'88_Seeds'!AP86+'88T_Seeds'!AP86+'91T_Seeds'!AP86+'01T_Seeds'!AP86+'07E_Seeds'!AP86+'11E_Seeds'!AP86+'15O_Seeds'!AP86+'19O_Seeds'!AP86+'19M_Seeds'!AP86+'24M_Seeds'!AP86</f>
        <v>1165</v>
      </c>
      <c r="I8" s="1">
        <f>SUM(D8:H8)</f>
        <v>24379</v>
      </c>
      <c r="J8" s="10">
        <f>G8/I8</f>
        <v>0.92107961770376146</v>
      </c>
      <c r="K8" s="11">
        <f>1-J8</f>
        <v>7.8920382296238545E-2</v>
      </c>
      <c r="L8">
        <f>I8-G10</f>
        <v>-177</v>
      </c>
      <c r="M8" s="10">
        <f>2*(G11*J8)/(G11+J8)</f>
        <v>0.91774803310513953</v>
      </c>
      <c r="O8" s="171" t="s">
        <v>429</v>
      </c>
      <c r="P8" t="s">
        <v>711</v>
      </c>
      <c r="Q8" s="224">
        <v>39113</v>
      </c>
      <c r="R8" s="224">
        <v>39120</v>
      </c>
      <c r="S8" s="224">
        <v>39129</v>
      </c>
      <c r="T8" s="224">
        <v>39136</v>
      </c>
    </row>
    <row r="9" spans="2:24" x14ac:dyDescent="0.3">
      <c r="B9" t="s">
        <v>7</v>
      </c>
      <c r="C9" s="202" t="s">
        <v>527</v>
      </c>
      <c r="D9" s="8">
        <f>'77_Seeds'!AL87+'88_Seeds'!AL87+'88T_Seeds'!AL87+'91T_Seeds'!AL87+'01T_Seeds'!AL87+'07E_Seeds'!AL87+'11E_Seeds'!AL87+'15O_Seeds'!AL87+'19O_Seeds'!AL87+'19M_Seeds'!AL87+'24M_Seeds'!AL87</f>
        <v>0</v>
      </c>
      <c r="E9" s="191">
        <f>'77_Seeds'!AM87+'88_Seeds'!AM87+'88T_Seeds'!AM87+'91T_Seeds'!AM87+'01T_Seeds'!AM87+'07E_Seeds'!AM87+'11E_Seeds'!AM87+'15O_Seeds'!AM87+'19O_Seeds'!AM87+'19M_Seeds'!AM87+'24M_Seeds'!AM87</f>
        <v>132</v>
      </c>
      <c r="F9" s="190">
        <f>'77_Seeds'!AN87+'88_Seeds'!AN87+'88T_Seeds'!AN87+'91T_Seeds'!AN87+'01T_Seeds'!AN87+'07E_Seeds'!AN87+'11E_Seeds'!AN87+'15O_Seeds'!AN87+'19O_Seeds'!AN87+'19M_Seeds'!AN87+'24M_Seeds'!AN87</f>
        <v>214</v>
      </c>
      <c r="G9" s="194">
        <f>'77_Seeds'!AO87+'88_Seeds'!AO87+'88T_Seeds'!AO87+'91T_Seeds'!AO87+'01T_Seeds'!AO87+'07E_Seeds'!AO87+'11E_Seeds'!AO87+'15O_Seeds'!AO87+'19O_Seeds'!AO87+'19M_Seeds'!AO87+'24M_Seeds'!AO87</f>
        <v>1345</v>
      </c>
      <c r="H9" s="211">
        <f>'77_Seeds'!AP87+'88_Seeds'!AP87+'88T_Seeds'!AP87+'91T_Seeds'!AP87+'01T_Seeds'!AP87+'07E_Seeds'!AP87+'11E_Seeds'!AP87+'15O_Seeds'!AP87+'19O_Seeds'!AP87+'19M_Seeds'!AP87+'24M_Seeds'!AP87</f>
        <v>7267</v>
      </c>
      <c r="I9" s="1">
        <f>SUM(D9:H9)</f>
        <v>8958</v>
      </c>
      <c r="J9" s="10">
        <f>H9/I9</f>
        <v>0.81123018530922086</v>
      </c>
      <c r="K9" s="11">
        <f>1-J9</f>
        <v>0.18876981469077914</v>
      </c>
      <c r="L9">
        <f>I9-H10</f>
        <v>-5</v>
      </c>
      <c r="M9" s="10">
        <f>2*(H11*J9)/(H11+J9)</f>
        <v>0.81100385023157195</v>
      </c>
      <c r="O9" s="171" t="s">
        <v>437</v>
      </c>
      <c r="P9" t="s">
        <v>711</v>
      </c>
      <c r="Q9" s="224">
        <v>40544</v>
      </c>
      <c r="R9" s="224">
        <v>40553</v>
      </c>
      <c r="S9" s="224">
        <v>40560</v>
      </c>
      <c r="T9" s="224">
        <v>40569</v>
      </c>
      <c r="U9" s="224">
        <v>40576</v>
      </c>
    </row>
    <row r="10" spans="2:24" ht="15.6" x14ac:dyDescent="0.35">
      <c r="C10" s="1" t="s">
        <v>19</v>
      </c>
      <c r="D10" s="1">
        <f>SUM(D5:D9)</f>
        <v>2183</v>
      </c>
      <c r="E10" s="1">
        <f>SUM(E5:E9)</f>
        <v>4693</v>
      </c>
      <c r="F10" s="1">
        <f>SUM(F5:F9)</f>
        <v>66667</v>
      </c>
      <c r="G10" s="1">
        <f>SUM(G5:G9)</f>
        <v>24556</v>
      </c>
      <c r="H10" s="1">
        <f>SUM(H5:H9)</f>
        <v>8963</v>
      </c>
      <c r="I10" s="1">
        <f>SUM(I4:I9)</f>
        <v>107062</v>
      </c>
      <c r="J10" s="13" t="s">
        <v>12</v>
      </c>
      <c r="O10" s="171" t="s">
        <v>530</v>
      </c>
      <c r="P10" t="s">
        <v>712</v>
      </c>
      <c r="Q10" s="224">
        <v>42001</v>
      </c>
      <c r="R10" s="224">
        <v>42008</v>
      </c>
      <c r="S10" s="224">
        <v>42017</v>
      </c>
      <c r="T10" s="224">
        <v>42056</v>
      </c>
    </row>
    <row r="11" spans="2:24" x14ac:dyDescent="0.3">
      <c r="B11" s="1" t="s">
        <v>321</v>
      </c>
      <c r="C11" s="1" t="s">
        <v>2</v>
      </c>
      <c r="D11" s="10">
        <f>D5/D10</f>
        <v>1</v>
      </c>
      <c r="E11" s="10">
        <f>E6/E10</f>
        <v>0.59940336671638605</v>
      </c>
      <c r="F11" s="10">
        <f>F7/F10</f>
        <v>0.98222508887455562</v>
      </c>
      <c r="G11" s="10">
        <f>G8/G10</f>
        <v>0.91444046261606127</v>
      </c>
      <c r="H11" s="10">
        <f>H9/H10</f>
        <v>0.81077764141470487</v>
      </c>
      <c r="I11" s="10"/>
      <c r="J11" s="14">
        <f>(D5+E6+F7+G8+H9)/I10</f>
        <v>0.93590629728568497</v>
      </c>
      <c r="O11" s="171" t="s">
        <v>531</v>
      </c>
      <c r="P11" t="s">
        <v>713</v>
      </c>
      <c r="Q11" s="224">
        <v>43464</v>
      </c>
      <c r="R11" s="224">
        <v>43521</v>
      </c>
    </row>
    <row r="12" spans="2:24" x14ac:dyDescent="0.3">
      <c r="C12" s="1" t="s">
        <v>14</v>
      </c>
      <c r="D12" s="11">
        <f>1-D11</f>
        <v>0</v>
      </c>
      <c r="E12" s="11">
        <f>1-E11</f>
        <v>0.40059663328361395</v>
      </c>
      <c r="F12" s="11">
        <f>1-F11</f>
        <v>1.7774911125444381E-2</v>
      </c>
      <c r="G12" s="11">
        <f>1-G11</f>
        <v>8.5559537383938733E-2</v>
      </c>
      <c r="H12" s="11">
        <f>1-H11</f>
        <v>0.18922235858529513</v>
      </c>
      <c r="O12" s="171" t="s">
        <v>532</v>
      </c>
      <c r="P12" t="s">
        <v>713</v>
      </c>
      <c r="Q12" s="224">
        <v>43459</v>
      </c>
      <c r="R12" s="224">
        <v>43511</v>
      </c>
      <c r="T12" s="224"/>
      <c r="W12" s="226">
        <v>0.64659722222222227</v>
      </c>
      <c r="X12" s="226">
        <v>0.6369097222222222</v>
      </c>
    </row>
    <row r="13" spans="2:24" x14ac:dyDescent="0.3">
      <c r="D13" s="2"/>
      <c r="O13" s="172" t="s">
        <v>461</v>
      </c>
      <c r="P13" t="s">
        <v>707</v>
      </c>
      <c r="Q13" s="224">
        <v>45314</v>
      </c>
      <c r="R13" s="224">
        <v>45316</v>
      </c>
      <c r="W13" s="226">
        <v>0.64362268518518517</v>
      </c>
      <c r="X13" s="226">
        <v>0.63924768518518515</v>
      </c>
    </row>
    <row r="14" spans="2:24" x14ac:dyDescent="0.3">
      <c r="B14" s="1" t="s">
        <v>603</v>
      </c>
      <c r="C14" s="1" t="s">
        <v>604</v>
      </c>
      <c r="D14" s="1" t="s">
        <v>608</v>
      </c>
      <c r="E14" s="1" t="s">
        <v>605</v>
      </c>
      <c r="F14" s="1" t="s">
        <v>607</v>
      </c>
      <c r="G14" s="1" t="s">
        <v>606</v>
      </c>
    </row>
    <row r="15" spans="2:24" x14ac:dyDescent="0.3">
      <c r="B15" s="1">
        <f>_xlfn.QUARTILE.INC(D5:H9,1)</f>
        <v>0</v>
      </c>
      <c r="C15" s="1">
        <f>_xlfn.QUARTILE.EXC(D5:H9,2)</f>
        <v>214</v>
      </c>
      <c r="D15" s="1">
        <f>_xlfn.PERCENTILE.INC(D5:H9,0.7)</f>
        <v>1082.7999999999988</v>
      </c>
      <c r="E15" s="1">
        <f>_xlfn.QUARTILE.EXC(D5:H9,3)</f>
        <v>1518</v>
      </c>
      <c r="F15" s="1">
        <f>AVERAGE(D5:H9)</f>
        <v>4282.4799999999996</v>
      </c>
      <c r="G15" s="1">
        <f>MAX(D5:H9)</f>
        <v>65482</v>
      </c>
      <c r="O15" s="170">
        <v>1977</v>
      </c>
      <c r="P15" t="s">
        <v>707</v>
      </c>
      <c r="Q15" s="170">
        <v>1977</v>
      </c>
      <c r="R15" t="s">
        <v>725</v>
      </c>
    </row>
    <row r="16" spans="2:24" x14ac:dyDescent="0.3">
      <c r="B16" s="205">
        <v>0</v>
      </c>
      <c r="C16" s="205" t="s">
        <v>621</v>
      </c>
      <c r="D16" s="205" t="s">
        <v>617</v>
      </c>
      <c r="E16" s="205" t="s">
        <v>618</v>
      </c>
      <c r="F16" s="205" t="s">
        <v>619</v>
      </c>
      <c r="G16" s="205" t="s">
        <v>620</v>
      </c>
      <c r="O16" s="171" t="s">
        <v>405</v>
      </c>
      <c r="P16" t="s">
        <v>707</v>
      </c>
      <c r="Q16" s="171" t="s">
        <v>405</v>
      </c>
      <c r="R16" t="s">
        <v>725</v>
      </c>
    </row>
    <row r="17" spans="2:25" x14ac:dyDescent="0.3">
      <c r="B17" s="205"/>
      <c r="C17" s="206"/>
      <c r="D17" s="207"/>
      <c r="E17" s="208"/>
      <c r="F17" s="209"/>
      <c r="G17" s="210"/>
      <c r="O17" s="172" t="s">
        <v>461</v>
      </c>
      <c r="P17" t="s">
        <v>707</v>
      </c>
    </row>
    <row r="18" spans="2:25" x14ac:dyDescent="0.3">
      <c r="C18" s="1" t="s">
        <v>2</v>
      </c>
      <c r="D18" s="1" t="s">
        <v>1</v>
      </c>
      <c r="E18" s="1" t="s">
        <v>576</v>
      </c>
      <c r="Q18" s="171">
        <v>1988</v>
      </c>
      <c r="R18" t="s">
        <v>726</v>
      </c>
    </row>
    <row r="19" spans="2:25" x14ac:dyDescent="0.3">
      <c r="B19" s="198" t="s">
        <v>524</v>
      </c>
      <c r="C19" s="57">
        <f>D11*100</f>
        <v>100</v>
      </c>
      <c r="D19" s="57">
        <f>J5*100</f>
        <v>99.954212454212453</v>
      </c>
      <c r="E19" s="57">
        <f>Spectral!R119</f>
        <v>59.003013078138778</v>
      </c>
      <c r="F19" t="s">
        <v>669</v>
      </c>
      <c r="O19" s="171" t="s">
        <v>429</v>
      </c>
      <c r="P19" t="s">
        <v>711</v>
      </c>
      <c r="Q19" s="171" t="s">
        <v>401</v>
      </c>
      <c r="R19" t="s">
        <v>726</v>
      </c>
    </row>
    <row r="20" spans="2:25" x14ac:dyDescent="0.3">
      <c r="B20" s="199" t="s">
        <v>523</v>
      </c>
      <c r="C20" s="57">
        <f>E11*100</f>
        <v>59.940336671638605</v>
      </c>
      <c r="D20" s="57">
        <f t="shared" ref="D20:D23" si="0">J6*100</f>
        <v>90.362993896562799</v>
      </c>
      <c r="E20" s="57">
        <f>Spectral!S119</f>
        <v>20.515043379326052</v>
      </c>
      <c r="F20" t="s">
        <v>670</v>
      </c>
      <c r="O20" s="171" t="s">
        <v>437</v>
      </c>
      <c r="P20" t="s">
        <v>711</v>
      </c>
      <c r="Q20" s="171" t="s">
        <v>531</v>
      </c>
      <c r="R20" t="s">
        <v>726</v>
      </c>
    </row>
    <row r="21" spans="2:25" x14ac:dyDescent="0.3">
      <c r="B21" s="200" t="s">
        <v>525</v>
      </c>
      <c r="C21" s="57">
        <f>F11*100</f>
        <v>98.222508887455561</v>
      </c>
      <c r="D21" s="57">
        <f t="shared" si="0"/>
        <v>95.69474484129303</v>
      </c>
      <c r="E21" s="57">
        <f>Spectral!T119</f>
        <v>23.353552854926413</v>
      </c>
      <c r="F21" t="s">
        <v>671</v>
      </c>
      <c r="Q21" s="171" t="s">
        <v>532</v>
      </c>
      <c r="R21" t="s">
        <v>726</v>
      </c>
    </row>
    <row r="22" spans="2:25" x14ac:dyDescent="0.3">
      <c r="B22" s="201" t="s">
        <v>526</v>
      </c>
      <c r="C22" s="57">
        <f>G11*100</f>
        <v>91.444046261606132</v>
      </c>
      <c r="D22" s="57">
        <f t="shared" si="0"/>
        <v>92.10796177037615</v>
      </c>
      <c r="E22" s="57">
        <f>Spectral!U119</f>
        <v>26.672062185134969</v>
      </c>
      <c r="F22" t="s">
        <v>672</v>
      </c>
      <c r="O22" s="171" t="s">
        <v>530</v>
      </c>
      <c r="P22" t="s">
        <v>712</v>
      </c>
      <c r="Q22" s="172" t="s">
        <v>461</v>
      </c>
      <c r="R22" t="s">
        <v>726</v>
      </c>
    </row>
    <row r="23" spans="2:25" x14ac:dyDescent="0.3">
      <c r="B23" s="202" t="s">
        <v>527</v>
      </c>
      <c r="C23" s="57">
        <f>H11*100</f>
        <v>81.077764141470482</v>
      </c>
      <c r="D23" s="57">
        <f t="shared" si="0"/>
        <v>81.123018530922081</v>
      </c>
      <c r="E23" s="57">
        <f>Spectral!V119</f>
        <v>17.802281730967902</v>
      </c>
      <c r="F23" t="s">
        <v>673</v>
      </c>
      <c r="O23" s="171" t="s">
        <v>531</v>
      </c>
      <c r="P23" t="s">
        <v>713</v>
      </c>
    </row>
    <row r="24" spans="2:25" x14ac:dyDescent="0.3">
      <c r="O24" s="171" t="s">
        <v>532</v>
      </c>
      <c r="P24" t="s">
        <v>713</v>
      </c>
      <c r="Q24" s="171" t="s">
        <v>397</v>
      </c>
      <c r="R24" t="s">
        <v>727</v>
      </c>
    </row>
    <row r="26" spans="2:25" x14ac:dyDescent="0.3">
      <c r="B26" s="361" t="s">
        <v>657</v>
      </c>
      <c r="C26" s="361"/>
      <c r="D26" s="361"/>
      <c r="E26" s="361"/>
      <c r="F26" s="361"/>
      <c r="G26" s="361"/>
      <c r="H26" s="361"/>
      <c r="I26" s="361"/>
      <c r="J26" s="361"/>
      <c r="K26" s="361"/>
      <c r="L26" s="361"/>
      <c r="O26" s="171" t="s">
        <v>401</v>
      </c>
      <c r="P26" t="s">
        <v>710</v>
      </c>
      <c r="Q26" s="171" t="s">
        <v>429</v>
      </c>
      <c r="R26" t="s">
        <v>728</v>
      </c>
    </row>
    <row r="27" spans="2:25" x14ac:dyDescent="0.3">
      <c r="B27" t="s">
        <v>635</v>
      </c>
      <c r="J27" s="1" t="s">
        <v>58</v>
      </c>
      <c r="Q27" s="171" t="s">
        <v>530</v>
      </c>
      <c r="R27" t="s">
        <v>728</v>
      </c>
    </row>
    <row r="28" spans="2:25" ht="15.6" x14ac:dyDescent="0.35">
      <c r="C28" s="1" t="s">
        <v>0</v>
      </c>
      <c r="D28" s="90" t="s">
        <v>524</v>
      </c>
      <c r="E28" s="91" t="s">
        <v>523</v>
      </c>
      <c r="F28" s="92" t="s">
        <v>525</v>
      </c>
      <c r="G28" s="124" t="s">
        <v>526</v>
      </c>
      <c r="H28" s="123" t="s">
        <v>527</v>
      </c>
      <c r="I28" s="1" t="s">
        <v>20</v>
      </c>
      <c r="J28" s="1" t="s">
        <v>1</v>
      </c>
      <c r="K28" s="1" t="s">
        <v>13</v>
      </c>
      <c r="M28" s="1" t="s">
        <v>56</v>
      </c>
      <c r="O28" s="171">
        <v>1988</v>
      </c>
      <c r="P28" t="s">
        <v>708</v>
      </c>
    </row>
    <row r="29" spans="2:25" x14ac:dyDescent="0.3">
      <c r="B29" t="s">
        <v>3</v>
      </c>
      <c r="C29" s="198" t="s">
        <v>524</v>
      </c>
      <c r="D29" s="197">
        <f>'77_Seeds'!AL83+'88_Seeds'!AL83</f>
        <v>112</v>
      </c>
      <c r="E29" s="3">
        <f>'77_Seeds'!AM83+'88_Seeds'!AM83</f>
        <v>0</v>
      </c>
      <c r="F29" s="3">
        <f>'77_Seeds'!AN83+'88_Seeds'!AN83</f>
        <v>0</v>
      </c>
      <c r="G29" s="3">
        <f>'77_Seeds'!AO83+'88_Seeds'!AO83</f>
        <v>0</v>
      </c>
      <c r="H29" s="4">
        <f>'77_Seeds'!AP83+'88_Seeds'!AP83</f>
        <v>0</v>
      </c>
      <c r="I29" s="1">
        <f>SUM(D29:H29)</f>
        <v>112</v>
      </c>
      <c r="J29" s="10">
        <f>D29/I29</f>
        <v>1</v>
      </c>
      <c r="K29" s="11">
        <f>1-J29</f>
        <v>0</v>
      </c>
      <c r="L29">
        <f>I29-D34</f>
        <v>0</v>
      </c>
      <c r="M29" s="10">
        <f>2*(D35*J29)/(D35+J29)</f>
        <v>1</v>
      </c>
      <c r="Q29" s="171" t="s">
        <v>437</v>
      </c>
      <c r="R29" t="s">
        <v>729</v>
      </c>
    </row>
    <row r="30" spans="2:25" x14ac:dyDescent="0.3">
      <c r="B30" t="s">
        <v>4</v>
      </c>
      <c r="C30" s="199" t="s">
        <v>523</v>
      </c>
      <c r="D30" s="1">
        <f>'77_Seeds'!AL84+'88_Seeds'!AL84</f>
        <v>0</v>
      </c>
      <c r="E30" s="184">
        <f>'77_Seeds'!AM84+'88_Seeds'!AM84</f>
        <v>178</v>
      </c>
      <c r="F30" s="187">
        <f>'77_Seeds'!AN84+'88_Seeds'!AN84</f>
        <v>6</v>
      </c>
      <c r="G30" s="1">
        <f>'77_Seeds'!AO84+'88_Seeds'!AO84</f>
        <v>0</v>
      </c>
      <c r="H30" s="6">
        <f>'77_Seeds'!AP84+'88_Seeds'!AP84</f>
        <v>0</v>
      </c>
      <c r="I30" s="1">
        <f>SUM(D30:H30)</f>
        <v>184</v>
      </c>
      <c r="J30" s="10">
        <f>E30/I30</f>
        <v>0.96739130434782605</v>
      </c>
      <c r="K30" s="11">
        <f>1-J30</f>
        <v>3.2608695652173947E-2</v>
      </c>
      <c r="L30">
        <f>I30-E34</f>
        <v>-54</v>
      </c>
      <c r="M30" s="10">
        <f>2*(E35*J30)/(E35+J30)</f>
        <v>0.8436018957345971</v>
      </c>
      <c r="O30" s="171" t="s">
        <v>397</v>
      </c>
      <c r="P30" t="s">
        <v>709</v>
      </c>
    </row>
    <row r="31" spans="2:25" x14ac:dyDescent="0.3">
      <c r="B31" t="s">
        <v>5</v>
      </c>
      <c r="C31" s="200" t="s">
        <v>525</v>
      </c>
      <c r="D31" s="1">
        <f>'77_Seeds'!AL85+'88_Seeds'!AL85</f>
        <v>0</v>
      </c>
      <c r="E31" s="189">
        <f>'77_Seeds'!AM85+'88_Seeds'!AM85</f>
        <v>50</v>
      </c>
      <c r="F31" s="183">
        <f>'77_Seeds'!AN85+'88_Seeds'!AN85</f>
        <v>3380</v>
      </c>
      <c r="G31" s="189">
        <f>'77_Seeds'!AO85+'88_Seeds'!AO85</f>
        <v>56</v>
      </c>
      <c r="H31" s="222">
        <f>'77_Seeds'!AP85+'88_Seeds'!AP85</f>
        <v>130</v>
      </c>
      <c r="I31" s="1">
        <f>SUM(D31:H31)</f>
        <v>3616</v>
      </c>
      <c r="J31" s="10">
        <f>F31/I31</f>
        <v>0.93473451327433632</v>
      </c>
      <c r="K31" s="11">
        <f>1-J31</f>
        <v>6.5265486725663679E-2</v>
      </c>
      <c r="L31">
        <f>I31-F34</f>
        <v>185</v>
      </c>
      <c r="M31" s="10">
        <f>2*(F35*J31)/(F35+J31)</f>
        <v>0.95927344969490569</v>
      </c>
    </row>
    <row r="32" spans="2:25" x14ac:dyDescent="0.3">
      <c r="B32" t="s">
        <v>6</v>
      </c>
      <c r="C32" s="201" t="s">
        <v>526</v>
      </c>
      <c r="D32" s="1">
        <f>'77_Seeds'!AL86+'88_Seeds'!AL86</f>
        <v>0</v>
      </c>
      <c r="E32" s="187">
        <f>'77_Seeds'!AM86+'88_Seeds'!AM86</f>
        <v>10</v>
      </c>
      <c r="F32" s="189">
        <f>'77_Seeds'!AN86+'88_Seeds'!AN86</f>
        <v>24</v>
      </c>
      <c r="G32" s="183">
        <f>'77_Seeds'!AO86+'88_Seeds'!AO86</f>
        <v>1107</v>
      </c>
      <c r="H32" s="222">
        <f>'77_Seeds'!AP86+'88_Seeds'!AP86</f>
        <v>165</v>
      </c>
      <c r="I32" s="1">
        <f>SUM(D32:H32)</f>
        <v>1306</v>
      </c>
      <c r="J32" s="10">
        <f>G32/I32</f>
        <v>0.84762633996937209</v>
      </c>
      <c r="K32" s="11">
        <f>1-J32</f>
        <v>0.15237366003062791</v>
      </c>
      <c r="L32">
        <f>I32-G34</f>
        <v>74</v>
      </c>
      <c r="M32" s="10">
        <f>2*(G35*J32)/(G35+J32)</f>
        <v>0.87234042553191493</v>
      </c>
      <c r="O32" s="361" t="s">
        <v>724</v>
      </c>
      <c r="P32" s="361"/>
      <c r="Q32" s="361"/>
      <c r="R32" s="361"/>
      <c r="S32" s="361"/>
      <c r="T32" s="361"/>
      <c r="U32" s="361"/>
      <c r="V32" s="361"/>
      <c r="W32" s="361"/>
      <c r="X32" s="361"/>
      <c r="Y32" s="361"/>
    </row>
    <row r="33" spans="2:26" x14ac:dyDescent="0.3">
      <c r="B33" t="s">
        <v>7</v>
      </c>
      <c r="C33" s="202" t="s">
        <v>527</v>
      </c>
      <c r="D33" s="8">
        <f>'77_Seeds'!AL87+'88_Seeds'!AL87</f>
        <v>0</v>
      </c>
      <c r="E33" s="8">
        <f>'77_Seeds'!AM87+'88_Seeds'!AM87</f>
        <v>0</v>
      </c>
      <c r="F33" s="190">
        <f>'77_Seeds'!AN87+'88_Seeds'!AN87</f>
        <v>21</v>
      </c>
      <c r="G33" s="194">
        <f>'77_Seeds'!AO87+'88_Seeds'!AO87</f>
        <v>69</v>
      </c>
      <c r="H33" s="211">
        <f>'77_Seeds'!AP87+'88_Seeds'!AP87</f>
        <v>392</v>
      </c>
      <c r="I33" s="1">
        <f>SUM(D33:H33)</f>
        <v>482</v>
      </c>
      <c r="J33" s="10">
        <f>H33/I33</f>
        <v>0.81327800829875518</v>
      </c>
      <c r="K33" s="11">
        <f>1-J33</f>
        <v>0.18672199170124482</v>
      </c>
      <c r="L33">
        <f>I33-H34</f>
        <v>-205</v>
      </c>
      <c r="M33" s="10">
        <f>2*(H35*J33)/(H35+J33)</f>
        <v>0.6706586826347305</v>
      </c>
      <c r="O33" t="s">
        <v>635</v>
      </c>
      <c r="W33" s="1" t="s">
        <v>58</v>
      </c>
    </row>
    <row r="34" spans="2:26" ht="15.6" x14ac:dyDescent="0.35">
      <c r="C34" s="1" t="s">
        <v>19</v>
      </c>
      <c r="D34" s="1">
        <f>SUM(D29:D33)</f>
        <v>112</v>
      </c>
      <c r="E34" s="1">
        <f>SUM(E29:E33)</f>
        <v>238</v>
      </c>
      <c r="F34" s="1">
        <f>SUM(F29:F33)</f>
        <v>3431</v>
      </c>
      <c r="G34" s="1">
        <f>SUM(G29:G33)</f>
        <v>1232</v>
      </c>
      <c r="H34" s="1">
        <f>SUM(H29:H33)</f>
        <v>687</v>
      </c>
      <c r="I34" s="1">
        <f>SUM(I28:I33)</f>
        <v>5700</v>
      </c>
      <c r="J34" s="13" t="s">
        <v>12</v>
      </c>
      <c r="P34" s="1" t="s">
        <v>0</v>
      </c>
      <c r="Q34" s="90" t="s">
        <v>524</v>
      </c>
      <c r="R34" s="91" t="s">
        <v>523</v>
      </c>
      <c r="S34" s="92" t="s">
        <v>525</v>
      </c>
      <c r="T34" s="124" t="s">
        <v>526</v>
      </c>
      <c r="U34" s="123" t="s">
        <v>527</v>
      </c>
      <c r="V34" s="1" t="s">
        <v>20</v>
      </c>
      <c r="W34" s="1" t="s">
        <v>1</v>
      </c>
      <c r="X34" s="1" t="s">
        <v>13</v>
      </c>
      <c r="Z34" s="1" t="s">
        <v>56</v>
      </c>
    </row>
    <row r="35" spans="2:26" x14ac:dyDescent="0.3">
      <c r="B35" s="1" t="s">
        <v>321</v>
      </c>
      <c r="C35" s="1" t="s">
        <v>2</v>
      </c>
      <c r="D35" s="10">
        <f>D29/D34</f>
        <v>1</v>
      </c>
      <c r="E35" s="10">
        <f>E30/E34</f>
        <v>0.74789915966386555</v>
      </c>
      <c r="F35" s="10">
        <f>F31/F34</f>
        <v>0.98513552900029144</v>
      </c>
      <c r="G35" s="10">
        <f>G32/G34</f>
        <v>0.89853896103896103</v>
      </c>
      <c r="H35" s="10">
        <f>H33/H34</f>
        <v>0.57059679767103344</v>
      </c>
      <c r="I35" s="10"/>
      <c r="J35" s="14">
        <f>(D29+E30+F31+G32+H33)/I34</f>
        <v>0.90684210526315789</v>
      </c>
      <c r="O35" t="s">
        <v>3</v>
      </c>
      <c r="P35" s="198" t="s">
        <v>524</v>
      </c>
      <c r="Q35" s="197">
        <f>'77_Seeds'!AL83+'01T_Seeds'!AL83+'24M_Seeds'!AL83</f>
        <v>574</v>
      </c>
      <c r="R35" s="3">
        <f>'77_Seeds'!AM83+'01T_Seeds'!AM83+'24M_Seeds'!AM83</f>
        <v>0</v>
      </c>
      <c r="S35" s="3">
        <f>'77_Seeds'!AN83+'01T_Seeds'!AN83+'24M_Seeds'!AN83</f>
        <v>0</v>
      </c>
      <c r="T35" s="3">
        <f>'77_Seeds'!AO83+'01T_Seeds'!AO83+'24M_Seeds'!AO83</f>
        <v>0</v>
      </c>
      <c r="U35" s="4">
        <f>'77_Seeds'!AP83+'01T_Seeds'!AP83+'24M_Seeds'!AP83</f>
        <v>0</v>
      </c>
      <c r="V35" s="1">
        <f>SUM(Q35:U35)</f>
        <v>574</v>
      </c>
      <c r="W35" s="10">
        <f>Q35/V35</f>
        <v>1</v>
      </c>
      <c r="X35" s="11">
        <f>1-W35</f>
        <v>0</v>
      </c>
      <c r="Y35">
        <f>V35-Q40</f>
        <v>0</v>
      </c>
      <c r="Z35" s="10">
        <f>2*(Q41*W35)/(Q41+W35)</f>
        <v>1</v>
      </c>
    </row>
    <row r="36" spans="2:26" x14ac:dyDescent="0.3">
      <c r="C36" s="1" t="s">
        <v>14</v>
      </c>
      <c r="D36" s="11">
        <f>1-D35</f>
        <v>0</v>
      </c>
      <c r="E36" s="11">
        <f>1-E35</f>
        <v>0.25210084033613445</v>
      </c>
      <c r="F36" s="11">
        <f>1-F35</f>
        <v>1.4864470999708557E-2</v>
      </c>
      <c r="G36" s="11">
        <f>1-G35</f>
        <v>0.10146103896103897</v>
      </c>
      <c r="H36" s="11">
        <f>1-H35</f>
        <v>0.42940320232896656</v>
      </c>
      <c r="O36" t="s">
        <v>4</v>
      </c>
      <c r="P36" s="199" t="s">
        <v>523</v>
      </c>
      <c r="Q36" s="1">
        <f>'77_Seeds'!AL84+'01T_Seeds'!AL84+'24M_Seeds'!AL84</f>
        <v>0</v>
      </c>
      <c r="R36" s="184">
        <f>'77_Seeds'!AM84+'01T_Seeds'!AM84+'24M_Seeds'!AM84</f>
        <v>695</v>
      </c>
      <c r="S36" s="189">
        <f>'77_Seeds'!AN84+'01T_Seeds'!AN84+'24M_Seeds'!AN84</f>
        <v>78</v>
      </c>
      <c r="T36" s="187">
        <f>'77_Seeds'!AO84+'01T_Seeds'!AO84+'24M_Seeds'!AO84</f>
        <v>1</v>
      </c>
      <c r="U36" s="188">
        <f>'77_Seeds'!AP84+'01T_Seeds'!AP84+'24M_Seeds'!AP84</f>
        <v>4</v>
      </c>
      <c r="V36" s="1">
        <f>SUM(Q36:U36)</f>
        <v>778</v>
      </c>
      <c r="W36" s="10">
        <f>R36/V36</f>
        <v>0.89331619537275064</v>
      </c>
      <c r="X36" s="11">
        <f>1-W36</f>
        <v>0.10668380462724936</v>
      </c>
      <c r="Y36">
        <f>V36-R40</f>
        <v>-439</v>
      </c>
      <c r="Z36" s="10">
        <f>2*(R41*W36)/(R41+W36)</f>
        <v>0.69674185463659155</v>
      </c>
    </row>
    <row r="37" spans="2:26" x14ac:dyDescent="0.3">
      <c r="D37" s="2"/>
      <c r="O37" t="s">
        <v>5</v>
      </c>
      <c r="P37" s="200" t="s">
        <v>525</v>
      </c>
      <c r="Q37" s="1">
        <f>'77_Seeds'!AL85+'01T_Seeds'!AL85+'24M_Seeds'!AL85</f>
        <v>0</v>
      </c>
      <c r="R37" s="184">
        <f>'77_Seeds'!AM85+'01T_Seeds'!AM85+'24M_Seeds'!AM85</f>
        <v>504</v>
      </c>
      <c r="S37" s="183">
        <f>'77_Seeds'!AN85+'01T_Seeds'!AN85+'24M_Seeds'!AN85</f>
        <v>15730</v>
      </c>
      <c r="T37" s="189">
        <f>'77_Seeds'!AO85+'01T_Seeds'!AO85+'24M_Seeds'!AO85</f>
        <v>182</v>
      </c>
      <c r="U37" s="192">
        <f>'77_Seeds'!AP85+'01T_Seeds'!AP85+'24M_Seeds'!AP85</f>
        <v>139</v>
      </c>
      <c r="V37" s="1">
        <f>SUM(Q37:U37)</f>
        <v>16555</v>
      </c>
      <c r="W37" s="10">
        <f>S37/V37</f>
        <v>0.95016611295681064</v>
      </c>
      <c r="X37" s="11">
        <f>1-W37</f>
        <v>4.9833887043189362E-2</v>
      </c>
      <c r="Y37">
        <f>V37-S40</f>
        <v>441</v>
      </c>
      <c r="Z37" s="10">
        <f>2*(S41*W37)/(S41+W37)</f>
        <v>0.96299243931555911</v>
      </c>
    </row>
    <row r="38" spans="2:26" x14ac:dyDescent="0.3">
      <c r="B38" s="1" t="s">
        <v>603</v>
      </c>
      <c r="C38" s="1" t="s">
        <v>604</v>
      </c>
      <c r="D38" s="1" t="s">
        <v>608</v>
      </c>
      <c r="E38" s="1" t="s">
        <v>605</v>
      </c>
      <c r="F38" s="1" t="s">
        <v>607</v>
      </c>
      <c r="G38" s="1" t="s">
        <v>606</v>
      </c>
      <c r="O38" t="s">
        <v>6</v>
      </c>
      <c r="P38" s="201" t="s">
        <v>526</v>
      </c>
      <c r="Q38" s="1">
        <f>'77_Seeds'!AL86+'01T_Seeds'!AL86+'24M_Seeds'!AL86</f>
        <v>0</v>
      </c>
      <c r="R38" s="187">
        <f>'77_Seeds'!AM86+'01T_Seeds'!AM86+'24M_Seeds'!AM86</f>
        <v>17</v>
      </c>
      <c r="S38" s="189">
        <f>'77_Seeds'!AN86+'01T_Seeds'!AN86+'24M_Seeds'!AN86</f>
        <v>244</v>
      </c>
      <c r="T38" s="183">
        <f>'77_Seeds'!AO86+'01T_Seeds'!AO86+'24M_Seeds'!AO86</f>
        <v>5355</v>
      </c>
      <c r="U38" s="193">
        <f>'77_Seeds'!AP86+'01T_Seeds'!AP86+'24M_Seeds'!AP86</f>
        <v>278</v>
      </c>
      <c r="V38" s="1">
        <f>SUM(Q38:U38)</f>
        <v>5894</v>
      </c>
      <c r="W38" s="10">
        <f>T38/V38</f>
        <v>0.90855106888361048</v>
      </c>
      <c r="X38" s="11">
        <f>1-W38</f>
        <v>9.144893111638952E-2</v>
      </c>
      <c r="Y38">
        <f>V38-T40</f>
        <v>92</v>
      </c>
      <c r="Z38" s="10">
        <f>2*(T41*W38)/(T41+W38)</f>
        <v>0.91569767441860461</v>
      </c>
    </row>
    <row r="39" spans="2:26" x14ac:dyDescent="0.3">
      <c r="B39" s="1">
        <f>_xlfn.QUARTILE.INC(D29:H33,1)</f>
        <v>0</v>
      </c>
      <c r="C39" s="1">
        <f>_xlfn.QUARTILE.EXC(D29:H33,2)</f>
        <v>10</v>
      </c>
      <c r="D39" s="1">
        <f>_xlfn.PERCENTILE.INC(D29:H33,0.7)</f>
        <v>66.399999999999963</v>
      </c>
      <c r="E39" s="1">
        <f>_xlfn.QUARTILE.EXC(D29:H33,3)</f>
        <v>121</v>
      </c>
      <c r="F39" s="1">
        <f>AVERAGE(D29:H33)</f>
        <v>228</v>
      </c>
      <c r="G39" s="1">
        <f>MAX(D29:H33)</f>
        <v>3380</v>
      </c>
      <c r="O39" t="s">
        <v>7</v>
      </c>
      <c r="P39" s="202" t="s">
        <v>527</v>
      </c>
      <c r="Q39" s="8">
        <f>'77_Seeds'!AL87+'01T_Seeds'!AL87+'24M_Seeds'!AL87</f>
        <v>0</v>
      </c>
      <c r="R39" s="191">
        <f>'77_Seeds'!AM87+'01T_Seeds'!AM87+'24M_Seeds'!AM87</f>
        <v>1</v>
      </c>
      <c r="S39" s="190">
        <f>'77_Seeds'!AN87+'01T_Seeds'!AN87+'24M_Seeds'!AN87</f>
        <v>62</v>
      </c>
      <c r="T39" s="194">
        <f>'77_Seeds'!AO87+'01T_Seeds'!AO87+'24M_Seeds'!AO87</f>
        <v>264</v>
      </c>
      <c r="U39" s="211">
        <f>'77_Seeds'!AP87+'01T_Seeds'!AP87+'24M_Seeds'!AP87</f>
        <v>1864</v>
      </c>
      <c r="V39" s="1">
        <f>SUM(Q39:U39)</f>
        <v>2191</v>
      </c>
      <c r="W39" s="10">
        <f>U39/V39</f>
        <v>0.85075308078502965</v>
      </c>
      <c r="X39" s="11">
        <f>1-W39</f>
        <v>0.14924691921497035</v>
      </c>
      <c r="Y39">
        <f>V39-U40</f>
        <v>-94</v>
      </c>
      <c r="Z39" s="10">
        <f>2*(U41*W39)/(U41+W39)</f>
        <v>0.83288650580875778</v>
      </c>
    </row>
    <row r="40" spans="2:26" ht="15.6" x14ac:dyDescent="0.35">
      <c r="B40" s="205">
        <v>0</v>
      </c>
      <c r="C40" s="221" t="s">
        <v>658</v>
      </c>
      <c r="D40" s="221" t="s">
        <v>661</v>
      </c>
      <c r="E40" s="205" t="s">
        <v>662</v>
      </c>
      <c r="F40" s="205" t="s">
        <v>659</v>
      </c>
      <c r="G40" s="205" t="s">
        <v>660</v>
      </c>
      <c r="P40" s="1" t="s">
        <v>19</v>
      </c>
      <c r="Q40" s="1">
        <f>SUM(Q35:Q39)</f>
        <v>574</v>
      </c>
      <c r="R40" s="1">
        <f>SUM(R35:R39)</f>
        <v>1217</v>
      </c>
      <c r="S40" s="1">
        <f>SUM(S35:S39)</f>
        <v>16114</v>
      </c>
      <c r="T40" s="1">
        <f>SUM(T35:T39)</f>
        <v>5802</v>
      </c>
      <c r="U40" s="1">
        <f>SUM(U35:U39)</f>
        <v>2285</v>
      </c>
      <c r="V40" s="1">
        <f>SUM(V34:V39)</f>
        <v>25992</v>
      </c>
      <c r="W40" s="13" t="s">
        <v>12</v>
      </c>
    </row>
    <row r="41" spans="2:26" x14ac:dyDescent="0.3">
      <c r="B41" s="175"/>
      <c r="C41" s="206"/>
      <c r="D41" s="207"/>
      <c r="E41" s="208"/>
      <c r="F41" s="209"/>
      <c r="G41" s="210"/>
      <c r="O41" s="1" t="s">
        <v>321</v>
      </c>
      <c r="P41" s="1" t="s">
        <v>2</v>
      </c>
      <c r="Q41" s="10">
        <f>Q35/Q40</f>
        <v>1</v>
      </c>
      <c r="R41" s="10">
        <f>R36/R40</f>
        <v>0.57107641741988502</v>
      </c>
      <c r="S41" s="10">
        <f>S37/S40</f>
        <v>0.9761697902445079</v>
      </c>
      <c r="T41" s="10">
        <f>T38/T40</f>
        <v>0.92295760082730094</v>
      </c>
      <c r="U41" s="10">
        <f>U39/U40</f>
        <v>0.8157549234135667</v>
      </c>
      <c r="V41" s="10"/>
      <c r="W41" s="14">
        <f>(Q35+R36+S37+T38+U39)/V40</f>
        <v>0.93174823022468456</v>
      </c>
    </row>
    <row r="42" spans="2:26" x14ac:dyDescent="0.3">
      <c r="C42" s="1" t="s">
        <v>2</v>
      </c>
      <c r="D42" s="1" t="s">
        <v>1</v>
      </c>
      <c r="E42" s="1" t="s">
        <v>576</v>
      </c>
      <c r="P42" s="1" t="s">
        <v>14</v>
      </c>
      <c r="Q42" s="11">
        <f>1-Q41</f>
        <v>0</v>
      </c>
      <c r="R42" s="11">
        <f>1-R41</f>
        <v>0.42892358258011498</v>
      </c>
      <c r="S42" s="11">
        <f>1-S41</f>
        <v>2.3830209755492104E-2</v>
      </c>
      <c r="T42" s="11">
        <f>1-T41</f>
        <v>7.7042399172699061E-2</v>
      </c>
      <c r="U42" s="11">
        <f>1-U41</f>
        <v>0.1842450765864333</v>
      </c>
    </row>
    <row r="43" spans="2:26" x14ac:dyDescent="0.3">
      <c r="B43" s="198" t="s">
        <v>524</v>
      </c>
      <c r="C43" s="57">
        <f>D35*100</f>
        <v>100</v>
      </c>
      <c r="D43" s="57">
        <f>J29*100</f>
        <v>100</v>
      </c>
      <c r="E43" s="57">
        <f>Spectral!R120</f>
        <v>47.85718286999974</v>
      </c>
      <c r="F43" t="s">
        <v>674</v>
      </c>
      <c r="Q43" s="2"/>
    </row>
    <row r="44" spans="2:26" x14ac:dyDescent="0.3">
      <c r="B44" s="199" t="s">
        <v>523</v>
      </c>
      <c r="C44" s="57">
        <f>E35*100</f>
        <v>74.789915966386559</v>
      </c>
      <c r="D44" s="57">
        <f t="shared" ref="D44:D47" si="1">J30*100</f>
        <v>96.739130434782609</v>
      </c>
      <c r="E44" s="57">
        <f>Spectral!S120</f>
        <v>17.943635544867853</v>
      </c>
      <c r="F44" t="s">
        <v>675</v>
      </c>
      <c r="O44" s="1" t="s">
        <v>603</v>
      </c>
      <c r="P44" s="1" t="s">
        <v>604</v>
      </c>
      <c r="Q44" s="1" t="s">
        <v>608</v>
      </c>
      <c r="R44" s="1" t="s">
        <v>605</v>
      </c>
      <c r="S44" s="1" t="s">
        <v>607</v>
      </c>
      <c r="T44" s="1" t="s">
        <v>606</v>
      </c>
    </row>
    <row r="45" spans="2:26" x14ac:dyDescent="0.3">
      <c r="B45" s="200" t="s">
        <v>525</v>
      </c>
      <c r="C45" s="57">
        <f>F35*100</f>
        <v>98.51355290002914</v>
      </c>
      <c r="D45" s="57">
        <f t="shared" si="1"/>
        <v>93.473451327433636</v>
      </c>
      <c r="E45" s="57">
        <f>Spectral!T120</f>
        <v>16.849665252324847</v>
      </c>
      <c r="F45" t="s">
        <v>676</v>
      </c>
      <c r="O45" s="1">
        <f>_xlfn.QUARTILE.INC(Q35:U39,1)</f>
        <v>0</v>
      </c>
      <c r="P45" s="1">
        <f>_xlfn.QUARTILE.EXC(Q35:U39,2)</f>
        <v>62</v>
      </c>
      <c r="Q45" s="1">
        <f>_xlfn.PERCENTILE.INC(Q35:U39,0.7)</f>
        <v>259.99999999999994</v>
      </c>
      <c r="R45" s="1">
        <f>_xlfn.QUARTILE.EXC(Q35:U39,3)</f>
        <v>391</v>
      </c>
      <c r="S45" s="1">
        <f>AVERAGE(Q35:U39)</f>
        <v>1039.68</v>
      </c>
      <c r="T45" s="1">
        <f>MAX(Q35:U39)</f>
        <v>15730</v>
      </c>
    </row>
    <row r="46" spans="2:26" x14ac:dyDescent="0.3">
      <c r="B46" s="201" t="s">
        <v>526</v>
      </c>
      <c r="C46" s="57">
        <f>G35*100</f>
        <v>89.853896103896105</v>
      </c>
      <c r="D46" s="57">
        <f t="shared" si="1"/>
        <v>84.762633996937211</v>
      </c>
      <c r="E46" s="57">
        <f>Spectral!U120</f>
        <v>19.486577348107406</v>
      </c>
      <c r="F46" t="s">
        <v>677</v>
      </c>
      <c r="O46" s="205">
        <v>0</v>
      </c>
      <c r="P46" s="221" t="s">
        <v>714</v>
      </c>
      <c r="Q46" s="221" t="s">
        <v>715</v>
      </c>
      <c r="R46" s="205" t="s">
        <v>716</v>
      </c>
      <c r="S46" s="205" t="s">
        <v>717</v>
      </c>
      <c r="T46" s="205" t="s">
        <v>718</v>
      </c>
    </row>
    <row r="47" spans="2:26" x14ac:dyDescent="0.3">
      <c r="B47" s="202" t="s">
        <v>527</v>
      </c>
      <c r="C47" s="57">
        <f>H35*100</f>
        <v>57.059679767103347</v>
      </c>
      <c r="D47" s="57">
        <f t="shared" si="1"/>
        <v>81.327800829875514</v>
      </c>
      <c r="E47" s="57">
        <f>Spectral!V120</f>
        <v>15.132613336933726</v>
      </c>
      <c r="F47" t="s">
        <v>678</v>
      </c>
      <c r="O47" s="205"/>
      <c r="P47" s="206"/>
      <c r="Q47" s="207"/>
      <c r="R47" s="208"/>
      <c r="S47" s="209"/>
      <c r="T47" s="210"/>
    </row>
    <row r="48" spans="2:26" x14ac:dyDescent="0.3">
      <c r="P48" s="1" t="s">
        <v>2</v>
      </c>
      <c r="Q48" s="1" t="s">
        <v>1</v>
      </c>
      <c r="R48" s="1" t="s">
        <v>576</v>
      </c>
    </row>
    <row r="49" spans="2:26" x14ac:dyDescent="0.3">
      <c r="O49" s="198" t="s">
        <v>524</v>
      </c>
      <c r="P49" s="57">
        <f>Q41*100</f>
        <v>100</v>
      </c>
      <c r="Q49" s="57">
        <f>W35*100</f>
        <v>100</v>
      </c>
      <c r="R49" s="57">
        <f>Spectral!R124</f>
        <v>54.708354028806248</v>
      </c>
      <c r="S49" t="s">
        <v>719</v>
      </c>
    </row>
    <row r="50" spans="2:26" x14ac:dyDescent="0.3">
      <c r="B50" s="361" t="s">
        <v>663</v>
      </c>
      <c r="C50" s="361"/>
      <c r="D50" s="361"/>
      <c r="E50" s="361"/>
      <c r="F50" s="361"/>
      <c r="G50" s="361"/>
      <c r="H50" s="361"/>
      <c r="I50" s="361"/>
      <c r="J50" s="361"/>
      <c r="K50" s="361"/>
      <c r="L50" s="361"/>
      <c r="O50" s="199" t="s">
        <v>523</v>
      </c>
      <c r="P50" s="57">
        <f>R41*100</f>
        <v>57.107641741988502</v>
      </c>
      <c r="Q50" s="57">
        <f t="shared" ref="Q50:Q53" si="2">W36*100</f>
        <v>89.33161953727506</v>
      </c>
      <c r="R50" s="57">
        <f>Spectral!S124</f>
        <v>20.515043379326052</v>
      </c>
      <c r="S50" t="s">
        <v>720</v>
      </c>
    </row>
    <row r="51" spans="2:26" x14ac:dyDescent="0.3">
      <c r="B51" t="s">
        <v>635</v>
      </c>
      <c r="J51" s="1" t="s">
        <v>58</v>
      </c>
      <c r="O51" s="200" t="s">
        <v>525</v>
      </c>
      <c r="P51" s="57">
        <f>S41*100</f>
        <v>97.616979024450785</v>
      </c>
      <c r="Q51" s="57">
        <f t="shared" si="2"/>
        <v>95.016611295681059</v>
      </c>
      <c r="R51" s="57">
        <f>Spectral!T124</f>
        <v>22.624561783170648</v>
      </c>
      <c r="S51" t="s">
        <v>721</v>
      </c>
    </row>
    <row r="52" spans="2:26" ht="15.6" x14ac:dyDescent="0.35">
      <c r="C52" s="1" t="s">
        <v>0</v>
      </c>
      <c r="D52" s="90" t="s">
        <v>524</v>
      </c>
      <c r="E52" s="91" t="s">
        <v>523</v>
      </c>
      <c r="F52" s="92" t="s">
        <v>525</v>
      </c>
      <c r="G52" s="124" t="s">
        <v>526</v>
      </c>
      <c r="H52" s="123" t="s">
        <v>527</v>
      </c>
      <c r="I52" s="1" t="s">
        <v>20</v>
      </c>
      <c r="J52" s="1" t="s">
        <v>1</v>
      </c>
      <c r="K52" s="1" t="s">
        <v>13</v>
      </c>
      <c r="M52" s="1" t="s">
        <v>56</v>
      </c>
      <c r="O52" s="201" t="s">
        <v>526</v>
      </c>
      <c r="P52" s="57">
        <f>T41*100</f>
        <v>92.295760082730098</v>
      </c>
      <c r="Q52" s="57">
        <f t="shared" si="2"/>
        <v>90.85510688836105</v>
      </c>
      <c r="R52" s="57">
        <f>Spectral!U124</f>
        <v>24.579708694622767</v>
      </c>
      <c r="S52" t="s">
        <v>722</v>
      </c>
    </row>
    <row r="53" spans="2:26" x14ac:dyDescent="0.3">
      <c r="B53" t="s">
        <v>3</v>
      </c>
      <c r="C53" s="198" t="s">
        <v>524</v>
      </c>
      <c r="D53" s="197">
        <f>'88T_Seeds'!AL83+'91T_Seeds'!AL83+'01T_Seeds'!AL83+'07E_Seeds'!AL83+'11E_Seeds'!AL83</f>
        <v>1125</v>
      </c>
      <c r="E53" s="3">
        <f>'88T_Seeds'!AM83+'91T_Seeds'!AM83+'01T_Seeds'!AM83+'07E_Seeds'!AM83+'11E_Seeds'!AM83</f>
        <v>0</v>
      </c>
      <c r="F53" s="3">
        <f>'88T_Seeds'!AN83+'91T_Seeds'!AN83+'01T_Seeds'!AN83+'07E_Seeds'!AN83+'11E_Seeds'!AN83</f>
        <v>0</v>
      </c>
      <c r="G53" s="186">
        <f>'88T_Seeds'!AO83+'91T_Seeds'!AO83+'01T_Seeds'!AO83+'07E_Seeds'!AO83+'11E_Seeds'!AO83</f>
        <v>1</v>
      </c>
      <c r="H53" s="4">
        <f>'88T_Seeds'!AP83+'91T_Seeds'!AP83+'01T_Seeds'!AP83+'07E_Seeds'!AP83+'11E_Seeds'!AP83</f>
        <v>0</v>
      </c>
      <c r="I53" s="1">
        <f>SUM(D53:H53)</f>
        <v>1126</v>
      </c>
      <c r="J53" s="10">
        <f>D53/I53</f>
        <v>0.9991119005328597</v>
      </c>
      <c r="K53" s="11">
        <f>1-J53</f>
        <v>8.8809946714030197E-4</v>
      </c>
      <c r="L53">
        <f>I53-D58</f>
        <v>1</v>
      </c>
      <c r="M53" s="10">
        <f>2*(D59*J53)/(D59+J53)</f>
        <v>0.99955575299866728</v>
      </c>
      <c r="O53" s="202" t="s">
        <v>527</v>
      </c>
      <c r="P53" s="57">
        <f>U41*100</f>
        <v>81.575492341356664</v>
      </c>
      <c r="Q53" s="57">
        <f t="shared" si="2"/>
        <v>85.075308078502971</v>
      </c>
      <c r="R53" s="57">
        <f>Spectral!V124</f>
        <v>17.589982142620915</v>
      </c>
      <c r="S53" t="s">
        <v>723</v>
      </c>
    </row>
    <row r="54" spans="2:26" x14ac:dyDescent="0.3">
      <c r="B54" t="s">
        <v>4</v>
      </c>
      <c r="C54" s="199" t="s">
        <v>523</v>
      </c>
      <c r="D54" s="1">
        <f>'88T_Seeds'!AL84+'91T_Seeds'!AL84+'01T_Seeds'!AL84+'07E_Seeds'!AL84+'11E_Seeds'!AL84</f>
        <v>0</v>
      </c>
      <c r="E54" s="184">
        <f>'88T_Seeds'!AM84+'91T_Seeds'!AM84+'01T_Seeds'!AM84+'07E_Seeds'!AM84+'11E_Seeds'!AM84</f>
        <v>1439</v>
      </c>
      <c r="F54" s="187">
        <f>'88T_Seeds'!AN84+'91T_Seeds'!AN84+'01T_Seeds'!AN84+'07E_Seeds'!AN84+'11E_Seeds'!AN84</f>
        <v>104</v>
      </c>
      <c r="G54" s="1">
        <f>'88T_Seeds'!AO84+'91T_Seeds'!AO84+'01T_Seeds'!AO84+'07E_Seeds'!AO84+'11E_Seeds'!AO84</f>
        <v>0</v>
      </c>
      <c r="H54" s="188">
        <f>'88T_Seeds'!AP84+'91T_Seeds'!AP84+'01T_Seeds'!AP84+'07E_Seeds'!AP84+'11E_Seeds'!AP84</f>
        <v>14</v>
      </c>
      <c r="I54" s="1">
        <f>SUM(D54:H54)</f>
        <v>1557</v>
      </c>
      <c r="J54" s="10">
        <f>E54/I54</f>
        <v>0.92421323057161209</v>
      </c>
      <c r="K54" s="11">
        <f>1-J54</f>
        <v>7.5786769428387912E-2</v>
      </c>
      <c r="L54">
        <f>I54-E58</f>
        <v>-896</v>
      </c>
      <c r="M54" s="10">
        <f>2*(E59*J54)/(E59+J54)</f>
        <v>0.71770573566084783</v>
      </c>
    </row>
    <row r="55" spans="2:26" x14ac:dyDescent="0.3">
      <c r="B55" t="s">
        <v>5</v>
      </c>
      <c r="C55" s="200" t="s">
        <v>525</v>
      </c>
      <c r="D55" s="1">
        <f>'88T_Seeds'!AL85+'91T_Seeds'!AL85+'01T_Seeds'!AL85+'07E_Seeds'!AL85+'11E_Seeds'!AL85</f>
        <v>0</v>
      </c>
      <c r="E55" s="184">
        <f>'88T_Seeds'!AM85+'91T_Seeds'!AM85+'01T_Seeds'!AM85+'07E_Seeds'!AM85+'11E_Seeds'!AM85</f>
        <v>875</v>
      </c>
      <c r="F55" s="183">
        <f>'88T_Seeds'!AN85+'91T_Seeds'!AN85+'01T_Seeds'!AN85+'07E_Seeds'!AN85+'11E_Seeds'!AN85</f>
        <v>33771</v>
      </c>
      <c r="G55" s="189">
        <f>'88T_Seeds'!AO85+'91T_Seeds'!AO85+'01T_Seeds'!AO85+'07E_Seeds'!AO85+'11E_Seeds'!AO85</f>
        <v>409</v>
      </c>
      <c r="H55" s="192">
        <f>'88T_Seeds'!AP85+'91T_Seeds'!AP85+'01T_Seeds'!AP85+'07E_Seeds'!AP85+'11E_Seeds'!AP85</f>
        <v>261</v>
      </c>
      <c r="I55" s="1">
        <f>SUM(D55:H55)</f>
        <v>35316</v>
      </c>
      <c r="J55" s="10">
        <f>F55/I55</f>
        <v>0.95625212368331636</v>
      </c>
      <c r="K55" s="11">
        <f>1-J55</f>
        <v>4.3747876316683643E-2</v>
      </c>
      <c r="L55">
        <f>I55-F58</f>
        <v>989</v>
      </c>
      <c r="M55" s="10">
        <f>2*(F59*J55)/(F59+J55)</f>
        <v>0.9698318567551657</v>
      </c>
    </row>
    <row r="56" spans="2:26" x14ac:dyDescent="0.3">
      <c r="B56" t="s">
        <v>6</v>
      </c>
      <c r="C56" s="201" t="s">
        <v>526</v>
      </c>
      <c r="D56" s="1">
        <f>'88T_Seeds'!AL86+'91T_Seeds'!AL86+'01T_Seeds'!AL86+'07E_Seeds'!AL86+'11E_Seeds'!AL86</f>
        <v>0</v>
      </c>
      <c r="E56" s="187">
        <f>'88T_Seeds'!AM86+'91T_Seeds'!AM86+'01T_Seeds'!AM86+'07E_Seeds'!AM86+'11E_Seeds'!AM86</f>
        <v>31</v>
      </c>
      <c r="F56" s="189">
        <f>'88T_Seeds'!AN86+'91T_Seeds'!AN86+'01T_Seeds'!AN86+'07E_Seeds'!AN86+'11E_Seeds'!AN86</f>
        <v>330</v>
      </c>
      <c r="G56" s="183">
        <f>'88T_Seeds'!AO86+'91T_Seeds'!AO86+'01T_Seeds'!AO86+'07E_Seeds'!AO86+'11E_Seeds'!AO86</f>
        <v>11622</v>
      </c>
      <c r="H56" s="193">
        <f>'88T_Seeds'!AP86+'91T_Seeds'!AP86+'01T_Seeds'!AP86+'07E_Seeds'!AP86+'11E_Seeds'!AP86</f>
        <v>608</v>
      </c>
      <c r="I56" s="1">
        <f>SUM(D56:H56)</f>
        <v>12591</v>
      </c>
      <c r="J56" s="10">
        <f>G56/I56</f>
        <v>0.92304026685727902</v>
      </c>
      <c r="K56" s="11">
        <f>1-J56</f>
        <v>7.6959733142720976E-2</v>
      </c>
      <c r="L56">
        <f>I56-G58</f>
        <v>-41</v>
      </c>
      <c r="M56" s="10">
        <f>2*(G59*J56)/(G59+J56)</f>
        <v>0.92153986440946767</v>
      </c>
      <c r="O56" s="361" t="s">
        <v>737</v>
      </c>
      <c r="P56" s="361"/>
      <c r="Q56" s="361"/>
      <c r="R56" s="361"/>
      <c r="S56" s="361"/>
      <c r="T56" s="361"/>
      <c r="U56" s="361"/>
      <c r="V56" s="361"/>
      <c r="W56" s="361"/>
      <c r="X56" s="361"/>
      <c r="Y56" s="361"/>
    </row>
    <row r="57" spans="2:26" x14ac:dyDescent="0.3">
      <c r="B57" t="s">
        <v>7</v>
      </c>
      <c r="C57" s="202" t="s">
        <v>527</v>
      </c>
      <c r="D57" s="8">
        <f>'88T_Seeds'!AL87+'91T_Seeds'!AL87+'01T_Seeds'!AL87+'07E_Seeds'!AL87+'11E_Seeds'!AL87</f>
        <v>0</v>
      </c>
      <c r="E57" s="191">
        <f>'88T_Seeds'!AM87+'91T_Seeds'!AM87+'01T_Seeds'!AM87+'07E_Seeds'!AM87+'11E_Seeds'!AM87</f>
        <v>108</v>
      </c>
      <c r="F57" s="190">
        <f>'88T_Seeds'!AN87+'91T_Seeds'!AN87+'01T_Seeds'!AN87+'07E_Seeds'!AN87+'11E_Seeds'!AN87</f>
        <v>122</v>
      </c>
      <c r="G57" s="194">
        <f>'88T_Seeds'!AO87+'91T_Seeds'!AO87+'01T_Seeds'!AO87+'07E_Seeds'!AO87+'11E_Seeds'!AO87</f>
        <v>600</v>
      </c>
      <c r="H57" s="211">
        <f>'88T_Seeds'!AP87+'91T_Seeds'!AP87+'01T_Seeds'!AP87+'07E_Seeds'!AP87+'11E_Seeds'!AP87</f>
        <v>3746</v>
      </c>
      <c r="I57" s="1">
        <f>SUM(D57:H57)</f>
        <v>4576</v>
      </c>
      <c r="J57" s="10">
        <f>H57/I57</f>
        <v>0.81861888111888115</v>
      </c>
      <c r="K57" s="11">
        <f>1-J57</f>
        <v>0.18138111888111885</v>
      </c>
      <c r="L57">
        <f>I57-H58</f>
        <v>-53</v>
      </c>
      <c r="M57" s="10">
        <f>2*(H59*J57)/(H59+J57)</f>
        <v>0.81390548614883218</v>
      </c>
      <c r="O57" t="s">
        <v>635</v>
      </c>
      <c r="W57" s="1" t="s">
        <v>58</v>
      </c>
    </row>
    <row r="58" spans="2:26" ht="15.6" x14ac:dyDescent="0.35">
      <c r="C58" s="1" t="s">
        <v>19</v>
      </c>
      <c r="D58" s="1">
        <f>SUM(D53:D57)</f>
        <v>1125</v>
      </c>
      <c r="E58" s="1">
        <f>SUM(E53:E57)</f>
        <v>2453</v>
      </c>
      <c r="F58" s="1">
        <f>SUM(F53:F57)</f>
        <v>34327</v>
      </c>
      <c r="G58" s="1">
        <f>SUM(G53:G57)</f>
        <v>12632</v>
      </c>
      <c r="H58" s="1">
        <f>SUM(H53:H57)</f>
        <v>4629</v>
      </c>
      <c r="I58" s="1">
        <f>SUM(I52:I57)</f>
        <v>55166</v>
      </c>
      <c r="J58" s="13" t="s">
        <v>12</v>
      </c>
      <c r="P58" s="1" t="s">
        <v>0</v>
      </c>
      <c r="Q58" s="90" t="s">
        <v>524</v>
      </c>
      <c r="R58" s="91" t="s">
        <v>523</v>
      </c>
      <c r="S58" s="92" t="s">
        <v>525</v>
      </c>
      <c r="T58" s="124" t="s">
        <v>526</v>
      </c>
      <c r="U58" s="123" t="s">
        <v>527</v>
      </c>
      <c r="V58" s="1" t="s">
        <v>20</v>
      </c>
      <c r="W58" s="1" t="s">
        <v>1</v>
      </c>
      <c r="X58" s="1" t="s">
        <v>13</v>
      </c>
      <c r="Z58" s="1" t="s">
        <v>56</v>
      </c>
    </row>
    <row r="59" spans="2:26" x14ac:dyDescent="0.3">
      <c r="B59" s="1" t="s">
        <v>321</v>
      </c>
      <c r="C59" s="1" t="s">
        <v>2</v>
      </c>
      <c r="D59" s="10">
        <f>D53/D58</f>
        <v>1</v>
      </c>
      <c r="E59" s="10">
        <f>E54/E58</f>
        <v>0.58662861801875255</v>
      </c>
      <c r="F59" s="10">
        <f>F55/F58</f>
        <v>0.98380283741661079</v>
      </c>
      <c r="G59" s="10">
        <f>G56/G58</f>
        <v>0.92004433185560486</v>
      </c>
      <c r="H59" s="10">
        <f>H57/H58</f>
        <v>0.80924605746381506</v>
      </c>
      <c r="I59" s="10"/>
      <c r="J59" s="14">
        <f>(D53+E54+F55+G56+H57)/I58</f>
        <v>0.93722582750244721</v>
      </c>
      <c r="O59" t="s">
        <v>3</v>
      </c>
      <c r="P59" s="198" t="s">
        <v>524</v>
      </c>
      <c r="Q59" s="197">
        <f>'07E_Seeds'!AL83+'11E_Seeds'!AL83</f>
        <v>348</v>
      </c>
      <c r="R59" s="3">
        <f>'07E_Seeds'!AM83+'11E_Seeds'!AM83</f>
        <v>0</v>
      </c>
      <c r="S59" s="3">
        <f>'07E_Seeds'!AN83+'11E_Seeds'!AN83</f>
        <v>0</v>
      </c>
      <c r="T59" s="186">
        <f>'07E_Seeds'!AO83+'11E_Seeds'!AO83</f>
        <v>1</v>
      </c>
      <c r="U59" s="4">
        <f>'07E_Seeds'!AP83+'11E_Seeds'!AP83</f>
        <v>0</v>
      </c>
      <c r="V59" s="1">
        <f>SUM(Q59:U59)</f>
        <v>349</v>
      </c>
      <c r="W59" s="10">
        <f>Q59/V59</f>
        <v>0.99713467048710602</v>
      </c>
      <c r="X59" s="11">
        <f>1-W59</f>
        <v>2.8653295128939771E-3</v>
      </c>
      <c r="Y59">
        <f>V59-Q64</f>
        <v>1</v>
      </c>
      <c r="Z59" s="10">
        <f>2*(Q65*W59)/(Q65+W59)</f>
        <v>0.99856527977044474</v>
      </c>
    </row>
    <row r="60" spans="2:26" x14ac:dyDescent="0.3">
      <c r="C60" s="1" t="s">
        <v>14</v>
      </c>
      <c r="D60" s="11">
        <f>1-D59</f>
        <v>0</v>
      </c>
      <c r="E60" s="11">
        <f>1-E59</f>
        <v>0.41337138198124745</v>
      </c>
      <c r="F60" s="11">
        <f>1-F59</f>
        <v>1.6197162583389213E-2</v>
      </c>
      <c r="G60" s="11">
        <f>1-G59</f>
        <v>7.9955668144395142E-2</v>
      </c>
      <c r="H60" s="11">
        <f>1-H59</f>
        <v>0.19075394253618494</v>
      </c>
      <c r="O60" t="s">
        <v>4</v>
      </c>
      <c r="P60" s="199" t="s">
        <v>523</v>
      </c>
      <c r="Q60" s="1">
        <f>'07E_Seeds'!AL84+'11E_Seeds'!AL84</f>
        <v>0</v>
      </c>
      <c r="R60" s="184">
        <f>'07E_Seeds'!AM84+'11E_Seeds'!AM84</f>
        <v>492</v>
      </c>
      <c r="S60" s="189">
        <f>'07E_Seeds'!AN84+'11E_Seeds'!AN84</f>
        <v>34</v>
      </c>
      <c r="T60" s="1">
        <f>'07E_Seeds'!AO84+'11E_Seeds'!AO84</f>
        <v>0</v>
      </c>
      <c r="U60" s="188">
        <f>'07E_Seeds'!AP84+'11E_Seeds'!AP84</f>
        <v>14</v>
      </c>
      <c r="V60" s="1">
        <f>SUM(Q60:U60)</f>
        <v>540</v>
      </c>
      <c r="W60" s="10">
        <f>R60/V60</f>
        <v>0.91111111111111109</v>
      </c>
      <c r="X60" s="11">
        <f>1-W60</f>
        <v>8.8888888888888906E-2</v>
      </c>
      <c r="Y60">
        <f>V60-R64</f>
        <v>-307</v>
      </c>
      <c r="Z60" s="10">
        <f>2*(R65*W60)/(R65+W60)</f>
        <v>0.70944484498918547</v>
      </c>
    </row>
    <row r="61" spans="2:26" x14ac:dyDescent="0.3">
      <c r="D61" s="2"/>
      <c r="O61" t="s">
        <v>5</v>
      </c>
      <c r="P61" s="200" t="s">
        <v>525</v>
      </c>
      <c r="Q61" s="1">
        <f>'07E_Seeds'!AL85+'11E_Seeds'!AL85</f>
        <v>0</v>
      </c>
      <c r="R61" s="184">
        <f>'07E_Seeds'!AM85+'11E_Seeds'!AM85</f>
        <v>328</v>
      </c>
      <c r="S61" s="183">
        <f>'07E_Seeds'!AN85+'11E_Seeds'!AN85</f>
        <v>12617</v>
      </c>
      <c r="T61" s="189">
        <f>'07E_Seeds'!AO85+'11E_Seeds'!AO85</f>
        <v>136</v>
      </c>
      <c r="U61" s="192">
        <f>'07E_Seeds'!AP85+'11E_Seeds'!AP85</f>
        <v>38</v>
      </c>
      <c r="V61" s="1">
        <f>SUM(Q61:U61)</f>
        <v>13119</v>
      </c>
      <c r="W61" s="10">
        <f>S61/V61</f>
        <v>0.96173488832990317</v>
      </c>
      <c r="X61" s="11">
        <f>1-W61</f>
        <v>3.826511167009683E-2</v>
      </c>
      <c r="Y61">
        <f>V61-S64</f>
        <v>286</v>
      </c>
      <c r="Z61" s="10">
        <f>2*(S65*W61)/(S65+W61)</f>
        <v>0.97233353884093709</v>
      </c>
    </row>
    <row r="62" spans="2:26" x14ac:dyDescent="0.3">
      <c r="B62" s="1" t="s">
        <v>603</v>
      </c>
      <c r="C62" s="1" t="s">
        <v>604</v>
      </c>
      <c r="D62" s="1" t="s">
        <v>608</v>
      </c>
      <c r="E62" s="1" t="s">
        <v>605</v>
      </c>
      <c r="F62" s="1" t="s">
        <v>607</v>
      </c>
      <c r="G62" s="1" t="s">
        <v>606</v>
      </c>
      <c r="O62" t="s">
        <v>6</v>
      </c>
      <c r="P62" s="201" t="s">
        <v>526</v>
      </c>
      <c r="Q62" s="1">
        <f>'07E_Seeds'!AL86+'11E_Seeds'!AL86</f>
        <v>0</v>
      </c>
      <c r="R62" s="187">
        <f>'07E_Seeds'!AM86+'11E_Seeds'!AM86</f>
        <v>27</v>
      </c>
      <c r="S62" s="189">
        <f>'07E_Seeds'!AN86+'11E_Seeds'!AN86</f>
        <v>149</v>
      </c>
      <c r="T62" s="183">
        <f>'07E_Seeds'!AO86+'11E_Seeds'!AO86</f>
        <v>4450</v>
      </c>
      <c r="U62" s="193">
        <f>'07E_Seeds'!AP86+'11E_Seeds'!AP86</f>
        <v>239</v>
      </c>
      <c r="V62" s="1">
        <f>SUM(Q62:U62)</f>
        <v>4865</v>
      </c>
      <c r="W62" s="10">
        <f>T62/V62</f>
        <v>0.91469681397738956</v>
      </c>
      <c r="X62" s="11">
        <f>1-W62</f>
        <v>8.5303186022610444E-2</v>
      </c>
      <c r="Y62">
        <f>V62-T64</f>
        <v>7</v>
      </c>
      <c r="Z62" s="10">
        <f>2*(T65*W62)/(T65+W62)</f>
        <v>0.91535534300113131</v>
      </c>
    </row>
    <row r="63" spans="2:26" x14ac:dyDescent="0.3">
      <c r="B63" s="1">
        <f>_xlfn.QUARTILE.INC(D53:H57,1)</f>
        <v>0</v>
      </c>
      <c r="C63" s="1">
        <f>_xlfn.QUARTILE.EXC(D53:H57,2)</f>
        <v>108</v>
      </c>
      <c r="D63" s="1">
        <f>_xlfn.PERCENTILE.INC(D53:H57,0.7)</f>
        <v>561.7999999999995</v>
      </c>
      <c r="E63" s="1">
        <f>_xlfn.QUARTILE.EXC(D53:H57,3)</f>
        <v>741.5</v>
      </c>
      <c r="F63" s="1">
        <f>AVERAGE(D53:H57)</f>
        <v>2206.64</v>
      </c>
      <c r="G63" s="1">
        <f>MAX(D53:H57)</f>
        <v>33771</v>
      </c>
      <c r="O63" t="s">
        <v>7</v>
      </c>
      <c r="P63" s="202" t="s">
        <v>527</v>
      </c>
      <c r="Q63" s="8">
        <f>'07E_Seeds'!AL87+'11E_Seeds'!AL87</f>
        <v>0</v>
      </c>
      <c r="R63" s="8">
        <f>'07E_Seeds'!AM87+'11E_Seeds'!AM87</f>
        <v>0</v>
      </c>
      <c r="S63" s="191">
        <f>'07E_Seeds'!AN87+'11E_Seeds'!AN87</f>
        <v>33</v>
      </c>
      <c r="T63" s="194">
        <f>'07E_Seeds'!AO87+'11E_Seeds'!AO87</f>
        <v>271</v>
      </c>
      <c r="U63" s="227">
        <f>'07E_Seeds'!AP87+'11E_Seeds'!AP87</f>
        <v>1407</v>
      </c>
      <c r="V63" s="1">
        <f>SUM(Q63:U63)</f>
        <v>1711</v>
      </c>
      <c r="W63" s="10">
        <f>U63/V63</f>
        <v>0.82232612507305669</v>
      </c>
      <c r="X63" s="11">
        <f>1-W63</f>
        <v>0.17767387492694331</v>
      </c>
      <c r="Y63">
        <f>V63-U64</f>
        <v>13</v>
      </c>
      <c r="Z63" s="10">
        <f>2*(U65*W63)/(U65+W63)</f>
        <v>0.82546201232032856</v>
      </c>
    </row>
    <row r="64" spans="2:26" ht="15.6" x14ac:dyDescent="0.35">
      <c r="B64" s="205">
        <v>0</v>
      </c>
      <c r="C64" s="205" t="s">
        <v>664</v>
      </c>
      <c r="D64" s="205" t="s">
        <v>665</v>
      </c>
      <c r="E64" s="205" t="s">
        <v>666</v>
      </c>
      <c r="F64" s="205" t="s">
        <v>667</v>
      </c>
      <c r="G64" s="205" t="s">
        <v>668</v>
      </c>
      <c r="P64" s="1" t="s">
        <v>19</v>
      </c>
      <c r="Q64" s="1">
        <f>SUM(Q59:Q63)</f>
        <v>348</v>
      </c>
      <c r="R64" s="1">
        <f>SUM(R59:R63)</f>
        <v>847</v>
      </c>
      <c r="S64" s="1">
        <f>SUM(S59:S63)</f>
        <v>12833</v>
      </c>
      <c r="T64" s="1">
        <f>SUM(T59:T63)</f>
        <v>4858</v>
      </c>
      <c r="U64" s="1">
        <f>SUM(U59:U63)</f>
        <v>1698</v>
      </c>
      <c r="V64" s="1">
        <f>SUM(V58:V63)</f>
        <v>20584</v>
      </c>
      <c r="W64" s="13" t="s">
        <v>12</v>
      </c>
    </row>
    <row r="65" spans="2:25" x14ac:dyDescent="0.3">
      <c r="B65" s="205"/>
      <c r="C65" s="206"/>
      <c r="D65" s="207"/>
      <c r="E65" s="208"/>
      <c r="F65" s="209"/>
      <c r="G65" s="210"/>
      <c r="O65" s="1" t="s">
        <v>321</v>
      </c>
      <c r="P65" s="1" t="s">
        <v>2</v>
      </c>
      <c r="Q65" s="10">
        <f>Q59/Q64</f>
        <v>1</v>
      </c>
      <c r="R65" s="10">
        <f>R60/R64</f>
        <v>0.58087367178276272</v>
      </c>
      <c r="S65" s="10">
        <f>S61/S64</f>
        <v>0.98316839398425937</v>
      </c>
      <c r="T65" s="10">
        <f>T62/T64</f>
        <v>0.91601482091395636</v>
      </c>
      <c r="U65" s="10">
        <f>U63/U64</f>
        <v>0.82862190812720848</v>
      </c>
      <c r="V65" s="10"/>
      <c r="W65" s="14">
        <f>(Q59+R60+S61+T62+U63)/V64</f>
        <v>0.93830159347065678</v>
      </c>
    </row>
    <row r="66" spans="2:25" x14ac:dyDescent="0.3">
      <c r="C66" s="1" t="s">
        <v>2</v>
      </c>
      <c r="D66" s="1" t="s">
        <v>1</v>
      </c>
      <c r="E66" s="1" t="s">
        <v>576</v>
      </c>
      <c r="P66" s="1" t="s">
        <v>14</v>
      </c>
      <c r="Q66" s="11">
        <f>1-Q65</f>
        <v>0</v>
      </c>
      <c r="R66" s="11">
        <f>1-R65</f>
        <v>0.41912632821723728</v>
      </c>
      <c r="S66" s="11">
        <f>1-S65</f>
        <v>1.683160601574063E-2</v>
      </c>
      <c r="T66" s="11">
        <f>1-T65</f>
        <v>8.3985179086043638E-2</v>
      </c>
      <c r="U66" s="11">
        <f>1-U65</f>
        <v>0.17137809187279152</v>
      </c>
    </row>
    <row r="67" spans="2:25" x14ac:dyDescent="0.3">
      <c r="B67" s="198" t="s">
        <v>524</v>
      </c>
      <c r="C67" s="57">
        <f>D59*100</f>
        <v>100</v>
      </c>
      <c r="D67" s="57">
        <f>J53*100</f>
        <v>99.911190053285964</v>
      </c>
      <c r="E67" s="57">
        <f>Spectral!R121</f>
        <v>59.003013078138778</v>
      </c>
      <c r="F67" t="s">
        <v>679</v>
      </c>
      <c r="Q67" s="2"/>
    </row>
    <row r="68" spans="2:25" x14ac:dyDescent="0.3">
      <c r="B68" s="199" t="s">
        <v>523</v>
      </c>
      <c r="C68" s="57">
        <f>E59*100</f>
        <v>58.662861801875252</v>
      </c>
      <c r="D68" s="57">
        <f t="shared" ref="D68:D71" si="3">J54*100</f>
        <v>92.421323057161203</v>
      </c>
      <c r="E68" s="57">
        <f>Spectral!S121</f>
        <v>19.732338455243223</v>
      </c>
      <c r="F68" t="s">
        <v>680</v>
      </c>
      <c r="O68" s="1" t="s">
        <v>603</v>
      </c>
      <c r="P68" s="1" t="s">
        <v>604</v>
      </c>
      <c r="Q68" s="1" t="s">
        <v>608</v>
      </c>
      <c r="R68" s="1" t="s">
        <v>605</v>
      </c>
      <c r="S68" s="1" t="s">
        <v>607</v>
      </c>
      <c r="T68" s="1" t="s">
        <v>606</v>
      </c>
    </row>
    <row r="69" spans="2:25" x14ac:dyDescent="0.3">
      <c r="B69" s="200" t="s">
        <v>525</v>
      </c>
      <c r="C69" s="57">
        <f>F59*100</f>
        <v>98.380283741661074</v>
      </c>
      <c r="D69" s="57">
        <f t="shared" si="3"/>
        <v>95.625212368331631</v>
      </c>
      <c r="E69" s="57">
        <f>Spectral!T121</f>
        <v>22.925473871736074</v>
      </c>
      <c r="F69" t="s">
        <v>681</v>
      </c>
      <c r="O69" s="1">
        <f>_xlfn.QUARTILE.INC(Q59:U63,1)</f>
        <v>0</v>
      </c>
      <c r="P69" s="1">
        <f>_xlfn.QUARTILE.EXC(Q59:U63,2)</f>
        <v>33</v>
      </c>
      <c r="Q69" s="1">
        <f>_xlfn.PERCENTILE.INC(Q59:U63,0.7)</f>
        <v>220.99999999999974</v>
      </c>
      <c r="R69" s="1">
        <f>_xlfn.QUARTILE.EXC(Q59:U63,3)</f>
        <v>299.5</v>
      </c>
      <c r="S69" s="1">
        <f>AVERAGE(Q59:U63)</f>
        <v>823.36</v>
      </c>
      <c r="T69" s="1">
        <f>MAX(Q59:U63)</f>
        <v>12617</v>
      </c>
    </row>
    <row r="70" spans="2:25" x14ac:dyDescent="0.3">
      <c r="B70" s="201" t="s">
        <v>526</v>
      </c>
      <c r="C70" s="57">
        <f>G59*100</f>
        <v>92.004433185560487</v>
      </c>
      <c r="D70" s="57">
        <f t="shared" si="3"/>
        <v>92.304026685727905</v>
      </c>
      <c r="E70" s="57">
        <f>Spectral!U121</f>
        <v>28.055933288323239</v>
      </c>
      <c r="F70" t="s">
        <v>682</v>
      </c>
      <c r="O70" s="205">
        <v>0</v>
      </c>
      <c r="P70" s="221" t="s">
        <v>738</v>
      </c>
      <c r="Q70" s="221" t="s">
        <v>739</v>
      </c>
      <c r="R70" s="205" t="s">
        <v>740</v>
      </c>
      <c r="S70" s="205" t="s">
        <v>741</v>
      </c>
      <c r="T70" s="205" t="s">
        <v>742</v>
      </c>
    </row>
    <row r="71" spans="2:25" x14ac:dyDescent="0.3">
      <c r="B71" s="202" t="s">
        <v>527</v>
      </c>
      <c r="C71" s="57">
        <f>H59*100</f>
        <v>80.924605746381502</v>
      </c>
      <c r="D71" s="57">
        <f t="shared" si="3"/>
        <v>81.861888111888121</v>
      </c>
      <c r="E71" s="57">
        <f>Spectral!V121</f>
        <v>17.802281730967902</v>
      </c>
      <c r="F71" t="s">
        <v>683</v>
      </c>
      <c r="O71" s="205"/>
      <c r="P71" s="206"/>
      <c r="Q71" s="207"/>
      <c r="R71" s="208"/>
      <c r="S71" s="209"/>
      <c r="T71" s="210"/>
    </row>
    <row r="72" spans="2:25" x14ac:dyDescent="0.3">
      <c r="P72" s="1" t="s">
        <v>2</v>
      </c>
      <c r="Q72" s="1" t="s">
        <v>1</v>
      </c>
      <c r="R72" s="1" t="s">
        <v>576</v>
      </c>
    </row>
    <row r="73" spans="2:25" x14ac:dyDescent="0.3">
      <c r="O73" s="198" t="s">
        <v>524</v>
      </c>
      <c r="P73" s="57">
        <f>Q65*100</f>
        <v>100</v>
      </c>
      <c r="Q73" s="57">
        <f>W59*100</f>
        <v>99.713467048710598</v>
      </c>
      <c r="R73" s="57">
        <f>Spectral!R125</f>
        <v>39.503195956783053</v>
      </c>
      <c r="S73" t="s">
        <v>743</v>
      </c>
    </row>
    <row r="74" spans="2:25" x14ac:dyDescent="0.3">
      <c r="B74" s="361" t="s">
        <v>684</v>
      </c>
      <c r="C74" s="361"/>
      <c r="D74" s="361"/>
      <c r="E74" s="361"/>
      <c r="F74" s="361"/>
      <c r="G74" s="361"/>
      <c r="H74" s="361"/>
      <c r="I74" s="361"/>
      <c r="J74" s="361"/>
      <c r="K74" s="361"/>
      <c r="L74" s="361"/>
      <c r="O74" s="199" t="s">
        <v>523</v>
      </c>
      <c r="P74" s="57">
        <f>R65*100</f>
        <v>58.087367178276274</v>
      </c>
      <c r="Q74" s="57">
        <f t="shared" ref="Q74:Q77" si="4">W60*100</f>
        <v>91.111111111111114</v>
      </c>
      <c r="R74" s="57">
        <f>Spectral!S125</f>
        <v>19.43687675804885</v>
      </c>
      <c r="S74" t="s">
        <v>744</v>
      </c>
    </row>
    <row r="75" spans="2:25" x14ac:dyDescent="0.3">
      <c r="B75" t="s">
        <v>635</v>
      </c>
      <c r="J75" s="1" t="s">
        <v>58</v>
      </c>
      <c r="O75" s="200" t="s">
        <v>525</v>
      </c>
      <c r="P75" s="57">
        <f>S65*100</f>
        <v>98.316839398425941</v>
      </c>
      <c r="Q75" s="57">
        <f t="shared" si="4"/>
        <v>96.173488832990316</v>
      </c>
      <c r="R75" s="57">
        <f>Spectral!T125</f>
        <v>22.75400212687822</v>
      </c>
      <c r="S75" t="s">
        <v>745</v>
      </c>
    </row>
    <row r="76" spans="2:25" ht="15.6" x14ac:dyDescent="0.35">
      <c r="C76" s="1" t="s">
        <v>0</v>
      </c>
      <c r="D76" s="90" t="s">
        <v>524</v>
      </c>
      <c r="E76" s="91" t="s">
        <v>523</v>
      </c>
      <c r="F76" s="92" t="s">
        <v>525</v>
      </c>
      <c r="G76" s="124" t="s">
        <v>526</v>
      </c>
      <c r="H76" s="123" t="s">
        <v>527</v>
      </c>
      <c r="I76" s="1" t="s">
        <v>20</v>
      </c>
      <c r="J76" s="1" t="s">
        <v>1</v>
      </c>
      <c r="K76" s="1" t="s">
        <v>13</v>
      </c>
      <c r="M76" s="1" t="s">
        <v>56</v>
      </c>
      <c r="O76" s="201" t="s">
        <v>526</v>
      </c>
      <c r="P76" s="57">
        <f>T65*100</f>
        <v>91.601482091395638</v>
      </c>
      <c r="Q76" s="57">
        <f t="shared" si="4"/>
        <v>91.469681397738952</v>
      </c>
      <c r="R76" s="57">
        <f>Spectral!U125</f>
        <v>27.684013848482891</v>
      </c>
      <c r="S76" t="s">
        <v>746</v>
      </c>
    </row>
    <row r="77" spans="2:25" x14ac:dyDescent="0.3">
      <c r="B77" t="s">
        <v>3</v>
      </c>
      <c r="C77" s="198" t="s">
        <v>524</v>
      </c>
      <c r="D77" s="197">
        <f>'15O_Seeds'!AL83+'19O_Seeds'!AL83</f>
        <v>428</v>
      </c>
      <c r="E77" s="3">
        <f>'15O_Seeds'!AM83+'19O_Seeds'!AM83</f>
        <v>0</v>
      </c>
      <c r="F77" s="3">
        <f>'15O_Seeds'!AN83+'19O_Seeds'!AN83</f>
        <v>0</v>
      </c>
      <c r="G77" s="3">
        <f>'15O_Seeds'!AO83+'19O_Seeds'!AO83</f>
        <v>0</v>
      </c>
      <c r="H77" s="4">
        <f>'15O_Seeds'!AP83+'19O_Seeds'!AP83</f>
        <v>0</v>
      </c>
      <c r="I77" s="1">
        <f>SUM(D77:H77)</f>
        <v>428</v>
      </c>
      <c r="J77" s="10">
        <f>D77/I77</f>
        <v>1</v>
      </c>
      <c r="K77" s="11">
        <f>1-J77</f>
        <v>0</v>
      </c>
      <c r="L77">
        <f>I77-D82</f>
        <v>0</v>
      </c>
      <c r="M77" s="10">
        <f>2*(D83*J77)/(D83+J77)</f>
        <v>1</v>
      </c>
      <c r="O77" s="202" t="s">
        <v>527</v>
      </c>
      <c r="P77" s="57">
        <f>U65*100</f>
        <v>82.862190812720854</v>
      </c>
      <c r="Q77" s="57">
        <f t="shared" si="4"/>
        <v>82.232612507305674</v>
      </c>
      <c r="R77" s="57">
        <f>Spectral!V125</f>
        <v>19.297927574741497</v>
      </c>
      <c r="S77" t="s">
        <v>747</v>
      </c>
    </row>
    <row r="78" spans="2:25" x14ac:dyDescent="0.3">
      <c r="B78" t="s">
        <v>4</v>
      </c>
      <c r="C78" s="199" t="s">
        <v>523</v>
      </c>
      <c r="D78" s="1">
        <f>'15O_Seeds'!AL84+'19O_Seeds'!AL84</f>
        <v>0</v>
      </c>
      <c r="E78" s="184">
        <f>'15O_Seeds'!AM84+'19O_Seeds'!AM84</f>
        <v>604</v>
      </c>
      <c r="F78" s="189">
        <f>'15O_Seeds'!AN84+'19O_Seeds'!AN84</f>
        <v>64</v>
      </c>
      <c r="G78" s="1">
        <f>'15O_Seeds'!AO84+'19O_Seeds'!AO84</f>
        <v>0</v>
      </c>
      <c r="H78" s="188">
        <f>'15O_Seeds'!AP84+'19O_Seeds'!AP84</f>
        <v>10</v>
      </c>
      <c r="I78" s="1">
        <f>SUM(D78:H78)</f>
        <v>678</v>
      </c>
      <c r="J78" s="10">
        <f>E78/I78</f>
        <v>0.89085545722713866</v>
      </c>
      <c r="K78" s="11">
        <f>1-J78</f>
        <v>0.10914454277286134</v>
      </c>
      <c r="L78">
        <f>I78-E82</f>
        <v>-265</v>
      </c>
      <c r="M78" s="10">
        <f>2*(E83*J78)/(E83+J78)</f>
        <v>0.74521900061690316</v>
      </c>
    </row>
    <row r="79" spans="2:25" x14ac:dyDescent="0.3">
      <c r="B79" t="s">
        <v>5</v>
      </c>
      <c r="C79" s="200" t="s">
        <v>525</v>
      </c>
      <c r="D79" s="1">
        <f>'15O_Seeds'!AL85+'19O_Seeds'!AL85</f>
        <v>0</v>
      </c>
      <c r="E79" s="185">
        <f>'15O_Seeds'!AM85+'19O_Seeds'!AM85</f>
        <v>310</v>
      </c>
      <c r="F79" s="183">
        <f>'15O_Seeds'!AN85+'19O_Seeds'!AN85</f>
        <v>14270</v>
      </c>
      <c r="G79" s="185">
        <f>'15O_Seeds'!AO85+'19O_Seeds'!AO85</f>
        <v>183</v>
      </c>
      <c r="H79" s="188">
        <f>'15O_Seeds'!AP85+'19O_Seeds'!AP85</f>
        <v>35</v>
      </c>
      <c r="I79" s="1">
        <f>SUM(D79:H79)</f>
        <v>14798</v>
      </c>
      <c r="J79" s="10">
        <f>F79/I79</f>
        <v>0.96431950263549127</v>
      </c>
      <c r="K79" s="11">
        <f>1-J79</f>
        <v>3.5680497364508734E-2</v>
      </c>
      <c r="L79">
        <f>I79-F82</f>
        <v>366</v>
      </c>
      <c r="M79" s="10">
        <f>2*(F83*J79)/(F83+J79)</f>
        <v>0.97639411563462208</v>
      </c>
    </row>
    <row r="80" spans="2:25" x14ac:dyDescent="0.3">
      <c r="B80" t="s">
        <v>6</v>
      </c>
      <c r="C80" s="201" t="s">
        <v>526</v>
      </c>
      <c r="D80" s="1">
        <f>'15O_Seeds'!AL86+'19O_Seeds'!AL86</f>
        <v>0</v>
      </c>
      <c r="E80" s="187">
        <f>'15O_Seeds'!AM86+'19O_Seeds'!AM86</f>
        <v>9</v>
      </c>
      <c r="F80" s="189">
        <f>'15O_Seeds'!AN86+'19O_Seeds'!AN86</f>
        <v>52</v>
      </c>
      <c r="G80" s="183">
        <f>'15O_Seeds'!AO86+'19O_Seeds'!AO86</f>
        <v>4987</v>
      </c>
      <c r="H80" s="192">
        <f>'15O_Seeds'!AP86+'19O_Seeds'!AP86</f>
        <v>158</v>
      </c>
      <c r="I80" s="1">
        <f>SUM(D80:H80)</f>
        <v>5206</v>
      </c>
      <c r="J80" s="10">
        <f>G80/I80</f>
        <v>0.95793315405301571</v>
      </c>
      <c r="K80" s="11">
        <f>1-J80</f>
        <v>4.2066845946984288E-2</v>
      </c>
      <c r="L80">
        <f>I80-G82</f>
        <v>-305</v>
      </c>
      <c r="M80" s="10">
        <f>2*(G83*J80)/(G83+J80)</f>
        <v>0.93067089670616787</v>
      </c>
      <c r="O80" s="361" t="s">
        <v>753</v>
      </c>
      <c r="P80" s="361"/>
      <c r="Q80" s="361"/>
      <c r="R80" s="361"/>
      <c r="S80" s="361"/>
      <c r="T80" s="361"/>
      <c r="U80" s="361"/>
      <c r="V80" s="361"/>
      <c r="W80" s="361"/>
      <c r="X80" s="361"/>
      <c r="Y80" s="361"/>
    </row>
    <row r="81" spans="2:26" x14ac:dyDescent="0.3">
      <c r="B81" t="s">
        <v>7</v>
      </c>
      <c r="C81" s="202" t="s">
        <v>527</v>
      </c>
      <c r="D81" s="8">
        <f>'15O_Seeds'!AL87+'19O_Seeds'!AL87</f>
        <v>0</v>
      </c>
      <c r="E81" s="191">
        <f>'15O_Seeds'!AM87+'19O_Seeds'!AM87</f>
        <v>20</v>
      </c>
      <c r="F81" s="190">
        <f>'15O_Seeds'!AN87+'19O_Seeds'!AN87</f>
        <v>46</v>
      </c>
      <c r="G81" s="223">
        <f>'15O_Seeds'!AO87+'19O_Seeds'!AO87</f>
        <v>341</v>
      </c>
      <c r="H81" s="211">
        <f>'15O_Seeds'!AP87+'19O_Seeds'!AP87</f>
        <v>1513</v>
      </c>
      <c r="I81" s="1">
        <f>SUM(D81:H81)</f>
        <v>1920</v>
      </c>
      <c r="J81" s="10">
        <f>H81/I81</f>
        <v>0.78802083333333328</v>
      </c>
      <c r="K81" s="11">
        <f>1-J81</f>
        <v>0.21197916666666672</v>
      </c>
      <c r="L81">
        <f>I81-H82</f>
        <v>204</v>
      </c>
      <c r="M81" s="10">
        <f>2*(H83*J81)/(H83+J81)</f>
        <v>0.83223322332233229</v>
      </c>
      <c r="O81" t="s">
        <v>635</v>
      </c>
      <c r="W81" s="1" t="s">
        <v>58</v>
      </c>
    </row>
    <row r="82" spans="2:26" ht="15.6" x14ac:dyDescent="0.35">
      <c r="C82" s="1" t="s">
        <v>19</v>
      </c>
      <c r="D82" s="1">
        <f>SUM(D77:D81)</f>
        <v>428</v>
      </c>
      <c r="E82" s="1">
        <f>SUM(E77:E81)</f>
        <v>943</v>
      </c>
      <c r="F82" s="1">
        <f>SUM(F77:F81)</f>
        <v>14432</v>
      </c>
      <c r="G82" s="1">
        <f>SUM(G77:G81)</f>
        <v>5511</v>
      </c>
      <c r="H82" s="1">
        <f>SUM(H77:H81)</f>
        <v>1716</v>
      </c>
      <c r="I82" s="1">
        <f>SUM(I76:I81)</f>
        <v>23030</v>
      </c>
      <c r="J82" s="13" t="s">
        <v>12</v>
      </c>
      <c r="P82" s="1" t="s">
        <v>0</v>
      </c>
      <c r="Q82" s="90" t="s">
        <v>524</v>
      </c>
      <c r="R82" s="91" t="s">
        <v>523</v>
      </c>
      <c r="S82" s="92" t="s">
        <v>525</v>
      </c>
      <c r="T82" s="124" t="s">
        <v>526</v>
      </c>
      <c r="U82" s="123" t="s">
        <v>527</v>
      </c>
      <c r="V82" s="1" t="s">
        <v>20</v>
      </c>
      <c r="W82" s="1" t="s">
        <v>1</v>
      </c>
      <c r="X82" s="1" t="s">
        <v>13</v>
      </c>
      <c r="Z82" s="1" t="s">
        <v>56</v>
      </c>
    </row>
    <row r="83" spans="2:26" x14ac:dyDescent="0.3">
      <c r="B83" s="1" t="s">
        <v>321</v>
      </c>
      <c r="C83" s="1" t="s">
        <v>2</v>
      </c>
      <c r="D83" s="10">
        <f>D77/D82</f>
        <v>1</v>
      </c>
      <c r="E83" s="10">
        <f>E78/E82</f>
        <v>0.64050901378579006</v>
      </c>
      <c r="F83" s="10">
        <f>F79/F82</f>
        <v>0.98877494456762749</v>
      </c>
      <c r="G83" s="10">
        <f>G80/G82</f>
        <v>0.90491743785156964</v>
      </c>
      <c r="H83" s="10">
        <f>H81/H82</f>
        <v>0.88170163170163174</v>
      </c>
      <c r="I83" s="10"/>
      <c r="J83" s="14">
        <f>(D77+E78+F79+G80+H81)/I82</f>
        <v>0.9466782457663917</v>
      </c>
      <c r="O83" t="s">
        <v>3</v>
      </c>
      <c r="P83" s="198" t="s">
        <v>524</v>
      </c>
      <c r="Q83" s="197">
        <f>'15O_Seeds'!AL83+'19O_Seeds'!AL83+'19M_Seeds'!AL83</f>
        <v>687</v>
      </c>
      <c r="R83" s="3">
        <f>'15O_Seeds'!AM83+'19O_Seeds'!AM83+'19M_Seeds'!AM83</f>
        <v>0</v>
      </c>
      <c r="S83" s="3">
        <f>'15O_Seeds'!AN83+'19O_Seeds'!AN83+'19M_Seeds'!AN83</f>
        <v>0</v>
      </c>
      <c r="T83" s="3">
        <f>'15O_Seeds'!AO83+'19O_Seeds'!AO83+'19M_Seeds'!AO83</f>
        <v>0</v>
      </c>
      <c r="U83" s="4">
        <f>'15O_Seeds'!AP83+'19O_Seeds'!AP83+'19M_Seeds'!AP83</f>
        <v>0</v>
      </c>
      <c r="V83" s="1">
        <f>SUM(Q83:U83)</f>
        <v>687</v>
      </c>
      <c r="W83" s="10">
        <f>Q83/V83</f>
        <v>1</v>
      </c>
      <c r="X83" s="11">
        <f>1-W83</f>
        <v>0</v>
      </c>
      <c r="Y83">
        <f>V83-Q88</f>
        <v>0</v>
      </c>
      <c r="Z83" s="10">
        <f>2*(Q89*W83)/(Q89+W83)</f>
        <v>1</v>
      </c>
    </row>
    <row r="84" spans="2:26" x14ac:dyDescent="0.3">
      <c r="C84" s="1" t="s">
        <v>14</v>
      </c>
      <c r="D84" s="11">
        <f>1-D83</f>
        <v>0</v>
      </c>
      <c r="E84" s="11">
        <f>1-E83</f>
        <v>0.35949098621420994</v>
      </c>
      <c r="F84" s="11">
        <f>1-F83</f>
        <v>1.122505543237251E-2</v>
      </c>
      <c r="G84" s="11">
        <f>1-G83</f>
        <v>9.5082562148430361E-2</v>
      </c>
      <c r="H84" s="11">
        <f>1-H83</f>
        <v>0.11829836829836826</v>
      </c>
      <c r="O84" t="s">
        <v>4</v>
      </c>
      <c r="P84" s="199" t="s">
        <v>523</v>
      </c>
      <c r="Q84" s="1">
        <f>'15O_Seeds'!AL84+'19O_Seeds'!AL84+'19M_Seeds'!AL84</f>
        <v>0</v>
      </c>
      <c r="R84" s="184">
        <f>'15O_Seeds'!AM84+'19O_Seeds'!AM84+'19M_Seeds'!AM84</f>
        <v>905</v>
      </c>
      <c r="S84" s="189">
        <f>'15O_Seeds'!AN84+'19O_Seeds'!AN84+'19M_Seeds'!AN84</f>
        <v>108</v>
      </c>
      <c r="T84" s="1">
        <f>'15O_Seeds'!AO84+'19O_Seeds'!AO84+'19M_Seeds'!AO84</f>
        <v>0</v>
      </c>
      <c r="U84" s="188">
        <f>'15O_Seeds'!AP84+'19O_Seeds'!AP84+'19M_Seeds'!AP84</f>
        <v>12</v>
      </c>
      <c r="V84" s="1">
        <f>SUM(Q84:U84)</f>
        <v>1025</v>
      </c>
      <c r="W84" s="10">
        <f>R84/V84</f>
        <v>0.88292682926829269</v>
      </c>
      <c r="X84" s="11">
        <f>1-W84</f>
        <v>0.11707317073170731</v>
      </c>
      <c r="Y84">
        <f>V84-R88</f>
        <v>-357</v>
      </c>
      <c r="Z84" s="10">
        <f>2*(R89*W84)/(R89+W84)</f>
        <v>0.75197341088491887</v>
      </c>
    </row>
    <row r="85" spans="2:26" x14ac:dyDescent="0.3">
      <c r="D85" s="2"/>
      <c r="O85" t="s">
        <v>5</v>
      </c>
      <c r="P85" s="200" t="s">
        <v>525</v>
      </c>
      <c r="Q85" s="1">
        <f>'15O_Seeds'!AL85+'19O_Seeds'!AL85+'19M_Seeds'!AL85</f>
        <v>0</v>
      </c>
      <c r="R85" s="185">
        <f>'15O_Seeds'!AM85+'19O_Seeds'!AM85+'19M_Seeds'!AM85</f>
        <v>441</v>
      </c>
      <c r="S85" s="183">
        <f>'15O_Seeds'!AN85+'19O_Seeds'!AN85+'19M_Seeds'!AN85</f>
        <v>21396</v>
      </c>
      <c r="T85" s="189">
        <f>'15O_Seeds'!AO85+'19O_Seeds'!AO85+'19M_Seeds'!AO85</f>
        <v>247</v>
      </c>
      <c r="U85" s="192">
        <f>'15O_Seeds'!AP85+'19O_Seeds'!AP85+'19M_Seeds'!AP85</f>
        <v>64</v>
      </c>
      <c r="V85" s="1">
        <f>SUM(Q85:U85)</f>
        <v>22148</v>
      </c>
      <c r="W85" s="10">
        <f>S85/V85</f>
        <v>0.9660465956294022</v>
      </c>
      <c r="X85" s="11">
        <f>1-W85</f>
        <v>3.3953404370597795E-2</v>
      </c>
      <c r="Y85">
        <f>V85-S88</f>
        <v>345</v>
      </c>
      <c r="Z85" s="10">
        <f>2*(S89*W85)/(S89+W85)</f>
        <v>0.97362972401083014</v>
      </c>
    </row>
    <row r="86" spans="2:26" x14ac:dyDescent="0.3">
      <c r="B86" s="1" t="s">
        <v>603</v>
      </c>
      <c r="C86" s="1" t="s">
        <v>604</v>
      </c>
      <c r="D86" s="1" t="s">
        <v>608</v>
      </c>
      <c r="E86" s="1" t="s">
        <v>605</v>
      </c>
      <c r="F86" s="1" t="s">
        <v>607</v>
      </c>
      <c r="G86" s="1" t="s">
        <v>606</v>
      </c>
      <c r="O86" t="s">
        <v>6</v>
      </c>
      <c r="P86" s="201" t="s">
        <v>526</v>
      </c>
      <c r="Q86" s="1">
        <f>'15O_Seeds'!AL86+'19O_Seeds'!AL86+'19M_Seeds'!AL86</f>
        <v>0</v>
      </c>
      <c r="R86" s="187">
        <f>'15O_Seeds'!AM86+'19O_Seeds'!AM86+'19M_Seeds'!AM86</f>
        <v>13</v>
      </c>
      <c r="S86" s="189">
        <f>'15O_Seeds'!AN86+'19O_Seeds'!AN86+'19M_Seeds'!AN86</f>
        <v>233</v>
      </c>
      <c r="T86" s="183">
        <f>'15O_Seeds'!AO86+'19O_Seeds'!AO86+'19M_Seeds'!AO86</f>
        <v>7311</v>
      </c>
      <c r="U86" s="193">
        <f>'15O_Seeds'!AP86+'19O_Seeds'!AP86+'19M_Seeds'!AP86</f>
        <v>287</v>
      </c>
      <c r="V86" s="1">
        <f>SUM(Q86:U86)</f>
        <v>7844</v>
      </c>
      <c r="W86" s="10">
        <f>T86/V86</f>
        <v>0.93204997450280469</v>
      </c>
      <c r="X86" s="11">
        <f>1-W86</f>
        <v>6.795002549719531E-2</v>
      </c>
      <c r="Y86">
        <f>V86-T88</f>
        <v>-267</v>
      </c>
      <c r="Z86" s="10">
        <f>2*(T89*W86)/(T89+W86)</f>
        <v>0.91645252272015043</v>
      </c>
    </row>
    <row r="87" spans="2:26" x14ac:dyDescent="0.3">
      <c r="B87" s="1">
        <f>_xlfn.QUARTILE.INC(D77:H81,1)</f>
        <v>0</v>
      </c>
      <c r="C87" s="1">
        <f>_xlfn.QUARTILE.EXC(D77:H81,2)</f>
        <v>35</v>
      </c>
      <c r="D87" s="1">
        <f>_xlfn.PERCENTILE.INC(D77:H81,0.7)</f>
        <v>177.99999999999994</v>
      </c>
      <c r="E87" s="1">
        <f>_xlfn.QUARTILE.EXC(D77:H81,3)</f>
        <v>325.5</v>
      </c>
      <c r="F87" s="1">
        <f>AVERAGE(D77:H81)</f>
        <v>921.2</v>
      </c>
      <c r="G87" s="1">
        <f>MAX(D77:H81)</f>
        <v>14270</v>
      </c>
      <c r="O87" t="s">
        <v>7</v>
      </c>
      <c r="P87" s="202" t="s">
        <v>527</v>
      </c>
      <c r="Q87" s="8">
        <f>'15O_Seeds'!AL87+'19O_Seeds'!AL87+'19M_Seeds'!AL87</f>
        <v>0</v>
      </c>
      <c r="R87" s="191">
        <f>'15O_Seeds'!AM87+'19O_Seeds'!AM87+'19M_Seeds'!AM87</f>
        <v>23</v>
      </c>
      <c r="S87" s="190">
        <f>'15O_Seeds'!AN87+'19O_Seeds'!AN87+'19M_Seeds'!AN87</f>
        <v>66</v>
      </c>
      <c r="T87" s="223">
        <f>'15O_Seeds'!AO87+'19O_Seeds'!AO87+'19M_Seeds'!AO87</f>
        <v>553</v>
      </c>
      <c r="U87" s="211">
        <f>'15O_Seeds'!AP87+'19O_Seeds'!AP87+'19M_Seeds'!AP87</f>
        <v>2268</v>
      </c>
      <c r="V87" s="1">
        <f>SUM(Q87:U87)</f>
        <v>2910</v>
      </c>
      <c r="W87" s="10">
        <f>U87/V87</f>
        <v>0.77938144329896908</v>
      </c>
      <c r="X87" s="11">
        <f>1-W87</f>
        <v>0.22061855670103092</v>
      </c>
      <c r="Y87">
        <f>V87-U88</f>
        <v>279</v>
      </c>
      <c r="Z87" s="10">
        <f>2*(U89*W87)/(U89+W87)</f>
        <v>0.81862479696805623</v>
      </c>
    </row>
    <row r="88" spans="2:26" ht="15.6" x14ac:dyDescent="0.35">
      <c r="B88" s="205">
        <v>0</v>
      </c>
      <c r="C88" s="221" t="s">
        <v>685</v>
      </c>
      <c r="D88" s="205" t="s">
        <v>686</v>
      </c>
      <c r="E88" s="205" t="s">
        <v>687</v>
      </c>
      <c r="F88" s="205" t="s">
        <v>688</v>
      </c>
      <c r="G88" s="205" t="s">
        <v>689</v>
      </c>
      <c r="P88" s="1" t="s">
        <v>19</v>
      </c>
      <c r="Q88" s="1">
        <f>SUM(Q83:Q87)</f>
        <v>687</v>
      </c>
      <c r="R88" s="1">
        <f>SUM(R83:R87)</f>
        <v>1382</v>
      </c>
      <c r="S88" s="1">
        <f>SUM(S83:S87)</f>
        <v>21803</v>
      </c>
      <c r="T88" s="1">
        <f>SUM(T83:T87)</f>
        <v>8111</v>
      </c>
      <c r="U88" s="1">
        <f>SUM(U83:U87)</f>
        <v>2631</v>
      </c>
      <c r="V88" s="1">
        <f>SUM(V82:V87)</f>
        <v>34614</v>
      </c>
      <c r="W88" s="13" t="s">
        <v>12</v>
      </c>
    </row>
    <row r="89" spans="2:26" x14ac:dyDescent="0.3">
      <c r="B89" s="205"/>
      <c r="C89" s="206"/>
      <c r="D89" s="207"/>
      <c r="E89" s="208"/>
      <c r="F89" s="209"/>
      <c r="G89" s="210"/>
      <c r="O89" s="1" t="s">
        <v>321</v>
      </c>
      <c r="P89" s="1" t="s">
        <v>2</v>
      </c>
      <c r="Q89" s="10">
        <f>Q83/Q88</f>
        <v>1</v>
      </c>
      <c r="R89" s="10">
        <f>R84/R88</f>
        <v>0.65484804630969606</v>
      </c>
      <c r="S89" s="10">
        <f>S85/S88</f>
        <v>0.98133284410402233</v>
      </c>
      <c r="T89" s="10">
        <f>T86/T88</f>
        <v>0.90136851189742329</v>
      </c>
      <c r="U89" s="10">
        <f>U87/U88</f>
        <v>0.8620296465222349</v>
      </c>
      <c r="V89" s="10"/>
      <c r="W89" s="14">
        <f>(Q83+R84+S85+T86+U87)/V88</f>
        <v>0.94086207892760154</v>
      </c>
    </row>
    <row r="90" spans="2:26" x14ac:dyDescent="0.3">
      <c r="C90" s="1" t="s">
        <v>2</v>
      </c>
      <c r="D90" s="1" t="s">
        <v>1</v>
      </c>
      <c r="E90" s="1" t="s">
        <v>576</v>
      </c>
      <c r="P90" s="1" t="s">
        <v>14</v>
      </c>
      <c r="Q90" s="11">
        <f>1-Q89</f>
        <v>0</v>
      </c>
      <c r="R90" s="11">
        <f>1-R89</f>
        <v>0.34515195369030394</v>
      </c>
      <c r="S90" s="11">
        <f>1-S89</f>
        <v>1.8667155895977672E-2</v>
      </c>
      <c r="T90" s="11">
        <f>1-T89</f>
        <v>9.8631488102576714E-2</v>
      </c>
      <c r="U90" s="11">
        <f>1-U89</f>
        <v>0.1379703534777651</v>
      </c>
    </row>
    <row r="91" spans="2:26" x14ac:dyDescent="0.3">
      <c r="B91" s="198" t="s">
        <v>524</v>
      </c>
      <c r="C91" s="57">
        <f>D83*100</f>
        <v>100</v>
      </c>
      <c r="D91" s="57">
        <f>J77*100</f>
        <v>100</v>
      </c>
      <c r="E91" s="57">
        <f>Spectral!R122</f>
        <v>80.055421749571522</v>
      </c>
      <c r="F91" t="s">
        <v>696</v>
      </c>
      <c r="Q91" s="2"/>
    </row>
    <row r="92" spans="2:26" x14ac:dyDescent="0.3">
      <c r="B92" s="199" t="s">
        <v>523</v>
      </c>
      <c r="C92" s="57">
        <f>E83*100</f>
        <v>64.050901378578999</v>
      </c>
      <c r="D92" s="57">
        <f t="shared" ref="D92:D95" si="5">J78*100</f>
        <v>89.08554572271386</v>
      </c>
      <c r="E92" s="57">
        <f>Spectral!S122</f>
        <v>26.087207210236741</v>
      </c>
      <c r="F92" t="s">
        <v>697</v>
      </c>
      <c r="O92" s="1" t="s">
        <v>603</v>
      </c>
      <c r="P92" s="1" t="s">
        <v>604</v>
      </c>
      <c r="Q92" s="1" t="s">
        <v>608</v>
      </c>
      <c r="R92" s="1" t="s">
        <v>605</v>
      </c>
      <c r="S92" s="1" t="s">
        <v>607</v>
      </c>
      <c r="T92" s="1" t="s">
        <v>606</v>
      </c>
    </row>
    <row r="93" spans="2:26" x14ac:dyDescent="0.3">
      <c r="B93" s="200" t="s">
        <v>525</v>
      </c>
      <c r="C93" s="57">
        <f>F83*100</f>
        <v>98.877494456762747</v>
      </c>
      <c r="D93" s="57">
        <f t="shared" si="5"/>
        <v>96.431950263549126</v>
      </c>
      <c r="E93" s="57">
        <f>Spectral!T122</f>
        <v>31.947233145551646</v>
      </c>
      <c r="F93" t="s">
        <v>698</v>
      </c>
      <c r="O93" s="1">
        <f>_xlfn.QUARTILE.INC(Q83:U87,1)</f>
        <v>0</v>
      </c>
      <c r="P93" s="1">
        <f>_xlfn.QUARTILE.EXC(Q83:U87,2)</f>
        <v>64</v>
      </c>
      <c r="Q93" s="1">
        <f>_xlfn.PERCENTILE.INC(Q83:U87,0.7)</f>
        <v>278.99999999999989</v>
      </c>
      <c r="R93" s="1">
        <f>_xlfn.QUARTILE.EXC(Q83:U87,3)</f>
        <v>497</v>
      </c>
      <c r="S93" s="1">
        <f>AVERAGE(Q83:U87)</f>
        <v>1384.56</v>
      </c>
      <c r="T93" s="1">
        <f>MAX(Q83:U87)</f>
        <v>21396</v>
      </c>
    </row>
    <row r="94" spans="2:26" x14ac:dyDescent="0.3">
      <c r="B94" s="201" t="s">
        <v>526</v>
      </c>
      <c r="C94" s="57">
        <f>G83*100</f>
        <v>90.49174378515697</v>
      </c>
      <c r="D94" s="57">
        <f t="shared" si="5"/>
        <v>95.79331540530157</v>
      </c>
      <c r="E94" s="57">
        <f>Spectral!U122</f>
        <v>37.910659000462708</v>
      </c>
      <c r="F94" t="s">
        <v>699</v>
      </c>
      <c r="O94" s="205">
        <v>0</v>
      </c>
      <c r="P94" s="221" t="s">
        <v>748</v>
      </c>
      <c r="Q94" s="221" t="s">
        <v>749</v>
      </c>
      <c r="R94" s="205" t="s">
        <v>750</v>
      </c>
      <c r="S94" s="205" t="s">
        <v>751</v>
      </c>
      <c r="T94" s="205" t="s">
        <v>752</v>
      </c>
    </row>
    <row r="95" spans="2:26" x14ac:dyDescent="0.3">
      <c r="B95" s="202" t="s">
        <v>527</v>
      </c>
      <c r="C95" s="57">
        <f>H83*100</f>
        <v>88.170163170163178</v>
      </c>
      <c r="D95" s="57">
        <f t="shared" si="5"/>
        <v>78.802083333333329</v>
      </c>
      <c r="E95" s="57">
        <f>Spectral!V122</f>
        <v>28.334701521799801</v>
      </c>
      <c r="F95" t="s">
        <v>700</v>
      </c>
      <c r="O95" s="205"/>
      <c r="P95" s="206"/>
      <c r="Q95" s="207"/>
      <c r="R95" s="208"/>
      <c r="S95" s="209"/>
      <c r="T95" s="210"/>
    </row>
    <row r="96" spans="2:26" x14ac:dyDescent="0.3">
      <c r="P96" s="1" t="s">
        <v>2</v>
      </c>
      <c r="Q96" s="1" t="s">
        <v>1</v>
      </c>
      <c r="R96" s="1" t="s">
        <v>576</v>
      </c>
    </row>
    <row r="97" spans="2:26" x14ac:dyDescent="0.3">
      <c r="O97" s="198" t="s">
        <v>524</v>
      </c>
      <c r="P97" s="57">
        <f>Q89*100</f>
        <v>100</v>
      </c>
      <c r="Q97" s="57">
        <f>W83*100</f>
        <v>100</v>
      </c>
      <c r="R97" s="57">
        <f>Spectral!R126</f>
        <v>65.203878327682844</v>
      </c>
      <c r="S97" t="s">
        <v>754</v>
      </c>
    </row>
    <row r="98" spans="2:26" x14ac:dyDescent="0.3">
      <c r="B98" s="361" t="s">
        <v>690</v>
      </c>
      <c r="C98" s="361"/>
      <c r="D98" s="361"/>
      <c r="E98" s="361"/>
      <c r="F98" s="361"/>
      <c r="G98" s="361"/>
      <c r="H98" s="361"/>
      <c r="I98" s="361"/>
      <c r="J98" s="361"/>
      <c r="K98" s="361"/>
      <c r="L98" s="361"/>
      <c r="O98" s="199" t="s">
        <v>523</v>
      </c>
      <c r="P98" s="57">
        <f>R89*100</f>
        <v>65.484804630969606</v>
      </c>
      <c r="Q98" s="57">
        <f t="shared" ref="Q98:Q101" si="6">W84*100</f>
        <v>88.292682926829272</v>
      </c>
      <c r="R98" s="57">
        <f>Spectral!S126</f>
        <v>22.249601585884328</v>
      </c>
      <c r="S98" t="s">
        <v>755</v>
      </c>
    </row>
    <row r="99" spans="2:26" x14ac:dyDescent="0.3">
      <c r="B99" t="s">
        <v>635</v>
      </c>
      <c r="J99" s="1" t="s">
        <v>58</v>
      </c>
      <c r="O99" s="200" t="s">
        <v>525</v>
      </c>
      <c r="P99" s="57">
        <f>S89*100</f>
        <v>98.13328441040224</v>
      </c>
      <c r="Q99" s="57">
        <f t="shared" si="6"/>
        <v>96.604659562940213</v>
      </c>
      <c r="R99" s="57">
        <f>Spectral!T126</f>
        <v>30.079258725296132</v>
      </c>
      <c r="S99" t="s">
        <v>756</v>
      </c>
    </row>
    <row r="100" spans="2:26" ht="15.6" x14ac:dyDescent="0.35">
      <c r="C100" s="1" t="s">
        <v>0</v>
      </c>
      <c r="D100" s="90" t="s">
        <v>524</v>
      </c>
      <c r="E100" s="91" t="s">
        <v>523</v>
      </c>
      <c r="F100" s="92" t="s">
        <v>525</v>
      </c>
      <c r="G100" s="124" t="s">
        <v>526</v>
      </c>
      <c r="H100" s="123" t="s">
        <v>527</v>
      </c>
      <c r="I100" s="1" t="s">
        <v>20</v>
      </c>
      <c r="J100" s="1" t="s">
        <v>1</v>
      </c>
      <c r="K100" s="1" t="s">
        <v>13</v>
      </c>
      <c r="M100" s="1" t="s">
        <v>56</v>
      </c>
      <c r="O100" s="201" t="s">
        <v>526</v>
      </c>
      <c r="P100" s="57">
        <f>T89*100</f>
        <v>90.13685118974233</v>
      </c>
      <c r="Q100" s="57">
        <f t="shared" si="6"/>
        <v>93.204997450280473</v>
      </c>
      <c r="R100" s="57">
        <f>Spectral!U126</f>
        <v>30.543961682138622</v>
      </c>
      <c r="S100" t="s">
        <v>757</v>
      </c>
    </row>
    <row r="101" spans="2:26" x14ac:dyDescent="0.3">
      <c r="B101" t="s">
        <v>3</v>
      </c>
      <c r="C101" s="198" t="s">
        <v>524</v>
      </c>
      <c r="D101" s="197">
        <f>'19M_Seeds'!AL83+'24M_Seeds'!AL83</f>
        <v>518</v>
      </c>
      <c r="E101" s="3">
        <f>'19M_Seeds'!AM83+'24M_Seeds'!AM83</f>
        <v>0</v>
      </c>
      <c r="F101" s="3">
        <f>'19M_Seeds'!AN83+'24M_Seeds'!AN83</f>
        <v>0</v>
      </c>
      <c r="G101" s="3">
        <f>'19M_Seeds'!AO83+'24M_Seeds'!AO83</f>
        <v>0</v>
      </c>
      <c r="H101" s="4">
        <f>'19M_Seeds'!AP83+'24M_Seeds'!AP83</f>
        <v>0</v>
      </c>
      <c r="I101" s="1">
        <f>SUM(D101:H101)</f>
        <v>518</v>
      </c>
      <c r="J101" s="10">
        <f>D101/I101</f>
        <v>1</v>
      </c>
      <c r="K101" s="11">
        <f>1-J101</f>
        <v>0</v>
      </c>
      <c r="L101">
        <f>I101-D106</f>
        <v>0</v>
      </c>
      <c r="M101" s="10">
        <f>2*(D107*J101)/(D107+J101)</f>
        <v>1</v>
      </c>
      <c r="O101" s="202" t="s">
        <v>527</v>
      </c>
      <c r="P101" s="57">
        <f>U89*100</f>
        <v>86.202964652223486</v>
      </c>
      <c r="Q101" s="57">
        <f t="shared" si="6"/>
        <v>77.938144329896915</v>
      </c>
      <c r="R101" s="57">
        <f>Spectral!V126</f>
        <v>23.003233015214434</v>
      </c>
      <c r="S101" t="s">
        <v>758</v>
      </c>
    </row>
    <row r="102" spans="2:26" x14ac:dyDescent="0.3">
      <c r="B102" t="s">
        <v>4</v>
      </c>
      <c r="C102" s="199" t="s">
        <v>523</v>
      </c>
      <c r="D102" s="1">
        <f>'19M_Seeds'!AL84+'24M_Seeds'!AL84</f>
        <v>0</v>
      </c>
      <c r="E102" s="184">
        <f>'19M_Seeds'!AM84+'24M_Seeds'!AM84</f>
        <v>592</v>
      </c>
      <c r="F102" s="189">
        <f>'19M_Seeds'!AN84+'24M_Seeds'!AN84</f>
        <v>95</v>
      </c>
      <c r="G102" s="187">
        <f>'19M_Seeds'!AO84+'24M_Seeds'!AO84</f>
        <v>1</v>
      </c>
      <c r="H102" s="188">
        <f>'19M_Seeds'!AP84+'24M_Seeds'!AP84</f>
        <v>6</v>
      </c>
      <c r="I102" s="1">
        <f>SUM(D102:H102)</f>
        <v>694</v>
      </c>
      <c r="J102" s="10">
        <f>E102/I102</f>
        <v>0.85302593659942361</v>
      </c>
      <c r="K102" s="11">
        <f>1-J102</f>
        <v>0.14697406340057639</v>
      </c>
      <c r="L102">
        <f>I102-E106</f>
        <v>-365</v>
      </c>
      <c r="M102" s="10">
        <f>2*(E107*J102)/(E107+J102)</f>
        <v>0.67541357672561331</v>
      </c>
    </row>
    <row r="103" spans="2:26" x14ac:dyDescent="0.3">
      <c r="B103" t="s">
        <v>5</v>
      </c>
      <c r="C103" s="200" t="s">
        <v>525</v>
      </c>
      <c r="D103" s="1">
        <f>'19M_Seeds'!AL85+'24M_Seeds'!AL85</f>
        <v>0</v>
      </c>
      <c r="E103" s="184">
        <f>'19M_Seeds'!AM85+'24M_Seeds'!AM85</f>
        <v>456</v>
      </c>
      <c r="F103" s="183">
        <f>'19M_Seeds'!AN85+'24M_Seeds'!AN85</f>
        <v>14061</v>
      </c>
      <c r="G103" s="189">
        <f>'19M_Seeds'!AO85+'24M_Seeds'!AO85</f>
        <v>106</v>
      </c>
      <c r="H103" s="192">
        <f>'19M_Seeds'!AP85+'24M_Seeds'!AP85</f>
        <v>75</v>
      </c>
      <c r="I103" s="1">
        <f>SUM(D103:H103)</f>
        <v>14698</v>
      </c>
      <c r="J103" s="10">
        <f>F103/I103</f>
        <v>0.95666077017281259</v>
      </c>
      <c r="K103" s="11">
        <f>1-J103</f>
        <v>4.3339229827187409E-2</v>
      </c>
      <c r="L103">
        <f>I103-F106</f>
        <v>221</v>
      </c>
      <c r="M103" s="10">
        <f>2*(F107*J103)/(F107+J103)</f>
        <v>0.96390745501285346</v>
      </c>
    </row>
    <row r="104" spans="2:26" x14ac:dyDescent="0.3">
      <c r="B104" t="s">
        <v>6</v>
      </c>
      <c r="C104" s="201" t="s">
        <v>526</v>
      </c>
      <c r="D104" s="1">
        <f>'19M_Seeds'!AL86+'24M_Seeds'!AL86</f>
        <v>0</v>
      </c>
      <c r="E104" s="187">
        <f>'19M_Seeds'!AM86+'24M_Seeds'!AM86</f>
        <v>7</v>
      </c>
      <c r="F104" s="185">
        <f>'19M_Seeds'!AN86+'24M_Seeds'!AN86</f>
        <v>296</v>
      </c>
      <c r="G104" s="183">
        <f>'19M_Seeds'!AO86+'24M_Seeds'!AO86</f>
        <v>4739</v>
      </c>
      <c r="H104" s="192">
        <f>'19M_Seeds'!AP86+'24M_Seeds'!AP86</f>
        <v>234</v>
      </c>
      <c r="I104" s="1">
        <f>SUM(D104:H104)</f>
        <v>5276</v>
      </c>
      <c r="J104" s="10">
        <f>G104/I104</f>
        <v>0.89821834723275207</v>
      </c>
      <c r="K104" s="11">
        <f>1-J104</f>
        <v>0.10178165276724793</v>
      </c>
      <c r="L104">
        <f>I104-G106</f>
        <v>95</v>
      </c>
      <c r="M104" s="10">
        <f>2*(G107*J104)/(G107+J104)</f>
        <v>0.90637850243855789</v>
      </c>
      <c r="O104" s="361" t="s">
        <v>759</v>
      </c>
      <c r="P104" s="361"/>
      <c r="Q104" s="361"/>
      <c r="R104" s="361"/>
      <c r="S104" s="361"/>
      <c r="T104" s="361"/>
      <c r="U104" s="361"/>
      <c r="V104" s="361"/>
      <c r="W104" s="361"/>
      <c r="X104" s="361"/>
      <c r="Y104" s="361"/>
    </row>
    <row r="105" spans="2:26" x14ac:dyDescent="0.3">
      <c r="B105" t="s">
        <v>7</v>
      </c>
      <c r="C105" s="202" t="s">
        <v>527</v>
      </c>
      <c r="D105" s="8">
        <f>'19M_Seeds'!AL87+'24M_Seeds'!AL87</f>
        <v>0</v>
      </c>
      <c r="E105" s="191">
        <f>'19M_Seeds'!AM87+'24M_Seeds'!AM87</f>
        <v>4</v>
      </c>
      <c r="F105" s="191">
        <f>'19M_Seeds'!AN87+'24M_Seeds'!AN87</f>
        <v>25</v>
      </c>
      <c r="G105" s="194">
        <f>'19M_Seeds'!AO87+'24M_Seeds'!AO87</f>
        <v>335</v>
      </c>
      <c r="H105" s="211">
        <f>'19M_Seeds'!AP87+'24M_Seeds'!AP87</f>
        <v>1616</v>
      </c>
      <c r="I105" s="1">
        <f>SUM(D105:H105)</f>
        <v>1980</v>
      </c>
      <c r="J105" s="10">
        <f>H105/I105</f>
        <v>0.8161616161616162</v>
      </c>
      <c r="K105" s="11">
        <f>1-J105</f>
        <v>0.1838383838383838</v>
      </c>
      <c r="L105">
        <f>I105-H106</f>
        <v>49</v>
      </c>
      <c r="M105" s="10">
        <f>2*(H107*J105)/(H107+J105)</f>
        <v>0.82638711327026337</v>
      </c>
      <c r="O105" t="s">
        <v>635</v>
      </c>
      <c r="W105" s="1" t="s">
        <v>58</v>
      </c>
    </row>
    <row r="106" spans="2:26" ht="15.6" x14ac:dyDescent="0.35">
      <c r="C106" s="1" t="s">
        <v>19</v>
      </c>
      <c r="D106" s="1">
        <f>SUM(D101:D105)</f>
        <v>518</v>
      </c>
      <c r="E106" s="1">
        <f>SUM(E101:E105)</f>
        <v>1059</v>
      </c>
      <c r="F106" s="1">
        <f>SUM(F101:F105)</f>
        <v>14477</v>
      </c>
      <c r="G106" s="1">
        <f>SUM(G101:G105)</f>
        <v>5181</v>
      </c>
      <c r="H106" s="1">
        <f>SUM(H101:H105)</f>
        <v>1931</v>
      </c>
      <c r="I106" s="1">
        <f>SUM(I100:I105)</f>
        <v>23166</v>
      </c>
      <c r="J106" s="13" t="s">
        <v>12</v>
      </c>
      <c r="P106" s="1" t="s">
        <v>0</v>
      </c>
      <c r="Q106" s="90" t="s">
        <v>524</v>
      </c>
      <c r="R106" s="91" t="s">
        <v>523</v>
      </c>
      <c r="S106" s="92" t="s">
        <v>525</v>
      </c>
      <c r="T106" s="124" t="s">
        <v>526</v>
      </c>
      <c r="U106" s="123" t="s">
        <v>527</v>
      </c>
      <c r="V106" s="1" t="s">
        <v>20</v>
      </c>
      <c r="W106" s="1" t="s">
        <v>1</v>
      </c>
      <c r="X106" s="1" t="s">
        <v>13</v>
      </c>
      <c r="Z106" s="1" t="s">
        <v>56</v>
      </c>
    </row>
    <row r="107" spans="2:26" x14ac:dyDescent="0.3">
      <c r="B107" s="1" t="s">
        <v>321</v>
      </c>
      <c r="C107" s="1" t="s">
        <v>2</v>
      </c>
      <c r="D107" s="10">
        <f>D101/D106</f>
        <v>1</v>
      </c>
      <c r="E107" s="10">
        <f>E102/E106</f>
        <v>0.55901794145420203</v>
      </c>
      <c r="F107" s="10">
        <f>F103/F106</f>
        <v>0.97126476479933688</v>
      </c>
      <c r="G107" s="10">
        <f>G104/G106</f>
        <v>0.91468828411503567</v>
      </c>
      <c r="H107" s="10">
        <f>H105/H106</f>
        <v>0.83687208700155358</v>
      </c>
      <c r="I107" s="10"/>
      <c r="J107" s="14">
        <f>(D101+E102+F103+G104+H105)/I106</f>
        <v>0.92920659587326249</v>
      </c>
      <c r="O107" t="s">
        <v>3</v>
      </c>
      <c r="P107" s="198" t="s">
        <v>524</v>
      </c>
      <c r="Q107" s="197">
        <f>'91T_Seeds'!AL83</f>
        <v>259</v>
      </c>
      <c r="R107" s="3">
        <f>'91T_Seeds'!AM83</f>
        <v>0</v>
      </c>
      <c r="S107" s="3">
        <f>'91T_Seeds'!AN83</f>
        <v>0</v>
      </c>
      <c r="T107" s="3">
        <f>'91T_Seeds'!AO83</f>
        <v>0</v>
      </c>
      <c r="U107" s="4">
        <f>'91T_Seeds'!AP83</f>
        <v>0</v>
      </c>
      <c r="V107" s="1">
        <f>SUM(Q107:U107)</f>
        <v>259</v>
      </c>
      <c r="W107" s="10">
        <f>Q107/V107</f>
        <v>1</v>
      </c>
      <c r="X107" s="11">
        <f>1-W107</f>
        <v>0</v>
      </c>
      <c r="Y107">
        <f>V107-Q112</f>
        <v>0</v>
      </c>
      <c r="Z107" s="10">
        <f>2*(Q113*W107)/(Q113+W107)</f>
        <v>1</v>
      </c>
    </row>
    <row r="108" spans="2:26" x14ac:dyDescent="0.3">
      <c r="C108" s="1" t="s">
        <v>14</v>
      </c>
      <c r="D108" s="11">
        <f>1-D107</f>
        <v>0</v>
      </c>
      <c r="E108" s="11">
        <f>1-E107</f>
        <v>0.44098205854579797</v>
      </c>
      <c r="F108" s="11">
        <f>1-F107</f>
        <v>2.8735235200663123E-2</v>
      </c>
      <c r="G108" s="11">
        <f>1-G107</f>
        <v>8.5311715884964334E-2</v>
      </c>
      <c r="H108" s="11">
        <f>1-H107</f>
        <v>0.16312791299844642</v>
      </c>
      <c r="O108" t="s">
        <v>4</v>
      </c>
      <c r="P108" s="199" t="s">
        <v>523</v>
      </c>
      <c r="Q108" s="1">
        <f>'91T_Seeds'!AL84</f>
        <v>0</v>
      </c>
      <c r="R108" s="184">
        <f>'91T_Seeds'!AM84</f>
        <v>293</v>
      </c>
      <c r="S108" s="189">
        <f>'91T_Seeds'!AN84</f>
        <v>46</v>
      </c>
      <c r="T108" s="1">
        <f>'91T_Seeds'!AO84</f>
        <v>0</v>
      </c>
      <c r="U108" s="6">
        <f>'91T_Seeds'!AP84</f>
        <v>0</v>
      </c>
      <c r="V108" s="1">
        <f>SUM(Q108:U108)</f>
        <v>339</v>
      </c>
      <c r="W108" s="10">
        <f>R108/V108</f>
        <v>0.86430678466076694</v>
      </c>
      <c r="X108" s="11">
        <f>1-W108</f>
        <v>0.13569321533923306</v>
      </c>
      <c r="Y108">
        <f>V108-R112</f>
        <v>-390</v>
      </c>
      <c r="Z108" s="10">
        <f>2*(R113*W108)/(R113+W108)</f>
        <v>0.54868913857677903</v>
      </c>
    </row>
    <row r="109" spans="2:26" x14ac:dyDescent="0.3">
      <c r="D109" s="2"/>
      <c r="O109" t="s">
        <v>5</v>
      </c>
      <c r="P109" s="200" t="s">
        <v>525</v>
      </c>
      <c r="Q109" s="1">
        <f>'91T_Seeds'!AL85</f>
        <v>0</v>
      </c>
      <c r="R109" s="184">
        <f>'91T_Seeds'!AM85</f>
        <v>328</v>
      </c>
      <c r="S109" s="183">
        <f>'91T_Seeds'!AN85</f>
        <v>6911</v>
      </c>
      <c r="T109" s="185">
        <f>'91T_Seeds'!AO85</f>
        <v>101</v>
      </c>
      <c r="U109" s="192">
        <f>'91T_Seeds'!AP85</f>
        <v>59</v>
      </c>
      <c r="V109" s="1">
        <f>SUM(Q109:U109)</f>
        <v>7399</v>
      </c>
      <c r="W109" s="10">
        <f>S109/V109</f>
        <v>0.93404514123530202</v>
      </c>
      <c r="X109" s="11">
        <f>1-W109</f>
        <v>6.5954858764697977E-2</v>
      </c>
      <c r="Y109">
        <f>V109-S112</f>
        <v>403</v>
      </c>
      <c r="Z109" s="10">
        <f>2*(S113*W109)/(S113+W109)</f>
        <v>0.96019451198332761</v>
      </c>
    </row>
    <row r="110" spans="2:26" x14ac:dyDescent="0.3">
      <c r="B110" s="1" t="s">
        <v>603</v>
      </c>
      <c r="C110" s="1" t="s">
        <v>604</v>
      </c>
      <c r="D110" s="1" t="s">
        <v>608</v>
      </c>
      <c r="E110" s="1" t="s">
        <v>605</v>
      </c>
      <c r="F110" s="1" t="s">
        <v>607</v>
      </c>
      <c r="G110" s="1" t="s">
        <v>606</v>
      </c>
      <c r="O110" t="s">
        <v>6</v>
      </c>
      <c r="P110" s="201" t="s">
        <v>526</v>
      </c>
      <c r="Q110" s="1">
        <f>'91T_Seeds'!AL86</f>
        <v>0</v>
      </c>
      <c r="R110" s="1">
        <f>'91T_Seeds'!AM86</f>
        <v>0</v>
      </c>
      <c r="S110" s="189">
        <f>'91T_Seeds'!AN86</f>
        <v>18</v>
      </c>
      <c r="T110" s="183">
        <f>'91T_Seeds'!AO86</f>
        <v>2418</v>
      </c>
      <c r="U110" s="193">
        <f>'91T_Seeds'!AP86</f>
        <v>84</v>
      </c>
      <c r="V110" s="1">
        <f>SUM(Q110:U110)</f>
        <v>2520</v>
      </c>
      <c r="W110" s="10">
        <f>T110/V110</f>
        <v>0.95952380952380956</v>
      </c>
      <c r="X110" s="11">
        <f>1-W110</f>
        <v>4.0476190476190443E-2</v>
      </c>
      <c r="Y110">
        <f>V110-T112</f>
        <v>-84</v>
      </c>
      <c r="Z110" s="10">
        <f>2*(T113*W110)/(T113+W110)</f>
        <v>0.94379391100702581</v>
      </c>
    </row>
    <row r="111" spans="2:26" x14ac:dyDescent="0.3">
      <c r="B111" s="1">
        <f>_xlfn.QUARTILE.INC(D101:H105,1)</f>
        <v>0</v>
      </c>
      <c r="C111" s="1">
        <f>_xlfn.QUARTILE.EXC(D101:H105,2)</f>
        <v>25</v>
      </c>
      <c r="D111" s="1">
        <f>_xlfn.PERCENTILE.INC(D101:H105,0.7)</f>
        <v>283.5999999999998</v>
      </c>
      <c r="E111" s="1">
        <f>_xlfn.QUARTILE.EXC(D101:H105,3)</f>
        <v>395.5</v>
      </c>
      <c r="F111" s="1">
        <f>AVERAGE(D101:H105)</f>
        <v>926.64</v>
      </c>
      <c r="G111" s="1">
        <f>MAX(D101:H105)</f>
        <v>14061</v>
      </c>
      <c r="O111" t="s">
        <v>7</v>
      </c>
      <c r="P111" s="202" t="s">
        <v>527</v>
      </c>
      <c r="Q111" s="8">
        <f>'91T_Seeds'!AL87</f>
        <v>0</v>
      </c>
      <c r="R111" s="194">
        <f>'91T_Seeds'!AM87</f>
        <v>108</v>
      </c>
      <c r="S111" s="191">
        <f>'91T_Seeds'!AN87</f>
        <v>21</v>
      </c>
      <c r="T111" s="223">
        <f>'91T_Seeds'!AO87</f>
        <v>85</v>
      </c>
      <c r="U111" s="211">
        <f>'91T_Seeds'!AP87</f>
        <v>731</v>
      </c>
      <c r="V111" s="1">
        <f>SUM(Q111:U111)</f>
        <v>945</v>
      </c>
      <c r="W111" s="10">
        <f>U111/V111</f>
        <v>0.77354497354497354</v>
      </c>
      <c r="X111" s="11">
        <f>1-W111</f>
        <v>0.22645502645502646</v>
      </c>
      <c r="Y111">
        <f>V111-U112</f>
        <v>71</v>
      </c>
      <c r="Z111" s="10">
        <f>2*(U113*W111)/(U113+W111)</f>
        <v>0.80373831775700944</v>
      </c>
    </row>
    <row r="112" spans="2:26" ht="15.6" x14ac:dyDescent="0.35">
      <c r="B112" s="205">
        <v>0</v>
      </c>
      <c r="C112" s="221" t="s">
        <v>691</v>
      </c>
      <c r="D112" s="205" t="s">
        <v>692</v>
      </c>
      <c r="E112" s="205" t="s">
        <v>693</v>
      </c>
      <c r="F112" s="205" t="s">
        <v>694</v>
      </c>
      <c r="G112" s="205" t="s">
        <v>695</v>
      </c>
      <c r="P112" s="1" t="s">
        <v>19</v>
      </c>
      <c r="Q112" s="1">
        <f>SUM(Q107:Q111)</f>
        <v>259</v>
      </c>
      <c r="R112" s="1">
        <f>SUM(R107:R111)</f>
        <v>729</v>
      </c>
      <c r="S112" s="1">
        <f>SUM(S107:S111)</f>
        <v>6996</v>
      </c>
      <c r="T112" s="1">
        <f>SUM(T107:T111)</f>
        <v>2604</v>
      </c>
      <c r="U112" s="1">
        <f>SUM(U107:U111)</f>
        <v>874</v>
      </c>
      <c r="V112" s="1">
        <f>SUM(V106:V111)</f>
        <v>11462</v>
      </c>
      <c r="W112" s="13" t="s">
        <v>12</v>
      </c>
    </row>
    <row r="113" spans="2:25" x14ac:dyDescent="0.3">
      <c r="B113" s="205"/>
      <c r="C113" s="206"/>
      <c r="D113" s="207"/>
      <c r="E113" s="208"/>
      <c r="F113" s="209"/>
      <c r="G113" s="210"/>
      <c r="O113" s="1" t="s">
        <v>321</v>
      </c>
      <c r="P113" s="1" t="s">
        <v>2</v>
      </c>
      <c r="Q113" s="10">
        <f>Q107/Q112</f>
        <v>1</v>
      </c>
      <c r="R113" s="10">
        <f>R108/R112</f>
        <v>0.40192043895747598</v>
      </c>
      <c r="S113" s="10">
        <f>S109/S112</f>
        <v>0.9878502001143511</v>
      </c>
      <c r="T113" s="10">
        <f>T110/T112</f>
        <v>0.9285714285714286</v>
      </c>
      <c r="U113" s="10">
        <f>U111/U112</f>
        <v>0.83638443935926776</v>
      </c>
      <c r="V113" s="10"/>
      <c r="W113" s="14">
        <f>(Q107+R108+S109+T110+U111)/V112</f>
        <v>0.92584191240621183</v>
      </c>
    </row>
    <row r="114" spans="2:25" x14ac:dyDescent="0.3">
      <c r="C114" s="1" t="s">
        <v>2</v>
      </c>
      <c r="D114" s="1" t="s">
        <v>1</v>
      </c>
      <c r="E114" s="1" t="s">
        <v>576</v>
      </c>
      <c r="P114" s="1" t="s">
        <v>14</v>
      </c>
      <c r="Q114" s="11">
        <f>1-Q113</f>
        <v>0</v>
      </c>
      <c r="R114" s="11">
        <f>1-R113</f>
        <v>0.59807956104252402</v>
      </c>
      <c r="S114" s="11">
        <f>1-S113</f>
        <v>1.2149799885648904E-2</v>
      </c>
      <c r="T114" s="11">
        <f>1-T113</f>
        <v>7.1428571428571397E-2</v>
      </c>
      <c r="U114" s="11">
        <f>1-U113</f>
        <v>0.16361556064073224</v>
      </c>
    </row>
    <row r="115" spans="2:25" x14ac:dyDescent="0.3">
      <c r="B115" s="198" t="s">
        <v>524</v>
      </c>
      <c r="C115" s="57">
        <f>D107*100</f>
        <v>100</v>
      </c>
      <c r="D115" s="57">
        <f>J101*100</f>
        <v>100</v>
      </c>
      <c r="E115" s="57">
        <f>Spectral!R123</f>
        <v>55.333059522274027</v>
      </c>
      <c r="F115" t="s">
        <v>701</v>
      </c>
      <c r="Q115" s="2"/>
    </row>
    <row r="116" spans="2:25" x14ac:dyDescent="0.3">
      <c r="B116" s="199" t="s">
        <v>523</v>
      </c>
      <c r="C116" s="57">
        <f>E107*100</f>
        <v>55.901794145420205</v>
      </c>
      <c r="D116" s="57">
        <f t="shared" ref="D116:D119" si="7">J102*100</f>
        <v>85.30259365994236</v>
      </c>
      <c r="E116" s="57">
        <f>Spectral!S123</f>
        <v>21.038451410108074</v>
      </c>
      <c r="F116" t="s">
        <v>702</v>
      </c>
      <c r="O116" s="1" t="s">
        <v>603</v>
      </c>
      <c r="P116" s="1" t="s">
        <v>604</v>
      </c>
      <c r="Q116" s="1" t="s">
        <v>608</v>
      </c>
      <c r="R116" s="1" t="s">
        <v>605</v>
      </c>
      <c r="S116" s="1" t="s">
        <v>607</v>
      </c>
      <c r="T116" s="1" t="s">
        <v>606</v>
      </c>
    </row>
    <row r="117" spans="2:25" x14ac:dyDescent="0.3">
      <c r="B117" s="200" t="s">
        <v>525</v>
      </c>
      <c r="C117" s="57">
        <f>F107*100</f>
        <v>97.126476479933686</v>
      </c>
      <c r="D117" s="57">
        <f t="shared" si="7"/>
        <v>95.666077017281253</v>
      </c>
      <c r="E117" s="57">
        <f>Spectral!T123</f>
        <v>25.254341591787199</v>
      </c>
      <c r="F117" t="s">
        <v>703</v>
      </c>
      <c r="O117" s="1">
        <f>_xlfn.QUARTILE.INC(Q107:U111,1)</f>
        <v>0</v>
      </c>
      <c r="P117" s="1">
        <f>_xlfn.QUARTILE.EXC(Q107:U111,2)</f>
        <v>21</v>
      </c>
      <c r="Q117" s="1">
        <f>_xlfn.PERCENTILE.INC(Q107:U111,0.7)</f>
        <v>97.799999999999955</v>
      </c>
      <c r="R117" s="1">
        <f>_xlfn.QUARTILE.EXC(Q107:U111,3)</f>
        <v>183.5</v>
      </c>
      <c r="S117" s="1">
        <f>AVERAGE(Q107:U111)</f>
        <v>458.48</v>
      </c>
      <c r="T117" s="1">
        <f>MAX(Q107:U111)</f>
        <v>6911</v>
      </c>
    </row>
    <row r="118" spans="2:25" x14ac:dyDescent="0.3">
      <c r="B118" s="201" t="s">
        <v>526</v>
      </c>
      <c r="C118" s="57">
        <f>G107*100</f>
        <v>91.468828411503566</v>
      </c>
      <c r="D118" s="57">
        <f t="shared" si="7"/>
        <v>89.821834723275202</v>
      </c>
      <c r="E118" s="57">
        <f>Spectral!U123</f>
        <v>21.662084578351955</v>
      </c>
      <c r="F118" t="s">
        <v>704</v>
      </c>
      <c r="O118" s="205">
        <v>0</v>
      </c>
      <c r="P118" s="221" t="s">
        <v>760</v>
      </c>
      <c r="Q118" s="221" t="s">
        <v>761</v>
      </c>
      <c r="R118" s="205" t="s">
        <v>762</v>
      </c>
      <c r="S118" s="205" t="s">
        <v>763</v>
      </c>
      <c r="T118" s="205" t="s">
        <v>764</v>
      </c>
    </row>
    <row r="119" spans="2:25" x14ac:dyDescent="0.3">
      <c r="B119" s="202" t="s">
        <v>527</v>
      </c>
      <c r="C119" s="57">
        <f>H107*100</f>
        <v>83.687208700155352</v>
      </c>
      <c r="D119" s="57">
        <f t="shared" si="7"/>
        <v>81.616161616161619</v>
      </c>
      <c r="E119" s="57">
        <f>Spectral!V123</f>
        <v>14.591039785977747</v>
      </c>
      <c r="F119" t="s">
        <v>705</v>
      </c>
      <c r="O119" s="205"/>
      <c r="P119" s="206"/>
      <c r="Q119" s="207"/>
      <c r="R119" s="208"/>
      <c r="S119" s="209"/>
      <c r="T119" s="210"/>
    </row>
    <row r="120" spans="2:25" x14ac:dyDescent="0.3">
      <c r="P120" s="1" t="s">
        <v>2</v>
      </c>
      <c r="Q120" s="1" t="s">
        <v>1</v>
      </c>
      <c r="R120" s="1" t="s">
        <v>576</v>
      </c>
    </row>
    <row r="121" spans="2:25" x14ac:dyDescent="0.3">
      <c r="O121" s="198" t="s">
        <v>524</v>
      </c>
      <c r="P121" s="57">
        <f>Q113*100</f>
        <v>100</v>
      </c>
      <c r="Q121" s="57">
        <f>W107*100</f>
        <v>100</v>
      </c>
      <c r="R121" s="57">
        <f>Spectral!R127</f>
        <v>61.292234380618723</v>
      </c>
      <c r="S121" t="s">
        <v>765</v>
      </c>
    </row>
    <row r="122" spans="2:25" x14ac:dyDescent="0.3">
      <c r="O122" s="199" t="s">
        <v>523</v>
      </c>
      <c r="P122" s="57">
        <f>R113*100</f>
        <v>40.192043895747595</v>
      </c>
      <c r="Q122" s="57">
        <f t="shared" ref="Q122:Q125" si="8">W108*100</f>
        <v>86.430678466076699</v>
      </c>
      <c r="R122" s="57">
        <f>Spectral!S127</f>
        <v>20.816189526802926</v>
      </c>
      <c r="S122" t="s">
        <v>766</v>
      </c>
    </row>
    <row r="123" spans="2:25" x14ac:dyDescent="0.3">
      <c r="O123" s="200" t="s">
        <v>525</v>
      </c>
      <c r="P123" s="57">
        <f>S113*100</f>
        <v>98.785020011435108</v>
      </c>
      <c r="Q123" s="57">
        <f t="shared" si="8"/>
        <v>93.404514123530205</v>
      </c>
      <c r="R123" s="57">
        <f>Spectral!T127</f>
        <v>27.445822290815514</v>
      </c>
      <c r="S123" t="s">
        <v>767</v>
      </c>
    </row>
    <row r="124" spans="2:25" x14ac:dyDescent="0.3">
      <c r="O124" s="201" t="s">
        <v>526</v>
      </c>
      <c r="P124" s="57">
        <f>T113*100</f>
        <v>92.857142857142861</v>
      </c>
      <c r="Q124" s="57">
        <f t="shared" si="8"/>
        <v>95.952380952380949</v>
      </c>
      <c r="R124" s="57">
        <f>Spectral!U127</f>
        <v>24.685920278983431</v>
      </c>
      <c r="S124" t="s">
        <v>768</v>
      </c>
    </row>
    <row r="125" spans="2:25" x14ac:dyDescent="0.3">
      <c r="O125" s="202" t="s">
        <v>527</v>
      </c>
      <c r="P125" s="57">
        <f>U113*100</f>
        <v>83.638443935926773</v>
      </c>
      <c r="Q125" s="57">
        <f t="shared" si="8"/>
        <v>77.354497354497354</v>
      </c>
      <c r="R125" s="57">
        <f>Spectral!V127</f>
        <v>18.227438083691077</v>
      </c>
      <c r="S125" t="s">
        <v>769</v>
      </c>
    </row>
    <row r="128" spans="2:25" x14ac:dyDescent="0.3">
      <c r="O128" s="361" t="s">
        <v>775</v>
      </c>
      <c r="P128" s="361"/>
      <c r="Q128" s="361"/>
      <c r="R128" s="361"/>
      <c r="S128" s="361"/>
      <c r="T128" s="361"/>
      <c r="U128" s="361"/>
      <c r="V128" s="361"/>
      <c r="W128" s="361"/>
      <c r="X128" s="361"/>
      <c r="Y128" s="361"/>
    </row>
    <row r="129" spans="15:26" x14ac:dyDescent="0.3">
      <c r="O129" t="s">
        <v>635</v>
      </c>
      <c r="W129" s="1" t="s">
        <v>58</v>
      </c>
    </row>
    <row r="130" spans="15:26" ht="15.6" x14ac:dyDescent="0.35">
      <c r="P130" s="1" t="s">
        <v>0</v>
      </c>
      <c r="Q130" s="90" t="s">
        <v>524</v>
      </c>
      <c r="R130" s="91" t="s">
        <v>523</v>
      </c>
      <c r="S130" s="92" t="s">
        <v>525</v>
      </c>
      <c r="T130" s="124" t="s">
        <v>526</v>
      </c>
      <c r="U130" s="123" t="s">
        <v>527</v>
      </c>
      <c r="V130" s="1" t="s">
        <v>20</v>
      </c>
      <c r="W130" s="1" t="s">
        <v>1</v>
      </c>
      <c r="X130" s="1" t="s">
        <v>13</v>
      </c>
      <c r="Z130" s="1" t="s">
        <v>56</v>
      </c>
    </row>
    <row r="131" spans="15:26" x14ac:dyDescent="0.3">
      <c r="O131" t="s">
        <v>3</v>
      </c>
      <c r="P131" s="198" t="s">
        <v>524</v>
      </c>
      <c r="Q131" s="228">
        <f>'88_Seeds'!AL83</f>
        <v>56</v>
      </c>
      <c r="R131" s="3">
        <f>'88_Seeds'!AM83</f>
        <v>0</v>
      </c>
      <c r="S131" s="3">
        <f>'88_Seeds'!AN83</f>
        <v>0</v>
      </c>
      <c r="T131" s="3">
        <f>'88_Seeds'!AO83</f>
        <v>0</v>
      </c>
      <c r="U131" s="4">
        <f>'88_Seeds'!AP83</f>
        <v>0</v>
      </c>
      <c r="V131" s="1">
        <f>SUM(Q131:U131)</f>
        <v>56</v>
      </c>
      <c r="W131" s="10">
        <f>Q131/V131</f>
        <v>1</v>
      </c>
      <c r="X131" s="11">
        <f>1-W131</f>
        <v>0</v>
      </c>
      <c r="Y131">
        <f>V131-Q136</f>
        <v>0</v>
      </c>
      <c r="Z131" s="10">
        <f>2*(Q137*W131)/(Q137+W131)</f>
        <v>1</v>
      </c>
    </row>
    <row r="132" spans="15:26" x14ac:dyDescent="0.3">
      <c r="O132" t="s">
        <v>4</v>
      </c>
      <c r="P132" s="199" t="s">
        <v>523</v>
      </c>
      <c r="Q132" s="1">
        <f>'88_Seeds'!AL84</f>
        <v>0</v>
      </c>
      <c r="R132" s="184">
        <f>'88_Seeds'!AM84</f>
        <v>90</v>
      </c>
      <c r="S132" s="187">
        <f>'88_Seeds'!AN84</f>
        <v>2</v>
      </c>
      <c r="T132" s="1">
        <f>'88_Seeds'!AO84</f>
        <v>0</v>
      </c>
      <c r="U132" s="6">
        <f>'88_Seeds'!AP84</f>
        <v>0</v>
      </c>
      <c r="V132" s="1">
        <f>SUM(Q132:U132)</f>
        <v>92</v>
      </c>
      <c r="W132" s="10">
        <f>R132/V132</f>
        <v>0.97826086956521741</v>
      </c>
      <c r="X132" s="11">
        <f>1-W132</f>
        <v>2.1739130434782594E-2</v>
      </c>
      <c r="Y132">
        <f>V132-R136</f>
        <v>-4</v>
      </c>
      <c r="Z132" s="10">
        <f>2*(R137*W132)/(R137+W132)</f>
        <v>0.95744680851063835</v>
      </c>
    </row>
    <row r="133" spans="15:26" x14ac:dyDescent="0.3">
      <c r="O133" t="s">
        <v>5</v>
      </c>
      <c r="P133" s="200" t="s">
        <v>525</v>
      </c>
      <c r="Q133" s="1">
        <f>'88_Seeds'!AL85</f>
        <v>0</v>
      </c>
      <c r="R133" s="229">
        <f>'88_Seeds'!AM85</f>
        <v>6</v>
      </c>
      <c r="S133" s="183">
        <f>'88_Seeds'!AN85</f>
        <v>1657</v>
      </c>
      <c r="T133" s="185">
        <f>'88_Seeds'!AO85</f>
        <v>34</v>
      </c>
      <c r="U133" s="222">
        <f>'88_Seeds'!AP85</f>
        <v>111</v>
      </c>
      <c r="V133" s="1">
        <f>SUM(Q133:U133)</f>
        <v>1808</v>
      </c>
      <c r="W133" s="10">
        <f>S133/V133</f>
        <v>0.91648230088495575</v>
      </c>
      <c r="X133" s="11">
        <f>1-W133</f>
        <v>8.3517699115044253E-2</v>
      </c>
      <c r="Y133">
        <f>V133-S136</f>
        <v>117</v>
      </c>
      <c r="Z133" s="10">
        <f>2*(S137*W133)/(S137+W133)</f>
        <v>0.9471277507859388</v>
      </c>
    </row>
    <row r="134" spans="15:26" x14ac:dyDescent="0.3">
      <c r="O134" t="s">
        <v>6</v>
      </c>
      <c r="P134" s="201" t="s">
        <v>526</v>
      </c>
      <c r="Q134" s="1">
        <f>'88_Seeds'!AL86</f>
        <v>0</v>
      </c>
      <c r="R134" s="1">
        <f>'88_Seeds'!AM86</f>
        <v>0</v>
      </c>
      <c r="S134" s="189">
        <f>'88_Seeds'!AN86</f>
        <v>16</v>
      </c>
      <c r="T134" s="183">
        <f>'88_Seeds'!AO86</f>
        <v>543</v>
      </c>
      <c r="U134" s="222">
        <f>'88_Seeds'!AP86</f>
        <v>94</v>
      </c>
      <c r="V134" s="1">
        <f>SUM(Q134:U134)</f>
        <v>653</v>
      </c>
      <c r="W134" s="10">
        <f>T134/V134</f>
        <v>0.83154670750382853</v>
      </c>
      <c r="X134" s="11">
        <f>1-W134</f>
        <v>0.16845329249617147</v>
      </c>
      <c r="Y134">
        <f>V134-T136</f>
        <v>44</v>
      </c>
      <c r="Z134" s="10">
        <f>2*(T137*W134)/(T137+W134)</f>
        <v>0.86053882725832009</v>
      </c>
    </row>
    <row r="135" spans="15:26" x14ac:dyDescent="0.3">
      <c r="O135" t="s">
        <v>7</v>
      </c>
      <c r="P135" s="202" t="s">
        <v>527</v>
      </c>
      <c r="Q135" s="8">
        <f>'88_Seeds'!AL87</f>
        <v>0</v>
      </c>
      <c r="R135" s="8">
        <f>'88_Seeds'!AM87</f>
        <v>0</v>
      </c>
      <c r="S135" s="190">
        <f>'88_Seeds'!AN87</f>
        <v>16</v>
      </c>
      <c r="T135" s="190">
        <f>'88_Seeds'!AO87</f>
        <v>32</v>
      </c>
      <c r="U135" s="211">
        <f>'88_Seeds'!AP87</f>
        <v>193</v>
      </c>
      <c r="V135" s="1">
        <f>SUM(Q135:U135)</f>
        <v>241</v>
      </c>
      <c r="W135" s="10">
        <f>U135/V135</f>
        <v>0.80082987551867224</v>
      </c>
      <c r="X135" s="11">
        <f>1-W135</f>
        <v>0.19917012448132776</v>
      </c>
      <c r="Y135">
        <f>V135-U136</f>
        <v>-157</v>
      </c>
      <c r="Z135" s="10">
        <f>2*(U137*W135)/(U137+W135)</f>
        <v>0.6040688575899843</v>
      </c>
    </row>
    <row r="136" spans="15:26" ht="15.6" x14ac:dyDescent="0.35">
      <c r="P136" s="1" t="s">
        <v>19</v>
      </c>
      <c r="Q136" s="1">
        <f>SUM(Q131:Q135)</f>
        <v>56</v>
      </c>
      <c r="R136" s="1">
        <f>SUM(R131:R135)</f>
        <v>96</v>
      </c>
      <c r="S136" s="1">
        <f>SUM(S131:S135)</f>
        <v>1691</v>
      </c>
      <c r="T136" s="1">
        <f>SUM(T131:T135)</f>
        <v>609</v>
      </c>
      <c r="U136" s="1">
        <f>SUM(U131:U135)</f>
        <v>398</v>
      </c>
      <c r="V136" s="1">
        <f>SUM(V130:V135)</f>
        <v>2850</v>
      </c>
      <c r="W136" s="13" t="s">
        <v>12</v>
      </c>
    </row>
    <row r="137" spans="15:26" x14ac:dyDescent="0.3">
      <c r="O137" s="1" t="s">
        <v>321</v>
      </c>
      <c r="P137" s="1" t="s">
        <v>2</v>
      </c>
      <c r="Q137" s="10">
        <f>Q131/Q136</f>
        <v>1</v>
      </c>
      <c r="R137" s="10">
        <f>R132/R136</f>
        <v>0.9375</v>
      </c>
      <c r="S137" s="10">
        <f>S133/S136</f>
        <v>0.97989355410999412</v>
      </c>
      <c r="T137" s="10">
        <f>T134/T136</f>
        <v>0.89162561576354682</v>
      </c>
      <c r="U137" s="10">
        <f>U135/U136</f>
        <v>0.48492462311557788</v>
      </c>
      <c r="V137" s="10"/>
      <c r="W137" s="14">
        <f>(Q131+R132+S133+T134+U135)/V136</f>
        <v>0.89087719298245616</v>
      </c>
    </row>
    <row r="138" spans="15:26" x14ac:dyDescent="0.3">
      <c r="P138" s="1" t="s">
        <v>14</v>
      </c>
      <c r="Q138" s="11">
        <f>1-Q137</f>
        <v>0</v>
      </c>
      <c r="R138" s="11">
        <f>1-R137</f>
        <v>6.25E-2</v>
      </c>
      <c r="S138" s="11">
        <f>1-S137</f>
        <v>2.0106445890005875E-2</v>
      </c>
      <c r="T138" s="11">
        <f>1-T137</f>
        <v>0.10837438423645318</v>
      </c>
      <c r="U138" s="11">
        <f>1-U137</f>
        <v>0.51507537688442206</v>
      </c>
    </row>
    <row r="139" spans="15:26" x14ac:dyDescent="0.3">
      <c r="Q139" s="2"/>
    </row>
    <row r="140" spans="15:26" x14ac:dyDescent="0.3">
      <c r="O140" s="1" t="s">
        <v>603</v>
      </c>
      <c r="P140" s="1" t="s">
        <v>604</v>
      </c>
      <c r="Q140" s="1" t="s">
        <v>608</v>
      </c>
      <c r="R140" s="1" t="s">
        <v>605</v>
      </c>
      <c r="S140" s="1" t="s">
        <v>607</v>
      </c>
      <c r="T140" s="1" t="s">
        <v>606</v>
      </c>
    </row>
    <row r="141" spans="15:26" x14ac:dyDescent="0.3">
      <c r="O141" s="1">
        <f>_xlfn.QUARTILE.INC(Q131:U135,1)</f>
        <v>0</v>
      </c>
      <c r="P141" s="1">
        <f>_xlfn.QUARTILE.EXC(Q131:U135,2)</f>
        <v>2</v>
      </c>
      <c r="Q141" s="1">
        <f>_xlfn.PERCENTILE.INC(Q131:U135,0.7)</f>
        <v>33.599999999999994</v>
      </c>
      <c r="R141" s="1">
        <f>_xlfn.QUARTILE.EXC(Q131:U135,3)</f>
        <v>73</v>
      </c>
      <c r="S141" s="1">
        <f>AVERAGE(Q131:U135)</f>
        <v>114</v>
      </c>
      <c r="T141" s="1">
        <f>MAX(Q131:U135)</f>
        <v>1657</v>
      </c>
    </row>
    <row r="142" spans="15:26" x14ac:dyDescent="0.3">
      <c r="O142" s="205">
        <v>0</v>
      </c>
      <c r="P142" s="221" t="s">
        <v>770</v>
      </c>
      <c r="Q142" s="221" t="s">
        <v>771</v>
      </c>
      <c r="R142" s="205" t="s">
        <v>772</v>
      </c>
      <c r="S142" s="205" t="s">
        <v>773</v>
      </c>
      <c r="T142" s="205" t="s">
        <v>774</v>
      </c>
    </row>
    <row r="143" spans="15:26" x14ac:dyDescent="0.3">
      <c r="O143" s="205"/>
      <c r="P143" s="206"/>
      <c r="Q143" s="207"/>
      <c r="R143" s="208"/>
      <c r="S143" s="209"/>
      <c r="T143" s="210"/>
    </row>
    <row r="144" spans="15:26" x14ac:dyDescent="0.3">
      <c r="P144" s="1" t="s">
        <v>2</v>
      </c>
      <c r="Q144" s="1" t="s">
        <v>1</v>
      </c>
      <c r="R144" s="1" t="s">
        <v>576</v>
      </c>
    </row>
    <row r="145" spans="15:26" x14ac:dyDescent="0.3">
      <c r="O145" s="198" t="s">
        <v>524</v>
      </c>
      <c r="P145" s="57">
        <f>Q137*100</f>
        <v>100</v>
      </c>
      <c r="Q145" s="57">
        <f>W131*100</f>
        <v>100</v>
      </c>
      <c r="R145" s="57">
        <f>Spectral!R128</f>
        <v>41.727751788682824</v>
      </c>
      <c r="S145" t="s">
        <v>781</v>
      </c>
    </row>
    <row r="146" spans="15:26" x14ac:dyDescent="0.3">
      <c r="O146" s="199" t="s">
        <v>523</v>
      </c>
      <c r="P146" s="57">
        <f>R137*100</f>
        <v>93.75</v>
      </c>
      <c r="Q146" s="57">
        <f t="shared" ref="Q146:Q149" si="9">W132*100</f>
        <v>97.826086956521735</v>
      </c>
      <c r="R146" s="57">
        <f>Spectral!S128</f>
        <v>14.394483562940652</v>
      </c>
      <c r="S146" t="s">
        <v>782</v>
      </c>
    </row>
    <row r="147" spans="15:26" x14ac:dyDescent="0.3">
      <c r="O147" s="200" t="s">
        <v>525</v>
      </c>
      <c r="P147" s="57">
        <f>S137*100</f>
        <v>97.989355410999408</v>
      </c>
      <c r="Q147" s="57">
        <f t="shared" si="9"/>
        <v>91.648230088495581</v>
      </c>
      <c r="R147" s="57">
        <f>Spectral!T128</f>
        <v>17.158522117734478</v>
      </c>
      <c r="S147" t="s">
        <v>783</v>
      </c>
    </row>
    <row r="148" spans="15:26" x14ac:dyDescent="0.3">
      <c r="O148" s="201" t="s">
        <v>526</v>
      </c>
      <c r="P148" s="57">
        <f>T137*100</f>
        <v>89.162561576354676</v>
      </c>
      <c r="Q148" s="57">
        <f t="shared" si="9"/>
        <v>83.154670750382849</v>
      </c>
      <c r="R148" s="57">
        <f>Spectral!U128</f>
        <v>16.47327090033437</v>
      </c>
      <c r="S148" t="s">
        <v>784</v>
      </c>
    </row>
    <row r="149" spans="15:26" x14ac:dyDescent="0.3">
      <c r="O149" s="202" t="s">
        <v>527</v>
      </c>
      <c r="P149" s="57">
        <f>U137*100</f>
        <v>48.492462311557787</v>
      </c>
      <c r="Q149" s="57">
        <f t="shared" si="9"/>
        <v>80.08298755186722</v>
      </c>
      <c r="R149" s="57">
        <f>Spectral!V128</f>
        <v>11.894668748717017</v>
      </c>
      <c r="S149" t="s">
        <v>785</v>
      </c>
    </row>
    <row r="152" spans="15:26" x14ac:dyDescent="0.3">
      <c r="O152" s="361" t="s">
        <v>786</v>
      </c>
      <c r="P152" s="361"/>
      <c r="Q152" s="361"/>
      <c r="R152" s="361"/>
      <c r="S152" s="361"/>
      <c r="T152" s="361"/>
      <c r="U152" s="361"/>
      <c r="V152" s="361"/>
      <c r="W152" s="361"/>
      <c r="X152" s="361"/>
      <c r="Y152" s="361"/>
    </row>
    <row r="153" spans="15:26" x14ac:dyDescent="0.3">
      <c r="O153" t="s">
        <v>635</v>
      </c>
      <c r="W153" s="1" t="s">
        <v>58</v>
      </c>
    </row>
    <row r="154" spans="15:26" ht="15.6" x14ac:dyDescent="0.35">
      <c r="P154" s="1" t="s">
        <v>0</v>
      </c>
      <c r="Q154" s="90" t="s">
        <v>524</v>
      </c>
      <c r="R154" s="91" t="s">
        <v>523</v>
      </c>
      <c r="S154" s="92" t="s">
        <v>525</v>
      </c>
      <c r="T154" s="124" t="s">
        <v>526</v>
      </c>
      <c r="U154" s="123" t="s">
        <v>527</v>
      </c>
      <c r="V154" s="1" t="s">
        <v>20</v>
      </c>
      <c r="W154" s="1" t="s">
        <v>1</v>
      </c>
      <c r="X154" s="1" t="s">
        <v>13</v>
      </c>
      <c r="Z154" s="1" t="s">
        <v>56</v>
      </c>
    </row>
    <row r="155" spans="15:26" x14ac:dyDescent="0.3">
      <c r="O155" t="s">
        <v>3</v>
      </c>
      <c r="P155" s="198" t="s">
        <v>524</v>
      </c>
      <c r="Q155" s="197">
        <f>'88T_Seeds'!AL83</f>
        <v>259</v>
      </c>
      <c r="R155" s="3">
        <f>'88T_Seeds'!AM83</f>
        <v>0</v>
      </c>
      <c r="S155" s="3">
        <f>'88T_Seeds'!AN83</f>
        <v>0</v>
      </c>
      <c r="T155" s="3">
        <f>'88T_Seeds'!AO83</f>
        <v>0</v>
      </c>
      <c r="U155" s="4">
        <f>'88T_Seeds'!AP83</f>
        <v>0</v>
      </c>
      <c r="V155" s="1">
        <f>SUM(Q155:U155)</f>
        <v>259</v>
      </c>
      <c r="W155" s="10">
        <f>Q155/V155</f>
        <v>1</v>
      </c>
      <c r="X155" s="11">
        <f>1-W155</f>
        <v>0</v>
      </c>
      <c r="Y155">
        <f>V155-Q160</f>
        <v>0</v>
      </c>
      <c r="Z155" s="10">
        <f>2*(Q161*W155)/(Q161+W155)</f>
        <v>1</v>
      </c>
    </row>
    <row r="156" spans="15:26" x14ac:dyDescent="0.3">
      <c r="O156" t="s">
        <v>4</v>
      </c>
      <c r="P156" s="199" t="s">
        <v>523</v>
      </c>
      <c r="Q156" s="1">
        <f>'88T_Seeds'!AL84</f>
        <v>0</v>
      </c>
      <c r="R156" s="184">
        <f>'88T_Seeds'!AM84</f>
        <v>338</v>
      </c>
      <c r="S156" s="187">
        <f>'88T_Seeds'!AN84</f>
        <v>1</v>
      </c>
      <c r="T156" s="1">
        <f>'88T_Seeds'!AO84</f>
        <v>0</v>
      </c>
      <c r="U156" s="6">
        <f>'88T_Seeds'!AP84</f>
        <v>0</v>
      </c>
      <c r="V156" s="1">
        <f>SUM(Q156:U156)</f>
        <v>339</v>
      </c>
      <c r="W156" s="10">
        <f>R156/V156</f>
        <v>0.99705014749262533</v>
      </c>
      <c r="X156" s="11">
        <f>1-W156</f>
        <v>2.9498525073746729E-3</v>
      </c>
      <c r="Y156">
        <f>V156-R160</f>
        <v>-83</v>
      </c>
      <c r="Z156" s="10">
        <f>2*(R161*W156)/(R161+W156)</f>
        <v>0.88830486202365311</v>
      </c>
    </row>
    <row r="157" spans="15:26" x14ac:dyDescent="0.3">
      <c r="O157" t="s">
        <v>5</v>
      </c>
      <c r="P157" s="200" t="s">
        <v>525</v>
      </c>
      <c r="Q157" s="1">
        <f>'88T_Seeds'!AL85</f>
        <v>0</v>
      </c>
      <c r="R157" s="229">
        <f>'88T_Seeds'!AM85</f>
        <v>84</v>
      </c>
      <c r="S157" s="183">
        <f>'88T_Seeds'!AN85</f>
        <v>7171</v>
      </c>
      <c r="T157" s="189">
        <f>'88T_Seeds'!AO85</f>
        <v>54</v>
      </c>
      <c r="U157" s="193">
        <f>'88T_Seeds'!AP85</f>
        <v>90</v>
      </c>
      <c r="V157" s="1">
        <f>SUM(Q157:U157)</f>
        <v>7399</v>
      </c>
      <c r="W157" s="10">
        <f>S157/V157</f>
        <v>0.96918502500337889</v>
      </c>
      <c r="X157" s="11">
        <f>1-W157</f>
        <v>3.0814974996621114E-2</v>
      </c>
      <c r="Y157">
        <f>V157-S160</f>
        <v>169</v>
      </c>
      <c r="Z157" s="10">
        <f>2*(S161*W157)/(S161+W157)</f>
        <v>0.98038143413767176</v>
      </c>
    </row>
    <row r="158" spans="15:26" x14ac:dyDescent="0.3">
      <c r="O158" t="s">
        <v>6</v>
      </c>
      <c r="P158" s="201" t="s">
        <v>526</v>
      </c>
      <c r="Q158" s="1">
        <f>'88T_Seeds'!AL86</f>
        <v>0</v>
      </c>
      <c r="R158" s="1">
        <f>'88T_Seeds'!AM86</f>
        <v>0</v>
      </c>
      <c r="S158" s="189">
        <f>'88T_Seeds'!AN86</f>
        <v>42</v>
      </c>
      <c r="T158" s="183">
        <f>'88T_Seeds'!AO86</f>
        <v>2378</v>
      </c>
      <c r="U158" s="222">
        <f>'88T_Seeds'!AP86</f>
        <v>183</v>
      </c>
      <c r="V158" s="1">
        <f>SUM(Q158:U158)</f>
        <v>2603</v>
      </c>
      <c r="W158" s="10">
        <f>T158/V158</f>
        <v>0.9135612754514022</v>
      </c>
      <c r="X158" s="11">
        <f>1-W158</f>
        <v>8.6438724548597801E-2</v>
      </c>
      <c r="Y158">
        <f>V158-T160</f>
        <v>31</v>
      </c>
      <c r="Z158" s="10">
        <f>2*(T161*W158)/(T161+W158)</f>
        <v>0.91903381642512072</v>
      </c>
    </row>
    <row r="159" spans="15:26" x14ac:dyDescent="0.3">
      <c r="O159" t="s">
        <v>7</v>
      </c>
      <c r="P159" s="202" t="s">
        <v>527</v>
      </c>
      <c r="Q159" s="8">
        <f>'88T_Seeds'!AL87</f>
        <v>0</v>
      </c>
      <c r="R159" s="8">
        <f>'88T_Seeds'!AM87</f>
        <v>0</v>
      </c>
      <c r="S159" s="190">
        <f>'88T_Seeds'!AN87</f>
        <v>16</v>
      </c>
      <c r="T159" s="194">
        <f>'88T_Seeds'!AO87</f>
        <v>140</v>
      </c>
      <c r="U159" s="211">
        <f>'88T_Seeds'!AP87</f>
        <v>804</v>
      </c>
      <c r="V159" s="1">
        <f>SUM(Q159:U159)</f>
        <v>960</v>
      </c>
      <c r="W159" s="10">
        <f>U159/V159</f>
        <v>0.83750000000000002</v>
      </c>
      <c r="X159" s="11">
        <f>1-W159</f>
        <v>0.16249999999999998</v>
      </c>
      <c r="Y159">
        <f>V159-U160</f>
        <v>-117</v>
      </c>
      <c r="Z159" s="10">
        <f>2*(U161*W159)/(U161+W159)</f>
        <v>0.78939617083946978</v>
      </c>
    </row>
    <row r="160" spans="15:26" ht="15.6" x14ac:dyDescent="0.35">
      <c r="P160" s="1" t="s">
        <v>19</v>
      </c>
      <c r="Q160" s="1">
        <f>SUM(Q155:Q159)</f>
        <v>259</v>
      </c>
      <c r="R160" s="1">
        <f>SUM(R155:R159)</f>
        <v>422</v>
      </c>
      <c r="S160" s="1">
        <f>SUM(S155:S159)</f>
        <v>7230</v>
      </c>
      <c r="T160" s="1">
        <f>SUM(T155:T159)</f>
        <v>2572</v>
      </c>
      <c r="U160" s="1">
        <f>SUM(U155:U159)</f>
        <v>1077</v>
      </c>
      <c r="V160" s="1">
        <f>SUM(V154:V159)</f>
        <v>11560</v>
      </c>
      <c r="W160" s="13" t="s">
        <v>12</v>
      </c>
    </row>
    <row r="161" spans="15:23" x14ac:dyDescent="0.3">
      <c r="O161" s="1" t="s">
        <v>321</v>
      </c>
      <c r="P161" s="1" t="s">
        <v>2</v>
      </c>
      <c r="Q161" s="10">
        <f>Q155/Q160</f>
        <v>1</v>
      </c>
      <c r="R161" s="10">
        <f>R156/R160</f>
        <v>0.80094786729857825</v>
      </c>
      <c r="S161" s="10">
        <f>S157/S160</f>
        <v>0.9918395573997234</v>
      </c>
      <c r="T161" s="10">
        <f>T158/T160</f>
        <v>0.92457231726283051</v>
      </c>
      <c r="U161" s="10">
        <f>U159/U160</f>
        <v>0.74651810584958223</v>
      </c>
      <c r="V161" s="10"/>
      <c r="W161" s="14">
        <f>(Q155+R156+S157+T158+U159)/V160</f>
        <v>0.94723183391003463</v>
      </c>
    </row>
    <row r="162" spans="15:23" x14ac:dyDescent="0.3">
      <c r="P162" s="1" t="s">
        <v>14</v>
      </c>
      <c r="Q162" s="11">
        <f>1-Q161</f>
        <v>0</v>
      </c>
      <c r="R162" s="11">
        <f>1-R161</f>
        <v>0.19905213270142175</v>
      </c>
      <c r="S162" s="11">
        <f>1-S161</f>
        <v>8.1604426002765962E-3</v>
      </c>
      <c r="T162" s="11">
        <f>1-T161</f>
        <v>7.5427682737169488E-2</v>
      </c>
      <c r="U162" s="11">
        <f>1-U161</f>
        <v>0.25348189415041777</v>
      </c>
    </row>
    <row r="163" spans="15:23" x14ac:dyDescent="0.3">
      <c r="Q163" s="2"/>
    </row>
    <row r="164" spans="15:23" x14ac:dyDescent="0.3">
      <c r="O164" s="1" t="s">
        <v>603</v>
      </c>
      <c r="P164" s="1" t="s">
        <v>604</v>
      </c>
      <c r="Q164" s="1" t="s">
        <v>608</v>
      </c>
      <c r="R164" s="1" t="s">
        <v>605</v>
      </c>
      <c r="S164" s="1" t="s">
        <v>607</v>
      </c>
      <c r="T164" s="1" t="s">
        <v>606</v>
      </c>
    </row>
    <row r="165" spans="15:23" x14ac:dyDescent="0.3">
      <c r="O165" s="1">
        <f>_xlfn.QUARTILE.INC(Q155:U159,1)</f>
        <v>0</v>
      </c>
      <c r="P165" s="1">
        <f>_xlfn.QUARTILE.EXC(Q155:U159,2)</f>
        <v>1</v>
      </c>
      <c r="Q165" s="1">
        <f>_xlfn.PERCENTILE.INC(Q155:U159,0.7)</f>
        <v>88.799999999999983</v>
      </c>
      <c r="R165" s="1">
        <f>_xlfn.QUARTILE.EXC(Q155:U159,3)</f>
        <v>161.5</v>
      </c>
      <c r="S165" s="1">
        <f>AVERAGE(Q155:U159)</f>
        <v>462.4</v>
      </c>
      <c r="T165" s="1">
        <f>MAX(Q155:U159)</f>
        <v>7171</v>
      </c>
    </row>
    <row r="166" spans="15:23" x14ac:dyDescent="0.3">
      <c r="O166" s="205">
        <v>0</v>
      </c>
      <c r="P166" s="221" t="s">
        <v>776</v>
      </c>
      <c r="Q166" s="221" t="s">
        <v>777</v>
      </c>
      <c r="R166" s="205" t="s">
        <v>778</v>
      </c>
      <c r="S166" s="205" t="s">
        <v>779</v>
      </c>
      <c r="T166" s="205" t="s">
        <v>780</v>
      </c>
    </row>
    <row r="167" spans="15:23" x14ac:dyDescent="0.3">
      <c r="O167" s="205"/>
      <c r="P167" s="206"/>
      <c r="Q167" s="207"/>
      <c r="R167" s="208"/>
      <c r="S167" s="209"/>
      <c r="T167" s="210"/>
    </row>
    <row r="168" spans="15:23" x14ac:dyDescent="0.3">
      <c r="P168" s="1" t="s">
        <v>2</v>
      </c>
      <c r="Q168" s="1" t="s">
        <v>1</v>
      </c>
      <c r="R168" s="1" t="s">
        <v>576</v>
      </c>
    </row>
    <row r="169" spans="15:23" x14ac:dyDescent="0.3">
      <c r="O169" s="198" t="s">
        <v>524</v>
      </c>
      <c r="P169" s="57">
        <f>Q161*100</f>
        <v>100</v>
      </c>
      <c r="Q169" s="57">
        <f>W155*100</f>
        <v>100</v>
      </c>
      <c r="R169" s="57">
        <f>Spectral!R129</f>
        <v>60.350452169933888</v>
      </c>
      <c r="S169" t="s">
        <v>788</v>
      </c>
    </row>
    <row r="170" spans="15:23" x14ac:dyDescent="0.3">
      <c r="O170" s="199" t="s">
        <v>523</v>
      </c>
      <c r="P170" s="57">
        <f>R161*100</f>
        <v>80.09478672985783</v>
      </c>
      <c r="Q170" s="57">
        <f t="shared" ref="Q170:Q173" si="10">W156*100</f>
        <v>99.705014749262531</v>
      </c>
      <c r="R170" s="57">
        <f>Spectral!S129</f>
        <v>18.365551296960525</v>
      </c>
      <c r="S170" t="s">
        <v>789</v>
      </c>
    </row>
    <row r="171" spans="15:23" x14ac:dyDescent="0.3">
      <c r="O171" s="200" t="s">
        <v>525</v>
      </c>
      <c r="P171" s="57">
        <f>S161*100</f>
        <v>99.183955739972333</v>
      </c>
      <c r="Q171" s="57">
        <f t="shared" si="10"/>
        <v>96.918502500337894</v>
      </c>
      <c r="R171" s="57">
        <f>Spectral!T129</f>
        <v>21.143796751174861</v>
      </c>
      <c r="S171" t="s">
        <v>790</v>
      </c>
    </row>
    <row r="172" spans="15:23" x14ac:dyDescent="0.3">
      <c r="O172" s="201" t="s">
        <v>526</v>
      </c>
      <c r="P172" s="57">
        <f>T161*100</f>
        <v>92.457231726283055</v>
      </c>
      <c r="Q172" s="57">
        <f t="shared" si="10"/>
        <v>91.356127545140225</v>
      </c>
      <c r="R172" s="57">
        <f>Spectral!U129</f>
        <v>26.891461242597615</v>
      </c>
      <c r="S172" t="s">
        <v>791</v>
      </c>
    </row>
    <row r="173" spans="15:23" x14ac:dyDescent="0.3">
      <c r="O173" s="202" t="s">
        <v>527</v>
      </c>
      <c r="P173" s="57">
        <f>U161*100</f>
        <v>74.651810584958227</v>
      </c>
      <c r="Q173" s="57">
        <f t="shared" si="10"/>
        <v>83.75</v>
      </c>
      <c r="R173" s="57">
        <f>Spectral!V129</f>
        <v>14.131255860874498</v>
      </c>
      <c r="S173" t="s">
        <v>792</v>
      </c>
    </row>
  </sheetData>
  <mergeCells count="11">
    <mergeCell ref="O152:Y152"/>
    <mergeCell ref="B2:L2"/>
    <mergeCell ref="B26:L26"/>
    <mergeCell ref="B50:L50"/>
    <mergeCell ref="B74:L74"/>
    <mergeCell ref="B98:L98"/>
    <mergeCell ref="O128:Y128"/>
    <mergeCell ref="O32:Y32"/>
    <mergeCell ref="O56:Y56"/>
    <mergeCell ref="O80:Y80"/>
    <mergeCell ref="O104:Y104"/>
  </mergeCells>
  <phoneticPr fontId="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26DDF-0E65-4E6F-931F-982157A78710}">
  <dimension ref="A1:BB133"/>
  <sheetViews>
    <sheetView topLeftCell="R100" zoomScale="55" zoomScaleNormal="55" workbookViewId="0">
      <selection activeCell="AT78" sqref="AT78"/>
    </sheetView>
  </sheetViews>
  <sheetFormatPr baseColWidth="10" defaultRowHeight="14.4" x14ac:dyDescent="0.3"/>
  <cols>
    <col min="1" max="1" width="10.21875" customWidth="1"/>
    <col min="2" max="2" width="7.109375" bestFit="1" customWidth="1"/>
    <col min="3" max="3" width="30.21875" bestFit="1" customWidth="1"/>
    <col min="4" max="4" width="11" customWidth="1"/>
    <col min="5" max="16" width="11.109375" customWidth="1"/>
    <col min="17" max="17" width="11" customWidth="1"/>
    <col min="18" max="22" width="11.109375" customWidth="1"/>
    <col min="53" max="53" width="16.6640625" bestFit="1" customWidth="1"/>
  </cols>
  <sheetData>
    <row r="1" spans="1:54" x14ac:dyDescent="0.3">
      <c r="A1" t="s">
        <v>561</v>
      </c>
    </row>
    <row r="2" spans="1:54" x14ac:dyDescent="0.3">
      <c r="BA2" s="131" t="s">
        <v>597</v>
      </c>
      <c r="BB2" s="131" t="s">
        <v>596</v>
      </c>
    </row>
    <row r="3" spans="1:54" x14ac:dyDescent="0.3">
      <c r="F3" t="s">
        <v>3</v>
      </c>
      <c r="G3" t="s">
        <v>4</v>
      </c>
      <c r="H3" t="s">
        <v>5</v>
      </c>
      <c r="I3" t="s">
        <v>6</v>
      </c>
      <c r="J3" t="s">
        <v>7</v>
      </c>
      <c r="BA3" s="175" t="s">
        <v>3</v>
      </c>
      <c r="BB3" s="176" t="s">
        <v>524</v>
      </c>
    </row>
    <row r="4" spans="1:54" x14ac:dyDescent="0.3">
      <c r="F4" t="s">
        <v>468</v>
      </c>
      <c r="G4" t="s">
        <v>469</v>
      </c>
      <c r="H4" t="s">
        <v>470</v>
      </c>
      <c r="I4" t="s">
        <v>471</v>
      </c>
      <c r="J4" t="s">
        <v>472</v>
      </c>
      <c r="L4" t="s">
        <v>468</v>
      </c>
      <c r="M4" t="s">
        <v>469</v>
      </c>
      <c r="N4" t="s">
        <v>470</v>
      </c>
      <c r="O4" t="s">
        <v>471</v>
      </c>
      <c r="P4" t="s">
        <v>472</v>
      </c>
      <c r="R4" t="s">
        <v>468</v>
      </c>
      <c r="S4" t="s">
        <v>469</v>
      </c>
      <c r="T4" t="s">
        <v>470</v>
      </c>
      <c r="U4" t="s">
        <v>471</v>
      </c>
      <c r="V4" t="s">
        <v>472</v>
      </c>
      <c r="BA4" s="175" t="s">
        <v>4</v>
      </c>
      <c r="BB4" s="177" t="s">
        <v>523</v>
      </c>
    </row>
    <row r="5" spans="1:54" x14ac:dyDescent="0.3">
      <c r="A5" s="1" t="s">
        <v>574</v>
      </c>
      <c r="B5" s="1" t="s">
        <v>575</v>
      </c>
      <c r="C5" s="1" t="s">
        <v>594</v>
      </c>
      <c r="D5" s="1" t="s">
        <v>902</v>
      </c>
      <c r="F5" s="90" t="s">
        <v>524</v>
      </c>
      <c r="G5" s="91" t="s">
        <v>523</v>
      </c>
      <c r="H5" s="92" t="s">
        <v>525</v>
      </c>
      <c r="I5" s="124" t="s">
        <v>526</v>
      </c>
      <c r="J5" s="123" t="s">
        <v>527</v>
      </c>
      <c r="L5" s="90" t="s">
        <v>524</v>
      </c>
      <c r="M5" s="91" t="s">
        <v>523</v>
      </c>
      <c r="N5" s="92" t="s">
        <v>525</v>
      </c>
      <c r="O5" s="124" t="s">
        <v>526</v>
      </c>
      <c r="P5" s="123" t="s">
        <v>527</v>
      </c>
      <c r="R5" s="90" t="s">
        <v>524</v>
      </c>
      <c r="S5" s="91" t="s">
        <v>523</v>
      </c>
      <c r="T5" s="92" t="s">
        <v>525</v>
      </c>
      <c r="U5" s="124" t="s">
        <v>526</v>
      </c>
      <c r="V5" s="123" t="s">
        <v>527</v>
      </c>
      <c r="BA5" s="175" t="s">
        <v>5</v>
      </c>
      <c r="BB5" s="178" t="s">
        <v>525</v>
      </c>
    </row>
    <row r="6" spans="1:54" x14ac:dyDescent="0.3">
      <c r="A6" t="s">
        <v>549</v>
      </c>
      <c r="B6" t="s">
        <v>554</v>
      </c>
      <c r="C6" t="s">
        <v>903</v>
      </c>
      <c r="D6" s="1">
        <v>0.55000000000000004</v>
      </c>
      <c r="E6" t="s">
        <v>78</v>
      </c>
      <c r="F6" s="49">
        <v>5.4580538380725997E-2</v>
      </c>
      <c r="G6" s="49">
        <v>7.0541560722429106E-2</v>
      </c>
      <c r="H6" s="49">
        <v>4.9328258190820998E-2</v>
      </c>
      <c r="I6" s="49">
        <v>2.6200329176245301E-2</v>
      </c>
      <c r="J6" s="49">
        <v>3.3771665222478202E-2</v>
      </c>
      <c r="K6" t="s">
        <v>553</v>
      </c>
      <c r="L6" s="49">
        <v>3.9370344416544703E-2</v>
      </c>
      <c r="M6" s="49">
        <v>1.52462295185345E-2</v>
      </c>
      <c r="N6" s="49">
        <v>8.8760394706317892E-3</v>
      </c>
      <c r="O6" s="49">
        <v>7.8882451641923701E-3</v>
      </c>
      <c r="P6" s="49">
        <v>6.0301378076514003E-3</v>
      </c>
      <c r="Q6" t="s">
        <v>576</v>
      </c>
      <c r="R6" s="173">
        <f t="shared" ref="R6:V9" si="0">L6/F6</f>
        <v>0.72132568832350574</v>
      </c>
      <c r="S6" s="173">
        <f t="shared" si="0"/>
        <v>0.21613116242956715</v>
      </c>
      <c r="T6" s="173">
        <f t="shared" si="0"/>
        <v>0.17993823005660967</v>
      </c>
      <c r="U6" s="173">
        <f t="shared" si="0"/>
        <v>0.30107427701115674</v>
      </c>
      <c r="V6" s="173">
        <f t="shared" si="0"/>
        <v>0.17855612887095007</v>
      </c>
      <c r="BA6" s="175" t="s">
        <v>6</v>
      </c>
      <c r="BB6" s="179" t="s">
        <v>526</v>
      </c>
    </row>
    <row r="7" spans="1:54" x14ac:dyDescent="0.3">
      <c r="A7" t="s">
        <v>550</v>
      </c>
      <c r="B7" t="s">
        <v>555</v>
      </c>
      <c r="C7" t="s">
        <v>904</v>
      </c>
      <c r="D7" s="1">
        <v>0.65</v>
      </c>
      <c r="E7" t="s">
        <v>78</v>
      </c>
      <c r="F7" s="49">
        <v>6.2490279380043902E-2</v>
      </c>
      <c r="G7" s="49">
        <v>8.9288421757870398E-2</v>
      </c>
      <c r="H7" s="49">
        <v>6.40574853450918E-2</v>
      </c>
      <c r="I7" s="49">
        <v>3.59846196649726E-2</v>
      </c>
      <c r="J7" s="49">
        <v>4.86757980425273E-2</v>
      </c>
      <c r="K7" t="s">
        <v>553</v>
      </c>
      <c r="L7" s="49">
        <v>3.9368580626835202E-2</v>
      </c>
      <c r="M7" s="49">
        <v>2.14748338469537E-2</v>
      </c>
      <c r="N7" s="49">
        <v>1.4370959703801801E-2</v>
      </c>
      <c r="O7" s="49">
        <v>7.6023050722689601E-3</v>
      </c>
      <c r="P7" s="49">
        <v>7.9171210475972101E-3</v>
      </c>
      <c r="Q7" t="s">
        <v>576</v>
      </c>
      <c r="R7" s="173">
        <f t="shared" si="0"/>
        <v>0.62999527314335302</v>
      </c>
      <c r="S7" s="173">
        <f t="shared" si="0"/>
        <v>0.24051084590999375</v>
      </c>
      <c r="T7" s="173">
        <f t="shared" si="0"/>
        <v>0.22434473701835581</v>
      </c>
      <c r="U7" s="173">
        <f t="shared" si="0"/>
        <v>0.21126540013618755</v>
      </c>
      <c r="V7" s="173">
        <f t="shared" si="0"/>
        <v>0.16265005127764198</v>
      </c>
      <c r="BA7" s="175" t="s">
        <v>7</v>
      </c>
      <c r="BB7" s="180" t="s">
        <v>527</v>
      </c>
    </row>
    <row r="8" spans="1:54" x14ac:dyDescent="0.3">
      <c r="A8" t="s">
        <v>551</v>
      </c>
      <c r="B8" t="s">
        <v>556</v>
      </c>
      <c r="C8" t="s">
        <v>905</v>
      </c>
      <c r="D8" s="1">
        <v>0.75</v>
      </c>
      <c r="E8" t="s">
        <v>78</v>
      </c>
      <c r="F8" s="49">
        <v>3.9103181101796301E-2</v>
      </c>
      <c r="G8" s="49">
        <v>0.114959287670267</v>
      </c>
      <c r="H8" s="49">
        <v>0.13899107480214701</v>
      </c>
      <c r="I8" s="49">
        <v>7.2267778240814595E-2</v>
      </c>
      <c r="J8" s="49">
        <v>7.8736208853348602E-2</v>
      </c>
      <c r="K8" t="s">
        <v>553</v>
      </c>
      <c r="L8" s="49">
        <v>2.04564088023176E-2</v>
      </c>
      <c r="M8" s="49">
        <v>2.3552509751768699E-2</v>
      </c>
      <c r="N8" s="49">
        <v>1.55580399809906E-2</v>
      </c>
      <c r="O8" s="49">
        <v>1.6846071959235799E-2</v>
      </c>
      <c r="P8" s="49">
        <v>1.46205850060727E-2</v>
      </c>
      <c r="Q8" t="s">
        <v>576</v>
      </c>
      <c r="R8" s="173">
        <f t="shared" si="0"/>
        <v>0.52313924918445787</v>
      </c>
      <c r="S8" s="173">
        <f t="shared" si="0"/>
        <v>0.20487696321956511</v>
      </c>
      <c r="T8" s="173">
        <f t="shared" si="0"/>
        <v>0.11193553257385325</v>
      </c>
      <c r="U8" s="173">
        <f t="shared" si="0"/>
        <v>0.23310626629616879</v>
      </c>
      <c r="V8" s="173">
        <f t="shared" si="0"/>
        <v>0.18569074151518403</v>
      </c>
    </row>
    <row r="9" spans="1:54" x14ac:dyDescent="0.3">
      <c r="A9" t="s">
        <v>552</v>
      </c>
      <c r="B9" t="s">
        <v>557</v>
      </c>
      <c r="C9" t="s">
        <v>906</v>
      </c>
      <c r="D9" s="1">
        <v>0.95</v>
      </c>
      <c r="E9" t="s">
        <v>78</v>
      </c>
      <c r="F9" s="49">
        <v>2.23718084049505E-2</v>
      </c>
      <c r="G9" s="49">
        <v>0.12670789799627999</v>
      </c>
      <c r="H9" s="49">
        <v>0.19051049855369201</v>
      </c>
      <c r="I9" s="49">
        <v>9.29292109206937E-2</v>
      </c>
      <c r="J9" s="49">
        <v>9.9249603046400403E-2</v>
      </c>
      <c r="K9" t="s">
        <v>553</v>
      </c>
      <c r="L9" s="49">
        <v>5.3437874663916102E-3</v>
      </c>
      <c r="M9" s="49">
        <v>2.7894922086205299E-2</v>
      </c>
      <c r="N9" s="49">
        <v>2.58687030248296E-2</v>
      </c>
      <c r="O9" s="49">
        <v>2.2604152162426401E-2</v>
      </c>
      <c r="P9" s="49">
        <v>1.8983192353129799E-2</v>
      </c>
      <c r="Q9" t="s">
        <v>576</v>
      </c>
      <c r="R9" s="173">
        <f t="shared" si="0"/>
        <v>0.23886256174128154</v>
      </c>
      <c r="S9" s="173">
        <f t="shared" si="0"/>
        <v>0.22015140750755935</v>
      </c>
      <c r="T9" s="173">
        <f t="shared" si="0"/>
        <v>0.13578623341610208</v>
      </c>
      <c r="U9" s="173">
        <f t="shared" si="0"/>
        <v>0.24324054770804962</v>
      </c>
      <c r="V9" s="173">
        <f t="shared" si="0"/>
        <v>0.19126718667333031</v>
      </c>
    </row>
    <row r="10" spans="1:54" x14ac:dyDescent="0.3">
      <c r="R10" s="103">
        <f>MEDIAN(R6:R9)*100</f>
        <v>57.656726116390544</v>
      </c>
      <c r="S10" s="103">
        <f>MEDIAN(S6:S9)*100</f>
        <v>21.814128496856323</v>
      </c>
      <c r="T10" s="103">
        <f>MEDIAN(T6:T9)*100</f>
        <v>15.786223173635589</v>
      </c>
      <c r="U10" s="103">
        <f>MEDIAN(U6:U9)*100</f>
        <v>23.81734070021092</v>
      </c>
      <c r="V10" s="103">
        <f>MEDIAN(V6:V9)*100</f>
        <v>18.212343519306707</v>
      </c>
    </row>
    <row r="11" spans="1:54" x14ac:dyDescent="0.3">
      <c r="F11" s="49"/>
      <c r="G11" s="49"/>
      <c r="H11" s="49"/>
      <c r="I11" s="49"/>
      <c r="J11" s="49"/>
      <c r="R11" s="182">
        <f>_xlfn.STDEV.S(R6:R9)*100/SQRT(4)</f>
        <v>10.464284701583308</v>
      </c>
      <c r="S11" s="182">
        <f>_xlfn.STDEV.S(S6:S9)*100/SQRT(4)</f>
        <v>0.74369254860965373</v>
      </c>
      <c r="T11" s="182">
        <f>_xlfn.STDEV.S(T6:T9)*100/SQRT(4)</f>
        <v>2.4829836415255673</v>
      </c>
      <c r="U11" s="182">
        <f>_xlfn.STDEV.S(U6:U9)*100/SQRT(4)</f>
        <v>1.9166030196568293</v>
      </c>
      <c r="V11" s="182">
        <f>_xlfn.STDEV.S(V6:V9)*100/SQRT(4)</f>
        <v>0.6202129301569187</v>
      </c>
    </row>
    <row r="12" spans="1:54" x14ac:dyDescent="0.3">
      <c r="F12" t="s">
        <v>473</v>
      </c>
      <c r="G12" t="s">
        <v>474</v>
      </c>
      <c r="H12" t="s">
        <v>475</v>
      </c>
      <c r="I12" t="s">
        <v>476</v>
      </c>
      <c r="J12" t="s">
        <v>477</v>
      </c>
      <c r="L12" t="s">
        <v>473</v>
      </c>
      <c r="M12" t="s">
        <v>474</v>
      </c>
      <c r="N12" t="s">
        <v>475</v>
      </c>
      <c r="O12" t="s">
        <v>476</v>
      </c>
      <c r="P12" t="s">
        <v>477</v>
      </c>
      <c r="R12" t="s">
        <v>473</v>
      </c>
      <c r="S12" t="s">
        <v>474</v>
      </c>
      <c r="T12" t="s">
        <v>475</v>
      </c>
      <c r="U12" t="s">
        <v>476</v>
      </c>
      <c r="V12" t="s">
        <v>477</v>
      </c>
    </row>
    <row r="13" spans="1:54" x14ac:dyDescent="0.3">
      <c r="A13" s="1" t="s">
        <v>574</v>
      </c>
      <c r="B13" s="1" t="s">
        <v>575</v>
      </c>
      <c r="C13" s="1" t="s">
        <v>907</v>
      </c>
      <c r="D13" s="1" t="s">
        <v>902</v>
      </c>
      <c r="F13" s="90" t="s">
        <v>524</v>
      </c>
      <c r="G13" s="91" t="s">
        <v>523</v>
      </c>
      <c r="H13" s="92" t="s">
        <v>525</v>
      </c>
      <c r="I13" s="124" t="s">
        <v>526</v>
      </c>
      <c r="J13" s="123" t="s">
        <v>527</v>
      </c>
      <c r="L13" s="90" t="s">
        <v>524</v>
      </c>
      <c r="M13" s="91" t="s">
        <v>523</v>
      </c>
      <c r="N13" s="92" t="s">
        <v>525</v>
      </c>
      <c r="O13" s="124" t="s">
        <v>526</v>
      </c>
      <c r="P13" s="123" t="s">
        <v>527</v>
      </c>
      <c r="R13" s="90" t="s">
        <v>524</v>
      </c>
      <c r="S13" s="91" t="s">
        <v>523</v>
      </c>
      <c r="T13" s="92" t="s">
        <v>525</v>
      </c>
      <c r="U13" s="124" t="s">
        <v>526</v>
      </c>
      <c r="V13" s="123" t="s">
        <v>527</v>
      </c>
    </row>
    <row r="14" spans="1:54" x14ac:dyDescent="0.3">
      <c r="A14" t="s">
        <v>549</v>
      </c>
      <c r="B14" t="s">
        <v>558</v>
      </c>
      <c r="C14" t="s">
        <v>908</v>
      </c>
      <c r="D14" s="1">
        <v>0.55000000000000004</v>
      </c>
      <c r="E14" t="s">
        <v>78</v>
      </c>
      <c r="F14" s="49">
        <v>8.3533426674443495E-2</v>
      </c>
      <c r="G14" s="49">
        <v>0.101861532879926</v>
      </c>
      <c r="H14" s="49">
        <v>7.5075716353611002E-2</v>
      </c>
      <c r="I14" s="49">
        <v>5.1090319540720998E-2</v>
      </c>
      <c r="J14" s="49">
        <v>5.9926812442575597E-2</v>
      </c>
      <c r="K14" t="s">
        <v>553</v>
      </c>
      <c r="L14" s="49">
        <v>3.3459366476528501E-2</v>
      </c>
      <c r="M14" s="49">
        <v>1.02613767951756E-2</v>
      </c>
      <c r="N14" s="49">
        <v>8.6764059551932508E-3</v>
      </c>
      <c r="O14" s="49">
        <v>6.1182912508107902E-3</v>
      </c>
      <c r="P14" s="49">
        <v>5.0823114136059697E-3</v>
      </c>
      <c r="Q14" t="s">
        <v>576</v>
      </c>
      <c r="R14" s="173">
        <f>L14/F14</f>
        <v>0.40055062755811949</v>
      </c>
      <c r="S14" s="173">
        <f t="shared" ref="R14:V17" si="1">M14/G14</f>
        <v>0.100738487877182</v>
      </c>
      <c r="T14" s="173">
        <f t="shared" si="1"/>
        <v>0.11556874015463099</v>
      </c>
      <c r="U14" s="173">
        <f t="shared" si="1"/>
        <v>0.11975441347424479</v>
      </c>
      <c r="V14" s="173">
        <f t="shared" si="1"/>
        <v>8.4808639179266468E-2</v>
      </c>
    </row>
    <row r="15" spans="1:54" x14ac:dyDescent="0.3">
      <c r="A15" t="s">
        <v>550</v>
      </c>
      <c r="B15" t="s">
        <v>559</v>
      </c>
      <c r="C15" t="s">
        <v>904</v>
      </c>
      <c r="D15" s="1">
        <v>0.65</v>
      </c>
      <c r="E15" t="s">
        <v>78</v>
      </c>
      <c r="F15" s="49">
        <v>8.2288455932244403E-2</v>
      </c>
      <c r="G15" s="49">
        <v>0.113919217847057</v>
      </c>
      <c r="H15" s="49">
        <v>7.1296358208600405E-2</v>
      </c>
      <c r="I15" s="49">
        <v>4.21581864054245E-2</v>
      </c>
      <c r="J15" s="49">
        <v>5.7900751182063503E-2</v>
      </c>
      <c r="K15" t="s">
        <v>553</v>
      </c>
      <c r="L15" s="49">
        <v>4.4718170829683997E-2</v>
      </c>
      <c r="M15" s="49">
        <v>1.75430751272268E-2</v>
      </c>
      <c r="N15" s="49">
        <v>1.32693478997662E-2</v>
      </c>
      <c r="O15" s="49">
        <v>7.0383434559143001E-3</v>
      </c>
      <c r="P15" s="49">
        <v>6.42239606913848E-3</v>
      </c>
      <c r="Q15" t="s">
        <v>576</v>
      </c>
      <c r="R15" s="173">
        <f t="shared" si="1"/>
        <v>0.54343188632078054</v>
      </c>
      <c r="S15" s="173">
        <f t="shared" si="1"/>
        <v>0.15399574767779192</v>
      </c>
      <c r="T15" s="173">
        <f t="shared" si="1"/>
        <v>0.18611536736480228</v>
      </c>
      <c r="U15" s="173">
        <f t="shared" si="1"/>
        <v>0.16695081207308946</v>
      </c>
      <c r="V15" s="173">
        <f t="shared" si="1"/>
        <v>0.11092077284012872</v>
      </c>
    </row>
    <row r="16" spans="1:54" x14ac:dyDescent="0.3">
      <c r="A16" t="s">
        <v>551</v>
      </c>
      <c r="B16" t="s">
        <v>560</v>
      </c>
      <c r="C16" t="s">
        <v>905</v>
      </c>
      <c r="D16" s="1">
        <v>0.75</v>
      </c>
      <c r="E16" t="s">
        <v>78</v>
      </c>
      <c r="F16" s="49">
        <v>5.9177143088363603E-2</v>
      </c>
      <c r="G16" s="49">
        <v>0.14117337264220001</v>
      </c>
      <c r="H16" s="49">
        <v>0.14948923506446099</v>
      </c>
      <c r="I16" s="49">
        <v>9.3794936046006097E-2</v>
      </c>
      <c r="J16" s="49">
        <v>9.9410377258064495E-2</v>
      </c>
      <c r="K16" t="s">
        <v>553</v>
      </c>
      <c r="L16" s="49">
        <v>2.5683140965951399E-2</v>
      </c>
      <c r="M16" s="49">
        <v>1.9853809096529399E-2</v>
      </c>
      <c r="N16" s="49">
        <v>2.3478043023229801E-2</v>
      </c>
      <c r="O16" s="49">
        <v>1.52430470700837E-2</v>
      </c>
      <c r="P16" s="49">
        <v>1.26223942796001E-2</v>
      </c>
      <c r="Q16" t="s">
        <v>576</v>
      </c>
      <c r="R16" s="173">
        <f t="shared" si="1"/>
        <v>0.43400440821553699</v>
      </c>
      <c r="S16" s="173">
        <f t="shared" si="1"/>
        <v>0.14063423381439166</v>
      </c>
      <c r="T16" s="173">
        <f t="shared" si="1"/>
        <v>0.15705507498988724</v>
      </c>
      <c r="U16" s="173">
        <f t="shared" si="1"/>
        <v>0.16251460593359793</v>
      </c>
      <c r="V16" s="173">
        <f t="shared" si="1"/>
        <v>0.1269726021342116</v>
      </c>
    </row>
    <row r="17" spans="1:22" x14ac:dyDescent="0.3">
      <c r="A17" t="s">
        <v>552</v>
      </c>
      <c r="B17" t="s">
        <v>554</v>
      </c>
      <c r="C17" t="s">
        <v>906</v>
      </c>
      <c r="D17" s="1">
        <v>0.95</v>
      </c>
      <c r="E17" t="s">
        <v>78</v>
      </c>
      <c r="F17" s="49">
        <v>3.4787148776773101E-2</v>
      </c>
      <c r="G17" s="49">
        <v>0.15840041983852299</v>
      </c>
      <c r="H17" s="49">
        <v>0.20599010291459099</v>
      </c>
      <c r="I17" s="49">
        <v>0.126144344174696</v>
      </c>
      <c r="J17" s="49">
        <v>0.12970563378938099</v>
      </c>
      <c r="K17" t="s">
        <v>553</v>
      </c>
      <c r="L17" s="49">
        <v>8.9760956442953392E-3</v>
      </c>
      <c r="M17" s="49">
        <v>2.3325323114701701E-2</v>
      </c>
      <c r="N17" s="49">
        <v>3.8376010383813698E-2</v>
      </c>
      <c r="O17" s="49">
        <v>2.2512495048745799E-2</v>
      </c>
      <c r="P17" s="49">
        <v>1.8159076088290701E-2</v>
      </c>
      <c r="Q17" t="s">
        <v>576</v>
      </c>
      <c r="R17" s="173">
        <f t="shared" si="1"/>
        <v>0.25802906992735647</v>
      </c>
      <c r="S17" s="173">
        <f t="shared" si="1"/>
        <v>0.14725543744442135</v>
      </c>
      <c r="T17" s="173">
        <f t="shared" si="1"/>
        <v>0.18630026317199044</v>
      </c>
      <c r="U17" s="173">
        <f t="shared" si="1"/>
        <v>0.17846614682596057</v>
      </c>
      <c r="V17" s="173">
        <f t="shared" si="1"/>
        <v>0.14000221546103256</v>
      </c>
    </row>
    <row r="18" spans="1:22" x14ac:dyDescent="0.3">
      <c r="R18" s="103">
        <f>MEDIAN(R14:R17)*100</f>
        <v>41.727751788682824</v>
      </c>
      <c r="S18" s="103">
        <f>MEDIAN(S14:S17)*100</f>
        <v>14.394483562940652</v>
      </c>
      <c r="T18" s="103">
        <f>MEDIAN(T14:T17)*100</f>
        <v>17.158522117734478</v>
      </c>
      <c r="U18" s="103">
        <f>MEDIAN(U14:U17)*100</f>
        <v>16.47327090033437</v>
      </c>
      <c r="V18" s="103">
        <f>MEDIAN(V14:V17)*100</f>
        <v>11.894668748717017</v>
      </c>
    </row>
    <row r="19" spans="1:22" x14ac:dyDescent="0.3">
      <c r="R19" s="182">
        <f>_xlfn.STDEV.S(R14:R17)*100/SQRT(4)</f>
        <v>5.8850634411545775</v>
      </c>
      <c r="S19" s="182">
        <f>_xlfn.STDEV.S(S14:S17)*100/SQRT(4)</f>
        <v>1.1954457880737204</v>
      </c>
      <c r="T19" s="182">
        <f>_xlfn.STDEV.S(T14:T17)*100/SQRT(4)</f>
        <v>1.6708721991529654</v>
      </c>
      <c r="U19" s="182">
        <f>_xlfn.STDEV.S(U14:U17)*100/SQRT(4)</f>
        <v>1.2836906631246643</v>
      </c>
      <c r="V19" s="182">
        <f>_xlfn.STDEV.S(V14:V17)*100/SQRT(4)</f>
        <v>1.1884107482268844</v>
      </c>
    </row>
    <row r="20" spans="1:22" x14ac:dyDescent="0.3">
      <c r="F20" t="s">
        <v>478</v>
      </c>
      <c r="G20" t="s">
        <v>479</v>
      </c>
      <c r="H20" t="s">
        <v>480</v>
      </c>
      <c r="I20" t="s">
        <v>481</v>
      </c>
      <c r="J20" t="s">
        <v>482</v>
      </c>
      <c r="L20" t="s">
        <v>478</v>
      </c>
      <c r="M20" t="s">
        <v>479</v>
      </c>
      <c r="N20" t="s">
        <v>480</v>
      </c>
      <c r="O20" t="s">
        <v>481</v>
      </c>
      <c r="P20" t="s">
        <v>482</v>
      </c>
      <c r="R20" t="s">
        <v>478</v>
      </c>
      <c r="S20" t="s">
        <v>479</v>
      </c>
      <c r="T20" t="s">
        <v>480</v>
      </c>
      <c r="U20" t="s">
        <v>481</v>
      </c>
      <c r="V20" t="s">
        <v>482</v>
      </c>
    </row>
    <row r="21" spans="1:22" x14ac:dyDescent="0.3">
      <c r="A21" s="1" t="s">
        <v>574</v>
      </c>
      <c r="B21" s="1" t="s">
        <v>575</v>
      </c>
      <c r="C21" s="1" t="s">
        <v>907</v>
      </c>
      <c r="D21" s="1" t="s">
        <v>902</v>
      </c>
      <c r="F21" s="90" t="s">
        <v>524</v>
      </c>
      <c r="G21" s="91" t="s">
        <v>523</v>
      </c>
      <c r="H21" s="92" t="s">
        <v>525</v>
      </c>
      <c r="I21" s="124" t="s">
        <v>526</v>
      </c>
      <c r="J21" s="123" t="s">
        <v>527</v>
      </c>
      <c r="L21" s="90" t="s">
        <v>524</v>
      </c>
      <c r="M21" s="91" t="s">
        <v>523</v>
      </c>
      <c r="N21" s="92" t="s">
        <v>525</v>
      </c>
      <c r="O21" s="124" t="s">
        <v>526</v>
      </c>
      <c r="P21" s="123" t="s">
        <v>527</v>
      </c>
      <c r="R21" s="90" t="s">
        <v>524</v>
      </c>
      <c r="S21" s="91" t="s">
        <v>523</v>
      </c>
      <c r="T21" s="92" t="s">
        <v>525</v>
      </c>
      <c r="U21" s="124" t="s">
        <v>526</v>
      </c>
      <c r="V21" s="123" t="s">
        <v>527</v>
      </c>
    </row>
    <row r="22" spans="1:22" x14ac:dyDescent="0.3">
      <c r="A22" t="s">
        <v>568</v>
      </c>
      <c r="B22" t="s">
        <v>562</v>
      </c>
      <c r="C22" t="s">
        <v>909</v>
      </c>
      <c r="D22" s="1">
        <f>(0.52+0.45)/2</f>
        <v>0.48499999999999999</v>
      </c>
      <c r="E22" t="s">
        <v>78</v>
      </c>
      <c r="F22" s="49">
        <v>6.0085194797509699E-2</v>
      </c>
      <c r="G22" s="49">
        <v>8.4494453093895305E-2</v>
      </c>
      <c r="H22" s="49">
        <v>5.1111427692707399E-2</v>
      </c>
      <c r="I22" s="49">
        <v>2.70295153480101E-2</v>
      </c>
      <c r="J22" s="49">
        <v>3.9889102863739402E-2</v>
      </c>
      <c r="K22" t="s">
        <v>553</v>
      </c>
      <c r="L22" s="49">
        <v>2.76056713031399E-2</v>
      </c>
      <c r="M22" s="49">
        <v>1.1372154159523201E-2</v>
      </c>
      <c r="N22" s="49">
        <v>9.9644909503115806E-3</v>
      </c>
      <c r="O22" s="49">
        <v>6.9107217021310199E-3</v>
      </c>
      <c r="P22" s="49">
        <v>5.4172239115324898E-3</v>
      </c>
      <c r="Q22" t="s">
        <v>576</v>
      </c>
      <c r="R22" s="173">
        <f t="shared" ref="R22:V27" si="2">L22/F22</f>
        <v>0.45944215369813612</v>
      </c>
      <c r="S22" s="173">
        <f t="shared" si="2"/>
        <v>0.13459054107239182</v>
      </c>
      <c r="T22" s="173">
        <f t="shared" si="2"/>
        <v>0.19495622408006652</v>
      </c>
      <c r="U22" s="173">
        <f t="shared" si="2"/>
        <v>0.2556731636936207</v>
      </c>
      <c r="V22" s="173">
        <f t="shared" si="2"/>
        <v>0.13580711328699591</v>
      </c>
    </row>
    <row r="23" spans="1:22" x14ac:dyDescent="0.3">
      <c r="A23" t="s">
        <v>569</v>
      </c>
      <c r="B23" t="s">
        <v>563</v>
      </c>
      <c r="C23" t="s">
        <v>910</v>
      </c>
      <c r="D23" s="1">
        <f>(0.52+0.6)/2</f>
        <v>0.56000000000000005</v>
      </c>
      <c r="E23" t="s">
        <v>78</v>
      </c>
      <c r="F23" s="49">
        <v>9.56467697084281E-2</v>
      </c>
      <c r="G23" s="49">
        <v>0.12315885150535499</v>
      </c>
      <c r="H23" s="49">
        <v>8.0714905679199797E-2</v>
      </c>
      <c r="I23" s="49">
        <v>4.1355071462891801E-2</v>
      </c>
      <c r="J23" s="49">
        <v>5.9384126601696702E-2</v>
      </c>
      <c r="K23" t="s">
        <v>553</v>
      </c>
      <c r="L23" s="49">
        <v>5.6658972375152099E-2</v>
      </c>
      <c r="M23" s="49">
        <v>2.0686596769612701E-2</v>
      </c>
      <c r="N23" s="49">
        <v>1.4309025212128099E-2</v>
      </c>
      <c r="O23" s="49">
        <v>9.7700408632189501E-3</v>
      </c>
      <c r="P23" s="49">
        <v>7.48739277929581E-3</v>
      </c>
      <c r="Q23" t="s">
        <v>576</v>
      </c>
      <c r="R23" s="173">
        <f t="shared" si="2"/>
        <v>0.59237727053273903</v>
      </c>
      <c r="S23" s="173">
        <f t="shared" si="2"/>
        <v>0.16796678855610506</v>
      </c>
      <c r="T23" s="173">
        <f t="shared" si="2"/>
        <v>0.17727859670677321</v>
      </c>
      <c r="U23" s="173">
        <f t="shared" si="2"/>
        <v>0.23624770838531078</v>
      </c>
      <c r="V23" s="173">
        <f t="shared" si="2"/>
        <v>0.126084076802468</v>
      </c>
    </row>
    <row r="24" spans="1:22" x14ac:dyDescent="0.3">
      <c r="A24" t="s">
        <v>570</v>
      </c>
      <c r="B24" t="s">
        <v>564</v>
      </c>
      <c r="C24" t="s">
        <v>911</v>
      </c>
      <c r="D24" s="1">
        <f>(0.63+0.69)/2</f>
        <v>0.65999999999999992</v>
      </c>
      <c r="E24" t="s">
        <v>78</v>
      </c>
      <c r="F24" s="49">
        <v>9.4825359586684199E-2</v>
      </c>
      <c r="G24" s="49">
        <v>0.14686661598443601</v>
      </c>
      <c r="H24" s="49">
        <v>8.4545594553781495E-2</v>
      </c>
      <c r="I24" s="49">
        <v>3.9147362021681099E-2</v>
      </c>
      <c r="J24" s="49">
        <v>6.6607440603389495E-2</v>
      </c>
      <c r="K24" t="s">
        <v>553</v>
      </c>
      <c r="L24" s="49">
        <v>6.4250623616119704E-2</v>
      </c>
      <c r="M24" s="49">
        <v>2.9277013560454802E-2</v>
      </c>
      <c r="N24" s="49">
        <v>2.2170998442914602E-2</v>
      </c>
      <c r="O24" s="49">
        <v>1.10456654727768E-2</v>
      </c>
      <c r="P24" s="49">
        <v>9.7791714763085895E-3</v>
      </c>
      <c r="Q24" t="s">
        <v>576</v>
      </c>
      <c r="R24" s="173">
        <f t="shared" si="2"/>
        <v>0.67756794064551129</v>
      </c>
      <c r="S24" s="173">
        <f t="shared" si="2"/>
        <v>0.19934423738310544</v>
      </c>
      <c r="T24" s="173">
        <f t="shared" si="2"/>
        <v>0.2622371817234202</v>
      </c>
      <c r="U24" s="173">
        <f t="shared" si="2"/>
        <v>0.28215606115833158</v>
      </c>
      <c r="V24" s="173">
        <f t="shared" si="2"/>
        <v>0.14681800393049407</v>
      </c>
    </row>
    <row r="25" spans="1:22" x14ac:dyDescent="0.3">
      <c r="A25" t="s">
        <v>571</v>
      </c>
      <c r="B25" t="s">
        <v>565</v>
      </c>
      <c r="C25" t="s">
        <v>912</v>
      </c>
      <c r="D25" s="57">
        <f>(0.77+0.9)/2</f>
        <v>0.83499999999999996</v>
      </c>
      <c r="E25" t="s">
        <v>78</v>
      </c>
      <c r="F25" s="49">
        <v>4.78883084746956E-2</v>
      </c>
      <c r="G25" s="49">
        <v>0.22070737226901799</v>
      </c>
      <c r="H25" s="49">
        <v>0.28672740598333801</v>
      </c>
      <c r="I25" s="49">
        <v>0.168415046203472</v>
      </c>
      <c r="J25" s="49">
        <v>0.16905520055883699</v>
      </c>
      <c r="K25" t="s">
        <v>553</v>
      </c>
      <c r="L25" s="49">
        <v>2.1055732646427398E-2</v>
      </c>
      <c r="M25" s="49">
        <v>3.6115121925699302E-2</v>
      </c>
      <c r="N25" s="49">
        <v>6.5350827491282099E-2</v>
      </c>
      <c r="O25" s="49">
        <v>3.5387876228409401E-2</v>
      </c>
      <c r="P25" s="49">
        <v>2.6425794708729699E-2</v>
      </c>
      <c r="Q25" t="s">
        <v>576</v>
      </c>
      <c r="R25" s="173">
        <f t="shared" si="2"/>
        <v>0.43968420094757249</v>
      </c>
      <c r="S25" s="173">
        <f t="shared" si="2"/>
        <v>0.16363350963047552</v>
      </c>
      <c r="T25" s="173">
        <f t="shared" si="2"/>
        <v>0.22791971094343069</v>
      </c>
      <c r="U25" s="173">
        <f t="shared" si="2"/>
        <v>0.21012300875810855</v>
      </c>
      <c r="V25" s="173">
        <f t="shared" si="2"/>
        <v>0.15631459204671208</v>
      </c>
    </row>
    <row r="26" spans="1:22" x14ac:dyDescent="0.3">
      <c r="A26" t="s">
        <v>572</v>
      </c>
      <c r="B26" t="s">
        <v>566</v>
      </c>
      <c r="C26" t="s">
        <v>913</v>
      </c>
      <c r="D26" s="1">
        <f>(1.55+1.75)/2</f>
        <v>1.65</v>
      </c>
      <c r="E26" t="s">
        <v>78</v>
      </c>
      <c r="F26" s="49">
        <v>9.9615287160462595E-3</v>
      </c>
      <c r="G26" s="49">
        <v>0.30059073284113702</v>
      </c>
      <c r="H26" s="49">
        <v>0.27185546487963103</v>
      </c>
      <c r="I26" s="49">
        <v>0.116960134582287</v>
      </c>
      <c r="J26" s="49">
        <v>0.17959685351980201</v>
      </c>
      <c r="K26" t="s">
        <v>553</v>
      </c>
      <c r="L26" s="49">
        <v>6.1226720551984699E-3</v>
      </c>
      <c r="M26" s="49">
        <v>7.5102915074547902E-2</v>
      </c>
      <c r="N26" s="49">
        <v>4.8354868698298102E-2</v>
      </c>
      <c r="O26" s="49">
        <v>3.4172239299311701E-2</v>
      </c>
      <c r="P26" s="49">
        <v>2.34273721338965E-2</v>
      </c>
      <c r="Q26" t="s">
        <v>576</v>
      </c>
      <c r="R26" s="173">
        <f t="shared" si="2"/>
        <v>0.61463177286593862</v>
      </c>
      <c r="S26" s="173">
        <f t="shared" si="2"/>
        <v>0.2498510661479374</v>
      </c>
      <c r="T26" s="173">
        <f t="shared" si="2"/>
        <v>0.17786976884834044</v>
      </c>
      <c r="U26" s="173">
        <f t="shared" si="2"/>
        <v>0.29216997245561399</v>
      </c>
      <c r="V26" s="173">
        <f t="shared" si="2"/>
        <v>0.13044422368632111</v>
      </c>
    </row>
    <row r="27" spans="1:22" x14ac:dyDescent="0.3">
      <c r="A27" t="s">
        <v>573</v>
      </c>
      <c r="B27" t="s">
        <v>567</v>
      </c>
      <c r="C27" t="s">
        <v>914</v>
      </c>
      <c r="D27" s="57">
        <f>(2.08+2.35)/2</f>
        <v>2.2149999999999999</v>
      </c>
      <c r="E27" t="s">
        <v>78</v>
      </c>
      <c r="F27" s="49">
        <v>6.4794396763886803E-3</v>
      </c>
      <c r="G27" s="49">
        <v>0.25329061526663199</v>
      </c>
      <c r="H27" s="49">
        <v>0.16725937658703899</v>
      </c>
      <c r="I27" s="49">
        <v>6.3383301982778695E-2</v>
      </c>
      <c r="J27" s="49">
        <v>0.111604761442668</v>
      </c>
      <c r="K27" t="s">
        <v>553</v>
      </c>
      <c r="L27" s="49">
        <v>6.3111546238132799E-3</v>
      </c>
      <c r="M27" s="49">
        <v>5.6060602310629502E-2</v>
      </c>
      <c r="N27" s="49">
        <v>5.2648904647451901E-2</v>
      </c>
      <c r="O27" s="49">
        <v>2.49407498363182E-2</v>
      </c>
      <c r="P27" s="49">
        <v>2.0159144527274402E-2</v>
      </c>
      <c r="Q27" t="s">
        <v>576</v>
      </c>
      <c r="R27" s="173">
        <f t="shared" si="2"/>
        <v>0.97402783867428577</v>
      </c>
      <c r="S27" s="173">
        <f t="shared" si="2"/>
        <v>0.22132917262495519</v>
      </c>
      <c r="T27" s="173">
        <f t="shared" si="2"/>
        <v>0.31477400981495524</v>
      </c>
      <c r="U27" s="173">
        <f t="shared" si="2"/>
        <v>0.39349085730962119</v>
      </c>
      <c r="V27" s="173">
        <f t="shared" si="2"/>
        <v>0.18062978914775307</v>
      </c>
    </row>
    <row r="28" spans="1:22" x14ac:dyDescent="0.3">
      <c r="R28" s="103">
        <f>MEDIAN(R22:R27)*100</f>
        <v>60.350452169933888</v>
      </c>
      <c r="S28" s="103">
        <f>MEDIAN(S22:S27)*100</f>
        <v>18.365551296960525</v>
      </c>
      <c r="T28" s="103">
        <f>MEDIAN(T22:T27)*100</f>
        <v>21.143796751174861</v>
      </c>
      <c r="U28" s="103">
        <f>MEDIAN(U22:U27)*100</f>
        <v>26.891461242597615</v>
      </c>
      <c r="V28" s="103">
        <f>MEDIAN(V22:V27)*100</f>
        <v>14.131255860874498</v>
      </c>
    </row>
    <row r="29" spans="1:22" x14ac:dyDescent="0.3">
      <c r="R29" s="182">
        <f>_xlfn.STDEV.S(R22:R27)*100/SQRT(6)</f>
        <v>7.9056297907488968</v>
      </c>
      <c r="S29" s="182">
        <f>_xlfn.STDEV.S(S22:S27)*100/SQRT(6)</f>
        <v>1.7224058867498462</v>
      </c>
      <c r="T29" s="182">
        <f>_xlfn.STDEV.S(T22:T27)*100/SQRT(6)</f>
        <v>2.2249718136805945</v>
      </c>
      <c r="U29" s="182">
        <f>_xlfn.STDEV.S(U22:U27)*100/SQRT(6)</f>
        <v>2.6079781071324768</v>
      </c>
      <c r="V29" s="182">
        <f>_xlfn.STDEV.S(V22:V27)*100/SQRT(6)</f>
        <v>0.82639815966829422</v>
      </c>
    </row>
    <row r="30" spans="1:22" x14ac:dyDescent="0.3">
      <c r="F30" t="s">
        <v>483</v>
      </c>
      <c r="G30" t="s">
        <v>484</v>
      </c>
      <c r="H30" t="s">
        <v>485</v>
      </c>
      <c r="I30" t="s">
        <v>486</v>
      </c>
      <c r="J30" t="s">
        <v>487</v>
      </c>
      <c r="L30" t="s">
        <v>483</v>
      </c>
      <c r="M30" t="s">
        <v>484</v>
      </c>
      <c r="N30" t="s">
        <v>485</v>
      </c>
      <c r="O30" t="s">
        <v>486</v>
      </c>
      <c r="P30" t="s">
        <v>487</v>
      </c>
      <c r="R30" t="s">
        <v>483</v>
      </c>
      <c r="S30" t="s">
        <v>484</v>
      </c>
      <c r="T30" t="s">
        <v>485</v>
      </c>
      <c r="U30" t="s">
        <v>486</v>
      </c>
      <c r="V30" t="s">
        <v>487</v>
      </c>
    </row>
    <row r="31" spans="1:22" x14ac:dyDescent="0.3">
      <c r="A31" s="1" t="s">
        <v>574</v>
      </c>
      <c r="B31" s="1" t="s">
        <v>575</v>
      </c>
      <c r="C31" s="1" t="s">
        <v>907</v>
      </c>
      <c r="D31" s="1" t="s">
        <v>902</v>
      </c>
      <c r="F31" s="90" t="s">
        <v>524</v>
      </c>
      <c r="G31" s="91" t="s">
        <v>523</v>
      </c>
      <c r="H31" s="92" t="s">
        <v>525</v>
      </c>
      <c r="I31" s="124" t="s">
        <v>526</v>
      </c>
      <c r="J31" s="123" t="s">
        <v>527</v>
      </c>
      <c r="L31" s="90" t="s">
        <v>524</v>
      </c>
      <c r="M31" s="91" t="s">
        <v>523</v>
      </c>
      <c r="N31" s="92" t="s">
        <v>525</v>
      </c>
      <c r="O31" s="124" t="s">
        <v>526</v>
      </c>
      <c r="P31" s="123" t="s">
        <v>527</v>
      </c>
      <c r="R31" s="90" t="s">
        <v>524</v>
      </c>
      <c r="S31" s="91" t="s">
        <v>523</v>
      </c>
      <c r="T31" s="92" t="s">
        <v>525</v>
      </c>
      <c r="U31" s="124" t="s">
        <v>526</v>
      </c>
      <c r="V31" s="123" t="s">
        <v>527</v>
      </c>
    </row>
    <row r="32" spans="1:22" x14ac:dyDescent="0.3">
      <c r="A32" t="s">
        <v>568</v>
      </c>
      <c r="B32" t="s">
        <v>562</v>
      </c>
      <c r="C32" t="s">
        <v>909</v>
      </c>
      <c r="D32" s="1">
        <f>(0.52+0.45)/2</f>
        <v>0.48499999999999999</v>
      </c>
      <c r="E32" t="s">
        <v>78</v>
      </c>
      <c r="F32" s="49">
        <v>5.09925635359793E-2</v>
      </c>
      <c r="G32" s="49">
        <v>7.7242956821001504E-2</v>
      </c>
      <c r="H32" s="49">
        <v>4.3901463306281897E-2</v>
      </c>
      <c r="I32" s="49">
        <v>2.2833707905628602E-2</v>
      </c>
      <c r="J32" s="49">
        <v>3.7076935574597097E-2</v>
      </c>
      <c r="K32" t="s">
        <v>553</v>
      </c>
      <c r="L32" s="49">
        <v>2.9967462259113498E-2</v>
      </c>
      <c r="M32" s="49">
        <v>1.35318670121242E-2</v>
      </c>
      <c r="N32" s="49">
        <v>1.3521011265899101E-2</v>
      </c>
      <c r="O32" s="49">
        <v>5.2218185830895597E-3</v>
      </c>
      <c r="P32" s="49">
        <v>7.5844844065619697E-3</v>
      </c>
      <c r="Q32" t="s">
        <v>576</v>
      </c>
      <c r="R32" s="173">
        <f t="shared" ref="R32:V37" si="3">L32/F32</f>
        <v>0.58768299103003663</v>
      </c>
      <c r="S32" s="173">
        <f t="shared" si="3"/>
        <v>0.17518577186891213</v>
      </c>
      <c r="T32" s="173">
        <f t="shared" si="3"/>
        <v>0.3079854348263687</v>
      </c>
      <c r="U32" s="173">
        <f t="shared" si="3"/>
        <v>0.22868903310278224</v>
      </c>
      <c r="V32" s="173">
        <f t="shared" si="3"/>
        <v>0.20456071379745863</v>
      </c>
    </row>
    <row r="33" spans="1:22" x14ac:dyDescent="0.3">
      <c r="A33" t="s">
        <v>569</v>
      </c>
      <c r="B33" t="s">
        <v>563</v>
      </c>
      <c r="C33" t="s">
        <v>910</v>
      </c>
      <c r="D33" s="1">
        <f>(0.52+0.6)/2</f>
        <v>0.56000000000000005</v>
      </c>
      <c r="E33" t="s">
        <v>78</v>
      </c>
      <c r="F33" s="49">
        <v>9.3638737478576303E-2</v>
      </c>
      <c r="G33" s="49">
        <v>0.119841486790387</v>
      </c>
      <c r="H33" s="49">
        <v>7.4417098528915801E-2</v>
      </c>
      <c r="I33" s="49">
        <v>3.8797316939386498E-2</v>
      </c>
      <c r="J33" s="49">
        <v>5.7941814190811798E-2</v>
      </c>
      <c r="K33" t="s">
        <v>553</v>
      </c>
      <c r="L33" s="49">
        <v>5.97566555751564E-2</v>
      </c>
      <c r="M33" s="49">
        <v>2.4041465577409701E-2</v>
      </c>
      <c r="N33" s="49">
        <v>1.73409021370549E-2</v>
      </c>
      <c r="O33" s="49">
        <v>7.9927263207147103E-3</v>
      </c>
      <c r="P33" s="49">
        <v>1.0281615300173101E-2</v>
      </c>
      <c r="Q33" t="s">
        <v>576</v>
      </c>
      <c r="R33" s="173">
        <f t="shared" si="3"/>
        <v>0.6381616965823379</v>
      </c>
      <c r="S33" s="173">
        <f t="shared" si="3"/>
        <v>0.20061054165207645</v>
      </c>
      <c r="T33" s="173">
        <f t="shared" si="3"/>
        <v>0.23302308850857509</v>
      </c>
      <c r="U33" s="173">
        <f t="shared" si="3"/>
        <v>0.20601234701878587</v>
      </c>
      <c r="V33" s="173">
        <f t="shared" si="3"/>
        <v>0.17744724502954071</v>
      </c>
    </row>
    <row r="34" spans="1:22" x14ac:dyDescent="0.3">
      <c r="A34" t="s">
        <v>570</v>
      </c>
      <c r="B34" t="s">
        <v>564</v>
      </c>
      <c r="C34" t="s">
        <v>911</v>
      </c>
      <c r="D34" s="1">
        <f>(0.63+0.69)/2</f>
        <v>0.65999999999999992</v>
      </c>
      <c r="E34" t="s">
        <v>78</v>
      </c>
      <c r="F34" s="49">
        <v>9.5255413574329803E-2</v>
      </c>
      <c r="G34" s="49">
        <v>0.14063193511917699</v>
      </c>
      <c r="H34" s="49">
        <v>7.2713935030743304E-2</v>
      </c>
      <c r="I34" s="49">
        <v>3.5502688510846002E-2</v>
      </c>
      <c r="J34" s="49">
        <v>6.4659502736859803E-2</v>
      </c>
      <c r="K34" t="s">
        <v>553</v>
      </c>
      <c r="L34" s="49">
        <v>7.0969278129179206E-2</v>
      </c>
      <c r="M34" s="49">
        <v>3.2706132764596899E-2</v>
      </c>
      <c r="N34" s="49">
        <v>2.43093366044877E-2</v>
      </c>
      <c r="O34" s="49">
        <v>9.4092552572718792E-3</v>
      </c>
      <c r="P34" s="49">
        <v>1.2097891027531499E-2</v>
      </c>
      <c r="Q34" t="s">
        <v>576</v>
      </c>
      <c r="R34" s="173">
        <f t="shared" si="3"/>
        <v>0.74504194004470292</v>
      </c>
      <c r="S34" s="173">
        <f t="shared" si="3"/>
        <v>0.23256547481111203</v>
      </c>
      <c r="T34" s="173">
        <f t="shared" si="3"/>
        <v>0.33431468939495246</v>
      </c>
      <c r="U34" s="173">
        <f t="shared" si="3"/>
        <v>0.26502937247688635</v>
      </c>
      <c r="V34" s="173">
        <f t="shared" si="3"/>
        <v>0.18710151664428087</v>
      </c>
    </row>
    <row r="35" spans="1:22" x14ac:dyDescent="0.3">
      <c r="A35" t="s">
        <v>571</v>
      </c>
      <c r="B35" t="s">
        <v>565</v>
      </c>
      <c r="C35" t="s">
        <v>912</v>
      </c>
      <c r="D35" s="1">
        <f>(0.77+0.9)/2</f>
        <v>0.83499999999999996</v>
      </c>
      <c r="E35" t="s">
        <v>78</v>
      </c>
      <c r="F35" s="49">
        <v>4.58132070382248E-2</v>
      </c>
      <c r="G35" s="49">
        <v>0.22291760746288899</v>
      </c>
      <c r="H35" s="49">
        <v>0.305250125478228</v>
      </c>
      <c r="I35" s="49">
        <v>0.16455399259211101</v>
      </c>
      <c r="J35" s="49">
        <v>0.16598954431710999</v>
      </c>
      <c r="K35" t="s">
        <v>553</v>
      </c>
      <c r="L35" s="49">
        <v>2.6015759973996001E-2</v>
      </c>
      <c r="M35" s="49">
        <v>4.1817984265534097E-2</v>
      </c>
      <c r="N35" s="49">
        <v>7.3544221336276E-2</v>
      </c>
      <c r="O35" s="49">
        <v>3.3960654552845498E-2</v>
      </c>
      <c r="P35" s="49">
        <v>3.27335778266152E-2</v>
      </c>
      <c r="Q35" t="s">
        <v>576</v>
      </c>
      <c r="R35" s="173">
        <f t="shared" si="3"/>
        <v>0.56786594206970575</v>
      </c>
      <c r="S35" s="173">
        <f t="shared" si="3"/>
        <v>0.18759390405038281</v>
      </c>
      <c r="T35" s="173">
        <f t="shared" si="3"/>
        <v>0.2409310109899416</v>
      </c>
      <c r="U35" s="173">
        <f t="shared" si="3"/>
        <v>0.20638000949041468</v>
      </c>
      <c r="V35" s="173">
        <f t="shared" si="3"/>
        <v>0.1972026488854037</v>
      </c>
    </row>
    <row r="36" spans="1:22" x14ac:dyDescent="0.3">
      <c r="A36" t="s">
        <v>572</v>
      </c>
      <c r="B36" t="s">
        <v>566</v>
      </c>
      <c r="C36" t="s">
        <v>913</v>
      </c>
      <c r="D36" s="1">
        <f>(1.55+1.75)/2</f>
        <v>1.65</v>
      </c>
      <c r="E36" t="s">
        <v>78</v>
      </c>
      <c r="F36" s="49">
        <v>5.9107718740192897E-3</v>
      </c>
      <c r="G36" s="49">
        <v>0.284462260904845</v>
      </c>
      <c r="H36" s="49">
        <v>0.24150615068070599</v>
      </c>
      <c r="I36" s="49">
        <v>0.107020960929282</v>
      </c>
      <c r="J36" s="49">
        <v>0.173998436901286</v>
      </c>
      <c r="K36" t="s">
        <v>553</v>
      </c>
      <c r="L36" s="49">
        <v>2.5562677809837999E-3</v>
      </c>
      <c r="M36" s="49">
        <v>6.8576052519655997E-2</v>
      </c>
      <c r="N36" s="49">
        <v>4.7670482546676697E-2</v>
      </c>
      <c r="O36" s="49">
        <v>3.1325660514932401E-2</v>
      </c>
      <c r="P36" s="49">
        <v>2.7793072327553799E-2</v>
      </c>
      <c r="Q36" t="s">
        <v>576</v>
      </c>
      <c r="R36" s="173">
        <f t="shared" si="3"/>
        <v>0.43247613602207136</v>
      </c>
      <c r="S36" s="173">
        <f t="shared" si="3"/>
        <v>0.24107258481853683</v>
      </c>
      <c r="T36" s="173">
        <f t="shared" si="3"/>
        <v>0.19738827525639954</v>
      </c>
      <c r="U36" s="173">
        <f t="shared" si="3"/>
        <v>0.2927058423221594</v>
      </c>
      <c r="V36" s="173">
        <f t="shared" si="3"/>
        <v>0.15973173565531257</v>
      </c>
    </row>
    <row r="37" spans="1:22" x14ac:dyDescent="0.3">
      <c r="A37" t="s">
        <v>573</v>
      </c>
      <c r="B37" t="s">
        <v>567</v>
      </c>
      <c r="C37" t="s">
        <v>914</v>
      </c>
      <c r="D37" s="1">
        <f>(2.08+2.35)/2</f>
        <v>2.2149999999999999</v>
      </c>
      <c r="E37" t="s">
        <v>78</v>
      </c>
      <c r="F37" s="49">
        <v>3.70328591842956E-3</v>
      </c>
      <c r="G37" s="49">
        <v>0.23522880775241101</v>
      </c>
      <c r="H37" s="49">
        <v>0.13882422575032</v>
      </c>
      <c r="I37" s="49">
        <v>5.5360221896525501E-2</v>
      </c>
      <c r="J37" s="49">
        <v>0.106347138954193</v>
      </c>
      <c r="K37" t="s">
        <v>553</v>
      </c>
      <c r="L37" s="49">
        <v>3.1785127253553202E-3</v>
      </c>
      <c r="M37" s="49">
        <v>5.0741970351378202E-2</v>
      </c>
      <c r="N37" s="49">
        <v>5.2109633431368402E-2</v>
      </c>
      <c r="O37" s="49">
        <v>2.03906363312947E-2</v>
      </c>
      <c r="P37" s="49">
        <v>1.8844449449782402E-2</v>
      </c>
      <c r="Q37" t="s">
        <v>576</v>
      </c>
      <c r="R37" s="173">
        <f t="shared" si="3"/>
        <v>0.85829525328771306</v>
      </c>
      <c r="S37" s="173">
        <f t="shared" si="3"/>
        <v>0.21571324888398205</v>
      </c>
      <c r="T37" s="173">
        <f t="shared" si="3"/>
        <v>0.37536412070533942</v>
      </c>
      <c r="U37" s="173">
        <f t="shared" si="3"/>
        <v>0.36832649206874746</v>
      </c>
      <c r="V37" s="173">
        <f t="shared" si="3"/>
        <v>0.1771975215797699</v>
      </c>
    </row>
    <row r="38" spans="1:22" x14ac:dyDescent="0.3">
      <c r="R38" s="103">
        <f>MEDIAN(R32:R37)*100</f>
        <v>61.292234380618723</v>
      </c>
      <c r="S38" s="103">
        <f>MEDIAN(S32:S37)*100</f>
        <v>20.816189526802926</v>
      </c>
      <c r="T38" s="103">
        <f>MEDIAN(T32:T37)*100</f>
        <v>27.445822290815514</v>
      </c>
      <c r="U38" s="103">
        <f>MEDIAN(U32:U37)*100</f>
        <v>24.685920278983431</v>
      </c>
      <c r="V38" s="103">
        <f>MEDIAN(V32:V37)*100</f>
        <v>18.227438083691077</v>
      </c>
    </row>
    <row r="39" spans="1:22" x14ac:dyDescent="0.3">
      <c r="R39" s="182">
        <f>_xlfn.STDEV.S(R32:R37)*100/SQRT(6)</f>
        <v>6.046438642101565</v>
      </c>
      <c r="S39" s="182">
        <f>_xlfn.STDEV.S(S32:S37)*100/SQRT(6)</f>
        <v>1.0489347025177911</v>
      </c>
      <c r="T39" s="182">
        <f>_xlfn.STDEV.S(T32:T37)*100/SQRT(6)</f>
        <v>2.7911753127012826</v>
      </c>
      <c r="U39" s="182">
        <f>_xlfn.STDEV.S(U32:U37)*100/SQRT(6)</f>
        <v>2.5554672323550016</v>
      </c>
      <c r="V39" s="182">
        <f>_xlfn.STDEV.S(V32:V37)*100/SQRT(6)</f>
        <v>0.65440490590807254</v>
      </c>
    </row>
    <row r="40" spans="1:22" x14ac:dyDescent="0.3">
      <c r="F40" t="s">
        <v>488</v>
      </c>
      <c r="G40" t="s">
        <v>489</v>
      </c>
      <c r="H40" t="s">
        <v>490</v>
      </c>
      <c r="I40" t="s">
        <v>491</v>
      </c>
      <c r="J40" t="s">
        <v>492</v>
      </c>
      <c r="L40" t="s">
        <v>488</v>
      </c>
      <c r="M40" t="s">
        <v>489</v>
      </c>
      <c r="N40" t="s">
        <v>490</v>
      </c>
      <c r="O40" t="s">
        <v>491</v>
      </c>
      <c r="P40" t="s">
        <v>492</v>
      </c>
      <c r="R40" t="s">
        <v>488</v>
      </c>
      <c r="S40" t="s">
        <v>489</v>
      </c>
      <c r="T40" t="s">
        <v>490</v>
      </c>
      <c r="U40" t="s">
        <v>491</v>
      </c>
      <c r="V40" t="s">
        <v>492</v>
      </c>
    </row>
    <row r="41" spans="1:22" x14ac:dyDescent="0.3">
      <c r="A41" s="1" t="s">
        <v>574</v>
      </c>
      <c r="B41" s="1" t="s">
        <v>575</v>
      </c>
      <c r="C41" s="1" t="s">
        <v>907</v>
      </c>
      <c r="D41" s="1" t="s">
        <v>902</v>
      </c>
      <c r="F41" s="90" t="s">
        <v>524</v>
      </c>
      <c r="G41" s="91" t="s">
        <v>523</v>
      </c>
      <c r="H41" s="92" t="s">
        <v>525</v>
      </c>
      <c r="I41" s="124" t="s">
        <v>526</v>
      </c>
      <c r="J41" s="123" t="s">
        <v>527</v>
      </c>
      <c r="L41" s="90" t="s">
        <v>524</v>
      </c>
      <c r="M41" s="91" t="s">
        <v>523</v>
      </c>
      <c r="N41" s="92" t="s">
        <v>525</v>
      </c>
      <c r="O41" s="124" t="s">
        <v>526</v>
      </c>
      <c r="P41" s="123" t="s">
        <v>527</v>
      </c>
      <c r="R41" s="90" t="s">
        <v>524</v>
      </c>
      <c r="S41" s="91" t="s">
        <v>523</v>
      </c>
      <c r="T41" s="92" t="s">
        <v>525</v>
      </c>
      <c r="U41" s="124" t="s">
        <v>526</v>
      </c>
      <c r="V41" s="123" t="s">
        <v>527</v>
      </c>
    </row>
    <row r="42" spans="1:22" x14ac:dyDescent="0.3">
      <c r="A42" t="s">
        <v>568</v>
      </c>
      <c r="B42" t="s">
        <v>562</v>
      </c>
      <c r="C42" t="s">
        <v>909</v>
      </c>
      <c r="D42" s="1">
        <f>(0.52+0.45)/2</f>
        <v>0.48499999999999999</v>
      </c>
      <c r="E42" t="s">
        <v>78</v>
      </c>
      <c r="F42" s="49">
        <v>4.0211865992734103E-2</v>
      </c>
      <c r="G42" s="49">
        <v>7.6715617563581903E-2</v>
      </c>
      <c r="H42" s="49">
        <v>4.6415287010460202E-2</v>
      </c>
      <c r="I42" s="49">
        <v>2.14225686881277E-2</v>
      </c>
      <c r="J42" s="49">
        <v>3.38637796084005E-2</v>
      </c>
      <c r="K42" t="s">
        <v>553</v>
      </c>
      <c r="L42" s="49">
        <v>2.0951616604016201E-2</v>
      </c>
      <c r="M42" s="49">
        <v>1.52953614950783E-2</v>
      </c>
      <c r="N42" s="49">
        <v>1.05894852150419E-2</v>
      </c>
      <c r="O42" s="49">
        <v>1.07764812432526E-2</v>
      </c>
      <c r="P42" s="49">
        <v>6.4999952568099801E-3</v>
      </c>
      <c r="Q42" t="s">
        <v>576</v>
      </c>
      <c r="R42" s="173">
        <f t="shared" ref="R42:V47" si="4">L42/F42</f>
        <v>0.52103069794875867</v>
      </c>
      <c r="S42" s="173">
        <f t="shared" si="4"/>
        <v>0.19937741467572107</v>
      </c>
      <c r="T42" s="173">
        <f t="shared" si="4"/>
        <v>0.22814649864505721</v>
      </c>
      <c r="U42" s="173">
        <f t="shared" si="4"/>
        <v>0.50304337449620973</v>
      </c>
      <c r="V42" s="173">
        <f t="shared" si="4"/>
        <v>0.19194535671964813</v>
      </c>
    </row>
    <row r="43" spans="1:22" x14ac:dyDescent="0.3">
      <c r="A43" t="s">
        <v>569</v>
      </c>
      <c r="B43" t="s">
        <v>563</v>
      </c>
      <c r="C43" t="s">
        <v>910</v>
      </c>
      <c r="D43" s="1">
        <f>(0.52+0.6)/2</f>
        <v>0.56000000000000005</v>
      </c>
      <c r="E43" t="s">
        <v>78</v>
      </c>
      <c r="F43" s="49">
        <v>7.1902858980761195E-2</v>
      </c>
      <c r="G43" s="49">
        <v>0.115035232910547</v>
      </c>
      <c r="H43" s="49">
        <v>7.8666814045824901E-2</v>
      </c>
      <c r="I43" s="49">
        <v>3.5268819713657397E-2</v>
      </c>
      <c r="J43" s="49">
        <v>5.3268802356689002E-2</v>
      </c>
      <c r="K43" t="s">
        <v>553</v>
      </c>
      <c r="L43" s="49">
        <v>4.3349388848741101E-2</v>
      </c>
      <c r="M43" s="49">
        <v>2.20427417021982E-2</v>
      </c>
      <c r="N43" s="49">
        <v>1.80806443722843E-2</v>
      </c>
      <c r="O43" s="49">
        <v>1.1955623472094799E-2</v>
      </c>
      <c r="P43" s="49">
        <v>9.2708208043243007E-3</v>
      </c>
      <c r="Q43" t="s">
        <v>576</v>
      </c>
      <c r="R43" s="173">
        <f t="shared" si="4"/>
        <v>0.60288825038709448</v>
      </c>
      <c r="S43" s="173">
        <f t="shared" si="4"/>
        <v>0.19161730840619015</v>
      </c>
      <c r="T43" s="173">
        <f t="shared" si="4"/>
        <v>0.22983826905398741</v>
      </c>
      <c r="U43" s="173">
        <f t="shared" si="4"/>
        <v>0.33898564140112514</v>
      </c>
      <c r="V43" s="173">
        <f t="shared" si="4"/>
        <v>0.17403846893809802</v>
      </c>
    </row>
    <row r="44" spans="1:22" x14ac:dyDescent="0.3">
      <c r="A44" t="s">
        <v>570</v>
      </c>
      <c r="B44" t="s">
        <v>564</v>
      </c>
      <c r="C44" t="s">
        <v>911</v>
      </c>
      <c r="D44" s="1">
        <f>(0.63+0.69)/2</f>
        <v>0.65999999999999992</v>
      </c>
      <c r="E44" t="s">
        <v>78</v>
      </c>
      <c r="F44" s="49">
        <v>6.9297678635010601E-2</v>
      </c>
      <c r="G44" s="49">
        <v>0.1368680087578</v>
      </c>
      <c r="H44" s="49">
        <v>8.8053203444398598E-2</v>
      </c>
      <c r="I44" s="49">
        <v>3.2856182534235001E-2</v>
      </c>
      <c r="J44" s="49">
        <v>6.1895399453862902E-2</v>
      </c>
      <c r="K44" t="s">
        <v>553</v>
      </c>
      <c r="L44" s="49">
        <v>4.8102706144193201E-2</v>
      </c>
      <c r="M44" s="49">
        <v>2.8115960741958001E-2</v>
      </c>
      <c r="N44" s="49">
        <v>2.7146903614071301E-2</v>
      </c>
      <c r="O44" s="49">
        <v>1.18822974594959E-2</v>
      </c>
      <c r="P44" s="49">
        <v>1.23856878865606E-2</v>
      </c>
      <c r="Q44" t="s">
        <v>576</v>
      </c>
      <c r="R44" s="173">
        <f t="shared" si="4"/>
        <v>0.69414599582114622</v>
      </c>
      <c r="S44" s="173">
        <f t="shared" si="4"/>
        <v>0.20542390436695598</v>
      </c>
      <c r="T44" s="173">
        <f t="shared" si="4"/>
        <v>0.30830114694479316</v>
      </c>
      <c r="U44" s="173">
        <f t="shared" si="4"/>
        <v>0.36164570996995643</v>
      </c>
      <c r="V44" s="173">
        <f t="shared" si="4"/>
        <v>0.20010676069378866</v>
      </c>
    </row>
    <row r="45" spans="1:22" x14ac:dyDescent="0.3">
      <c r="A45" t="s">
        <v>571</v>
      </c>
      <c r="B45" t="s">
        <v>565</v>
      </c>
      <c r="C45" t="s">
        <v>912</v>
      </c>
      <c r="D45" s="1">
        <f>(0.77+0.9)/2</f>
        <v>0.83499999999999996</v>
      </c>
      <c r="E45" t="s">
        <v>78</v>
      </c>
      <c r="F45" s="49">
        <v>3.1100666896023602E-2</v>
      </c>
      <c r="G45" s="49">
        <v>0.211640485422319</v>
      </c>
      <c r="H45" s="49">
        <v>0.29449419954566097</v>
      </c>
      <c r="I45" s="49">
        <v>0.16034226288095699</v>
      </c>
      <c r="J45" s="49">
        <v>0.16228563084080999</v>
      </c>
      <c r="K45" t="s">
        <v>553</v>
      </c>
      <c r="L45" s="49">
        <v>2.0577642378936299E-2</v>
      </c>
      <c r="M45" s="49">
        <v>3.9819888993800498E-2</v>
      </c>
      <c r="N45" s="49">
        <v>6.1700462515497101E-2</v>
      </c>
      <c r="O45" s="49">
        <v>3.9821582417098898E-2</v>
      </c>
      <c r="P45" s="49">
        <v>2.8848084247688401E-2</v>
      </c>
      <c r="Q45" t="s">
        <v>576</v>
      </c>
      <c r="R45" s="173">
        <f t="shared" si="4"/>
        <v>0.66164633857312138</v>
      </c>
      <c r="S45" s="173">
        <f t="shared" si="4"/>
        <v>0.18814873210265851</v>
      </c>
      <c r="T45" s="173">
        <f t="shared" si="4"/>
        <v>0.20951333714106149</v>
      </c>
      <c r="U45" s="173">
        <f t="shared" si="4"/>
        <v>0.24835362618440568</v>
      </c>
      <c r="V45" s="173">
        <f t="shared" si="4"/>
        <v>0.17776117391432025</v>
      </c>
    </row>
    <row r="46" spans="1:22" x14ac:dyDescent="0.3">
      <c r="A46" t="s">
        <v>572</v>
      </c>
      <c r="B46" t="s">
        <v>566</v>
      </c>
      <c r="C46" t="s">
        <v>913</v>
      </c>
      <c r="D46" s="1">
        <f>(1.55+1.75)/2</f>
        <v>1.65</v>
      </c>
      <c r="E46" t="s">
        <v>78</v>
      </c>
      <c r="F46" s="49">
        <v>4.3231719782818303E-3</v>
      </c>
      <c r="G46" s="49">
        <v>0.28201351789977203</v>
      </c>
      <c r="H46" s="49">
        <v>0.26632923598490699</v>
      </c>
      <c r="I46" s="49">
        <v>9.7750249810492199E-2</v>
      </c>
      <c r="J46" s="49">
        <v>0.17244337247757999</v>
      </c>
      <c r="K46" t="s">
        <v>553</v>
      </c>
      <c r="L46" s="49">
        <v>3.3715185333035801E-3</v>
      </c>
      <c r="M46" s="49">
        <v>6.6917270620111893E-2</v>
      </c>
      <c r="N46" s="49">
        <v>4.9614770399787497E-2</v>
      </c>
      <c r="O46" s="49">
        <v>3.2265981925088498E-2</v>
      </c>
      <c r="P46" s="49">
        <v>3.0743973664323299E-2</v>
      </c>
      <c r="Q46" t="s">
        <v>576</v>
      </c>
      <c r="R46" s="173">
        <f t="shared" si="4"/>
        <v>0.77987148099612069</v>
      </c>
      <c r="S46" s="173">
        <f t="shared" si="4"/>
        <v>0.23728391148928676</v>
      </c>
      <c r="T46" s="173">
        <f t="shared" si="4"/>
        <v>0.18629111526681658</v>
      </c>
      <c r="U46" s="173">
        <f t="shared" si="4"/>
        <v>0.33008592804256109</v>
      </c>
      <c r="V46" s="173">
        <f t="shared" si="4"/>
        <v>0.17828446070503776</v>
      </c>
    </row>
    <row r="47" spans="1:22" x14ac:dyDescent="0.3">
      <c r="A47" t="s">
        <v>573</v>
      </c>
      <c r="B47" t="s">
        <v>567</v>
      </c>
      <c r="C47" t="s">
        <v>914</v>
      </c>
      <c r="D47" s="1">
        <f>(2.08+2.35)/2</f>
        <v>2.2149999999999999</v>
      </c>
      <c r="E47" t="s">
        <v>78</v>
      </c>
      <c r="F47" s="49">
        <v>2.3821313148768E-3</v>
      </c>
      <c r="G47" s="49">
        <v>0.224745212180683</v>
      </c>
      <c r="H47" s="49">
        <v>0.15117748820587801</v>
      </c>
      <c r="I47" s="49">
        <v>4.8555657624957803E-2</v>
      </c>
      <c r="J47" s="49">
        <v>0.100548266629501</v>
      </c>
      <c r="K47" t="s">
        <v>553</v>
      </c>
      <c r="L47" s="49">
        <v>3.5292545078504799E-3</v>
      </c>
      <c r="M47" s="49">
        <v>4.3893308931231299E-2</v>
      </c>
      <c r="N47" s="49">
        <v>4.2785272079907302E-2</v>
      </c>
      <c r="O47" s="49">
        <v>2.31144974592031E-2</v>
      </c>
      <c r="P47" s="49">
        <v>2.1488236988327199E-2</v>
      </c>
      <c r="Q47" t="s">
        <v>576</v>
      </c>
      <c r="R47" s="173">
        <f t="shared" si="4"/>
        <v>1.4815532988503648</v>
      </c>
      <c r="S47" s="173">
        <f t="shared" si="4"/>
        <v>0.19530253172175902</v>
      </c>
      <c r="T47" s="173">
        <f t="shared" si="4"/>
        <v>0.28301351337205077</v>
      </c>
      <c r="U47" s="173">
        <f t="shared" si="4"/>
        <v>0.4760412810745695</v>
      </c>
      <c r="V47" s="173">
        <f t="shared" si="4"/>
        <v>0.21371066561999308</v>
      </c>
    </row>
    <row r="48" spans="1:22" x14ac:dyDescent="0.3">
      <c r="R48" s="103">
        <f>MEDIAN(R42:R47)*100</f>
        <v>67.789616719713379</v>
      </c>
      <c r="S48" s="103">
        <f>MEDIAN(S42:S47)*100</f>
        <v>19.733997319874003</v>
      </c>
      <c r="T48" s="103">
        <f>MEDIAN(T42:T47)*100</f>
        <v>22.899238384952231</v>
      </c>
      <c r="U48" s="103">
        <f>MEDIAN(U42:U47)*100</f>
        <v>35.031567568554081</v>
      </c>
      <c r="V48" s="103">
        <f>MEDIAN(V42:V47)*100</f>
        <v>18.511490871234294</v>
      </c>
    </row>
    <row r="49" spans="1:22" x14ac:dyDescent="0.3">
      <c r="R49" s="182">
        <f>_xlfn.STDEV.S(R42:R47)*100/SQRT(6)</f>
        <v>14.275460083065747</v>
      </c>
      <c r="S49" s="182">
        <f>_xlfn.STDEV.S(S42:S47)*100/SQRT(6)</f>
        <v>0.73112755981487521</v>
      </c>
      <c r="T49" s="182">
        <f>_xlfn.STDEV.S(T42:T47)*100/SQRT(6)</f>
        <v>1.8769402928791199</v>
      </c>
      <c r="U49" s="182">
        <f>_xlfn.STDEV.S(U42:U47)*100/SQRT(6)</f>
        <v>3.9211099471040907</v>
      </c>
      <c r="V49" s="182">
        <f>_xlfn.STDEV.S(V42:V47)*100/SQRT(6)</f>
        <v>0.63431463334685567</v>
      </c>
    </row>
    <row r="50" spans="1:22" x14ac:dyDescent="0.3">
      <c r="F50" t="s">
        <v>493</v>
      </c>
      <c r="G50" t="s">
        <v>494</v>
      </c>
      <c r="H50" t="s">
        <v>495</v>
      </c>
      <c r="I50" t="s">
        <v>496</v>
      </c>
      <c r="J50" t="s">
        <v>497</v>
      </c>
      <c r="L50" t="s">
        <v>493</v>
      </c>
      <c r="M50" t="s">
        <v>494</v>
      </c>
      <c r="N50" t="s">
        <v>495</v>
      </c>
      <c r="O50" t="s">
        <v>496</v>
      </c>
      <c r="P50" t="s">
        <v>497</v>
      </c>
      <c r="R50" t="s">
        <v>493</v>
      </c>
      <c r="S50" t="s">
        <v>494</v>
      </c>
      <c r="T50" t="s">
        <v>495</v>
      </c>
      <c r="U50" t="s">
        <v>496</v>
      </c>
      <c r="V50" t="s">
        <v>497</v>
      </c>
    </row>
    <row r="51" spans="1:22" x14ac:dyDescent="0.3">
      <c r="A51" s="1" t="s">
        <v>574</v>
      </c>
      <c r="B51" s="1" t="s">
        <v>575</v>
      </c>
      <c r="C51" s="1" t="s">
        <v>907</v>
      </c>
      <c r="D51" s="1" t="s">
        <v>902</v>
      </c>
      <c r="F51" s="90" t="s">
        <v>524</v>
      </c>
      <c r="G51" s="91" t="s">
        <v>523</v>
      </c>
      <c r="H51" s="92" t="s">
        <v>525</v>
      </c>
      <c r="I51" s="124" t="s">
        <v>526</v>
      </c>
      <c r="J51" s="123" t="s">
        <v>527</v>
      </c>
      <c r="L51" s="90" t="s">
        <v>524</v>
      </c>
      <c r="M51" s="91" t="s">
        <v>523</v>
      </c>
      <c r="N51" s="92" t="s">
        <v>525</v>
      </c>
      <c r="O51" s="124" t="s">
        <v>526</v>
      </c>
      <c r="P51" s="123" t="s">
        <v>527</v>
      </c>
      <c r="R51" s="90" t="s">
        <v>524</v>
      </c>
      <c r="S51" s="91" t="s">
        <v>523</v>
      </c>
      <c r="T51" s="92" t="s">
        <v>525</v>
      </c>
      <c r="U51" s="124" t="s">
        <v>526</v>
      </c>
      <c r="V51" s="123" t="s">
        <v>527</v>
      </c>
    </row>
    <row r="52" spans="1:22" x14ac:dyDescent="0.3">
      <c r="A52" t="s">
        <v>568</v>
      </c>
      <c r="B52" t="s">
        <v>562</v>
      </c>
      <c r="C52" t="s">
        <v>915</v>
      </c>
      <c r="D52" s="1">
        <f>(0.52+0.45)/2</f>
        <v>0.48499999999999999</v>
      </c>
      <c r="E52" t="s">
        <v>78</v>
      </c>
      <c r="F52" s="49">
        <v>2.64963064576469E-2</v>
      </c>
      <c r="G52" s="49">
        <v>7.7525550409402899E-2</v>
      </c>
      <c r="H52" s="49">
        <v>4.8555654059878703E-2</v>
      </c>
      <c r="I52" s="49">
        <v>2.35908902189511E-2</v>
      </c>
      <c r="J52" s="49">
        <v>3.4457929435404502E-2</v>
      </c>
      <c r="K52" t="s">
        <v>553</v>
      </c>
      <c r="L52" s="49">
        <v>8.5824975773472097E-3</v>
      </c>
      <c r="M52" s="49">
        <v>1.50245572602291E-2</v>
      </c>
      <c r="N52" s="49">
        <v>1.09934290274195E-2</v>
      </c>
      <c r="O52" s="49">
        <v>4.7798023805683196E-3</v>
      </c>
      <c r="P52" s="49">
        <v>5.90737028383249E-3</v>
      </c>
      <c r="Q52" t="s">
        <v>576</v>
      </c>
      <c r="R52" s="173">
        <f t="shared" ref="R52:V57" si="5">L52/F52</f>
        <v>0.32391297976062922</v>
      </c>
      <c r="S52" s="173">
        <f t="shared" si="5"/>
        <v>0.19380136201402326</v>
      </c>
      <c r="T52" s="173">
        <f t="shared" si="5"/>
        <v>0.22640883415683027</v>
      </c>
      <c r="U52" s="173">
        <f t="shared" si="5"/>
        <v>0.202612209043667</v>
      </c>
      <c r="V52" s="173">
        <f t="shared" si="5"/>
        <v>0.1714371809515299</v>
      </c>
    </row>
    <row r="53" spans="1:22" x14ac:dyDescent="0.3">
      <c r="A53" t="s">
        <v>569</v>
      </c>
      <c r="B53" t="s">
        <v>563</v>
      </c>
      <c r="C53" t="s">
        <v>916</v>
      </c>
      <c r="D53" s="1">
        <f>(0.52+0.6)/2</f>
        <v>0.56000000000000005</v>
      </c>
      <c r="E53" t="s">
        <v>78</v>
      </c>
      <c r="F53" s="49">
        <v>3.3959527681279897E-2</v>
      </c>
      <c r="G53" s="49">
        <v>0.108724136514896</v>
      </c>
      <c r="H53" s="49">
        <v>7.9530857594987403E-2</v>
      </c>
      <c r="I53" s="49">
        <v>3.5928425794241298E-2</v>
      </c>
      <c r="J53" s="49">
        <v>5.1475885880131099E-2</v>
      </c>
      <c r="K53" t="s">
        <v>553</v>
      </c>
      <c r="L53" s="49">
        <v>1.3319695833270501E-2</v>
      </c>
      <c r="M53" s="49">
        <v>1.9067962675696999E-2</v>
      </c>
      <c r="N53" s="49">
        <v>1.6052105246502898E-2</v>
      </c>
      <c r="O53" s="49">
        <v>7.0757440698924002E-3</v>
      </c>
      <c r="P53" s="49">
        <v>8.4132874918231102E-3</v>
      </c>
      <c r="Q53" t="s">
        <v>576</v>
      </c>
      <c r="R53" s="173">
        <f t="shared" si="5"/>
        <v>0.39222264686010194</v>
      </c>
      <c r="S53" s="173">
        <f t="shared" si="5"/>
        <v>0.17537929743028632</v>
      </c>
      <c r="T53" s="173">
        <f t="shared" si="5"/>
        <v>0.20183493214984036</v>
      </c>
      <c r="U53" s="173">
        <f t="shared" si="5"/>
        <v>0.1969399970489806</v>
      </c>
      <c r="V53" s="173">
        <f t="shared" si="5"/>
        <v>0.16344133467493194</v>
      </c>
    </row>
    <row r="54" spans="1:22" x14ac:dyDescent="0.3">
      <c r="A54" t="s">
        <v>570</v>
      </c>
      <c r="B54" t="s">
        <v>564</v>
      </c>
      <c r="C54" t="s">
        <v>917</v>
      </c>
      <c r="D54" s="1">
        <f>(0.63+0.69)/2</f>
        <v>0.65999999999999992</v>
      </c>
      <c r="E54" t="s">
        <v>78</v>
      </c>
      <c r="F54" s="49">
        <v>2.39520870094065E-2</v>
      </c>
      <c r="G54" s="49">
        <v>0.13459381042979199</v>
      </c>
      <c r="H54" s="49">
        <v>8.9318944415769305E-2</v>
      </c>
      <c r="I54" s="49">
        <v>3.3183387515256998E-2</v>
      </c>
      <c r="J54" s="49">
        <v>6.0954132885125502E-2</v>
      </c>
      <c r="K54" t="s">
        <v>553</v>
      </c>
      <c r="L54" s="49">
        <v>1.11036731195184E-2</v>
      </c>
      <c r="M54" s="49">
        <v>2.6237202334450201E-2</v>
      </c>
      <c r="N54" s="49">
        <v>2.6616351539737199E-2</v>
      </c>
      <c r="O54" s="49">
        <v>8.8112026368351894E-3</v>
      </c>
      <c r="P54" s="49">
        <v>1.2470523853619299E-2</v>
      </c>
      <c r="Q54" t="s">
        <v>576</v>
      </c>
      <c r="R54" s="173">
        <f t="shared" si="5"/>
        <v>0.46357852303883784</v>
      </c>
      <c r="S54" s="173">
        <f t="shared" si="5"/>
        <v>0.19493617314695375</v>
      </c>
      <c r="T54" s="173">
        <f t="shared" si="5"/>
        <v>0.29799223125433699</v>
      </c>
      <c r="U54" s="173">
        <f t="shared" si="5"/>
        <v>0.26553053490346606</v>
      </c>
      <c r="V54" s="173">
        <f t="shared" si="5"/>
        <v>0.20458865155413364</v>
      </c>
    </row>
    <row r="55" spans="1:22" x14ac:dyDescent="0.3">
      <c r="A55" t="s">
        <v>571</v>
      </c>
      <c r="B55" t="s">
        <v>565</v>
      </c>
      <c r="C55" t="s">
        <v>918</v>
      </c>
      <c r="D55" s="1">
        <f>(0.77+0.9)/2</f>
        <v>0.83499999999999996</v>
      </c>
      <c r="E55" t="s">
        <v>78</v>
      </c>
      <c r="F55" s="49">
        <v>1.99057063842768E-2</v>
      </c>
      <c r="G55" s="49">
        <v>0.21045229444132299</v>
      </c>
      <c r="H55" s="49">
        <v>0.31236080017401102</v>
      </c>
      <c r="I55" s="49">
        <v>0.17242793452222799</v>
      </c>
      <c r="J55" s="49">
        <v>0.16454697185341299</v>
      </c>
      <c r="K55" t="s">
        <v>553</v>
      </c>
      <c r="L55" s="49">
        <v>4.6355918448225996E-3</v>
      </c>
      <c r="M55" s="49">
        <v>3.4679853233639202E-2</v>
      </c>
      <c r="N55" s="49">
        <v>5.3559658708005997E-2</v>
      </c>
      <c r="O55" s="49">
        <v>3.3274724800494898E-2</v>
      </c>
      <c r="P55" s="49">
        <v>2.3522665490991499E-2</v>
      </c>
      <c r="Q55" t="s">
        <v>576</v>
      </c>
      <c r="R55" s="173">
        <f t="shared" si="5"/>
        <v>0.23287753548320092</v>
      </c>
      <c r="S55" s="173">
        <f t="shared" si="5"/>
        <v>0.16478724228548824</v>
      </c>
      <c r="T55" s="173">
        <f t="shared" si="5"/>
        <v>0.17146728615808643</v>
      </c>
      <c r="U55" s="173">
        <f t="shared" si="5"/>
        <v>0.19297757577792823</v>
      </c>
      <c r="V55" s="173">
        <f t="shared" si="5"/>
        <v>0.14295410742621695</v>
      </c>
    </row>
    <row r="56" spans="1:22" x14ac:dyDescent="0.3">
      <c r="A56" t="s">
        <v>572</v>
      </c>
      <c r="B56" t="s">
        <v>566</v>
      </c>
      <c r="C56" t="s">
        <v>919</v>
      </c>
      <c r="D56" s="1">
        <f>(1.55+1.75)/2</f>
        <v>1.65</v>
      </c>
      <c r="E56" t="s">
        <v>78</v>
      </c>
      <c r="F56" s="49">
        <v>1.0702036536465899E-2</v>
      </c>
      <c r="G56" s="49">
        <v>0.26497703973731201</v>
      </c>
      <c r="H56" s="49">
        <v>0.254415340677492</v>
      </c>
      <c r="I56" s="49">
        <v>0.10275770270404901</v>
      </c>
      <c r="J56" s="49">
        <v>0.168913261257781</v>
      </c>
      <c r="K56" t="s">
        <v>553</v>
      </c>
      <c r="L56" s="49">
        <v>3.4876490700243702E-3</v>
      </c>
      <c r="M56" s="49">
        <v>5.6668979732146699E-2</v>
      </c>
      <c r="N56" s="49">
        <v>4.8557296996071399E-2</v>
      </c>
      <c r="O56" s="49">
        <v>2.82293569040739E-2</v>
      </c>
      <c r="P56" s="49">
        <v>2.78314765175556E-2</v>
      </c>
      <c r="Q56" t="s">
        <v>576</v>
      </c>
      <c r="R56" s="173">
        <f t="shared" si="5"/>
        <v>0.32588648507605317</v>
      </c>
      <c r="S56" s="173">
        <f t="shared" si="5"/>
        <v>0.21386373622532026</v>
      </c>
      <c r="T56" s="173">
        <f t="shared" si="5"/>
        <v>0.19085836910135365</v>
      </c>
      <c r="U56" s="173">
        <f t="shared" si="5"/>
        <v>0.27471767236152472</v>
      </c>
      <c r="V56" s="173">
        <f t="shared" si="5"/>
        <v>0.1647678596121685</v>
      </c>
    </row>
    <row r="57" spans="1:22" x14ac:dyDescent="0.3">
      <c r="A57" t="s">
        <v>573</v>
      </c>
      <c r="B57" t="s">
        <v>567</v>
      </c>
      <c r="C57" t="s">
        <v>920</v>
      </c>
      <c r="D57" s="1">
        <f>(2.08+2.35)/2</f>
        <v>2.2149999999999999</v>
      </c>
      <c r="E57" t="s">
        <v>78</v>
      </c>
      <c r="F57" s="49">
        <v>8.0837595409990592E-3</v>
      </c>
      <c r="G57" s="49">
        <v>0.21976380867440801</v>
      </c>
      <c r="H57" s="49">
        <v>0.14845777184811201</v>
      </c>
      <c r="I57" s="49">
        <v>5.4787303888473401E-2</v>
      </c>
      <c r="J57" s="49">
        <v>0.107073718152511</v>
      </c>
      <c r="K57" t="s">
        <v>553</v>
      </c>
      <c r="L57" s="49">
        <v>3.6475492096926599E-3</v>
      </c>
      <c r="M57" s="49">
        <v>4.1184000198331301E-2</v>
      </c>
      <c r="N57" s="49">
        <v>4.2186096042923303E-2</v>
      </c>
      <c r="O57" s="49">
        <v>1.90446447260081E-2</v>
      </c>
      <c r="P57" s="49">
        <v>2.002949816207E-2</v>
      </c>
      <c r="Q57" t="s">
        <v>576</v>
      </c>
      <c r="R57" s="173">
        <f t="shared" si="5"/>
        <v>0.45121940987891695</v>
      </c>
      <c r="S57" s="173">
        <f t="shared" si="5"/>
        <v>0.18740119424917517</v>
      </c>
      <c r="T57" s="173">
        <f t="shared" si="5"/>
        <v>0.28416226053886984</v>
      </c>
      <c r="U57" s="173">
        <f t="shared" si="5"/>
        <v>0.34761054796154822</v>
      </c>
      <c r="V57" s="173">
        <f t="shared" si="5"/>
        <v>0.18706269388666302</v>
      </c>
    </row>
    <row r="58" spans="1:22" x14ac:dyDescent="0.3">
      <c r="R58" s="103">
        <f>MEDIAN(R52:R57)*100</f>
        <v>35.905456596807753</v>
      </c>
      <c r="S58" s="103">
        <f>MEDIAN(S52:S57)*100</f>
        <v>19.060127813159923</v>
      </c>
      <c r="T58" s="103">
        <f>MEDIAN(T52:T57)*100</f>
        <v>21.41218831533353</v>
      </c>
      <c r="U58" s="103">
        <f>MEDIAN(U52:U57)*100</f>
        <v>23.407137197356654</v>
      </c>
      <c r="V58" s="103">
        <f>MEDIAN(V52:V57)*100</f>
        <v>16.810252028184919</v>
      </c>
    </row>
    <row r="59" spans="1:22" x14ac:dyDescent="0.3">
      <c r="R59" s="182">
        <f>_xlfn.STDEV.S(R52:R57)*100/SQRT(6)</f>
        <v>3.5854764915949504</v>
      </c>
      <c r="S59" s="182">
        <f>_xlfn.STDEV.S(S52:S57)*100/SQRT(6)</f>
        <v>0.69483520245193997</v>
      </c>
      <c r="T59" s="182">
        <f>_xlfn.STDEV.S(T52:T57)*100/SQRT(6)</f>
        <v>2.1064966004439465</v>
      </c>
      <c r="U59" s="182">
        <f>_xlfn.STDEV.S(U52:U57)*100/SQRT(6)</f>
        <v>2.4918802702796192</v>
      </c>
      <c r="V59" s="182">
        <f>_xlfn.STDEV.S(V52:V57)*100/SQRT(6)</f>
        <v>0.86748584676805507</v>
      </c>
    </row>
    <row r="60" spans="1:22" x14ac:dyDescent="0.3">
      <c r="F60" t="s">
        <v>498</v>
      </c>
      <c r="G60" t="s">
        <v>499</v>
      </c>
      <c r="H60" t="s">
        <v>500</v>
      </c>
      <c r="I60" t="s">
        <v>501</v>
      </c>
      <c r="J60" t="s">
        <v>502</v>
      </c>
      <c r="L60" t="s">
        <v>498</v>
      </c>
      <c r="M60" t="s">
        <v>499</v>
      </c>
      <c r="N60" t="s">
        <v>500</v>
      </c>
      <c r="O60" t="s">
        <v>501</v>
      </c>
      <c r="P60" t="s">
        <v>502</v>
      </c>
      <c r="R60" t="s">
        <v>498</v>
      </c>
      <c r="S60" t="s">
        <v>499</v>
      </c>
      <c r="T60" t="s">
        <v>500</v>
      </c>
      <c r="U60" t="s">
        <v>501</v>
      </c>
      <c r="V60" t="s">
        <v>502</v>
      </c>
    </row>
    <row r="61" spans="1:22" x14ac:dyDescent="0.3">
      <c r="A61" s="1" t="s">
        <v>574</v>
      </c>
      <c r="B61" s="1" t="s">
        <v>575</v>
      </c>
      <c r="C61" s="1" t="s">
        <v>907</v>
      </c>
      <c r="D61" s="1" t="s">
        <v>902</v>
      </c>
      <c r="F61" s="90" t="s">
        <v>524</v>
      </c>
      <c r="G61" s="91" t="s">
        <v>523</v>
      </c>
      <c r="H61" s="92" t="s">
        <v>525</v>
      </c>
      <c r="I61" s="124" t="s">
        <v>526</v>
      </c>
      <c r="J61" s="123" t="s">
        <v>527</v>
      </c>
      <c r="L61" s="90" t="s">
        <v>524</v>
      </c>
      <c r="M61" s="91" t="s">
        <v>523</v>
      </c>
      <c r="N61" s="92" t="s">
        <v>525</v>
      </c>
      <c r="O61" s="124" t="s">
        <v>526</v>
      </c>
      <c r="P61" s="123" t="s">
        <v>527</v>
      </c>
      <c r="R61" s="90" t="s">
        <v>524</v>
      </c>
      <c r="S61" s="91" t="s">
        <v>523</v>
      </c>
      <c r="T61" s="92" t="s">
        <v>525</v>
      </c>
      <c r="U61" s="124" t="s">
        <v>526</v>
      </c>
      <c r="V61" s="123" t="s">
        <v>527</v>
      </c>
    </row>
    <row r="62" spans="1:22" x14ac:dyDescent="0.3">
      <c r="A62" t="s">
        <v>568</v>
      </c>
      <c r="B62" t="s">
        <v>562</v>
      </c>
      <c r="C62" t="s">
        <v>915</v>
      </c>
      <c r="D62" s="1">
        <f>(0.52+0.45)/2</f>
        <v>0.48499999999999999</v>
      </c>
      <c r="E62" t="s">
        <v>78</v>
      </c>
      <c r="F62" s="49">
        <v>2.5228788778693102E-2</v>
      </c>
      <c r="G62" s="49">
        <v>6.9296781313123695E-2</v>
      </c>
      <c r="H62" s="49">
        <v>3.1460733380892197E-2</v>
      </c>
      <c r="I62" s="49">
        <v>1.83691006533242E-2</v>
      </c>
      <c r="J62" s="49">
        <v>3.3805610009894002E-2</v>
      </c>
      <c r="K62" t="s">
        <v>553</v>
      </c>
      <c r="L62" s="49">
        <v>6.5956219568439898E-3</v>
      </c>
      <c r="M62" s="49">
        <v>1.8493479127063901E-2</v>
      </c>
      <c r="N62" s="49">
        <v>8.8714824597806007E-3</v>
      </c>
      <c r="O62" s="49">
        <v>6.7781492953119197E-3</v>
      </c>
      <c r="P62" s="49">
        <v>1.01366601832764E-2</v>
      </c>
      <c r="Q62" t="s">
        <v>576</v>
      </c>
      <c r="R62" s="173">
        <f t="shared" ref="R62:V67" si="6">L62/F62</f>
        <v>0.26143236659915686</v>
      </c>
      <c r="S62" s="173">
        <f t="shared" si="6"/>
        <v>0.2668735657937627</v>
      </c>
      <c r="T62" s="173">
        <f t="shared" si="6"/>
        <v>0.28198587592903129</v>
      </c>
      <c r="U62" s="173">
        <f t="shared" si="6"/>
        <v>0.36899734087337033</v>
      </c>
      <c r="V62" s="173">
        <f t="shared" si="6"/>
        <v>0.29985142052782571</v>
      </c>
    </row>
    <row r="63" spans="1:22" x14ac:dyDescent="0.3">
      <c r="A63" t="s">
        <v>569</v>
      </c>
      <c r="B63" t="s">
        <v>563</v>
      </c>
      <c r="C63" t="s">
        <v>916</v>
      </c>
      <c r="D63" s="1">
        <f>(0.52+0.6)/2</f>
        <v>0.56000000000000005</v>
      </c>
      <c r="E63" t="s">
        <v>78</v>
      </c>
      <c r="F63" s="49">
        <v>3.9154932613538397E-2</v>
      </c>
      <c r="G63" s="49">
        <v>9.4126316065727703E-2</v>
      </c>
      <c r="H63" s="49">
        <v>5.5904357359692201E-2</v>
      </c>
      <c r="I63" s="49">
        <v>2.7611974697896901E-2</v>
      </c>
      <c r="J63" s="49">
        <v>4.6752791032320599E-2</v>
      </c>
      <c r="K63" t="s">
        <v>553</v>
      </c>
      <c r="L63" s="49">
        <v>1.55774482068339E-2</v>
      </c>
      <c r="M63" s="49">
        <v>2.0378498756715598E-2</v>
      </c>
      <c r="N63" s="49">
        <v>1.2783716951189201E-2</v>
      </c>
      <c r="O63" s="49">
        <v>8.0545523346138691E-3</v>
      </c>
      <c r="P63" s="49">
        <v>1.1854741645324501E-2</v>
      </c>
      <c r="Q63" t="s">
        <v>576</v>
      </c>
      <c r="R63" s="173">
        <f t="shared" si="6"/>
        <v>0.39784127227555915</v>
      </c>
      <c r="S63" s="173">
        <f t="shared" si="6"/>
        <v>0.21650160771707505</v>
      </c>
      <c r="T63" s="173">
        <f t="shared" si="6"/>
        <v>0.2286712083807341</v>
      </c>
      <c r="U63" s="173">
        <f t="shared" si="6"/>
        <v>0.29170504546447212</v>
      </c>
      <c r="V63" s="173">
        <f t="shared" si="6"/>
        <v>0.25356222342168233</v>
      </c>
    </row>
    <row r="64" spans="1:22" x14ac:dyDescent="0.3">
      <c r="A64" t="s">
        <v>570</v>
      </c>
      <c r="B64" t="s">
        <v>564</v>
      </c>
      <c r="C64" t="s">
        <v>917</v>
      </c>
      <c r="D64" s="1">
        <f>(0.63+0.69)/2</f>
        <v>0.65999999999999992</v>
      </c>
      <c r="E64" t="s">
        <v>78</v>
      </c>
      <c r="F64" s="49">
        <v>2.5637795809277799E-2</v>
      </c>
      <c r="G64" s="49">
        <v>0.116068328310797</v>
      </c>
      <c r="H64" s="49">
        <v>5.0183912885352899E-2</v>
      </c>
      <c r="I64" s="49">
        <v>2.5597100625127801E-2</v>
      </c>
      <c r="J64" s="49">
        <v>5.62145576464156E-2</v>
      </c>
      <c r="K64" t="s">
        <v>553</v>
      </c>
      <c r="L64" s="49">
        <v>9.6976793353433406E-3</v>
      </c>
      <c r="M64" s="49">
        <v>2.7516108613866601E-2</v>
      </c>
      <c r="N64" s="49">
        <v>1.83605130424516E-2</v>
      </c>
      <c r="O64" s="49">
        <v>8.7847599800499592E-3</v>
      </c>
      <c r="P64" s="49">
        <v>1.55108740172725E-2</v>
      </c>
      <c r="Q64" t="s">
        <v>576</v>
      </c>
      <c r="R64" s="173">
        <f t="shared" si="6"/>
        <v>0.37825714064833715</v>
      </c>
      <c r="S64" s="173">
        <f t="shared" si="6"/>
        <v>0.2370681909037797</v>
      </c>
      <c r="T64" s="173">
        <f t="shared" si="6"/>
        <v>0.36586451687011545</v>
      </c>
      <c r="U64" s="173">
        <f t="shared" si="6"/>
        <v>0.34319355573522492</v>
      </c>
      <c r="V64" s="173">
        <f t="shared" si="6"/>
        <v>0.27592272654415378</v>
      </c>
    </row>
    <row r="65" spans="1:22" x14ac:dyDescent="0.3">
      <c r="A65" t="s">
        <v>571</v>
      </c>
      <c r="B65" t="s">
        <v>565</v>
      </c>
      <c r="C65" t="s">
        <v>918</v>
      </c>
      <c r="D65" s="1">
        <f>(0.77+0.9)/2</f>
        <v>0.83499999999999996</v>
      </c>
      <c r="E65" t="s">
        <v>78</v>
      </c>
      <c r="F65" s="49">
        <v>2.6288663082943899E-2</v>
      </c>
      <c r="G65" s="49">
        <v>0.21517797232923</v>
      </c>
      <c r="H65" s="49">
        <v>0.35121302282142303</v>
      </c>
      <c r="I65" s="49">
        <v>0.16823768451969301</v>
      </c>
      <c r="J65" s="49">
        <v>0.168679052121194</v>
      </c>
      <c r="K65" t="s">
        <v>553</v>
      </c>
      <c r="L65" s="49">
        <v>2.5517566660644302E-2</v>
      </c>
      <c r="M65" s="49">
        <v>3.9304919823407898E-2</v>
      </c>
      <c r="N65" s="49">
        <v>7.1590895844596006E-2</v>
      </c>
      <c r="O65" s="49">
        <v>3.8686154416954603E-2</v>
      </c>
      <c r="P65" s="49">
        <v>2.77499254875265E-2</v>
      </c>
      <c r="Q65" t="s">
        <v>576</v>
      </c>
      <c r="R65" s="173">
        <f t="shared" si="6"/>
        <v>0.97066810054711816</v>
      </c>
      <c r="S65" s="173">
        <f t="shared" si="6"/>
        <v>0.18266237662686943</v>
      </c>
      <c r="T65" s="173">
        <f t="shared" si="6"/>
        <v>0.20383895582652398</v>
      </c>
      <c r="U65" s="173">
        <f t="shared" si="6"/>
        <v>0.22994939883653837</v>
      </c>
      <c r="V65" s="173">
        <f t="shared" si="6"/>
        <v>0.16451316946925035</v>
      </c>
    </row>
    <row r="66" spans="1:22" x14ac:dyDescent="0.3">
      <c r="A66" t="s">
        <v>572</v>
      </c>
      <c r="B66" t="s">
        <v>566</v>
      </c>
      <c r="C66" t="s">
        <v>919</v>
      </c>
      <c r="D66" s="1">
        <f>(1.55+1.75)/2</f>
        <v>1.65</v>
      </c>
      <c r="E66" t="s">
        <v>78</v>
      </c>
      <c r="F66" s="49">
        <v>1.3767680206374399E-2</v>
      </c>
      <c r="G66" s="49">
        <v>0.243746339415505</v>
      </c>
      <c r="H66" s="49">
        <v>0.195953827077954</v>
      </c>
      <c r="I66" s="49">
        <v>9.5451198424798406E-2</v>
      </c>
      <c r="J66" s="49">
        <v>0.168132693794319</v>
      </c>
      <c r="K66" t="s">
        <v>553</v>
      </c>
      <c r="L66" s="49">
        <v>2.0994069681529798E-2</v>
      </c>
      <c r="M66" s="49">
        <v>4.5737469156736002E-2</v>
      </c>
      <c r="N66" s="49">
        <v>3.8634324826168298E-2</v>
      </c>
      <c r="O66" s="49">
        <v>2.6627314925549501E-2</v>
      </c>
      <c r="P66" s="49">
        <v>3.34408963241924E-2</v>
      </c>
      <c r="Q66" t="s">
        <v>576</v>
      </c>
      <c r="R66" s="173">
        <f t="shared" si="6"/>
        <v>1.5248806891817257</v>
      </c>
      <c r="S66" s="173">
        <f t="shared" si="6"/>
        <v>0.18764371709709698</v>
      </c>
      <c r="T66" s="173">
        <f t="shared" si="6"/>
        <v>0.19716034844677394</v>
      </c>
      <c r="U66" s="173">
        <f t="shared" si="6"/>
        <v>0.27896260460813316</v>
      </c>
      <c r="V66" s="173">
        <f t="shared" si="6"/>
        <v>0.19889585760816691</v>
      </c>
    </row>
    <row r="67" spans="1:22" x14ac:dyDescent="0.3">
      <c r="A67" t="s">
        <v>573</v>
      </c>
      <c r="B67" t="s">
        <v>567</v>
      </c>
      <c r="C67" t="s">
        <v>920</v>
      </c>
      <c r="D67" s="1">
        <f>(2.08+2.35)/2</f>
        <v>2.2149999999999999</v>
      </c>
      <c r="E67" t="s">
        <v>78</v>
      </c>
      <c r="F67" s="49">
        <v>1.2448832619832101E-2</v>
      </c>
      <c r="G67" s="49">
        <v>0.201170652354249</v>
      </c>
      <c r="H67" s="49">
        <v>0.102208635965748</v>
      </c>
      <c r="I67" s="49">
        <v>4.9448555463983301E-2</v>
      </c>
      <c r="J67" s="49">
        <v>0.107860537125073</v>
      </c>
      <c r="K67" t="s">
        <v>553</v>
      </c>
      <c r="L67" s="49">
        <v>1.4296688341306599E-2</v>
      </c>
      <c r="M67" s="49">
        <v>4.1325754207569801E-2</v>
      </c>
      <c r="N67" s="49">
        <v>3.4386221969619199E-2</v>
      </c>
      <c r="O67" s="49">
        <v>1.7049494126683499E-2</v>
      </c>
      <c r="P67" s="49">
        <v>2.71621797665864E-2</v>
      </c>
      <c r="Q67" t="s">
        <v>576</v>
      </c>
      <c r="R67" s="173">
        <f t="shared" si="6"/>
        <v>1.1484360644813152</v>
      </c>
      <c r="S67" s="173">
        <f t="shared" si="6"/>
        <v>0.20542635679680413</v>
      </c>
      <c r="T67" s="173">
        <f t="shared" si="6"/>
        <v>0.33643166885763603</v>
      </c>
      <c r="U67" s="173">
        <f t="shared" si="6"/>
        <v>0.34479256202138786</v>
      </c>
      <c r="V67" s="173">
        <f t="shared" si="6"/>
        <v>0.25182685429324037</v>
      </c>
    </row>
    <row r="68" spans="1:22" x14ac:dyDescent="0.3">
      <c r="K68" s="49"/>
      <c r="R68" s="103">
        <f>MEDIAN(R62:R67)*100</f>
        <v>68.425468641133861</v>
      </c>
      <c r="S68" s="103">
        <f>MEDIAN(S62:S67)*100</f>
        <v>21.096398225693957</v>
      </c>
      <c r="T68" s="103">
        <f>MEDIAN(T62:T67)*100</f>
        <v>25.532854215488271</v>
      </c>
      <c r="U68" s="103">
        <f>MEDIAN(U62:U67)*100</f>
        <v>31.744930059984856</v>
      </c>
      <c r="V68" s="103">
        <f>MEDIAN(V62:V67)*100</f>
        <v>25.269453885746135</v>
      </c>
    </row>
    <row r="69" spans="1:22" x14ac:dyDescent="0.3">
      <c r="R69" s="182">
        <f>_xlfn.STDEV.S(R62:R67)*100/SQRT(6)</f>
        <v>20.84307498956532</v>
      </c>
      <c r="S69" s="182">
        <f>_xlfn.STDEV.S(S62:S67)*100/SQRT(6)</f>
        <v>1.2986547739672247</v>
      </c>
      <c r="T69" s="182">
        <f>_xlfn.STDEV.S(T62:T67)*100/SQRT(6)</f>
        <v>2.8943453974213136</v>
      </c>
      <c r="U69" s="182">
        <f>_xlfn.STDEV.S(U62:U67)*100/SQRT(6)</f>
        <v>2.1211777523564672</v>
      </c>
      <c r="V69" s="182">
        <f>_xlfn.STDEV.S(V62:V67)*100/SQRT(6)</f>
        <v>2.0478257629066197</v>
      </c>
    </row>
    <row r="70" spans="1:22" x14ac:dyDescent="0.3">
      <c r="F70" t="s">
        <v>503</v>
      </c>
      <c r="G70" t="s">
        <v>504</v>
      </c>
      <c r="H70" t="s">
        <v>505</v>
      </c>
      <c r="I70" t="s">
        <v>506</v>
      </c>
      <c r="J70" t="s">
        <v>507</v>
      </c>
      <c r="L70" t="s">
        <v>503</v>
      </c>
      <c r="M70" t="s">
        <v>504</v>
      </c>
      <c r="N70" t="s">
        <v>505</v>
      </c>
      <c r="O70" t="s">
        <v>506</v>
      </c>
      <c r="P70" t="s">
        <v>507</v>
      </c>
      <c r="R70" t="s">
        <v>503</v>
      </c>
      <c r="S70" t="s">
        <v>504</v>
      </c>
      <c r="T70" t="s">
        <v>505</v>
      </c>
      <c r="U70" t="s">
        <v>506</v>
      </c>
      <c r="V70" t="s">
        <v>507</v>
      </c>
    </row>
    <row r="71" spans="1:22" x14ac:dyDescent="0.3">
      <c r="A71" s="1" t="s">
        <v>574</v>
      </c>
      <c r="B71" s="1" t="s">
        <v>575</v>
      </c>
      <c r="C71" s="1" t="s">
        <v>907</v>
      </c>
      <c r="D71" s="1" t="s">
        <v>902</v>
      </c>
      <c r="F71" s="90" t="s">
        <v>524</v>
      </c>
      <c r="G71" s="91" t="s">
        <v>523</v>
      </c>
      <c r="H71" s="92" t="s">
        <v>525</v>
      </c>
      <c r="I71" s="124" t="s">
        <v>526</v>
      </c>
      <c r="J71" s="123" t="s">
        <v>527</v>
      </c>
      <c r="L71" s="90" t="s">
        <v>524</v>
      </c>
      <c r="M71" s="91" t="s">
        <v>523</v>
      </c>
      <c r="N71" s="92" t="s">
        <v>525</v>
      </c>
      <c r="O71" s="124" t="s">
        <v>526</v>
      </c>
      <c r="P71" s="123" t="s">
        <v>527</v>
      </c>
      <c r="R71" s="90" t="s">
        <v>524</v>
      </c>
      <c r="S71" s="91" t="s">
        <v>523</v>
      </c>
      <c r="T71" s="92" t="s">
        <v>525</v>
      </c>
      <c r="U71" s="124" t="s">
        <v>526</v>
      </c>
      <c r="V71" s="123" t="s">
        <v>527</v>
      </c>
    </row>
    <row r="72" spans="1:22" x14ac:dyDescent="0.3">
      <c r="A72" t="s">
        <v>568</v>
      </c>
      <c r="B72" t="s">
        <v>562</v>
      </c>
      <c r="C72" t="s">
        <v>921</v>
      </c>
      <c r="D72" s="1">
        <v>0.48199999999999998</v>
      </c>
      <c r="E72" t="s">
        <v>78</v>
      </c>
      <c r="F72" s="49">
        <v>9.1246547119987003E-4</v>
      </c>
      <c r="G72" s="49">
        <v>5.8188254183620197E-2</v>
      </c>
      <c r="H72" s="49">
        <v>1.76483250079396E-2</v>
      </c>
      <c r="I72" s="174">
        <v>1E-3</v>
      </c>
      <c r="J72" s="49">
        <v>8.8362209763579395E-3</v>
      </c>
      <c r="K72" t="s">
        <v>553</v>
      </c>
      <c r="L72" s="49">
        <v>8.2617174448862702E-3</v>
      </c>
      <c r="M72" s="49">
        <v>2.58564081744081E-2</v>
      </c>
      <c r="N72" s="49">
        <v>1.40078151367836E-2</v>
      </c>
      <c r="O72" s="49">
        <v>6.2440939930878698E-3</v>
      </c>
      <c r="P72" s="49">
        <v>8.5982241086491502E-3</v>
      </c>
      <c r="Q72" t="s">
        <v>576</v>
      </c>
      <c r="R72" s="173">
        <f t="shared" ref="R72:V77" si="7">L72/F72</f>
        <v>9.0542795378572638</v>
      </c>
      <c r="S72" s="173">
        <f t="shared" si="7"/>
        <v>0.44435786117272091</v>
      </c>
      <c r="T72" s="173">
        <f t="shared" si="7"/>
        <v>0.79371924137173278</v>
      </c>
      <c r="U72" s="173">
        <f t="shared" si="7"/>
        <v>6.2440939930878701</v>
      </c>
      <c r="V72" s="173">
        <f t="shared" si="7"/>
        <v>0.97306576325495142</v>
      </c>
    </row>
    <row r="73" spans="1:22" x14ac:dyDescent="0.3">
      <c r="A73" t="s">
        <v>569</v>
      </c>
      <c r="B73" t="s">
        <v>563</v>
      </c>
      <c r="C73" t="s">
        <v>922</v>
      </c>
      <c r="D73" s="1">
        <v>0.56100000000000005</v>
      </c>
      <c r="E73" t="s">
        <v>78</v>
      </c>
      <c r="F73" s="49">
        <v>1.97171678151595E-2</v>
      </c>
      <c r="G73" s="49">
        <v>9.8419386432550202E-2</v>
      </c>
      <c r="H73" s="49">
        <v>5.9566578225257502E-2</v>
      </c>
      <c r="I73" s="49">
        <v>1.9571186023296501E-2</v>
      </c>
      <c r="J73" s="49">
        <v>3.6494072337450202E-2</v>
      </c>
      <c r="K73" t="s">
        <v>553</v>
      </c>
      <c r="L73" s="49">
        <v>1.2044440412532199E-2</v>
      </c>
      <c r="M73" s="49">
        <v>3.0308540059582501E-2</v>
      </c>
      <c r="N73" s="49">
        <v>1.83295785984086E-2</v>
      </c>
      <c r="O73" s="49">
        <v>8.96578067742578E-3</v>
      </c>
      <c r="P73" s="49">
        <v>1.12885523268516E-2</v>
      </c>
      <c r="Q73" t="s">
        <v>576</v>
      </c>
      <c r="R73" s="173">
        <f t="shared" si="7"/>
        <v>0.61086057213916178</v>
      </c>
      <c r="S73" s="173">
        <f t="shared" si="7"/>
        <v>0.30795294665196743</v>
      </c>
      <c r="T73" s="173">
        <f t="shared" si="7"/>
        <v>0.30771582227022176</v>
      </c>
      <c r="U73" s="173">
        <f t="shared" si="7"/>
        <v>0.4581112594174615</v>
      </c>
      <c r="V73" s="173">
        <f t="shared" si="7"/>
        <v>0.3093256412293372</v>
      </c>
    </row>
    <row r="74" spans="1:22" x14ac:dyDescent="0.3">
      <c r="A74" t="s">
        <v>570</v>
      </c>
      <c r="B74" t="s">
        <v>564</v>
      </c>
      <c r="C74" t="s">
        <v>923</v>
      </c>
      <c r="D74" s="1">
        <v>0.65500000000000003</v>
      </c>
      <c r="E74" t="s">
        <v>78</v>
      </c>
      <c r="F74" s="49">
        <v>1.6316008071039501E-2</v>
      </c>
      <c r="G74" s="49">
        <v>0.119853581060736</v>
      </c>
      <c r="H74" s="49">
        <v>5.3120423810773101E-2</v>
      </c>
      <c r="I74" s="49">
        <v>1.74367478121456E-2</v>
      </c>
      <c r="J74" s="49">
        <v>4.6602598293124797E-2</v>
      </c>
      <c r="K74" t="s">
        <v>553</v>
      </c>
      <c r="L74" s="49">
        <v>1.24289309174046E-2</v>
      </c>
      <c r="M74" s="49">
        <v>3.8936378858701999E-2</v>
      </c>
      <c r="N74" s="49">
        <v>2.53644210298276E-2</v>
      </c>
      <c r="O74" s="49">
        <v>9.0893454903587106E-3</v>
      </c>
      <c r="P74" s="49">
        <v>1.5327874646428E-2</v>
      </c>
      <c r="Q74" t="s">
        <v>576</v>
      </c>
      <c r="R74" s="173">
        <f t="shared" si="7"/>
        <v>0.76176297923421821</v>
      </c>
      <c r="S74" s="173">
        <f t="shared" si="7"/>
        <v>0.32486621187372722</v>
      </c>
      <c r="T74" s="173">
        <f t="shared" si="7"/>
        <v>0.47748905619016468</v>
      </c>
      <c r="U74" s="173">
        <f t="shared" si="7"/>
        <v>0.52127527382299521</v>
      </c>
      <c r="V74" s="173">
        <f t="shared" si="7"/>
        <v>0.32890600970395456</v>
      </c>
    </row>
    <row r="75" spans="1:22" x14ac:dyDescent="0.3">
      <c r="A75" t="s">
        <v>571</v>
      </c>
      <c r="B75" t="s">
        <v>565</v>
      </c>
      <c r="C75" t="s">
        <v>924</v>
      </c>
      <c r="D75" s="1">
        <v>0.86399999999999999</v>
      </c>
      <c r="E75" t="s">
        <v>78</v>
      </c>
      <c r="F75" s="49">
        <v>8.3131378916407594E-3</v>
      </c>
      <c r="G75" s="49">
        <v>0.21372242252680501</v>
      </c>
      <c r="H75" s="49">
        <v>0.37555327474375</v>
      </c>
      <c r="I75" s="49">
        <v>0.16508289381031499</v>
      </c>
      <c r="J75" s="49">
        <v>0.16708332059042</v>
      </c>
      <c r="K75" t="s">
        <v>553</v>
      </c>
      <c r="L75" s="49">
        <v>6.0161924682538099E-3</v>
      </c>
      <c r="M75" s="49">
        <v>4.4284419104564703E-2</v>
      </c>
      <c r="N75" s="49">
        <v>8.5055850073360098E-2</v>
      </c>
      <c r="O75" s="49">
        <v>4.14666594463554E-2</v>
      </c>
      <c r="P75" s="49">
        <v>2.9829181629223E-2</v>
      </c>
      <c r="Q75" t="s">
        <v>576</v>
      </c>
      <c r="R75" s="173">
        <f t="shared" si="7"/>
        <v>0.72369694171720245</v>
      </c>
      <c r="S75" s="173">
        <f t="shared" si="7"/>
        <v>0.20720530200339912</v>
      </c>
      <c r="T75" s="173">
        <f t="shared" si="7"/>
        <v>0.22648144961962047</v>
      </c>
      <c r="U75" s="173">
        <f t="shared" si="7"/>
        <v>0.25118689459128207</v>
      </c>
      <c r="V75" s="173">
        <f t="shared" si="7"/>
        <v>0.17852878147151993</v>
      </c>
    </row>
    <row r="76" spans="1:22" x14ac:dyDescent="0.3">
      <c r="A76" t="s">
        <v>572</v>
      </c>
      <c r="B76" t="s">
        <v>566</v>
      </c>
      <c r="C76" t="s">
        <v>925</v>
      </c>
      <c r="D76" s="1">
        <v>1.6140000000000001</v>
      </c>
      <c r="E76" t="s">
        <v>78</v>
      </c>
      <c r="F76" s="49">
        <v>6.9358239124065997E-3</v>
      </c>
      <c r="G76" s="49">
        <v>0.254352563651985</v>
      </c>
      <c r="H76" s="49">
        <v>0.213904998035224</v>
      </c>
      <c r="I76" s="49">
        <v>8.8097497954816098E-2</v>
      </c>
      <c r="J76" s="49">
        <v>0.151865783829506</v>
      </c>
      <c r="K76" t="s">
        <v>553</v>
      </c>
      <c r="L76" s="49">
        <v>5.4011312226331099E-3</v>
      </c>
      <c r="M76" s="49">
        <v>4.8773402733746897E-2</v>
      </c>
      <c r="N76" s="49">
        <v>4.42200711426756E-2</v>
      </c>
      <c r="O76" s="49">
        <v>2.6607373212279201E-2</v>
      </c>
      <c r="P76" s="49">
        <v>2.9915744988472499E-2</v>
      </c>
      <c r="Q76" t="s">
        <v>576</v>
      </c>
      <c r="R76" s="173">
        <f t="shared" si="7"/>
        <v>0.77872957716987645</v>
      </c>
      <c r="S76" s="173">
        <f t="shared" si="7"/>
        <v>0.19175510572199519</v>
      </c>
      <c r="T76" s="173">
        <f t="shared" si="7"/>
        <v>0.20672761996610209</v>
      </c>
      <c r="U76" s="173">
        <f t="shared" si="7"/>
        <v>0.30202189426453097</v>
      </c>
      <c r="V76" s="173">
        <f t="shared" si="7"/>
        <v>0.19698805243752457</v>
      </c>
    </row>
    <row r="77" spans="1:22" x14ac:dyDescent="0.3">
      <c r="A77" t="s">
        <v>573</v>
      </c>
      <c r="B77" t="s">
        <v>567</v>
      </c>
      <c r="C77" t="s">
        <v>926</v>
      </c>
      <c r="D77" s="1">
        <v>2.202</v>
      </c>
      <c r="E77" t="s">
        <v>78</v>
      </c>
      <c r="F77" s="49">
        <v>6.0932258421653902E-3</v>
      </c>
      <c r="G77" s="49">
        <v>0.20837792136751401</v>
      </c>
      <c r="H77" s="49">
        <v>0.115473158358236</v>
      </c>
      <c r="I77" s="49">
        <v>4.5184820775795699E-2</v>
      </c>
      <c r="J77" s="49">
        <v>9.4999698512317501E-2</v>
      </c>
      <c r="K77" t="s">
        <v>553</v>
      </c>
      <c r="L77" s="49">
        <v>5.0109401085287504E-3</v>
      </c>
      <c r="M77" s="49">
        <v>4.5406613990168397E-2</v>
      </c>
      <c r="N77" s="49">
        <v>3.82480403681313E-2</v>
      </c>
      <c r="O77" s="49">
        <v>1.6463382391720901E-2</v>
      </c>
      <c r="P77" s="49">
        <v>2.2123034776964399E-2</v>
      </c>
      <c r="Q77" t="s">
        <v>576</v>
      </c>
      <c r="R77" s="173">
        <f t="shared" si="7"/>
        <v>0.82237885782155407</v>
      </c>
      <c r="S77" s="173">
        <f t="shared" si="7"/>
        <v>0.21790511054232667</v>
      </c>
      <c r="T77" s="173">
        <f t="shared" si="7"/>
        <v>0.33122884064081115</v>
      </c>
      <c r="U77" s="173">
        <f t="shared" si="7"/>
        <v>0.36435648319623071</v>
      </c>
      <c r="V77" s="173">
        <f t="shared" si="7"/>
        <v>0.23287478932468364</v>
      </c>
    </row>
    <row r="78" spans="1:22" x14ac:dyDescent="0.3">
      <c r="R78" s="103">
        <f>MEDIAN(R72:R77)*100</f>
        <v>77.024627820204742</v>
      </c>
      <c r="S78" s="103">
        <f>MEDIAN(S72:S77)*100</f>
        <v>26.292902859714708</v>
      </c>
      <c r="T78" s="103">
        <f>MEDIAN(T72:T77)*100</f>
        <v>31.947233145551646</v>
      </c>
      <c r="U78" s="103">
        <f>MEDIAN(U72:U77)*100</f>
        <v>41.123387130684605</v>
      </c>
      <c r="V78" s="103">
        <f>MEDIAN(V72:V77)*100</f>
        <v>27.110021527701043</v>
      </c>
    </row>
    <row r="79" spans="1:22" x14ac:dyDescent="0.3">
      <c r="R79" s="182">
        <f>_xlfn.STDEV.S(R73:R77)*100/SQRT(6)</f>
        <v>3.2724444917832254</v>
      </c>
      <c r="S79" s="182">
        <f>_xlfn.STDEV.S(S72:S77)*100/SQRT(6)</f>
        <v>3.9461791632014309</v>
      </c>
      <c r="T79" s="182">
        <f>_xlfn.STDEV.S(T72:T77)*100/SQRT(6)</f>
        <v>8.966483770340524</v>
      </c>
      <c r="U79" s="182">
        <f>_xlfn.STDEV.S(U73:U77)*100/SQRT(5)</f>
        <v>4.9485520235958189</v>
      </c>
      <c r="V79" s="182">
        <f>_xlfn.STDEV.S(V72:V77)*100/SQRT(6)</f>
        <v>12.307938867137262</v>
      </c>
    </row>
    <row r="80" spans="1:22" x14ac:dyDescent="0.3">
      <c r="F80" t="s">
        <v>508</v>
      </c>
      <c r="G80" t="s">
        <v>509</v>
      </c>
      <c r="H80" t="s">
        <v>510</v>
      </c>
      <c r="I80" t="s">
        <v>511</v>
      </c>
      <c r="J80" t="s">
        <v>512</v>
      </c>
      <c r="L80" t="s">
        <v>508</v>
      </c>
      <c r="M80" t="s">
        <v>509</v>
      </c>
      <c r="N80" t="s">
        <v>510</v>
      </c>
      <c r="O80" t="s">
        <v>511</v>
      </c>
      <c r="P80" t="s">
        <v>512</v>
      </c>
      <c r="R80" t="s">
        <v>508</v>
      </c>
      <c r="S80" t="s">
        <v>509</v>
      </c>
      <c r="T80" t="s">
        <v>510</v>
      </c>
      <c r="U80" t="s">
        <v>511</v>
      </c>
      <c r="V80" t="s">
        <v>512</v>
      </c>
    </row>
    <row r="81" spans="1:22" x14ac:dyDescent="0.3">
      <c r="A81" s="1" t="s">
        <v>574</v>
      </c>
      <c r="B81" s="1" t="s">
        <v>575</v>
      </c>
      <c r="C81" s="1" t="s">
        <v>907</v>
      </c>
      <c r="D81" s="1" t="s">
        <v>902</v>
      </c>
      <c r="F81" s="90" t="s">
        <v>524</v>
      </c>
      <c r="G81" s="91" t="s">
        <v>523</v>
      </c>
      <c r="H81" s="92" t="s">
        <v>525</v>
      </c>
      <c r="I81" s="124" t="s">
        <v>526</v>
      </c>
      <c r="J81" s="123" t="s">
        <v>527</v>
      </c>
      <c r="L81" s="90" t="s">
        <v>524</v>
      </c>
      <c r="M81" s="91" t="s">
        <v>523</v>
      </c>
      <c r="N81" s="92" t="s">
        <v>525</v>
      </c>
      <c r="O81" s="124" t="s">
        <v>526</v>
      </c>
      <c r="P81" s="123" t="s">
        <v>527</v>
      </c>
      <c r="R81" s="90" t="s">
        <v>524</v>
      </c>
      <c r="S81" s="91" t="s">
        <v>523</v>
      </c>
      <c r="T81" s="92" t="s">
        <v>525</v>
      </c>
      <c r="U81" s="124" t="s">
        <v>526</v>
      </c>
      <c r="V81" s="123" t="s">
        <v>527</v>
      </c>
    </row>
    <row r="82" spans="1:22" x14ac:dyDescent="0.3">
      <c r="A82" t="s">
        <v>568</v>
      </c>
      <c r="B82" t="s">
        <v>562</v>
      </c>
      <c r="C82" t="s">
        <v>921</v>
      </c>
      <c r="D82" s="1">
        <v>0.48199999999999998</v>
      </c>
      <c r="E82" t="s">
        <v>78</v>
      </c>
      <c r="F82" s="49">
        <v>8.3887371805206508E-3</v>
      </c>
      <c r="G82" s="49">
        <v>5.9032019074341698E-2</v>
      </c>
      <c r="H82" s="49">
        <v>2.0389705430890401E-2</v>
      </c>
      <c r="I82" s="174">
        <v>1E-3</v>
      </c>
      <c r="J82" s="49">
        <v>1.16093281830809E-2</v>
      </c>
      <c r="K82" t="s">
        <v>553</v>
      </c>
      <c r="L82" s="49">
        <v>1.3461250736362699E-2</v>
      </c>
      <c r="M82" s="49">
        <v>2.4553131804068699E-2</v>
      </c>
      <c r="N82" s="49">
        <v>1.2793492345907599E-2</v>
      </c>
      <c r="O82" s="49">
        <v>5.5791639586169504E-3</v>
      </c>
      <c r="P82" s="49">
        <v>8.79201813159638E-3</v>
      </c>
      <c r="Q82" t="s">
        <v>576</v>
      </c>
      <c r="R82" s="173">
        <f t="shared" ref="R82:V87" si="8">L82/F82</f>
        <v>1.6046814254260879</v>
      </c>
      <c r="S82" s="173">
        <f t="shared" si="8"/>
        <v>0.41592905323376839</v>
      </c>
      <c r="T82" s="173">
        <f t="shared" si="8"/>
        <v>0.62744861073497704</v>
      </c>
      <c r="U82" s="173">
        <f t="shared" si="8"/>
        <v>5.5791639586169506</v>
      </c>
      <c r="V82" s="173">
        <f t="shared" si="8"/>
        <v>0.75732359297152219</v>
      </c>
    </row>
    <row r="83" spans="1:22" x14ac:dyDescent="0.3">
      <c r="A83" t="s">
        <v>569</v>
      </c>
      <c r="B83" t="s">
        <v>563</v>
      </c>
      <c r="C83" t="s">
        <v>922</v>
      </c>
      <c r="D83" s="1">
        <v>0.56100000000000005</v>
      </c>
      <c r="E83" t="s">
        <v>78</v>
      </c>
      <c r="F83" s="49">
        <v>3.1810809159616697E-2</v>
      </c>
      <c r="G83" s="49">
        <v>9.7925714876815895E-2</v>
      </c>
      <c r="H83" s="49">
        <v>6.0066939222169297E-2</v>
      </c>
      <c r="I83" s="49">
        <v>2.0229382214294201E-2</v>
      </c>
      <c r="J83" s="49">
        <v>3.7758114766034599E-2</v>
      </c>
      <c r="K83" t="s">
        <v>553</v>
      </c>
      <c r="L83" s="49">
        <v>1.77267178332139E-2</v>
      </c>
      <c r="M83" s="49">
        <v>2.97584833081012E-2</v>
      </c>
      <c r="N83" s="49">
        <v>1.7651832520000101E-2</v>
      </c>
      <c r="O83" s="49">
        <v>7.9674776574900404E-3</v>
      </c>
      <c r="P83" s="49">
        <v>1.1296036282527599E-2</v>
      </c>
      <c r="Q83" t="s">
        <v>576</v>
      </c>
      <c r="R83" s="173">
        <f t="shared" si="8"/>
        <v>0.55725454024972365</v>
      </c>
      <c r="S83" s="173">
        <f t="shared" si="8"/>
        <v>0.30388834378728213</v>
      </c>
      <c r="T83" s="173">
        <f t="shared" si="8"/>
        <v>0.29386935223570082</v>
      </c>
      <c r="U83" s="173">
        <f t="shared" si="8"/>
        <v>0.39385669681302349</v>
      </c>
      <c r="V83" s="173">
        <f t="shared" si="8"/>
        <v>0.29916843975189605</v>
      </c>
    </row>
    <row r="84" spans="1:22" x14ac:dyDescent="0.3">
      <c r="A84" t="s">
        <v>570</v>
      </c>
      <c r="B84" t="s">
        <v>564</v>
      </c>
      <c r="C84" t="s">
        <v>923</v>
      </c>
      <c r="D84" s="1">
        <v>0.65500000000000003</v>
      </c>
      <c r="E84" t="s">
        <v>78</v>
      </c>
      <c r="F84" s="49">
        <v>2.8063806662763102E-2</v>
      </c>
      <c r="G84" s="49">
        <v>0.122023061185729</v>
      </c>
      <c r="H84" s="49">
        <v>5.8611885568202099E-2</v>
      </c>
      <c r="I84" s="49">
        <v>1.85968074890971E-2</v>
      </c>
      <c r="J84" s="49">
        <v>4.7925792564065102E-2</v>
      </c>
      <c r="K84" t="s">
        <v>553</v>
      </c>
      <c r="L84" s="49">
        <v>1.9683807409565501E-2</v>
      </c>
      <c r="M84" s="49">
        <v>3.7075368995200801E-2</v>
      </c>
      <c r="N84" s="49">
        <v>2.6455023391868299E-2</v>
      </c>
      <c r="O84" s="49">
        <v>8.1495377671256097E-3</v>
      </c>
      <c r="P84" s="49">
        <v>1.6317039202546499E-2</v>
      </c>
      <c r="Q84" t="s">
        <v>576</v>
      </c>
      <c r="R84" s="173">
        <f t="shared" si="8"/>
        <v>0.7013947767707247</v>
      </c>
      <c r="S84" s="173">
        <f t="shared" si="8"/>
        <v>0.30383903366240811</v>
      </c>
      <c r="T84" s="173">
        <f t="shared" si="8"/>
        <v>0.45135936398232135</v>
      </c>
      <c r="U84" s="173">
        <f t="shared" si="8"/>
        <v>0.43822240843776572</v>
      </c>
      <c r="V84" s="173">
        <f t="shared" si="8"/>
        <v>0.34046467110031814</v>
      </c>
    </row>
    <row r="85" spans="1:22" x14ac:dyDescent="0.3">
      <c r="A85" t="s">
        <v>571</v>
      </c>
      <c r="B85" t="s">
        <v>565</v>
      </c>
      <c r="C85" t="s">
        <v>924</v>
      </c>
      <c r="D85" s="1">
        <v>0.86399999999999999</v>
      </c>
      <c r="E85" t="s">
        <v>78</v>
      </c>
      <c r="F85" s="49">
        <v>1.1260728378426701E-2</v>
      </c>
      <c r="G85" s="49">
        <v>0.20856178267789</v>
      </c>
      <c r="H85" s="49">
        <v>0.35906310237857603</v>
      </c>
      <c r="I85" s="49">
        <v>0.16542969354848999</v>
      </c>
      <c r="J85" s="49">
        <v>0.161889344716491</v>
      </c>
      <c r="K85" t="s">
        <v>553</v>
      </c>
      <c r="L85" s="49">
        <v>1.0921059665636E-2</v>
      </c>
      <c r="M85" s="49">
        <v>4.0666226962985899E-2</v>
      </c>
      <c r="N85" s="49">
        <v>8.4037989707312105E-2</v>
      </c>
      <c r="O85" s="49">
        <v>3.8798516093304099E-2</v>
      </c>
      <c r="P85" s="49">
        <v>2.6550960124459799E-2</v>
      </c>
      <c r="Q85" t="s">
        <v>576</v>
      </c>
      <c r="R85" s="173">
        <f t="shared" si="8"/>
        <v>0.96983599094340667</v>
      </c>
      <c r="S85" s="173">
        <f t="shared" si="8"/>
        <v>0.19498407829488215</v>
      </c>
      <c r="T85" s="173">
        <f t="shared" si="8"/>
        <v>0.23404796858995319</v>
      </c>
      <c r="U85" s="173">
        <f t="shared" si="8"/>
        <v>0.23453175340575516</v>
      </c>
      <c r="V85" s="173">
        <f t="shared" si="8"/>
        <v>0.16400684165444745</v>
      </c>
    </row>
    <row r="86" spans="1:22" x14ac:dyDescent="0.3">
      <c r="A86" t="s">
        <v>572</v>
      </c>
      <c r="B86" t="s">
        <v>566</v>
      </c>
      <c r="C86" t="s">
        <v>925</v>
      </c>
      <c r="D86" s="1">
        <v>1.6140000000000001</v>
      </c>
      <c r="E86" t="s">
        <v>78</v>
      </c>
      <c r="F86" s="49">
        <v>8.3344761487064503E-3</v>
      </c>
      <c r="G86" s="49">
        <v>0.25376327282822903</v>
      </c>
      <c r="H86" s="49">
        <v>0.21827342199793301</v>
      </c>
      <c r="I86" s="49">
        <v>8.7901654133793097E-2</v>
      </c>
      <c r="J86" s="49">
        <v>0.14923774591273101</v>
      </c>
      <c r="K86" t="s">
        <v>553</v>
      </c>
      <c r="L86" s="49">
        <v>1.01524554867029E-2</v>
      </c>
      <c r="M86" s="49">
        <v>5.2623580115476798E-2</v>
      </c>
      <c r="N86" s="49">
        <v>4.4648720078187799E-2</v>
      </c>
      <c r="O86" s="49">
        <v>2.5520472675412801E-2</v>
      </c>
      <c r="P86" s="49">
        <v>3.1188487035884501E-2</v>
      </c>
      <c r="Q86" t="s">
        <v>576</v>
      </c>
      <c r="R86" s="173">
        <f t="shared" si="8"/>
        <v>1.2181276070096629</v>
      </c>
      <c r="S86" s="173">
        <f t="shared" si="8"/>
        <v>0.20737271997235554</v>
      </c>
      <c r="T86" s="173">
        <f t="shared" si="8"/>
        <v>0.20455408482399021</v>
      </c>
      <c r="U86" s="173">
        <f t="shared" si="8"/>
        <v>0.29032983425509462</v>
      </c>
      <c r="V86" s="173">
        <f t="shared" si="8"/>
        <v>0.20898524595863591</v>
      </c>
    </row>
    <row r="87" spans="1:22" x14ac:dyDescent="0.3">
      <c r="A87" t="s">
        <v>573</v>
      </c>
      <c r="B87" t="s">
        <v>567</v>
      </c>
      <c r="C87" t="s">
        <v>926</v>
      </c>
      <c r="D87" s="1">
        <v>2.202</v>
      </c>
      <c r="E87" t="s">
        <v>78</v>
      </c>
      <c r="F87" s="49">
        <v>6.7545732158091698E-3</v>
      </c>
      <c r="G87" s="49">
        <v>0.20706095925911899</v>
      </c>
      <c r="H87" s="49">
        <v>0.12148932779424799</v>
      </c>
      <c r="I87" s="49">
        <v>4.4988886307290699E-2</v>
      </c>
      <c r="J87" s="49">
        <v>9.4871046963374298E-2</v>
      </c>
      <c r="K87" t="s">
        <v>553</v>
      </c>
      <c r="L87" s="49">
        <v>8.8497021281547707E-3</v>
      </c>
      <c r="M87" s="49">
        <v>4.3108725122122299E-2</v>
      </c>
      <c r="N87" s="49">
        <v>4.0525722144982103E-2</v>
      </c>
      <c r="O87" s="49">
        <v>1.5172918695873901E-2</v>
      </c>
      <c r="P87" s="49">
        <v>2.5380432877695699E-2</v>
      </c>
      <c r="Q87" t="s">
        <v>576</v>
      </c>
      <c r="R87" s="173">
        <f t="shared" si="8"/>
        <v>1.3101793178349037</v>
      </c>
      <c r="S87" s="173">
        <f t="shared" si="8"/>
        <v>0.20819340003238096</v>
      </c>
      <c r="T87" s="173">
        <f t="shared" si="8"/>
        <v>0.33357433842761641</v>
      </c>
      <c r="U87" s="173">
        <f t="shared" si="8"/>
        <v>0.33725926426000558</v>
      </c>
      <c r="V87" s="173">
        <f t="shared" si="8"/>
        <v>0.26752559068409998</v>
      </c>
    </row>
    <row r="88" spans="1:22" x14ac:dyDescent="0.3">
      <c r="R88" s="103">
        <f>MEDIAN(R82:R87)*100</f>
        <v>109.39817989765348</v>
      </c>
      <c r="S88" s="103">
        <f>MEDIAN(S82:S87)*100</f>
        <v>25.601621684739449</v>
      </c>
      <c r="T88" s="103">
        <f>MEDIAN(T82:T87)*100</f>
        <v>31.372184533165857</v>
      </c>
      <c r="U88" s="103">
        <f>MEDIAN(U82:U87)*100</f>
        <v>36.555798053651458</v>
      </c>
      <c r="V88" s="103">
        <f>MEDIAN(V82:V87)*100</f>
        <v>28.334701521799801</v>
      </c>
    </row>
    <row r="89" spans="1:22" x14ac:dyDescent="0.3">
      <c r="R89" s="182">
        <f>_xlfn.STDEV.S(R83:R87)*100/SQRT(6)</f>
        <v>13.198158764569541</v>
      </c>
      <c r="S89" s="182">
        <f>_xlfn.STDEV.S(S82:S87)*100/SQRT(6)</f>
        <v>3.5083125612780512</v>
      </c>
      <c r="T89" s="182">
        <f>_xlfn.STDEV.S(T82:T87)*100/SQRT(6)</f>
        <v>6.4533191130203091</v>
      </c>
      <c r="U89" s="182">
        <f>_xlfn.STDEV.S(U83:U87)*100/SQRT(5)</f>
        <v>3.615220964806332</v>
      </c>
      <c r="V89" s="182">
        <f>_xlfn.STDEV.S(V82:V87)*100/SQRT(6)</f>
        <v>8.741021067826475</v>
      </c>
    </row>
    <row r="90" spans="1:22" x14ac:dyDescent="0.3">
      <c r="F90" t="s">
        <v>513</v>
      </c>
      <c r="G90" t="s">
        <v>514</v>
      </c>
      <c r="H90" t="s">
        <v>515</v>
      </c>
      <c r="I90" t="s">
        <v>516</v>
      </c>
      <c r="J90" t="s">
        <v>517</v>
      </c>
      <c r="L90" t="s">
        <v>513</v>
      </c>
      <c r="M90" t="s">
        <v>514</v>
      </c>
      <c r="N90" t="s">
        <v>515</v>
      </c>
      <c r="O90" t="s">
        <v>516</v>
      </c>
      <c r="P90" t="s">
        <v>517</v>
      </c>
      <c r="R90" t="s">
        <v>513</v>
      </c>
      <c r="S90" t="s">
        <v>514</v>
      </c>
      <c r="T90" t="s">
        <v>515</v>
      </c>
      <c r="U90" t="s">
        <v>516</v>
      </c>
      <c r="V90" t="s">
        <v>517</v>
      </c>
    </row>
    <row r="91" spans="1:22" x14ac:dyDescent="0.3">
      <c r="A91" s="1" t="s">
        <v>574</v>
      </c>
      <c r="B91" s="1" t="s">
        <v>575</v>
      </c>
      <c r="C91" s="1" t="s">
        <v>907</v>
      </c>
      <c r="D91" s="1" t="s">
        <v>902</v>
      </c>
      <c r="F91" s="90" t="s">
        <v>524</v>
      </c>
      <c r="G91" s="91" t="s">
        <v>523</v>
      </c>
      <c r="H91" s="92" t="s">
        <v>525</v>
      </c>
      <c r="I91" s="124" t="s">
        <v>526</v>
      </c>
      <c r="J91" s="123" t="s">
        <v>527</v>
      </c>
      <c r="L91" s="90" t="s">
        <v>524</v>
      </c>
      <c r="M91" s="91" t="s">
        <v>523</v>
      </c>
      <c r="N91" s="92" t="s">
        <v>525</v>
      </c>
      <c r="O91" s="124" t="s">
        <v>526</v>
      </c>
      <c r="P91" s="123" t="s">
        <v>527</v>
      </c>
      <c r="R91" s="90" t="s">
        <v>524</v>
      </c>
      <c r="S91" s="91" t="s">
        <v>523</v>
      </c>
      <c r="T91" s="92" t="s">
        <v>525</v>
      </c>
      <c r="U91" s="124" t="s">
        <v>526</v>
      </c>
      <c r="V91" s="123" t="s">
        <v>527</v>
      </c>
    </row>
    <row r="92" spans="1:22" x14ac:dyDescent="0.3">
      <c r="A92" t="s">
        <v>568</v>
      </c>
      <c r="B92" t="s">
        <v>577</v>
      </c>
      <c r="C92" t="s">
        <v>927</v>
      </c>
      <c r="D92" s="23">
        <v>0.49</v>
      </c>
      <c r="E92" t="s">
        <v>78</v>
      </c>
      <c r="F92" s="49">
        <v>2.5913166459016802E-2</v>
      </c>
      <c r="G92" s="49">
        <v>8.01971755370329E-2</v>
      </c>
      <c r="H92" s="49">
        <v>3.2318388873558097E-2</v>
      </c>
      <c r="I92" s="49">
        <v>1.2371859294660101E-2</v>
      </c>
      <c r="J92" s="49">
        <v>2.7302589510250198E-2</v>
      </c>
      <c r="K92" t="s">
        <v>553</v>
      </c>
      <c r="L92" s="49">
        <v>1.4196196996865E-2</v>
      </c>
      <c r="M92" s="49">
        <v>3.6392365130124303E-2</v>
      </c>
      <c r="N92" s="49">
        <v>1.6426007120927E-2</v>
      </c>
      <c r="O92" s="49">
        <v>5.87183890840397E-3</v>
      </c>
      <c r="P92" s="49">
        <v>9.7408619858226596E-3</v>
      </c>
      <c r="Q92" t="s">
        <v>576</v>
      </c>
      <c r="R92" s="173">
        <f t="shared" ref="R92:R101" si="9">L92/F92</f>
        <v>0.54783721701155752</v>
      </c>
      <c r="S92" s="173">
        <f t="shared" ref="S92:S101" si="10">M92/G92</f>
        <v>0.45378612010243785</v>
      </c>
      <c r="T92" s="173">
        <f t="shared" ref="T92:T101" si="11">N92/H92</f>
        <v>0.50825575449295524</v>
      </c>
      <c r="U92" s="173">
        <f t="shared" ref="U92:U101" si="12">O92/I92</f>
        <v>0.47461248697989583</v>
      </c>
      <c r="V92" s="173">
        <f t="shared" ref="V92:V101" si="13">P92/J92</f>
        <v>0.35677428993193677</v>
      </c>
    </row>
    <row r="93" spans="1:22" x14ac:dyDescent="0.3">
      <c r="A93" t="s">
        <v>569</v>
      </c>
      <c r="B93" t="s">
        <v>578</v>
      </c>
      <c r="C93" t="s">
        <v>595</v>
      </c>
      <c r="D93" s="23">
        <v>0.56000000000000005</v>
      </c>
      <c r="E93" t="s">
        <v>78</v>
      </c>
      <c r="F93" s="49">
        <v>4.4109703512647203E-2</v>
      </c>
      <c r="G93" s="49">
        <v>0.109343474189183</v>
      </c>
      <c r="H93" s="49">
        <v>6.5928853406314797E-2</v>
      </c>
      <c r="I93" s="49">
        <v>2.9650928168156201E-2</v>
      </c>
      <c r="J93" s="49">
        <v>4.6168529113788603E-2</v>
      </c>
      <c r="K93" t="s">
        <v>553</v>
      </c>
      <c r="L93" s="49">
        <v>1.88199393152329E-2</v>
      </c>
      <c r="M93" s="49">
        <v>3.9790449941998103E-2</v>
      </c>
      <c r="N93" s="49">
        <v>2.0452129108849901E-2</v>
      </c>
      <c r="O93" s="49">
        <v>8.62546153280392E-3</v>
      </c>
      <c r="P93" s="49">
        <v>1.09587564733491E-2</v>
      </c>
      <c r="Q93" t="s">
        <v>576</v>
      </c>
      <c r="R93" s="173">
        <f t="shared" si="9"/>
        <v>0.42666211324310571</v>
      </c>
      <c r="S93" s="173">
        <f t="shared" si="10"/>
        <v>0.36390328949264761</v>
      </c>
      <c r="T93" s="173">
        <f t="shared" si="11"/>
        <v>0.31021514939452832</v>
      </c>
      <c r="U93" s="173">
        <f t="shared" si="12"/>
        <v>0.29090022018492118</v>
      </c>
      <c r="V93" s="173">
        <f t="shared" si="13"/>
        <v>0.23736421072327771</v>
      </c>
    </row>
    <row r="94" spans="1:22" x14ac:dyDescent="0.3">
      <c r="A94" t="s">
        <v>570</v>
      </c>
      <c r="B94" t="s">
        <v>579</v>
      </c>
      <c r="C94" t="s">
        <v>928</v>
      </c>
      <c r="D94" s="1">
        <v>0.66500000000000004</v>
      </c>
      <c r="E94" t="s">
        <v>78</v>
      </c>
      <c r="F94" s="49">
        <v>3.4886566905865203E-2</v>
      </c>
      <c r="G94" s="49">
        <v>0.13003648957545799</v>
      </c>
      <c r="H94" s="49">
        <v>5.6789200719193599E-2</v>
      </c>
      <c r="I94" s="49">
        <v>2.2697481670084799E-2</v>
      </c>
      <c r="J94" s="49">
        <v>5.2268418605625498E-2</v>
      </c>
      <c r="K94" t="s">
        <v>553</v>
      </c>
      <c r="L94" s="49">
        <v>2.1220313730493798E-2</v>
      </c>
      <c r="M94" s="49">
        <v>4.6901545121196299E-2</v>
      </c>
      <c r="N94" s="49">
        <v>3.0083625192413799E-2</v>
      </c>
      <c r="O94" s="49">
        <v>9.4653614966477406E-3</v>
      </c>
      <c r="P94" s="49">
        <v>1.6610552881755499E-2</v>
      </c>
      <c r="Q94" t="s">
        <v>576</v>
      </c>
      <c r="R94" s="173">
        <f t="shared" si="9"/>
        <v>0.6082660351118182</v>
      </c>
      <c r="S94" s="173">
        <f t="shared" si="10"/>
        <v>0.36067987742763635</v>
      </c>
      <c r="T94" s="173">
        <f t="shared" si="11"/>
        <v>0.52974200748428824</v>
      </c>
      <c r="U94" s="173">
        <f t="shared" si="12"/>
        <v>0.41702254171761505</v>
      </c>
      <c r="V94" s="173">
        <f t="shared" si="13"/>
        <v>0.31779329325199351</v>
      </c>
    </row>
    <row r="95" spans="1:22" x14ac:dyDescent="0.3">
      <c r="A95" t="s">
        <v>587</v>
      </c>
      <c r="B95" t="s">
        <v>580</v>
      </c>
      <c r="C95" t="s">
        <v>929</v>
      </c>
      <c r="D95" s="1">
        <v>0.70499999999999996</v>
      </c>
      <c r="E95" t="s">
        <v>78</v>
      </c>
      <c r="F95" s="49">
        <v>3.36107938026892E-2</v>
      </c>
      <c r="G95" s="49">
        <v>0.15327682641870599</v>
      </c>
      <c r="H95" s="49">
        <v>0.111259979729637</v>
      </c>
      <c r="I95" s="49">
        <v>5.91360748727425E-2</v>
      </c>
      <c r="J95" s="49">
        <v>8.0111691578682198E-2</v>
      </c>
      <c r="K95" t="s">
        <v>553</v>
      </c>
      <c r="L95" s="49">
        <v>1.8618690725761802E-2</v>
      </c>
      <c r="M95" s="49">
        <v>3.9018458230735298E-2</v>
      </c>
      <c r="N95" s="49">
        <v>2.8460337580845499E-2</v>
      </c>
      <c r="O95" s="49">
        <v>1.2906934413205401E-2</v>
      </c>
      <c r="P95" s="49">
        <v>1.3613518551064799E-2</v>
      </c>
      <c r="Q95" t="s">
        <v>576</v>
      </c>
      <c r="R95" s="173">
        <f t="shared" si="9"/>
        <v>0.55394974706822064</v>
      </c>
      <c r="S95" s="173">
        <f t="shared" si="10"/>
        <v>0.25456201790183636</v>
      </c>
      <c r="T95" s="173">
        <f t="shared" si="11"/>
        <v>0.25580031247537921</v>
      </c>
      <c r="U95" s="173">
        <f t="shared" si="12"/>
        <v>0.21825821955515978</v>
      </c>
      <c r="V95" s="173">
        <f t="shared" si="13"/>
        <v>0.16993173259478858</v>
      </c>
    </row>
    <row r="96" spans="1:22" x14ac:dyDescent="0.3">
      <c r="A96" t="s">
        <v>588</v>
      </c>
      <c r="B96" t="s">
        <v>581</v>
      </c>
      <c r="C96" t="s">
        <v>930</v>
      </c>
      <c r="D96" s="1">
        <v>0.74</v>
      </c>
      <c r="E96" t="s">
        <v>78</v>
      </c>
      <c r="F96" s="49">
        <v>2.0811095342509901E-2</v>
      </c>
      <c r="G96" s="49">
        <v>0.18207668916029601</v>
      </c>
      <c r="H96" s="49">
        <v>0.26426399500616199</v>
      </c>
      <c r="I96" s="49">
        <v>0.143748061595868</v>
      </c>
      <c r="J96" s="49">
        <v>0.13133107615666001</v>
      </c>
      <c r="K96" t="s">
        <v>553</v>
      </c>
      <c r="L96" s="49">
        <v>1.2684125178443801E-2</v>
      </c>
      <c r="M96" s="49">
        <v>3.7190247234631602E-2</v>
      </c>
      <c r="N96" s="49">
        <v>5.8204106900117403E-2</v>
      </c>
      <c r="O96" s="49">
        <v>2.5843285373973901E-2</v>
      </c>
      <c r="P96" s="49">
        <v>1.65648493397327E-2</v>
      </c>
      <c r="Q96" t="s">
        <v>576</v>
      </c>
      <c r="R96" s="173">
        <f t="shared" si="9"/>
        <v>0.60948859104664721</v>
      </c>
      <c r="S96" s="173">
        <f t="shared" si="10"/>
        <v>0.20425595064445723</v>
      </c>
      <c r="T96" s="173">
        <f t="shared" si="11"/>
        <v>0.22024985620443763</v>
      </c>
      <c r="U96" s="173">
        <f t="shared" si="12"/>
        <v>0.17978180079136982</v>
      </c>
      <c r="V96" s="173">
        <f t="shared" si="13"/>
        <v>0.12613046222185145</v>
      </c>
    </row>
    <row r="97" spans="1:22" x14ac:dyDescent="0.3">
      <c r="A97" t="s">
        <v>589</v>
      </c>
      <c r="B97" t="s">
        <v>582</v>
      </c>
      <c r="C97" t="s">
        <v>931</v>
      </c>
      <c r="D97" s="1">
        <v>0.78300000000000003</v>
      </c>
      <c r="E97" t="s">
        <v>78</v>
      </c>
      <c r="F97" s="49">
        <v>2.0974502412252901E-2</v>
      </c>
      <c r="G97" s="49">
        <v>0.194586679181663</v>
      </c>
      <c r="H97" s="49">
        <v>0.32238226419970301</v>
      </c>
      <c r="I97" s="49">
        <v>0.16611294060828499</v>
      </c>
      <c r="J97" s="49">
        <v>0.1473182999989</v>
      </c>
      <c r="K97" t="s">
        <v>553</v>
      </c>
      <c r="L97" s="49">
        <v>1.2629551136109401E-2</v>
      </c>
      <c r="M97" s="49">
        <v>3.9046865240987598E-2</v>
      </c>
      <c r="N97" s="49">
        <v>8.0365552545857505E-2</v>
      </c>
      <c r="O97" s="49">
        <v>3.0820525766136801E-2</v>
      </c>
      <c r="P97" s="49">
        <v>1.87682195257554E-2</v>
      </c>
      <c r="Q97" t="s">
        <v>576</v>
      </c>
      <c r="R97" s="173">
        <f t="shared" si="9"/>
        <v>0.6021382957209731</v>
      </c>
      <c r="S97" s="173">
        <f t="shared" si="10"/>
        <v>0.20066566429521143</v>
      </c>
      <c r="T97" s="173">
        <f t="shared" si="11"/>
        <v>0.24928651936036481</v>
      </c>
      <c r="U97" s="173">
        <f t="shared" si="12"/>
        <v>0.18553958320932648</v>
      </c>
      <c r="V97" s="173">
        <f t="shared" si="13"/>
        <v>0.12739910469979315</v>
      </c>
    </row>
    <row r="98" spans="1:22" x14ac:dyDescent="0.3">
      <c r="A98" t="s">
        <v>590</v>
      </c>
      <c r="B98" t="s">
        <v>583</v>
      </c>
      <c r="C98" t="s">
        <v>932</v>
      </c>
      <c r="D98" s="1">
        <v>0.84199999999999997</v>
      </c>
      <c r="E98" t="s">
        <v>78</v>
      </c>
      <c r="F98" s="49">
        <v>1.7027541341025E-2</v>
      </c>
      <c r="G98" s="49">
        <v>0.198425582584278</v>
      </c>
      <c r="H98" s="49">
        <v>0.338891398045152</v>
      </c>
      <c r="I98" s="49">
        <v>0.172468113492669</v>
      </c>
      <c r="J98" s="49">
        <v>0.15329486600723999</v>
      </c>
      <c r="K98" t="s">
        <v>553</v>
      </c>
      <c r="L98" s="49">
        <v>1.10843789910077E-2</v>
      </c>
      <c r="M98" s="49">
        <v>4.5059854631490801E-2</v>
      </c>
      <c r="N98" s="49">
        <v>8.9132734323712104E-2</v>
      </c>
      <c r="O98" s="49">
        <v>3.5903056792094303E-2</v>
      </c>
      <c r="P98" s="49">
        <v>2.06455330428034E-2</v>
      </c>
      <c r="Q98" t="s">
        <v>576</v>
      </c>
      <c r="R98" s="173">
        <f t="shared" si="9"/>
        <v>0.65096767460500893</v>
      </c>
      <c r="S98" s="173">
        <f t="shared" si="10"/>
        <v>0.22708692117535986</v>
      </c>
      <c r="T98" s="173">
        <f t="shared" si="11"/>
        <v>0.26301267850958127</v>
      </c>
      <c r="U98" s="173">
        <f t="shared" si="12"/>
        <v>0.20817214304150439</v>
      </c>
      <c r="V98" s="173">
        <f t="shared" si="13"/>
        <v>0.13467856804694509</v>
      </c>
    </row>
    <row r="99" spans="1:22" x14ac:dyDescent="0.3">
      <c r="A99" t="s">
        <v>591</v>
      </c>
      <c r="B99" t="s">
        <v>584</v>
      </c>
      <c r="C99" t="s">
        <v>933</v>
      </c>
      <c r="D99" s="1">
        <v>0.86499999999999999</v>
      </c>
      <c r="E99" t="s">
        <v>78</v>
      </c>
      <c r="F99" s="49">
        <v>1.7703598110318498E-2</v>
      </c>
      <c r="G99" s="49">
        <v>0.20644586283423999</v>
      </c>
      <c r="H99" s="49">
        <v>0.35866051243663</v>
      </c>
      <c r="I99" s="49">
        <v>0.18239041737314499</v>
      </c>
      <c r="J99" s="49">
        <v>0.16409554874938401</v>
      </c>
      <c r="K99" t="s">
        <v>553</v>
      </c>
      <c r="L99" s="49">
        <v>1.1562395048932399E-2</v>
      </c>
      <c r="M99" s="49">
        <v>3.9168205375165403E-2</v>
      </c>
      <c r="N99" s="49">
        <v>8.4356654130002595E-2</v>
      </c>
      <c r="O99" s="49">
        <v>3.3897567149026302E-2</v>
      </c>
      <c r="P99" s="49">
        <v>2.0532413753376898E-2</v>
      </c>
      <c r="Q99" t="s">
        <v>576</v>
      </c>
      <c r="R99" s="173">
        <f t="shared" si="9"/>
        <v>0.65310989194864777</v>
      </c>
      <c r="S99" s="173">
        <f t="shared" si="10"/>
        <v>0.18972627902267256</v>
      </c>
      <c r="T99" s="173">
        <f t="shared" si="11"/>
        <v>0.23519916802914614</v>
      </c>
      <c r="U99" s="173">
        <f t="shared" si="12"/>
        <v>0.18585168912507435</v>
      </c>
      <c r="V99" s="173">
        <f t="shared" si="13"/>
        <v>0.12512474536853624</v>
      </c>
    </row>
    <row r="100" spans="1:22" x14ac:dyDescent="0.3">
      <c r="A100" t="s">
        <v>592</v>
      </c>
      <c r="B100" t="s">
        <v>585</v>
      </c>
      <c r="C100" t="s">
        <v>934</v>
      </c>
      <c r="D100" s="23">
        <v>1.61</v>
      </c>
      <c r="E100" t="s">
        <v>78</v>
      </c>
      <c r="F100" s="49">
        <v>1.5327329645190501E-2</v>
      </c>
      <c r="G100" s="49">
        <v>0.25265166565722302</v>
      </c>
      <c r="H100" s="49">
        <v>0.213573491506481</v>
      </c>
      <c r="I100" s="49">
        <v>9.9729070043828402E-2</v>
      </c>
      <c r="J100" s="49">
        <v>0.15085908174705201</v>
      </c>
      <c r="K100" t="s">
        <v>553</v>
      </c>
      <c r="L100" s="49">
        <v>9.4250223632137194E-3</v>
      </c>
      <c r="M100" s="49">
        <v>4.8190008601933801E-2</v>
      </c>
      <c r="N100" s="49">
        <v>3.9573941945319498E-2</v>
      </c>
      <c r="O100" s="49">
        <v>2.5435154102535201E-2</v>
      </c>
      <c r="P100" s="49">
        <v>2.4734943804426601E-2</v>
      </c>
      <c r="Q100" t="s">
        <v>576</v>
      </c>
      <c r="R100" s="173">
        <f t="shared" si="9"/>
        <v>0.61491613877901807</v>
      </c>
      <c r="S100" s="173">
        <f t="shared" si="10"/>
        <v>0.19073695190798401</v>
      </c>
      <c r="T100" s="173">
        <f t="shared" si="11"/>
        <v>0.18529425944286071</v>
      </c>
      <c r="U100" s="173">
        <f t="shared" si="12"/>
        <v>0.2550425276336889</v>
      </c>
      <c r="V100" s="173">
        <f t="shared" si="13"/>
        <v>0.16396058837147173</v>
      </c>
    </row>
    <row r="101" spans="1:22" x14ac:dyDescent="0.3">
      <c r="A101" t="s">
        <v>593</v>
      </c>
      <c r="B101" t="s">
        <v>586</v>
      </c>
      <c r="C101" t="s">
        <v>935</v>
      </c>
      <c r="D101" s="23">
        <v>2.19</v>
      </c>
      <c r="E101" t="s">
        <v>78</v>
      </c>
      <c r="F101" s="49">
        <v>1.3987168983914699E-2</v>
      </c>
      <c r="G101" s="49">
        <v>0.21061424759174299</v>
      </c>
      <c r="H101" s="49">
        <v>0.120736538381886</v>
      </c>
      <c r="I101" s="49">
        <v>5.2316643387902699E-2</v>
      </c>
      <c r="J101" s="49">
        <v>9.6489346643557003E-2</v>
      </c>
      <c r="K101" t="s">
        <v>553</v>
      </c>
      <c r="L101" s="49">
        <v>8.6386635629386501E-3</v>
      </c>
      <c r="M101" s="49">
        <v>4.2651981226228701E-2</v>
      </c>
      <c r="N101" s="49">
        <v>3.7220621202448102E-2</v>
      </c>
      <c r="O101" s="49">
        <v>1.6158379281987899E-2</v>
      </c>
      <c r="P101" s="49">
        <v>2.1921402214856101E-2</v>
      </c>
      <c r="Q101" t="s">
        <v>576</v>
      </c>
      <c r="R101" s="173">
        <f t="shared" si="9"/>
        <v>0.61761344078084335</v>
      </c>
      <c r="S101" s="173">
        <f t="shared" si="10"/>
        <v>0.20251232627388902</v>
      </c>
      <c r="T101" s="173">
        <f t="shared" si="11"/>
        <v>0.30827967822566199</v>
      </c>
      <c r="U101" s="173">
        <f t="shared" si="12"/>
        <v>0.3088573393782415</v>
      </c>
      <c r="V101" s="173">
        <f t="shared" si="13"/>
        <v>0.22718987097960502</v>
      </c>
    </row>
    <row r="102" spans="1:22" x14ac:dyDescent="0.3">
      <c r="R102" s="103">
        <f>MEDIAN(R92:R101)*100</f>
        <v>60.887731307923268</v>
      </c>
      <c r="S102" s="103">
        <f>MEDIAN(S92:S101)*100</f>
        <v>21.567143590990856</v>
      </c>
      <c r="T102" s="103">
        <f>MEDIAN(T92:T101)*100</f>
        <v>25.940649549248025</v>
      </c>
      <c r="U102" s="103">
        <f>MEDIAN(U92:U101)*100</f>
        <v>23.665037359442433</v>
      </c>
      <c r="V102" s="103">
        <f>MEDIAN(V92:V101)*100</f>
        <v>16.694616048313016</v>
      </c>
    </row>
    <row r="103" spans="1:22" x14ac:dyDescent="0.3">
      <c r="R103" s="182">
        <f>_xlfn.STDEV.S(R92:R101)*100/SQRT(10)</f>
        <v>2.0996813718047838</v>
      </c>
      <c r="S103" s="182">
        <f>_xlfn.STDEV.S(S92:S101)*100/SQRT(10)</f>
        <v>2.9634290620502974</v>
      </c>
      <c r="T103" s="182">
        <f>_xlfn.STDEV.S(T92:T101)*100/SQRT(10)</f>
        <v>3.7343458748775236</v>
      </c>
      <c r="U103" s="182">
        <f>_xlfn.STDEV.S(U92:U101)*100/SQRT(10)</f>
        <v>3.2394833238142047</v>
      </c>
      <c r="V103" s="182">
        <f>_xlfn.STDEV.S(V92:V101)*100/SQRT(10)</f>
        <v>2.6535909040214039</v>
      </c>
    </row>
    <row r="104" spans="1:22" x14ac:dyDescent="0.3">
      <c r="F104" t="s">
        <v>518</v>
      </c>
      <c r="G104" t="s">
        <v>519</v>
      </c>
      <c r="H104" t="s">
        <v>520</v>
      </c>
      <c r="I104" t="s">
        <v>521</v>
      </c>
      <c r="J104" t="s">
        <v>522</v>
      </c>
      <c r="L104" t="s">
        <v>518</v>
      </c>
      <c r="M104" t="s">
        <v>519</v>
      </c>
      <c r="N104" t="s">
        <v>520</v>
      </c>
      <c r="O104" t="s">
        <v>521</v>
      </c>
      <c r="P104" t="s">
        <v>522</v>
      </c>
      <c r="R104" t="s">
        <v>518</v>
      </c>
      <c r="S104" t="s">
        <v>519</v>
      </c>
      <c r="T104" t="s">
        <v>520</v>
      </c>
      <c r="U104" t="s">
        <v>521</v>
      </c>
      <c r="V104" t="s">
        <v>522</v>
      </c>
    </row>
    <row r="105" spans="1:22" x14ac:dyDescent="0.3">
      <c r="A105" s="1" t="s">
        <v>574</v>
      </c>
      <c r="B105" s="1" t="s">
        <v>575</v>
      </c>
      <c r="C105" s="1" t="s">
        <v>907</v>
      </c>
      <c r="D105" s="1" t="s">
        <v>902</v>
      </c>
      <c r="F105" s="90" t="s">
        <v>524</v>
      </c>
      <c r="G105" s="91" t="s">
        <v>523</v>
      </c>
      <c r="H105" s="92" t="s">
        <v>525</v>
      </c>
      <c r="I105" s="124" t="s">
        <v>526</v>
      </c>
      <c r="J105" s="123" t="s">
        <v>527</v>
      </c>
      <c r="L105" s="90" t="s">
        <v>524</v>
      </c>
      <c r="M105" s="91" t="s">
        <v>523</v>
      </c>
      <c r="N105" s="92" t="s">
        <v>525</v>
      </c>
      <c r="O105" s="124" t="s">
        <v>526</v>
      </c>
      <c r="P105" s="123" t="s">
        <v>527</v>
      </c>
      <c r="R105" s="90" t="s">
        <v>524</v>
      </c>
      <c r="S105" s="91" t="s">
        <v>523</v>
      </c>
      <c r="T105" s="92" t="s">
        <v>525</v>
      </c>
      <c r="U105" s="124" t="s">
        <v>526</v>
      </c>
      <c r="V105" s="123" t="s">
        <v>527</v>
      </c>
    </row>
    <row r="106" spans="1:22" x14ac:dyDescent="0.3">
      <c r="A106" t="s">
        <v>568</v>
      </c>
      <c r="B106" t="s">
        <v>577</v>
      </c>
      <c r="C106" t="s">
        <v>927</v>
      </c>
      <c r="D106" s="23">
        <v>0.49</v>
      </c>
      <c r="E106" t="s">
        <v>78</v>
      </c>
      <c r="F106" s="49">
        <v>3.6758423014337002E-2</v>
      </c>
      <c r="G106" s="49">
        <v>8.6671070418594898E-2</v>
      </c>
      <c r="H106" s="49">
        <v>4.41420985383051E-2</v>
      </c>
      <c r="I106" s="49">
        <v>1.9890796829574099E-2</v>
      </c>
      <c r="J106" s="49">
        <v>3.0641958623158699E-2</v>
      </c>
      <c r="K106" t="s">
        <v>553</v>
      </c>
      <c r="L106" s="49">
        <v>1.4796271805904799E-2</v>
      </c>
      <c r="M106" s="49">
        <v>3.8672340897266302E-2</v>
      </c>
      <c r="N106" s="49">
        <v>1.9095579428012401E-2</v>
      </c>
      <c r="O106" s="49">
        <v>5.7898725525239196E-3</v>
      </c>
      <c r="P106" s="49">
        <v>5.7176434012301703E-3</v>
      </c>
      <c r="Q106" t="s">
        <v>576</v>
      </c>
      <c r="R106" s="173">
        <f t="shared" ref="R106:R115" si="14">L106/F106</f>
        <v>0.40252738263917803</v>
      </c>
      <c r="S106" s="173">
        <f t="shared" ref="S106:S115" si="15">M106/G106</f>
        <v>0.44619664566839506</v>
      </c>
      <c r="T106" s="173">
        <f t="shared" ref="T106:T115" si="16">N106/H106</f>
        <v>0.43259337594568298</v>
      </c>
      <c r="U106" s="173">
        <f t="shared" ref="U106:U115" si="17">O106/I106</f>
        <v>0.29108298687739864</v>
      </c>
      <c r="V106" s="173">
        <f t="shared" ref="V106:V115" si="18">P106/J106</f>
        <v>0.18659523275084863</v>
      </c>
    </row>
    <row r="107" spans="1:22" x14ac:dyDescent="0.3">
      <c r="A107" t="s">
        <v>569</v>
      </c>
      <c r="B107" t="s">
        <v>578</v>
      </c>
      <c r="C107" t="s">
        <v>595</v>
      </c>
      <c r="D107" s="23">
        <v>0.56000000000000005</v>
      </c>
      <c r="E107" t="s">
        <v>78</v>
      </c>
      <c r="F107" s="49">
        <v>4.7378693794890701E-2</v>
      </c>
      <c r="G107" s="49">
        <v>0.10975342804083001</v>
      </c>
      <c r="H107" s="49">
        <v>7.3035597402524605E-2</v>
      </c>
      <c r="I107" s="49">
        <v>3.2439332289266001E-2</v>
      </c>
      <c r="J107" s="49">
        <v>4.4927758317291101E-2</v>
      </c>
      <c r="K107" t="s">
        <v>553</v>
      </c>
      <c r="L107" s="49">
        <v>1.7328064960037699E-2</v>
      </c>
      <c r="M107" s="49">
        <v>4.0741164889831198E-2</v>
      </c>
      <c r="N107" s="49">
        <v>2.1697828988049998E-2</v>
      </c>
      <c r="O107" s="49">
        <v>7.6896966446058897E-3</v>
      </c>
      <c r="P107" s="49">
        <v>7.0484110844352896E-3</v>
      </c>
      <c r="Q107" t="s">
        <v>576</v>
      </c>
      <c r="R107" s="173">
        <f t="shared" si="14"/>
        <v>0.36573538804284955</v>
      </c>
      <c r="S107" s="173">
        <f t="shared" si="15"/>
        <v>0.37120630869657067</v>
      </c>
      <c r="T107" s="173">
        <f t="shared" si="16"/>
        <v>0.29708566452144847</v>
      </c>
      <c r="U107" s="173">
        <f t="shared" si="17"/>
        <v>0.23704854884298493</v>
      </c>
      <c r="V107" s="173">
        <f t="shared" si="18"/>
        <v>0.15688321314982248</v>
      </c>
    </row>
    <row r="108" spans="1:22" x14ac:dyDescent="0.3">
      <c r="A108" t="s">
        <v>570</v>
      </c>
      <c r="B108" t="s">
        <v>579</v>
      </c>
      <c r="C108" t="s">
        <v>928</v>
      </c>
      <c r="D108" s="1">
        <v>0.66500000000000004</v>
      </c>
      <c r="E108" t="s">
        <v>78</v>
      </c>
      <c r="F108" s="49">
        <v>3.6717889452601501E-2</v>
      </c>
      <c r="G108" s="49">
        <v>0.13137192148566801</v>
      </c>
      <c r="H108" s="49">
        <v>7.0694200586264494E-2</v>
      </c>
      <c r="I108" s="49">
        <v>2.35337739057189E-2</v>
      </c>
      <c r="J108" s="49">
        <v>4.7626523001307798E-2</v>
      </c>
      <c r="K108" t="s">
        <v>553</v>
      </c>
      <c r="L108" s="49">
        <v>1.7579711645177999E-2</v>
      </c>
      <c r="M108" s="49">
        <v>4.6491061784991398E-2</v>
      </c>
      <c r="N108" s="49">
        <v>3.29203827619464E-2</v>
      </c>
      <c r="O108" s="49">
        <v>7.9729168964504903E-3</v>
      </c>
      <c r="P108" s="49">
        <v>1.11017376645171E-2</v>
      </c>
      <c r="Q108" t="s">
        <v>576</v>
      </c>
      <c r="R108" s="173">
        <f t="shared" si="14"/>
        <v>0.47877783574329208</v>
      </c>
      <c r="S108" s="173">
        <f t="shared" si="15"/>
        <v>0.35388887716058359</v>
      </c>
      <c r="T108" s="173">
        <f t="shared" si="16"/>
        <v>0.46567303242612312</v>
      </c>
      <c r="U108" s="173">
        <f t="shared" si="17"/>
        <v>0.33878616019647434</v>
      </c>
      <c r="V108" s="173">
        <f t="shared" si="18"/>
        <v>0.23309989822713389</v>
      </c>
    </row>
    <row r="109" spans="1:22" x14ac:dyDescent="0.3">
      <c r="A109" t="s">
        <v>587</v>
      </c>
      <c r="B109" t="s">
        <v>580</v>
      </c>
      <c r="C109" t="s">
        <v>929</v>
      </c>
      <c r="D109" s="1">
        <v>0.70499999999999996</v>
      </c>
      <c r="E109" t="s">
        <v>78</v>
      </c>
      <c r="F109" s="49">
        <v>3.7202622702772997E-2</v>
      </c>
      <c r="G109" s="49">
        <v>0.15292261574824201</v>
      </c>
      <c r="H109" s="49">
        <v>0.120777299456899</v>
      </c>
      <c r="I109" s="49">
        <v>5.7835871459409299E-2</v>
      </c>
      <c r="J109" s="49">
        <v>7.5952847690090503E-2</v>
      </c>
      <c r="K109" t="s">
        <v>553</v>
      </c>
      <c r="L109" s="49">
        <v>1.73987057646749E-2</v>
      </c>
      <c r="M109" s="49">
        <v>3.8699330293864798E-2</v>
      </c>
      <c r="N109" s="49">
        <v>2.8811885440634601E-2</v>
      </c>
      <c r="O109" s="49">
        <v>1.13537759454311E-2</v>
      </c>
      <c r="P109" s="49">
        <v>1.0248893656587901E-2</v>
      </c>
      <c r="Q109" t="s">
        <v>576</v>
      </c>
      <c r="R109" s="173">
        <f t="shared" si="14"/>
        <v>0.46767417189052213</v>
      </c>
      <c r="S109" s="173">
        <f t="shared" si="15"/>
        <v>0.25306479427199885</v>
      </c>
      <c r="T109" s="173">
        <f t="shared" si="16"/>
        <v>0.23855381408752652</v>
      </c>
      <c r="U109" s="173">
        <f t="shared" si="17"/>
        <v>0.19631027697748915</v>
      </c>
      <c r="V109" s="173">
        <f t="shared" si="18"/>
        <v>0.13493758256973246</v>
      </c>
    </row>
    <row r="110" spans="1:22" x14ac:dyDescent="0.3">
      <c r="A110" t="s">
        <v>588</v>
      </c>
      <c r="B110" t="s">
        <v>581</v>
      </c>
      <c r="C110" t="s">
        <v>930</v>
      </c>
      <c r="D110" s="1">
        <v>0.74</v>
      </c>
      <c r="E110" t="s">
        <v>78</v>
      </c>
      <c r="F110" s="49">
        <v>2.9722683774017301E-2</v>
      </c>
      <c r="G110" s="49">
        <v>0.17861906555238199</v>
      </c>
      <c r="H110" s="49">
        <v>0.24637814280751499</v>
      </c>
      <c r="I110" s="49">
        <v>0.144474453093172</v>
      </c>
      <c r="J110" s="49">
        <v>0.13271774474178299</v>
      </c>
      <c r="K110" t="s">
        <v>553</v>
      </c>
      <c r="L110" s="49">
        <v>1.6093514682120901E-2</v>
      </c>
      <c r="M110" s="49">
        <v>3.5845437126906299E-2</v>
      </c>
      <c r="N110" s="49">
        <v>4.5975662497884498E-2</v>
      </c>
      <c r="O110" s="49">
        <v>2.40739408284203E-2</v>
      </c>
      <c r="P110" s="49">
        <v>1.5995478865907499E-2</v>
      </c>
      <c r="Q110" t="s">
        <v>576</v>
      </c>
      <c r="R110" s="173">
        <f t="shared" si="14"/>
        <v>0.54145563719886491</v>
      </c>
      <c r="S110" s="173">
        <f t="shared" si="15"/>
        <v>0.20068091284686645</v>
      </c>
      <c r="T110" s="173">
        <f t="shared" si="16"/>
        <v>0.18660609246414919</v>
      </c>
      <c r="U110" s="173">
        <f t="shared" si="17"/>
        <v>0.16663112621644566</v>
      </c>
      <c r="V110" s="173">
        <f t="shared" si="18"/>
        <v>0.12052253372017786</v>
      </c>
    </row>
    <row r="111" spans="1:22" x14ac:dyDescent="0.3">
      <c r="A111" t="s">
        <v>589</v>
      </c>
      <c r="B111" t="s">
        <v>582</v>
      </c>
      <c r="C111" t="s">
        <v>931</v>
      </c>
      <c r="D111" s="1">
        <v>0.78300000000000003</v>
      </c>
      <c r="E111" t="s">
        <v>78</v>
      </c>
      <c r="F111" s="49">
        <v>3.0399116880069601E-2</v>
      </c>
      <c r="G111" s="49">
        <v>0.19173117430761599</v>
      </c>
      <c r="H111" s="49">
        <v>0.29849404344516101</v>
      </c>
      <c r="I111" s="49">
        <v>0.170119645570635</v>
      </c>
      <c r="J111" s="49">
        <v>0.15142824034713501</v>
      </c>
      <c r="K111" t="s">
        <v>553</v>
      </c>
      <c r="L111" s="49">
        <v>1.62798618639238E-2</v>
      </c>
      <c r="M111" s="49">
        <v>3.6600304761035499E-2</v>
      </c>
      <c r="N111" s="49">
        <v>6.4411394439389896E-2</v>
      </c>
      <c r="O111" s="49">
        <v>2.9197332932636599E-2</v>
      </c>
      <c r="P111" s="49">
        <v>1.8349468545995399E-2</v>
      </c>
      <c r="Q111" t="s">
        <v>576</v>
      </c>
      <c r="R111" s="173">
        <f t="shared" si="14"/>
        <v>0.53553732919778574</v>
      </c>
      <c r="S111" s="173">
        <f t="shared" si="15"/>
        <v>0.19089386425137883</v>
      </c>
      <c r="T111" s="173">
        <f t="shared" si="16"/>
        <v>0.21578787199893817</v>
      </c>
      <c r="U111" s="173">
        <f t="shared" si="17"/>
        <v>0.1716282257390058</v>
      </c>
      <c r="V111" s="173">
        <f t="shared" si="18"/>
        <v>0.12117600061871529</v>
      </c>
    </row>
    <row r="112" spans="1:22" x14ac:dyDescent="0.3">
      <c r="A112" t="s">
        <v>590</v>
      </c>
      <c r="B112" t="s">
        <v>583</v>
      </c>
      <c r="C112" t="s">
        <v>932</v>
      </c>
      <c r="D112" s="1">
        <v>0.84199999999999997</v>
      </c>
      <c r="E112" t="s">
        <v>78</v>
      </c>
      <c r="F112" s="49">
        <v>2.6838639895574699E-2</v>
      </c>
      <c r="G112" s="49">
        <v>0.19514787132768799</v>
      </c>
      <c r="H112" s="49">
        <v>0.31554036614752301</v>
      </c>
      <c r="I112" s="49">
        <v>0.17671715566030799</v>
      </c>
      <c r="J112" s="49">
        <v>0.15773589677402799</v>
      </c>
      <c r="K112" t="s">
        <v>553</v>
      </c>
      <c r="L112" s="49">
        <v>1.5644066073156E-2</v>
      </c>
      <c r="M112" s="49">
        <v>4.2252066199992597E-2</v>
      </c>
      <c r="N112" s="49">
        <v>7.2608312662374594E-2</v>
      </c>
      <c r="O112" s="49">
        <v>3.3552470447272199E-2</v>
      </c>
      <c r="P112" s="49">
        <v>2.02043784409476E-2</v>
      </c>
      <c r="Q112" t="s">
        <v>576</v>
      </c>
      <c r="R112" s="173">
        <f t="shared" si="14"/>
        <v>0.5828934004861952</v>
      </c>
      <c r="S112" s="173">
        <f t="shared" si="15"/>
        <v>0.21651307755770424</v>
      </c>
      <c r="T112" s="173">
        <f t="shared" si="16"/>
        <v>0.2301078418234084</v>
      </c>
      <c r="U112" s="173">
        <f t="shared" si="17"/>
        <v>0.18986538302918338</v>
      </c>
      <c r="V112" s="173">
        <f t="shared" si="18"/>
        <v>0.12808992026648403</v>
      </c>
    </row>
    <row r="113" spans="1:22" x14ac:dyDescent="0.3">
      <c r="A113" t="s">
        <v>591</v>
      </c>
      <c r="B113" t="s">
        <v>584</v>
      </c>
      <c r="C113" t="s">
        <v>933</v>
      </c>
      <c r="D113" s="1">
        <v>0.86499999999999999</v>
      </c>
      <c r="E113" t="s">
        <v>78</v>
      </c>
      <c r="F113" s="49">
        <v>2.84787846327186E-2</v>
      </c>
      <c r="G113" s="49">
        <v>0.20304257779729601</v>
      </c>
      <c r="H113" s="49">
        <v>0.33427307115631499</v>
      </c>
      <c r="I113" s="49">
        <v>0.186572109035232</v>
      </c>
      <c r="J113" s="49">
        <v>0.168643713251032</v>
      </c>
      <c r="K113" t="s">
        <v>553</v>
      </c>
      <c r="L113" s="49">
        <v>1.6011053438862801E-2</v>
      </c>
      <c r="M113" s="49">
        <v>3.5873287341276601E-2</v>
      </c>
      <c r="N113" s="49">
        <v>6.8306425332806397E-2</v>
      </c>
      <c r="O113" s="49">
        <v>3.1876120237513697E-2</v>
      </c>
      <c r="P113" s="49">
        <v>1.9904383906563902E-2</v>
      </c>
      <c r="Q113" t="s">
        <v>576</v>
      </c>
      <c r="R113" s="173">
        <f t="shared" si="14"/>
        <v>0.56220985710422777</v>
      </c>
      <c r="S113" s="173">
        <f t="shared" si="15"/>
        <v>0.17667864410729689</v>
      </c>
      <c r="T113" s="173">
        <f t="shared" si="16"/>
        <v>0.20434318892790648</v>
      </c>
      <c r="U113" s="173">
        <f t="shared" si="17"/>
        <v>0.17085147615228094</v>
      </c>
      <c r="V113" s="173">
        <f t="shared" si="18"/>
        <v>0.11802624315402459</v>
      </c>
    </row>
    <row r="114" spans="1:22" x14ac:dyDescent="0.3">
      <c r="A114" t="s">
        <v>592</v>
      </c>
      <c r="B114" t="s">
        <v>585</v>
      </c>
      <c r="C114" t="s">
        <v>934</v>
      </c>
      <c r="D114" s="23">
        <v>1.61</v>
      </c>
      <c r="E114" t="s">
        <v>78</v>
      </c>
      <c r="F114" s="49">
        <v>2.34578163275335E-2</v>
      </c>
      <c r="G114" s="49">
        <v>0.25695280601024501</v>
      </c>
      <c r="H114" s="49">
        <v>0.23868652587164499</v>
      </c>
      <c r="I114" s="49">
        <v>0.100921759870918</v>
      </c>
      <c r="J114" s="49">
        <v>0.15238515906379299</v>
      </c>
      <c r="K114" t="s">
        <v>553</v>
      </c>
      <c r="L114" s="49">
        <v>1.29654035208697E-2</v>
      </c>
      <c r="M114" s="49">
        <v>4.6396769143218303E-2</v>
      </c>
      <c r="N114" s="49">
        <v>4.3365781161087899E-2</v>
      </c>
      <c r="O114" s="49">
        <v>2.1696510338599099E-2</v>
      </c>
      <c r="P114" s="49">
        <v>1.9787686722740699E-2</v>
      </c>
      <c r="Q114" t="s">
        <v>576</v>
      </c>
      <c r="R114" s="173">
        <f t="shared" si="14"/>
        <v>0.55271144337726008</v>
      </c>
      <c r="S114" s="173">
        <f t="shared" si="15"/>
        <v>0.18056533362538338</v>
      </c>
      <c r="T114" s="173">
        <f t="shared" si="16"/>
        <v>0.18168508256895946</v>
      </c>
      <c r="U114" s="173">
        <f t="shared" si="17"/>
        <v>0.21498347201187926</v>
      </c>
      <c r="V114" s="173">
        <f t="shared" si="18"/>
        <v>0.12985310934680314</v>
      </c>
    </row>
    <row r="115" spans="1:22" x14ac:dyDescent="0.3">
      <c r="A115" t="s">
        <v>593</v>
      </c>
      <c r="B115" t="s">
        <v>586</v>
      </c>
      <c r="C115" t="s">
        <v>935</v>
      </c>
      <c r="D115" s="23">
        <v>2.19</v>
      </c>
      <c r="E115" t="s">
        <v>78</v>
      </c>
      <c r="F115" s="49">
        <v>2.3961588066183401E-2</v>
      </c>
      <c r="G115" s="49">
        <v>0.221772688559708</v>
      </c>
      <c r="H115" s="49">
        <v>0.14400308219892499</v>
      </c>
      <c r="I115" s="49">
        <v>5.5117817651397498E-2</v>
      </c>
      <c r="J115" s="49">
        <v>9.4681576229870695E-2</v>
      </c>
      <c r="K115" t="s">
        <v>553</v>
      </c>
      <c r="L115" s="49">
        <v>1.29339755719145E-2</v>
      </c>
      <c r="M115" s="49">
        <v>4.4706298048642103E-2</v>
      </c>
      <c r="N115" s="49">
        <v>4.09293253679784E-2</v>
      </c>
      <c r="O115" s="49">
        <v>1.4766653594452801E-2</v>
      </c>
      <c r="P115" s="49">
        <v>1.52098398667372E-2</v>
      </c>
      <c r="Q115" t="s">
        <v>576</v>
      </c>
      <c r="R115" s="173">
        <f t="shared" si="14"/>
        <v>0.53977956453428932</v>
      </c>
      <c r="S115" s="173">
        <f t="shared" si="15"/>
        <v>0.20158613010008128</v>
      </c>
      <c r="T115" s="173">
        <f t="shared" si="16"/>
        <v>0.28422534256203541</v>
      </c>
      <c r="U115" s="173">
        <f t="shared" si="17"/>
        <v>0.2679107087992334</v>
      </c>
      <c r="V115" s="173">
        <f t="shared" si="18"/>
        <v>0.16064202215867537</v>
      </c>
    </row>
    <row r="116" spans="1:22" x14ac:dyDescent="0.3">
      <c r="R116" s="103">
        <f>MEDIAN(R106:R115)*100</f>
        <v>53.765844686603749</v>
      </c>
      <c r="S116" s="103">
        <f>MEDIAN(S106:S115)*100</f>
        <v>20.904960382889275</v>
      </c>
      <c r="T116" s="103">
        <f>MEDIAN(T106:T115)*100</f>
        <v>23.433082795546746</v>
      </c>
      <c r="U116" s="103">
        <f>MEDIAN(U106:U115)*100</f>
        <v>20.564687449468423</v>
      </c>
      <c r="V116" s="103">
        <f>MEDIAN(V106:V115)*100</f>
        <v>13.239534595826779</v>
      </c>
    </row>
    <row r="117" spans="1:22" x14ac:dyDescent="0.3">
      <c r="R117" s="182">
        <f>_xlfn.STDEV.S(R106:R115)*100/SQRT(10)</f>
        <v>2.2857320636756637</v>
      </c>
      <c r="S117" s="182">
        <f>_xlfn.STDEV.S(S106:S115)*100/SQRT(10)</f>
        <v>3.0320813953620549</v>
      </c>
      <c r="T117" s="182">
        <f>_xlfn.STDEV.S(T106:T115)*100/SQRT(10)</f>
        <v>3.1642133826465542</v>
      </c>
      <c r="U117" s="182">
        <f>_xlfn.STDEV.S(U106:U115)*100/SQRT(10)</f>
        <v>1.8452266335419774</v>
      </c>
      <c r="V117" s="182">
        <f>_xlfn.STDEV.S(V106:V115)*100/SQRT(10)</f>
        <v>1.1657126662064474</v>
      </c>
    </row>
    <row r="118" spans="1:22" x14ac:dyDescent="0.3">
      <c r="M118" s="170">
        <v>1977</v>
      </c>
      <c r="N118" t="s">
        <v>707</v>
      </c>
      <c r="P118" s="12" t="s">
        <v>656</v>
      </c>
    </row>
    <row r="119" spans="1:22" x14ac:dyDescent="0.3">
      <c r="M119" s="171" t="s">
        <v>405</v>
      </c>
      <c r="N119" t="s">
        <v>707</v>
      </c>
      <c r="P119" s="12" t="s">
        <v>651</v>
      </c>
      <c r="R119" s="103">
        <f>MEDIAN(R106:R115,R92:R101,R82:R87,R72:R77,R62:R67,R52:R57,R42:R47,R32:R37,R22:R27,R14:R17,R6:R9)*100</f>
        <v>59.003013078138778</v>
      </c>
      <c r="S119" s="103">
        <f t="shared" ref="S119:V119" si="19">MEDIAN(S106:S115,S92:S101,S82:S87,S72:S77,S62:S67,S52:S57,S42:S47,S32:S37,S22:S27,S14:S17,S6:S9)*100</f>
        <v>20.515043379326052</v>
      </c>
      <c r="T119" s="103">
        <f t="shared" si="19"/>
        <v>23.353552854926413</v>
      </c>
      <c r="U119" s="103">
        <f t="shared" si="19"/>
        <v>26.672062185134969</v>
      </c>
      <c r="V119" s="103">
        <f t="shared" si="19"/>
        <v>17.802281730967902</v>
      </c>
    </row>
    <row r="120" spans="1:22" x14ac:dyDescent="0.3">
      <c r="M120" s="172" t="s">
        <v>461</v>
      </c>
      <c r="N120" t="s">
        <v>707</v>
      </c>
      <c r="P120" s="12" t="s">
        <v>652</v>
      </c>
      <c r="R120" s="57">
        <f>MEDIAN(R14:R17,R6:R9)*100</f>
        <v>47.85718286999974</v>
      </c>
      <c r="S120" s="57">
        <f t="shared" ref="S120:V120" si="20">MEDIAN(S14:S17,S6:S9)*100</f>
        <v>17.943635544867853</v>
      </c>
      <c r="T120" s="57">
        <f t="shared" si="20"/>
        <v>16.849665252324847</v>
      </c>
      <c r="U120" s="57">
        <f t="shared" si="20"/>
        <v>19.486577348107406</v>
      </c>
      <c r="V120" s="57">
        <f t="shared" si="20"/>
        <v>15.132613336933726</v>
      </c>
    </row>
    <row r="121" spans="1:22" x14ac:dyDescent="0.3">
      <c r="P121" s="12" t="s">
        <v>653</v>
      </c>
      <c r="R121" s="57">
        <f>MEDIAN(R62:R67,R52:R57,R42:R47,R32:R37,R22:R27)*100</f>
        <v>59.003013078138778</v>
      </c>
      <c r="S121" s="57">
        <f t="shared" ref="S121:V121" si="21">MEDIAN(S62:S67,S52:S57,S42:S47,S32:S37,S22:S27)*100</f>
        <v>19.732338455243223</v>
      </c>
      <c r="T121" s="57">
        <f t="shared" si="21"/>
        <v>22.925473871736074</v>
      </c>
      <c r="U121" s="57">
        <f t="shared" si="21"/>
        <v>28.055933288323239</v>
      </c>
      <c r="V121" s="57">
        <f t="shared" si="21"/>
        <v>17.802281730967902</v>
      </c>
    </row>
    <row r="122" spans="1:22" x14ac:dyDescent="0.3">
      <c r="M122" s="171" t="s">
        <v>429</v>
      </c>
      <c r="N122" t="s">
        <v>711</v>
      </c>
      <c r="P122" s="12" t="s">
        <v>654</v>
      </c>
      <c r="R122" s="57">
        <f>MEDIAN(R82:R87,R72:R77)*100</f>
        <v>80.055421749571522</v>
      </c>
      <c r="S122" s="57">
        <f t="shared" ref="S122:V122" si="22">MEDIAN(S82:S87,S72:S77)*100</f>
        <v>26.087207210236741</v>
      </c>
      <c r="T122" s="57">
        <f t="shared" si="22"/>
        <v>31.947233145551646</v>
      </c>
      <c r="U122" s="57">
        <f t="shared" si="22"/>
        <v>37.910659000462708</v>
      </c>
      <c r="V122" s="57">
        <f t="shared" si="22"/>
        <v>28.334701521799801</v>
      </c>
    </row>
    <row r="123" spans="1:22" x14ac:dyDescent="0.3">
      <c r="M123" s="171" t="s">
        <v>437</v>
      </c>
      <c r="N123" t="s">
        <v>711</v>
      </c>
      <c r="P123" s="12" t="s">
        <v>655</v>
      </c>
      <c r="R123" s="57">
        <f>MEDIAN(R106:R115,R92:R101)*100</f>
        <v>55.333059522274027</v>
      </c>
      <c r="S123" s="57">
        <f t="shared" ref="S123:V123" si="23">MEDIAN(S106:S115,S92:S101)*100</f>
        <v>21.038451410108074</v>
      </c>
      <c r="T123" s="57">
        <f t="shared" si="23"/>
        <v>25.254341591787199</v>
      </c>
      <c r="U123" s="57">
        <f t="shared" si="23"/>
        <v>21.662084578351955</v>
      </c>
      <c r="V123" s="57">
        <f t="shared" si="23"/>
        <v>14.591039785977747</v>
      </c>
    </row>
    <row r="124" spans="1:22" x14ac:dyDescent="0.3">
      <c r="P124" s="12" t="s">
        <v>731</v>
      </c>
      <c r="R124" s="57">
        <f>MEDIAN(R106:R115,R42:R47,R6:R9)*100</f>
        <v>54.708354028806248</v>
      </c>
      <c r="S124" s="57">
        <f t="shared" ref="S124:V124" si="24">MEDIAN(S106:S115,S42:S47,S6:S9)*100</f>
        <v>20.515043379326052</v>
      </c>
      <c r="T124" s="57">
        <f t="shared" si="24"/>
        <v>22.624561783170648</v>
      </c>
      <c r="U124" s="57">
        <f t="shared" si="24"/>
        <v>24.579708694622767</v>
      </c>
      <c r="V124" s="57">
        <f t="shared" si="24"/>
        <v>17.589982142620915</v>
      </c>
    </row>
    <row r="125" spans="1:22" x14ac:dyDescent="0.3">
      <c r="M125" s="171" t="s">
        <v>530</v>
      </c>
      <c r="N125" t="s">
        <v>712</v>
      </c>
      <c r="P125" s="12" t="s">
        <v>732</v>
      </c>
      <c r="R125" s="57">
        <f>MEDIAN(R62:R67,R52:R57)*100</f>
        <v>39.503195956783053</v>
      </c>
      <c r="S125" s="57">
        <f t="shared" ref="S125:V125" si="25">MEDIAN(S62:S67,S52:S57)*100</f>
        <v>19.43687675804885</v>
      </c>
      <c r="T125" s="57">
        <f t="shared" si="25"/>
        <v>22.75400212687822</v>
      </c>
      <c r="U125" s="57">
        <f t="shared" si="25"/>
        <v>27.684013848482891</v>
      </c>
      <c r="V125" s="57">
        <f t="shared" si="25"/>
        <v>19.297927574741497</v>
      </c>
    </row>
    <row r="126" spans="1:22" x14ac:dyDescent="0.3">
      <c r="M126" s="171" t="s">
        <v>531</v>
      </c>
      <c r="N126" t="s">
        <v>713</v>
      </c>
      <c r="P126" s="12" t="s">
        <v>733</v>
      </c>
      <c r="R126" s="57">
        <f>MEDIAN(R92:R101,R82:R87,R72:R77)*100</f>
        <v>65.203878327682844</v>
      </c>
      <c r="S126" s="57">
        <f t="shared" ref="S126:V126" si="26">MEDIAN(S92:S101,S82:S87,S72:S77)*100</f>
        <v>22.249601585884328</v>
      </c>
      <c r="T126" s="57">
        <f t="shared" si="26"/>
        <v>30.079258725296132</v>
      </c>
      <c r="U126" s="57">
        <f t="shared" si="26"/>
        <v>30.543961682138622</v>
      </c>
      <c r="V126" s="57">
        <f t="shared" si="26"/>
        <v>23.003233015214434</v>
      </c>
    </row>
    <row r="127" spans="1:22" x14ac:dyDescent="0.3">
      <c r="M127" s="171" t="s">
        <v>532</v>
      </c>
      <c r="N127" t="s">
        <v>713</v>
      </c>
      <c r="O127" s="16" t="s">
        <v>401</v>
      </c>
      <c r="P127" s="12" t="s">
        <v>736</v>
      </c>
      <c r="R127" s="57">
        <f>R38</f>
        <v>61.292234380618723</v>
      </c>
      <c r="S127" s="57">
        <f t="shared" ref="S127:V127" si="27">S38</f>
        <v>20.816189526802926</v>
      </c>
      <c r="T127" s="57">
        <f t="shared" si="27"/>
        <v>27.445822290815514</v>
      </c>
      <c r="U127" s="57">
        <f t="shared" si="27"/>
        <v>24.685920278983431</v>
      </c>
      <c r="V127" s="57">
        <f t="shared" si="27"/>
        <v>18.227438083691077</v>
      </c>
    </row>
    <row r="128" spans="1:22" x14ac:dyDescent="0.3">
      <c r="O128">
        <v>1988</v>
      </c>
      <c r="P128" s="12" t="s">
        <v>734</v>
      </c>
      <c r="R128" s="57">
        <f>R18</f>
        <v>41.727751788682824</v>
      </c>
      <c r="S128" s="57">
        <f t="shared" ref="S128:V128" si="28">S18</f>
        <v>14.394483562940652</v>
      </c>
      <c r="T128" s="57">
        <f t="shared" si="28"/>
        <v>17.158522117734478</v>
      </c>
      <c r="U128" s="57">
        <f t="shared" si="28"/>
        <v>16.47327090033437</v>
      </c>
      <c r="V128" s="57">
        <f t="shared" si="28"/>
        <v>11.894668748717017</v>
      </c>
    </row>
    <row r="129" spans="13:22" x14ac:dyDescent="0.3">
      <c r="M129" s="171" t="s">
        <v>401</v>
      </c>
      <c r="N129" t="s">
        <v>710</v>
      </c>
      <c r="O129" s="16" t="s">
        <v>397</v>
      </c>
      <c r="P129" s="12" t="s">
        <v>735</v>
      </c>
      <c r="R129" s="57">
        <f>R28</f>
        <v>60.350452169933888</v>
      </c>
      <c r="S129" s="57">
        <f t="shared" ref="S129:V129" si="29">S28</f>
        <v>18.365551296960525</v>
      </c>
      <c r="T129" s="57">
        <f t="shared" si="29"/>
        <v>21.143796751174861</v>
      </c>
      <c r="U129" s="57">
        <f t="shared" si="29"/>
        <v>26.891461242597615</v>
      </c>
      <c r="V129" s="57">
        <f t="shared" si="29"/>
        <v>14.131255860874498</v>
      </c>
    </row>
    <row r="131" spans="13:22" x14ac:dyDescent="0.3">
      <c r="M131" s="171">
        <v>1988</v>
      </c>
      <c r="N131" t="s">
        <v>708</v>
      </c>
    </row>
    <row r="133" spans="13:22" x14ac:dyDescent="0.3">
      <c r="M133" s="171" t="s">
        <v>397</v>
      </c>
      <c r="N133" t="s">
        <v>787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Gráficos</vt:lpstr>
      </vt:variant>
      <vt:variant>
        <vt:i4>6</vt:i4>
      </vt:variant>
    </vt:vector>
  </HeadingPairs>
  <TitlesOfParts>
    <vt:vector size="24" baseType="lpstr">
      <vt:lpstr>Sample_size</vt:lpstr>
      <vt:lpstr>77_Seeds</vt:lpstr>
      <vt:lpstr>88_Seeds</vt:lpstr>
      <vt:lpstr>88T_Seeds</vt:lpstr>
      <vt:lpstr>91T_Seeds</vt:lpstr>
      <vt:lpstr>01T_Seeds</vt:lpstr>
      <vt:lpstr>07E_Seeds</vt:lpstr>
      <vt:lpstr>11E_Seeds</vt:lpstr>
      <vt:lpstr>15O_Seeds</vt:lpstr>
      <vt:lpstr>19O_Seeds</vt:lpstr>
      <vt:lpstr>19M_Seeds</vt:lpstr>
      <vt:lpstr>24M_Seeds</vt:lpstr>
      <vt:lpstr>GUE_all</vt:lpstr>
      <vt:lpstr>GUE_Stats</vt:lpstr>
      <vt:lpstr>GUE_PA_HC</vt:lpstr>
      <vt:lpstr>GUE_PA_Change</vt:lpstr>
      <vt:lpstr>Cumulative</vt:lpstr>
      <vt:lpstr>Spectral</vt:lpstr>
      <vt:lpstr>PA-UA Plot</vt:lpstr>
      <vt:lpstr>PA-UA Plot C</vt:lpstr>
      <vt:lpstr>PA-CV Plot</vt:lpstr>
      <vt:lpstr>PA-CV Plot C</vt:lpstr>
      <vt:lpstr>CV-UA Plot C</vt:lpstr>
      <vt:lpstr>CV-UA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alberto aguirre nieto</dc:creator>
  <cp:lastModifiedBy>daniel alberto aguirre nieto</cp:lastModifiedBy>
  <dcterms:created xsi:type="dcterms:W3CDTF">2024-02-15T20:06:04Z</dcterms:created>
  <dcterms:modified xsi:type="dcterms:W3CDTF">2024-09-18T15:08:15Z</dcterms:modified>
</cp:coreProperties>
</file>